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codeName="ЭтаКнига" defaultThemeVersion="124226"/>
  <bookViews>
    <workbookView xWindow="-120" yWindow="-120" windowWidth="20730" windowHeight="11160" activeTab="1"/>
  </bookViews>
  <sheets>
    <sheet name="школы" sheetId="2" r:id="rId1"/>
    <sheet name="Приложение" sheetId="1" r:id="rId2"/>
    <sheet name="Лист1" sheetId="3" r:id="rId3"/>
  </sheets>
  <definedNames>
    <definedName name="_xlnm._FilterDatabase" localSheetId="2" hidden="1">Лист1!$A$3:$Q$136</definedName>
    <definedName name="_xlnm._FilterDatabase" localSheetId="1" hidden="1">Приложение!$B$3396:$O$6779</definedName>
    <definedName name="_xlnm._FilterDatabase" localSheetId="0" hidden="1">школы!$A$5:$AMI$65</definedName>
    <definedName name="_xlnm.Print_Titles" localSheetId="0">школы!$3:$4</definedName>
    <definedName name="иные">#REF!</definedName>
    <definedName name="материальные_запасы_основные_средства">#REF!</definedName>
    <definedName name="_xlnm.Print_Area" localSheetId="2">Лист1!$A$2:$I$136</definedName>
    <definedName name="_xlnm.Print_Area" localSheetId="1">Приложение!$A$1:$O$10177</definedName>
    <definedName name="_xlnm.Print_Area" localSheetId="0">школы!$C$3:$G$45</definedName>
    <definedName name="оплата_труда">#REF!</definedName>
    <definedName name="Список">#REF!</definedName>
  </definedNames>
  <calcPr calcId="152511"/>
</workbook>
</file>

<file path=xl/calcChain.xml><?xml version="1.0" encoding="utf-8"?>
<calcChain xmlns="http://schemas.openxmlformats.org/spreadsheetml/2006/main">
  <c r="L145" i="1" l="1"/>
  <c r="L265" i="1"/>
  <c r="L385" i="1"/>
  <c r="H10146" i="1" l="1"/>
  <c r="K10141" i="1"/>
  <c r="H9811" i="1" l="1"/>
  <c r="L9663" i="1"/>
  <c r="L9561" i="1"/>
  <c r="L9459" i="1"/>
  <c r="L9357" i="1"/>
  <c r="L9255" i="1"/>
  <c r="L9153" i="1"/>
  <c r="L9051" i="1"/>
  <c r="L8947" i="1"/>
  <c r="L8722" i="1" l="1"/>
  <c r="L8602" i="1"/>
  <c r="L8482" i="1"/>
  <c r="L8362" i="1"/>
  <c r="L8242" i="1"/>
  <c r="L8122" i="1"/>
  <c r="L8002" i="1"/>
  <c r="L7882" i="1"/>
  <c r="L7762" i="1"/>
  <c r="L7642" i="1"/>
  <c r="L7522" i="1"/>
  <c r="L7402" i="1"/>
  <c r="L7282" i="1"/>
  <c r="L7162" i="1"/>
  <c r="L7042" i="1"/>
  <c r="L6922" i="1"/>
  <c r="R10171" i="1"/>
  <c r="Q10171" i="1"/>
  <c r="Q10168" i="1"/>
  <c r="Q10167" i="1"/>
  <c r="Q10166" i="1"/>
  <c r="Q10165" i="1"/>
  <c r="Q10164" i="1"/>
  <c r="Q10163" i="1"/>
  <c r="Q10162" i="1"/>
  <c r="Q10161" i="1"/>
  <c r="Q10160" i="1"/>
  <c r="Q10159" i="1"/>
  <c r="Q10158" i="1"/>
  <c r="Q10157" i="1"/>
  <c r="Q10156" i="1"/>
  <c r="Q10155" i="1"/>
  <c r="Q10154" i="1"/>
  <c r="Q10153" i="1"/>
  <c r="K10150" i="1"/>
  <c r="H10150" i="1" s="1"/>
  <c r="G10150" i="1" s="1"/>
  <c r="B10139" i="1"/>
  <c r="A10139" i="1"/>
  <c r="N10106" i="1"/>
  <c r="H10099" i="1"/>
  <c r="H10098" i="1"/>
  <c r="Q10086" i="1"/>
  <c r="Q10085" i="1"/>
  <c r="Q10084" i="1"/>
  <c r="L10080" i="1"/>
  <c r="Q10075" i="1"/>
  <c r="Q10074" i="1"/>
  <c r="Q10052" i="1"/>
  <c r="Q10051" i="1"/>
  <c r="K10044" i="1"/>
  <c r="K10046" i="1" s="1"/>
  <c r="K10049" i="1" s="1"/>
  <c r="K10055" i="1" s="1"/>
  <c r="K10056" i="1" s="1"/>
  <c r="K10057" i="1" s="1"/>
  <c r="K10058" i="1" s="1"/>
  <c r="K10059" i="1" s="1"/>
  <c r="B10042" i="1"/>
  <c r="A10042" i="1"/>
  <c r="N10009" i="1"/>
  <c r="H10002" i="1"/>
  <c r="H10001" i="1"/>
  <c r="Q9989" i="1"/>
  <c r="Q9988" i="1"/>
  <c r="Q9987" i="1"/>
  <c r="L9983" i="1"/>
  <c r="Q9978" i="1"/>
  <c r="Q9977" i="1"/>
  <c r="N9975" i="1"/>
  <c r="Q9955" i="1"/>
  <c r="Q9954" i="1"/>
  <c r="K9947" i="1"/>
  <c r="K9949" i="1" s="1"/>
  <c r="K9952" i="1" s="1"/>
  <c r="K9958" i="1" s="1"/>
  <c r="K9959" i="1" s="1"/>
  <c r="K9960" i="1" s="1"/>
  <c r="K9961" i="1" s="1"/>
  <c r="K9962" i="1" s="1"/>
  <c r="B9945" i="1"/>
  <c r="A9945" i="1"/>
  <c r="N9912" i="1"/>
  <c r="H9905" i="1"/>
  <c r="H9904" i="1"/>
  <c r="Q9892" i="1"/>
  <c r="Q9891" i="1"/>
  <c r="Q9890" i="1"/>
  <c r="L9886" i="1"/>
  <c r="Q9881" i="1"/>
  <c r="Q9880" i="1"/>
  <c r="N9878" i="1"/>
  <c r="Q9858" i="1"/>
  <c r="Q9857" i="1"/>
  <c r="K9850" i="1"/>
  <c r="K9852" i="1" s="1"/>
  <c r="K9855" i="1" s="1"/>
  <c r="K9861" i="1" s="1"/>
  <c r="K9862" i="1" s="1"/>
  <c r="K9863" i="1" s="1"/>
  <c r="K9864" i="1" s="1"/>
  <c r="K9865" i="1" s="1"/>
  <c r="B9848" i="1"/>
  <c r="A9848" i="1"/>
  <c r="N9845" i="1"/>
  <c r="N9809" i="1"/>
  <c r="N9808" i="1"/>
  <c r="N9905" i="1" s="1"/>
  <c r="N9807" i="1"/>
  <c r="Q9795" i="1"/>
  <c r="Q9794" i="1"/>
  <c r="Q9793" i="1"/>
  <c r="Q9792" i="1"/>
  <c r="Q9784" i="1"/>
  <c r="Q9783" i="1"/>
  <c r="O9781" i="1"/>
  <c r="Q9761" i="1"/>
  <c r="Q9760" i="1"/>
  <c r="K9753" i="1"/>
  <c r="K9755" i="1" s="1"/>
  <c r="K9758" i="1" s="1"/>
  <c r="K9764" i="1" s="1"/>
  <c r="K9765" i="1" s="1"/>
  <c r="K9766" i="1" s="1"/>
  <c r="K9767" i="1" s="1"/>
  <c r="K9768" i="1" s="1"/>
  <c r="B9751" i="1"/>
  <c r="A9751" i="1"/>
  <c r="L9747" i="1"/>
  <c r="L9730" i="1"/>
  <c r="L9705" i="1"/>
  <c r="L9703" i="1"/>
  <c r="Q9691" i="1"/>
  <c r="Q9690" i="1"/>
  <c r="Q9680" i="1"/>
  <c r="Q9679" i="1"/>
  <c r="Q9657" i="1"/>
  <c r="Q9656" i="1"/>
  <c r="Q9653" i="1"/>
  <c r="K9651" i="1"/>
  <c r="K9652" i="1" s="1"/>
  <c r="K9660" i="1" s="1"/>
  <c r="K9661" i="1" s="1"/>
  <c r="K9662" i="1" s="1"/>
  <c r="K9663" i="1" s="1"/>
  <c r="K9664" i="1" s="1"/>
  <c r="B9649" i="1"/>
  <c r="A9649" i="1"/>
  <c r="L9645" i="1"/>
  <c r="L9628" i="1"/>
  <c r="L9603" i="1"/>
  <c r="L9601" i="1"/>
  <c r="Q9589" i="1"/>
  <c r="Q9588" i="1"/>
  <c r="Q9578" i="1"/>
  <c r="Q9577" i="1"/>
  <c r="Q9555" i="1"/>
  <c r="Q9554" i="1"/>
  <c r="Q9551" i="1"/>
  <c r="K9549" i="1"/>
  <c r="K9550" i="1" s="1"/>
  <c r="K9553" i="1" s="1"/>
  <c r="B9547" i="1"/>
  <c r="A9547" i="1"/>
  <c r="L9543" i="1"/>
  <c r="L9526" i="1"/>
  <c r="L9501" i="1"/>
  <c r="L9499" i="1"/>
  <c r="Q9487" i="1"/>
  <c r="Q9486" i="1"/>
  <c r="Q9476" i="1"/>
  <c r="Q9475" i="1"/>
  <c r="Q9453" i="1"/>
  <c r="Q9452" i="1"/>
  <c r="Q9449" i="1"/>
  <c r="K9447" i="1"/>
  <c r="K9448" i="1" s="1"/>
  <c r="K9456" i="1" s="1"/>
  <c r="K9457" i="1" s="1"/>
  <c r="K9458" i="1" s="1"/>
  <c r="K9459" i="1" s="1"/>
  <c r="K9460" i="1" s="1"/>
  <c r="B9445" i="1"/>
  <c r="A9445" i="1"/>
  <c r="L9441" i="1"/>
  <c r="L9424" i="1"/>
  <c r="L9399" i="1"/>
  <c r="L9397" i="1"/>
  <c r="Q9385" i="1"/>
  <c r="Q9384" i="1"/>
  <c r="L9379" i="1"/>
  <c r="Q9374" i="1"/>
  <c r="Q9373" i="1"/>
  <c r="Q9351" i="1"/>
  <c r="Q9350" i="1"/>
  <c r="Q9347" i="1"/>
  <c r="K9345" i="1"/>
  <c r="K9346" i="1" s="1"/>
  <c r="K9354" i="1" s="1"/>
  <c r="K9355" i="1" s="1"/>
  <c r="K9356" i="1" s="1"/>
  <c r="K9357" i="1" s="1"/>
  <c r="K9358" i="1" s="1"/>
  <c r="B9343" i="1"/>
  <c r="A9343" i="1"/>
  <c r="L9339" i="1"/>
  <c r="L9322" i="1"/>
  <c r="L9297" i="1"/>
  <c r="L9295" i="1"/>
  <c r="Q9283" i="1"/>
  <c r="Q9282" i="1"/>
  <c r="L9277" i="1"/>
  <c r="Q9272" i="1"/>
  <c r="Q9271" i="1"/>
  <c r="Q9249" i="1"/>
  <c r="Q9248" i="1"/>
  <c r="Q9245" i="1"/>
  <c r="K9243" i="1"/>
  <c r="K9244" i="1" s="1"/>
  <c r="B9241" i="1"/>
  <c r="A9241" i="1"/>
  <c r="L9237" i="1"/>
  <c r="L9220" i="1"/>
  <c r="L9195" i="1"/>
  <c r="L9193" i="1"/>
  <c r="Q9181" i="1"/>
  <c r="Q9180" i="1"/>
  <c r="L9175" i="1"/>
  <c r="L9685" i="1" s="1"/>
  <c r="Q9170" i="1"/>
  <c r="Q9169" i="1"/>
  <c r="Q9147" i="1"/>
  <c r="Q9146" i="1"/>
  <c r="Q9143" i="1"/>
  <c r="K9141" i="1"/>
  <c r="K9142" i="1" s="1"/>
  <c r="B9139" i="1"/>
  <c r="A9139" i="1"/>
  <c r="L9135" i="1"/>
  <c r="L9118" i="1"/>
  <c r="L9093" i="1"/>
  <c r="L9091" i="1"/>
  <c r="Q9079" i="1"/>
  <c r="Q9078" i="1"/>
  <c r="L9073" i="1"/>
  <c r="L9583" i="1" s="1"/>
  <c r="Q9068" i="1"/>
  <c r="Q9067" i="1"/>
  <c r="Q9045" i="1"/>
  <c r="Q9044" i="1"/>
  <c r="K9037" i="1"/>
  <c r="K9039" i="1" s="1"/>
  <c r="K9042" i="1" s="1"/>
  <c r="K9048" i="1" s="1"/>
  <c r="K9049" i="1" s="1"/>
  <c r="K9050" i="1" s="1"/>
  <c r="K9051" i="1" s="1"/>
  <c r="K9052" i="1" s="1"/>
  <c r="B9035" i="1"/>
  <c r="A9035" i="1"/>
  <c r="L9031" i="1"/>
  <c r="L9014" i="1"/>
  <c r="L8989" i="1"/>
  <c r="L8987" i="1"/>
  <c r="Q8975" i="1"/>
  <c r="Q8974" i="1"/>
  <c r="L8969" i="1"/>
  <c r="L9481" i="1" s="1"/>
  <c r="Q8964" i="1"/>
  <c r="Q8963" i="1"/>
  <c r="Q8941" i="1"/>
  <c r="Q8940" i="1"/>
  <c r="K8933" i="1"/>
  <c r="K8935" i="1" s="1"/>
  <c r="K8938" i="1" s="1"/>
  <c r="K8944" i="1" s="1"/>
  <c r="K8945" i="1" s="1"/>
  <c r="K8946" i="1" s="1"/>
  <c r="K8947" i="1" s="1"/>
  <c r="K8948" i="1" s="1"/>
  <c r="B8931" i="1"/>
  <c r="A8931" i="1"/>
  <c r="Q8871" i="1"/>
  <c r="Q8870" i="1"/>
  <c r="Q8860" i="1"/>
  <c r="Q8859" i="1"/>
  <c r="Q8837" i="1"/>
  <c r="Q8836" i="1"/>
  <c r="K8829" i="1"/>
  <c r="K8831" i="1" s="1"/>
  <c r="K8834" i="1" s="1"/>
  <c r="K8840" i="1" s="1"/>
  <c r="K8841" i="1" s="1"/>
  <c r="K8842" i="1" s="1"/>
  <c r="K8843" i="1" s="1"/>
  <c r="K8844" i="1" s="1"/>
  <c r="B8827" i="1"/>
  <c r="A8827" i="1"/>
  <c r="H8789" i="1"/>
  <c r="O8746" i="1"/>
  <c r="O8745" i="1"/>
  <c r="O8744" i="1"/>
  <c r="O8743" i="1"/>
  <c r="O8740" i="1"/>
  <c r="O8739" i="1"/>
  <c r="L8725" i="1"/>
  <c r="L8726" i="1" s="1"/>
  <c r="K8709" i="1"/>
  <c r="K8719" i="1" s="1"/>
  <c r="K8720" i="1" s="1"/>
  <c r="K8721" i="1" s="1"/>
  <c r="K8722" i="1" s="1"/>
  <c r="K8723" i="1" s="1"/>
  <c r="K8724" i="1" s="1"/>
  <c r="K8725" i="1" s="1"/>
  <c r="K8726" i="1" s="1"/>
  <c r="B8707" i="1"/>
  <c r="A8707" i="1"/>
  <c r="H8669" i="1"/>
  <c r="O8626" i="1"/>
  <c r="O8625" i="1"/>
  <c r="O8624" i="1"/>
  <c r="O8623" i="1"/>
  <c r="O8620" i="1"/>
  <c r="O8619" i="1"/>
  <c r="L8605" i="1"/>
  <c r="L8606" i="1" s="1"/>
  <c r="K8589" i="1"/>
  <c r="K8599" i="1" s="1"/>
  <c r="K8600" i="1" s="1"/>
  <c r="K8601" i="1" s="1"/>
  <c r="K8602" i="1" s="1"/>
  <c r="K8603" i="1" s="1"/>
  <c r="K8604" i="1" s="1"/>
  <c r="B8587" i="1"/>
  <c r="A8587" i="1"/>
  <c r="H8549" i="1"/>
  <c r="O8506" i="1"/>
  <c r="O8505" i="1"/>
  <c r="O8504" i="1"/>
  <c r="O8503" i="1"/>
  <c r="O8500" i="1"/>
  <c r="O8499" i="1"/>
  <c r="L8485" i="1"/>
  <c r="L8486" i="1" s="1"/>
  <c r="K8469" i="1"/>
  <c r="K8479" i="1" s="1"/>
  <c r="K8480" i="1" s="1"/>
  <c r="K8481" i="1" s="1"/>
  <c r="K8482" i="1" s="1"/>
  <c r="K8483" i="1" s="1"/>
  <c r="K8484" i="1" s="1"/>
  <c r="B8467" i="1"/>
  <c r="A8467" i="1"/>
  <c r="H8429" i="1"/>
  <c r="O8386" i="1"/>
  <c r="O8385" i="1"/>
  <c r="O8384" i="1"/>
  <c r="O8383" i="1"/>
  <c r="O8380" i="1"/>
  <c r="O8379" i="1"/>
  <c r="L8365" i="1"/>
  <c r="L8366" i="1" s="1"/>
  <c r="K8349" i="1"/>
  <c r="K8359" i="1" s="1"/>
  <c r="K8360" i="1" s="1"/>
  <c r="K8361" i="1" s="1"/>
  <c r="K8362" i="1" s="1"/>
  <c r="K8363" i="1" s="1"/>
  <c r="K8364" i="1" s="1"/>
  <c r="B8347" i="1"/>
  <c r="A8347" i="1"/>
  <c r="H8309" i="1"/>
  <c r="O8266" i="1"/>
  <c r="O8265" i="1"/>
  <c r="O8264" i="1"/>
  <c r="O8263" i="1"/>
  <c r="O8260" i="1"/>
  <c r="O8259" i="1"/>
  <c r="L8245" i="1"/>
  <c r="L8246" i="1" s="1"/>
  <c r="K8229" i="1"/>
  <c r="K8239" i="1" s="1"/>
  <c r="K8240" i="1" s="1"/>
  <c r="K8241" i="1" s="1"/>
  <c r="K8242" i="1" s="1"/>
  <c r="K8243" i="1" s="1"/>
  <c r="K8244" i="1" s="1"/>
  <c r="B8227" i="1"/>
  <c r="A8227" i="1"/>
  <c r="H8189" i="1"/>
  <c r="O8146" i="1"/>
  <c r="O8145" i="1"/>
  <c r="O8144" i="1"/>
  <c r="O8143" i="1"/>
  <c r="O8140" i="1"/>
  <c r="O8139" i="1"/>
  <c r="L8125" i="1"/>
  <c r="L8126" i="1" s="1"/>
  <c r="K8109" i="1"/>
  <c r="K8119" i="1" s="1"/>
  <c r="K8120" i="1" s="1"/>
  <c r="K8121" i="1" s="1"/>
  <c r="K8122" i="1" s="1"/>
  <c r="K8123" i="1" s="1"/>
  <c r="K8124" i="1" s="1"/>
  <c r="K8125" i="1" s="1"/>
  <c r="K8126" i="1" s="1"/>
  <c r="B8107" i="1"/>
  <c r="A8107" i="1"/>
  <c r="H8069" i="1"/>
  <c r="O8026" i="1"/>
  <c r="O8025" i="1"/>
  <c r="O8024" i="1"/>
  <c r="O8023" i="1"/>
  <c r="O8020" i="1"/>
  <c r="O8019" i="1"/>
  <c r="L8005" i="1"/>
  <c r="L8006" i="1" s="1"/>
  <c r="K7989" i="1"/>
  <c r="K7999" i="1" s="1"/>
  <c r="K8000" i="1" s="1"/>
  <c r="K8001" i="1" s="1"/>
  <c r="K8002" i="1" s="1"/>
  <c r="K8003" i="1" s="1"/>
  <c r="K8004" i="1" s="1"/>
  <c r="B7987" i="1"/>
  <c r="A7987" i="1"/>
  <c r="L7949" i="1"/>
  <c r="H7949" i="1"/>
  <c r="O7906" i="1"/>
  <c r="O7905" i="1"/>
  <c r="O7904" i="1"/>
  <c r="O7903" i="1"/>
  <c r="O7900" i="1"/>
  <c r="O7899" i="1"/>
  <c r="L7885" i="1"/>
  <c r="L7886" i="1" s="1"/>
  <c r="K7869" i="1"/>
  <c r="K7879" i="1" s="1"/>
  <c r="K7880" i="1" s="1"/>
  <c r="K7881" i="1" s="1"/>
  <c r="K7882" i="1" s="1"/>
  <c r="K7883" i="1" s="1"/>
  <c r="K7884" i="1" s="1"/>
  <c r="B7867" i="1"/>
  <c r="A7867" i="1"/>
  <c r="L7829" i="1"/>
  <c r="H7829" i="1"/>
  <c r="O7786" i="1"/>
  <c r="O7785" i="1"/>
  <c r="O7784" i="1"/>
  <c r="O7783" i="1"/>
  <c r="O7780" i="1"/>
  <c r="O7779" i="1"/>
  <c r="L7765" i="1"/>
  <c r="L7766" i="1" s="1"/>
  <c r="K7749" i="1"/>
  <c r="K7759" i="1" s="1"/>
  <c r="K7760" i="1" s="1"/>
  <c r="K7761" i="1" s="1"/>
  <c r="K7762" i="1" s="1"/>
  <c r="K7763" i="1" s="1"/>
  <c r="K7764" i="1" s="1"/>
  <c r="K7765" i="1" s="1"/>
  <c r="K7766" i="1" s="1"/>
  <c r="B7747" i="1"/>
  <c r="A7747" i="1"/>
  <c r="L7709" i="1"/>
  <c r="H7709" i="1"/>
  <c r="O7666" i="1"/>
  <c r="O7665" i="1"/>
  <c r="O7664" i="1"/>
  <c r="O7663" i="1"/>
  <c r="O7660" i="1"/>
  <c r="O7659" i="1"/>
  <c r="L7645" i="1"/>
  <c r="L7646" i="1" s="1"/>
  <c r="K7629" i="1"/>
  <c r="K7639" i="1" s="1"/>
  <c r="K7640" i="1" s="1"/>
  <c r="K7641" i="1" s="1"/>
  <c r="K7642" i="1" s="1"/>
  <c r="K7643" i="1" s="1"/>
  <c r="K7644" i="1" s="1"/>
  <c r="B7627" i="1"/>
  <c r="A7627" i="1"/>
  <c r="L7589" i="1"/>
  <c r="H7589" i="1"/>
  <c r="O7546" i="1"/>
  <c r="O7545" i="1"/>
  <c r="O7544" i="1"/>
  <c r="O7543" i="1"/>
  <c r="O7540" i="1"/>
  <c r="O7539" i="1"/>
  <c r="L7525" i="1"/>
  <c r="L7526" i="1" s="1"/>
  <c r="K7509" i="1"/>
  <c r="K7519" i="1" s="1"/>
  <c r="K7520" i="1" s="1"/>
  <c r="K7521" i="1" s="1"/>
  <c r="K7522" i="1" s="1"/>
  <c r="K7523" i="1" s="1"/>
  <c r="K7524" i="1" s="1"/>
  <c r="B7507" i="1"/>
  <c r="A7507" i="1"/>
  <c r="L7469" i="1"/>
  <c r="H7469" i="1"/>
  <c r="O7426" i="1"/>
  <c r="O7425" i="1"/>
  <c r="O7424" i="1"/>
  <c r="O7423" i="1"/>
  <c r="L7422" i="1"/>
  <c r="L8022" i="1" s="1"/>
  <c r="L8622" i="1" s="1"/>
  <c r="O7420" i="1"/>
  <c r="O7419" i="1"/>
  <c r="L7405" i="1"/>
  <c r="L7406" i="1" s="1"/>
  <c r="K7389" i="1"/>
  <c r="K7399" i="1" s="1"/>
  <c r="K7400" i="1" s="1"/>
  <c r="K7401" i="1" s="1"/>
  <c r="K7402" i="1" s="1"/>
  <c r="K7403" i="1" s="1"/>
  <c r="K7404" i="1" s="1"/>
  <c r="B7387" i="1"/>
  <c r="A7387" i="1"/>
  <c r="L7349" i="1"/>
  <c r="H7349" i="1"/>
  <c r="O7306" i="1"/>
  <c r="O7305" i="1"/>
  <c r="O7304" i="1"/>
  <c r="O7303" i="1"/>
  <c r="L7302" i="1"/>
  <c r="L7902" i="1" s="1"/>
  <c r="L8502" i="1" s="1"/>
  <c r="O7300" i="1"/>
  <c r="O7299" i="1"/>
  <c r="L7285" i="1"/>
  <c r="L7286" i="1" s="1"/>
  <c r="K7269" i="1"/>
  <c r="K7279" i="1" s="1"/>
  <c r="K7280" i="1" s="1"/>
  <c r="K7281" i="1" s="1"/>
  <c r="K7282" i="1" s="1"/>
  <c r="K7283" i="1" s="1"/>
  <c r="K7284" i="1" s="1"/>
  <c r="K7285" i="1" s="1"/>
  <c r="K7286" i="1" s="1"/>
  <c r="B7267" i="1"/>
  <c r="A7267" i="1"/>
  <c r="L7260" i="1"/>
  <c r="L7620" i="1" s="1"/>
  <c r="L7980" i="1" s="1"/>
  <c r="L8220" i="1" s="1"/>
  <c r="L8460" i="1" s="1"/>
  <c r="L8700" i="1" s="1"/>
  <c r="L7229" i="1"/>
  <c r="H7229" i="1"/>
  <c r="O7186" i="1"/>
  <c r="O7185" i="1"/>
  <c r="O7184" i="1"/>
  <c r="O7183" i="1"/>
  <c r="L7182" i="1"/>
  <c r="L7782" i="1" s="1"/>
  <c r="L8382" i="1" s="1"/>
  <c r="O7180" i="1"/>
  <c r="O7179" i="1"/>
  <c r="L7165" i="1"/>
  <c r="L7166" i="1" s="1"/>
  <c r="K7149" i="1"/>
  <c r="K7159" i="1" s="1"/>
  <c r="K7160" i="1" s="1"/>
  <c r="K7161" i="1" s="1"/>
  <c r="K7162" i="1" s="1"/>
  <c r="K7163" i="1" s="1"/>
  <c r="K7164" i="1" s="1"/>
  <c r="B7147" i="1"/>
  <c r="A7147" i="1"/>
  <c r="L7140" i="1"/>
  <c r="L7500" i="1" s="1"/>
  <c r="L7860" i="1" s="1"/>
  <c r="L8100" i="1" s="1"/>
  <c r="L8340" i="1" s="1"/>
  <c r="L8580" i="1" s="1"/>
  <c r="L8820" i="1" s="1"/>
  <c r="L7109" i="1"/>
  <c r="H7109" i="1"/>
  <c r="O7066" i="1"/>
  <c r="O7065" i="1"/>
  <c r="O7064" i="1"/>
  <c r="O7063" i="1"/>
  <c r="L7062" i="1"/>
  <c r="L7662" i="1" s="1"/>
  <c r="L8262" i="1" s="1"/>
  <c r="O7060" i="1"/>
  <c r="O7059" i="1"/>
  <c r="N7057" i="1"/>
  <c r="N7297" i="1" s="1"/>
  <c r="N7537" i="1" s="1"/>
  <c r="N7777" i="1" s="1"/>
  <c r="N8017" i="1" s="1"/>
  <c r="N8257" i="1" s="1"/>
  <c r="N8497" i="1" s="1"/>
  <c r="N8737" i="1" s="1"/>
  <c r="H7057" i="1"/>
  <c r="H7297" i="1" s="1"/>
  <c r="L7045" i="1"/>
  <c r="L7046" i="1" s="1"/>
  <c r="K7029" i="1"/>
  <c r="K7039" i="1" s="1"/>
  <c r="K7040" i="1" s="1"/>
  <c r="K7041" i="1" s="1"/>
  <c r="K7042" i="1" s="1"/>
  <c r="K7043" i="1" s="1"/>
  <c r="K7044" i="1" s="1"/>
  <c r="B7027" i="1"/>
  <c r="A7027" i="1"/>
  <c r="L7020" i="1"/>
  <c r="L7380" i="1" s="1"/>
  <c r="L7740" i="1" s="1"/>
  <c r="L6988" i="1"/>
  <c r="H6988" i="1"/>
  <c r="O6946" i="1"/>
  <c r="O6945" i="1"/>
  <c r="O6944" i="1"/>
  <c r="O6943" i="1"/>
  <c r="L6942" i="1"/>
  <c r="L7542" i="1" s="1"/>
  <c r="L8142" i="1" s="1"/>
  <c r="L8742" i="1" s="1"/>
  <c r="O6940" i="1"/>
  <c r="O6939" i="1"/>
  <c r="N6937" i="1"/>
  <c r="N7177" i="1" s="1"/>
  <c r="N7417" i="1" s="1"/>
  <c r="N7657" i="1" s="1"/>
  <c r="N7897" i="1" s="1"/>
  <c r="N8137" i="1" s="1"/>
  <c r="N8377" i="1" s="1"/>
  <c r="N8617" i="1" s="1"/>
  <c r="H6937" i="1"/>
  <c r="H7177" i="1" s="1"/>
  <c r="H7417" i="1" s="1"/>
  <c r="O6931" i="1"/>
  <c r="O6929" i="1"/>
  <c r="L6925" i="1"/>
  <c r="L6926" i="1" s="1"/>
  <c r="K6909" i="1"/>
  <c r="K6919" i="1" s="1"/>
  <c r="K6920" i="1" s="1"/>
  <c r="K6921" i="1" s="1"/>
  <c r="K6922" i="1" s="1"/>
  <c r="K6923" i="1" s="1"/>
  <c r="K6924" i="1" s="1"/>
  <c r="B6907" i="1"/>
  <c r="A6907" i="1"/>
  <c r="N6868" i="1"/>
  <c r="N6988" i="1" s="1"/>
  <c r="N6959" i="1"/>
  <c r="O6826" i="1"/>
  <c r="O6825" i="1"/>
  <c r="O6824" i="1"/>
  <c r="O6823" i="1"/>
  <c r="O6820" i="1"/>
  <c r="O6819" i="1"/>
  <c r="L6805" i="1"/>
  <c r="L6806" i="1" s="1"/>
  <c r="K6789" i="1"/>
  <c r="K6791" i="1" s="1"/>
  <c r="B6787" i="1"/>
  <c r="A6787" i="1"/>
  <c r="H6757" i="1"/>
  <c r="K6752" i="1"/>
  <c r="K7391" i="1" l="1"/>
  <c r="K7991" i="1"/>
  <c r="K7631" i="1"/>
  <c r="K6799" i="1"/>
  <c r="K6800" i="1" s="1"/>
  <c r="K6801" i="1" s="1"/>
  <c r="K6802" i="1" s="1"/>
  <c r="K6803" i="1" s="1"/>
  <c r="K6804" i="1" s="1"/>
  <c r="K6805" i="1" s="1"/>
  <c r="K6806" i="1" s="1"/>
  <c r="K6809" i="1" s="1"/>
  <c r="K6811" i="1" s="1"/>
  <c r="K6911" i="1"/>
  <c r="K8711" i="1"/>
  <c r="K8591" i="1"/>
  <c r="K9349" i="1"/>
  <c r="K9558" i="1"/>
  <c r="K9559" i="1" s="1"/>
  <c r="K9560" i="1" s="1"/>
  <c r="K9561" i="1" s="1"/>
  <c r="K9562" i="1" s="1"/>
  <c r="K9563" i="1" s="1"/>
  <c r="K9564" i="1" s="1"/>
  <c r="K9451" i="1"/>
  <c r="K6925" i="1"/>
  <c r="K6926" i="1" s="1"/>
  <c r="K6929" i="1"/>
  <c r="N8039" i="1"/>
  <c r="N7919" i="1"/>
  <c r="K7165" i="1"/>
  <c r="K7166" i="1" s="1"/>
  <c r="K7169" i="1"/>
  <c r="K7170" i="1" s="1"/>
  <c r="K7171" i="1" s="1"/>
  <c r="K7173" i="1" s="1"/>
  <c r="K7174" i="1" s="1"/>
  <c r="K7175" i="1" s="1"/>
  <c r="K7177" i="1" s="1"/>
  <c r="K7182" i="1" s="1"/>
  <c r="K7188" i="1" s="1"/>
  <c r="K7190" i="1" s="1"/>
  <c r="K7191" i="1" s="1"/>
  <c r="H7679" i="1"/>
  <c r="H7799" i="1"/>
  <c r="H7919" i="1"/>
  <c r="H7199" i="1"/>
  <c r="H7559" i="1"/>
  <c r="H7319" i="1"/>
  <c r="H7439" i="1"/>
  <c r="K7409" i="1"/>
  <c r="K7410" i="1" s="1"/>
  <c r="K7411" i="1" s="1"/>
  <c r="K7413" i="1" s="1"/>
  <c r="K7414" i="1" s="1"/>
  <c r="K7415" i="1" s="1"/>
  <c r="K7417" i="1" s="1"/>
  <c r="K7422" i="1" s="1"/>
  <c r="K7428" i="1" s="1"/>
  <c r="K7430" i="1" s="1"/>
  <c r="K7405" i="1"/>
  <c r="K7406" i="1" s="1"/>
  <c r="K7045" i="1"/>
  <c r="K7046" i="1" s="1"/>
  <c r="K7049" i="1"/>
  <c r="K7050" i="1" s="1"/>
  <c r="K7051" i="1" s="1"/>
  <c r="K7053" i="1" s="1"/>
  <c r="K7054" i="1" s="1"/>
  <c r="K7055" i="1" s="1"/>
  <c r="K7057" i="1" s="1"/>
  <c r="K7062" i="1" s="1"/>
  <c r="K7068" i="1" s="1"/>
  <c r="K7070" i="1" s="1"/>
  <c r="K7289" i="1"/>
  <c r="K7290" i="1" s="1"/>
  <c r="K7291" i="1" s="1"/>
  <c r="K7293" i="1" s="1"/>
  <c r="K7294" i="1" s="1"/>
  <c r="K7295" i="1" s="1"/>
  <c r="K7297" i="1" s="1"/>
  <c r="K7302" i="1" s="1"/>
  <c r="K7308" i="1" s="1"/>
  <c r="K7310" i="1" s="1"/>
  <c r="K7311" i="1" s="1"/>
  <c r="H6959" i="1"/>
  <c r="H7537" i="1"/>
  <c r="N7559" i="1"/>
  <c r="N8639" i="1" s="1"/>
  <c r="N7679" i="1"/>
  <c r="N8759" i="1" s="1"/>
  <c r="N7799" i="1"/>
  <c r="N7079" i="1"/>
  <c r="N8159" i="1" s="1"/>
  <c r="N7199" i="1"/>
  <c r="N8279" i="1" s="1"/>
  <c r="N7319" i="1"/>
  <c r="N8399" i="1" s="1"/>
  <c r="N7439" i="1"/>
  <c r="N8519" i="1" s="1"/>
  <c r="N8789" i="1"/>
  <c r="N8669" i="1"/>
  <c r="N8429" i="1"/>
  <c r="N8549" i="1"/>
  <c r="N8309" i="1"/>
  <c r="N8069" i="1"/>
  <c r="N8189" i="1"/>
  <c r="N7589" i="1"/>
  <c r="N7709" i="1"/>
  <c r="N7829" i="1"/>
  <c r="N7949" i="1"/>
  <c r="N7109" i="1"/>
  <c r="N7229" i="1"/>
  <c r="N7349" i="1"/>
  <c r="N7469" i="1"/>
  <c r="H7079" i="1"/>
  <c r="H7657" i="1"/>
  <c r="K7769" i="1"/>
  <c r="K7770" i="1" s="1"/>
  <c r="K7771" i="1" s="1"/>
  <c r="K7773" i="1" s="1"/>
  <c r="K7774" i="1" s="1"/>
  <c r="K7775" i="1" s="1"/>
  <c r="K7777" i="1" s="1"/>
  <c r="K7782" i="1" s="1"/>
  <c r="K7788" i="1" s="1"/>
  <c r="K7790" i="1" s="1"/>
  <c r="K7791" i="1" s="1"/>
  <c r="K7271" i="1"/>
  <c r="K7151" i="1"/>
  <c r="L8789" i="1"/>
  <c r="L8669" i="1"/>
  <c r="L8429" i="1"/>
  <c r="L8549" i="1"/>
  <c r="L8189" i="1"/>
  <c r="L8309" i="1"/>
  <c r="L8069" i="1"/>
  <c r="K7525" i="1"/>
  <c r="K7526" i="1" s="1"/>
  <c r="K7529" i="1"/>
  <c r="K7530" i="1" s="1"/>
  <c r="K7531" i="1" s="1"/>
  <c r="K7533" i="1" s="1"/>
  <c r="K7534" i="1" s="1"/>
  <c r="K7535" i="1" s="1"/>
  <c r="K7537" i="1" s="1"/>
  <c r="K7542" i="1" s="1"/>
  <c r="K7548" i="1" s="1"/>
  <c r="K7550" i="1" s="1"/>
  <c r="K7551" i="1" s="1"/>
  <c r="K7031" i="1"/>
  <c r="K7645" i="1"/>
  <c r="K7646" i="1" s="1"/>
  <c r="K7649" i="1"/>
  <c r="K7650" i="1" s="1"/>
  <c r="K7651" i="1" s="1"/>
  <c r="K7653" i="1" s="1"/>
  <c r="K7654" i="1" s="1"/>
  <c r="K7655" i="1" s="1"/>
  <c r="K7657" i="1" s="1"/>
  <c r="K7662" i="1" s="1"/>
  <c r="K7668" i="1" s="1"/>
  <c r="K7670" i="1" s="1"/>
  <c r="K7671" i="1" s="1"/>
  <c r="K7889" i="1"/>
  <c r="K7890" i="1" s="1"/>
  <c r="K7891" i="1" s="1"/>
  <c r="K7893" i="1" s="1"/>
  <c r="K7894" i="1" s="1"/>
  <c r="K7895" i="1" s="1"/>
  <c r="K7897" i="1" s="1"/>
  <c r="K7902" i="1" s="1"/>
  <c r="K7908" i="1" s="1"/>
  <c r="K7910" i="1" s="1"/>
  <c r="K7911" i="1" s="1"/>
  <c r="K7885" i="1"/>
  <c r="K7886" i="1" s="1"/>
  <c r="K8005" i="1"/>
  <c r="K8006" i="1" s="1"/>
  <c r="K8009" i="1"/>
  <c r="K8010" i="1" s="1"/>
  <c r="K8011" i="1" s="1"/>
  <c r="K8013" i="1" s="1"/>
  <c r="K8014" i="1" s="1"/>
  <c r="K8015" i="1" s="1"/>
  <c r="K8017" i="1" s="1"/>
  <c r="K8022" i="1" s="1"/>
  <c r="K8028" i="1" s="1"/>
  <c r="K8030" i="1" s="1"/>
  <c r="K8031" i="1" s="1"/>
  <c r="K7871" i="1"/>
  <c r="K8129" i="1"/>
  <c r="K8130" i="1" s="1"/>
  <c r="K8131" i="1" s="1"/>
  <c r="K8133" i="1" s="1"/>
  <c r="K8134" i="1" s="1"/>
  <c r="K8135" i="1" s="1"/>
  <c r="K8137" i="1" s="1"/>
  <c r="K8142" i="1" s="1"/>
  <c r="K8148" i="1" s="1"/>
  <c r="K8150" i="1" s="1"/>
  <c r="K8151" i="1" s="1"/>
  <c r="K7751" i="1"/>
  <c r="K7511" i="1"/>
  <c r="K8489" i="1"/>
  <c r="K8490" i="1" s="1"/>
  <c r="K8491" i="1" s="1"/>
  <c r="K8493" i="1" s="1"/>
  <c r="K8494" i="1" s="1"/>
  <c r="K8495" i="1" s="1"/>
  <c r="K8497" i="1" s="1"/>
  <c r="K8502" i="1" s="1"/>
  <c r="K8508" i="1" s="1"/>
  <c r="K8510" i="1" s="1"/>
  <c r="K8511" i="1" s="1"/>
  <c r="K8485" i="1"/>
  <c r="K8486" i="1" s="1"/>
  <c r="K8111" i="1"/>
  <c r="K8249" i="1"/>
  <c r="K8250" i="1" s="1"/>
  <c r="K8251" i="1" s="1"/>
  <c r="K8253" i="1" s="1"/>
  <c r="K8254" i="1" s="1"/>
  <c r="K8255" i="1" s="1"/>
  <c r="K8257" i="1" s="1"/>
  <c r="K8262" i="1" s="1"/>
  <c r="K8268" i="1" s="1"/>
  <c r="K8270" i="1" s="1"/>
  <c r="K8271" i="1" s="1"/>
  <c r="K8245" i="1"/>
  <c r="K8246" i="1" s="1"/>
  <c r="K8369" i="1"/>
  <c r="K8370" i="1" s="1"/>
  <c r="K8371" i="1" s="1"/>
  <c r="K8373" i="1" s="1"/>
  <c r="K8374" i="1" s="1"/>
  <c r="K8375" i="1" s="1"/>
  <c r="K8377" i="1" s="1"/>
  <c r="K8382" i="1" s="1"/>
  <c r="K8388" i="1" s="1"/>
  <c r="K8390" i="1" s="1"/>
  <c r="K8391" i="1" s="1"/>
  <c r="K8365" i="1"/>
  <c r="K8366" i="1" s="1"/>
  <c r="K8351" i="1"/>
  <c r="K8231" i="1"/>
  <c r="K8609" i="1"/>
  <c r="K8610" i="1" s="1"/>
  <c r="K8611" i="1" s="1"/>
  <c r="K8613" i="1" s="1"/>
  <c r="K8614" i="1" s="1"/>
  <c r="K8615" i="1" s="1"/>
  <c r="K8617" i="1" s="1"/>
  <c r="K8622" i="1" s="1"/>
  <c r="K8628" i="1" s="1"/>
  <c r="K8630" i="1" s="1"/>
  <c r="K8631" i="1" s="1"/>
  <c r="K8605" i="1"/>
  <c r="K8606" i="1" s="1"/>
  <c r="K8471" i="1"/>
  <c r="K8729" i="1"/>
  <c r="K8730" i="1" s="1"/>
  <c r="K8731" i="1" s="1"/>
  <c r="K8733" i="1" s="1"/>
  <c r="K8734" i="1" s="1"/>
  <c r="K8735" i="1" s="1"/>
  <c r="K8737" i="1" s="1"/>
  <c r="K8742" i="1" s="1"/>
  <c r="K8748" i="1" s="1"/>
  <c r="K8750" i="1" s="1"/>
  <c r="K8751" i="1" s="1"/>
  <c r="K8849" i="1"/>
  <c r="K8845" i="1"/>
  <c r="K8846" i="1" s="1"/>
  <c r="N9573" i="1"/>
  <c r="N9471" i="1"/>
  <c r="N9369" i="1"/>
  <c r="N9267" i="1"/>
  <c r="N9165" i="1"/>
  <c r="N9063" i="1"/>
  <c r="N8959" i="1"/>
  <c r="K8953" i="1"/>
  <c r="K8949" i="1"/>
  <c r="K8950" i="1" s="1"/>
  <c r="K9057" i="1"/>
  <c r="K9053" i="1"/>
  <c r="K9054" i="1" s="1"/>
  <c r="H8959" i="1"/>
  <c r="K9247" i="1"/>
  <c r="K9252" i="1"/>
  <c r="K9253" i="1" s="1"/>
  <c r="K9254" i="1" s="1"/>
  <c r="K9255" i="1" s="1"/>
  <c r="K9256" i="1" s="1"/>
  <c r="H9675" i="1"/>
  <c r="H9573" i="1"/>
  <c r="H9267" i="1"/>
  <c r="H9471" i="1"/>
  <c r="H9063" i="1"/>
  <c r="H9369" i="1"/>
  <c r="H9165" i="1"/>
  <c r="K9150" i="1"/>
  <c r="K9151" i="1" s="1"/>
  <c r="K9152" i="1" s="1"/>
  <c r="K9153" i="1" s="1"/>
  <c r="K9154" i="1" s="1"/>
  <c r="K9145" i="1"/>
  <c r="K9465" i="1"/>
  <c r="K9461" i="1"/>
  <c r="K9462" i="1" s="1"/>
  <c r="K9359" i="1"/>
  <c r="K9360" i="1" s="1"/>
  <c r="K9363" i="1"/>
  <c r="K9769" i="1"/>
  <c r="K9770" i="1" s="1"/>
  <c r="K9774" i="1"/>
  <c r="K9773" i="1"/>
  <c r="K9775" i="1" s="1"/>
  <c r="K9777" i="1" s="1"/>
  <c r="K9665" i="1"/>
  <c r="K9666" i="1" s="1"/>
  <c r="K9669" i="1"/>
  <c r="K9655" i="1"/>
  <c r="O9782" i="1"/>
  <c r="Q9781" i="1"/>
  <c r="K9866" i="1"/>
  <c r="K9867" i="1" s="1"/>
  <c r="K9870" i="1"/>
  <c r="N10098" i="1"/>
  <c r="N10001" i="1"/>
  <c r="N9904" i="1"/>
  <c r="H10039" i="1"/>
  <c r="H10136" i="1"/>
  <c r="H9942" i="1"/>
  <c r="N10136" i="1"/>
  <c r="N10039" i="1"/>
  <c r="N10100" i="1"/>
  <c r="N10003" i="1"/>
  <c r="N9906" i="1"/>
  <c r="N10099" i="1"/>
  <c r="N10002" i="1"/>
  <c r="N9942" i="1"/>
  <c r="K9963" i="1"/>
  <c r="K9964" i="1" s="1"/>
  <c r="K9968" i="1"/>
  <c r="K9967" i="1"/>
  <c r="K10064" i="1"/>
  <c r="K10060" i="1"/>
  <c r="K10061" i="1" s="1"/>
  <c r="K10065" i="1"/>
  <c r="K10070" i="1" s="1"/>
  <c r="G10141" i="1"/>
  <c r="K10149" i="1"/>
  <c r="H10149" i="1" s="1"/>
  <c r="G10149" i="1" s="1"/>
  <c r="K10147" i="1"/>
  <c r="K10152" i="1"/>
  <c r="H10152" i="1" s="1"/>
  <c r="G10152" i="1" s="1"/>
  <c r="K10143" i="1"/>
  <c r="K10146" i="1"/>
  <c r="K10151" i="1" s="1"/>
  <c r="H10151" i="1" s="1"/>
  <c r="G10151" i="1" s="1"/>
  <c r="H6456" i="1"/>
  <c r="K6810" i="1" l="1"/>
  <c r="K6813" i="1" s="1"/>
  <c r="K6814" i="1" s="1"/>
  <c r="K6815" i="1" s="1"/>
  <c r="K6817" i="1" s="1"/>
  <c r="K6822" i="1" s="1"/>
  <c r="K6828" i="1" s="1"/>
  <c r="K6830" i="1" s="1"/>
  <c r="K6834" i="1" s="1"/>
  <c r="K9567" i="1"/>
  <c r="K9569" i="1" s="1"/>
  <c r="K9571" i="1" s="1"/>
  <c r="K9872" i="1"/>
  <c r="K9874" i="1"/>
  <c r="K9871" i="1"/>
  <c r="K10068" i="1"/>
  <c r="K10069" i="1"/>
  <c r="K10066" i="1"/>
  <c r="K7795" i="1"/>
  <c r="K7797" i="1" s="1"/>
  <c r="K7798" i="1" s="1"/>
  <c r="K7799" i="1" s="1"/>
  <c r="K7800" i="1" s="1"/>
  <c r="K7801" i="1" s="1"/>
  <c r="K7802" i="1" s="1"/>
  <c r="K7803" i="1" s="1"/>
  <c r="K7804" i="1" s="1"/>
  <c r="K7805" i="1" s="1"/>
  <c r="K7792" i="1"/>
  <c r="K7793" i="1" s="1"/>
  <c r="K7794" i="1" s="1"/>
  <c r="H8159" i="1"/>
  <c r="K9778" i="1"/>
  <c r="K9779" i="1"/>
  <c r="K9786" i="1" s="1"/>
  <c r="K9787" i="1" s="1"/>
  <c r="K9159" i="1"/>
  <c r="K9155" i="1"/>
  <c r="K9156" i="1" s="1"/>
  <c r="K8954" i="1"/>
  <c r="K8955" i="1"/>
  <c r="K8957" i="1" s="1"/>
  <c r="K8155" i="1"/>
  <c r="K8157" i="1" s="1"/>
  <c r="K8158" i="1" s="1"/>
  <c r="K8159" i="1" s="1"/>
  <c r="K8160" i="1" s="1"/>
  <c r="K8161" i="1" s="1"/>
  <c r="K8162" i="1" s="1"/>
  <c r="K8163" i="1" s="1"/>
  <c r="K8164" i="1" s="1"/>
  <c r="K8165" i="1" s="1"/>
  <c r="K8152" i="1"/>
  <c r="K8153" i="1" s="1"/>
  <c r="K8154" i="1" s="1"/>
  <c r="H7897" i="1"/>
  <c r="K9364" i="1"/>
  <c r="K9365" i="1"/>
  <c r="K9367" i="1" s="1"/>
  <c r="K9261" i="1"/>
  <c r="K9257" i="1"/>
  <c r="K9258" i="1" s="1"/>
  <c r="N9675" i="1"/>
  <c r="K8635" i="1"/>
  <c r="K8637" i="1" s="1"/>
  <c r="K8638" i="1" s="1"/>
  <c r="K8639" i="1" s="1"/>
  <c r="K8640" i="1" s="1"/>
  <c r="K8641" i="1" s="1"/>
  <c r="K8642" i="1" s="1"/>
  <c r="K8643" i="1" s="1"/>
  <c r="K8644" i="1" s="1"/>
  <c r="K8645" i="1" s="1"/>
  <c r="K8632" i="1"/>
  <c r="K8633" i="1" s="1"/>
  <c r="K8634" i="1" s="1"/>
  <c r="K8275" i="1"/>
  <c r="K8277" i="1" s="1"/>
  <c r="K8278" i="1" s="1"/>
  <c r="K8279" i="1" s="1"/>
  <c r="K8280" i="1" s="1"/>
  <c r="K8281" i="1" s="1"/>
  <c r="K8282" i="1" s="1"/>
  <c r="K8283" i="1" s="1"/>
  <c r="K8284" i="1" s="1"/>
  <c r="K8285" i="1" s="1"/>
  <c r="K8272" i="1"/>
  <c r="K8273" i="1" s="1"/>
  <c r="K8274" i="1" s="1"/>
  <c r="H8759" i="1"/>
  <c r="K8755" i="1"/>
  <c r="K8757" i="1" s="1"/>
  <c r="K8758" i="1" s="1"/>
  <c r="K8759" i="1" s="1"/>
  <c r="K8760" i="1" s="1"/>
  <c r="K8761" i="1" s="1"/>
  <c r="K8762" i="1" s="1"/>
  <c r="K8763" i="1" s="1"/>
  <c r="K8764" i="1" s="1"/>
  <c r="K8765" i="1" s="1"/>
  <c r="K8752" i="1"/>
  <c r="K8753" i="1" s="1"/>
  <c r="K8754" i="1" s="1"/>
  <c r="K8035" i="1"/>
  <c r="K8037" i="1" s="1"/>
  <c r="K8038" i="1" s="1"/>
  <c r="K8039" i="1" s="1"/>
  <c r="K8040" i="1" s="1"/>
  <c r="K8041" i="1" s="1"/>
  <c r="K8042" i="1" s="1"/>
  <c r="K8043" i="1" s="1"/>
  <c r="K8044" i="1" s="1"/>
  <c r="K8045" i="1" s="1"/>
  <c r="K8032" i="1"/>
  <c r="K8033" i="1" s="1"/>
  <c r="K8034" i="1" s="1"/>
  <c r="H7777" i="1"/>
  <c r="H8039" i="1"/>
  <c r="K7315" i="1"/>
  <c r="K7317" i="1" s="1"/>
  <c r="K7318" i="1" s="1"/>
  <c r="K7319" i="1" s="1"/>
  <c r="K7320" i="1" s="1"/>
  <c r="K7321" i="1" s="1"/>
  <c r="K7322" i="1" s="1"/>
  <c r="K7323" i="1" s="1"/>
  <c r="K7324" i="1" s="1"/>
  <c r="K7325" i="1" s="1"/>
  <c r="K7312" i="1"/>
  <c r="K7313" i="1" s="1"/>
  <c r="K7314" i="1" s="1"/>
  <c r="H8519" i="1"/>
  <c r="K8851" i="1"/>
  <c r="K8853" i="1" s="1"/>
  <c r="K8850" i="1"/>
  <c r="H8399" i="1"/>
  <c r="K7195" i="1"/>
  <c r="K7197" i="1" s="1"/>
  <c r="K7198" i="1" s="1"/>
  <c r="K7199" i="1" s="1"/>
  <c r="K7200" i="1" s="1"/>
  <c r="K7201" i="1" s="1"/>
  <c r="K7202" i="1" s="1"/>
  <c r="K7203" i="1" s="1"/>
  <c r="K7204" i="1" s="1"/>
  <c r="K7205" i="1" s="1"/>
  <c r="K7192" i="1"/>
  <c r="K7193" i="1" s="1"/>
  <c r="K7194" i="1" s="1"/>
  <c r="G10146" i="1"/>
  <c r="K9467" i="1"/>
  <c r="K9466" i="1"/>
  <c r="K9059" i="1"/>
  <c r="K9061" i="1" s="1"/>
  <c r="K9058" i="1"/>
  <c r="K8395" i="1"/>
  <c r="K8397" i="1" s="1"/>
  <c r="K8398" i="1" s="1"/>
  <c r="K8399" i="1" s="1"/>
  <c r="K8400" i="1" s="1"/>
  <c r="K8401" i="1" s="1"/>
  <c r="K8402" i="1" s="1"/>
  <c r="K8403" i="1" s="1"/>
  <c r="K8404" i="1" s="1"/>
  <c r="K8405" i="1" s="1"/>
  <c r="K8392" i="1"/>
  <c r="K8393" i="1" s="1"/>
  <c r="K8394" i="1" s="1"/>
  <c r="K7912" i="1"/>
  <c r="K7913" i="1" s="1"/>
  <c r="K7914" i="1" s="1"/>
  <c r="K7915" i="1"/>
  <c r="K7917" i="1" s="1"/>
  <c r="K7918" i="1" s="1"/>
  <c r="K7919" i="1" s="1"/>
  <c r="K7920" i="1" s="1"/>
  <c r="K7921" i="1" s="1"/>
  <c r="K7922" i="1" s="1"/>
  <c r="K7923" i="1" s="1"/>
  <c r="K7924" i="1" s="1"/>
  <c r="K7925" i="1" s="1"/>
  <c r="K7074" i="1"/>
  <c r="K7071" i="1"/>
  <c r="K7434" i="1"/>
  <c r="K7431" i="1"/>
  <c r="H8639" i="1"/>
  <c r="K6930" i="1"/>
  <c r="Q6929" i="1"/>
  <c r="K9972" i="1"/>
  <c r="K9971" i="1"/>
  <c r="K9980" i="1"/>
  <c r="K9969" i="1"/>
  <c r="K9670" i="1"/>
  <c r="K9671" i="1"/>
  <c r="K9673" i="1" s="1"/>
  <c r="K8515" i="1"/>
  <c r="K8517" i="1" s="1"/>
  <c r="K8518" i="1" s="1"/>
  <c r="K8519" i="1" s="1"/>
  <c r="K8520" i="1" s="1"/>
  <c r="K8521" i="1" s="1"/>
  <c r="K8522" i="1" s="1"/>
  <c r="K8523" i="1" s="1"/>
  <c r="K8524" i="1" s="1"/>
  <c r="K8525" i="1" s="1"/>
  <c r="K8512" i="1"/>
  <c r="K8513" i="1" s="1"/>
  <c r="K8514" i="1" s="1"/>
  <c r="K7675" i="1"/>
  <c r="K7677" i="1" s="1"/>
  <c r="K7678" i="1" s="1"/>
  <c r="K7679" i="1" s="1"/>
  <c r="K7680" i="1" s="1"/>
  <c r="K7681" i="1" s="1"/>
  <c r="K7682" i="1" s="1"/>
  <c r="K7683" i="1" s="1"/>
  <c r="K7684" i="1" s="1"/>
  <c r="K7685" i="1" s="1"/>
  <c r="K7672" i="1"/>
  <c r="K7673" i="1" s="1"/>
  <c r="K7674" i="1" s="1"/>
  <c r="K7555" i="1"/>
  <c r="K7557" i="1" s="1"/>
  <c r="K7558" i="1" s="1"/>
  <c r="K7559" i="1" s="1"/>
  <c r="K7560" i="1" s="1"/>
  <c r="K7561" i="1" s="1"/>
  <c r="K7562" i="1" s="1"/>
  <c r="K7563" i="1" s="1"/>
  <c r="K7564" i="1" s="1"/>
  <c r="K7565" i="1" s="1"/>
  <c r="K7552" i="1"/>
  <c r="K7553" i="1" s="1"/>
  <c r="K7554" i="1" s="1"/>
  <c r="H8279" i="1"/>
  <c r="Q6779" i="1"/>
  <c r="Q6778" i="1"/>
  <c r="Q6777" i="1"/>
  <c r="Q6776" i="1"/>
  <c r="Q6775" i="1"/>
  <c r="Q6774" i="1"/>
  <c r="Q6773" i="1"/>
  <c r="Q6772" i="1"/>
  <c r="Q6771" i="1"/>
  <c r="Q6770" i="1"/>
  <c r="Q6769" i="1"/>
  <c r="Q6768" i="1"/>
  <c r="Q6767" i="1"/>
  <c r="Q6766" i="1"/>
  <c r="Q6765" i="1"/>
  <c r="Q6764" i="1"/>
  <c r="K6760" i="1"/>
  <c r="H6760" i="1" s="1"/>
  <c r="G6760" i="1" s="1"/>
  <c r="K6763" i="1"/>
  <c r="H6763" i="1" s="1"/>
  <c r="G6763" i="1" s="1"/>
  <c r="G6752" i="1"/>
  <c r="B6750" i="1"/>
  <c r="A6750" i="1"/>
  <c r="H6710" i="1"/>
  <c r="H6709" i="1"/>
  <c r="Q6697" i="1"/>
  <c r="Q6696" i="1"/>
  <c r="Q6695" i="1"/>
  <c r="Q6686" i="1"/>
  <c r="Q6685" i="1"/>
  <c r="L6669" i="1"/>
  <c r="Q6663" i="1"/>
  <c r="Q6662" i="1"/>
  <c r="K6655" i="1"/>
  <c r="K6657" i="1" s="1"/>
  <c r="K6660" i="1" s="1"/>
  <c r="K6666" i="1" s="1"/>
  <c r="K6667" i="1" s="1"/>
  <c r="K6668" i="1" s="1"/>
  <c r="K6669" i="1" s="1"/>
  <c r="K6670" i="1" s="1"/>
  <c r="B6653" i="1"/>
  <c r="A6653" i="1"/>
  <c r="H6613" i="1"/>
  <c r="H6612" i="1"/>
  <c r="Q6600" i="1"/>
  <c r="Q6599" i="1"/>
  <c r="Q6598" i="1"/>
  <c r="Q6589" i="1"/>
  <c r="Q6588" i="1"/>
  <c r="L6572" i="1"/>
  <c r="Q6566" i="1"/>
  <c r="Q6565" i="1"/>
  <c r="K6558" i="1"/>
  <c r="K6560" i="1" s="1"/>
  <c r="K6563" i="1" s="1"/>
  <c r="K6569" i="1" s="1"/>
  <c r="K6570" i="1" s="1"/>
  <c r="K6571" i="1" s="1"/>
  <c r="K6572" i="1" s="1"/>
  <c r="K6573" i="1" s="1"/>
  <c r="B6556" i="1"/>
  <c r="A6556" i="1"/>
  <c r="H6516" i="1"/>
  <c r="H6515" i="1"/>
  <c r="Q6503" i="1"/>
  <c r="Q6502" i="1"/>
  <c r="Q6501" i="1"/>
  <c r="Q6492" i="1"/>
  <c r="Q6491" i="1"/>
  <c r="L6475" i="1"/>
  <c r="Q6469" i="1"/>
  <c r="Q6468" i="1"/>
  <c r="K6461" i="1"/>
  <c r="K6463" i="1" s="1"/>
  <c r="K6466" i="1" s="1"/>
  <c r="K6472" i="1" s="1"/>
  <c r="K6473" i="1" s="1"/>
  <c r="K6474" i="1" s="1"/>
  <c r="K6475" i="1" s="1"/>
  <c r="K6476" i="1" s="1"/>
  <c r="K6481" i="1" s="1"/>
  <c r="B6459" i="1"/>
  <c r="A6459" i="1"/>
  <c r="N6456" i="1"/>
  <c r="N6420" i="1"/>
  <c r="N6419" i="1"/>
  <c r="N6418" i="1"/>
  <c r="Q6406" i="1"/>
  <c r="Q6405" i="1"/>
  <c r="Q6404" i="1"/>
  <c r="Q6403" i="1"/>
  <c r="Q6395" i="1"/>
  <c r="Q6394" i="1"/>
  <c r="L6378" i="1"/>
  <c r="Q6372" i="1"/>
  <c r="Q6371" i="1"/>
  <c r="K6364" i="1"/>
  <c r="K6366" i="1" s="1"/>
  <c r="K6369" i="1" s="1"/>
  <c r="K6375" i="1" s="1"/>
  <c r="K6376" i="1" s="1"/>
  <c r="K6377" i="1" s="1"/>
  <c r="K6378" i="1" s="1"/>
  <c r="K6379" i="1" s="1"/>
  <c r="B6362" i="1"/>
  <c r="A6362" i="1"/>
  <c r="L6358" i="1"/>
  <c r="L6341" i="1"/>
  <c r="L6316" i="1"/>
  <c r="L6314" i="1"/>
  <c r="Q6302" i="1"/>
  <c r="Q6301" i="1"/>
  <c r="Q6291" i="1"/>
  <c r="Q6290" i="1"/>
  <c r="L6274" i="1"/>
  <c r="Q6268" i="1"/>
  <c r="Q6267" i="1"/>
  <c r="Q6264" i="1"/>
  <c r="K6262" i="1"/>
  <c r="K6263" i="1" s="1"/>
  <c r="B6260" i="1"/>
  <c r="A6260" i="1"/>
  <c r="L6256" i="1"/>
  <c r="L6239" i="1"/>
  <c r="L6214" i="1"/>
  <c r="L6212" i="1"/>
  <c r="Q6200" i="1"/>
  <c r="Q6199" i="1"/>
  <c r="Q6189" i="1"/>
  <c r="Q6188" i="1"/>
  <c r="L6172" i="1"/>
  <c r="Q6166" i="1"/>
  <c r="Q6165" i="1"/>
  <c r="Q6162" i="1"/>
  <c r="K6160" i="1"/>
  <c r="K6161" i="1" s="1"/>
  <c r="K6169" i="1" s="1"/>
  <c r="K6170" i="1" s="1"/>
  <c r="K6171" i="1" s="1"/>
  <c r="K6172" i="1" s="1"/>
  <c r="K6173" i="1" s="1"/>
  <c r="B6158" i="1"/>
  <c r="A6158" i="1"/>
  <c r="L6154" i="1"/>
  <c r="L6137" i="1"/>
  <c r="L6112" i="1"/>
  <c r="L6110" i="1"/>
  <c r="Q6098" i="1"/>
  <c r="Q6097" i="1"/>
  <c r="Q6087" i="1"/>
  <c r="Q6086" i="1"/>
  <c r="L6070" i="1"/>
  <c r="Q6064" i="1"/>
  <c r="Q6063" i="1"/>
  <c r="Q6060" i="1"/>
  <c r="K6058" i="1"/>
  <c r="K6059" i="1" s="1"/>
  <c r="K6062" i="1" s="1"/>
  <c r="B6056" i="1"/>
  <c r="A6056" i="1"/>
  <c r="L6052" i="1"/>
  <c r="L6035" i="1"/>
  <c r="L6010" i="1"/>
  <c r="L6008" i="1"/>
  <c r="Q5996" i="1"/>
  <c r="Q5995" i="1"/>
  <c r="Q5985" i="1"/>
  <c r="Q5984" i="1"/>
  <c r="L5968" i="1"/>
  <c r="Q5962" i="1"/>
  <c r="Q5961" i="1"/>
  <c r="Q5958" i="1"/>
  <c r="K5956" i="1"/>
  <c r="K5957" i="1" s="1"/>
  <c r="B5954" i="1"/>
  <c r="A5954" i="1"/>
  <c r="L5950" i="1"/>
  <c r="L5933" i="1"/>
  <c r="L5908" i="1"/>
  <c r="L5906" i="1"/>
  <c r="Q5894" i="1"/>
  <c r="Q5893" i="1"/>
  <c r="Q5883" i="1"/>
  <c r="Q5882" i="1"/>
  <c r="L5866" i="1"/>
  <c r="Q5860" i="1"/>
  <c r="Q5859" i="1"/>
  <c r="Q5856" i="1"/>
  <c r="K5854" i="1"/>
  <c r="K5855" i="1" s="1"/>
  <c r="K5858" i="1" s="1"/>
  <c r="B5852" i="1"/>
  <c r="A5852" i="1"/>
  <c r="L5848" i="1"/>
  <c r="L5831" i="1"/>
  <c r="L5806" i="1"/>
  <c r="L5804" i="1"/>
  <c r="Q5792" i="1"/>
  <c r="Q5791" i="1"/>
  <c r="Q5781" i="1"/>
  <c r="Q5780" i="1"/>
  <c r="L5764" i="1"/>
  <c r="Q5758" i="1"/>
  <c r="Q5757" i="1"/>
  <c r="Q5754" i="1"/>
  <c r="K5752" i="1"/>
  <c r="K5753" i="1" s="1"/>
  <c r="B5750" i="1"/>
  <c r="A5750" i="1"/>
  <c r="L5746" i="1"/>
  <c r="L5729" i="1"/>
  <c r="L5704" i="1"/>
  <c r="L5702" i="1"/>
  <c r="Q5690" i="1"/>
  <c r="Q5689" i="1"/>
  <c r="Q5679" i="1"/>
  <c r="Q5678" i="1"/>
  <c r="L5662" i="1"/>
  <c r="Q5656" i="1"/>
  <c r="Q5655" i="1"/>
  <c r="K5648" i="1"/>
  <c r="K5650" i="1" s="1"/>
  <c r="K5653" i="1" s="1"/>
  <c r="K5659" i="1" s="1"/>
  <c r="K5660" i="1" s="1"/>
  <c r="K5661" i="1" s="1"/>
  <c r="K5662" i="1" s="1"/>
  <c r="K5663" i="1" s="1"/>
  <c r="B5646" i="1"/>
  <c r="A5646" i="1"/>
  <c r="L5642" i="1"/>
  <c r="L5625" i="1"/>
  <c r="L5600" i="1"/>
  <c r="L5598" i="1"/>
  <c r="Q5586" i="1"/>
  <c r="Q5585" i="1"/>
  <c r="Q5575" i="1"/>
  <c r="Q5574" i="1"/>
  <c r="L5558" i="1"/>
  <c r="Q5552" i="1"/>
  <c r="Q5551" i="1"/>
  <c r="K5544" i="1"/>
  <c r="K5546" i="1" s="1"/>
  <c r="K5549" i="1" s="1"/>
  <c r="K5555" i="1" s="1"/>
  <c r="K5556" i="1" s="1"/>
  <c r="K5557" i="1" s="1"/>
  <c r="K5558" i="1" s="1"/>
  <c r="K5559" i="1" s="1"/>
  <c r="B5542" i="1"/>
  <c r="A5542" i="1"/>
  <c r="Q5482" i="1"/>
  <c r="Q5481" i="1"/>
  <c r="Q5471" i="1"/>
  <c r="Q5470" i="1"/>
  <c r="L5454" i="1"/>
  <c r="Q5448" i="1"/>
  <c r="Q5447" i="1"/>
  <c r="K5440" i="1"/>
  <c r="K5442" i="1" s="1"/>
  <c r="K5445" i="1" s="1"/>
  <c r="K5451" i="1" s="1"/>
  <c r="K5452" i="1" s="1"/>
  <c r="K5453" i="1" s="1"/>
  <c r="K5454" i="1" s="1"/>
  <c r="K5455" i="1" s="1"/>
  <c r="B5438" i="1"/>
  <c r="A5438" i="1"/>
  <c r="H5400" i="1"/>
  <c r="O5357" i="1"/>
  <c r="O5356" i="1"/>
  <c r="O5355" i="1"/>
  <c r="O5354" i="1"/>
  <c r="O5351" i="1"/>
  <c r="O5350" i="1"/>
  <c r="L5336" i="1"/>
  <c r="L5337" i="1" s="1"/>
  <c r="L5333" i="1"/>
  <c r="K5320" i="1"/>
  <c r="K5330" i="1" s="1"/>
  <c r="K5331" i="1" s="1"/>
  <c r="K5332" i="1" s="1"/>
  <c r="K5333" i="1" s="1"/>
  <c r="K5334" i="1" s="1"/>
  <c r="K5335" i="1" s="1"/>
  <c r="B5318" i="1"/>
  <c r="A5318" i="1"/>
  <c r="H5280" i="1"/>
  <c r="O5237" i="1"/>
  <c r="O5236" i="1"/>
  <c r="O5235" i="1"/>
  <c r="O5234" i="1"/>
  <c r="O5231" i="1"/>
  <c r="O5230" i="1"/>
  <c r="L5216" i="1"/>
  <c r="L5217" i="1" s="1"/>
  <c r="L5213" i="1"/>
  <c r="K5200" i="1"/>
  <c r="K5202" i="1" s="1"/>
  <c r="B5198" i="1"/>
  <c r="A5198" i="1"/>
  <c r="H5160" i="1"/>
  <c r="O5117" i="1"/>
  <c r="O5116" i="1"/>
  <c r="O5115" i="1"/>
  <c r="O5114" i="1"/>
  <c r="O5111" i="1"/>
  <c r="O5110" i="1"/>
  <c r="L5096" i="1"/>
  <c r="L5097" i="1" s="1"/>
  <c r="L5093" i="1"/>
  <c r="K5080" i="1"/>
  <c r="K5090" i="1" s="1"/>
  <c r="K5091" i="1" s="1"/>
  <c r="K5092" i="1" s="1"/>
  <c r="K5093" i="1" s="1"/>
  <c r="K5094" i="1" s="1"/>
  <c r="K5095" i="1" s="1"/>
  <c r="B5078" i="1"/>
  <c r="A5078" i="1"/>
  <c r="H5040" i="1"/>
  <c r="O4997" i="1"/>
  <c r="O4996" i="1"/>
  <c r="O4995" i="1"/>
  <c r="O4994" i="1"/>
  <c r="O4991" i="1"/>
  <c r="O4990" i="1"/>
  <c r="L4976" i="1"/>
  <c r="L4977" i="1" s="1"/>
  <c r="L4973" i="1"/>
  <c r="K4960" i="1"/>
  <c r="K4970" i="1" s="1"/>
  <c r="K4971" i="1" s="1"/>
  <c r="K4972" i="1" s="1"/>
  <c r="K4973" i="1" s="1"/>
  <c r="K4974" i="1" s="1"/>
  <c r="K4975" i="1" s="1"/>
  <c r="B4958" i="1"/>
  <c r="A4958" i="1"/>
  <c r="H4920" i="1"/>
  <c r="O4877" i="1"/>
  <c r="O4876" i="1"/>
  <c r="O4875" i="1"/>
  <c r="O4874" i="1"/>
  <c r="O4871" i="1"/>
  <c r="O4870" i="1"/>
  <c r="L4856" i="1"/>
  <c r="L4857" i="1" s="1"/>
  <c r="L4853" i="1"/>
  <c r="K4840" i="1"/>
  <c r="K4850" i="1" s="1"/>
  <c r="K4851" i="1" s="1"/>
  <c r="K4852" i="1" s="1"/>
  <c r="K4853" i="1" s="1"/>
  <c r="K4854" i="1" s="1"/>
  <c r="K4855" i="1" s="1"/>
  <c r="B4838" i="1"/>
  <c r="A4838" i="1"/>
  <c r="H4800" i="1"/>
  <c r="O4757" i="1"/>
  <c r="O4756" i="1"/>
  <c r="O4755" i="1"/>
  <c r="O4754" i="1"/>
  <c r="O4751" i="1"/>
  <c r="O4750" i="1"/>
  <c r="L4736" i="1"/>
  <c r="L4737" i="1" s="1"/>
  <c r="L4733" i="1"/>
  <c r="K4720" i="1"/>
  <c r="K4730" i="1" s="1"/>
  <c r="K4731" i="1" s="1"/>
  <c r="K4732" i="1" s="1"/>
  <c r="K4733" i="1" s="1"/>
  <c r="K4734" i="1" s="1"/>
  <c r="K4735" i="1" s="1"/>
  <c r="B4718" i="1"/>
  <c r="A4718" i="1"/>
  <c r="H4680" i="1"/>
  <c r="O4637" i="1"/>
  <c r="O4636" i="1"/>
  <c r="O4635" i="1"/>
  <c r="O4634" i="1"/>
  <c r="O4631" i="1"/>
  <c r="O4630" i="1"/>
  <c r="L4616" i="1"/>
  <c r="L4617" i="1" s="1"/>
  <c r="L4613" i="1"/>
  <c r="K4600" i="1"/>
  <c r="K4610" i="1" s="1"/>
  <c r="K4611" i="1" s="1"/>
  <c r="K4612" i="1" s="1"/>
  <c r="K4613" i="1" s="1"/>
  <c r="K4614" i="1" s="1"/>
  <c r="K4615" i="1" s="1"/>
  <c r="B4598" i="1"/>
  <c r="A4598" i="1"/>
  <c r="L4560" i="1"/>
  <c r="H4560" i="1"/>
  <c r="O4517" i="1"/>
  <c r="O4516" i="1"/>
  <c r="O4515" i="1"/>
  <c r="O4514" i="1"/>
  <c r="O4511" i="1"/>
  <c r="O4510" i="1"/>
  <c r="L4496" i="1"/>
  <c r="L4497" i="1" s="1"/>
  <c r="L4493" i="1"/>
  <c r="K4480" i="1"/>
  <c r="K4490" i="1" s="1"/>
  <c r="K4491" i="1" s="1"/>
  <c r="K4492" i="1" s="1"/>
  <c r="K4493" i="1" s="1"/>
  <c r="K4494" i="1" s="1"/>
  <c r="K4495" i="1" s="1"/>
  <c r="B4478" i="1"/>
  <c r="A4478" i="1"/>
  <c r="L4440" i="1"/>
  <c r="H4440" i="1"/>
  <c r="O4397" i="1"/>
  <c r="O4396" i="1"/>
  <c r="O4395" i="1"/>
  <c r="O4394" i="1"/>
  <c r="O4391" i="1"/>
  <c r="O4390" i="1"/>
  <c r="L4376" i="1"/>
  <c r="L4377" i="1" s="1"/>
  <c r="L4373" i="1"/>
  <c r="K4360" i="1"/>
  <c r="K4370" i="1" s="1"/>
  <c r="K4371" i="1" s="1"/>
  <c r="K4372" i="1" s="1"/>
  <c r="K4373" i="1" s="1"/>
  <c r="K4374" i="1" s="1"/>
  <c r="K4375" i="1" s="1"/>
  <c r="B4358" i="1"/>
  <c r="A4358" i="1"/>
  <c r="L4320" i="1"/>
  <c r="H4320" i="1"/>
  <c r="O4277" i="1"/>
  <c r="O4276" i="1"/>
  <c r="O4275" i="1"/>
  <c r="O4274" i="1"/>
  <c r="O4271" i="1"/>
  <c r="O4270" i="1"/>
  <c r="L4256" i="1"/>
  <c r="L4257" i="1" s="1"/>
  <c r="L4253" i="1"/>
  <c r="K4240" i="1"/>
  <c r="K4250" i="1" s="1"/>
  <c r="K4251" i="1" s="1"/>
  <c r="K4252" i="1" s="1"/>
  <c r="K4253" i="1" s="1"/>
  <c r="K4254" i="1" s="1"/>
  <c r="K4255" i="1" s="1"/>
  <c r="B4238" i="1"/>
  <c r="A4238" i="1"/>
  <c r="L4200" i="1"/>
  <c r="H4200" i="1"/>
  <c r="O4157" i="1"/>
  <c r="O4156" i="1"/>
  <c r="O4155" i="1"/>
  <c r="O4154" i="1"/>
  <c r="O4151" i="1"/>
  <c r="O4150" i="1"/>
  <c r="L4136" i="1"/>
  <c r="L4137" i="1" s="1"/>
  <c r="L4133" i="1"/>
  <c r="K4120" i="1"/>
  <c r="K4130" i="1" s="1"/>
  <c r="K4131" i="1" s="1"/>
  <c r="K4132" i="1" s="1"/>
  <c r="K4133" i="1" s="1"/>
  <c r="K4134" i="1" s="1"/>
  <c r="K4135" i="1" s="1"/>
  <c r="B4118" i="1"/>
  <c r="A4118" i="1"/>
  <c r="L4080" i="1"/>
  <c r="H4080" i="1"/>
  <c r="O4037" i="1"/>
  <c r="O4036" i="1"/>
  <c r="O4035" i="1"/>
  <c r="O4034" i="1"/>
  <c r="O4031" i="1"/>
  <c r="O4030" i="1"/>
  <c r="L4016" i="1"/>
  <c r="L4017" i="1" s="1"/>
  <c r="L4013" i="1"/>
  <c r="K4000" i="1"/>
  <c r="K4010" i="1" s="1"/>
  <c r="K4011" i="1" s="1"/>
  <c r="K4012" i="1" s="1"/>
  <c r="K4013" i="1" s="1"/>
  <c r="K4014" i="1" s="1"/>
  <c r="K4015" i="1" s="1"/>
  <c r="B3998" i="1"/>
  <c r="A3998" i="1"/>
  <c r="L3960" i="1"/>
  <c r="H3960" i="1"/>
  <c r="O3917" i="1"/>
  <c r="O3916" i="1"/>
  <c r="O3915" i="1"/>
  <c r="O3914" i="1"/>
  <c r="O3911" i="1"/>
  <c r="O3910" i="1"/>
  <c r="L3896" i="1"/>
  <c r="L3897" i="1" s="1"/>
  <c r="L3893" i="1"/>
  <c r="K3880" i="1"/>
  <c r="K3890" i="1" s="1"/>
  <c r="K3891" i="1" s="1"/>
  <c r="K3892" i="1" s="1"/>
  <c r="K3893" i="1" s="1"/>
  <c r="K3894" i="1" s="1"/>
  <c r="K3895" i="1" s="1"/>
  <c r="B3878" i="1"/>
  <c r="A3878" i="1"/>
  <c r="L3840" i="1"/>
  <c r="H3840" i="1"/>
  <c r="O3797" i="1"/>
  <c r="O3796" i="1"/>
  <c r="O3795" i="1"/>
  <c r="O3794" i="1"/>
  <c r="O3791" i="1"/>
  <c r="O3790" i="1"/>
  <c r="L3776" i="1"/>
  <c r="L3777" i="1" s="1"/>
  <c r="L3773" i="1"/>
  <c r="K3760" i="1"/>
  <c r="K3770" i="1" s="1"/>
  <c r="K3771" i="1" s="1"/>
  <c r="K3772" i="1" s="1"/>
  <c r="K3773" i="1" s="1"/>
  <c r="K3774" i="1" s="1"/>
  <c r="K3775" i="1" s="1"/>
  <c r="B3758" i="1"/>
  <c r="A3758" i="1"/>
  <c r="L3720" i="1"/>
  <c r="H3720" i="1"/>
  <c r="O3677" i="1"/>
  <c r="O3676" i="1"/>
  <c r="O3675" i="1"/>
  <c r="O3674" i="1"/>
  <c r="O3671" i="1"/>
  <c r="O3670" i="1"/>
  <c r="N3668" i="1"/>
  <c r="N3908" i="1" s="1"/>
  <c r="N4148" i="1" s="1"/>
  <c r="N4388" i="1" s="1"/>
  <c r="N4628" i="1" s="1"/>
  <c r="N4868" i="1" s="1"/>
  <c r="N5108" i="1" s="1"/>
  <c r="N5348" i="1" s="1"/>
  <c r="H3668" i="1"/>
  <c r="L3656" i="1"/>
  <c r="L3657" i="1" s="1"/>
  <c r="L3653" i="1"/>
  <c r="K3640" i="1"/>
  <c r="K3642" i="1" s="1"/>
  <c r="B3638" i="1"/>
  <c r="A3638" i="1"/>
  <c r="L3631" i="1"/>
  <c r="L3991" i="1" s="1"/>
  <c r="L4351" i="1" s="1"/>
  <c r="L3599" i="1"/>
  <c r="H3599" i="1"/>
  <c r="O3557" i="1"/>
  <c r="O3556" i="1"/>
  <c r="O3555" i="1"/>
  <c r="O3554" i="1"/>
  <c r="L3553" i="1"/>
  <c r="L4153" i="1" s="1"/>
  <c r="L4753" i="1" s="1"/>
  <c r="L5353" i="1" s="1"/>
  <c r="O3551" i="1"/>
  <c r="O3550" i="1"/>
  <c r="N3548" i="1"/>
  <c r="N3788" i="1" s="1"/>
  <c r="N4028" i="1" s="1"/>
  <c r="N4268" i="1" s="1"/>
  <c r="N4508" i="1" s="1"/>
  <c r="N4748" i="1" s="1"/>
  <c r="N4988" i="1" s="1"/>
  <c r="N5228" i="1" s="1"/>
  <c r="H3548" i="1"/>
  <c r="H3788" i="1" s="1"/>
  <c r="L3536" i="1"/>
  <c r="L3537" i="1" s="1"/>
  <c r="L3533" i="1"/>
  <c r="K3520" i="1"/>
  <c r="K3530" i="1" s="1"/>
  <c r="K3531" i="1" s="1"/>
  <c r="K3532" i="1" s="1"/>
  <c r="K3533" i="1" s="1"/>
  <c r="K3534" i="1" s="1"/>
  <c r="K3535" i="1" s="1"/>
  <c r="B3518" i="1"/>
  <c r="A3518" i="1"/>
  <c r="L3871" i="1"/>
  <c r="L4231" i="1" s="1"/>
  <c r="L4591" i="1" s="1"/>
  <c r="L4831" i="1" s="1"/>
  <c r="L5071" i="1" s="1"/>
  <c r="L5311" i="1" s="1"/>
  <c r="N3479" i="1"/>
  <c r="N3599" i="1" s="1"/>
  <c r="O3437" i="1"/>
  <c r="O3436" i="1"/>
  <c r="O3435" i="1"/>
  <c r="O3434" i="1"/>
  <c r="L3913" i="1"/>
  <c r="L4513" i="1" s="1"/>
  <c r="L5113" i="1" s="1"/>
  <c r="O3431" i="1"/>
  <c r="O3430" i="1"/>
  <c r="L3416" i="1"/>
  <c r="L3417" i="1" s="1"/>
  <c r="K3400" i="1"/>
  <c r="K3410" i="1" s="1"/>
  <c r="K3411" i="1" s="1"/>
  <c r="K3412" i="1" s="1"/>
  <c r="K3413" i="1" s="1"/>
  <c r="K3414" i="1" s="1"/>
  <c r="K3415" i="1" s="1"/>
  <c r="K3416" i="1" s="1"/>
  <c r="K3417" i="1" s="1"/>
  <c r="K3421" i="1" s="1"/>
  <c r="K3424" i="1" s="1"/>
  <c r="K3425" i="1" s="1"/>
  <c r="K3426" i="1" s="1"/>
  <c r="K3428" i="1" s="1"/>
  <c r="K3433" i="1" s="1"/>
  <c r="K3439" i="1" s="1"/>
  <c r="K3441" i="1" s="1"/>
  <c r="B3398" i="1"/>
  <c r="A3398" i="1"/>
  <c r="H8854" i="1"/>
  <c r="I404" i="3"/>
  <c r="N8927" i="1" s="1"/>
  <c r="M404" i="3"/>
  <c r="N9843" i="1" s="1"/>
  <c r="E404" i="3"/>
  <c r="N6900" i="1" s="1"/>
  <c r="H6905" i="1"/>
  <c r="H6904" i="1"/>
  <c r="H6902" i="1"/>
  <c r="H6851" i="1"/>
  <c r="H6813" i="1"/>
  <c r="H6814" i="1"/>
  <c r="P416" i="3"/>
  <c r="O416" i="3"/>
  <c r="Q415" i="3"/>
  <c r="N10152" i="1" s="1"/>
  <c r="O10152" i="1" s="1"/>
  <c r="Q10152" i="1" s="1"/>
  <c r="Q414" i="3"/>
  <c r="N10151" i="1" s="1"/>
  <c r="O10151" i="1" s="1"/>
  <c r="Q10151" i="1" s="1"/>
  <c r="Q413" i="3"/>
  <c r="N10150" i="1" s="1"/>
  <c r="O10150" i="1" s="1"/>
  <c r="Q10150" i="1" s="1"/>
  <c r="Q412" i="3"/>
  <c r="N10149" i="1" s="1"/>
  <c r="O10149" i="1" s="1"/>
  <c r="Q10149" i="1" s="1"/>
  <c r="Q410" i="3"/>
  <c r="N10146" i="1" s="1"/>
  <c r="E407" i="3"/>
  <c r="N6905" i="1" s="1"/>
  <c r="H6867" i="1"/>
  <c r="H6861" i="1"/>
  <c r="H6860" i="1"/>
  <c r="H6859" i="1"/>
  <c r="H6857" i="1"/>
  <c r="H8893" i="1"/>
  <c r="H6846" i="1"/>
  <c r="H6844" i="1"/>
  <c r="H6843" i="1"/>
  <c r="E316" i="3"/>
  <c r="I305" i="3"/>
  <c r="N8854" i="1" s="1"/>
  <c r="H5503" i="1"/>
  <c r="H5607" i="1" s="1"/>
  <c r="H5504" i="1"/>
  <c r="H5608" i="1" s="1"/>
  <c r="H5466" i="1"/>
  <c r="H5465" i="1"/>
  <c r="H5464" i="1"/>
  <c r="M264" i="3"/>
  <c r="N6454" i="1" s="1"/>
  <c r="I264" i="3"/>
  <c r="N5538" i="1" s="1"/>
  <c r="E264" i="3"/>
  <c r="N3511" i="1" s="1"/>
  <c r="C264" i="3"/>
  <c r="H3511" i="1" s="1"/>
  <c r="K9568" i="1" l="1"/>
  <c r="K6831" i="1"/>
  <c r="K6835" i="1" s="1"/>
  <c r="K6837" i="1" s="1"/>
  <c r="K6838" i="1" s="1"/>
  <c r="K6839" i="1" s="1"/>
  <c r="K6840" i="1" s="1"/>
  <c r="K6841" i="1" s="1"/>
  <c r="K6842" i="1" s="1"/>
  <c r="K6843" i="1" s="1"/>
  <c r="K6844" i="1" s="1"/>
  <c r="K6845" i="1" s="1"/>
  <c r="O10146" i="1"/>
  <c r="O10147" i="1" s="1"/>
  <c r="Q10147" i="1" s="1"/>
  <c r="I329" i="3"/>
  <c r="N8893" i="1" s="1"/>
  <c r="N8997" i="1" s="1"/>
  <c r="K4482" i="1"/>
  <c r="G404" i="3"/>
  <c r="H8927" i="1" s="1"/>
  <c r="H9031" i="1" s="1"/>
  <c r="H9339" i="1" s="1"/>
  <c r="H9645" i="1" s="1"/>
  <c r="K264" i="3"/>
  <c r="H6454" i="1" s="1"/>
  <c r="K4722" i="1"/>
  <c r="K4002" i="1"/>
  <c r="N3631" i="1"/>
  <c r="N3751" i="1"/>
  <c r="G264" i="3"/>
  <c r="H5538" i="1" s="1"/>
  <c r="H5642" i="1" s="1"/>
  <c r="H5950" i="1" s="1"/>
  <c r="N7140" i="1"/>
  <c r="N8700" i="1"/>
  <c r="N7860" i="1"/>
  <c r="N8820" i="1"/>
  <c r="N7980" i="1"/>
  <c r="N8460" i="1"/>
  <c r="N7500" i="1"/>
  <c r="N8580" i="1"/>
  <c r="N8220" i="1"/>
  <c r="N7620" i="1"/>
  <c r="N7260" i="1"/>
  <c r="N8340" i="1"/>
  <c r="N7380" i="1"/>
  <c r="N8100" i="1"/>
  <c r="N7020" i="1"/>
  <c r="N7740" i="1"/>
  <c r="K4962" i="1"/>
  <c r="K5322" i="1"/>
  <c r="N10134" i="1"/>
  <c r="N10037" i="1"/>
  <c r="N9940" i="1"/>
  <c r="K404" i="3"/>
  <c r="H9843" i="1" s="1"/>
  <c r="H10134" i="1" s="1"/>
  <c r="T354" i="3"/>
  <c r="V354" i="3" s="1"/>
  <c r="N9441" i="1"/>
  <c r="N9135" i="1"/>
  <c r="N9031" i="1"/>
  <c r="N9237" i="1"/>
  <c r="N9339" i="1"/>
  <c r="N9543" i="1"/>
  <c r="N9645" i="1"/>
  <c r="N9747" i="1"/>
  <c r="K3762" i="1"/>
  <c r="K4242" i="1"/>
  <c r="H10037" i="1"/>
  <c r="J416" i="3"/>
  <c r="H7653" i="1"/>
  <c r="H8493" i="1" s="1"/>
  <c r="H7293" i="1"/>
  <c r="H8133" i="1" s="1"/>
  <c r="H7413" i="1"/>
  <c r="H8253" i="1" s="1"/>
  <c r="H7053" i="1"/>
  <c r="H7893" i="1" s="1"/>
  <c r="H6933" i="1"/>
  <c r="H7773" i="1" s="1"/>
  <c r="H8613" i="1" s="1"/>
  <c r="H7173" i="1"/>
  <c r="H8013" i="1" s="1"/>
  <c r="H7533" i="1"/>
  <c r="H8373" i="1" s="1"/>
  <c r="H7339" i="1"/>
  <c r="H7819" i="1" s="1"/>
  <c r="H8299" i="1" s="1"/>
  <c r="H6979" i="1"/>
  <c r="H7459" i="1" s="1"/>
  <c r="H7939" i="1" s="1"/>
  <c r="H7099" i="1"/>
  <c r="H7579" i="1" s="1"/>
  <c r="H8059" i="1" s="1"/>
  <c r="H7219" i="1"/>
  <c r="H7699" i="1" s="1"/>
  <c r="H8179" i="1" s="1"/>
  <c r="N416" i="3"/>
  <c r="Q284" i="3"/>
  <c r="H8853" i="1"/>
  <c r="I303" i="3"/>
  <c r="N8853" i="1" s="1"/>
  <c r="H7024" i="1"/>
  <c r="H8104" i="1" s="1"/>
  <c r="H7144" i="1"/>
  <c r="H8224" i="1" s="1"/>
  <c r="H7264" i="1"/>
  <c r="H8344" i="1" s="1"/>
  <c r="H7984" i="1"/>
  <c r="H7384" i="1"/>
  <c r="H8464" i="1" s="1"/>
  <c r="H7504" i="1"/>
  <c r="H8584" i="1" s="1"/>
  <c r="H7624" i="1"/>
  <c r="H8704" i="1" s="1"/>
  <c r="H7744" i="1"/>
  <c r="H8824" i="1" s="1"/>
  <c r="H7864" i="1"/>
  <c r="H8523" i="1"/>
  <c r="H7923" i="1"/>
  <c r="H8643" i="1"/>
  <c r="H7203" i="1"/>
  <c r="H7083" i="1"/>
  <c r="H8283" i="1"/>
  <c r="H7323" i="1"/>
  <c r="H8403" i="1"/>
  <c r="H7443" i="1"/>
  <c r="H8043" i="1"/>
  <c r="H7563" i="1"/>
  <c r="H6963" i="1"/>
  <c r="H8163" i="1"/>
  <c r="H7683" i="1"/>
  <c r="H8763" i="1"/>
  <c r="H7803" i="1"/>
  <c r="H7100" i="1"/>
  <c r="H7580" i="1" s="1"/>
  <c r="H8060" i="1" s="1"/>
  <c r="H7220" i="1"/>
  <c r="H7700" i="1" s="1"/>
  <c r="H8180" i="1" s="1"/>
  <c r="H7340" i="1"/>
  <c r="H7820" i="1" s="1"/>
  <c r="H8300" i="1" s="1"/>
  <c r="H6980" i="1"/>
  <c r="H7460" i="1" s="1"/>
  <c r="H7940" i="1" s="1"/>
  <c r="E328" i="3"/>
  <c r="N6850" i="1" s="1"/>
  <c r="N7450" i="1" s="1"/>
  <c r="H6850" i="1"/>
  <c r="T191" i="3"/>
  <c r="V191" i="3" s="1"/>
  <c r="H8404" i="1"/>
  <c r="H7324" i="1"/>
  <c r="H8644" i="1"/>
  <c r="H7444" i="1"/>
  <c r="H8044" i="1"/>
  <c r="H7564" i="1"/>
  <c r="H8164" i="1"/>
  <c r="H7084" i="1"/>
  <c r="H7684" i="1"/>
  <c r="H8764" i="1"/>
  <c r="H7804" i="1"/>
  <c r="H6964" i="1"/>
  <c r="H8524" i="1"/>
  <c r="H7924" i="1"/>
  <c r="H8284" i="1"/>
  <c r="H7204" i="1"/>
  <c r="H7101" i="1"/>
  <c r="H7581" i="1" s="1"/>
  <c r="H8061" i="1" s="1"/>
  <c r="H7221" i="1"/>
  <c r="H7701" i="1" s="1"/>
  <c r="H8181" i="1" s="1"/>
  <c r="H7341" i="1"/>
  <c r="H7821" i="1" s="1"/>
  <c r="H8301" i="1" s="1"/>
  <c r="H6981" i="1"/>
  <c r="H7461" i="1" s="1"/>
  <c r="H7941" i="1" s="1"/>
  <c r="N419" i="3"/>
  <c r="E304" i="3"/>
  <c r="N6815" i="1" s="1"/>
  <c r="N7175" i="1" s="1"/>
  <c r="N8015" i="1" s="1"/>
  <c r="H6815" i="1"/>
  <c r="E322" i="3"/>
  <c r="N6844" i="1" s="1"/>
  <c r="N7804" i="1" s="1"/>
  <c r="E354" i="3"/>
  <c r="N6867" i="1" s="1"/>
  <c r="N7707" i="1" s="1"/>
  <c r="H7505" i="1"/>
  <c r="H7625" i="1"/>
  <c r="H7745" i="1"/>
  <c r="H7865" i="1"/>
  <c r="H8225" i="1"/>
  <c r="H7025" i="1"/>
  <c r="H8465" i="1" s="1"/>
  <c r="H8345" i="1"/>
  <c r="H7145" i="1"/>
  <c r="H8585" i="1" s="1"/>
  <c r="H7985" i="1"/>
  <c r="H7265" i="1"/>
  <c r="H8705" i="1" s="1"/>
  <c r="H7385" i="1"/>
  <c r="H8825" i="1" s="1"/>
  <c r="H8105" i="1"/>
  <c r="E323" i="3"/>
  <c r="N6845" i="1" s="1"/>
  <c r="N8765" i="1" s="1"/>
  <c r="H6845" i="1"/>
  <c r="H8427" i="1"/>
  <c r="H7707" i="1"/>
  <c r="H8547" i="1"/>
  <c r="H7107" i="1"/>
  <c r="H8307" i="1"/>
  <c r="H7827" i="1"/>
  <c r="H7347" i="1"/>
  <c r="H6987" i="1"/>
  <c r="H8187" i="1"/>
  <c r="H7227" i="1"/>
  <c r="H8067" i="1"/>
  <c r="H7467" i="1"/>
  <c r="H8787" i="1"/>
  <c r="H7587" i="1"/>
  <c r="H8667" i="1"/>
  <c r="H7947" i="1"/>
  <c r="E344" i="3"/>
  <c r="N6861" i="1" s="1"/>
  <c r="N7701" i="1" s="1"/>
  <c r="E321" i="3"/>
  <c r="N6843" i="1" s="1"/>
  <c r="N7683" i="1" s="1"/>
  <c r="H7446" i="1"/>
  <c r="H8166" i="1" s="1"/>
  <c r="H7206" i="1"/>
  <c r="H7926" i="1" s="1"/>
  <c r="H8646" i="1" s="1"/>
  <c r="H7326" i="1"/>
  <c r="H8046" i="1" s="1"/>
  <c r="H8766" i="1" s="1"/>
  <c r="H7086" i="1"/>
  <c r="H7806" i="1" s="1"/>
  <c r="H8526" i="1" s="1"/>
  <c r="H7566" i="1"/>
  <c r="H8286" i="1" s="1"/>
  <c r="H6966" i="1"/>
  <c r="H7686" i="1" s="1"/>
  <c r="H8406" i="1" s="1"/>
  <c r="E340" i="3"/>
  <c r="N6857" i="1" s="1"/>
  <c r="N7817" i="1" s="1"/>
  <c r="C404" i="3"/>
  <c r="H6900" i="1" s="1"/>
  <c r="H7620" i="1" s="1"/>
  <c r="H8100" i="1" s="1"/>
  <c r="H8580" i="1" s="1"/>
  <c r="I328" i="3"/>
  <c r="N8892" i="1" s="1"/>
  <c r="H8892" i="1"/>
  <c r="N9572" i="1"/>
  <c r="N9368" i="1"/>
  <c r="N9470" i="1"/>
  <c r="N9266" i="1"/>
  <c r="N9164" i="1"/>
  <c r="N8958" i="1"/>
  <c r="N9674" i="1" s="1"/>
  <c r="N9062" i="1"/>
  <c r="H9611" i="1"/>
  <c r="H9509" i="1"/>
  <c r="H9407" i="1"/>
  <c r="H9305" i="1"/>
  <c r="H8997" i="1"/>
  <c r="H9101" i="1"/>
  <c r="H9713" i="1"/>
  <c r="H9203" i="1"/>
  <c r="H7174" i="1"/>
  <c r="H8014" i="1" s="1"/>
  <c r="H7654" i="1"/>
  <c r="H8494" i="1" s="1"/>
  <c r="H7534" i="1"/>
  <c r="H8374" i="1" s="1"/>
  <c r="H6934" i="1"/>
  <c r="H7774" i="1" s="1"/>
  <c r="H8614" i="1" s="1"/>
  <c r="H7294" i="1"/>
  <c r="H8134" i="1" s="1"/>
  <c r="H7414" i="1"/>
  <c r="H8254" i="1" s="1"/>
  <c r="H7054" i="1"/>
  <c r="H7894" i="1" s="1"/>
  <c r="H8051" i="1"/>
  <c r="H7571" i="1"/>
  <c r="H8171" i="1"/>
  <c r="H7691" i="1"/>
  <c r="H7091" i="1"/>
  <c r="H8771" i="1"/>
  <c r="H7811" i="1"/>
  <c r="H8651" i="1"/>
  <c r="H7931" i="1"/>
  <c r="H6971" i="1"/>
  <c r="H8411" i="1"/>
  <c r="H7211" i="1"/>
  <c r="H8531" i="1"/>
  <c r="H7331" i="1"/>
  <c r="H8291" i="1"/>
  <c r="H7451" i="1"/>
  <c r="H9470" i="1"/>
  <c r="H9062" i="1"/>
  <c r="H9368" i="1"/>
  <c r="H9164" i="1"/>
  <c r="H8958" i="1"/>
  <c r="H9674" i="1" s="1"/>
  <c r="H9266" i="1"/>
  <c r="H9572" i="1"/>
  <c r="H7937" i="1"/>
  <c r="H6977" i="1"/>
  <c r="H8417" i="1" s="1"/>
  <c r="H7577" i="1"/>
  <c r="H7697" i="1"/>
  <c r="H7337" i="1"/>
  <c r="H8777" i="1" s="1"/>
  <c r="H7817" i="1"/>
  <c r="H7457" i="1"/>
  <c r="H8297" i="1"/>
  <c r="H7097" i="1"/>
  <c r="H8537" i="1" s="1"/>
  <c r="H8177" i="1"/>
  <c r="H7217" i="1"/>
  <c r="H8657" i="1" s="1"/>
  <c r="H8057" i="1"/>
  <c r="E324" i="3"/>
  <c r="N6846" i="1" s="1"/>
  <c r="N7566" i="1" s="1"/>
  <c r="E342" i="3"/>
  <c r="N6859" i="1" s="1"/>
  <c r="N8659" i="1" s="1"/>
  <c r="N8105" i="1"/>
  <c r="N7385" i="1"/>
  <c r="N8825" i="1"/>
  <c r="N7505" i="1"/>
  <c r="N8345" i="1"/>
  <c r="N8705" i="1"/>
  <c r="N7625" i="1"/>
  <c r="N7865" i="1"/>
  <c r="N8465" i="1"/>
  <c r="N7745" i="1"/>
  <c r="N8585" i="1"/>
  <c r="N7025" i="1"/>
  <c r="N8225" i="1"/>
  <c r="N7145" i="1"/>
  <c r="N7265" i="1"/>
  <c r="N7985" i="1"/>
  <c r="K7567" i="1"/>
  <c r="K7568" i="1" s="1"/>
  <c r="K7569" i="1" s="1"/>
  <c r="K7570" i="1" s="1"/>
  <c r="K7571" i="1" s="1"/>
  <c r="K7572" i="1" s="1"/>
  <c r="K7574" i="1" s="1"/>
  <c r="K7576" i="1" s="1"/>
  <c r="K7577" i="1" s="1"/>
  <c r="K7566" i="1"/>
  <c r="K7687" i="1"/>
  <c r="K7688" i="1" s="1"/>
  <c r="K7689" i="1" s="1"/>
  <c r="K7690" i="1" s="1"/>
  <c r="K7691" i="1" s="1"/>
  <c r="K7692" i="1" s="1"/>
  <c r="K7694" i="1" s="1"/>
  <c r="K7696" i="1" s="1"/>
  <c r="K7697" i="1" s="1"/>
  <c r="K7686" i="1"/>
  <c r="K9675" i="1"/>
  <c r="K9674" i="1"/>
  <c r="K9994" i="1"/>
  <c r="K9993" i="1"/>
  <c r="K9981" i="1"/>
  <c r="K9991" i="1"/>
  <c r="K7435" i="1"/>
  <c r="K7437" i="1" s="1"/>
  <c r="K7438" i="1" s="1"/>
  <c r="K7439" i="1" s="1"/>
  <c r="K7432" i="1"/>
  <c r="K7433" i="1" s="1"/>
  <c r="K8406" i="1"/>
  <c r="K8407" i="1"/>
  <c r="K8408" i="1" s="1"/>
  <c r="K8409" i="1" s="1"/>
  <c r="K8410" i="1" s="1"/>
  <c r="K8411" i="1" s="1"/>
  <c r="K8412" i="1" s="1"/>
  <c r="K8414" i="1" s="1"/>
  <c r="K8416" i="1" s="1"/>
  <c r="K8417" i="1" s="1"/>
  <c r="K9063" i="1"/>
  <c r="K9065" i="1" s="1"/>
  <c r="K9070" i="1" s="1"/>
  <c r="K9071" i="1" s="1"/>
  <c r="K9062" i="1"/>
  <c r="K9975" i="1"/>
  <c r="K9973" i="1"/>
  <c r="K9469" i="1"/>
  <c r="K7207" i="1"/>
  <c r="K7208" i="1" s="1"/>
  <c r="K7209" i="1" s="1"/>
  <c r="K7210" i="1" s="1"/>
  <c r="K7211" i="1" s="1"/>
  <c r="K7212" i="1" s="1"/>
  <c r="K7214" i="1" s="1"/>
  <c r="K7216" i="1" s="1"/>
  <c r="K7217" i="1" s="1"/>
  <c r="K7206" i="1"/>
  <c r="N6256" i="1"/>
  <c r="K6931" i="1"/>
  <c r="K7075" i="1"/>
  <c r="K7077" i="1" s="1"/>
  <c r="K7078" i="1" s="1"/>
  <c r="K7079" i="1" s="1"/>
  <c r="K7080" i="1" s="1"/>
  <c r="K7081" i="1" s="1"/>
  <c r="K7082" i="1" s="1"/>
  <c r="K7083" i="1" s="1"/>
  <c r="K7084" i="1" s="1"/>
  <c r="K7085" i="1" s="1"/>
  <c r="K7072" i="1"/>
  <c r="K7073" i="1" s="1"/>
  <c r="K3650" i="1"/>
  <c r="K3651" i="1" s="1"/>
  <c r="K3652" i="1" s="1"/>
  <c r="K3653" i="1" s="1"/>
  <c r="K3654" i="1" s="1"/>
  <c r="K3655" i="1" s="1"/>
  <c r="K3660" i="1" s="1"/>
  <c r="K3661" i="1" s="1"/>
  <c r="K3662" i="1" s="1"/>
  <c r="K3664" i="1" s="1"/>
  <c r="K3665" i="1" s="1"/>
  <c r="K3666" i="1" s="1"/>
  <c r="K3668" i="1" s="1"/>
  <c r="K3673" i="1" s="1"/>
  <c r="K3679" i="1" s="1"/>
  <c r="K3681" i="1" s="1"/>
  <c r="K8527" i="1"/>
  <c r="K8528" i="1" s="1"/>
  <c r="K8529" i="1" s="1"/>
  <c r="K8530" i="1" s="1"/>
  <c r="K8531" i="1" s="1"/>
  <c r="K8532" i="1" s="1"/>
  <c r="K8534" i="1" s="1"/>
  <c r="K8536" i="1" s="1"/>
  <c r="K8537" i="1" s="1"/>
  <c r="K8526" i="1"/>
  <c r="K7927" i="1"/>
  <c r="K7928" i="1" s="1"/>
  <c r="K7929" i="1" s="1"/>
  <c r="K7930" i="1" s="1"/>
  <c r="K7931" i="1" s="1"/>
  <c r="K7932" i="1" s="1"/>
  <c r="K7934" i="1" s="1"/>
  <c r="K7936" i="1" s="1"/>
  <c r="K7937" i="1" s="1"/>
  <c r="K7926" i="1"/>
  <c r="K9878" i="1"/>
  <c r="K9883" i="1" s="1"/>
  <c r="K9875" i="1"/>
  <c r="K9876" i="1"/>
  <c r="K8767" i="1"/>
  <c r="K8768" i="1" s="1"/>
  <c r="K8769" i="1" s="1"/>
  <c r="K8770" i="1" s="1"/>
  <c r="K8771" i="1" s="1"/>
  <c r="K8772" i="1" s="1"/>
  <c r="K8774" i="1" s="1"/>
  <c r="K8776" i="1" s="1"/>
  <c r="K8777" i="1" s="1"/>
  <c r="K8766" i="1"/>
  <c r="K8287" i="1"/>
  <c r="K8288" i="1" s="1"/>
  <c r="K8289" i="1" s="1"/>
  <c r="K8290" i="1" s="1"/>
  <c r="K8291" i="1" s="1"/>
  <c r="K8292" i="1" s="1"/>
  <c r="K8294" i="1" s="1"/>
  <c r="K8296" i="1" s="1"/>
  <c r="K8297" i="1" s="1"/>
  <c r="K8286" i="1"/>
  <c r="H8137" i="1"/>
  <c r="K8166" i="1"/>
  <c r="K8167" i="1"/>
  <c r="K8168" i="1" s="1"/>
  <c r="K8169" i="1" s="1"/>
  <c r="K8170" i="1" s="1"/>
  <c r="K8171" i="1" s="1"/>
  <c r="K8172" i="1" s="1"/>
  <c r="K8174" i="1" s="1"/>
  <c r="K8176" i="1" s="1"/>
  <c r="K8177" i="1" s="1"/>
  <c r="K9160" i="1"/>
  <c r="K9161" i="1"/>
  <c r="K9163" i="1" s="1"/>
  <c r="K10072" i="1"/>
  <c r="K10077" i="1"/>
  <c r="K8855" i="1"/>
  <c r="K8857" i="1" s="1"/>
  <c r="K8862" i="1" s="1"/>
  <c r="K8863" i="1" s="1"/>
  <c r="K8854" i="1"/>
  <c r="K8047" i="1"/>
  <c r="K8048" i="1" s="1"/>
  <c r="K8049" i="1" s="1"/>
  <c r="K8050" i="1" s="1"/>
  <c r="K8051" i="1" s="1"/>
  <c r="K8052" i="1" s="1"/>
  <c r="K8054" i="1" s="1"/>
  <c r="K8056" i="1" s="1"/>
  <c r="K8057" i="1" s="1"/>
  <c r="K8046" i="1"/>
  <c r="K9573" i="1"/>
  <c r="K9572" i="1"/>
  <c r="K9262" i="1"/>
  <c r="K9263" i="1"/>
  <c r="K9265" i="1" s="1"/>
  <c r="K8959" i="1"/>
  <c r="K8961" i="1" s="1"/>
  <c r="K8966" i="1" s="1"/>
  <c r="K8967" i="1" s="1"/>
  <c r="K8958" i="1"/>
  <c r="K9788" i="1"/>
  <c r="K9790" i="1" s="1"/>
  <c r="K9797" i="1" s="1"/>
  <c r="K9789" i="1"/>
  <c r="K8646" i="1"/>
  <c r="K8647" i="1"/>
  <c r="K8648" i="1" s="1"/>
  <c r="K8649" i="1" s="1"/>
  <c r="K8650" i="1" s="1"/>
  <c r="K8651" i="1" s="1"/>
  <c r="K8652" i="1" s="1"/>
  <c r="K8654" i="1" s="1"/>
  <c r="K8656" i="1" s="1"/>
  <c r="K8657" i="1" s="1"/>
  <c r="K9369" i="1"/>
  <c r="K9368" i="1"/>
  <c r="K7327" i="1"/>
  <c r="K7328" i="1" s="1"/>
  <c r="K7329" i="1" s="1"/>
  <c r="K7330" i="1" s="1"/>
  <c r="K7331" i="1" s="1"/>
  <c r="K7332" i="1" s="1"/>
  <c r="K7334" i="1" s="1"/>
  <c r="K7336" i="1" s="1"/>
  <c r="K7337" i="1" s="1"/>
  <c r="K7326" i="1"/>
  <c r="H8017" i="1"/>
  <c r="K7807" i="1"/>
  <c r="K7808" i="1" s="1"/>
  <c r="K7809" i="1" s="1"/>
  <c r="K7810" i="1" s="1"/>
  <c r="K7811" i="1" s="1"/>
  <c r="K7812" i="1" s="1"/>
  <c r="K7814" i="1" s="1"/>
  <c r="K7816" i="1" s="1"/>
  <c r="K7817" i="1" s="1"/>
  <c r="K7806" i="1"/>
  <c r="N5642" i="1"/>
  <c r="N5746" i="1"/>
  <c r="N5950" i="1"/>
  <c r="N6358" i="1"/>
  <c r="N5848" i="1"/>
  <c r="N6052" i="1"/>
  <c r="N6154" i="1"/>
  <c r="K6477" i="1"/>
  <c r="K6478" i="1" s="1"/>
  <c r="O3540" i="1"/>
  <c r="K6164" i="1"/>
  <c r="K5863" i="1"/>
  <c r="K5864" i="1" s="1"/>
  <c r="K5865" i="1" s="1"/>
  <c r="K5866" i="1" s="1"/>
  <c r="K5867" i="1" s="1"/>
  <c r="K5868" i="1" s="1"/>
  <c r="K5869" i="1" s="1"/>
  <c r="K3656" i="1"/>
  <c r="K3657" i="1" s="1"/>
  <c r="K3776" i="1"/>
  <c r="K3777" i="1" s="1"/>
  <c r="K3780" i="1"/>
  <c r="K3781" i="1" s="1"/>
  <c r="K3782" i="1" s="1"/>
  <c r="K3784" i="1" s="1"/>
  <c r="K3785" i="1" s="1"/>
  <c r="K3786" i="1" s="1"/>
  <c r="K3788" i="1" s="1"/>
  <c r="K3793" i="1" s="1"/>
  <c r="K3799" i="1" s="1"/>
  <c r="K3801" i="1" s="1"/>
  <c r="K3802" i="1" s="1"/>
  <c r="K4140" i="1"/>
  <c r="K4141" i="1" s="1"/>
  <c r="K4142" i="1" s="1"/>
  <c r="K4144" i="1" s="1"/>
  <c r="K4145" i="1" s="1"/>
  <c r="K4146" i="1" s="1"/>
  <c r="K4148" i="1" s="1"/>
  <c r="K4153" i="1" s="1"/>
  <c r="K4159" i="1" s="1"/>
  <c r="K4161" i="1" s="1"/>
  <c r="K4162" i="1" s="1"/>
  <c r="K4136" i="1"/>
  <c r="K4137" i="1" s="1"/>
  <c r="H4028" i="1"/>
  <c r="K3420" i="1"/>
  <c r="K3422" i="1" s="1"/>
  <c r="H4231" i="1"/>
  <c r="H4351" i="1"/>
  <c r="H4471" i="1"/>
  <c r="H3991" i="1"/>
  <c r="H4111" i="1"/>
  <c r="H3871" i="1"/>
  <c r="H3631" i="1"/>
  <c r="H3751" i="1"/>
  <c r="K3540" i="1"/>
  <c r="K3541" i="1" s="1"/>
  <c r="K3542" i="1" s="1"/>
  <c r="K3544" i="1" s="1"/>
  <c r="K3545" i="1" s="1"/>
  <c r="K3546" i="1" s="1"/>
  <c r="K3548" i="1" s="1"/>
  <c r="K3553" i="1" s="1"/>
  <c r="K3559" i="1" s="1"/>
  <c r="K3561" i="1" s="1"/>
  <c r="K3562" i="1" s="1"/>
  <c r="K3536" i="1"/>
  <c r="K3537" i="1" s="1"/>
  <c r="H3908" i="1"/>
  <c r="K3445" i="1"/>
  <c r="K3442" i="1"/>
  <c r="K4380" i="1"/>
  <c r="K4381" i="1" s="1"/>
  <c r="K4382" i="1" s="1"/>
  <c r="K4384" i="1" s="1"/>
  <c r="K4385" i="1" s="1"/>
  <c r="K4386" i="1" s="1"/>
  <c r="K4388" i="1" s="1"/>
  <c r="K4393" i="1" s="1"/>
  <c r="K4399" i="1" s="1"/>
  <c r="K4401" i="1" s="1"/>
  <c r="K4402" i="1" s="1"/>
  <c r="K4376" i="1"/>
  <c r="K4377" i="1" s="1"/>
  <c r="K3522" i="1"/>
  <c r="N5400" i="1"/>
  <c r="N5280" i="1"/>
  <c r="N5160" i="1"/>
  <c r="N4920" i="1"/>
  <c r="N5040" i="1"/>
  <c r="N4680" i="1"/>
  <c r="N4800" i="1"/>
  <c r="N4440" i="1"/>
  <c r="N4560" i="1"/>
  <c r="N4200" i="1"/>
  <c r="N3840" i="1"/>
  <c r="N4320" i="1"/>
  <c r="N3960" i="1"/>
  <c r="N4080" i="1"/>
  <c r="K3402" i="1"/>
  <c r="L3793" i="1"/>
  <c r="L4393" i="1" s="1"/>
  <c r="L4993" i="1" s="1"/>
  <c r="N5431" i="1"/>
  <c r="N5311" i="1"/>
  <c r="N5071" i="1"/>
  <c r="N5191" i="1"/>
  <c r="N4951" i="1"/>
  <c r="N4831" i="1"/>
  <c r="N4591" i="1"/>
  <c r="N4711" i="1"/>
  <c r="N4231" i="1"/>
  <c r="N4351" i="1"/>
  <c r="N3871" i="1"/>
  <c r="N3991" i="1"/>
  <c r="N4471" i="1"/>
  <c r="N4111" i="1"/>
  <c r="O3542" i="1"/>
  <c r="K4020" i="1"/>
  <c r="K4021" i="1" s="1"/>
  <c r="K4022" i="1" s="1"/>
  <c r="K4024" i="1" s="1"/>
  <c r="K4025" i="1" s="1"/>
  <c r="K4026" i="1" s="1"/>
  <c r="K4028" i="1" s="1"/>
  <c r="K4033" i="1" s="1"/>
  <c r="K4039" i="1" s="1"/>
  <c r="K4041" i="1" s="1"/>
  <c r="K4016" i="1"/>
  <c r="K4017" i="1" s="1"/>
  <c r="L3673" i="1"/>
  <c r="L4273" i="1" s="1"/>
  <c r="L4873" i="1" s="1"/>
  <c r="N3720" i="1"/>
  <c r="L3751" i="1"/>
  <c r="L4111" i="1" s="1"/>
  <c r="L4471" i="1" s="1"/>
  <c r="L4711" i="1" s="1"/>
  <c r="L4951" i="1" s="1"/>
  <c r="L5191" i="1" s="1"/>
  <c r="L5431" i="1" s="1"/>
  <c r="K3900" i="1"/>
  <c r="K3901" i="1" s="1"/>
  <c r="K3902" i="1" s="1"/>
  <c r="K3904" i="1" s="1"/>
  <c r="K3905" i="1" s="1"/>
  <c r="K3906" i="1" s="1"/>
  <c r="K3908" i="1" s="1"/>
  <c r="K3913" i="1" s="1"/>
  <c r="K3919" i="1" s="1"/>
  <c r="K3921" i="1" s="1"/>
  <c r="K3922" i="1" s="1"/>
  <c r="K3896" i="1"/>
  <c r="K3897" i="1" s="1"/>
  <c r="L4033" i="1"/>
  <c r="L4633" i="1" s="1"/>
  <c r="L5233" i="1" s="1"/>
  <c r="K3882" i="1"/>
  <c r="K4496" i="1"/>
  <c r="K4497" i="1" s="1"/>
  <c r="K4500" i="1"/>
  <c r="K4501" i="1" s="1"/>
  <c r="K4502" i="1" s="1"/>
  <c r="K4504" i="1" s="1"/>
  <c r="K4505" i="1" s="1"/>
  <c r="K4506" i="1" s="1"/>
  <c r="K4508" i="1" s="1"/>
  <c r="K4513" i="1" s="1"/>
  <c r="K4519" i="1" s="1"/>
  <c r="K4521" i="1" s="1"/>
  <c r="K4522" i="1" s="1"/>
  <c r="K4620" i="1"/>
  <c r="K4621" i="1" s="1"/>
  <c r="K4622" i="1" s="1"/>
  <c r="K4624" i="1" s="1"/>
  <c r="K4625" i="1" s="1"/>
  <c r="K4626" i="1" s="1"/>
  <c r="K4628" i="1" s="1"/>
  <c r="K4633" i="1" s="1"/>
  <c r="K4639" i="1" s="1"/>
  <c r="K4641" i="1" s="1"/>
  <c r="K4642" i="1" s="1"/>
  <c r="K4616" i="1"/>
  <c r="K4617" i="1" s="1"/>
  <c r="L5400" i="1"/>
  <c r="L5280" i="1"/>
  <c r="L5040" i="1"/>
  <c r="L5160" i="1"/>
  <c r="L4920" i="1"/>
  <c r="L4680" i="1"/>
  <c r="L4800" i="1"/>
  <c r="K4260" i="1"/>
  <c r="K4261" i="1" s="1"/>
  <c r="K4262" i="1" s="1"/>
  <c r="K4264" i="1" s="1"/>
  <c r="K4265" i="1" s="1"/>
  <c r="K4266" i="1" s="1"/>
  <c r="K4268" i="1" s="1"/>
  <c r="K4273" i="1" s="1"/>
  <c r="K4279" i="1" s="1"/>
  <c r="K4281" i="1" s="1"/>
  <c r="K4282" i="1" s="1"/>
  <c r="K4256" i="1"/>
  <c r="K4257" i="1" s="1"/>
  <c r="K4122" i="1"/>
  <c r="K4602" i="1"/>
  <c r="K4860" i="1"/>
  <c r="K4861" i="1" s="1"/>
  <c r="K4862" i="1" s="1"/>
  <c r="K4864" i="1" s="1"/>
  <c r="K4865" i="1" s="1"/>
  <c r="K4866" i="1" s="1"/>
  <c r="K4868" i="1" s="1"/>
  <c r="K4873" i="1" s="1"/>
  <c r="K4879" i="1" s="1"/>
  <c r="K4881" i="1" s="1"/>
  <c r="K4882" i="1" s="1"/>
  <c r="K4856" i="1"/>
  <c r="K4857" i="1" s="1"/>
  <c r="K4736" i="1"/>
  <c r="K4737" i="1" s="1"/>
  <c r="K4740" i="1"/>
  <c r="K4741" i="1" s="1"/>
  <c r="K4742" i="1" s="1"/>
  <c r="K4744" i="1" s="1"/>
  <c r="K4745" i="1" s="1"/>
  <c r="K4746" i="1" s="1"/>
  <c r="K4748" i="1" s="1"/>
  <c r="K4753" i="1" s="1"/>
  <c r="K4759" i="1" s="1"/>
  <c r="K4761" i="1" s="1"/>
  <c r="K4762" i="1" s="1"/>
  <c r="K4362" i="1"/>
  <c r="K4842" i="1"/>
  <c r="K4980" i="1"/>
  <c r="K4981" i="1" s="1"/>
  <c r="K4982" i="1" s="1"/>
  <c r="K4984" i="1" s="1"/>
  <c r="K4985" i="1" s="1"/>
  <c r="K4986" i="1" s="1"/>
  <c r="K4988" i="1" s="1"/>
  <c r="K4993" i="1" s="1"/>
  <c r="K4999" i="1" s="1"/>
  <c r="K5001" i="1" s="1"/>
  <c r="K5002" i="1" s="1"/>
  <c r="K4976" i="1"/>
  <c r="K4977" i="1" s="1"/>
  <c r="K5210" i="1"/>
  <c r="K5211" i="1" s="1"/>
  <c r="K5212" i="1" s="1"/>
  <c r="K5213" i="1" s="1"/>
  <c r="K5214" i="1" s="1"/>
  <c r="K5215" i="1" s="1"/>
  <c r="K5100" i="1"/>
  <c r="K5101" i="1" s="1"/>
  <c r="K5102" i="1" s="1"/>
  <c r="K5104" i="1" s="1"/>
  <c r="K5105" i="1" s="1"/>
  <c r="K5106" i="1" s="1"/>
  <c r="K5108" i="1" s="1"/>
  <c r="K5113" i="1" s="1"/>
  <c r="K5119" i="1" s="1"/>
  <c r="K5121" i="1" s="1"/>
  <c r="K5122" i="1" s="1"/>
  <c r="K5096" i="1"/>
  <c r="K5097" i="1" s="1"/>
  <c r="K5340" i="1"/>
  <c r="K5341" i="1" s="1"/>
  <c r="K5342" i="1" s="1"/>
  <c r="K5344" i="1" s="1"/>
  <c r="K5345" i="1" s="1"/>
  <c r="K5346" i="1" s="1"/>
  <c r="K5348" i="1" s="1"/>
  <c r="K5353" i="1" s="1"/>
  <c r="K5359" i="1" s="1"/>
  <c r="K5361" i="1" s="1"/>
  <c r="K5362" i="1" s="1"/>
  <c r="K5336" i="1"/>
  <c r="K5337" i="1" s="1"/>
  <c r="K5082" i="1"/>
  <c r="K5668" i="1"/>
  <c r="K5664" i="1"/>
  <c r="K5665" i="1" s="1"/>
  <c r="L5888" i="1"/>
  <c r="L5990" i="1"/>
  <c r="L5684" i="1"/>
  <c r="L6194" i="1" s="1"/>
  <c r="L5786" i="1"/>
  <c r="L6296" i="1" s="1"/>
  <c r="L5580" i="1"/>
  <c r="L6092" i="1" s="1"/>
  <c r="K5564" i="1"/>
  <c r="K5560" i="1"/>
  <c r="K5561" i="1" s="1"/>
  <c r="K5456" i="1"/>
  <c r="K5457" i="1" s="1"/>
  <c r="K5460" i="1"/>
  <c r="H6182" i="1"/>
  <c r="H6080" i="1"/>
  <c r="H5978" i="1"/>
  <c r="H5876" i="1"/>
  <c r="H5774" i="1"/>
  <c r="H6183" i="1"/>
  <c r="H6081" i="1"/>
  <c r="H5979" i="1"/>
  <c r="H5775" i="1"/>
  <c r="H5877" i="1"/>
  <c r="H6286" i="1"/>
  <c r="H6184" i="1"/>
  <c r="H6082" i="1"/>
  <c r="H5980" i="1"/>
  <c r="H5776" i="1"/>
  <c r="H5878" i="1"/>
  <c r="H6323" i="1"/>
  <c r="H6221" i="1"/>
  <c r="H6017" i="1"/>
  <c r="H6119" i="1"/>
  <c r="H5711" i="1"/>
  <c r="H5813" i="1"/>
  <c r="H6324" i="1"/>
  <c r="H6222" i="1"/>
  <c r="H6018" i="1"/>
  <c r="H6120" i="1"/>
  <c r="H5712" i="1"/>
  <c r="H5916" i="1"/>
  <c r="H5814" i="1"/>
  <c r="H5673" i="1"/>
  <c r="K5756" i="1"/>
  <c r="K5761" i="1"/>
  <c r="K5762" i="1" s="1"/>
  <c r="K5763" i="1" s="1"/>
  <c r="K5764" i="1" s="1"/>
  <c r="K5765" i="1" s="1"/>
  <c r="H5915" i="1"/>
  <c r="H5568" i="1"/>
  <c r="H5569" i="1"/>
  <c r="H5570" i="1"/>
  <c r="H5672" i="1"/>
  <c r="H5674" i="1"/>
  <c r="K5960" i="1"/>
  <c r="K5965" i="1"/>
  <c r="K5966" i="1" s="1"/>
  <c r="K5967" i="1" s="1"/>
  <c r="K5968" i="1" s="1"/>
  <c r="K5969" i="1" s="1"/>
  <c r="K6067" i="1"/>
  <c r="K6068" i="1" s="1"/>
  <c r="K6069" i="1" s="1"/>
  <c r="K6070" i="1" s="1"/>
  <c r="K6071" i="1" s="1"/>
  <c r="K6174" i="1"/>
  <c r="K6175" i="1" s="1"/>
  <c r="K6178" i="1"/>
  <c r="K6385" i="1"/>
  <c r="K6384" i="1"/>
  <c r="K6386" i="1" s="1"/>
  <c r="K6388" i="1" s="1"/>
  <c r="K6380" i="1"/>
  <c r="K6381" i="1" s="1"/>
  <c r="K6271" i="1"/>
  <c r="K6272" i="1" s="1"/>
  <c r="K6273" i="1" s="1"/>
  <c r="K6274" i="1" s="1"/>
  <c r="K6275" i="1" s="1"/>
  <c r="K6266" i="1"/>
  <c r="N6586" i="1"/>
  <c r="N6489" i="1"/>
  <c r="K6485" i="1"/>
  <c r="K6482" i="1"/>
  <c r="K6483" i="1"/>
  <c r="N6710" i="1"/>
  <c r="N6613" i="1"/>
  <c r="N6516" i="1"/>
  <c r="K6574" i="1"/>
  <c r="K6575" i="1" s="1"/>
  <c r="K6579" i="1"/>
  <c r="K6578" i="1"/>
  <c r="L6691" i="1"/>
  <c r="L6594" i="1"/>
  <c r="L6497" i="1"/>
  <c r="N6709" i="1"/>
  <c r="N6612" i="1"/>
  <c r="N6515" i="1"/>
  <c r="H6747" i="1"/>
  <c r="H6650" i="1"/>
  <c r="H6553" i="1"/>
  <c r="N6745" i="1"/>
  <c r="N6648" i="1"/>
  <c r="N6551" i="1"/>
  <c r="N6747" i="1"/>
  <c r="N6650" i="1"/>
  <c r="N6553" i="1"/>
  <c r="N6717" i="1"/>
  <c r="N6620" i="1"/>
  <c r="N6523" i="1"/>
  <c r="H6551" i="1"/>
  <c r="N6711" i="1"/>
  <c r="N6614" i="1"/>
  <c r="N6517" i="1"/>
  <c r="H6745" i="1"/>
  <c r="H6648" i="1"/>
  <c r="K6671" i="1"/>
  <c r="K6672" i="1" s="1"/>
  <c r="K6676" i="1"/>
  <c r="K6681" i="1" s="1"/>
  <c r="K6675" i="1"/>
  <c r="K6754" i="1"/>
  <c r="K6757" i="1"/>
  <c r="K6761" i="1"/>
  <c r="H6761" i="1" s="1"/>
  <c r="G6761" i="1" s="1"/>
  <c r="K6758" i="1"/>
  <c r="E403" i="3"/>
  <c r="N6902" i="1" s="1"/>
  <c r="T331" i="3"/>
  <c r="V331" i="3" s="1"/>
  <c r="E329" i="3"/>
  <c r="N6851" i="1" s="1"/>
  <c r="E303" i="3"/>
  <c r="N6813" i="1" s="1"/>
  <c r="E305" i="3"/>
  <c r="N6814" i="1" s="1"/>
  <c r="E406" i="3"/>
  <c r="N6904" i="1" s="1"/>
  <c r="E343" i="3"/>
  <c r="N6860" i="1" s="1"/>
  <c r="B416" i="3"/>
  <c r="H3468" i="1"/>
  <c r="H3478" i="1"/>
  <c r="H3472" i="1"/>
  <c r="H3471" i="1"/>
  <c r="H3470" i="1"/>
  <c r="K6832" i="1" l="1"/>
  <c r="K6833" i="1" s="1"/>
  <c r="N8787" i="1"/>
  <c r="N9509" i="1"/>
  <c r="Q10146" i="1"/>
  <c r="N8165" i="1"/>
  <c r="N7699" i="1"/>
  <c r="N8179" i="1"/>
  <c r="N8299" i="1"/>
  <c r="N7099" i="1"/>
  <c r="H9135" i="1"/>
  <c r="H9441" i="1" s="1"/>
  <c r="H9747" i="1" s="1"/>
  <c r="Q416" i="3"/>
  <c r="N10141" i="1"/>
  <c r="O10141" i="1" s="1"/>
  <c r="N7570" i="1"/>
  <c r="N7587" i="1"/>
  <c r="H9237" i="1"/>
  <c r="H9543" i="1" s="1"/>
  <c r="N7205" i="1"/>
  <c r="N7330" i="1"/>
  <c r="N8170" i="1"/>
  <c r="N8285" i="1"/>
  <c r="N7535" i="1"/>
  <c r="N8375" i="1" s="1"/>
  <c r="N9203" i="1"/>
  <c r="N9407" i="1"/>
  <c r="H5746" i="1"/>
  <c r="H6052" i="1" s="1"/>
  <c r="N7210" i="1"/>
  <c r="N6970" i="1"/>
  <c r="N7925" i="1"/>
  <c r="N7055" i="1"/>
  <c r="N7895" i="1" s="1"/>
  <c r="N8735" i="1" s="1"/>
  <c r="N9101" i="1"/>
  <c r="N9713" i="1"/>
  <c r="H5848" i="1"/>
  <c r="H6154" i="1" s="1"/>
  <c r="N7930" i="1"/>
  <c r="N8045" i="1"/>
  <c r="N7445" i="1"/>
  <c r="N7295" i="1"/>
  <c r="N8135" i="1" s="1"/>
  <c r="N9305" i="1"/>
  <c r="N7684" i="1"/>
  <c r="N8764" i="1" s="1"/>
  <c r="N9611" i="1"/>
  <c r="N8781" i="1"/>
  <c r="N7444" i="1"/>
  <c r="N8524" i="1" s="1"/>
  <c r="H9940" i="1"/>
  <c r="N7467" i="1"/>
  <c r="N8061" i="1"/>
  <c r="N7084" i="1"/>
  <c r="N8164" i="1" s="1"/>
  <c r="N7107" i="1"/>
  <c r="N8657" i="1"/>
  <c r="N7083" i="1"/>
  <c r="H7380" i="1"/>
  <c r="N8410" i="1"/>
  <c r="N7819" i="1"/>
  <c r="N7941" i="1"/>
  <c r="N7685" i="1"/>
  <c r="N8177" i="1"/>
  <c r="N7227" i="1"/>
  <c r="N7810" i="1"/>
  <c r="N6979" i="1"/>
  <c r="N8661" i="1"/>
  <c r="N7565" i="1"/>
  <c r="N7937" i="1"/>
  <c r="N8307" i="1"/>
  <c r="N7219" i="1"/>
  <c r="N8181" i="1"/>
  <c r="N7697" i="1"/>
  <c r="N7579" i="1"/>
  <c r="N7221" i="1"/>
  <c r="N7337" i="1"/>
  <c r="N8301" i="1"/>
  <c r="N7564" i="1"/>
  <c r="N8644" i="1" s="1"/>
  <c r="N7923" i="1"/>
  <c r="N8547" i="1"/>
  <c r="N7581" i="1"/>
  <c r="N7217" i="1"/>
  <c r="N8526" i="1"/>
  <c r="N7443" i="1"/>
  <c r="N8427" i="1"/>
  <c r="N7347" i="1"/>
  <c r="N6966" i="1"/>
  <c r="N8163" i="1"/>
  <c r="N8067" i="1"/>
  <c r="J419" i="3"/>
  <c r="H7260" i="1"/>
  <c r="N7827" i="1"/>
  <c r="N8187" i="1"/>
  <c r="N8667" i="1"/>
  <c r="N6987" i="1"/>
  <c r="N7947" i="1"/>
  <c r="N7090" i="1"/>
  <c r="N8650" i="1"/>
  <c r="N8539" i="1"/>
  <c r="N7459" i="1"/>
  <c r="N8166" i="1"/>
  <c r="N8406" i="1"/>
  <c r="N8421" i="1"/>
  <c r="N7461" i="1"/>
  <c r="N8405" i="1"/>
  <c r="N6965" i="1"/>
  <c r="N7324" i="1"/>
  <c r="N8404" i="1" s="1"/>
  <c r="N8297" i="1"/>
  <c r="N8777" i="1"/>
  <c r="N6935" i="1"/>
  <c r="N7775" i="1" s="1"/>
  <c r="N8615" i="1" s="1"/>
  <c r="N7926" i="1"/>
  <c r="N8050" i="1"/>
  <c r="N7690" i="1"/>
  <c r="N7939" i="1"/>
  <c r="N8059" i="1"/>
  <c r="N8286" i="1"/>
  <c r="N7806" i="1"/>
  <c r="N7341" i="1"/>
  <c r="N6981" i="1"/>
  <c r="N7325" i="1"/>
  <c r="N7805" i="1"/>
  <c r="N7924" i="1"/>
  <c r="N6964" i="1"/>
  <c r="N8044" i="1" s="1"/>
  <c r="N7097" i="1"/>
  <c r="N6977" i="1"/>
  <c r="N7655" i="1"/>
  <c r="N8495" i="1" s="1"/>
  <c r="N7206" i="1"/>
  <c r="N8530" i="1"/>
  <c r="N8770" i="1"/>
  <c r="N8419" i="1"/>
  <c r="N7339" i="1"/>
  <c r="N7446" i="1"/>
  <c r="N8646" i="1"/>
  <c r="N7101" i="1"/>
  <c r="N7821" i="1"/>
  <c r="N7085" i="1"/>
  <c r="N8645" i="1"/>
  <c r="N7204" i="1"/>
  <c r="N8284" i="1" s="1"/>
  <c r="N8057" i="1"/>
  <c r="N8537" i="1"/>
  <c r="N7415" i="1"/>
  <c r="N8255" i="1" s="1"/>
  <c r="N7326" i="1"/>
  <c r="N7686" i="1"/>
  <c r="N8290" i="1"/>
  <c r="N8779" i="1"/>
  <c r="N8046" i="1"/>
  <c r="N8766" i="1"/>
  <c r="N8541" i="1"/>
  <c r="N8525" i="1"/>
  <c r="N7577" i="1"/>
  <c r="N8417" i="1"/>
  <c r="N7086" i="1"/>
  <c r="N7457" i="1"/>
  <c r="H8734" i="1"/>
  <c r="H7740" i="1"/>
  <c r="H8220" i="1" s="1"/>
  <c r="H8700" i="1" s="1"/>
  <c r="N8523" i="1"/>
  <c r="N8763" i="1"/>
  <c r="H7500" i="1"/>
  <c r="H7980" i="1" s="1"/>
  <c r="H8460" i="1" s="1"/>
  <c r="N8283" i="1"/>
  <c r="N7563" i="1"/>
  <c r="H7140" i="1"/>
  <c r="N8403" i="1"/>
  <c r="N7323" i="1"/>
  <c r="H7020" i="1"/>
  <c r="N7803" i="1"/>
  <c r="N8043" i="1"/>
  <c r="H7860" i="1"/>
  <c r="H8340" i="1" s="1"/>
  <c r="H8820" i="1" s="1"/>
  <c r="N8643" i="1"/>
  <c r="N6963" i="1"/>
  <c r="N7203" i="1"/>
  <c r="H8733" i="1"/>
  <c r="H3952" i="1"/>
  <c r="H4432" i="1" s="1"/>
  <c r="H4912" i="1" s="1"/>
  <c r="H3832" i="1"/>
  <c r="H4312" i="1" s="1"/>
  <c r="H3592" i="1"/>
  <c r="H4072" i="1" s="1"/>
  <c r="H3712" i="1"/>
  <c r="H3951" i="1"/>
  <c r="H4431" i="1" s="1"/>
  <c r="H4911" i="1" s="1"/>
  <c r="H3831" i="1"/>
  <c r="H4311" i="1" s="1"/>
  <c r="H4791" i="1" s="1"/>
  <c r="H3591" i="1"/>
  <c r="H4071" i="1" s="1"/>
  <c r="H3711" i="1"/>
  <c r="H4191" i="1" s="1"/>
  <c r="H5158" i="1"/>
  <c r="H4078" i="1"/>
  <c r="H3718" i="1"/>
  <c r="H4918" i="1"/>
  <c r="H4558" i="1"/>
  <c r="H5038" i="1"/>
  <c r="H4198" i="1"/>
  <c r="H4678" i="1"/>
  <c r="H4798" i="1"/>
  <c r="H4318" i="1"/>
  <c r="H3838" i="1"/>
  <c r="H5398" i="1"/>
  <c r="H4438" i="1"/>
  <c r="H5278" i="1"/>
  <c r="H3958" i="1"/>
  <c r="H3598" i="1"/>
  <c r="H3950" i="1"/>
  <c r="H4430" i="1" s="1"/>
  <c r="H4910" i="1" s="1"/>
  <c r="H3590" i="1"/>
  <c r="H4070" i="1" s="1"/>
  <c r="H3830" i="1"/>
  <c r="H4310" i="1" s="1"/>
  <c r="H3710" i="1"/>
  <c r="H4190" i="1" s="1"/>
  <c r="H4068" i="1"/>
  <c r="H4188" i="1"/>
  <c r="H4908" i="1"/>
  <c r="H4548" i="1"/>
  <c r="H4668" i="1"/>
  <c r="H3588" i="1"/>
  <c r="H5028" i="1" s="1"/>
  <c r="H4308" i="1"/>
  <c r="H3708" i="1"/>
  <c r="H5148" i="1" s="1"/>
  <c r="H4788" i="1"/>
  <c r="H4428" i="1"/>
  <c r="H3828" i="1"/>
  <c r="H5268" i="1" s="1"/>
  <c r="H3948" i="1"/>
  <c r="H5388" i="1" s="1"/>
  <c r="H7175" i="1"/>
  <c r="H8015" i="1" s="1"/>
  <c r="H7535" i="1"/>
  <c r="H8375" i="1" s="1"/>
  <c r="H7295" i="1"/>
  <c r="H8135" i="1" s="1"/>
  <c r="H7415" i="1"/>
  <c r="H8255" i="1" s="1"/>
  <c r="H7655" i="1"/>
  <c r="H8495" i="1" s="1"/>
  <c r="H7055" i="1"/>
  <c r="H7895" i="1" s="1"/>
  <c r="H6935" i="1"/>
  <c r="H7775" i="1" s="1"/>
  <c r="H7090" i="1"/>
  <c r="H8530" i="1"/>
  <c r="H7330" i="1"/>
  <c r="H8290" i="1"/>
  <c r="H7450" i="1"/>
  <c r="H8050" i="1"/>
  <c r="H7570" i="1"/>
  <c r="H8170" i="1"/>
  <c r="H6970" i="1"/>
  <c r="H7690" i="1"/>
  <c r="H8770" i="1"/>
  <c r="H7810" i="1"/>
  <c r="H8650" i="1"/>
  <c r="H7930" i="1"/>
  <c r="H8410" i="1"/>
  <c r="H7210" i="1"/>
  <c r="N9061" i="1"/>
  <c r="N8957" i="1"/>
  <c r="N9673" i="1" s="1"/>
  <c r="N9571" i="1"/>
  <c r="N9469" i="1"/>
  <c r="N9367" i="1"/>
  <c r="N9265" i="1"/>
  <c r="N9163" i="1"/>
  <c r="H9712" i="1"/>
  <c r="H9610" i="1"/>
  <c r="H9508" i="1"/>
  <c r="H8996" i="1"/>
  <c r="H9406" i="1"/>
  <c r="H9304" i="1"/>
  <c r="H9100" i="1"/>
  <c r="H9202" i="1"/>
  <c r="H9571" i="1"/>
  <c r="H9469" i="1"/>
  <c r="H8957" i="1"/>
  <c r="H9673" i="1" s="1"/>
  <c r="H9265" i="1"/>
  <c r="H9061" i="1"/>
  <c r="H9367" i="1"/>
  <c r="H9163" i="1"/>
  <c r="N8996" i="1"/>
  <c r="N9712" i="1"/>
  <c r="N9610" i="1"/>
  <c r="N9508" i="1"/>
  <c r="N9406" i="1"/>
  <c r="N9304" i="1"/>
  <c r="N9202" i="1"/>
  <c r="N9100" i="1"/>
  <c r="H7925" i="1"/>
  <c r="H7205" i="1"/>
  <c r="H8645" i="1" s="1"/>
  <c r="H7325" i="1"/>
  <c r="H8765" i="1" s="1"/>
  <c r="H8285" i="1"/>
  <c r="H7445" i="1"/>
  <c r="H8045" i="1"/>
  <c r="H7565" i="1"/>
  <c r="H8165" i="1"/>
  <c r="H7685" i="1"/>
  <c r="H6965" i="1"/>
  <c r="H8405" i="1" s="1"/>
  <c r="H7085" i="1"/>
  <c r="H8525" i="1" s="1"/>
  <c r="H7805" i="1"/>
  <c r="N7984" i="1"/>
  <c r="N7264" i="1"/>
  <c r="N8584" i="1"/>
  <c r="N8104" i="1"/>
  <c r="N8824" i="1"/>
  <c r="N7504" i="1"/>
  <c r="N8704" i="1"/>
  <c r="N7624" i="1"/>
  <c r="N7024" i="1"/>
  <c r="N8464" i="1"/>
  <c r="N7744" i="1"/>
  <c r="N7384" i="1"/>
  <c r="N8344" i="1"/>
  <c r="N7144" i="1"/>
  <c r="N8224" i="1"/>
  <c r="N7864" i="1"/>
  <c r="N7533" i="1"/>
  <c r="N8373" i="1" s="1"/>
  <c r="N7653" i="1"/>
  <c r="N7053" i="1"/>
  <c r="N7893" i="1" s="1"/>
  <c r="N8733" i="1" s="1"/>
  <c r="N7173" i="1"/>
  <c r="N8013" i="1" s="1"/>
  <c r="N6933" i="1"/>
  <c r="N7773" i="1" s="1"/>
  <c r="N8613" i="1" s="1"/>
  <c r="N7413" i="1"/>
  <c r="N8253" i="1" s="1"/>
  <c r="N7293" i="1"/>
  <c r="N8133" i="1" s="1"/>
  <c r="N6971" i="1"/>
  <c r="N8771" i="1"/>
  <c r="N8651" i="1"/>
  <c r="N8411" i="1"/>
  <c r="N8291" i="1"/>
  <c r="N8051" i="1"/>
  <c r="N8531" i="1"/>
  <c r="N8171" i="1"/>
  <c r="B419" i="3"/>
  <c r="N7654" i="1"/>
  <c r="N8494" i="1" s="1"/>
  <c r="N7054" i="1"/>
  <c r="N7894" i="1" s="1"/>
  <c r="N8734" i="1" s="1"/>
  <c r="N7174" i="1"/>
  <c r="N8014" i="1" s="1"/>
  <c r="N7294" i="1"/>
  <c r="N8134" i="1" s="1"/>
  <c r="N7414" i="1"/>
  <c r="N8254" i="1" s="1"/>
  <c r="N6934" i="1"/>
  <c r="N7774" i="1" s="1"/>
  <c r="N8614" i="1" s="1"/>
  <c r="N7534" i="1"/>
  <c r="N8374" i="1" s="1"/>
  <c r="N7700" i="1"/>
  <c r="N8780" i="1"/>
  <c r="N7820" i="1"/>
  <c r="N8660" i="1"/>
  <c r="N7940" i="1"/>
  <c r="N7220" i="1"/>
  <c r="N8420" i="1"/>
  <c r="N8180" i="1"/>
  <c r="N6980" i="1"/>
  <c r="N8300" i="1"/>
  <c r="N8540" i="1"/>
  <c r="N7100" i="1"/>
  <c r="N8060" i="1"/>
  <c r="N7340" i="1"/>
  <c r="N7580" i="1"/>
  <c r="N7460" i="1"/>
  <c r="O10148" i="1"/>
  <c r="O10145" i="1" s="1"/>
  <c r="Q10145" i="1" s="1"/>
  <c r="H8541" i="1"/>
  <c r="H8421" i="1"/>
  <c r="K8059" i="1"/>
  <c r="K8060" i="1" s="1"/>
  <c r="K8061" i="1" s="1"/>
  <c r="K8062" i="1" s="1"/>
  <c r="K8063" i="1" s="1"/>
  <c r="K8064" i="1" s="1"/>
  <c r="K8065" i="1" s="1"/>
  <c r="K8066" i="1" s="1"/>
  <c r="K8058" i="1"/>
  <c r="K8865" i="1"/>
  <c r="K8864" i="1"/>
  <c r="K8866" i="1" s="1"/>
  <c r="K8869" i="1" s="1"/>
  <c r="K8873" i="1" s="1"/>
  <c r="K8874" i="1" s="1"/>
  <c r="K10083" i="1"/>
  <c r="Q10083" i="1" s="1"/>
  <c r="K10088" i="1"/>
  <c r="K10078" i="1"/>
  <c r="K7699" i="1"/>
  <c r="K7700" i="1" s="1"/>
  <c r="K7701" i="1" s="1"/>
  <c r="K7702" i="1" s="1"/>
  <c r="K7703" i="1" s="1"/>
  <c r="K7704" i="1" s="1"/>
  <c r="K7705" i="1" s="1"/>
  <c r="K7706" i="1" s="1"/>
  <c r="K7698" i="1"/>
  <c r="H8780" i="1"/>
  <c r="K7339" i="1"/>
  <c r="K7340" i="1" s="1"/>
  <c r="K7341" i="1" s="1"/>
  <c r="K7342" i="1" s="1"/>
  <c r="K7343" i="1" s="1"/>
  <c r="K7344" i="1" s="1"/>
  <c r="K7345" i="1" s="1"/>
  <c r="K7346" i="1" s="1"/>
  <c r="K7338" i="1"/>
  <c r="K9376" i="1"/>
  <c r="K9377" i="1" s="1"/>
  <c r="K9371" i="1"/>
  <c r="H8659" i="1"/>
  <c r="K8539" i="1"/>
  <c r="K8540" i="1" s="1"/>
  <c r="K8541" i="1" s="1"/>
  <c r="K8542" i="1" s="1"/>
  <c r="K8543" i="1" s="1"/>
  <c r="K8544" i="1" s="1"/>
  <c r="K8545" i="1" s="1"/>
  <c r="K8546" i="1" s="1"/>
  <c r="K8538" i="1"/>
  <c r="K9471" i="1"/>
  <c r="K9470" i="1"/>
  <c r="H8781" i="1"/>
  <c r="K9073" i="1"/>
  <c r="K9072" i="1"/>
  <c r="K9074" i="1" s="1"/>
  <c r="K9077" i="1" s="1"/>
  <c r="K9081" i="1" s="1"/>
  <c r="K9082" i="1" s="1"/>
  <c r="K9682" i="1"/>
  <c r="K9683" i="1" s="1"/>
  <c r="K9677" i="1"/>
  <c r="K8659" i="1"/>
  <c r="K8660" i="1" s="1"/>
  <c r="K8661" i="1" s="1"/>
  <c r="K8662" i="1" s="1"/>
  <c r="K8663" i="1" s="1"/>
  <c r="K8664" i="1" s="1"/>
  <c r="K8665" i="1" s="1"/>
  <c r="K8666" i="1" s="1"/>
  <c r="K8658" i="1"/>
  <c r="H8419" i="1"/>
  <c r="K8969" i="1"/>
  <c r="K8968" i="1"/>
  <c r="K8970" i="1" s="1"/>
  <c r="K8973" i="1" s="1"/>
  <c r="K8977" i="1" s="1"/>
  <c r="K8978" i="1" s="1"/>
  <c r="K9165" i="1"/>
  <c r="K9164" i="1"/>
  <c r="K8779" i="1"/>
  <c r="K8780" i="1" s="1"/>
  <c r="K8781" i="1" s="1"/>
  <c r="K8782" i="1" s="1"/>
  <c r="K8783" i="1" s="1"/>
  <c r="K8784" i="1" s="1"/>
  <c r="K8785" i="1" s="1"/>
  <c r="K8786" i="1" s="1"/>
  <c r="K8778" i="1"/>
  <c r="K7939" i="1"/>
  <c r="K7940" i="1" s="1"/>
  <c r="K7941" i="1" s="1"/>
  <c r="K7942" i="1" s="1"/>
  <c r="K7943" i="1" s="1"/>
  <c r="K7944" i="1" s="1"/>
  <c r="K7945" i="1" s="1"/>
  <c r="K7946" i="1" s="1"/>
  <c r="K7938" i="1"/>
  <c r="K8419" i="1"/>
  <c r="K8420" i="1" s="1"/>
  <c r="K8421" i="1" s="1"/>
  <c r="K8422" i="1" s="1"/>
  <c r="K8423" i="1" s="1"/>
  <c r="K8424" i="1" s="1"/>
  <c r="K8425" i="1" s="1"/>
  <c r="K8426" i="1" s="1"/>
  <c r="K8418" i="1"/>
  <c r="H8420" i="1"/>
  <c r="K6847" i="1"/>
  <c r="K6848" i="1" s="1"/>
  <c r="K6849" i="1" s="1"/>
  <c r="K6850" i="1" s="1"/>
  <c r="K6851" i="1" s="1"/>
  <c r="K6852" i="1" s="1"/>
  <c r="K6854" i="1" s="1"/>
  <c r="K6856" i="1" s="1"/>
  <c r="K6857" i="1" s="1"/>
  <c r="K6846" i="1"/>
  <c r="H8660" i="1"/>
  <c r="K7819" i="1"/>
  <c r="K7820" i="1" s="1"/>
  <c r="K7821" i="1" s="1"/>
  <c r="K7822" i="1" s="1"/>
  <c r="K7823" i="1" s="1"/>
  <c r="K7824" i="1" s="1"/>
  <c r="K7825" i="1" s="1"/>
  <c r="K7826" i="1" s="1"/>
  <c r="K7818" i="1"/>
  <c r="K8179" i="1"/>
  <c r="K8180" i="1" s="1"/>
  <c r="K8181" i="1" s="1"/>
  <c r="K8182" i="1" s="1"/>
  <c r="K8183" i="1" s="1"/>
  <c r="K8184" i="1" s="1"/>
  <c r="K8185" i="1" s="1"/>
  <c r="K8186" i="1" s="1"/>
  <c r="K8178" i="1"/>
  <c r="K6933" i="1"/>
  <c r="Q6931" i="1"/>
  <c r="K9992" i="1"/>
  <c r="K9996" i="1" s="1"/>
  <c r="K9998" i="1" s="1"/>
  <c r="K9999" i="1" s="1"/>
  <c r="K10000" i="1" s="1"/>
  <c r="K9995" i="1"/>
  <c r="K7579" i="1"/>
  <c r="K7580" i="1" s="1"/>
  <c r="K7581" i="1" s="1"/>
  <c r="K7582" i="1" s="1"/>
  <c r="K7583" i="1" s="1"/>
  <c r="K7584" i="1" s="1"/>
  <c r="K7585" i="1" s="1"/>
  <c r="K7586" i="1" s="1"/>
  <c r="K7578" i="1"/>
  <c r="H8257" i="1"/>
  <c r="K8299" i="1"/>
  <c r="K8300" i="1" s="1"/>
  <c r="K8301" i="1" s="1"/>
  <c r="K8302" i="1" s="1"/>
  <c r="K8303" i="1" s="1"/>
  <c r="K8304" i="1" s="1"/>
  <c r="K8305" i="1" s="1"/>
  <c r="K8306" i="1" s="1"/>
  <c r="K8298" i="1"/>
  <c r="K9894" i="1"/>
  <c r="K9884" i="1"/>
  <c r="H8779" i="1"/>
  <c r="H8539" i="1"/>
  <c r="K9983" i="1"/>
  <c r="K9982" i="1"/>
  <c r="K9984" i="1" s="1"/>
  <c r="K9986" i="1" s="1"/>
  <c r="Q9986" i="1" s="1"/>
  <c r="H8540" i="1"/>
  <c r="H8661" i="1"/>
  <c r="K9801" i="1"/>
  <c r="K9798" i="1"/>
  <c r="K9580" i="1"/>
  <c r="K9581" i="1" s="1"/>
  <c r="K9575" i="1"/>
  <c r="K7087" i="1"/>
  <c r="K7088" i="1" s="1"/>
  <c r="K7089" i="1" s="1"/>
  <c r="K7090" i="1" s="1"/>
  <c r="K7091" i="1" s="1"/>
  <c r="K7092" i="1" s="1"/>
  <c r="K7094" i="1" s="1"/>
  <c r="K7096" i="1" s="1"/>
  <c r="K7097" i="1" s="1"/>
  <c r="K7086" i="1"/>
  <c r="K9267" i="1"/>
  <c r="K9266" i="1"/>
  <c r="H8377" i="1"/>
  <c r="K7219" i="1"/>
  <c r="K7220" i="1" s="1"/>
  <c r="K7221" i="1" s="1"/>
  <c r="K7222" i="1" s="1"/>
  <c r="K7223" i="1" s="1"/>
  <c r="K7224" i="1" s="1"/>
  <c r="K7225" i="1" s="1"/>
  <c r="K7226" i="1" s="1"/>
  <c r="K7218" i="1"/>
  <c r="K7441" i="1"/>
  <c r="K7442" i="1" s="1"/>
  <c r="K7443" i="1" s="1"/>
  <c r="K7444" i="1" s="1"/>
  <c r="K7445" i="1" s="1"/>
  <c r="K7440" i="1"/>
  <c r="Q3542" i="1"/>
  <c r="Q3540" i="1"/>
  <c r="K5872" i="1"/>
  <c r="K5874" i="1" s="1"/>
  <c r="K5876" i="1" s="1"/>
  <c r="K5126" i="1"/>
  <c r="K5128" i="1" s="1"/>
  <c r="K5129" i="1" s="1"/>
  <c r="K5130" i="1" s="1"/>
  <c r="K5131" i="1" s="1"/>
  <c r="K5132" i="1" s="1"/>
  <c r="K5133" i="1" s="1"/>
  <c r="K5134" i="1" s="1"/>
  <c r="K5135" i="1" s="1"/>
  <c r="K5136" i="1" s="1"/>
  <c r="K5123" i="1"/>
  <c r="K5124" i="1" s="1"/>
  <c r="K5125" i="1" s="1"/>
  <c r="H6256" i="1"/>
  <c r="K5462" i="1"/>
  <c r="K5464" i="1" s="1"/>
  <c r="K5461" i="1"/>
  <c r="K5220" i="1"/>
  <c r="K5221" i="1" s="1"/>
  <c r="K5222" i="1" s="1"/>
  <c r="K5224" i="1" s="1"/>
  <c r="K5225" i="1" s="1"/>
  <c r="K5226" i="1" s="1"/>
  <c r="K5228" i="1" s="1"/>
  <c r="K5233" i="1" s="1"/>
  <c r="K5239" i="1" s="1"/>
  <c r="K5241" i="1" s="1"/>
  <c r="K5242" i="1" s="1"/>
  <c r="K5216" i="1"/>
  <c r="K5217" i="1" s="1"/>
  <c r="H4591" i="1"/>
  <c r="K4166" i="1"/>
  <c r="K4168" i="1" s="1"/>
  <c r="K4169" i="1" s="1"/>
  <c r="K4170" i="1" s="1"/>
  <c r="K4171" i="1" s="1"/>
  <c r="K4172" i="1" s="1"/>
  <c r="K4173" i="1" s="1"/>
  <c r="K4174" i="1" s="1"/>
  <c r="K4175" i="1" s="1"/>
  <c r="K4176" i="1" s="1"/>
  <c r="K4163" i="1"/>
  <c r="K4164" i="1" s="1"/>
  <c r="K4165" i="1" s="1"/>
  <c r="K4286" i="1"/>
  <c r="K4288" i="1" s="1"/>
  <c r="K4289" i="1" s="1"/>
  <c r="K4290" i="1" s="1"/>
  <c r="K4291" i="1" s="1"/>
  <c r="K4292" i="1" s="1"/>
  <c r="K4293" i="1" s="1"/>
  <c r="K4294" i="1" s="1"/>
  <c r="K4295" i="1" s="1"/>
  <c r="K4296" i="1" s="1"/>
  <c r="K4283" i="1"/>
  <c r="K4284" i="1" s="1"/>
  <c r="K4285" i="1" s="1"/>
  <c r="K3566" i="1"/>
  <c r="K3568" i="1" s="1"/>
  <c r="K3569" i="1" s="1"/>
  <c r="K3570" i="1" s="1"/>
  <c r="K3571" i="1" s="1"/>
  <c r="K3572" i="1" s="1"/>
  <c r="K3573" i="1" s="1"/>
  <c r="K3574" i="1" s="1"/>
  <c r="K3575" i="1" s="1"/>
  <c r="K3576" i="1" s="1"/>
  <c r="K3577" i="1" s="1"/>
  <c r="K3578" i="1" s="1"/>
  <c r="K3579" i="1" s="1"/>
  <c r="K3580" i="1" s="1"/>
  <c r="K3581" i="1" s="1"/>
  <c r="K3582" i="1" s="1"/>
  <c r="K3583" i="1" s="1"/>
  <c r="K3585" i="1" s="1"/>
  <c r="K3587" i="1" s="1"/>
  <c r="K3588" i="1" s="1"/>
  <c r="K3563" i="1"/>
  <c r="K3564" i="1" s="1"/>
  <c r="K3565" i="1" s="1"/>
  <c r="H4148" i="1"/>
  <c r="K6583" i="1"/>
  <c r="K6591" i="1"/>
  <c r="K6580" i="1"/>
  <c r="K6582" i="1"/>
  <c r="K5669" i="1"/>
  <c r="K5670" i="1"/>
  <c r="K5672" i="1" s="1"/>
  <c r="K4406" i="1"/>
  <c r="K4408" i="1" s="1"/>
  <c r="K4409" i="1" s="1"/>
  <c r="K4410" i="1" s="1"/>
  <c r="K4411" i="1" s="1"/>
  <c r="K4412" i="1" s="1"/>
  <c r="K4413" i="1" s="1"/>
  <c r="K4414" i="1" s="1"/>
  <c r="K4415" i="1" s="1"/>
  <c r="K4416" i="1" s="1"/>
  <c r="K4403" i="1"/>
  <c r="K4404" i="1" s="1"/>
  <c r="K4405" i="1" s="1"/>
  <c r="H4951" i="1"/>
  <c r="K6180" i="1"/>
  <c r="K6182" i="1" s="1"/>
  <c r="K6179" i="1"/>
  <c r="K6276" i="1"/>
  <c r="K6277" i="1" s="1"/>
  <c r="K6280" i="1"/>
  <c r="H4831" i="1"/>
  <c r="H4268" i="1"/>
  <c r="K5565" i="1"/>
  <c r="K5566" i="1"/>
  <c r="K5568" i="1" s="1"/>
  <c r="K4886" i="1"/>
  <c r="K4888" i="1" s="1"/>
  <c r="K4889" i="1" s="1"/>
  <c r="K4890" i="1" s="1"/>
  <c r="K4891" i="1" s="1"/>
  <c r="K4892" i="1" s="1"/>
  <c r="K4893" i="1" s="1"/>
  <c r="K4894" i="1" s="1"/>
  <c r="K4895" i="1" s="1"/>
  <c r="K4896" i="1" s="1"/>
  <c r="K4883" i="1"/>
  <c r="K4884" i="1" s="1"/>
  <c r="K4885" i="1" s="1"/>
  <c r="K5974" i="1"/>
  <c r="K5970" i="1"/>
  <c r="K5971" i="1" s="1"/>
  <c r="H6285" i="1"/>
  <c r="K5770" i="1"/>
  <c r="K5766" i="1"/>
  <c r="K5767" i="1" s="1"/>
  <c r="K5366" i="1"/>
  <c r="K5368" i="1" s="1"/>
  <c r="K5369" i="1" s="1"/>
  <c r="K5370" i="1" s="1"/>
  <c r="K5371" i="1" s="1"/>
  <c r="K5372" i="1" s="1"/>
  <c r="K5373" i="1" s="1"/>
  <c r="K5374" i="1" s="1"/>
  <c r="K5375" i="1" s="1"/>
  <c r="K5376" i="1" s="1"/>
  <c r="K5363" i="1"/>
  <c r="K5364" i="1" s="1"/>
  <c r="K5365" i="1" s="1"/>
  <c r="K4766" i="1"/>
  <c r="K4768" i="1" s="1"/>
  <c r="K4769" i="1" s="1"/>
  <c r="K4770" i="1" s="1"/>
  <c r="K4771" i="1" s="1"/>
  <c r="K4772" i="1" s="1"/>
  <c r="K4773" i="1" s="1"/>
  <c r="K4774" i="1" s="1"/>
  <c r="K4775" i="1" s="1"/>
  <c r="K4776" i="1" s="1"/>
  <c r="K4763" i="1"/>
  <c r="K4764" i="1" s="1"/>
  <c r="K4765" i="1" s="1"/>
  <c r="K4045" i="1"/>
  <c r="K4042" i="1"/>
  <c r="K3446" i="1"/>
  <c r="K3448" i="1" s="1"/>
  <c r="K3449" i="1" s="1"/>
  <c r="K3450" i="1" s="1"/>
  <c r="K3451" i="1" s="1"/>
  <c r="K3452" i="1" s="1"/>
  <c r="K3453" i="1" s="1"/>
  <c r="K3454" i="1" s="1"/>
  <c r="K3455" i="1" s="1"/>
  <c r="K3456" i="1" s="1"/>
  <c r="K3443" i="1"/>
  <c r="K3444" i="1" s="1"/>
  <c r="H4711" i="1"/>
  <c r="K6389" i="1"/>
  <c r="K6390" i="1"/>
  <c r="K6397" i="1" s="1"/>
  <c r="K6398" i="1" s="1"/>
  <c r="H6284" i="1"/>
  <c r="K4646" i="1"/>
  <c r="K4648" i="1" s="1"/>
  <c r="K4649" i="1" s="1"/>
  <c r="K4650" i="1" s="1"/>
  <c r="K4651" i="1" s="1"/>
  <c r="K4652" i="1" s="1"/>
  <c r="K4653" i="1" s="1"/>
  <c r="K4654" i="1" s="1"/>
  <c r="K4655" i="1" s="1"/>
  <c r="K4656" i="1" s="1"/>
  <c r="K4643" i="1"/>
  <c r="K4644" i="1" s="1"/>
  <c r="K4645" i="1" s="1"/>
  <c r="K3926" i="1"/>
  <c r="K3928" i="1" s="1"/>
  <c r="K3929" i="1" s="1"/>
  <c r="K3930" i="1" s="1"/>
  <c r="K3931" i="1" s="1"/>
  <c r="K3932" i="1" s="1"/>
  <c r="K3933" i="1" s="1"/>
  <c r="K3934" i="1" s="1"/>
  <c r="K3935" i="1" s="1"/>
  <c r="K3936" i="1" s="1"/>
  <c r="K3923" i="1"/>
  <c r="K3924" i="1" s="1"/>
  <c r="K3925" i="1" s="1"/>
  <c r="H4192" i="1"/>
  <c r="K3685" i="1"/>
  <c r="K3682" i="1"/>
  <c r="K6076" i="1"/>
  <c r="K6072" i="1"/>
  <c r="K6762" i="1"/>
  <c r="H6762" i="1" s="1"/>
  <c r="G6762" i="1" s="1"/>
  <c r="G6757" i="1"/>
  <c r="K6680" i="1"/>
  <c r="K6677" i="1"/>
  <c r="K6679" i="1"/>
  <c r="K6486" i="1"/>
  <c r="K6489" i="1"/>
  <c r="K6494" i="1" s="1"/>
  <c r="K6487" i="1"/>
  <c r="K5006" i="1"/>
  <c r="K5008" i="1" s="1"/>
  <c r="K5009" i="1" s="1"/>
  <c r="K5010" i="1" s="1"/>
  <c r="K5011" i="1" s="1"/>
  <c r="K5012" i="1" s="1"/>
  <c r="K5013" i="1" s="1"/>
  <c r="K5014" i="1" s="1"/>
  <c r="K5015" i="1" s="1"/>
  <c r="K5016" i="1" s="1"/>
  <c r="K5003" i="1"/>
  <c r="K5004" i="1" s="1"/>
  <c r="K5005" i="1" s="1"/>
  <c r="K4526" i="1"/>
  <c r="K4528" i="1" s="1"/>
  <c r="K4529" i="1" s="1"/>
  <c r="K4530" i="1" s="1"/>
  <c r="K4531" i="1" s="1"/>
  <c r="K4532" i="1" s="1"/>
  <c r="K4533" i="1" s="1"/>
  <c r="K4534" i="1" s="1"/>
  <c r="K4535" i="1" s="1"/>
  <c r="K4536" i="1" s="1"/>
  <c r="K4523" i="1"/>
  <c r="K4524" i="1" s="1"/>
  <c r="K4525" i="1" s="1"/>
  <c r="K3806" i="1"/>
  <c r="K3808" i="1" s="1"/>
  <c r="K3809" i="1" s="1"/>
  <c r="K3810" i="1" s="1"/>
  <c r="K3811" i="1" s="1"/>
  <c r="K3812" i="1" s="1"/>
  <c r="K3813" i="1" s="1"/>
  <c r="K3814" i="1" s="1"/>
  <c r="K3815" i="1" s="1"/>
  <c r="K3816" i="1" s="1"/>
  <c r="K3803" i="1"/>
  <c r="K3804" i="1" s="1"/>
  <c r="K3805" i="1" s="1"/>
  <c r="Q10141" i="1" l="1"/>
  <c r="O10142" i="1"/>
  <c r="O10143" i="1"/>
  <c r="H8615" i="1"/>
  <c r="H8735" i="1"/>
  <c r="N7571" i="1"/>
  <c r="N7691" i="1"/>
  <c r="N7811" i="1"/>
  <c r="N7931" i="1"/>
  <c r="N7211" i="1"/>
  <c r="N7091" i="1"/>
  <c r="N7331" i="1"/>
  <c r="N7451" i="1"/>
  <c r="N8493" i="1"/>
  <c r="K7229" i="1"/>
  <c r="K7228" i="1"/>
  <c r="K7227" i="1"/>
  <c r="K9886" i="1"/>
  <c r="K9885" i="1"/>
  <c r="K9887" i="1" s="1"/>
  <c r="K9889" i="1" s="1"/>
  <c r="Q9889" i="1" s="1"/>
  <c r="K7589" i="1"/>
  <c r="K7588" i="1"/>
  <c r="K7587" i="1"/>
  <c r="K10001" i="1"/>
  <c r="K10002" i="1"/>
  <c r="K10003" i="1" s="1"/>
  <c r="K10005" i="1" s="1"/>
  <c r="K8189" i="1"/>
  <c r="K8188" i="1"/>
  <c r="K8187" i="1"/>
  <c r="K7709" i="1"/>
  <c r="K7708" i="1"/>
  <c r="K7707" i="1"/>
  <c r="K8069" i="1"/>
  <c r="K8068" i="1"/>
  <c r="K8067" i="1"/>
  <c r="H8617" i="1"/>
  <c r="K9802" i="1"/>
  <c r="K9804" i="1" s="1"/>
  <c r="K9805" i="1" s="1"/>
  <c r="K9806" i="1" s="1"/>
  <c r="K9799" i="1"/>
  <c r="K9800" i="1" s="1"/>
  <c r="K9898" i="1"/>
  <c r="K9897" i="1"/>
  <c r="K9896" i="1"/>
  <c r="K9895" i="1"/>
  <c r="K9899" i="1" s="1"/>
  <c r="K9901" i="1" s="1"/>
  <c r="K9902" i="1" s="1"/>
  <c r="K9903" i="1" s="1"/>
  <c r="K6934" i="1"/>
  <c r="K7099" i="1"/>
  <c r="K7100" i="1" s="1"/>
  <c r="K7101" i="1" s="1"/>
  <c r="K7102" i="1" s="1"/>
  <c r="K7103" i="1" s="1"/>
  <c r="K7104" i="1" s="1"/>
  <c r="K7105" i="1" s="1"/>
  <c r="K7106" i="1" s="1"/>
  <c r="K7098" i="1"/>
  <c r="K8984" i="1"/>
  <c r="K8985" i="1" s="1"/>
  <c r="K8982" i="1"/>
  <c r="K8979" i="1"/>
  <c r="K8980" i="1" s="1"/>
  <c r="K8981" i="1" s="1"/>
  <c r="K8669" i="1"/>
  <c r="K8668" i="1"/>
  <c r="K8667" i="1"/>
  <c r="K10080" i="1"/>
  <c r="K10079" i="1"/>
  <c r="K10081" i="1" s="1"/>
  <c r="H8497" i="1"/>
  <c r="K7829" i="1"/>
  <c r="K7828" i="1"/>
  <c r="K7827" i="1"/>
  <c r="K8429" i="1"/>
  <c r="K8428" i="1"/>
  <c r="K8427" i="1"/>
  <c r="K8789" i="1"/>
  <c r="K8788" i="1"/>
  <c r="K8787" i="1"/>
  <c r="K9473" i="1"/>
  <c r="K9478" i="1"/>
  <c r="K9479" i="1" s="1"/>
  <c r="K10092" i="1"/>
  <c r="K10091" i="1"/>
  <c r="K10090" i="1"/>
  <c r="K10089" i="1"/>
  <c r="K10093" i="1" s="1"/>
  <c r="K10095" i="1" s="1"/>
  <c r="K10096" i="1" s="1"/>
  <c r="K10097" i="1" s="1"/>
  <c r="K9583" i="1"/>
  <c r="K9582" i="1"/>
  <c r="K9584" i="1" s="1"/>
  <c r="K9587" i="1" s="1"/>
  <c r="K9591" i="1" s="1"/>
  <c r="K9592" i="1" s="1"/>
  <c r="K7349" i="1"/>
  <c r="K7348" i="1"/>
  <c r="K7347" i="1"/>
  <c r="K7447" i="1"/>
  <c r="K7448" i="1" s="1"/>
  <c r="K7449" i="1" s="1"/>
  <c r="K7450" i="1" s="1"/>
  <c r="K7451" i="1" s="1"/>
  <c r="K7452" i="1" s="1"/>
  <c r="K7454" i="1" s="1"/>
  <c r="K7456" i="1" s="1"/>
  <c r="K7457" i="1" s="1"/>
  <c r="K7446" i="1"/>
  <c r="K8309" i="1"/>
  <c r="K8308" i="1"/>
  <c r="K8307" i="1"/>
  <c r="K6859" i="1"/>
  <c r="K6860" i="1" s="1"/>
  <c r="K6861" i="1" s="1"/>
  <c r="K6862" i="1" s="1"/>
  <c r="K6863" i="1" s="1"/>
  <c r="K6864" i="1" s="1"/>
  <c r="K6865" i="1" s="1"/>
  <c r="K6866" i="1" s="1"/>
  <c r="K6858" i="1"/>
  <c r="K9685" i="1"/>
  <c r="K9684" i="1"/>
  <c r="K9686" i="1" s="1"/>
  <c r="K9689" i="1" s="1"/>
  <c r="K9693" i="1" s="1"/>
  <c r="K9694" i="1" s="1"/>
  <c r="K9379" i="1"/>
  <c r="K9378" i="1"/>
  <c r="K9380" i="1" s="1"/>
  <c r="K9383" i="1" s="1"/>
  <c r="K9387" i="1" s="1"/>
  <c r="K9388" i="1" s="1"/>
  <c r="K8880" i="1"/>
  <c r="K8881" i="1" s="1"/>
  <c r="K8878" i="1"/>
  <c r="K8875" i="1"/>
  <c r="K8876" i="1" s="1"/>
  <c r="K8877" i="1" s="1"/>
  <c r="K9274" i="1"/>
  <c r="K9275" i="1" s="1"/>
  <c r="K9269" i="1"/>
  <c r="K7949" i="1"/>
  <c r="K7948" i="1"/>
  <c r="K7947" i="1"/>
  <c r="K8548" i="1"/>
  <c r="K8547" i="1"/>
  <c r="K8549" i="1"/>
  <c r="K9172" i="1"/>
  <c r="K9173" i="1" s="1"/>
  <c r="K9167" i="1"/>
  <c r="K9088" i="1"/>
  <c r="K9089" i="1" s="1"/>
  <c r="K9086" i="1"/>
  <c r="K9083" i="1"/>
  <c r="K9084" i="1" s="1"/>
  <c r="K9085" i="1" s="1"/>
  <c r="K5873" i="1"/>
  <c r="K6688" i="1"/>
  <c r="K6683" i="1"/>
  <c r="H5392" i="1"/>
  <c r="K6505" i="1"/>
  <c r="K6495" i="1"/>
  <c r="K4538" i="1"/>
  <c r="K4539" i="1" s="1"/>
  <c r="K4540" i="1" s="1"/>
  <c r="K4541" i="1" s="1"/>
  <c r="K4542" i="1" s="1"/>
  <c r="K4543" i="1" s="1"/>
  <c r="K4545" i="1" s="1"/>
  <c r="K4547" i="1" s="1"/>
  <c r="K4548" i="1" s="1"/>
  <c r="K4537" i="1"/>
  <c r="H4671" i="1"/>
  <c r="K6073" i="1"/>
  <c r="K3686" i="1"/>
  <c r="K3688" i="1" s="1"/>
  <c r="K3689" i="1" s="1"/>
  <c r="K3690" i="1" s="1"/>
  <c r="K3691" i="1" s="1"/>
  <c r="K3692" i="1" s="1"/>
  <c r="K3693" i="1" s="1"/>
  <c r="K3694" i="1" s="1"/>
  <c r="K3695" i="1" s="1"/>
  <c r="K3696" i="1" s="1"/>
  <c r="K3683" i="1"/>
  <c r="K3684" i="1" s="1"/>
  <c r="K3818" i="1"/>
  <c r="K3819" i="1" s="1"/>
  <c r="K3820" i="1" s="1"/>
  <c r="K3821" i="1" s="1"/>
  <c r="K3822" i="1" s="1"/>
  <c r="K3823" i="1" s="1"/>
  <c r="K3825" i="1" s="1"/>
  <c r="K3827" i="1" s="1"/>
  <c r="K3828" i="1" s="1"/>
  <c r="K3817" i="1"/>
  <c r="K5018" i="1"/>
  <c r="K5019" i="1" s="1"/>
  <c r="K5020" i="1" s="1"/>
  <c r="K5021" i="1" s="1"/>
  <c r="K5022" i="1" s="1"/>
  <c r="K5023" i="1" s="1"/>
  <c r="K5025" i="1" s="1"/>
  <c r="K5027" i="1" s="1"/>
  <c r="K5028" i="1" s="1"/>
  <c r="K5017" i="1"/>
  <c r="K6078" i="1"/>
  <c r="K6080" i="1" s="1"/>
  <c r="K6077" i="1"/>
  <c r="H4550" i="1"/>
  <c r="H4670" i="1"/>
  <c r="H5431" i="1"/>
  <c r="K6584" i="1"/>
  <c r="K6586" i="1"/>
  <c r="H4551" i="1"/>
  <c r="K3938" i="1"/>
  <c r="K3939" i="1" s="1"/>
  <c r="K3940" i="1" s="1"/>
  <c r="K3941" i="1" s="1"/>
  <c r="K3942" i="1" s="1"/>
  <c r="K3943" i="1" s="1"/>
  <c r="K3945" i="1" s="1"/>
  <c r="K3947" i="1" s="1"/>
  <c r="K3948" i="1" s="1"/>
  <c r="K3937" i="1"/>
  <c r="K4658" i="1"/>
  <c r="K4659" i="1" s="1"/>
  <c r="K4660" i="1" s="1"/>
  <c r="K4661" i="1" s="1"/>
  <c r="K4662" i="1" s="1"/>
  <c r="K4663" i="1" s="1"/>
  <c r="K4665" i="1" s="1"/>
  <c r="K4667" i="1" s="1"/>
  <c r="K4668" i="1" s="1"/>
  <c r="K4657" i="1"/>
  <c r="H6358" i="1"/>
  <c r="K5771" i="1"/>
  <c r="K5772" i="1"/>
  <c r="K5774" i="1" s="1"/>
  <c r="H5311" i="1"/>
  <c r="K6282" i="1"/>
  <c r="K6284" i="1" s="1"/>
  <c r="K6281" i="1"/>
  <c r="K6605" i="1"/>
  <c r="K6604" i="1"/>
  <c r="K6602" i="1"/>
  <c r="K6592" i="1"/>
  <c r="H5191" i="1"/>
  <c r="H4552" i="1"/>
  <c r="K4898" i="1"/>
  <c r="K4899" i="1" s="1"/>
  <c r="K4900" i="1" s="1"/>
  <c r="K4901" i="1" s="1"/>
  <c r="K4902" i="1" s="1"/>
  <c r="K4903" i="1" s="1"/>
  <c r="K4905" i="1" s="1"/>
  <c r="K4907" i="1" s="1"/>
  <c r="K4908" i="1" s="1"/>
  <c r="K4897" i="1"/>
  <c r="H5271" i="1"/>
  <c r="K3458" i="1"/>
  <c r="K3459" i="1" s="1"/>
  <c r="K3460" i="1" s="1"/>
  <c r="K3461" i="1" s="1"/>
  <c r="K3462" i="1" s="1"/>
  <c r="K3463" i="1" s="1"/>
  <c r="K3465" i="1" s="1"/>
  <c r="K3467" i="1" s="1"/>
  <c r="K3468" i="1" s="1"/>
  <c r="K3457" i="1"/>
  <c r="K4778" i="1"/>
  <c r="K4779" i="1" s="1"/>
  <c r="K4780" i="1" s="1"/>
  <c r="K4781" i="1" s="1"/>
  <c r="K4782" i="1" s="1"/>
  <c r="K4783" i="1" s="1"/>
  <c r="K4785" i="1" s="1"/>
  <c r="K4787" i="1" s="1"/>
  <c r="K4788" i="1" s="1"/>
  <c r="K4777" i="1"/>
  <c r="H4672" i="1"/>
  <c r="K6400" i="1"/>
  <c r="K6399" i="1"/>
  <c r="K6401" i="1" s="1"/>
  <c r="K6408" i="1" s="1"/>
  <c r="H5390" i="1"/>
  <c r="K5975" i="1"/>
  <c r="K5976" i="1"/>
  <c r="K5978" i="1" s="1"/>
  <c r="H4508" i="1"/>
  <c r="K4418" i="1"/>
  <c r="K4419" i="1" s="1"/>
  <c r="K4420" i="1" s="1"/>
  <c r="K4421" i="1" s="1"/>
  <c r="K4422" i="1" s="1"/>
  <c r="K4423" i="1" s="1"/>
  <c r="K4425" i="1" s="1"/>
  <c r="K4427" i="1" s="1"/>
  <c r="K4428" i="1" s="1"/>
  <c r="K4417" i="1"/>
  <c r="K5674" i="1"/>
  <c r="K5676" i="1" s="1"/>
  <c r="K5681" i="1" s="1"/>
  <c r="K5682" i="1" s="1"/>
  <c r="K5673" i="1"/>
  <c r="H4388" i="1"/>
  <c r="K3590" i="1"/>
  <c r="K3591" i="1" s="1"/>
  <c r="K3592" i="1" s="1"/>
  <c r="K3593" i="1" s="1"/>
  <c r="K3594" i="1" s="1"/>
  <c r="K3595" i="1" s="1"/>
  <c r="K3596" i="1" s="1"/>
  <c r="K3597" i="1" s="1"/>
  <c r="K3589" i="1"/>
  <c r="K4046" i="1"/>
  <c r="K4048" i="1" s="1"/>
  <c r="K4049" i="1" s="1"/>
  <c r="K4050" i="1" s="1"/>
  <c r="K4043" i="1"/>
  <c r="K4044" i="1" s="1"/>
  <c r="K5378" i="1"/>
  <c r="K5379" i="1" s="1"/>
  <c r="K5380" i="1" s="1"/>
  <c r="K5381" i="1" s="1"/>
  <c r="K5382" i="1" s="1"/>
  <c r="K5383" i="1" s="1"/>
  <c r="K5385" i="1" s="1"/>
  <c r="K5387" i="1" s="1"/>
  <c r="K5388" i="1" s="1"/>
  <c r="K5377" i="1"/>
  <c r="K5570" i="1"/>
  <c r="K5572" i="1" s="1"/>
  <c r="K5577" i="1" s="1"/>
  <c r="K5578" i="1" s="1"/>
  <c r="K5569" i="1"/>
  <c r="H4792" i="1"/>
  <c r="K6184" i="1"/>
  <c r="K6183" i="1"/>
  <c r="K4298" i="1"/>
  <c r="K4299" i="1" s="1"/>
  <c r="K4300" i="1" s="1"/>
  <c r="K4301" i="1" s="1"/>
  <c r="K4302" i="1" s="1"/>
  <c r="K4303" i="1" s="1"/>
  <c r="K4305" i="1" s="1"/>
  <c r="K4307" i="1" s="1"/>
  <c r="K4308" i="1" s="1"/>
  <c r="K4297" i="1"/>
  <c r="K4178" i="1"/>
  <c r="K4179" i="1" s="1"/>
  <c r="K4180" i="1" s="1"/>
  <c r="K4181" i="1" s="1"/>
  <c r="K4182" i="1" s="1"/>
  <c r="K4183" i="1" s="1"/>
  <c r="K4185" i="1" s="1"/>
  <c r="K4187" i="1" s="1"/>
  <c r="K4188" i="1" s="1"/>
  <c r="K4177" i="1"/>
  <c r="K5246" i="1"/>
  <c r="K5248" i="1" s="1"/>
  <c r="K5249" i="1" s="1"/>
  <c r="K5250" i="1" s="1"/>
  <c r="K5251" i="1" s="1"/>
  <c r="K5252" i="1" s="1"/>
  <c r="K5253" i="1" s="1"/>
  <c r="K5254" i="1" s="1"/>
  <c r="K5255" i="1" s="1"/>
  <c r="K5256" i="1" s="1"/>
  <c r="K5243" i="1"/>
  <c r="K5244" i="1" s="1"/>
  <c r="K5245" i="1" s="1"/>
  <c r="H5391" i="1"/>
  <c r="H4790" i="1"/>
  <c r="H5071" i="1"/>
  <c r="K5138" i="1"/>
  <c r="K5139" i="1" s="1"/>
  <c r="K5140" i="1" s="1"/>
  <c r="K5141" i="1" s="1"/>
  <c r="K5142" i="1" s="1"/>
  <c r="K5143" i="1" s="1"/>
  <c r="K5145" i="1" s="1"/>
  <c r="K5147" i="1" s="1"/>
  <c r="K5148" i="1" s="1"/>
  <c r="K5137" i="1"/>
  <c r="K5466" i="1"/>
  <c r="K5468" i="1" s="1"/>
  <c r="K5473" i="1" s="1"/>
  <c r="K5474" i="1" s="1"/>
  <c r="K5465" i="1"/>
  <c r="K5878" i="1"/>
  <c r="K5877" i="1"/>
  <c r="O10140" i="1" l="1"/>
  <c r="O10144" i="1"/>
  <c r="Q10143" i="1"/>
  <c r="K9175" i="1"/>
  <c r="K9174" i="1"/>
  <c r="K9176" i="1" s="1"/>
  <c r="K9179" i="1" s="1"/>
  <c r="K9183" i="1" s="1"/>
  <c r="K9184" i="1" s="1"/>
  <c r="K7459" i="1"/>
  <c r="K7460" i="1" s="1"/>
  <c r="K7461" i="1" s="1"/>
  <c r="K7462" i="1" s="1"/>
  <c r="K7463" i="1" s="1"/>
  <c r="K7464" i="1" s="1"/>
  <c r="K7465" i="1" s="1"/>
  <c r="K7466" i="1" s="1"/>
  <c r="K7458" i="1"/>
  <c r="K7353" i="1"/>
  <c r="K7351" i="1"/>
  <c r="K7355" i="1"/>
  <c r="K9277" i="1"/>
  <c r="K9276" i="1"/>
  <c r="K9278" i="1" s="1"/>
  <c r="K9281" i="1" s="1"/>
  <c r="K9285" i="1" s="1"/>
  <c r="K9286" i="1" s="1"/>
  <c r="K9598" i="1"/>
  <c r="K9599" i="1" s="1"/>
  <c r="K9596" i="1"/>
  <c r="K9593" i="1"/>
  <c r="K9594" i="1" s="1"/>
  <c r="K9595" i="1" s="1"/>
  <c r="K7833" i="1"/>
  <c r="K7831" i="1"/>
  <c r="K7835" i="1"/>
  <c r="K8988" i="1"/>
  <c r="K8989" i="1" s="1"/>
  <c r="K8990" i="1" s="1"/>
  <c r="K8986" i="1"/>
  <c r="K8987" i="1" s="1"/>
  <c r="K8884" i="1"/>
  <c r="K8885" i="1" s="1"/>
  <c r="K8886" i="1" s="1"/>
  <c r="K8882" i="1"/>
  <c r="K8883" i="1" s="1"/>
  <c r="K6867" i="1"/>
  <c r="K6869" i="1" s="1"/>
  <c r="K6868" i="1"/>
  <c r="K9481" i="1"/>
  <c r="K9480" i="1"/>
  <c r="K9482" i="1" s="1"/>
  <c r="K9485" i="1" s="1"/>
  <c r="K9489" i="1" s="1"/>
  <c r="K9490" i="1" s="1"/>
  <c r="K8795" i="1"/>
  <c r="K8791" i="1"/>
  <c r="K8793" i="1"/>
  <c r="K7109" i="1"/>
  <c r="K7108" i="1"/>
  <c r="K7107" i="1"/>
  <c r="K9905" i="1"/>
  <c r="K9906" i="1" s="1"/>
  <c r="K9908" i="1" s="1"/>
  <c r="K9904" i="1"/>
  <c r="K9808" i="1"/>
  <c r="K9809" i="1" s="1"/>
  <c r="K9811" i="1" s="1"/>
  <c r="K9807" i="1"/>
  <c r="K7593" i="1"/>
  <c r="K7591" i="1"/>
  <c r="K7595" i="1"/>
  <c r="K7233" i="1"/>
  <c r="K7231" i="1"/>
  <c r="K7235" i="1"/>
  <c r="H8737" i="1"/>
  <c r="K9090" i="1"/>
  <c r="K9091" i="1" s="1"/>
  <c r="K9092" i="1"/>
  <c r="K9093" i="1" s="1"/>
  <c r="K9094" i="1" s="1"/>
  <c r="K8555" i="1"/>
  <c r="K8553" i="1"/>
  <c r="K8551" i="1"/>
  <c r="K9394" i="1"/>
  <c r="K9395" i="1" s="1"/>
  <c r="K9392" i="1"/>
  <c r="K9389" i="1"/>
  <c r="K9390" i="1" s="1"/>
  <c r="K9391" i="1" s="1"/>
  <c r="K8433" i="1"/>
  <c r="K8431" i="1"/>
  <c r="K8435" i="1"/>
  <c r="K7713" i="1"/>
  <c r="K7711" i="1"/>
  <c r="K7715" i="1"/>
  <c r="K8193" i="1"/>
  <c r="K8191" i="1"/>
  <c r="K8195" i="1"/>
  <c r="K7953" i="1"/>
  <c r="K7951" i="1"/>
  <c r="K7955" i="1"/>
  <c r="K9700" i="1"/>
  <c r="K9701" i="1" s="1"/>
  <c r="K9698" i="1"/>
  <c r="K9695" i="1"/>
  <c r="K9696" i="1" s="1"/>
  <c r="K9697" i="1" s="1"/>
  <c r="K8313" i="1"/>
  <c r="K8311" i="1"/>
  <c r="K8315" i="1"/>
  <c r="K8673" i="1"/>
  <c r="K8671" i="1"/>
  <c r="K8675" i="1"/>
  <c r="K10009" i="1"/>
  <c r="K10011" i="1" s="1"/>
  <c r="K10013" i="1" s="1"/>
  <c r="K10006" i="1"/>
  <c r="K10007" i="1"/>
  <c r="K10010" i="1" s="1"/>
  <c r="K10098" i="1"/>
  <c r="K10099" i="1"/>
  <c r="K10100" i="1" s="1"/>
  <c r="K10102" i="1" s="1"/>
  <c r="K6935" i="1"/>
  <c r="K8073" i="1"/>
  <c r="K8071" i="1"/>
  <c r="K8075" i="1"/>
  <c r="H5152" i="1"/>
  <c r="K4910" i="1"/>
  <c r="K4911" i="1" s="1"/>
  <c r="K4912" i="1" s="1"/>
  <c r="K4913" i="1" s="1"/>
  <c r="K4914" i="1" s="1"/>
  <c r="K4915" i="1" s="1"/>
  <c r="K4916" i="1" s="1"/>
  <c r="K4917" i="1" s="1"/>
  <c r="K4909" i="1"/>
  <c r="K6496" i="1"/>
  <c r="K6498" i="1" s="1"/>
  <c r="K6500" i="1" s="1"/>
  <c r="Q6500" i="1" s="1"/>
  <c r="K6497" i="1"/>
  <c r="K5150" i="1"/>
  <c r="K5151" i="1" s="1"/>
  <c r="K5152" i="1" s="1"/>
  <c r="K5153" i="1" s="1"/>
  <c r="K5154" i="1" s="1"/>
  <c r="K5155" i="1" s="1"/>
  <c r="K5156" i="1" s="1"/>
  <c r="K5157" i="1" s="1"/>
  <c r="K5149" i="1"/>
  <c r="K3599" i="1"/>
  <c r="K3598" i="1"/>
  <c r="K3600" i="1" s="1"/>
  <c r="K6509" i="1"/>
  <c r="K6508" i="1"/>
  <c r="K6507" i="1"/>
  <c r="K6506" i="1"/>
  <c r="K6510" i="1" s="1"/>
  <c r="K6512" i="1" s="1"/>
  <c r="K6513" i="1" s="1"/>
  <c r="K6514" i="1" s="1"/>
  <c r="K4190" i="1"/>
  <c r="K4191" i="1" s="1"/>
  <c r="K4192" i="1" s="1"/>
  <c r="K4193" i="1" s="1"/>
  <c r="K4194" i="1" s="1"/>
  <c r="K4195" i="1" s="1"/>
  <c r="K4196" i="1" s="1"/>
  <c r="K4197" i="1" s="1"/>
  <c r="K4189" i="1"/>
  <c r="K5580" i="1"/>
  <c r="K5579" i="1"/>
  <c r="K5581" i="1" s="1"/>
  <c r="K5584" i="1" s="1"/>
  <c r="K5588" i="1" s="1"/>
  <c r="K5589" i="1" s="1"/>
  <c r="K3950" i="1"/>
  <c r="K3951" i="1" s="1"/>
  <c r="K3952" i="1" s="1"/>
  <c r="K3953" i="1" s="1"/>
  <c r="K3954" i="1" s="1"/>
  <c r="K3955" i="1" s="1"/>
  <c r="K3956" i="1" s="1"/>
  <c r="K3957" i="1" s="1"/>
  <c r="K3949" i="1"/>
  <c r="H5031" i="1"/>
  <c r="K6082" i="1"/>
  <c r="K6081" i="1"/>
  <c r="K3830" i="1"/>
  <c r="K3831" i="1" s="1"/>
  <c r="K3832" i="1" s="1"/>
  <c r="K3833" i="1" s="1"/>
  <c r="K3834" i="1" s="1"/>
  <c r="K3835" i="1" s="1"/>
  <c r="K3836" i="1" s="1"/>
  <c r="K3837" i="1" s="1"/>
  <c r="K3829" i="1"/>
  <c r="K3698" i="1"/>
  <c r="K3699" i="1" s="1"/>
  <c r="K3700" i="1" s="1"/>
  <c r="K3701" i="1" s="1"/>
  <c r="K3702" i="1" s="1"/>
  <c r="K3703" i="1" s="1"/>
  <c r="K3705" i="1" s="1"/>
  <c r="K3707" i="1" s="1"/>
  <c r="K3708" i="1" s="1"/>
  <c r="K3697" i="1"/>
  <c r="K6699" i="1"/>
  <c r="K6689" i="1"/>
  <c r="K6694" i="1"/>
  <c r="Q6694" i="1" s="1"/>
  <c r="K6286" i="1"/>
  <c r="K6285" i="1"/>
  <c r="K4670" i="1"/>
  <c r="K4671" i="1" s="1"/>
  <c r="K4672" i="1" s="1"/>
  <c r="K4673" i="1" s="1"/>
  <c r="K4674" i="1" s="1"/>
  <c r="K4675" i="1" s="1"/>
  <c r="K4676" i="1" s="1"/>
  <c r="K4677" i="1" s="1"/>
  <c r="K4669" i="1"/>
  <c r="K5257" i="1"/>
  <c r="K5258" i="1"/>
  <c r="K5259" i="1" s="1"/>
  <c r="K5260" i="1" s="1"/>
  <c r="K5261" i="1" s="1"/>
  <c r="K5262" i="1" s="1"/>
  <c r="K5263" i="1" s="1"/>
  <c r="K5265" i="1" s="1"/>
  <c r="K5267" i="1" s="1"/>
  <c r="K5268" i="1" s="1"/>
  <c r="K4052" i="1"/>
  <c r="K4053" i="1" s="1"/>
  <c r="K4054" i="1" s="1"/>
  <c r="K4055" i="1" s="1"/>
  <c r="K4056" i="1" s="1"/>
  <c r="K4051" i="1"/>
  <c r="K4790" i="1"/>
  <c r="K4791" i="1" s="1"/>
  <c r="K4792" i="1" s="1"/>
  <c r="K4793" i="1" s="1"/>
  <c r="K4794" i="1" s="1"/>
  <c r="K4795" i="1" s="1"/>
  <c r="K4796" i="1" s="1"/>
  <c r="K4797" i="1" s="1"/>
  <c r="K4789" i="1"/>
  <c r="H5150" i="1"/>
  <c r="K5776" i="1"/>
  <c r="K5775" i="1"/>
  <c r="K4310" i="1"/>
  <c r="K4311" i="1" s="1"/>
  <c r="K4312" i="1" s="1"/>
  <c r="K4313" i="1" s="1"/>
  <c r="K4314" i="1" s="1"/>
  <c r="K4315" i="1" s="1"/>
  <c r="K4316" i="1" s="1"/>
  <c r="K4317" i="1" s="1"/>
  <c r="K4309" i="1"/>
  <c r="H5272" i="1"/>
  <c r="K5030" i="1"/>
  <c r="K5031" i="1" s="1"/>
  <c r="K5032" i="1" s="1"/>
  <c r="K5033" i="1" s="1"/>
  <c r="K5034" i="1" s="1"/>
  <c r="K5035" i="1" s="1"/>
  <c r="K5036" i="1" s="1"/>
  <c r="K5037" i="1" s="1"/>
  <c r="K5029" i="1"/>
  <c r="K5476" i="1"/>
  <c r="K5475" i="1"/>
  <c r="K5477" i="1" s="1"/>
  <c r="K5480" i="1" s="1"/>
  <c r="K5484" i="1" s="1"/>
  <c r="K5485" i="1" s="1"/>
  <c r="K6191" i="1"/>
  <c r="K6192" i="1" s="1"/>
  <c r="K6186" i="1"/>
  <c r="H5032" i="1"/>
  <c r="K4430" i="1"/>
  <c r="K4431" i="1" s="1"/>
  <c r="K4432" i="1" s="1"/>
  <c r="K4433" i="1" s="1"/>
  <c r="K4434" i="1" s="1"/>
  <c r="K4435" i="1" s="1"/>
  <c r="K4436" i="1" s="1"/>
  <c r="K4437" i="1" s="1"/>
  <c r="K4429" i="1"/>
  <c r="H4748" i="1"/>
  <c r="K5980" i="1"/>
  <c r="K5979" i="1"/>
  <c r="K6594" i="1"/>
  <c r="K6593" i="1"/>
  <c r="K6595" i="1" s="1"/>
  <c r="K6597" i="1" s="1"/>
  <c r="Q6597" i="1" s="1"/>
  <c r="K6606" i="1"/>
  <c r="K6603" i="1"/>
  <c r="K6607" i="1" s="1"/>
  <c r="K6609" i="1" s="1"/>
  <c r="K6610" i="1" s="1"/>
  <c r="K6611" i="1" s="1"/>
  <c r="H5030" i="1"/>
  <c r="K5885" i="1"/>
  <c r="K5886" i="1" s="1"/>
  <c r="K5880" i="1"/>
  <c r="H4628" i="1"/>
  <c r="H5270" i="1"/>
  <c r="K5390" i="1"/>
  <c r="K5391" i="1" s="1"/>
  <c r="K5392" i="1" s="1"/>
  <c r="K5393" i="1" s="1"/>
  <c r="K5394" i="1" s="1"/>
  <c r="K5395" i="1" s="1"/>
  <c r="K5396" i="1" s="1"/>
  <c r="K5397" i="1" s="1"/>
  <c r="K5389" i="1"/>
  <c r="K5684" i="1"/>
  <c r="K5683" i="1"/>
  <c r="K5685" i="1" s="1"/>
  <c r="K5688" i="1" s="1"/>
  <c r="K5692" i="1" s="1"/>
  <c r="K5693" i="1" s="1"/>
  <c r="K6409" i="1"/>
  <c r="K6412" i="1"/>
  <c r="K3470" i="1"/>
  <c r="K3471" i="1" s="1"/>
  <c r="K3472" i="1" s="1"/>
  <c r="K3473" i="1" s="1"/>
  <c r="K3474" i="1" s="1"/>
  <c r="K3475" i="1" s="1"/>
  <c r="K3476" i="1" s="1"/>
  <c r="K3477" i="1" s="1"/>
  <c r="K3469" i="1"/>
  <c r="H5151" i="1"/>
  <c r="K4550" i="1"/>
  <c r="K4551" i="1" s="1"/>
  <c r="K4552" i="1" s="1"/>
  <c r="K4553" i="1" s="1"/>
  <c r="K4554" i="1" s="1"/>
  <c r="K4555" i="1" s="1"/>
  <c r="K4556" i="1" s="1"/>
  <c r="K4557" i="1" s="1"/>
  <c r="K4549" i="1"/>
  <c r="Q10140" i="1" l="1"/>
  <c r="O10139" i="1"/>
  <c r="Q10139" i="1" s="1"/>
  <c r="K8436" i="1"/>
  <c r="K8437" i="1"/>
  <c r="K8438" i="1" s="1"/>
  <c r="K8439" i="1" s="1"/>
  <c r="K10103" i="1"/>
  <c r="K10106" i="1"/>
  <c r="K10108" i="1" s="1"/>
  <c r="K10110" i="1" s="1"/>
  <c r="K10104" i="1"/>
  <c r="K10107" i="1" s="1"/>
  <c r="K7957" i="1"/>
  <c r="K7958" i="1" s="1"/>
  <c r="K7959" i="1" s="1"/>
  <c r="K7956" i="1"/>
  <c r="K9496" i="1"/>
  <c r="K9497" i="1" s="1"/>
  <c r="K9494" i="1"/>
  <c r="K9491" i="1"/>
  <c r="K9492" i="1" s="1"/>
  <c r="K9493" i="1" s="1"/>
  <c r="K7469" i="1"/>
  <c r="K7468" i="1"/>
  <c r="K7467" i="1"/>
  <c r="K8676" i="1"/>
  <c r="K8677" i="1"/>
  <c r="K8678" i="1" s="1"/>
  <c r="K8679" i="1" s="1"/>
  <c r="K8316" i="1"/>
  <c r="K8317" i="1"/>
  <c r="K8318" i="1" s="1"/>
  <c r="K8319" i="1" s="1"/>
  <c r="K7716" i="1"/>
  <c r="K7717" i="1"/>
  <c r="K7718" i="1" s="1"/>
  <c r="K7719" i="1" s="1"/>
  <c r="K8556" i="1"/>
  <c r="K8557" i="1"/>
  <c r="K8558" i="1" s="1"/>
  <c r="K8559" i="1" s="1"/>
  <c r="K7236" i="1"/>
  <c r="K7237" i="1"/>
  <c r="K7238" i="1" s="1"/>
  <c r="K7239" i="1" s="1"/>
  <c r="K9815" i="1"/>
  <c r="K9817" i="1" s="1"/>
  <c r="K9819" i="1" s="1"/>
  <c r="K9813" i="1"/>
  <c r="K9816" i="1" s="1"/>
  <c r="K9812" i="1"/>
  <c r="K7113" i="1"/>
  <c r="K7111" i="1"/>
  <c r="K7115" i="1"/>
  <c r="K9190" i="1"/>
  <c r="K9191" i="1" s="1"/>
  <c r="K9188" i="1"/>
  <c r="K9185" i="1"/>
  <c r="K9186" i="1" s="1"/>
  <c r="K9187" i="1" s="1"/>
  <c r="K10014" i="1"/>
  <c r="K10015" i="1" s="1"/>
  <c r="K10012" i="1"/>
  <c r="K9398" i="1"/>
  <c r="K9399" i="1" s="1"/>
  <c r="K9400" i="1" s="1"/>
  <c r="K9396" i="1"/>
  <c r="K9397" i="1" s="1"/>
  <c r="K6873" i="1"/>
  <c r="K6871" i="1"/>
  <c r="K6875" i="1"/>
  <c r="K9912" i="1"/>
  <c r="K9914" i="1" s="1"/>
  <c r="K9916" i="1" s="1"/>
  <c r="K9910" i="1"/>
  <c r="K9913" i="1" s="1"/>
  <c r="K9909" i="1"/>
  <c r="K9602" i="1"/>
  <c r="K9603" i="1" s="1"/>
  <c r="K9604" i="1" s="1"/>
  <c r="K9600" i="1"/>
  <c r="K9601" i="1" s="1"/>
  <c r="K9096" i="1"/>
  <c r="K9097" i="1" s="1"/>
  <c r="K9098" i="1" s="1"/>
  <c r="K9099" i="1" s="1"/>
  <c r="K9095" i="1"/>
  <c r="K7597" i="1"/>
  <c r="K7598" i="1" s="1"/>
  <c r="K7599" i="1" s="1"/>
  <c r="K7596" i="1"/>
  <c r="K7356" i="1"/>
  <c r="K7357" i="1"/>
  <c r="K7358" i="1" s="1"/>
  <c r="K7359" i="1" s="1"/>
  <c r="K8076" i="1"/>
  <c r="K8077" i="1"/>
  <c r="K8078" i="1" s="1"/>
  <c r="K8079" i="1" s="1"/>
  <c r="K8888" i="1"/>
  <c r="K8889" i="1" s="1"/>
  <c r="K8890" i="1" s="1"/>
  <c r="K8891" i="1" s="1"/>
  <c r="K8887" i="1"/>
  <c r="K8992" i="1"/>
  <c r="K8993" i="1" s="1"/>
  <c r="K8994" i="1" s="1"/>
  <c r="K8995" i="1" s="1"/>
  <c r="K8991" i="1"/>
  <c r="K9292" i="1"/>
  <c r="K9293" i="1" s="1"/>
  <c r="K9290" i="1"/>
  <c r="K9287" i="1"/>
  <c r="K9288" i="1" s="1"/>
  <c r="K9289" i="1" s="1"/>
  <c r="K8196" i="1"/>
  <c r="K8197" i="1"/>
  <c r="K8198" i="1" s="1"/>
  <c r="K8199" i="1" s="1"/>
  <c r="K6937" i="1"/>
  <c r="K9704" i="1"/>
  <c r="K9705" i="1" s="1"/>
  <c r="K9706" i="1" s="1"/>
  <c r="K9702" i="1"/>
  <c r="K9703" i="1" s="1"/>
  <c r="K8796" i="1"/>
  <c r="K8797" i="1"/>
  <c r="K8798" i="1" s="1"/>
  <c r="K8799" i="1" s="1"/>
  <c r="K7836" i="1"/>
  <c r="K7837" i="1"/>
  <c r="K7838" i="1" s="1"/>
  <c r="K7839" i="1" s="1"/>
  <c r="K6410" i="1"/>
  <c r="K6411" i="1" s="1"/>
  <c r="K6413" i="1"/>
  <c r="K6415" i="1" s="1"/>
  <c r="K6416" i="1" s="1"/>
  <c r="K6417" i="1" s="1"/>
  <c r="K4200" i="1"/>
  <c r="K4198" i="1"/>
  <c r="K4199" i="1"/>
  <c r="K5040" i="1"/>
  <c r="K5039" i="1"/>
  <c r="K5038" i="1"/>
  <c r="K5699" i="1"/>
  <c r="K5700" i="1" s="1"/>
  <c r="K5697" i="1"/>
  <c r="K5694" i="1"/>
  <c r="K5695" i="1" s="1"/>
  <c r="K5696" i="1" s="1"/>
  <c r="K4440" i="1"/>
  <c r="K4439" i="1"/>
  <c r="K4438" i="1"/>
  <c r="K5160" i="1"/>
  <c r="K5159" i="1"/>
  <c r="K5158" i="1"/>
  <c r="H4988" i="1"/>
  <c r="K3478" i="1"/>
  <c r="K3480" i="1" s="1"/>
  <c r="K3479" i="1"/>
  <c r="K6194" i="1"/>
  <c r="K6193" i="1"/>
  <c r="K6195" i="1" s="1"/>
  <c r="K6198" i="1" s="1"/>
  <c r="K6202" i="1" s="1"/>
  <c r="K6203" i="1" s="1"/>
  <c r="K5269" i="1"/>
  <c r="K5270" i="1"/>
  <c r="K5271" i="1" s="1"/>
  <c r="K5272" i="1" s="1"/>
  <c r="K5273" i="1" s="1"/>
  <c r="K5274" i="1" s="1"/>
  <c r="K5275" i="1" s="1"/>
  <c r="K5276" i="1" s="1"/>
  <c r="K5277" i="1" s="1"/>
  <c r="K3710" i="1"/>
  <c r="K3711" i="1" s="1"/>
  <c r="K3712" i="1" s="1"/>
  <c r="K3713" i="1" s="1"/>
  <c r="K3714" i="1" s="1"/>
  <c r="K3715" i="1" s="1"/>
  <c r="K3716" i="1" s="1"/>
  <c r="K3717" i="1" s="1"/>
  <c r="K3709" i="1"/>
  <c r="K6516" i="1"/>
  <c r="K6517" i="1" s="1"/>
  <c r="K6519" i="1" s="1"/>
  <c r="K6515" i="1"/>
  <c r="K6612" i="1"/>
  <c r="K6613" i="1"/>
  <c r="K6614" i="1" s="1"/>
  <c r="K6616" i="1" s="1"/>
  <c r="K4320" i="1"/>
  <c r="K4319" i="1"/>
  <c r="K4318" i="1"/>
  <c r="K5783" i="1"/>
  <c r="K5784" i="1" s="1"/>
  <c r="K5778" i="1"/>
  <c r="K4919" i="1"/>
  <c r="K4918" i="1"/>
  <c r="K4920" i="1"/>
  <c r="K5400" i="1"/>
  <c r="K5399" i="1"/>
  <c r="K5398" i="1"/>
  <c r="K4680" i="1"/>
  <c r="K4679" i="1"/>
  <c r="K4678" i="1"/>
  <c r="K6691" i="1"/>
  <c r="K6690" i="1"/>
  <c r="K6692" i="1" s="1"/>
  <c r="K3840" i="1"/>
  <c r="K3839" i="1"/>
  <c r="K3838" i="1"/>
  <c r="K3959" i="1"/>
  <c r="K3958" i="1"/>
  <c r="K3960" i="1"/>
  <c r="K4800" i="1"/>
  <c r="K4799" i="1"/>
  <c r="K4798" i="1"/>
  <c r="K6703" i="1"/>
  <c r="K6702" i="1"/>
  <c r="K6701" i="1"/>
  <c r="K6700" i="1"/>
  <c r="K6704" i="1" s="1"/>
  <c r="K6706" i="1" s="1"/>
  <c r="K6707" i="1" s="1"/>
  <c r="K6708" i="1" s="1"/>
  <c r="K5595" i="1"/>
  <c r="K5596" i="1" s="1"/>
  <c r="K5593" i="1"/>
  <c r="K5590" i="1"/>
  <c r="K5591" i="1" s="1"/>
  <c r="K5592" i="1" s="1"/>
  <c r="K3604" i="1"/>
  <c r="K3602" i="1"/>
  <c r="K3606" i="1"/>
  <c r="K4560" i="1"/>
  <c r="K4559" i="1"/>
  <c r="K4558" i="1"/>
  <c r="K5987" i="1"/>
  <c r="K5988" i="1" s="1"/>
  <c r="K5982" i="1"/>
  <c r="H4868" i="1"/>
  <c r="K5888" i="1"/>
  <c r="K5887" i="1"/>
  <c r="K5889" i="1" s="1"/>
  <c r="K5892" i="1" s="1"/>
  <c r="K5896" i="1" s="1"/>
  <c r="K5897" i="1" s="1"/>
  <c r="K5491" i="1"/>
  <c r="K5492" i="1" s="1"/>
  <c r="K5489" i="1"/>
  <c r="K5486" i="1"/>
  <c r="K5487" i="1" s="1"/>
  <c r="K5488" i="1" s="1"/>
  <c r="K4058" i="1"/>
  <c r="K4059" i="1" s="1"/>
  <c r="K4060" i="1" s="1"/>
  <c r="K4061" i="1" s="1"/>
  <c r="K4062" i="1" s="1"/>
  <c r="K4063" i="1" s="1"/>
  <c r="K4065" i="1" s="1"/>
  <c r="K4067" i="1" s="1"/>
  <c r="K4068" i="1" s="1"/>
  <c r="K4057" i="1"/>
  <c r="K6288" i="1"/>
  <c r="K6293" i="1"/>
  <c r="K6294" i="1" s="1"/>
  <c r="K6089" i="1"/>
  <c r="K6090" i="1" s="1"/>
  <c r="K6084" i="1"/>
  <c r="K8801" i="1" l="1"/>
  <c r="K8800" i="1"/>
  <c r="K8802" i="1" s="1"/>
  <c r="K8804" i="1" s="1"/>
  <c r="K8806" i="1" s="1"/>
  <c r="K8808" i="1" s="1"/>
  <c r="K8810" i="1" s="1"/>
  <c r="K9708" i="1"/>
  <c r="K9709" i="1" s="1"/>
  <c r="K9710" i="1" s="1"/>
  <c r="K9711" i="1" s="1"/>
  <c r="K9707" i="1"/>
  <c r="K9402" i="1"/>
  <c r="K9403" i="1" s="1"/>
  <c r="K9404" i="1" s="1"/>
  <c r="K9405" i="1" s="1"/>
  <c r="K9401" i="1"/>
  <c r="K7473" i="1"/>
  <c r="K7471" i="1"/>
  <c r="K7475" i="1"/>
  <c r="K7361" i="1"/>
  <c r="K7360" i="1"/>
  <c r="K7362" i="1" s="1"/>
  <c r="K7364" i="1" s="1"/>
  <c r="K7366" i="1" s="1"/>
  <c r="K7368" i="1" s="1"/>
  <c r="K7370" i="1" s="1"/>
  <c r="K7240" i="1"/>
  <c r="K7242" i="1" s="1"/>
  <c r="K7244" i="1" s="1"/>
  <c r="K7246" i="1" s="1"/>
  <c r="K7248" i="1" s="1"/>
  <c r="K7250" i="1" s="1"/>
  <c r="K7241" i="1"/>
  <c r="K8561" i="1"/>
  <c r="K8560" i="1"/>
  <c r="K8562" i="1" s="1"/>
  <c r="K8564" i="1" s="1"/>
  <c r="K8566" i="1" s="1"/>
  <c r="K8568" i="1" s="1"/>
  <c r="K8570" i="1" s="1"/>
  <c r="K8680" i="1"/>
  <c r="K8682" i="1" s="1"/>
  <c r="K8684" i="1" s="1"/>
  <c r="K8686" i="1" s="1"/>
  <c r="K8688" i="1" s="1"/>
  <c r="K8690" i="1" s="1"/>
  <c r="K8681" i="1"/>
  <c r="K10109" i="1"/>
  <c r="K10111" i="1"/>
  <c r="K10112" i="1" s="1"/>
  <c r="K7600" i="1"/>
  <c r="K7602" i="1" s="1"/>
  <c r="K7604" i="1" s="1"/>
  <c r="K7606" i="1" s="1"/>
  <c r="K7608" i="1" s="1"/>
  <c r="K7610" i="1" s="1"/>
  <c r="K7601" i="1"/>
  <c r="K9498" i="1"/>
  <c r="K9499" i="1" s="1"/>
  <c r="K9500" i="1"/>
  <c r="K9501" i="1" s="1"/>
  <c r="K9502" i="1" s="1"/>
  <c r="K6942" i="1"/>
  <c r="K9296" i="1"/>
  <c r="K9297" i="1" s="1"/>
  <c r="K9298" i="1" s="1"/>
  <c r="K9294" i="1"/>
  <c r="K9295" i="1" s="1"/>
  <c r="K8893" i="1"/>
  <c r="K8894" i="1" s="1"/>
  <c r="K8896" i="1" s="1"/>
  <c r="K8892" i="1"/>
  <c r="K9917" i="1"/>
  <c r="K9918" i="1" s="1"/>
  <c r="K9915" i="1"/>
  <c r="K7117" i="1"/>
  <c r="K7118" i="1" s="1"/>
  <c r="K7119" i="1" s="1"/>
  <c r="K7116" i="1"/>
  <c r="K7841" i="1"/>
  <c r="K7840" i="1"/>
  <c r="K7842" i="1" s="1"/>
  <c r="K7844" i="1" s="1"/>
  <c r="K7846" i="1" s="1"/>
  <c r="K7848" i="1" s="1"/>
  <c r="K7850" i="1" s="1"/>
  <c r="K8201" i="1"/>
  <c r="K8200" i="1"/>
  <c r="K8202" i="1" s="1"/>
  <c r="K8204" i="1" s="1"/>
  <c r="K8206" i="1" s="1"/>
  <c r="K8208" i="1" s="1"/>
  <c r="K8210" i="1" s="1"/>
  <c r="K9101" i="1"/>
  <c r="K9102" i="1" s="1"/>
  <c r="K9104" i="1" s="1"/>
  <c r="K9100" i="1"/>
  <c r="K6877" i="1"/>
  <c r="K6878" i="1" s="1"/>
  <c r="K6879" i="1" s="1"/>
  <c r="K6876" i="1"/>
  <c r="K7960" i="1"/>
  <c r="K7962" i="1" s="1"/>
  <c r="K7964" i="1" s="1"/>
  <c r="K7966" i="1" s="1"/>
  <c r="K7968" i="1" s="1"/>
  <c r="K7970" i="1" s="1"/>
  <c r="K7961" i="1"/>
  <c r="K8441" i="1"/>
  <c r="K8440" i="1"/>
  <c r="K8442" i="1" s="1"/>
  <c r="K8444" i="1" s="1"/>
  <c r="K8446" i="1" s="1"/>
  <c r="K8448" i="1" s="1"/>
  <c r="K8450" i="1" s="1"/>
  <c r="K8997" i="1"/>
  <c r="K8998" i="1" s="1"/>
  <c r="K9000" i="1" s="1"/>
  <c r="K8996" i="1"/>
  <c r="K10016" i="1"/>
  <c r="K10017" i="1" s="1"/>
  <c r="K10018" i="1" s="1"/>
  <c r="K10019" i="1" s="1"/>
  <c r="K10020" i="1" s="1"/>
  <c r="K10025" i="1"/>
  <c r="K10027" i="1" s="1"/>
  <c r="K9194" i="1"/>
  <c r="K9195" i="1" s="1"/>
  <c r="K9196" i="1" s="1"/>
  <c r="K9192" i="1"/>
  <c r="K9193" i="1" s="1"/>
  <c r="K7720" i="1"/>
  <c r="K7722" i="1" s="1"/>
  <c r="K7724" i="1" s="1"/>
  <c r="K7726" i="1" s="1"/>
  <c r="K7728" i="1" s="1"/>
  <c r="K7730" i="1" s="1"/>
  <c r="K7721" i="1"/>
  <c r="K8080" i="1"/>
  <c r="K8082" i="1" s="1"/>
  <c r="K8084" i="1" s="1"/>
  <c r="K8086" i="1" s="1"/>
  <c r="K8088" i="1" s="1"/>
  <c r="K8090" i="1" s="1"/>
  <c r="K8081" i="1"/>
  <c r="K9606" i="1"/>
  <c r="K9607" i="1" s="1"/>
  <c r="K9608" i="1" s="1"/>
  <c r="K9609" i="1" s="1"/>
  <c r="K9605" i="1"/>
  <c r="K9818" i="1"/>
  <c r="K9820" i="1"/>
  <c r="K9821" i="1" s="1"/>
  <c r="K8321" i="1"/>
  <c r="K8320" i="1"/>
  <c r="K8322" i="1" s="1"/>
  <c r="K8324" i="1" s="1"/>
  <c r="K8326" i="1" s="1"/>
  <c r="K8328" i="1" s="1"/>
  <c r="K8330" i="1" s="1"/>
  <c r="K5406" i="1"/>
  <c r="K5404" i="1"/>
  <c r="K5402" i="1"/>
  <c r="K3484" i="1"/>
  <c r="K3482" i="1"/>
  <c r="K3486" i="1"/>
  <c r="K5703" i="1"/>
  <c r="K5704" i="1" s="1"/>
  <c r="K5705" i="1" s="1"/>
  <c r="K5701" i="1"/>
  <c r="K5702" i="1" s="1"/>
  <c r="K5044" i="1"/>
  <c r="K5042" i="1"/>
  <c r="K5046" i="1"/>
  <c r="K4204" i="1"/>
  <c r="K4202" i="1"/>
  <c r="K4206" i="1"/>
  <c r="H5228" i="1"/>
  <c r="K6709" i="1"/>
  <c r="K6710" i="1"/>
  <c r="K6711" i="1" s="1"/>
  <c r="K6713" i="1" s="1"/>
  <c r="K5166" i="1"/>
  <c r="K5164" i="1"/>
  <c r="K5162" i="1"/>
  <c r="K6092" i="1"/>
  <c r="K6091" i="1"/>
  <c r="K6093" i="1" s="1"/>
  <c r="K6096" i="1" s="1"/>
  <c r="K6100" i="1" s="1"/>
  <c r="K6101" i="1" s="1"/>
  <c r="K5495" i="1"/>
  <c r="K5496" i="1" s="1"/>
  <c r="K5497" i="1" s="1"/>
  <c r="K5493" i="1"/>
  <c r="K5494" i="1" s="1"/>
  <c r="K3844" i="1"/>
  <c r="K3842" i="1"/>
  <c r="K3846" i="1"/>
  <c r="K6296" i="1"/>
  <c r="K6295" i="1"/>
  <c r="K6297" i="1" s="1"/>
  <c r="K6300" i="1" s="1"/>
  <c r="K6304" i="1" s="1"/>
  <c r="K6305" i="1" s="1"/>
  <c r="K5786" i="1"/>
  <c r="K5785" i="1"/>
  <c r="K5787" i="1" s="1"/>
  <c r="K5790" i="1" s="1"/>
  <c r="K5794" i="1" s="1"/>
  <c r="K5795" i="1" s="1"/>
  <c r="K6418" i="1"/>
  <c r="K6419" i="1"/>
  <c r="K6420" i="1" s="1"/>
  <c r="K6422" i="1" s="1"/>
  <c r="H5108" i="1"/>
  <c r="K4564" i="1"/>
  <c r="K4562" i="1"/>
  <c r="K4566" i="1"/>
  <c r="K5279" i="1"/>
  <c r="K5278" i="1"/>
  <c r="K5280" i="1"/>
  <c r="K5990" i="1"/>
  <c r="K5989" i="1"/>
  <c r="K5991" i="1" s="1"/>
  <c r="K5994" i="1" s="1"/>
  <c r="K5998" i="1" s="1"/>
  <c r="K5999" i="1" s="1"/>
  <c r="K3608" i="1"/>
  <c r="K3609" i="1" s="1"/>
  <c r="K3610" i="1" s="1"/>
  <c r="K3607" i="1"/>
  <c r="K3964" i="1"/>
  <c r="K3962" i="1"/>
  <c r="K3966" i="1"/>
  <c r="K4924" i="1"/>
  <c r="K4922" i="1"/>
  <c r="K4926" i="1"/>
  <c r="K3720" i="1"/>
  <c r="K3719" i="1"/>
  <c r="K3718" i="1"/>
  <c r="K4444" i="1"/>
  <c r="K4442" i="1"/>
  <c r="K4446" i="1"/>
  <c r="K5903" i="1"/>
  <c r="K5904" i="1" s="1"/>
  <c r="K5901" i="1"/>
  <c r="K5898" i="1"/>
  <c r="K5899" i="1" s="1"/>
  <c r="K5900" i="1" s="1"/>
  <c r="K5599" i="1"/>
  <c r="K5600" i="1" s="1"/>
  <c r="K5601" i="1" s="1"/>
  <c r="K5597" i="1"/>
  <c r="K5598" i="1" s="1"/>
  <c r="K4324" i="1"/>
  <c r="K4322" i="1"/>
  <c r="K4326" i="1"/>
  <c r="K6520" i="1"/>
  <c r="K6523" i="1"/>
  <c r="K6525" i="1" s="1"/>
  <c r="K6527" i="1" s="1"/>
  <c r="K6521" i="1"/>
  <c r="K6524" i="1" s="1"/>
  <c r="K4804" i="1"/>
  <c r="K4802" i="1"/>
  <c r="K4806" i="1"/>
  <c r="K4070" i="1"/>
  <c r="K4071" i="1" s="1"/>
  <c r="K4072" i="1" s="1"/>
  <c r="K4073" i="1" s="1"/>
  <c r="K4074" i="1" s="1"/>
  <c r="K4075" i="1" s="1"/>
  <c r="K4076" i="1" s="1"/>
  <c r="K4077" i="1" s="1"/>
  <c r="K4069" i="1"/>
  <c r="K4684" i="1"/>
  <c r="K4682" i="1"/>
  <c r="K4686" i="1"/>
  <c r="K6617" i="1"/>
  <c r="K6620" i="1"/>
  <c r="K6622" i="1" s="1"/>
  <c r="K6624" i="1" s="1"/>
  <c r="K6618" i="1"/>
  <c r="K6621" i="1" s="1"/>
  <c r="K6209" i="1"/>
  <c r="K6210" i="1" s="1"/>
  <c r="K6207" i="1"/>
  <c r="K6204" i="1"/>
  <c r="K6205" i="1" s="1"/>
  <c r="K6206" i="1" s="1"/>
  <c r="K8092" i="1" l="1"/>
  <c r="K8093" i="1" s="1"/>
  <c r="K8094" i="1" s="1"/>
  <c r="K8095" i="1" s="1"/>
  <c r="K8096" i="1" s="1"/>
  <c r="K8097" i="1" s="1"/>
  <c r="K8098" i="1" s="1"/>
  <c r="K8100" i="1" s="1"/>
  <c r="K8083" i="1"/>
  <c r="K8085" i="1" s="1"/>
  <c r="K8087" i="1" s="1"/>
  <c r="K8089" i="1" s="1"/>
  <c r="K8091" i="1" s="1"/>
  <c r="K7732" i="1"/>
  <c r="K7733" i="1" s="1"/>
  <c r="K7734" i="1" s="1"/>
  <c r="K7735" i="1" s="1"/>
  <c r="K7736" i="1" s="1"/>
  <c r="K7737" i="1" s="1"/>
  <c r="K7738" i="1" s="1"/>
  <c r="K7740" i="1" s="1"/>
  <c r="K7723" i="1"/>
  <c r="K7725" i="1" s="1"/>
  <c r="K7727" i="1" s="1"/>
  <c r="K7729" i="1" s="1"/>
  <c r="K7731" i="1" s="1"/>
  <c r="K6948" i="1"/>
  <c r="K9713" i="1"/>
  <c r="K9714" i="1" s="1"/>
  <c r="K9716" i="1" s="1"/>
  <c r="K9712" i="1"/>
  <c r="K9611" i="1"/>
  <c r="K9612" i="1" s="1"/>
  <c r="K9614" i="1" s="1"/>
  <c r="K9610" i="1"/>
  <c r="K8452" i="1"/>
  <c r="K8453" i="1" s="1"/>
  <c r="K8454" i="1" s="1"/>
  <c r="K8455" i="1" s="1"/>
  <c r="K8456" i="1" s="1"/>
  <c r="K8457" i="1" s="1"/>
  <c r="K8458" i="1" s="1"/>
  <c r="K8460" i="1" s="1"/>
  <c r="K8443" i="1"/>
  <c r="K8445" i="1" s="1"/>
  <c r="K8447" i="1" s="1"/>
  <c r="K8449" i="1" s="1"/>
  <c r="K8451" i="1" s="1"/>
  <c r="K6880" i="1"/>
  <c r="K6882" i="1" s="1"/>
  <c r="K6884" i="1" s="1"/>
  <c r="K6886" i="1" s="1"/>
  <c r="K6888" i="1" s="1"/>
  <c r="K6890" i="1" s="1"/>
  <c r="K6881" i="1"/>
  <c r="K9504" i="1"/>
  <c r="K9505" i="1" s="1"/>
  <c r="K9506" i="1" s="1"/>
  <c r="K9507" i="1" s="1"/>
  <c r="K9503" i="1"/>
  <c r="K8692" i="1"/>
  <c r="K8693" i="1" s="1"/>
  <c r="K8694" i="1" s="1"/>
  <c r="K8695" i="1" s="1"/>
  <c r="K8696" i="1" s="1"/>
  <c r="K8697" i="1" s="1"/>
  <c r="K8698" i="1" s="1"/>
  <c r="K8700" i="1" s="1"/>
  <c r="K8683" i="1"/>
  <c r="K8685" i="1" s="1"/>
  <c r="K8687" i="1" s="1"/>
  <c r="K8689" i="1" s="1"/>
  <c r="K8691" i="1" s="1"/>
  <c r="K7372" i="1"/>
  <c r="K7373" i="1" s="1"/>
  <c r="K7374" i="1" s="1"/>
  <c r="K7375" i="1" s="1"/>
  <c r="K7376" i="1" s="1"/>
  <c r="K7377" i="1" s="1"/>
  <c r="K7378" i="1" s="1"/>
  <c r="K7380" i="1" s="1"/>
  <c r="K7363" i="1"/>
  <c r="K7365" i="1" s="1"/>
  <c r="K7367" i="1" s="1"/>
  <c r="K7369" i="1" s="1"/>
  <c r="K7371" i="1" s="1"/>
  <c r="K7963" i="1"/>
  <c r="K7965" i="1" s="1"/>
  <c r="K7967" i="1" s="1"/>
  <c r="K7969" i="1" s="1"/>
  <c r="K7971" i="1" s="1"/>
  <c r="K7972" i="1"/>
  <c r="K7973" i="1" s="1"/>
  <c r="K7974" i="1" s="1"/>
  <c r="K7975" i="1" s="1"/>
  <c r="K7976" i="1" s="1"/>
  <c r="K7977" i="1" s="1"/>
  <c r="K7978" i="1" s="1"/>
  <c r="K7980" i="1" s="1"/>
  <c r="K7852" i="1"/>
  <c r="K7853" i="1" s="1"/>
  <c r="K7854" i="1" s="1"/>
  <c r="K7855" i="1" s="1"/>
  <c r="K7856" i="1" s="1"/>
  <c r="K7857" i="1" s="1"/>
  <c r="K7858" i="1" s="1"/>
  <c r="K7860" i="1" s="1"/>
  <c r="K7843" i="1"/>
  <c r="K7845" i="1" s="1"/>
  <c r="K7847" i="1" s="1"/>
  <c r="K7849" i="1" s="1"/>
  <c r="K7851" i="1" s="1"/>
  <c r="K9198" i="1"/>
  <c r="K9199" i="1" s="1"/>
  <c r="K9200" i="1" s="1"/>
  <c r="K9201" i="1" s="1"/>
  <c r="K9197" i="1"/>
  <c r="K9105" i="1"/>
  <c r="K9108" i="1" s="1"/>
  <c r="K9107" i="1"/>
  <c r="K9109" i="1" s="1"/>
  <c r="K9110" i="1" s="1"/>
  <c r="K9111" i="1" s="1"/>
  <c r="K9112" i="1" s="1"/>
  <c r="K9113" i="1" s="1"/>
  <c r="K9114" i="1" s="1"/>
  <c r="K10031" i="1"/>
  <c r="K10032" i="1" s="1"/>
  <c r="K10033" i="1" s="1"/>
  <c r="K10034" i="1" s="1"/>
  <c r="K10029" i="1"/>
  <c r="K9928" i="1"/>
  <c r="K9930" i="1" s="1"/>
  <c r="K9919" i="1"/>
  <c r="K9920" i="1" s="1"/>
  <c r="K9921" i="1" s="1"/>
  <c r="K9922" i="1" s="1"/>
  <c r="K9923" i="1" s="1"/>
  <c r="K8897" i="1"/>
  <c r="K8900" i="1" s="1"/>
  <c r="K8899" i="1"/>
  <c r="K8901" i="1" s="1"/>
  <c r="K8902" i="1" s="1"/>
  <c r="K8903" i="1" s="1"/>
  <c r="K8904" i="1" s="1"/>
  <c r="K8905" i="1" s="1"/>
  <c r="K8906" i="1" s="1"/>
  <c r="K8563" i="1"/>
  <c r="K8565" i="1" s="1"/>
  <c r="K8567" i="1" s="1"/>
  <c r="K8569" i="1" s="1"/>
  <c r="K8571" i="1" s="1"/>
  <c r="K8572" i="1"/>
  <c r="K8573" i="1" s="1"/>
  <c r="K8574" i="1" s="1"/>
  <c r="K8575" i="1" s="1"/>
  <c r="K8576" i="1" s="1"/>
  <c r="K8577" i="1" s="1"/>
  <c r="K8578" i="1" s="1"/>
  <c r="K8580" i="1" s="1"/>
  <c r="K10021" i="1"/>
  <c r="K10023" i="1" s="1"/>
  <c r="K10024" i="1" s="1"/>
  <c r="K10022" i="1"/>
  <c r="K7120" i="1"/>
  <c r="K7122" i="1" s="1"/>
  <c r="K7124" i="1" s="1"/>
  <c r="K7126" i="1" s="1"/>
  <c r="K7128" i="1" s="1"/>
  <c r="K7130" i="1" s="1"/>
  <c r="K7121" i="1"/>
  <c r="K7603" i="1"/>
  <c r="K7605" i="1" s="1"/>
  <c r="K7607" i="1" s="1"/>
  <c r="K7609" i="1" s="1"/>
  <c r="K7611" i="1" s="1"/>
  <c r="K7612" i="1"/>
  <c r="K7613" i="1" s="1"/>
  <c r="K7614" i="1" s="1"/>
  <c r="K7615" i="1" s="1"/>
  <c r="K7616" i="1" s="1"/>
  <c r="K7617" i="1" s="1"/>
  <c r="K7618" i="1" s="1"/>
  <c r="K7620" i="1" s="1"/>
  <c r="K7252" i="1"/>
  <c r="K7253" i="1" s="1"/>
  <c r="K7254" i="1" s="1"/>
  <c r="K7255" i="1" s="1"/>
  <c r="K7256" i="1" s="1"/>
  <c r="K7257" i="1" s="1"/>
  <c r="K7258" i="1" s="1"/>
  <c r="K7260" i="1" s="1"/>
  <c r="K7243" i="1"/>
  <c r="K7245" i="1" s="1"/>
  <c r="K7247" i="1" s="1"/>
  <c r="K7249" i="1" s="1"/>
  <c r="K7251" i="1" s="1"/>
  <c r="K7477" i="1"/>
  <c r="K7478" i="1" s="1"/>
  <c r="K7479" i="1" s="1"/>
  <c r="K7476" i="1"/>
  <c r="K8803" i="1"/>
  <c r="K8805" i="1" s="1"/>
  <c r="K8807" i="1" s="1"/>
  <c r="K8809" i="1" s="1"/>
  <c r="K8811" i="1" s="1"/>
  <c r="K8812" i="1"/>
  <c r="K8813" i="1" s="1"/>
  <c r="K8814" i="1" s="1"/>
  <c r="K8815" i="1" s="1"/>
  <c r="K8816" i="1" s="1"/>
  <c r="K8817" i="1" s="1"/>
  <c r="K8818" i="1" s="1"/>
  <c r="K8820" i="1" s="1"/>
  <c r="K8332" i="1"/>
  <c r="K8333" i="1" s="1"/>
  <c r="K8334" i="1" s="1"/>
  <c r="K8335" i="1" s="1"/>
  <c r="K8336" i="1" s="1"/>
  <c r="K8337" i="1" s="1"/>
  <c r="K8338" i="1" s="1"/>
  <c r="K8340" i="1" s="1"/>
  <c r="K8323" i="1"/>
  <c r="K8325" i="1" s="1"/>
  <c r="K8327" i="1" s="1"/>
  <c r="K8329" i="1" s="1"/>
  <c r="K8331" i="1" s="1"/>
  <c r="K9001" i="1"/>
  <c r="K9004" i="1" s="1"/>
  <c r="K9003" i="1"/>
  <c r="K9005" i="1" s="1"/>
  <c r="K9006" i="1" s="1"/>
  <c r="K9007" i="1" s="1"/>
  <c r="K9008" i="1" s="1"/>
  <c r="K9009" i="1" s="1"/>
  <c r="K9010" i="1" s="1"/>
  <c r="K8212" i="1"/>
  <c r="K8213" i="1" s="1"/>
  <c r="K8214" i="1" s="1"/>
  <c r="K8215" i="1" s="1"/>
  <c r="K8216" i="1" s="1"/>
  <c r="K8217" i="1" s="1"/>
  <c r="K8218" i="1" s="1"/>
  <c r="K8220" i="1" s="1"/>
  <c r="K8203" i="1"/>
  <c r="K8205" i="1" s="1"/>
  <c r="K8207" i="1" s="1"/>
  <c r="K8209" i="1" s="1"/>
  <c r="K8211" i="1" s="1"/>
  <c r="K9300" i="1"/>
  <c r="K9301" i="1" s="1"/>
  <c r="K9302" i="1" s="1"/>
  <c r="K9303" i="1" s="1"/>
  <c r="K9299" i="1"/>
  <c r="K9407" i="1"/>
  <c r="K9408" i="1" s="1"/>
  <c r="K9410" i="1" s="1"/>
  <c r="K9406" i="1"/>
  <c r="K9822" i="1"/>
  <c r="K9823" i="1" s="1"/>
  <c r="K9824" i="1" s="1"/>
  <c r="K9825" i="1" s="1"/>
  <c r="K9826" i="1" s="1"/>
  <c r="K9831" i="1"/>
  <c r="K9833" i="1" s="1"/>
  <c r="K10122" i="1"/>
  <c r="K10124" i="1" s="1"/>
  <c r="K10113" i="1"/>
  <c r="K10114" i="1" s="1"/>
  <c r="K10115" i="1" s="1"/>
  <c r="K10116" i="1" s="1"/>
  <c r="K10117" i="1" s="1"/>
  <c r="K5907" i="1"/>
  <c r="K5908" i="1" s="1"/>
  <c r="K5909" i="1" s="1"/>
  <c r="K5905" i="1"/>
  <c r="K5906" i="1" s="1"/>
  <c r="K4928" i="1"/>
  <c r="K4929" i="1" s="1"/>
  <c r="K4930" i="1" s="1"/>
  <c r="K4927" i="1"/>
  <c r="K6005" i="1"/>
  <c r="K6006" i="1" s="1"/>
  <c r="K6003" i="1"/>
  <c r="K6000" i="1"/>
  <c r="K6001" i="1" s="1"/>
  <c r="K6002" i="1" s="1"/>
  <c r="K5284" i="1"/>
  <c r="K5282" i="1"/>
  <c r="K5286" i="1"/>
  <c r="K4568" i="1"/>
  <c r="K4569" i="1" s="1"/>
  <c r="K4570" i="1" s="1"/>
  <c r="K4567" i="1"/>
  <c r="K6311" i="1"/>
  <c r="K6312" i="1" s="1"/>
  <c r="K6309" i="1"/>
  <c r="K6306" i="1"/>
  <c r="K6307" i="1" s="1"/>
  <c r="K6308" i="1" s="1"/>
  <c r="K5168" i="1"/>
  <c r="K5169" i="1" s="1"/>
  <c r="K5170" i="1" s="1"/>
  <c r="K5167" i="1"/>
  <c r="K6528" i="1"/>
  <c r="K6529" i="1" s="1"/>
  <c r="K6526" i="1"/>
  <c r="K4448" i="1"/>
  <c r="K4449" i="1" s="1"/>
  <c r="K4450" i="1" s="1"/>
  <c r="K4447" i="1"/>
  <c r="K6714" i="1"/>
  <c r="K6717" i="1"/>
  <c r="K6719" i="1" s="1"/>
  <c r="K6721" i="1" s="1"/>
  <c r="K6715" i="1"/>
  <c r="K6718" i="1" s="1"/>
  <c r="K6625" i="1"/>
  <c r="K6626" i="1" s="1"/>
  <c r="K6623" i="1"/>
  <c r="K4688" i="1"/>
  <c r="K4689" i="1" s="1"/>
  <c r="K4690" i="1" s="1"/>
  <c r="K4687" i="1"/>
  <c r="K3848" i="1"/>
  <c r="K3849" i="1" s="1"/>
  <c r="K3850" i="1" s="1"/>
  <c r="K3847" i="1"/>
  <c r="K6423" i="1"/>
  <c r="K6426" i="1"/>
  <c r="K6428" i="1" s="1"/>
  <c r="K6430" i="1" s="1"/>
  <c r="K6424" i="1"/>
  <c r="K6427" i="1" s="1"/>
  <c r="K3724" i="1"/>
  <c r="K3722" i="1"/>
  <c r="K3726" i="1"/>
  <c r="K3968" i="1"/>
  <c r="K3969" i="1" s="1"/>
  <c r="K3970" i="1" s="1"/>
  <c r="K3967" i="1"/>
  <c r="K5499" i="1"/>
  <c r="K5500" i="1" s="1"/>
  <c r="K5501" i="1" s="1"/>
  <c r="K5502" i="1" s="1"/>
  <c r="K5498" i="1"/>
  <c r="K4207" i="1"/>
  <c r="K4208" i="1"/>
  <c r="K4209" i="1" s="1"/>
  <c r="K4210" i="1" s="1"/>
  <c r="K4328" i="1"/>
  <c r="K4329" i="1" s="1"/>
  <c r="K4330" i="1" s="1"/>
  <c r="K4327" i="1"/>
  <c r="K4080" i="1"/>
  <c r="K4079" i="1"/>
  <c r="K4078" i="1"/>
  <c r="H5348" i="1"/>
  <c r="K5801" i="1"/>
  <c r="K5802" i="1" s="1"/>
  <c r="K5799" i="1"/>
  <c r="K5796" i="1"/>
  <c r="K5797" i="1" s="1"/>
  <c r="K5798" i="1" s="1"/>
  <c r="K6107" i="1"/>
  <c r="K6108" i="1" s="1"/>
  <c r="K6105" i="1"/>
  <c r="K6102" i="1"/>
  <c r="K6103" i="1" s="1"/>
  <c r="K6104" i="1" s="1"/>
  <c r="K4808" i="1"/>
  <c r="K4809" i="1" s="1"/>
  <c r="K4810" i="1" s="1"/>
  <c r="K4807" i="1"/>
  <c r="K5707" i="1"/>
  <c r="K5708" i="1" s="1"/>
  <c r="K5709" i="1" s="1"/>
  <c r="K5710" i="1" s="1"/>
  <c r="K5706" i="1"/>
  <c r="K6213" i="1"/>
  <c r="K6214" i="1" s="1"/>
  <c r="K6215" i="1" s="1"/>
  <c r="K6211" i="1"/>
  <c r="K6212" i="1" s="1"/>
  <c r="K3612" i="1"/>
  <c r="K3611" i="1"/>
  <c r="K3613" i="1" s="1"/>
  <c r="K3615" i="1" s="1"/>
  <c r="K3617" i="1" s="1"/>
  <c r="K3619" i="1" s="1"/>
  <c r="K3621" i="1" s="1"/>
  <c r="K5603" i="1"/>
  <c r="K5604" i="1" s="1"/>
  <c r="K5605" i="1" s="1"/>
  <c r="K5606" i="1" s="1"/>
  <c r="K5602" i="1"/>
  <c r="K5048" i="1"/>
  <c r="K5049" i="1" s="1"/>
  <c r="K5050" i="1" s="1"/>
  <c r="K5047" i="1"/>
  <c r="K3488" i="1"/>
  <c r="K3489" i="1" s="1"/>
  <c r="K3490" i="1" s="1"/>
  <c r="K3487" i="1"/>
  <c r="K5408" i="1"/>
  <c r="K5409" i="1" s="1"/>
  <c r="K5410" i="1" s="1"/>
  <c r="K5407" i="1"/>
  <c r="K10118" i="1" l="1"/>
  <c r="K10120" i="1" s="1"/>
  <c r="K10121" i="1" s="1"/>
  <c r="K10119" i="1"/>
  <c r="K7264" i="1"/>
  <c r="K7265" i="1" s="1"/>
  <c r="K7262" i="1"/>
  <c r="K10126" i="1"/>
  <c r="K10128" i="1"/>
  <c r="K10129" i="1" s="1"/>
  <c r="K10130" i="1" s="1"/>
  <c r="K10131" i="1" s="1"/>
  <c r="K9411" i="1"/>
  <c r="K9414" i="1" s="1"/>
  <c r="K9413" i="1"/>
  <c r="K9415" i="1" s="1"/>
  <c r="K9416" i="1" s="1"/>
  <c r="K9417" i="1" s="1"/>
  <c r="K9418" i="1" s="1"/>
  <c r="K9419" i="1" s="1"/>
  <c r="K9420" i="1" s="1"/>
  <c r="K8344" i="1"/>
  <c r="K8345" i="1" s="1"/>
  <c r="K8342" i="1"/>
  <c r="K7622" i="1"/>
  <c r="K7624" i="1"/>
  <c r="K7625" i="1" s="1"/>
  <c r="K7982" i="1"/>
  <c r="K7984" i="1"/>
  <c r="K7985" i="1" s="1"/>
  <c r="K7384" i="1"/>
  <c r="K7385" i="1" s="1"/>
  <c r="K7382" i="1"/>
  <c r="K9617" i="1"/>
  <c r="K9619" i="1" s="1"/>
  <c r="K9620" i="1" s="1"/>
  <c r="K9621" i="1" s="1"/>
  <c r="K9622" i="1" s="1"/>
  <c r="K9623" i="1" s="1"/>
  <c r="K9624" i="1" s="1"/>
  <c r="K9615" i="1"/>
  <c r="K9618" i="1" s="1"/>
  <c r="K8824" i="1"/>
  <c r="K8825" i="1" s="1"/>
  <c r="K8822" i="1"/>
  <c r="K8584" i="1"/>
  <c r="K8585" i="1" s="1"/>
  <c r="K8582" i="1"/>
  <c r="K9203" i="1"/>
  <c r="K9204" i="1" s="1"/>
  <c r="K9206" i="1" s="1"/>
  <c r="K9202" i="1"/>
  <c r="K8224" i="1"/>
  <c r="K8225" i="1" s="1"/>
  <c r="K8222" i="1"/>
  <c r="K8704" i="1"/>
  <c r="K8705" i="1" s="1"/>
  <c r="K8702" i="1"/>
  <c r="K6950" i="1"/>
  <c r="K7744" i="1"/>
  <c r="K7745" i="1" s="1"/>
  <c r="K7742" i="1"/>
  <c r="K9837" i="1"/>
  <c r="K9838" i="1" s="1"/>
  <c r="K9839" i="1" s="1"/>
  <c r="K9840" i="1" s="1"/>
  <c r="K9835" i="1"/>
  <c r="K9012" i="1"/>
  <c r="K9011" i="1"/>
  <c r="K8908" i="1"/>
  <c r="K8907" i="1"/>
  <c r="K9116" i="1"/>
  <c r="K9115" i="1"/>
  <c r="K6892" i="1"/>
  <c r="K6893" i="1" s="1"/>
  <c r="K6894" i="1" s="1"/>
  <c r="K6895" i="1" s="1"/>
  <c r="K6896" i="1" s="1"/>
  <c r="K6897" i="1" s="1"/>
  <c r="K6898" i="1" s="1"/>
  <c r="K6900" i="1" s="1"/>
  <c r="K6883" i="1"/>
  <c r="K6885" i="1" s="1"/>
  <c r="K6887" i="1" s="1"/>
  <c r="K6889" i="1" s="1"/>
  <c r="K6891" i="1" s="1"/>
  <c r="K9827" i="1"/>
  <c r="K9829" i="1" s="1"/>
  <c r="K9830" i="1" s="1"/>
  <c r="K9828" i="1"/>
  <c r="K7480" i="1"/>
  <c r="K7482" i="1" s="1"/>
  <c r="K7484" i="1" s="1"/>
  <c r="K7486" i="1" s="1"/>
  <c r="K7488" i="1" s="1"/>
  <c r="K7490" i="1" s="1"/>
  <c r="K7481" i="1"/>
  <c r="K7123" i="1"/>
  <c r="K7125" i="1" s="1"/>
  <c r="K7127" i="1" s="1"/>
  <c r="K7129" i="1" s="1"/>
  <c r="K7131" i="1" s="1"/>
  <c r="K7132" i="1"/>
  <c r="K7133" i="1" s="1"/>
  <c r="K7134" i="1" s="1"/>
  <c r="K7135" i="1" s="1"/>
  <c r="K7136" i="1" s="1"/>
  <c r="K7137" i="1" s="1"/>
  <c r="K7138" i="1" s="1"/>
  <c r="K7140" i="1" s="1"/>
  <c r="K7864" i="1"/>
  <c r="K7865" i="1" s="1"/>
  <c r="K7862" i="1"/>
  <c r="K8104" i="1"/>
  <c r="K8105" i="1" s="1"/>
  <c r="K8102" i="1"/>
  <c r="K9925" i="1"/>
  <c r="K9924" i="1"/>
  <c r="K9926" i="1" s="1"/>
  <c r="K9927" i="1" s="1"/>
  <c r="K10035" i="1"/>
  <c r="K10037" i="1"/>
  <c r="K10039" i="1" s="1"/>
  <c r="K10040" i="1" s="1"/>
  <c r="K9305" i="1"/>
  <c r="K9306" i="1" s="1"/>
  <c r="K9308" i="1" s="1"/>
  <c r="K9304" i="1"/>
  <c r="K9932" i="1"/>
  <c r="K9934" i="1"/>
  <c r="K9935" i="1" s="1"/>
  <c r="K9936" i="1" s="1"/>
  <c r="K9937" i="1" s="1"/>
  <c r="K9509" i="1"/>
  <c r="K9510" i="1" s="1"/>
  <c r="K9512" i="1" s="1"/>
  <c r="K9508" i="1"/>
  <c r="K8464" i="1"/>
  <c r="K8465" i="1" s="1"/>
  <c r="K8462" i="1"/>
  <c r="K9717" i="1"/>
  <c r="K9720" i="1" s="1"/>
  <c r="K9719" i="1"/>
  <c r="K9721" i="1" s="1"/>
  <c r="K9722" i="1" s="1"/>
  <c r="K9723" i="1" s="1"/>
  <c r="K9724" i="1" s="1"/>
  <c r="K9725" i="1" s="1"/>
  <c r="K9726" i="1" s="1"/>
  <c r="K6007" i="1"/>
  <c r="K6008" i="1" s="1"/>
  <c r="K6009" i="1"/>
  <c r="K6010" i="1" s="1"/>
  <c r="K6011" i="1" s="1"/>
  <c r="K6431" i="1"/>
  <c r="K6432" i="1" s="1"/>
  <c r="K6429" i="1"/>
  <c r="K6217" i="1"/>
  <c r="K6218" i="1" s="1"/>
  <c r="K6219" i="1" s="1"/>
  <c r="K6220" i="1" s="1"/>
  <c r="K6216" i="1"/>
  <c r="K3972" i="1"/>
  <c r="K3971" i="1"/>
  <c r="K3973" i="1" s="1"/>
  <c r="K3975" i="1" s="1"/>
  <c r="K3977" i="1" s="1"/>
  <c r="K3979" i="1" s="1"/>
  <c r="K3981" i="1" s="1"/>
  <c r="K4452" i="1"/>
  <c r="K4451" i="1"/>
  <c r="K4453" i="1" s="1"/>
  <c r="K4455" i="1" s="1"/>
  <c r="K4457" i="1" s="1"/>
  <c r="K4459" i="1" s="1"/>
  <c r="K4461" i="1" s="1"/>
  <c r="K5412" i="1"/>
  <c r="K5411" i="1"/>
  <c r="K5413" i="1" s="1"/>
  <c r="K5415" i="1" s="1"/>
  <c r="K5417" i="1" s="1"/>
  <c r="K5419" i="1" s="1"/>
  <c r="K5421" i="1" s="1"/>
  <c r="K5608" i="1"/>
  <c r="K5609" i="1" s="1"/>
  <c r="K5611" i="1" s="1"/>
  <c r="K5607" i="1"/>
  <c r="K4332" i="1"/>
  <c r="K4331" i="1"/>
  <c r="K4333" i="1" s="1"/>
  <c r="K4335" i="1" s="1"/>
  <c r="K4337" i="1" s="1"/>
  <c r="K4339" i="1" s="1"/>
  <c r="K4341" i="1" s="1"/>
  <c r="K3728" i="1"/>
  <c r="K3729" i="1" s="1"/>
  <c r="K3730" i="1" s="1"/>
  <c r="K3727" i="1"/>
  <c r="K6315" i="1"/>
  <c r="K6316" i="1" s="1"/>
  <c r="K6317" i="1" s="1"/>
  <c r="K6313" i="1"/>
  <c r="K6314" i="1" s="1"/>
  <c r="K4572" i="1"/>
  <c r="K4571" i="1"/>
  <c r="K4573" i="1" s="1"/>
  <c r="K4575" i="1" s="1"/>
  <c r="K4577" i="1" s="1"/>
  <c r="K4579" i="1" s="1"/>
  <c r="K4581" i="1" s="1"/>
  <c r="K5805" i="1"/>
  <c r="K5806" i="1" s="1"/>
  <c r="K5807" i="1" s="1"/>
  <c r="K5803" i="1"/>
  <c r="K5804" i="1" s="1"/>
  <c r="K4084" i="1"/>
  <c r="K4082" i="1"/>
  <c r="K4086" i="1"/>
  <c r="K5288" i="1"/>
  <c r="K5289" i="1" s="1"/>
  <c r="K5290" i="1" s="1"/>
  <c r="K5287" i="1"/>
  <c r="K5712" i="1"/>
  <c r="K5713" i="1" s="1"/>
  <c r="K5715" i="1" s="1"/>
  <c r="K5711" i="1"/>
  <c r="K5504" i="1"/>
  <c r="K5505" i="1" s="1"/>
  <c r="K5507" i="1" s="1"/>
  <c r="K5503" i="1"/>
  <c r="K4692" i="1"/>
  <c r="K4691" i="1"/>
  <c r="K4693" i="1" s="1"/>
  <c r="K4695" i="1" s="1"/>
  <c r="K4697" i="1" s="1"/>
  <c r="K4699" i="1" s="1"/>
  <c r="K4701" i="1" s="1"/>
  <c r="K6530" i="1"/>
  <c r="K6531" i="1" s="1"/>
  <c r="K6532" i="1" s="1"/>
  <c r="K6533" i="1" s="1"/>
  <c r="K6534" i="1" s="1"/>
  <c r="K6539" i="1"/>
  <c r="K6541" i="1" s="1"/>
  <c r="K5172" i="1"/>
  <c r="K5171" i="1"/>
  <c r="K5173" i="1" s="1"/>
  <c r="K5175" i="1" s="1"/>
  <c r="K5177" i="1" s="1"/>
  <c r="K5179" i="1" s="1"/>
  <c r="K5181" i="1" s="1"/>
  <c r="K3492" i="1"/>
  <c r="K3491" i="1"/>
  <c r="K3493" i="1" s="1"/>
  <c r="K3495" i="1" s="1"/>
  <c r="K3497" i="1" s="1"/>
  <c r="K3499" i="1" s="1"/>
  <c r="K3501" i="1" s="1"/>
  <c r="K3623" i="1"/>
  <c r="K3624" i="1" s="1"/>
  <c r="K3625" i="1" s="1"/>
  <c r="K3626" i="1" s="1"/>
  <c r="K3627" i="1" s="1"/>
  <c r="K3628" i="1" s="1"/>
  <c r="K3629" i="1" s="1"/>
  <c r="K3631" i="1" s="1"/>
  <c r="K3614" i="1"/>
  <c r="K3616" i="1" s="1"/>
  <c r="K3618" i="1" s="1"/>
  <c r="K3620" i="1" s="1"/>
  <c r="K3622" i="1" s="1"/>
  <c r="K4812" i="1"/>
  <c r="K4811" i="1"/>
  <c r="K4813" i="1" s="1"/>
  <c r="K4815" i="1" s="1"/>
  <c r="K4817" i="1" s="1"/>
  <c r="K4819" i="1" s="1"/>
  <c r="K4821" i="1" s="1"/>
  <c r="K6111" i="1"/>
  <c r="K6112" i="1" s="1"/>
  <c r="K6113" i="1" s="1"/>
  <c r="K6109" i="1"/>
  <c r="K6110" i="1" s="1"/>
  <c r="K6720" i="1"/>
  <c r="K6722" i="1"/>
  <c r="K6723" i="1" s="1"/>
  <c r="K4932" i="1"/>
  <c r="K4931" i="1"/>
  <c r="K4933" i="1" s="1"/>
  <c r="K4935" i="1" s="1"/>
  <c r="K4937" i="1" s="1"/>
  <c r="K4939" i="1" s="1"/>
  <c r="K4941" i="1" s="1"/>
  <c r="K5052" i="1"/>
  <c r="K5051" i="1"/>
  <c r="K5053" i="1" s="1"/>
  <c r="K5055" i="1" s="1"/>
  <c r="K5057" i="1" s="1"/>
  <c r="K5059" i="1" s="1"/>
  <c r="K5061" i="1" s="1"/>
  <c r="K6636" i="1"/>
  <c r="K6638" i="1" s="1"/>
  <c r="K6627" i="1"/>
  <c r="K6628" i="1" s="1"/>
  <c r="K6629" i="1" s="1"/>
  <c r="K6630" i="1" s="1"/>
  <c r="K6631" i="1" s="1"/>
  <c r="K4211" i="1"/>
  <c r="K4213" i="1" s="1"/>
  <c r="K4215" i="1" s="1"/>
  <c r="K4217" i="1" s="1"/>
  <c r="K4219" i="1" s="1"/>
  <c r="K4221" i="1" s="1"/>
  <c r="K4212" i="1"/>
  <c r="K3852" i="1"/>
  <c r="K3851" i="1"/>
  <c r="K3853" i="1" s="1"/>
  <c r="K3855" i="1" s="1"/>
  <c r="K3857" i="1" s="1"/>
  <c r="K3859" i="1" s="1"/>
  <c r="K3861" i="1" s="1"/>
  <c r="K5911" i="1"/>
  <c r="K5912" i="1" s="1"/>
  <c r="K5913" i="1" s="1"/>
  <c r="K5914" i="1" s="1"/>
  <c r="K5910" i="1"/>
  <c r="K7483" i="1" l="1"/>
  <c r="K7485" i="1" s="1"/>
  <c r="K7487" i="1" s="1"/>
  <c r="K7489" i="1" s="1"/>
  <c r="K7491" i="1" s="1"/>
  <c r="K7492" i="1"/>
  <c r="K7493" i="1" s="1"/>
  <c r="K7494" i="1" s="1"/>
  <c r="K7495" i="1" s="1"/>
  <c r="K7496" i="1" s="1"/>
  <c r="K7497" i="1" s="1"/>
  <c r="K7498" i="1" s="1"/>
  <c r="K7500" i="1" s="1"/>
  <c r="K9013" i="1"/>
  <c r="K9014" i="1"/>
  <c r="K9940" i="1"/>
  <c r="K9942" i="1" s="1"/>
  <c r="K9943" i="1" s="1"/>
  <c r="K9938" i="1"/>
  <c r="K6904" i="1"/>
  <c r="K6905" i="1" s="1"/>
  <c r="K6902" i="1"/>
  <c r="K10132" i="1"/>
  <c r="K10134" i="1"/>
  <c r="K10136" i="1" s="1"/>
  <c r="K10137" i="1" s="1"/>
  <c r="K6951" i="1"/>
  <c r="K9727" i="1"/>
  <c r="K9728" i="1"/>
  <c r="K9309" i="1"/>
  <c r="K9312" i="1" s="1"/>
  <c r="K9311" i="1"/>
  <c r="K9313" i="1" s="1"/>
  <c r="K9314" i="1" s="1"/>
  <c r="K9315" i="1" s="1"/>
  <c r="K9316" i="1" s="1"/>
  <c r="K9317" i="1" s="1"/>
  <c r="K9318" i="1" s="1"/>
  <c r="K9841" i="1"/>
  <c r="K9843" i="1"/>
  <c r="K9845" i="1" s="1"/>
  <c r="K9846" i="1" s="1"/>
  <c r="K9513" i="1"/>
  <c r="K9516" i="1" s="1"/>
  <c r="K9515" i="1"/>
  <c r="K9517" i="1" s="1"/>
  <c r="K9518" i="1" s="1"/>
  <c r="K9519" i="1" s="1"/>
  <c r="K9520" i="1" s="1"/>
  <c r="K9521" i="1" s="1"/>
  <c r="K9522" i="1" s="1"/>
  <c r="K9118" i="1"/>
  <c r="K9117" i="1"/>
  <c r="K7142" i="1"/>
  <c r="K7144" i="1"/>
  <c r="K7145" i="1" s="1"/>
  <c r="K8910" i="1"/>
  <c r="K8909" i="1"/>
  <c r="K9207" i="1"/>
  <c r="K9210" i="1" s="1"/>
  <c r="K9209" i="1"/>
  <c r="K9211" i="1" s="1"/>
  <c r="K9212" i="1" s="1"/>
  <c r="K9213" i="1" s="1"/>
  <c r="K9214" i="1" s="1"/>
  <c r="K9215" i="1" s="1"/>
  <c r="K9216" i="1" s="1"/>
  <c r="K9626" i="1"/>
  <c r="K9625" i="1"/>
  <c r="K9421" i="1"/>
  <c r="K9422" i="1"/>
  <c r="K3863" i="1"/>
  <c r="K3864" i="1" s="1"/>
  <c r="K3865" i="1" s="1"/>
  <c r="K3866" i="1" s="1"/>
  <c r="K3867" i="1" s="1"/>
  <c r="K3868" i="1" s="1"/>
  <c r="K3869" i="1" s="1"/>
  <c r="K3871" i="1" s="1"/>
  <c r="K3854" i="1"/>
  <c r="K3856" i="1" s="1"/>
  <c r="K3858" i="1" s="1"/>
  <c r="K3860" i="1" s="1"/>
  <c r="K3862" i="1" s="1"/>
  <c r="K6633" i="1"/>
  <c r="K6632" i="1"/>
  <c r="K6634" i="1" s="1"/>
  <c r="K6635" i="1" s="1"/>
  <c r="K6115" i="1"/>
  <c r="K6116" i="1" s="1"/>
  <c r="K6117" i="1" s="1"/>
  <c r="K6118" i="1" s="1"/>
  <c r="K6114" i="1"/>
  <c r="K5718" i="1"/>
  <c r="K5720" i="1" s="1"/>
  <c r="K5721" i="1" s="1"/>
  <c r="K5722" i="1" s="1"/>
  <c r="K5723" i="1" s="1"/>
  <c r="K5724" i="1" s="1"/>
  <c r="K5725" i="1" s="1"/>
  <c r="K5716" i="1"/>
  <c r="K5719" i="1" s="1"/>
  <c r="K4583" i="1"/>
  <c r="K4584" i="1" s="1"/>
  <c r="K4585" i="1" s="1"/>
  <c r="K4586" i="1" s="1"/>
  <c r="K4587" i="1" s="1"/>
  <c r="K4588" i="1" s="1"/>
  <c r="K4589" i="1" s="1"/>
  <c r="K4591" i="1" s="1"/>
  <c r="K4574" i="1"/>
  <c r="K4576" i="1" s="1"/>
  <c r="K4578" i="1" s="1"/>
  <c r="K4580" i="1" s="1"/>
  <c r="K4582" i="1" s="1"/>
  <c r="K5614" i="1"/>
  <c r="K5616" i="1" s="1"/>
  <c r="K5617" i="1" s="1"/>
  <c r="K5618" i="1" s="1"/>
  <c r="K5619" i="1" s="1"/>
  <c r="K5620" i="1" s="1"/>
  <c r="K5621" i="1" s="1"/>
  <c r="K5612" i="1"/>
  <c r="K5615" i="1" s="1"/>
  <c r="K5063" i="1"/>
  <c r="K5064" i="1" s="1"/>
  <c r="K5065" i="1" s="1"/>
  <c r="K5066" i="1" s="1"/>
  <c r="K5067" i="1" s="1"/>
  <c r="K5068" i="1" s="1"/>
  <c r="K5069" i="1" s="1"/>
  <c r="K5071" i="1" s="1"/>
  <c r="K5054" i="1"/>
  <c r="K5056" i="1" s="1"/>
  <c r="K5058" i="1" s="1"/>
  <c r="K5060" i="1" s="1"/>
  <c r="K5062" i="1" s="1"/>
  <c r="K4823" i="1"/>
  <c r="K4824" i="1" s="1"/>
  <c r="K4825" i="1" s="1"/>
  <c r="K4826" i="1" s="1"/>
  <c r="K4827" i="1" s="1"/>
  <c r="K4828" i="1" s="1"/>
  <c r="K4829" i="1" s="1"/>
  <c r="K4831" i="1" s="1"/>
  <c r="K4814" i="1"/>
  <c r="K4816" i="1" s="1"/>
  <c r="K4818" i="1" s="1"/>
  <c r="K4820" i="1" s="1"/>
  <c r="K4822" i="1" s="1"/>
  <c r="K5292" i="1"/>
  <c r="K5291" i="1"/>
  <c r="K5293" i="1" s="1"/>
  <c r="K5295" i="1" s="1"/>
  <c r="K5297" i="1" s="1"/>
  <c r="K5299" i="1" s="1"/>
  <c r="K5301" i="1" s="1"/>
  <c r="K6319" i="1"/>
  <c r="K6320" i="1" s="1"/>
  <c r="K6321" i="1" s="1"/>
  <c r="K6322" i="1" s="1"/>
  <c r="K6318" i="1"/>
  <c r="K4343" i="1"/>
  <c r="K4344" i="1" s="1"/>
  <c r="K4345" i="1" s="1"/>
  <c r="K4346" i="1" s="1"/>
  <c r="K4347" i="1" s="1"/>
  <c r="K4348" i="1" s="1"/>
  <c r="K4349" i="1" s="1"/>
  <c r="K4351" i="1" s="1"/>
  <c r="K4334" i="1"/>
  <c r="K4336" i="1" s="1"/>
  <c r="K4338" i="1" s="1"/>
  <c r="K4340" i="1" s="1"/>
  <c r="K4342" i="1" s="1"/>
  <c r="K5510" i="1"/>
  <c r="K5512" i="1" s="1"/>
  <c r="K5513" i="1" s="1"/>
  <c r="K5514" i="1" s="1"/>
  <c r="K5515" i="1" s="1"/>
  <c r="K5516" i="1" s="1"/>
  <c r="K5517" i="1" s="1"/>
  <c r="K5508" i="1"/>
  <c r="K5511" i="1" s="1"/>
  <c r="K3732" i="1"/>
  <c r="K3731" i="1"/>
  <c r="K3733" i="1" s="1"/>
  <c r="K3735" i="1" s="1"/>
  <c r="K3737" i="1" s="1"/>
  <c r="K3739" i="1" s="1"/>
  <c r="K3741" i="1" s="1"/>
  <c r="K3983" i="1"/>
  <c r="K3984" i="1" s="1"/>
  <c r="K3985" i="1" s="1"/>
  <c r="K3986" i="1" s="1"/>
  <c r="K3987" i="1" s="1"/>
  <c r="K3988" i="1" s="1"/>
  <c r="K3989" i="1" s="1"/>
  <c r="K3991" i="1" s="1"/>
  <c r="K3974" i="1"/>
  <c r="K3976" i="1" s="1"/>
  <c r="K3978" i="1" s="1"/>
  <c r="K3980" i="1" s="1"/>
  <c r="K3982" i="1" s="1"/>
  <c r="K6442" i="1"/>
  <c r="K6444" i="1" s="1"/>
  <c r="K6433" i="1"/>
  <c r="K6434" i="1" s="1"/>
  <c r="K6435" i="1" s="1"/>
  <c r="K6436" i="1" s="1"/>
  <c r="K6437" i="1" s="1"/>
  <c r="K6640" i="1"/>
  <c r="K6642" i="1"/>
  <c r="K6643" i="1" s="1"/>
  <c r="K6644" i="1" s="1"/>
  <c r="K6645" i="1" s="1"/>
  <c r="K5809" i="1"/>
  <c r="K5810" i="1" s="1"/>
  <c r="K5811" i="1" s="1"/>
  <c r="K5812" i="1" s="1"/>
  <c r="K5808" i="1"/>
  <c r="K5423" i="1"/>
  <c r="K5424" i="1" s="1"/>
  <c r="K5425" i="1" s="1"/>
  <c r="K5426" i="1" s="1"/>
  <c r="K5427" i="1" s="1"/>
  <c r="K5428" i="1" s="1"/>
  <c r="K5429" i="1" s="1"/>
  <c r="K5431" i="1" s="1"/>
  <c r="K5414" i="1"/>
  <c r="K5416" i="1" s="1"/>
  <c r="K5418" i="1" s="1"/>
  <c r="K5420" i="1" s="1"/>
  <c r="K5422" i="1" s="1"/>
  <c r="K6222" i="1"/>
  <c r="K6223" i="1" s="1"/>
  <c r="K6225" i="1" s="1"/>
  <c r="K6221" i="1"/>
  <c r="K6013" i="1"/>
  <c r="K6014" i="1" s="1"/>
  <c r="K6015" i="1" s="1"/>
  <c r="K6016" i="1" s="1"/>
  <c r="K6012" i="1"/>
  <c r="K4943" i="1"/>
  <c r="K4944" i="1" s="1"/>
  <c r="K4945" i="1" s="1"/>
  <c r="K4946" i="1" s="1"/>
  <c r="K4947" i="1" s="1"/>
  <c r="K4948" i="1" s="1"/>
  <c r="K4949" i="1" s="1"/>
  <c r="K4951" i="1" s="1"/>
  <c r="K4934" i="1"/>
  <c r="K4936" i="1" s="1"/>
  <c r="K4938" i="1" s="1"/>
  <c r="K4940" i="1" s="1"/>
  <c r="K4942" i="1" s="1"/>
  <c r="K5183" i="1"/>
  <c r="K5184" i="1" s="1"/>
  <c r="K5185" i="1" s="1"/>
  <c r="K5186" i="1" s="1"/>
  <c r="K5187" i="1" s="1"/>
  <c r="K5188" i="1" s="1"/>
  <c r="K5189" i="1" s="1"/>
  <c r="K5191" i="1" s="1"/>
  <c r="K5174" i="1"/>
  <c r="K5176" i="1" s="1"/>
  <c r="K5178" i="1" s="1"/>
  <c r="K5180" i="1" s="1"/>
  <c r="K5182" i="1" s="1"/>
  <c r="K4088" i="1"/>
  <c r="K4089" i="1" s="1"/>
  <c r="K4090" i="1" s="1"/>
  <c r="K4087" i="1"/>
  <c r="K4463" i="1"/>
  <c r="K4464" i="1" s="1"/>
  <c r="K4465" i="1" s="1"/>
  <c r="K4466" i="1" s="1"/>
  <c r="K4467" i="1" s="1"/>
  <c r="K4468" i="1" s="1"/>
  <c r="K4469" i="1" s="1"/>
  <c r="K4471" i="1" s="1"/>
  <c r="K4454" i="1"/>
  <c r="K4456" i="1" s="1"/>
  <c r="K4458" i="1" s="1"/>
  <c r="K4460" i="1" s="1"/>
  <c r="K4462" i="1" s="1"/>
  <c r="K5916" i="1"/>
  <c r="K5917" i="1" s="1"/>
  <c r="K5919" i="1" s="1"/>
  <c r="K5915" i="1"/>
  <c r="K6724" i="1"/>
  <c r="K6725" i="1" s="1"/>
  <c r="K6726" i="1" s="1"/>
  <c r="K6727" i="1" s="1"/>
  <c r="K6728" i="1" s="1"/>
  <c r="K6733" i="1"/>
  <c r="K6735" i="1" s="1"/>
  <c r="K3635" i="1"/>
  <c r="K3636" i="1" s="1"/>
  <c r="K3633" i="1"/>
  <c r="K6545" i="1"/>
  <c r="K6546" i="1" s="1"/>
  <c r="K6547" i="1" s="1"/>
  <c r="K6548" i="1" s="1"/>
  <c r="K6543" i="1"/>
  <c r="K4703" i="1"/>
  <c r="K4704" i="1" s="1"/>
  <c r="K4705" i="1" s="1"/>
  <c r="K4706" i="1" s="1"/>
  <c r="K4707" i="1" s="1"/>
  <c r="K4708" i="1" s="1"/>
  <c r="K4709" i="1" s="1"/>
  <c r="K4711" i="1" s="1"/>
  <c r="K4694" i="1"/>
  <c r="K4696" i="1" s="1"/>
  <c r="K4698" i="1" s="1"/>
  <c r="K4700" i="1" s="1"/>
  <c r="K4702" i="1" s="1"/>
  <c r="K4223" i="1"/>
  <c r="K4224" i="1" s="1"/>
  <c r="K4225" i="1" s="1"/>
  <c r="K4226" i="1" s="1"/>
  <c r="K4227" i="1" s="1"/>
  <c r="K4228" i="1" s="1"/>
  <c r="K4229" i="1" s="1"/>
  <c r="K4231" i="1" s="1"/>
  <c r="K4214" i="1"/>
  <c r="K4216" i="1" s="1"/>
  <c r="K4218" i="1" s="1"/>
  <c r="K4220" i="1" s="1"/>
  <c r="K4222" i="1" s="1"/>
  <c r="K3503" i="1"/>
  <c r="K3504" i="1" s="1"/>
  <c r="K3505" i="1" s="1"/>
  <c r="K3506" i="1" s="1"/>
  <c r="K3507" i="1" s="1"/>
  <c r="K3508" i="1" s="1"/>
  <c r="K3509" i="1" s="1"/>
  <c r="K3511" i="1" s="1"/>
  <c r="K3494" i="1"/>
  <c r="K3496" i="1" s="1"/>
  <c r="K3498" i="1" s="1"/>
  <c r="K3500" i="1" s="1"/>
  <c r="K3502" i="1" s="1"/>
  <c r="K6535" i="1"/>
  <c r="K6537" i="1" s="1"/>
  <c r="K6538" i="1" s="1"/>
  <c r="K6536" i="1"/>
  <c r="K6952" i="1" l="1"/>
  <c r="K6953" i="1" s="1"/>
  <c r="K6954" i="1" s="1"/>
  <c r="K6955" i="1"/>
  <c r="K8912" i="1"/>
  <c r="K8913" i="1"/>
  <c r="K9319" i="1"/>
  <c r="K9320" i="1"/>
  <c r="K9523" i="1"/>
  <c r="K9524" i="1"/>
  <c r="K7504" i="1"/>
  <c r="K7505" i="1" s="1"/>
  <c r="K7502" i="1"/>
  <c r="K9627" i="1"/>
  <c r="K9628" i="1"/>
  <c r="K9217" i="1"/>
  <c r="K9218" i="1"/>
  <c r="K9423" i="1"/>
  <c r="K9424" i="1"/>
  <c r="K9120" i="1"/>
  <c r="K9121" i="1"/>
  <c r="K9729" i="1"/>
  <c r="K9730" i="1"/>
  <c r="K9016" i="1"/>
  <c r="K9017" i="1"/>
  <c r="K4713" i="1"/>
  <c r="K4715" i="1"/>
  <c r="K4716" i="1" s="1"/>
  <c r="K5814" i="1"/>
  <c r="K5815" i="1" s="1"/>
  <c r="K5817" i="1" s="1"/>
  <c r="K5813" i="1"/>
  <c r="K3995" i="1"/>
  <c r="K3996" i="1" s="1"/>
  <c r="K3993" i="1"/>
  <c r="K3875" i="1"/>
  <c r="K3876" i="1" s="1"/>
  <c r="K3873" i="1"/>
  <c r="K4595" i="1"/>
  <c r="K4596" i="1" s="1"/>
  <c r="K4593" i="1"/>
  <c r="K5195" i="1"/>
  <c r="K5196" i="1" s="1"/>
  <c r="K5193" i="1"/>
  <c r="K6018" i="1"/>
  <c r="K6019" i="1" s="1"/>
  <c r="K6021" i="1" s="1"/>
  <c r="K6017" i="1"/>
  <c r="K6120" i="1"/>
  <c r="K6121" i="1" s="1"/>
  <c r="K6123" i="1" s="1"/>
  <c r="K6119" i="1"/>
  <c r="K5433" i="1"/>
  <c r="K5435" i="1"/>
  <c r="K5436" i="1" s="1"/>
  <c r="K4473" i="1"/>
  <c r="K4475" i="1"/>
  <c r="K4476" i="1" s="1"/>
  <c r="K6648" i="1"/>
  <c r="K6650" i="1" s="1"/>
  <c r="K6651" i="1" s="1"/>
  <c r="K6646" i="1"/>
  <c r="K5075" i="1"/>
  <c r="K5076" i="1" s="1"/>
  <c r="K5073" i="1"/>
  <c r="K5623" i="1"/>
  <c r="K5622" i="1"/>
  <c r="K5303" i="1"/>
  <c r="K5304" i="1" s="1"/>
  <c r="K5305" i="1" s="1"/>
  <c r="K5306" i="1" s="1"/>
  <c r="K5307" i="1" s="1"/>
  <c r="K5308" i="1" s="1"/>
  <c r="K5309" i="1" s="1"/>
  <c r="K5311" i="1" s="1"/>
  <c r="K5294" i="1"/>
  <c r="K5296" i="1" s="1"/>
  <c r="K5298" i="1" s="1"/>
  <c r="K5300" i="1" s="1"/>
  <c r="K5302" i="1" s="1"/>
  <c r="K6739" i="1"/>
  <c r="K6740" i="1" s="1"/>
  <c r="K6741" i="1" s="1"/>
  <c r="K6742" i="1" s="1"/>
  <c r="K6737" i="1"/>
  <c r="K6228" i="1"/>
  <c r="K6230" i="1" s="1"/>
  <c r="K6231" i="1" s="1"/>
  <c r="K6232" i="1" s="1"/>
  <c r="K6233" i="1" s="1"/>
  <c r="K6234" i="1" s="1"/>
  <c r="K6235" i="1" s="1"/>
  <c r="K6226" i="1"/>
  <c r="K6229" i="1" s="1"/>
  <c r="K6438" i="1"/>
  <c r="K6440" i="1" s="1"/>
  <c r="K6441" i="1" s="1"/>
  <c r="K6439" i="1"/>
  <c r="K4355" i="1"/>
  <c r="K4356" i="1" s="1"/>
  <c r="K4353" i="1"/>
  <c r="K5727" i="1"/>
  <c r="K5726" i="1"/>
  <c r="K6729" i="1"/>
  <c r="K6731" i="1" s="1"/>
  <c r="K6732" i="1" s="1"/>
  <c r="K6730" i="1"/>
  <c r="K5922" i="1"/>
  <c r="K5924" i="1" s="1"/>
  <c r="K5925" i="1" s="1"/>
  <c r="K5926" i="1" s="1"/>
  <c r="K5927" i="1" s="1"/>
  <c r="K5928" i="1" s="1"/>
  <c r="K5929" i="1" s="1"/>
  <c r="K5920" i="1"/>
  <c r="K5923" i="1" s="1"/>
  <c r="K6446" i="1"/>
  <c r="K6448" i="1"/>
  <c r="K6449" i="1" s="1"/>
  <c r="K6450" i="1" s="1"/>
  <c r="K6451" i="1" s="1"/>
  <c r="K5518" i="1"/>
  <c r="K5519" i="1"/>
  <c r="K4955" i="1"/>
  <c r="K4956" i="1" s="1"/>
  <c r="K4953" i="1"/>
  <c r="O6392" i="1"/>
  <c r="K3515" i="1"/>
  <c r="K3516" i="1" s="1"/>
  <c r="K3513" i="1"/>
  <c r="K4235" i="1"/>
  <c r="K4236" i="1" s="1"/>
  <c r="K4233" i="1"/>
  <c r="K4092" i="1"/>
  <c r="K4091" i="1"/>
  <c r="K4093" i="1" s="1"/>
  <c r="K4095" i="1" s="1"/>
  <c r="K4097" i="1" s="1"/>
  <c r="K4099" i="1" s="1"/>
  <c r="K4101" i="1" s="1"/>
  <c r="K3743" i="1"/>
  <c r="K3744" i="1" s="1"/>
  <c r="K3745" i="1" s="1"/>
  <c r="K3746" i="1" s="1"/>
  <c r="K3747" i="1" s="1"/>
  <c r="K3748" i="1" s="1"/>
  <c r="K3749" i="1" s="1"/>
  <c r="K3751" i="1" s="1"/>
  <c r="K3734" i="1"/>
  <c r="K3736" i="1" s="1"/>
  <c r="K3738" i="1" s="1"/>
  <c r="K3740" i="1" s="1"/>
  <c r="K3742" i="1" s="1"/>
  <c r="K6324" i="1"/>
  <c r="K6325" i="1" s="1"/>
  <c r="K6327" i="1" s="1"/>
  <c r="K6323" i="1"/>
  <c r="K4835" i="1"/>
  <c r="K4836" i="1" s="1"/>
  <c r="K4833" i="1"/>
  <c r="K6549" i="1"/>
  <c r="K6551" i="1"/>
  <c r="K6553" i="1" s="1"/>
  <c r="K6554" i="1" s="1"/>
  <c r="K9220" i="1" l="1"/>
  <c r="K9219" i="1"/>
  <c r="K9321" i="1"/>
  <c r="K9322" i="1"/>
  <c r="K9135" i="1"/>
  <c r="K9136" i="1" s="1"/>
  <c r="K9137" i="1" s="1"/>
  <c r="K9122" i="1"/>
  <c r="K9123" i="1" s="1"/>
  <c r="K9124" i="1" s="1"/>
  <c r="K9125" i="1" s="1"/>
  <c r="K9126" i="1" s="1"/>
  <c r="K9127" i="1" s="1"/>
  <c r="K9128" i="1" s="1"/>
  <c r="K9129" i="1" s="1"/>
  <c r="K9130" i="1" s="1"/>
  <c r="K9131" i="1" s="1"/>
  <c r="K9133" i="1" s="1"/>
  <c r="K9733" i="1"/>
  <c r="K9732" i="1"/>
  <c r="K6957" i="1"/>
  <c r="K9018" i="1"/>
  <c r="K9019" i="1" s="1"/>
  <c r="K9020" i="1" s="1"/>
  <c r="K9021" i="1" s="1"/>
  <c r="K9022" i="1" s="1"/>
  <c r="K9023" i="1" s="1"/>
  <c r="K9024" i="1" s="1"/>
  <c r="K9025" i="1" s="1"/>
  <c r="K9026" i="1" s="1"/>
  <c r="K9027" i="1" s="1"/>
  <c r="K9029" i="1" s="1"/>
  <c r="K9031" i="1"/>
  <c r="K9032" i="1" s="1"/>
  <c r="K9033" i="1" s="1"/>
  <c r="K9631" i="1"/>
  <c r="K9630" i="1"/>
  <c r="K9525" i="1"/>
  <c r="K9526" i="1"/>
  <c r="K9427" i="1"/>
  <c r="K9426" i="1"/>
  <c r="K8914" i="1"/>
  <c r="K8915" i="1" s="1"/>
  <c r="K8916" i="1" s="1"/>
  <c r="K8917" i="1" s="1"/>
  <c r="K8918" i="1" s="1"/>
  <c r="K8919" i="1" s="1"/>
  <c r="K8920" i="1" s="1"/>
  <c r="K8921" i="1" s="1"/>
  <c r="K8922" i="1" s="1"/>
  <c r="K8923" i="1" s="1"/>
  <c r="K8925" i="1" s="1"/>
  <c r="K8927" i="1"/>
  <c r="K8928" i="1" s="1"/>
  <c r="K8929" i="1" s="1"/>
  <c r="K5729" i="1"/>
  <c r="K5728" i="1"/>
  <c r="K5625" i="1"/>
  <c r="K5624" i="1"/>
  <c r="K3753" i="1"/>
  <c r="K3755" i="1"/>
  <c r="K3756" i="1" s="1"/>
  <c r="K5521" i="1"/>
  <c r="K5520" i="1"/>
  <c r="Q6392" i="1"/>
  <c r="O6393" i="1"/>
  <c r="K5930" i="1"/>
  <c r="K5931" i="1"/>
  <c r="K6236" i="1"/>
  <c r="K6237" i="1"/>
  <c r="K6126" i="1"/>
  <c r="K6128" i="1" s="1"/>
  <c r="K6129" i="1" s="1"/>
  <c r="K6130" i="1" s="1"/>
  <c r="K6131" i="1" s="1"/>
  <c r="K6132" i="1" s="1"/>
  <c r="K6133" i="1" s="1"/>
  <c r="K6124" i="1"/>
  <c r="K6127" i="1" s="1"/>
  <c r="K4103" i="1"/>
  <c r="K4104" i="1" s="1"/>
  <c r="K4105" i="1" s="1"/>
  <c r="K4106" i="1" s="1"/>
  <c r="K4107" i="1" s="1"/>
  <c r="K4108" i="1" s="1"/>
  <c r="K4109" i="1" s="1"/>
  <c r="K4111" i="1" s="1"/>
  <c r="K4094" i="1"/>
  <c r="K4096" i="1" s="1"/>
  <c r="K4098" i="1" s="1"/>
  <c r="K4100" i="1" s="1"/>
  <c r="K4102" i="1" s="1"/>
  <c r="K6330" i="1"/>
  <c r="K6332" i="1" s="1"/>
  <c r="K6333" i="1" s="1"/>
  <c r="K6334" i="1" s="1"/>
  <c r="K6335" i="1" s="1"/>
  <c r="K6336" i="1" s="1"/>
  <c r="K6337" i="1" s="1"/>
  <c r="K6328" i="1"/>
  <c r="K6331" i="1" s="1"/>
  <c r="K6454" i="1"/>
  <c r="K6456" i="1" s="1"/>
  <c r="K6457" i="1" s="1"/>
  <c r="K6452" i="1"/>
  <c r="K6743" i="1"/>
  <c r="K6745" i="1"/>
  <c r="K6747" i="1" s="1"/>
  <c r="K6748" i="1" s="1"/>
  <c r="K5315" i="1"/>
  <c r="K5316" i="1" s="1"/>
  <c r="K5313" i="1"/>
  <c r="K6024" i="1"/>
  <c r="K6026" i="1" s="1"/>
  <c r="K6027" i="1" s="1"/>
  <c r="K6028" i="1" s="1"/>
  <c r="K6029" i="1" s="1"/>
  <c r="K6030" i="1" s="1"/>
  <c r="K6031" i="1" s="1"/>
  <c r="K6022" i="1"/>
  <c r="K6025" i="1" s="1"/>
  <c r="K5820" i="1"/>
  <c r="K5822" i="1" s="1"/>
  <c r="K5823" i="1" s="1"/>
  <c r="K5824" i="1" s="1"/>
  <c r="K5825" i="1" s="1"/>
  <c r="K5826" i="1" s="1"/>
  <c r="K5827" i="1" s="1"/>
  <c r="K5818" i="1"/>
  <c r="K5821" i="1" s="1"/>
  <c r="K9747" i="1" l="1"/>
  <c r="K9748" i="1" s="1"/>
  <c r="K9749" i="1" s="1"/>
  <c r="K9734" i="1"/>
  <c r="K9735" i="1" s="1"/>
  <c r="K9736" i="1" s="1"/>
  <c r="K9737" i="1" s="1"/>
  <c r="K9738" i="1" s="1"/>
  <c r="K9739" i="1" s="1"/>
  <c r="K9740" i="1" s="1"/>
  <c r="K9741" i="1" s="1"/>
  <c r="K9742" i="1" s="1"/>
  <c r="K9743" i="1" s="1"/>
  <c r="K9745" i="1" s="1"/>
  <c r="K9324" i="1"/>
  <c r="K9325" i="1"/>
  <c r="K9441" i="1"/>
  <c r="K9442" i="1" s="1"/>
  <c r="K9443" i="1" s="1"/>
  <c r="K9428" i="1"/>
  <c r="K9429" i="1" s="1"/>
  <c r="K9430" i="1" s="1"/>
  <c r="K9431" i="1" s="1"/>
  <c r="K9432" i="1" s="1"/>
  <c r="K9433" i="1" s="1"/>
  <c r="K9434" i="1" s="1"/>
  <c r="K9435" i="1" s="1"/>
  <c r="K9436" i="1" s="1"/>
  <c r="K9437" i="1" s="1"/>
  <c r="K9439" i="1" s="1"/>
  <c r="K6958" i="1"/>
  <c r="K9529" i="1"/>
  <c r="K9528" i="1"/>
  <c r="K9223" i="1"/>
  <c r="K9222" i="1"/>
  <c r="K9632" i="1"/>
  <c r="K9633" i="1" s="1"/>
  <c r="K9634" i="1" s="1"/>
  <c r="K9635" i="1" s="1"/>
  <c r="K9636" i="1" s="1"/>
  <c r="K9637" i="1" s="1"/>
  <c r="K9638" i="1" s="1"/>
  <c r="K9639" i="1" s="1"/>
  <c r="K9640" i="1" s="1"/>
  <c r="K9641" i="1" s="1"/>
  <c r="K9643" i="1" s="1"/>
  <c r="K9645" i="1"/>
  <c r="K9646" i="1" s="1"/>
  <c r="K9647" i="1" s="1"/>
  <c r="K6134" i="1"/>
  <c r="K6135" i="1"/>
  <c r="K6339" i="1"/>
  <c r="K6338" i="1"/>
  <c r="K6239" i="1"/>
  <c r="K6238" i="1"/>
  <c r="K5731" i="1"/>
  <c r="K5732" i="1"/>
  <c r="K5829" i="1"/>
  <c r="K5828" i="1"/>
  <c r="K6032" i="1"/>
  <c r="K6033" i="1"/>
  <c r="K4115" i="1"/>
  <c r="K4116" i="1" s="1"/>
  <c r="K4113" i="1"/>
  <c r="K5933" i="1"/>
  <c r="K5932" i="1"/>
  <c r="K5627" i="1"/>
  <c r="K5628" i="1"/>
  <c r="K5523" i="1"/>
  <c r="K5524" i="1"/>
  <c r="K9530" i="1" l="1"/>
  <c r="K9531" i="1" s="1"/>
  <c r="K9532" i="1" s="1"/>
  <c r="K9533" i="1" s="1"/>
  <c r="K9534" i="1" s="1"/>
  <c r="K9535" i="1" s="1"/>
  <c r="K9536" i="1" s="1"/>
  <c r="K9537" i="1" s="1"/>
  <c r="K9538" i="1" s="1"/>
  <c r="K9539" i="1" s="1"/>
  <c r="K9541" i="1" s="1"/>
  <c r="K9543" i="1"/>
  <c r="K9544" i="1" s="1"/>
  <c r="K9545" i="1" s="1"/>
  <c r="K9326" i="1"/>
  <c r="K9327" i="1" s="1"/>
  <c r="K9328" i="1" s="1"/>
  <c r="K9329" i="1" s="1"/>
  <c r="K9330" i="1" s="1"/>
  <c r="K9331" i="1" s="1"/>
  <c r="K9332" i="1" s="1"/>
  <c r="K9333" i="1" s="1"/>
  <c r="K9334" i="1" s="1"/>
  <c r="K9335" i="1" s="1"/>
  <c r="K9337" i="1" s="1"/>
  <c r="K9339" i="1"/>
  <c r="K9340" i="1" s="1"/>
  <c r="K9341" i="1" s="1"/>
  <c r="K9224" i="1"/>
  <c r="K9225" i="1" s="1"/>
  <c r="K9226" i="1" s="1"/>
  <c r="K9227" i="1" s="1"/>
  <c r="K9228" i="1" s="1"/>
  <c r="K9229" i="1" s="1"/>
  <c r="K9230" i="1" s="1"/>
  <c r="K9231" i="1" s="1"/>
  <c r="K9232" i="1" s="1"/>
  <c r="K9233" i="1" s="1"/>
  <c r="K9235" i="1" s="1"/>
  <c r="K9237" i="1"/>
  <c r="K9238" i="1" s="1"/>
  <c r="K9239" i="1" s="1"/>
  <c r="K6959" i="1"/>
  <c r="K6035" i="1"/>
  <c r="K6034" i="1"/>
  <c r="K5629" i="1"/>
  <c r="K5630" i="1" s="1"/>
  <c r="K5631" i="1" s="1"/>
  <c r="K5632" i="1" s="1"/>
  <c r="K5633" i="1" s="1"/>
  <c r="K5634" i="1" s="1"/>
  <c r="K5635" i="1" s="1"/>
  <c r="K5636" i="1" s="1"/>
  <c r="K5637" i="1" s="1"/>
  <c r="K5638" i="1" s="1"/>
  <c r="K5640" i="1" s="1"/>
  <c r="K5642" i="1"/>
  <c r="K5643" i="1" s="1"/>
  <c r="K5644" i="1" s="1"/>
  <c r="K5935" i="1"/>
  <c r="K5936" i="1"/>
  <c r="K6137" i="1"/>
  <c r="K6136" i="1"/>
  <c r="K5746" i="1"/>
  <c r="K5747" i="1" s="1"/>
  <c r="K5748" i="1" s="1"/>
  <c r="K5733" i="1"/>
  <c r="K5734" i="1" s="1"/>
  <c r="K5735" i="1" s="1"/>
  <c r="K5736" i="1" s="1"/>
  <c r="K5737" i="1" s="1"/>
  <c r="K5738" i="1" s="1"/>
  <c r="K5739" i="1" s="1"/>
  <c r="K5740" i="1" s="1"/>
  <c r="K5741" i="1" s="1"/>
  <c r="K5742" i="1" s="1"/>
  <c r="K5744" i="1" s="1"/>
  <c r="K6341" i="1"/>
  <c r="K6340" i="1"/>
  <c r="K5538" i="1"/>
  <c r="K5539" i="1" s="1"/>
  <c r="K5540" i="1" s="1"/>
  <c r="K5525" i="1"/>
  <c r="K5526" i="1" s="1"/>
  <c r="K5527" i="1" s="1"/>
  <c r="K5528" i="1" s="1"/>
  <c r="K5529" i="1" s="1"/>
  <c r="K5530" i="1" s="1"/>
  <c r="K5531" i="1" s="1"/>
  <c r="K5532" i="1" s="1"/>
  <c r="K5533" i="1" s="1"/>
  <c r="K5534" i="1" s="1"/>
  <c r="K5536" i="1" s="1"/>
  <c r="K5831" i="1"/>
  <c r="K5830" i="1"/>
  <c r="K6241" i="1"/>
  <c r="K6242" i="1"/>
  <c r="K6960" i="1" l="1"/>
  <c r="K6139" i="1"/>
  <c r="K6140" i="1"/>
  <c r="K6256" i="1"/>
  <c r="K6257" i="1" s="1"/>
  <c r="K6258" i="1" s="1"/>
  <c r="K6243" i="1"/>
  <c r="K6244" i="1" s="1"/>
  <c r="K6245" i="1" s="1"/>
  <c r="K6246" i="1" s="1"/>
  <c r="K6247" i="1" s="1"/>
  <c r="K6248" i="1" s="1"/>
  <c r="K6249" i="1" s="1"/>
  <c r="K6250" i="1" s="1"/>
  <c r="K6251" i="1" s="1"/>
  <c r="K6252" i="1" s="1"/>
  <c r="K6254" i="1" s="1"/>
  <c r="K5834" i="1"/>
  <c r="K5833" i="1"/>
  <c r="K5950" i="1"/>
  <c r="K5951" i="1" s="1"/>
  <c r="K5952" i="1" s="1"/>
  <c r="K5937" i="1"/>
  <c r="K5938" i="1" s="1"/>
  <c r="K5939" i="1" s="1"/>
  <c r="K5940" i="1" s="1"/>
  <c r="K5941" i="1" s="1"/>
  <c r="K5942" i="1" s="1"/>
  <c r="K5943" i="1" s="1"/>
  <c r="K5944" i="1" s="1"/>
  <c r="K5945" i="1" s="1"/>
  <c r="K5946" i="1" s="1"/>
  <c r="K5948" i="1" s="1"/>
  <c r="K6344" i="1"/>
  <c r="K6343" i="1"/>
  <c r="K6037" i="1"/>
  <c r="K6038" i="1"/>
  <c r="K6961" i="1" l="1"/>
  <c r="K6962" i="1" s="1"/>
  <c r="K6052" i="1"/>
  <c r="K6053" i="1" s="1"/>
  <c r="K6054" i="1" s="1"/>
  <c r="K6039" i="1"/>
  <c r="K6040" i="1" s="1"/>
  <c r="K6041" i="1" s="1"/>
  <c r="K6042" i="1" s="1"/>
  <c r="K6043" i="1" s="1"/>
  <c r="K6044" i="1" s="1"/>
  <c r="K6045" i="1" s="1"/>
  <c r="K6046" i="1" s="1"/>
  <c r="K6047" i="1" s="1"/>
  <c r="K6048" i="1" s="1"/>
  <c r="K6050" i="1" s="1"/>
  <c r="K6345" i="1"/>
  <c r="K6346" i="1" s="1"/>
  <c r="K6347" i="1" s="1"/>
  <c r="K6348" i="1" s="1"/>
  <c r="K6349" i="1" s="1"/>
  <c r="K6350" i="1" s="1"/>
  <c r="K6351" i="1" s="1"/>
  <c r="K6352" i="1" s="1"/>
  <c r="K6353" i="1" s="1"/>
  <c r="K6354" i="1" s="1"/>
  <c r="K6356" i="1" s="1"/>
  <c r="K6358" i="1"/>
  <c r="K6359" i="1" s="1"/>
  <c r="K6360" i="1" s="1"/>
  <c r="K5835" i="1"/>
  <c r="K5836" i="1" s="1"/>
  <c r="K5837" i="1" s="1"/>
  <c r="K5838" i="1" s="1"/>
  <c r="K5839" i="1" s="1"/>
  <c r="K5840" i="1" s="1"/>
  <c r="K5841" i="1" s="1"/>
  <c r="K5842" i="1" s="1"/>
  <c r="K5843" i="1" s="1"/>
  <c r="K5844" i="1" s="1"/>
  <c r="K5846" i="1" s="1"/>
  <c r="K5848" i="1"/>
  <c r="K5849" i="1" s="1"/>
  <c r="K5850" i="1" s="1"/>
  <c r="K6141" i="1"/>
  <c r="K6142" i="1" s="1"/>
  <c r="K6143" i="1" s="1"/>
  <c r="K6144" i="1" s="1"/>
  <c r="K6145" i="1" s="1"/>
  <c r="K6146" i="1" s="1"/>
  <c r="K6147" i="1" s="1"/>
  <c r="K6148" i="1" s="1"/>
  <c r="K6149" i="1" s="1"/>
  <c r="K6150" i="1" s="1"/>
  <c r="K6152" i="1" s="1"/>
  <c r="K6154" i="1"/>
  <c r="K6155" i="1" s="1"/>
  <c r="K6156" i="1" s="1"/>
  <c r="K6963" i="1" l="1"/>
  <c r="K6964" i="1" l="1"/>
  <c r="K6965" i="1" l="1"/>
  <c r="K6966" i="1" l="1"/>
  <c r="K6967" i="1" l="1"/>
  <c r="K6968" i="1" l="1"/>
  <c r="K6969" i="1" l="1"/>
  <c r="K6970" i="1" l="1"/>
  <c r="K6971" i="1" l="1"/>
  <c r="K6972" i="1" l="1"/>
  <c r="K6974" i="1" l="1"/>
  <c r="K6976" i="1" l="1"/>
  <c r="K6977" i="1" l="1"/>
  <c r="K6979" i="1" l="1"/>
  <c r="K6978" i="1"/>
  <c r="K6980" i="1" l="1"/>
  <c r="K6981" i="1" l="1"/>
  <c r="K6982" i="1" l="1"/>
  <c r="K6983" i="1" l="1"/>
  <c r="K6984" i="1" l="1"/>
  <c r="K6985" i="1" l="1"/>
  <c r="K6986" i="1" l="1"/>
  <c r="K6988" i="1" l="1"/>
  <c r="K6987" i="1"/>
  <c r="K6989" i="1" l="1"/>
  <c r="K6995" i="1"/>
  <c r="K6993" i="1"/>
  <c r="K6991" i="1"/>
  <c r="K6996" i="1" l="1"/>
  <c r="K6997" i="1"/>
  <c r="K6998" i="1" l="1"/>
  <c r="K6999" i="1" l="1"/>
  <c r="K7001" i="1" l="1"/>
  <c r="K7000" i="1"/>
  <c r="K7002" i="1" l="1"/>
  <c r="K7012" i="1"/>
  <c r="K7003" i="1"/>
  <c r="K7005" i="1" l="1"/>
  <c r="K7013" i="1"/>
  <c r="K7004" i="1"/>
  <c r="K7007" i="1" l="1"/>
  <c r="K7014" i="1"/>
  <c r="K7006" i="1"/>
  <c r="K7009" i="1" l="1"/>
  <c r="K7008" i="1"/>
  <c r="K7015" i="1"/>
  <c r="K7016" i="1" l="1"/>
  <c r="K7010" i="1"/>
  <c r="K7011" i="1"/>
  <c r="K7017" i="1" l="1"/>
  <c r="K7018" i="1" l="1"/>
  <c r="K7020" i="1" l="1"/>
  <c r="K7024" i="1" l="1"/>
  <c r="K7022" i="1"/>
  <c r="K7025" i="1" l="1"/>
  <c r="F416" i="3" l="1"/>
  <c r="R10169" i="1" s="1"/>
  <c r="F419" i="3" l="1"/>
  <c r="H3461" i="1" l="1"/>
  <c r="E188" i="3"/>
  <c r="N3461" i="1" s="1"/>
  <c r="H3454" i="1"/>
  <c r="H3462" i="1"/>
  <c r="H3457" i="1"/>
  <c r="H3425" i="1"/>
  <c r="H3424" i="1"/>
  <c r="K145" i="3"/>
  <c r="K285" i="3" s="1"/>
  <c r="K151" i="3"/>
  <c r="K291" i="3" s="1"/>
  <c r="K157" i="3"/>
  <c r="K297" i="3" s="1"/>
  <c r="K160" i="3"/>
  <c r="K300" i="3" s="1"/>
  <c r="K161" i="3"/>
  <c r="K301" i="3" s="1"/>
  <c r="K162" i="3"/>
  <c r="K302" i="3" s="1"/>
  <c r="K163" i="3"/>
  <c r="K303" i="3" s="1"/>
  <c r="K164" i="3"/>
  <c r="K304" i="3" s="1"/>
  <c r="K165" i="3"/>
  <c r="K305" i="3" s="1"/>
  <c r="K166" i="3"/>
  <c r="K306" i="3" s="1"/>
  <c r="K173" i="3"/>
  <c r="K313" i="3" s="1"/>
  <c r="K174" i="3"/>
  <c r="K314" i="3" s="1"/>
  <c r="K175" i="3"/>
  <c r="K315" i="3" s="1"/>
  <c r="K176" i="3"/>
  <c r="K316" i="3" s="1"/>
  <c r="K177" i="3"/>
  <c r="K317" i="3" s="1"/>
  <c r="K178" i="3"/>
  <c r="K318" i="3" s="1"/>
  <c r="K179" i="3"/>
  <c r="K319" i="3" s="1"/>
  <c r="K180" i="3"/>
  <c r="K320" i="3" s="1"/>
  <c r="K181" i="3"/>
  <c r="K321" i="3" s="1"/>
  <c r="K182" i="3"/>
  <c r="K322" i="3" s="1"/>
  <c r="K183" i="3"/>
  <c r="K323" i="3" s="1"/>
  <c r="K184" i="3"/>
  <c r="K324" i="3" s="1"/>
  <c r="K185" i="3"/>
  <c r="K325" i="3" s="1"/>
  <c r="K186" i="3"/>
  <c r="K326" i="3" s="1"/>
  <c r="K187" i="3"/>
  <c r="K327" i="3" s="1"/>
  <c r="K188" i="3"/>
  <c r="K328" i="3" s="1"/>
  <c r="K189" i="3"/>
  <c r="K329" i="3" s="1"/>
  <c r="K190" i="3"/>
  <c r="K330" i="3" s="1"/>
  <c r="K195" i="3"/>
  <c r="K335" i="3" s="1"/>
  <c r="K196" i="3"/>
  <c r="K197" i="3"/>
  <c r="K337" i="3" s="1"/>
  <c r="M337" i="3" s="1"/>
  <c r="N9822" i="1" s="1"/>
  <c r="K200" i="3"/>
  <c r="K340" i="3" s="1"/>
  <c r="K201" i="3"/>
  <c r="K341" i="3" s="1"/>
  <c r="K202" i="3"/>
  <c r="K342" i="3" s="1"/>
  <c r="M342" i="3" s="1"/>
  <c r="N9817" i="1" s="1"/>
  <c r="K203" i="3"/>
  <c r="K343" i="3" s="1"/>
  <c r="M343" i="3" s="1"/>
  <c r="N9818" i="1" s="1"/>
  <c r="K204" i="3"/>
  <c r="K344" i="3" s="1"/>
  <c r="M344" i="3" s="1"/>
  <c r="N9819" i="1" s="1"/>
  <c r="K205" i="3"/>
  <c r="K345" i="3" s="1"/>
  <c r="M345" i="3" s="1"/>
  <c r="N9820" i="1" s="1"/>
  <c r="K206" i="3"/>
  <c r="K346" i="3" s="1"/>
  <c r="M346" i="3" s="1"/>
  <c r="N9825" i="1" s="1"/>
  <c r="K207" i="3"/>
  <c r="K347" i="3" s="1"/>
  <c r="K208" i="3"/>
  <c r="M208" i="3" s="1"/>
  <c r="N6437" i="1" s="1"/>
  <c r="K209" i="3"/>
  <c r="K210" i="3"/>
  <c r="K350" i="3" s="1"/>
  <c r="M350" i="3" s="1"/>
  <c r="N9831" i="1" s="1"/>
  <c r="K212" i="3"/>
  <c r="M212" i="3" s="1"/>
  <c r="N6427" i="1" s="1"/>
  <c r="K214" i="3"/>
  <c r="K215" i="3"/>
  <c r="K355" i="3" s="1"/>
  <c r="M355" i="3" s="1"/>
  <c r="N9833" i="1" s="1"/>
  <c r="K216" i="3"/>
  <c r="K356" i="3" s="1"/>
  <c r="K217" i="3"/>
  <c r="K357" i="3" s="1"/>
  <c r="K218" i="3"/>
  <c r="K358" i="3" s="1"/>
  <c r="K219" i="3"/>
  <c r="K359" i="3" s="1"/>
  <c r="K220" i="3"/>
  <c r="K360" i="3" s="1"/>
  <c r="K221" i="3"/>
  <c r="K361" i="3" s="1"/>
  <c r="K222" i="3"/>
  <c r="K362" i="3" s="1"/>
  <c r="K223" i="3"/>
  <c r="K363" i="3" s="1"/>
  <c r="K224" i="3"/>
  <c r="K364" i="3" s="1"/>
  <c r="K225" i="3"/>
  <c r="K365" i="3" s="1"/>
  <c r="K226" i="3"/>
  <c r="K366" i="3" s="1"/>
  <c r="K227" i="3"/>
  <c r="K367" i="3" s="1"/>
  <c r="K228" i="3"/>
  <c r="K368" i="3" s="1"/>
  <c r="K229" i="3"/>
  <c r="K369" i="3" s="1"/>
  <c r="K230" i="3"/>
  <c r="K370" i="3" s="1"/>
  <c r="K231" i="3"/>
  <c r="K371" i="3" s="1"/>
  <c r="K232" i="3"/>
  <c r="K372" i="3" s="1"/>
  <c r="K233" i="3"/>
  <c r="K373" i="3" s="1"/>
  <c r="K234" i="3"/>
  <c r="K374" i="3" s="1"/>
  <c r="K235" i="3"/>
  <c r="K375" i="3" s="1"/>
  <c r="K236" i="3"/>
  <c r="K376" i="3" s="1"/>
  <c r="K237" i="3"/>
  <c r="K377" i="3" s="1"/>
  <c r="K238" i="3"/>
  <c r="K378" i="3" s="1"/>
  <c r="K241" i="3"/>
  <c r="K381" i="3" s="1"/>
  <c r="K243" i="3"/>
  <c r="K383" i="3" s="1"/>
  <c r="K246" i="3"/>
  <c r="K386" i="3" s="1"/>
  <c r="K247" i="3"/>
  <c r="K387" i="3" s="1"/>
  <c r="K248" i="3"/>
  <c r="K388" i="3" s="1"/>
  <c r="K249" i="3"/>
  <c r="K389" i="3" s="1"/>
  <c r="K250" i="3"/>
  <c r="K390" i="3" s="1"/>
  <c r="K251" i="3"/>
  <c r="K391" i="3" s="1"/>
  <c r="K252" i="3"/>
  <c r="K392" i="3" s="1"/>
  <c r="K253" i="3"/>
  <c r="K393" i="3" s="1"/>
  <c r="K254" i="3"/>
  <c r="K394" i="3" s="1"/>
  <c r="K255" i="3"/>
  <c r="K395" i="3" s="1"/>
  <c r="K256" i="3"/>
  <c r="K396" i="3" s="1"/>
  <c r="K257" i="3"/>
  <c r="K397" i="3" s="1"/>
  <c r="K258" i="3"/>
  <c r="K398" i="3" s="1"/>
  <c r="K259" i="3"/>
  <c r="K399" i="3" s="1"/>
  <c r="K260" i="3"/>
  <c r="K400" i="3" s="1"/>
  <c r="K261" i="3"/>
  <c r="K401" i="3" s="1"/>
  <c r="K262" i="3"/>
  <c r="K402" i="3" s="1"/>
  <c r="K263" i="3"/>
  <c r="K403" i="3" s="1"/>
  <c r="K266" i="3"/>
  <c r="K406" i="3" s="1"/>
  <c r="G145" i="3"/>
  <c r="G285" i="3" s="1"/>
  <c r="G157" i="3"/>
  <c r="G161" i="3"/>
  <c r="G162" i="3"/>
  <c r="G166" i="3"/>
  <c r="G174" i="3"/>
  <c r="G314" i="3" s="1"/>
  <c r="G175" i="3"/>
  <c r="G315" i="3" s="1"/>
  <c r="G176" i="3"/>
  <c r="G316" i="3" s="1"/>
  <c r="G177" i="3"/>
  <c r="G317" i="3" s="1"/>
  <c r="G178" i="3"/>
  <c r="G318" i="3" s="1"/>
  <c r="G192" i="3"/>
  <c r="G193" i="3"/>
  <c r="G197" i="3"/>
  <c r="G337" i="3" s="1"/>
  <c r="G198" i="3"/>
  <c r="G338" i="3" s="1"/>
  <c r="G199" i="3"/>
  <c r="G339" i="3" s="1"/>
  <c r="G200" i="3"/>
  <c r="G340" i="3" s="1"/>
  <c r="G201" i="3"/>
  <c r="G341" i="3" s="1"/>
  <c r="G206" i="3"/>
  <c r="G346" i="3" s="1"/>
  <c r="G207" i="3"/>
  <c r="G347" i="3" s="1"/>
  <c r="G208" i="3"/>
  <c r="G348" i="3" s="1"/>
  <c r="G216" i="3"/>
  <c r="G356" i="3" s="1"/>
  <c r="G217" i="3"/>
  <c r="G357" i="3" s="1"/>
  <c r="G218" i="3"/>
  <c r="G358" i="3" s="1"/>
  <c r="G219" i="3"/>
  <c r="G359" i="3" s="1"/>
  <c r="G220" i="3"/>
  <c r="G360" i="3" s="1"/>
  <c r="G221" i="3"/>
  <c r="G361" i="3" s="1"/>
  <c r="G222" i="3"/>
  <c r="G362" i="3" s="1"/>
  <c r="G223" i="3"/>
  <c r="G363" i="3" s="1"/>
  <c r="G224" i="3"/>
  <c r="G364" i="3" s="1"/>
  <c r="G225" i="3"/>
  <c r="G365" i="3" s="1"/>
  <c r="G226" i="3"/>
  <c r="G366" i="3" s="1"/>
  <c r="G227" i="3"/>
  <c r="G367" i="3" s="1"/>
  <c r="G228" i="3"/>
  <c r="G368" i="3" s="1"/>
  <c r="G229" i="3"/>
  <c r="G369" i="3" s="1"/>
  <c r="G231" i="3"/>
  <c r="G371" i="3" s="1"/>
  <c r="G232" i="3"/>
  <c r="G372" i="3" s="1"/>
  <c r="G233" i="3"/>
  <c r="G373" i="3" s="1"/>
  <c r="G234" i="3"/>
  <c r="G374" i="3" s="1"/>
  <c r="G235" i="3"/>
  <c r="G375" i="3" s="1"/>
  <c r="G237" i="3"/>
  <c r="G377" i="3" s="1"/>
  <c r="G246" i="3"/>
  <c r="G386" i="3" s="1"/>
  <c r="G247" i="3"/>
  <c r="G387" i="3" s="1"/>
  <c r="G248" i="3"/>
  <c r="G388" i="3" s="1"/>
  <c r="G249" i="3"/>
  <c r="G389" i="3" s="1"/>
  <c r="G250" i="3"/>
  <c r="G390" i="3" s="1"/>
  <c r="G251" i="3"/>
  <c r="G391" i="3" s="1"/>
  <c r="G252" i="3"/>
  <c r="G392" i="3" s="1"/>
  <c r="G253" i="3"/>
  <c r="G393" i="3" s="1"/>
  <c r="G254" i="3"/>
  <c r="G394" i="3" s="1"/>
  <c r="G255" i="3"/>
  <c r="G395" i="3" s="1"/>
  <c r="G256" i="3"/>
  <c r="G396" i="3" s="1"/>
  <c r="G257" i="3"/>
  <c r="G397" i="3" s="1"/>
  <c r="G258" i="3"/>
  <c r="G398" i="3" s="1"/>
  <c r="G259" i="3"/>
  <c r="G399" i="3" s="1"/>
  <c r="G260" i="3"/>
  <c r="G400" i="3" s="1"/>
  <c r="G261" i="3"/>
  <c r="G401" i="3" s="1"/>
  <c r="G262" i="3"/>
  <c r="G402" i="3" s="1"/>
  <c r="C145" i="3"/>
  <c r="C285" i="3" s="1"/>
  <c r="C146" i="3"/>
  <c r="C286" i="3" s="1"/>
  <c r="C147" i="3"/>
  <c r="C287" i="3" s="1"/>
  <c r="C148" i="3"/>
  <c r="C288" i="3" s="1"/>
  <c r="C149" i="3"/>
  <c r="C289" i="3" s="1"/>
  <c r="C151" i="3"/>
  <c r="C291" i="3" s="1"/>
  <c r="C160" i="3"/>
  <c r="C300" i="3" s="1"/>
  <c r="C161" i="3"/>
  <c r="C301" i="3" s="1"/>
  <c r="C166" i="3"/>
  <c r="C306" i="3" s="1"/>
  <c r="C173" i="3"/>
  <c r="C313" i="3" s="1"/>
  <c r="C174" i="3"/>
  <c r="C314" i="3" s="1"/>
  <c r="E314" i="3" s="1"/>
  <c r="N6837" i="1" s="1"/>
  <c r="C178" i="3"/>
  <c r="C318" i="3" s="1"/>
  <c r="C191" i="3"/>
  <c r="C331" i="3" s="1"/>
  <c r="C192" i="3"/>
  <c r="E192" i="3" s="1"/>
  <c r="N3465" i="1" s="1"/>
  <c r="C193" i="3"/>
  <c r="C333" i="3" s="1"/>
  <c r="C194" i="3"/>
  <c r="C334" i="3" s="1"/>
  <c r="C197" i="3"/>
  <c r="C337" i="3" s="1"/>
  <c r="C198" i="3"/>
  <c r="C338" i="3" s="1"/>
  <c r="C199" i="3"/>
  <c r="C339" i="3" s="1"/>
  <c r="C206" i="3"/>
  <c r="C346" i="3" s="1"/>
  <c r="C207" i="3"/>
  <c r="C347" i="3" s="1"/>
  <c r="C208" i="3"/>
  <c r="C348" i="3" s="1"/>
  <c r="C212" i="3"/>
  <c r="C352" i="3" s="1"/>
  <c r="C216" i="3"/>
  <c r="C356" i="3" s="1"/>
  <c r="C217" i="3"/>
  <c r="C357" i="3" s="1"/>
  <c r="C242" i="3"/>
  <c r="C382" i="3" s="1"/>
  <c r="C243" i="3"/>
  <c r="C383" i="3" s="1"/>
  <c r="C244" i="3"/>
  <c r="C384" i="3" s="1"/>
  <c r="C245" i="3"/>
  <c r="C385" i="3" s="1"/>
  <c r="C246" i="3"/>
  <c r="C386" i="3" s="1"/>
  <c r="C247" i="3"/>
  <c r="C387" i="3" s="1"/>
  <c r="C248" i="3"/>
  <c r="C388" i="3" s="1"/>
  <c r="C249" i="3"/>
  <c r="C389" i="3" s="1"/>
  <c r="C250" i="3"/>
  <c r="C390" i="3" s="1"/>
  <c r="C251" i="3"/>
  <c r="C391" i="3" s="1"/>
  <c r="C252" i="3"/>
  <c r="C392" i="3" s="1"/>
  <c r="C253" i="3"/>
  <c r="C393" i="3" s="1"/>
  <c r="C254" i="3"/>
  <c r="C394" i="3" s="1"/>
  <c r="C255" i="3"/>
  <c r="C395" i="3" s="1"/>
  <c r="C256" i="3"/>
  <c r="C396" i="3" s="1"/>
  <c r="C257" i="3"/>
  <c r="C397" i="3" s="1"/>
  <c r="C258" i="3"/>
  <c r="C398" i="3" s="1"/>
  <c r="C259" i="3"/>
  <c r="C399" i="3" s="1"/>
  <c r="C260" i="3"/>
  <c r="C400" i="3" s="1"/>
  <c r="C261" i="3"/>
  <c r="C401" i="3" s="1"/>
  <c r="C262" i="3"/>
  <c r="C402" i="3" s="1"/>
  <c r="C265" i="3"/>
  <c r="C405" i="3" s="1"/>
  <c r="P276" i="3"/>
  <c r="O276" i="3"/>
  <c r="Q275" i="3"/>
  <c r="N6763" i="1" s="1"/>
  <c r="O6763" i="1" s="1"/>
  <c r="Q6763" i="1" s="1"/>
  <c r="Q274" i="3"/>
  <c r="N6762" i="1" s="1"/>
  <c r="O6762" i="1" s="1"/>
  <c r="Q6762" i="1" s="1"/>
  <c r="Q273" i="3"/>
  <c r="Q272" i="3"/>
  <c r="N6760" i="1" s="1"/>
  <c r="Q270" i="3"/>
  <c r="N6757" i="1" s="1"/>
  <c r="O6757" i="1" s="1"/>
  <c r="M215" i="3"/>
  <c r="N6444" i="1" s="1"/>
  <c r="M202" i="3"/>
  <c r="N6428" i="1" s="1"/>
  <c r="Q144" i="3"/>
  <c r="M204" i="3" l="1"/>
  <c r="N6430" i="1" s="1"/>
  <c r="M203" i="3"/>
  <c r="N6429" i="1" s="1"/>
  <c r="N6623" i="1" s="1"/>
  <c r="G332" i="3"/>
  <c r="H5507" i="1"/>
  <c r="K354" i="3"/>
  <c r="H6438" i="1"/>
  <c r="K352" i="3"/>
  <c r="H6427" i="1"/>
  <c r="K349" i="3"/>
  <c r="H6432" i="1"/>
  <c r="K348" i="3"/>
  <c r="H6437" i="1"/>
  <c r="K336" i="3"/>
  <c r="H6441" i="1"/>
  <c r="N9930" i="1"/>
  <c r="N10027" i="1"/>
  <c r="N10124" i="1"/>
  <c r="N10111" i="1"/>
  <c r="N9917" i="1"/>
  <c r="N10014" i="1"/>
  <c r="N10013" i="1"/>
  <c r="N10110" i="1"/>
  <c r="N9916" i="1"/>
  <c r="N9928" i="1"/>
  <c r="N10025" i="1"/>
  <c r="N10122" i="1"/>
  <c r="N10108" i="1"/>
  <c r="N9914" i="1"/>
  <c r="N10011" i="1"/>
  <c r="N9915" i="1"/>
  <c r="N10012" i="1"/>
  <c r="N10109" i="1"/>
  <c r="N10113" i="1"/>
  <c r="N10016" i="1"/>
  <c r="N9919" i="1"/>
  <c r="N9922" i="1"/>
  <c r="N10019" i="1"/>
  <c r="N10116" i="1"/>
  <c r="H3545" i="1"/>
  <c r="H3665" i="1"/>
  <c r="H4265" i="1"/>
  <c r="H4145" i="1"/>
  <c r="H3785" i="1"/>
  <c r="H3905" i="1"/>
  <c r="H4025" i="1"/>
  <c r="E182" i="3"/>
  <c r="N3455" i="1" s="1"/>
  <c r="N4055" i="1" s="1"/>
  <c r="H3455" i="1"/>
  <c r="H3702" i="1"/>
  <c r="H5382" i="1"/>
  <c r="H3822" i="1"/>
  <c r="H5142" i="1"/>
  <c r="H4422" i="1"/>
  <c r="H4902" i="1"/>
  <c r="H3942" i="1"/>
  <c r="H3582" i="1"/>
  <c r="H5022" i="1"/>
  <c r="H4062" i="1"/>
  <c r="H4782" i="1"/>
  <c r="H4662" i="1"/>
  <c r="H4542" i="1"/>
  <c r="H5262" i="1"/>
  <c r="H4302" i="1"/>
  <c r="H4182" i="1"/>
  <c r="E176" i="3"/>
  <c r="N3450" i="1" s="1"/>
  <c r="N4050" i="1" s="1"/>
  <c r="H3450" i="1"/>
  <c r="E183" i="3"/>
  <c r="N3456" i="1" s="1"/>
  <c r="N5256" i="1" s="1"/>
  <c r="H3456" i="1"/>
  <c r="H3694" i="1"/>
  <c r="H5014" i="1"/>
  <c r="H4054" i="1"/>
  <c r="H4774" i="1"/>
  <c r="H4534" i="1"/>
  <c r="H4294" i="1"/>
  <c r="H5374" i="1"/>
  <c r="H3814" i="1"/>
  <c r="H5134" i="1"/>
  <c r="H4414" i="1"/>
  <c r="H3574" i="1"/>
  <c r="H5254" i="1"/>
  <c r="H3934" i="1"/>
  <c r="H4174" i="1"/>
  <c r="H4894" i="1"/>
  <c r="H4654" i="1"/>
  <c r="H3544" i="1"/>
  <c r="H4144" i="1"/>
  <c r="H3904" i="1"/>
  <c r="H3664" i="1"/>
  <c r="H4024" i="1"/>
  <c r="H3784" i="1"/>
  <c r="H4264" i="1"/>
  <c r="H3697" i="1"/>
  <c r="H3937" i="1"/>
  <c r="H3577" i="1"/>
  <c r="H4057" i="1"/>
  <c r="H4177" i="1"/>
  <c r="H3817" i="1"/>
  <c r="E164" i="3"/>
  <c r="N3426" i="1" s="1"/>
  <c r="N4026" i="1" s="1"/>
  <c r="H3426" i="1"/>
  <c r="H3701" i="1"/>
  <c r="H4181" i="1"/>
  <c r="H4661" i="1"/>
  <c r="H4541" i="1"/>
  <c r="H3581" i="1"/>
  <c r="H5261" i="1"/>
  <c r="H4301" i="1"/>
  <c r="H5381" i="1"/>
  <c r="H3821" i="1"/>
  <c r="H5141" i="1"/>
  <c r="H3941" i="1"/>
  <c r="H4901" i="1"/>
  <c r="H4421" i="1"/>
  <c r="H5021" i="1"/>
  <c r="H4061" i="1"/>
  <c r="H4781" i="1"/>
  <c r="N6957" i="1"/>
  <c r="N8037" i="1"/>
  <c r="N7317" i="1"/>
  <c r="N8157" i="1"/>
  <c r="N7437" i="1"/>
  <c r="N7557" i="1"/>
  <c r="N8757" i="1"/>
  <c r="N7677" i="1"/>
  <c r="N8517" i="1"/>
  <c r="N7797" i="1"/>
  <c r="N8277" i="1"/>
  <c r="N7077" i="1"/>
  <c r="N8637" i="1"/>
  <c r="N8397" i="1"/>
  <c r="N7917" i="1"/>
  <c r="N7197" i="1"/>
  <c r="N6761" i="1"/>
  <c r="O6761" i="1" s="1"/>
  <c r="Q6761" i="1" s="1"/>
  <c r="O6760" i="1"/>
  <c r="Q6760" i="1" s="1"/>
  <c r="O6758" i="1"/>
  <c r="Q6758" i="1" s="1"/>
  <c r="Q6757" i="1"/>
  <c r="N6752" i="1"/>
  <c r="O6752" i="1" s="1"/>
  <c r="N6718" i="1"/>
  <c r="N6621" i="1"/>
  <c r="N6524" i="1"/>
  <c r="N6735" i="1"/>
  <c r="N6638" i="1"/>
  <c r="N6541" i="1"/>
  <c r="N6728" i="1"/>
  <c r="N6631" i="1"/>
  <c r="N6534" i="1"/>
  <c r="N6525" i="1"/>
  <c r="N6622" i="1"/>
  <c r="N6719" i="1"/>
  <c r="N6527" i="1"/>
  <c r="N6721" i="1"/>
  <c r="N6624" i="1"/>
  <c r="N4661" i="1"/>
  <c r="N4781" i="1"/>
  <c r="N4061" i="1"/>
  <c r="N4301" i="1"/>
  <c r="N5381" i="1"/>
  <c r="N4421" i="1"/>
  <c r="N5141" i="1"/>
  <c r="N5261" i="1"/>
  <c r="N4541" i="1"/>
  <c r="N5021" i="1"/>
  <c r="N4181" i="1"/>
  <c r="N3701" i="1"/>
  <c r="N3581" i="1"/>
  <c r="N4901" i="1"/>
  <c r="N3821" i="1"/>
  <c r="N3941" i="1"/>
  <c r="N3815" i="1"/>
  <c r="N3570" i="1"/>
  <c r="N5385" i="1"/>
  <c r="N4425" i="1"/>
  <c r="N5265" i="1"/>
  <c r="N4545" i="1"/>
  <c r="N5025" i="1"/>
  <c r="N4065" i="1"/>
  <c r="N5145" i="1"/>
  <c r="N4185" i="1"/>
  <c r="N4905" i="1"/>
  <c r="N3825" i="1"/>
  <c r="N4665" i="1"/>
  <c r="N3945" i="1"/>
  <c r="N3705" i="1"/>
  <c r="N4785" i="1"/>
  <c r="N3585" i="1"/>
  <c r="N4305" i="1"/>
  <c r="C332" i="3"/>
  <c r="H3465" i="1"/>
  <c r="M214" i="3"/>
  <c r="N6438" i="1" s="1"/>
  <c r="F276" i="3"/>
  <c r="U214" i="3"/>
  <c r="V214" i="3" s="1"/>
  <c r="Q276" i="3"/>
  <c r="E163" i="3"/>
  <c r="N3424" i="1" s="1"/>
  <c r="E181" i="3"/>
  <c r="N3454" i="1" s="1"/>
  <c r="M205" i="3"/>
  <c r="N6431" i="1" s="1"/>
  <c r="E189" i="3"/>
  <c r="N3462" i="1" s="1"/>
  <c r="E165" i="3"/>
  <c r="N3425" i="1" s="1"/>
  <c r="M196" i="3"/>
  <c r="N6441" i="1" s="1"/>
  <c r="M209" i="3"/>
  <c r="N6432" i="1" s="1"/>
  <c r="M206" i="3"/>
  <c r="N6436" i="1" s="1"/>
  <c r="M210" i="3"/>
  <c r="N6442" i="1" s="1"/>
  <c r="I192" i="3"/>
  <c r="N5507" i="1" s="1"/>
  <c r="E184" i="3"/>
  <c r="N3457" i="1" s="1"/>
  <c r="E174" i="3"/>
  <c r="N3448" i="1" s="1"/>
  <c r="M197" i="3"/>
  <c r="N6433" i="1" s="1"/>
  <c r="J276" i="3"/>
  <c r="N276" i="3"/>
  <c r="N279" i="3" s="1"/>
  <c r="H3369" i="1"/>
  <c r="H3050" i="1"/>
  <c r="M104" i="3"/>
  <c r="N3063" i="1" s="1"/>
  <c r="K242" i="3"/>
  <c r="K240" i="3"/>
  <c r="M99" i="3"/>
  <c r="N3060" i="1" s="1"/>
  <c r="K267" i="3"/>
  <c r="H6457" i="1" s="1"/>
  <c r="K265" i="3"/>
  <c r="H6369" i="1" s="1"/>
  <c r="K124" i="3"/>
  <c r="M74" i="3"/>
  <c r="N3050" i="1" s="1"/>
  <c r="K213" i="3"/>
  <c r="K211" i="3"/>
  <c r="H6440" i="1" s="1"/>
  <c r="K198" i="3"/>
  <c r="H6434" i="1" s="1"/>
  <c r="K194" i="3"/>
  <c r="H6424" i="1" s="1"/>
  <c r="K192" i="3"/>
  <c r="K191" i="3"/>
  <c r="K171" i="3"/>
  <c r="H6413" i="1" s="1"/>
  <c r="K168" i="3"/>
  <c r="K167" i="3"/>
  <c r="H6408" i="1" s="1"/>
  <c r="K150" i="3"/>
  <c r="H6400" i="1" s="1"/>
  <c r="K149" i="3"/>
  <c r="K147" i="3"/>
  <c r="H6398" i="1" s="1"/>
  <c r="K148" i="3"/>
  <c r="K146" i="3"/>
  <c r="H6397" i="1" s="1"/>
  <c r="K152" i="3"/>
  <c r="N4896" i="1" l="1"/>
  <c r="N4535" i="1"/>
  <c r="N6526" i="1"/>
  <c r="N4536" i="1"/>
  <c r="N3575" i="1"/>
  <c r="N4175" i="1"/>
  <c r="N3935" i="1"/>
  <c r="N6720" i="1"/>
  <c r="N3930" i="1"/>
  <c r="N4170" i="1"/>
  <c r="N3810" i="1"/>
  <c r="N4890" i="1" s="1"/>
  <c r="N3666" i="1"/>
  <c r="N4506" i="1" s="1"/>
  <c r="N4266" i="1"/>
  <c r="N3546" i="1"/>
  <c r="M32" i="3"/>
  <c r="H6529" i="1"/>
  <c r="H6626" i="1"/>
  <c r="H6723" i="1"/>
  <c r="M349" i="3"/>
  <c r="N9821" i="1" s="1"/>
  <c r="H9821" i="1"/>
  <c r="H6621" i="1"/>
  <c r="H6524" i="1"/>
  <c r="H6718" i="1"/>
  <c r="E332" i="3"/>
  <c r="N6854" i="1" s="1"/>
  <c r="N6974" i="1" s="1"/>
  <c r="H6854" i="1"/>
  <c r="M352" i="3"/>
  <c r="N9816" i="1" s="1"/>
  <c r="H9816" i="1"/>
  <c r="H6732" i="1"/>
  <c r="H6635" i="1"/>
  <c r="H6538" i="1"/>
  <c r="M336" i="3"/>
  <c r="N9830" i="1" s="1"/>
  <c r="H9830" i="1"/>
  <c r="M354" i="3"/>
  <c r="N9827" i="1" s="1"/>
  <c r="H9827" i="1"/>
  <c r="H6534" i="1"/>
  <c r="H6728" i="1"/>
  <c r="H6631" i="1"/>
  <c r="M348" i="3"/>
  <c r="N9826" i="1" s="1"/>
  <c r="H9826" i="1"/>
  <c r="I332" i="3"/>
  <c r="N8896" i="1" s="1"/>
  <c r="H8896" i="1"/>
  <c r="N4410" i="1"/>
  <c r="N4415" i="1"/>
  <c r="N3906" i="1"/>
  <c r="N4746" i="1" s="1"/>
  <c r="N3690" i="1"/>
  <c r="N3695" i="1"/>
  <c r="N4146" i="1"/>
  <c r="N4986" i="1" s="1"/>
  <c r="N4290" i="1"/>
  <c r="N5370" i="1" s="1"/>
  <c r="N4295" i="1"/>
  <c r="N3786" i="1"/>
  <c r="H6375" i="1"/>
  <c r="M152" i="3"/>
  <c r="N6375" i="1" s="1"/>
  <c r="H6554" i="1"/>
  <c r="H6748" i="1"/>
  <c r="H6651" i="1"/>
  <c r="N3576" i="1"/>
  <c r="N5136" i="1"/>
  <c r="H3546" i="1"/>
  <c r="H4146" i="1"/>
  <c r="H3906" i="1"/>
  <c r="H4026" i="1"/>
  <c r="H3666" i="1"/>
  <c r="H3786" i="1"/>
  <c r="H4266" i="1"/>
  <c r="H4657" i="1"/>
  <c r="H4744" i="1"/>
  <c r="H4410" i="1"/>
  <c r="H4170" i="1"/>
  <c r="H4530" i="1"/>
  <c r="H3690" i="1"/>
  <c r="H4290" i="1"/>
  <c r="H3570" i="1"/>
  <c r="H3810" i="1"/>
  <c r="H3930" i="1"/>
  <c r="H4050" i="1"/>
  <c r="H4865" i="1"/>
  <c r="H4504" i="1"/>
  <c r="H6591" i="1"/>
  <c r="H6494" i="1"/>
  <c r="H6688" i="1"/>
  <c r="H6731" i="1"/>
  <c r="H6634" i="1"/>
  <c r="H6537" i="1"/>
  <c r="N3696" i="1"/>
  <c r="N4416" i="1"/>
  <c r="H4417" i="1"/>
  <c r="H4984" i="1"/>
  <c r="H4745" i="1"/>
  <c r="H4297" i="1"/>
  <c r="H6594" i="1"/>
  <c r="H6691" i="1"/>
  <c r="H6497" i="1"/>
  <c r="N4176" i="1"/>
  <c r="N5376" i="1"/>
  <c r="H4384" i="1"/>
  <c r="H4625" i="1"/>
  <c r="N5016" i="1"/>
  <c r="N3816" i="1"/>
  <c r="H4985" i="1"/>
  <c r="H6505" i="1"/>
  <c r="H6602" i="1"/>
  <c r="H6699" i="1"/>
  <c r="H6704" i="1"/>
  <c r="H6607" i="1"/>
  <c r="H6510" i="1"/>
  <c r="N4776" i="1"/>
  <c r="N4656" i="1"/>
  <c r="H4537" i="1"/>
  <c r="H5104" i="1"/>
  <c r="H4175" i="1"/>
  <c r="H3695" i="1"/>
  <c r="H4655" i="1"/>
  <c r="H5375" i="1"/>
  <c r="H4295" i="1"/>
  <c r="H5135" i="1"/>
  <c r="H3815" i="1"/>
  <c r="H5255" i="1"/>
  <c r="H4415" i="1"/>
  <c r="H4895" i="1"/>
  <c r="H3935" i="1"/>
  <c r="H5015" i="1"/>
  <c r="H4055" i="1"/>
  <c r="H4775" i="1"/>
  <c r="H3575" i="1"/>
  <c r="H4535" i="1"/>
  <c r="H5105" i="1"/>
  <c r="N4056" i="1"/>
  <c r="N3936" i="1"/>
  <c r="H4897" i="1"/>
  <c r="H4624" i="1"/>
  <c r="H4505" i="1"/>
  <c r="K308" i="3"/>
  <c r="H6409" i="1"/>
  <c r="H6660" i="1"/>
  <c r="H6563" i="1"/>
  <c r="H6466" i="1"/>
  <c r="N4296" i="1"/>
  <c r="H4777" i="1"/>
  <c r="H4864" i="1"/>
  <c r="H3696" i="1"/>
  <c r="H3576" i="1"/>
  <c r="H4536" i="1"/>
  <c r="H4656" i="1"/>
  <c r="H4296" i="1"/>
  <c r="H4416" i="1"/>
  <c r="H4176" i="1"/>
  <c r="H3816" i="1"/>
  <c r="H3936" i="1"/>
  <c r="H4896" i="1"/>
  <c r="H4056" i="1"/>
  <c r="H4776" i="1"/>
  <c r="H4385" i="1"/>
  <c r="H10118" i="1"/>
  <c r="H10021" i="1"/>
  <c r="H9924" i="1"/>
  <c r="O6759" i="1"/>
  <c r="O6756" i="1" s="1"/>
  <c r="Q6756" i="1" s="1"/>
  <c r="Q6752" i="1"/>
  <c r="O6754" i="1"/>
  <c r="O6751" i="1" s="1"/>
  <c r="Q6751" i="1" s="1"/>
  <c r="O6753" i="1"/>
  <c r="N6533" i="1"/>
  <c r="N6630" i="1"/>
  <c r="N6727" i="1"/>
  <c r="N6723" i="1"/>
  <c r="N6626" i="1"/>
  <c r="N6529" i="1"/>
  <c r="N6539" i="1"/>
  <c r="N6636" i="1"/>
  <c r="N6733" i="1"/>
  <c r="J279" i="3"/>
  <c r="N6732" i="1"/>
  <c r="N6635" i="1"/>
  <c r="N6538" i="1"/>
  <c r="N6724" i="1"/>
  <c r="N6627" i="1"/>
  <c r="N6530" i="1"/>
  <c r="N6729" i="1"/>
  <c r="N6632" i="1"/>
  <c r="N6535" i="1"/>
  <c r="N6722" i="1"/>
  <c r="N6625" i="1"/>
  <c r="N6528" i="1"/>
  <c r="N5611" i="1"/>
  <c r="N5715" i="1"/>
  <c r="N6225" i="1"/>
  <c r="N6327" i="1"/>
  <c r="N6123" i="1"/>
  <c r="N6021" i="1"/>
  <c r="N5919" i="1"/>
  <c r="N5817" i="1"/>
  <c r="F279" i="3"/>
  <c r="N5382" i="1"/>
  <c r="N4662" i="1"/>
  <c r="N5142" i="1"/>
  <c r="N5262" i="1"/>
  <c r="N5022" i="1"/>
  <c r="N4902" i="1"/>
  <c r="N4782" i="1"/>
  <c r="N3582" i="1"/>
  <c r="N4530" i="1"/>
  <c r="N4650" i="1"/>
  <c r="N5257" i="1"/>
  <c r="N4057" i="1"/>
  <c r="N4297" i="1"/>
  <c r="N3697" i="1"/>
  <c r="N5017" i="1"/>
  <c r="N4177" i="1"/>
  <c r="N3577" i="1"/>
  <c r="N4897" i="1"/>
  <c r="N3817" i="1"/>
  <c r="N4777" i="1"/>
  <c r="N4657" i="1"/>
  <c r="N5377" i="1"/>
  <c r="N4417" i="1"/>
  <c r="N5137" i="1"/>
  <c r="N4537" i="1"/>
  <c r="N3937" i="1"/>
  <c r="N4770" i="1"/>
  <c r="N4655" i="1"/>
  <c r="N3934" i="1"/>
  <c r="N5254" i="1"/>
  <c r="N4054" i="1"/>
  <c r="N4414" i="1"/>
  <c r="N5014" i="1"/>
  <c r="N4174" i="1"/>
  <c r="N4894" i="1"/>
  <c r="N3814" i="1"/>
  <c r="N3694" i="1"/>
  <c r="N3574" i="1"/>
  <c r="N4774" i="1"/>
  <c r="N4294" i="1"/>
  <c r="N5374" i="1"/>
  <c r="N4534" i="1"/>
  <c r="N5134" i="1"/>
  <c r="N4654" i="1"/>
  <c r="N4775" i="1"/>
  <c r="N5106" i="1"/>
  <c r="N3544" i="1"/>
  <c r="N4144" i="1"/>
  <c r="N4264" i="1"/>
  <c r="N3664" i="1"/>
  <c r="N3784" i="1"/>
  <c r="N3904" i="1"/>
  <c r="N4024" i="1"/>
  <c r="N5010" i="1"/>
  <c r="N5375" i="1"/>
  <c r="N4866" i="1"/>
  <c r="N5250" i="1"/>
  <c r="N4895" i="1"/>
  <c r="N4626" i="1"/>
  <c r="N5130" i="1"/>
  <c r="N5255" i="1"/>
  <c r="N5015" i="1"/>
  <c r="N4386" i="1"/>
  <c r="N3545" i="1"/>
  <c r="N4265" i="1"/>
  <c r="N3905" i="1"/>
  <c r="N4025" i="1"/>
  <c r="N3665" i="1"/>
  <c r="N4145" i="1"/>
  <c r="N3785" i="1"/>
  <c r="N5135" i="1"/>
  <c r="N4768" i="1"/>
  <c r="N4288" i="1"/>
  <c r="N5248" i="1"/>
  <c r="N4408" i="1"/>
  <c r="N5368" i="1"/>
  <c r="N4528" i="1"/>
  <c r="N5008" i="1"/>
  <c r="N4048" i="1"/>
  <c r="N3688" i="1"/>
  <c r="N5128" i="1"/>
  <c r="N4168" i="1"/>
  <c r="N4888" i="1"/>
  <c r="N3808" i="1"/>
  <c r="N4648" i="1"/>
  <c r="N3568" i="1"/>
  <c r="N3928" i="1"/>
  <c r="H5145" i="1"/>
  <c r="H3825" i="1"/>
  <c r="H4905" i="1"/>
  <c r="H3945" i="1"/>
  <c r="H5025" i="1"/>
  <c r="H4065" i="1"/>
  <c r="H4785" i="1"/>
  <c r="H4185" i="1"/>
  <c r="H4665" i="1"/>
  <c r="H3585" i="1"/>
  <c r="H4545" i="1"/>
  <c r="H3705" i="1"/>
  <c r="H5385" i="1"/>
  <c r="H4305" i="1"/>
  <c r="H4425" i="1"/>
  <c r="H5265" i="1"/>
  <c r="H3244" i="1"/>
  <c r="H6729" i="1"/>
  <c r="H6632" i="1"/>
  <c r="H6535" i="1"/>
  <c r="M148" i="3"/>
  <c r="N6399" i="1" s="1"/>
  <c r="K288" i="3"/>
  <c r="M288" i="3" s="1"/>
  <c r="N9788" i="1" s="1"/>
  <c r="M167" i="3"/>
  <c r="N6408" i="1" s="1"/>
  <c r="K307" i="3"/>
  <c r="M171" i="3"/>
  <c r="N6413" i="1" s="1"/>
  <c r="K311" i="3"/>
  <c r="M147" i="3"/>
  <c r="N6398" i="1" s="1"/>
  <c r="K287" i="3"/>
  <c r="M240" i="3"/>
  <c r="K380" i="3"/>
  <c r="M380" i="3" s="1"/>
  <c r="M194" i="3"/>
  <c r="N6424" i="1" s="1"/>
  <c r="K334" i="3"/>
  <c r="M265" i="3"/>
  <c r="N6369" i="1" s="1"/>
  <c r="K405" i="3"/>
  <c r="M242" i="3"/>
  <c r="K382" i="3"/>
  <c r="M382" i="3" s="1"/>
  <c r="K292" i="3"/>
  <c r="M149" i="3"/>
  <c r="N6401" i="1" s="1"/>
  <c r="K289" i="3"/>
  <c r="M289" i="3" s="1"/>
  <c r="N9790" i="1" s="1"/>
  <c r="M191" i="3"/>
  <c r="N6415" i="1" s="1"/>
  <c r="K331" i="3"/>
  <c r="M331" i="3" s="1"/>
  <c r="N9804" i="1" s="1"/>
  <c r="M267" i="3"/>
  <c r="N6457" i="1" s="1"/>
  <c r="K407" i="3"/>
  <c r="M146" i="3"/>
  <c r="N6397" i="1" s="1"/>
  <c r="K286" i="3"/>
  <c r="M198" i="3"/>
  <c r="N6434" i="1" s="1"/>
  <c r="K338" i="3"/>
  <c r="M211" i="3"/>
  <c r="N6440" i="1" s="1"/>
  <c r="K351" i="3"/>
  <c r="M150" i="3"/>
  <c r="N6400" i="1" s="1"/>
  <c r="K290" i="3"/>
  <c r="M192" i="3"/>
  <c r="N6422" i="1" s="1"/>
  <c r="K332" i="3"/>
  <c r="M332" i="3" s="1"/>
  <c r="N9811" i="1" s="1"/>
  <c r="M213" i="3"/>
  <c r="N6439" i="1" s="1"/>
  <c r="K353" i="3"/>
  <c r="M353" i="3" s="1"/>
  <c r="N9828" i="1" s="1"/>
  <c r="M168" i="3"/>
  <c r="N6409" i="1" s="1"/>
  <c r="H3024" i="1"/>
  <c r="K172" i="3"/>
  <c r="H6412" i="1" s="1"/>
  <c r="M102" i="3"/>
  <c r="N3062" i="1" s="1"/>
  <c r="H3062" i="1"/>
  <c r="H3159" i="1" s="1"/>
  <c r="H3022" i="1"/>
  <c r="H3216" i="1" s="1"/>
  <c r="K169" i="3"/>
  <c r="H6410" i="1" s="1"/>
  <c r="M105" i="3"/>
  <c r="N3064" i="1" s="1"/>
  <c r="N3161" i="1" s="1"/>
  <c r="H3064" i="1"/>
  <c r="K245" i="3"/>
  <c r="H3023" i="1"/>
  <c r="H3217" i="1" s="1"/>
  <c r="K170" i="3"/>
  <c r="H6411" i="1" s="1"/>
  <c r="H3047" i="1"/>
  <c r="K199" i="3"/>
  <c r="H6435" i="1" s="1"/>
  <c r="H3061" i="1"/>
  <c r="H3352" i="1" s="1"/>
  <c r="K239" i="3"/>
  <c r="H3063" i="1"/>
  <c r="K244" i="3"/>
  <c r="H2976" i="1"/>
  <c r="K144" i="3"/>
  <c r="H6364" i="1" s="1"/>
  <c r="H3035" i="1"/>
  <c r="H3132" i="1" s="1"/>
  <c r="K193" i="3"/>
  <c r="H6423" i="1" s="1"/>
  <c r="M100" i="3"/>
  <c r="N3061" i="1" s="1"/>
  <c r="N3255" i="1" s="1"/>
  <c r="B276" i="3"/>
  <c r="R6780" i="1" s="1"/>
  <c r="U74" i="3"/>
  <c r="V74" i="3" s="1"/>
  <c r="H3060" i="1"/>
  <c r="N3351" i="1"/>
  <c r="N3254" i="1"/>
  <c r="N3157" i="1"/>
  <c r="N3354" i="1"/>
  <c r="N3257" i="1"/>
  <c r="N3160" i="1"/>
  <c r="H3256" i="1"/>
  <c r="H3119" i="1"/>
  <c r="H3120" i="1"/>
  <c r="H3341" i="1"/>
  <c r="H3147" i="1"/>
  <c r="N8054" i="1" l="1"/>
  <c r="N7814" i="1"/>
  <c r="N7214" i="1"/>
  <c r="N7574" i="1"/>
  <c r="N8414" i="1"/>
  <c r="N8294" i="1"/>
  <c r="N8654" i="1"/>
  <c r="N7454" i="1"/>
  <c r="N7334" i="1"/>
  <c r="N7934" i="1"/>
  <c r="N7694" i="1"/>
  <c r="N8174" i="1"/>
  <c r="N7094" i="1"/>
  <c r="N8534" i="1"/>
  <c r="N8774" i="1"/>
  <c r="N3355" i="1"/>
  <c r="H3229" i="1"/>
  <c r="N9716" i="1"/>
  <c r="N9000" i="1"/>
  <c r="N9512" i="1"/>
  <c r="N9410" i="1"/>
  <c r="N9308" i="1"/>
  <c r="N9614" i="1"/>
  <c r="N9104" i="1"/>
  <c r="N9206" i="1"/>
  <c r="H9923" i="1"/>
  <c r="H10117" i="1"/>
  <c r="H10020" i="1"/>
  <c r="N10021" i="1"/>
  <c r="N10118" i="1"/>
  <c r="N9924" i="1"/>
  <c r="H10015" i="1"/>
  <c r="H10112" i="1"/>
  <c r="H9918" i="1"/>
  <c r="N10117" i="1"/>
  <c r="N10020" i="1"/>
  <c r="N9923" i="1"/>
  <c r="H10024" i="1"/>
  <c r="H10121" i="1"/>
  <c r="H9927" i="1"/>
  <c r="N10015" i="1"/>
  <c r="N10112" i="1"/>
  <c r="N9918" i="1"/>
  <c r="N9927" i="1"/>
  <c r="N10121" i="1"/>
  <c r="N10024" i="1"/>
  <c r="H9913" i="1"/>
  <c r="H10107" i="1"/>
  <c r="H10010" i="1"/>
  <c r="H7214" i="1"/>
  <c r="H8174" i="1"/>
  <c r="H7814" i="1"/>
  <c r="H7934" i="1"/>
  <c r="H8054" i="1"/>
  <c r="H8774" i="1"/>
  <c r="H8534" i="1"/>
  <c r="H7574" i="1"/>
  <c r="H8654" i="1"/>
  <c r="H7334" i="1"/>
  <c r="H8294" i="1"/>
  <c r="H7454" i="1"/>
  <c r="H6974" i="1"/>
  <c r="H8414" i="1"/>
  <c r="H7694" i="1"/>
  <c r="H7094" i="1"/>
  <c r="N10107" i="1"/>
  <c r="N9913" i="1"/>
  <c r="N10010" i="1"/>
  <c r="M290" i="3"/>
  <c r="N9789" i="1" s="1"/>
  <c r="N9886" i="1" s="1"/>
  <c r="H9789" i="1"/>
  <c r="N3258" i="1"/>
  <c r="M334" i="3"/>
  <c r="N9813" i="1" s="1"/>
  <c r="H9813" i="1"/>
  <c r="M307" i="3"/>
  <c r="N9797" i="1" s="1"/>
  <c r="H9797" i="1"/>
  <c r="N9925" i="1"/>
  <c r="N10119" i="1"/>
  <c r="N10022" i="1"/>
  <c r="N10081" i="1"/>
  <c r="N9887" i="1"/>
  <c r="N9984" i="1"/>
  <c r="N9885" i="1"/>
  <c r="N10079" i="1"/>
  <c r="N9982" i="1"/>
  <c r="M308" i="3"/>
  <c r="N9798" i="1" s="1"/>
  <c r="H9798" i="1"/>
  <c r="N10102" i="1"/>
  <c r="N10005" i="1"/>
  <c r="N9908" i="1"/>
  <c r="M286" i="3"/>
  <c r="N9786" i="1" s="1"/>
  <c r="H9786" i="1"/>
  <c r="H9764" i="1"/>
  <c r="M292" i="3"/>
  <c r="N9764" i="1" s="1"/>
  <c r="M338" i="3"/>
  <c r="N9823" i="1" s="1"/>
  <c r="H9823" i="1"/>
  <c r="M287" i="3"/>
  <c r="N9787" i="1" s="1"/>
  <c r="H9787" i="1"/>
  <c r="M407" i="3"/>
  <c r="N9846" i="1" s="1"/>
  <c r="H9846" i="1"/>
  <c r="M405" i="3"/>
  <c r="N9758" i="1" s="1"/>
  <c r="H9758" i="1"/>
  <c r="M311" i="3"/>
  <c r="N9802" i="1" s="1"/>
  <c r="H9802" i="1"/>
  <c r="M351" i="3"/>
  <c r="N9829" i="1" s="1"/>
  <c r="H9829" i="1"/>
  <c r="N10095" i="1"/>
  <c r="N9998" i="1"/>
  <c r="N9901" i="1"/>
  <c r="N9983" i="1"/>
  <c r="H5345" i="1"/>
  <c r="H4770" i="1"/>
  <c r="H5106" i="1"/>
  <c r="H5225" i="1"/>
  <c r="H4626" i="1"/>
  <c r="H5016" i="1"/>
  <c r="H5250" i="1"/>
  <c r="H4506" i="1"/>
  <c r="H5376" i="1"/>
  <c r="H5136" i="1"/>
  <c r="H5257" i="1"/>
  <c r="H5224" i="1"/>
  <c r="H5137" i="1"/>
  <c r="H5130" i="1"/>
  <c r="H4866" i="1"/>
  <c r="H5256" i="1"/>
  <c r="H6700" i="1"/>
  <c r="H6603" i="1"/>
  <c r="H6506" i="1"/>
  <c r="H5010" i="1"/>
  <c r="H4746" i="1"/>
  <c r="N6666" i="1"/>
  <c r="N6472" i="1"/>
  <c r="N6569" i="1"/>
  <c r="H5370" i="1"/>
  <c r="H5344" i="1"/>
  <c r="H4890" i="1"/>
  <c r="H5377" i="1"/>
  <c r="H4986" i="1"/>
  <c r="H6472" i="1"/>
  <c r="H6666" i="1"/>
  <c r="H6569" i="1"/>
  <c r="H5017" i="1"/>
  <c r="H4650" i="1"/>
  <c r="H4386" i="1"/>
  <c r="H10090" i="1"/>
  <c r="H9993" i="1"/>
  <c r="H9896" i="1"/>
  <c r="H3326" i="1"/>
  <c r="H10103" i="1"/>
  <c r="H10006" i="1"/>
  <c r="H9909" i="1"/>
  <c r="H3241" i="1"/>
  <c r="H10115" i="1"/>
  <c r="H9921" i="1"/>
  <c r="H10018" i="1"/>
  <c r="H10044" i="1"/>
  <c r="H9947" i="1"/>
  <c r="H9850" i="1"/>
  <c r="H10091" i="1"/>
  <c r="H9994" i="1"/>
  <c r="H9897" i="1"/>
  <c r="H10092" i="1"/>
  <c r="H9995" i="1"/>
  <c r="H9898" i="1"/>
  <c r="Q6754" i="1"/>
  <c r="O6755" i="1"/>
  <c r="O6750" i="1"/>
  <c r="Q6750" i="1" s="1"/>
  <c r="N6603" i="1"/>
  <c r="N6700" i="1"/>
  <c r="N6506" i="1"/>
  <c r="N6634" i="1"/>
  <c r="N6731" i="1"/>
  <c r="N6537" i="1"/>
  <c r="N6512" i="1"/>
  <c r="N6706" i="1"/>
  <c r="N6609" i="1"/>
  <c r="N6748" i="1"/>
  <c r="N6651" i="1"/>
  <c r="N6554" i="1"/>
  <c r="N6660" i="1"/>
  <c r="N6466" i="1"/>
  <c r="N6563" i="1"/>
  <c r="N6618" i="1"/>
  <c r="N6715" i="1"/>
  <c r="N6521" i="1"/>
  <c r="N6505" i="1"/>
  <c r="N6699" i="1"/>
  <c r="N6602" i="1"/>
  <c r="N6633" i="1"/>
  <c r="N6730" i="1"/>
  <c r="N6536" i="1"/>
  <c r="N6692" i="1"/>
  <c r="N6595" i="1"/>
  <c r="N6498" i="1"/>
  <c r="N6496" i="1"/>
  <c r="N6593" i="1"/>
  <c r="N6690" i="1"/>
  <c r="N6510" i="1"/>
  <c r="N6704" i="1"/>
  <c r="N6607" i="1"/>
  <c r="N6519" i="1"/>
  <c r="N6713" i="1"/>
  <c r="N6616" i="1"/>
  <c r="N6591" i="1"/>
  <c r="N6688" i="1"/>
  <c r="N6494" i="1"/>
  <c r="N6531" i="1"/>
  <c r="N6628" i="1"/>
  <c r="N6725" i="1"/>
  <c r="N6495" i="1"/>
  <c r="N6592" i="1"/>
  <c r="N6689" i="1"/>
  <c r="N6497" i="1"/>
  <c r="N6691" i="1"/>
  <c r="N6594" i="1"/>
  <c r="B279" i="3"/>
  <c r="N4505" i="1"/>
  <c r="N5104" i="1"/>
  <c r="N4865" i="1"/>
  <c r="N4984" i="1"/>
  <c r="N4504" i="1"/>
  <c r="N4422" i="1"/>
  <c r="N4542" i="1"/>
  <c r="N4302" i="1"/>
  <c r="N4062" i="1"/>
  <c r="N4182" i="1"/>
  <c r="N3822" i="1"/>
  <c r="N3702" i="1"/>
  <c r="N3942" i="1"/>
  <c r="N4745" i="1"/>
  <c r="N4384" i="1"/>
  <c r="N5105" i="1"/>
  <c r="N5346" i="1"/>
  <c r="N4385" i="1"/>
  <c r="N4864" i="1"/>
  <c r="N4985" i="1"/>
  <c r="N4744" i="1"/>
  <c r="N4625" i="1"/>
  <c r="N5226" i="1"/>
  <c r="N4624" i="1"/>
  <c r="H3144" i="1"/>
  <c r="H3338" i="1"/>
  <c r="H3255" i="1"/>
  <c r="N3158" i="1"/>
  <c r="N3352" i="1"/>
  <c r="H3158" i="1"/>
  <c r="H3160" i="1"/>
  <c r="H3161" i="1"/>
  <c r="H3315" i="1"/>
  <c r="H6703" i="1"/>
  <c r="H6606" i="1"/>
  <c r="H6509" i="1"/>
  <c r="H3254" i="1"/>
  <c r="H3218" i="1"/>
  <c r="H3313" i="1"/>
  <c r="H6701" i="1"/>
  <c r="H6604" i="1"/>
  <c r="H6507" i="1"/>
  <c r="H6714" i="1"/>
  <c r="H6617" i="1"/>
  <c r="H6520" i="1"/>
  <c r="H6726" i="1"/>
  <c r="H6629" i="1"/>
  <c r="H6532" i="1"/>
  <c r="H3353" i="1"/>
  <c r="N3353" i="1"/>
  <c r="H3073" i="1"/>
  <c r="H6655" i="1"/>
  <c r="H6558" i="1"/>
  <c r="H6461" i="1"/>
  <c r="H3314" i="1"/>
  <c r="H6702" i="1"/>
  <c r="H6605" i="1"/>
  <c r="H6508" i="1"/>
  <c r="H3267" i="1"/>
  <c r="N3159" i="1"/>
  <c r="N3256" i="1"/>
  <c r="H3121" i="1"/>
  <c r="M144" i="3"/>
  <c r="N6364" i="1" s="1"/>
  <c r="K284" i="3"/>
  <c r="M170" i="3"/>
  <c r="N6411" i="1" s="1"/>
  <c r="K310" i="3"/>
  <c r="M172" i="3"/>
  <c r="N6412" i="1" s="1"/>
  <c r="K312" i="3"/>
  <c r="H3170" i="1"/>
  <c r="M244" i="3"/>
  <c r="K384" i="3"/>
  <c r="M384" i="3" s="1"/>
  <c r="M245" i="3"/>
  <c r="K385" i="3"/>
  <c r="M385" i="3" s="1"/>
  <c r="M239" i="3"/>
  <c r="K379" i="3"/>
  <c r="M379" i="3" s="1"/>
  <c r="M169" i="3"/>
  <c r="N6410" i="1" s="1"/>
  <c r="K309" i="3"/>
  <c r="M193" i="3"/>
  <c r="N6423" i="1" s="1"/>
  <c r="K333" i="3"/>
  <c r="M199" i="3"/>
  <c r="N6435" i="1" s="1"/>
  <c r="K339" i="3"/>
  <c r="H3258" i="1"/>
  <c r="H3355" i="1"/>
  <c r="H3257" i="1"/>
  <c r="H3354" i="1"/>
  <c r="H3351" i="1"/>
  <c r="H3157" i="1"/>
  <c r="N10080" i="1" l="1"/>
  <c r="M312" i="3"/>
  <c r="N9801" i="1" s="1"/>
  <c r="H9801" i="1"/>
  <c r="N10120" i="1"/>
  <c r="N10023" i="1"/>
  <c r="N9926" i="1"/>
  <c r="N10078" i="1"/>
  <c r="N9981" i="1"/>
  <c r="N9884" i="1"/>
  <c r="H10093" i="1"/>
  <c r="H9996" i="1"/>
  <c r="H9899" i="1"/>
  <c r="H9991" i="1"/>
  <c r="H10088" i="1"/>
  <c r="H9894" i="1"/>
  <c r="M310" i="3"/>
  <c r="N9800" i="1" s="1"/>
  <c r="H9800" i="1"/>
  <c r="N10093" i="1"/>
  <c r="N9996" i="1"/>
  <c r="N9899" i="1"/>
  <c r="N9920" i="1"/>
  <c r="N10114" i="1"/>
  <c r="N10017" i="1"/>
  <c r="N10088" i="1"/>
  <c r="N9991" i="1"/>
  <c r="N9894" i="1"/>
  <c r="M339" i="3"/>
  <c r="N9824" i="1" s="1"/>
  <c r="H9824" i="1"/>
  <c r="H10049" i="1"/>
  <c r="H9952" i="1"/>
  <c r="H9855" i="1"/>
  <c r="N10055" i="1"/>
  <c r="N9958" i="1"/>
  <c r="N9861" i="1"/>
  <c r="H10089" i="1"/>
  <c r="H9992" i="1"/>
  <c r="H9895" i="1"/>
  <c r="M284" i="3"/>
  <c r="N9753" i="1" s="1"/>
  <c r="H9753" i="1"/>
  <c r="N10049" i="1"/>
  <c r="N9952" i="1"/>
  <c r="N9855" i="1"/>
  <c r="H10055" i="1"/>
  <c r="H9958" i="1"/>
  <c r="H9861" i="1"/>
  <c r="N10089" i="1"/>
  <c r="N9992" i="1"/>
  <c r="N9895" i="1"/>
  <c r="N10007" i="1"/>
  <c r="N10104" i="1"/>
  <c r="N9910" i="1"/>
  <c r="H9943" i="1"/>
  <c r="H10040" i="1"/>
  <c r="H10137" i="1"/>
  <c r="H10077" i="1"/>
  <c r="H9883" i="1"/>
  <c r="H9980" i="1"/>
  <c r="M333" i="3"/>
  <c r="N9812" i="1" s="1"/>
  <c r="H9812" i="1"/>
  <c r="N9943" i="1"/>
  <c r="N10137" i="1"/>
  <c r="N10040" i="1"/>
  <c r="N9883" i="1"/>
  <c r="N10077" i="1"/>
  <c r="N9980" i="1"/>
  <c r="H9983" i="1"/>
  <c r="H10080" i="1"/>
  <c r="H9886" i="1"/>
  <c r="M309" i="3"/>
  <c r="N9799" i="1" s="1"/>
  <c r="H9799" i="1"/>
  <c r="H10120" i="1"/>
  <c r="H9926" i="1"/>
  <c r="H10023" i="1"/>
  <c r="H5226" i="1"/>
  <c r="H5346" i="1"/>
  <c r="N6605" i="1"/>
  <c r="N6508" i="1"/>
  <c r="N6702" i="1"/>
  <c r="N6558" i="1"/>
  <c r="N6655" i="1"/>
  <c r="N6461" i="1"/>
  <c r="N6726" i="1"/>
  <c r="N6629" i="1"/>
  <c r="N6532" i="1"/>
  <c r="N6617" i="1"/>
  <c r="N6714" i="1"/>
  <c r="N6520" i="1"/>
  <c r="N6701" i="1"/>
  <c r="N6507" i="1"/>
  <c r="N6604" i="1"/>
  <c r="N6703" i="1"/>
  <c r="N6606" i="1"/>
  <c r="N6509" i="1"/>
  <c r="N5224" i="1"/>
  <c r="N5344" i="1"/>
  <c r="N5345" i="1"/>
  <c r="N5225" i="1"/>
  <c r="L2970" i="1"/>
  <c r="L2868" i="1"/>
  <c r="L2766" i="1"/>
  <c r="L2664" i="1"/>
  <c r="L2562" i="1"/>
  <c r="L2460" i="1"/>
  <c r="L2358" i="1"/>
  <c r="L2254" i="1"/>
  <c r="N10091" i="1" l="1"/>
  <c r="N9994" i="1"/>
  <c r="N9897" i="1"/>
  <c r="N10044" i="1"/>
  <c r="N9947" i="1"/>
  <c r="N9850" i="1"/>
  <c r="N10103" i="1"/>
  <c r="N9909" i="1"/>
  <c r="N10006" i="1"/>
  <c r="N10090" i="1"/>
  <c r="N9993" i="1"/>
  <c r="N9896" i="1"/>
  <c r="N9921" i="1"/>
  <c r="N10115" i="1"/>
  <c r="N10018" i="1"/>
  <c r="N9898" i="1"/>
  <c r="N10092" i="1"/>
  <c r="N9995" i="1"/>
  <c r="H2119" i="1"/>
  <c r="L2926" i="1"/>
  <c r="L2824" i="1"/>
  <c r="L2722" i="1"/>
  <c r="L2620" i="1"/>
  <c r="L2518" i="1"/>
  <c r="L2416" i="1"/>
  <c r="L2314" i="1"/>
  <c r="L2210" i="1"/>
  <c r="L2928" i="1"/>
  <c r="L2826" i="1"/>
  <c r="L2724" i="1"/>
  <c r="L2622" i="1"/>
  <c r="L2520" i="1"/>
  <c r="L2418" i="1"/>
  <c r="L2316" i="1"/>
  <c r="L2212" i="1"/>
  <c r="G267" i="3"/>
  <c r="H5540" i="1" s="1"/>
  <c r="G265" i="3"/>
  <c r="H5445" i="1" s="1"/>
  <c r="G266" i="3"/>
  <c r="H5539" i="1" s="1"/>
  <c r="G263" i="3"/>
  <c r="H5536" i="1" s="1"/>
  <c r="L123" i="1"/>
  <c r="G124" i="3"/>
  <c r="G215" i="3"/>
  <c r="H5523" i="1" s="1"/>
  <c r="G196" i="3"/>
  <c r="H5518" i="1" s="1"/>
  <c r="G209" i="3"/>
  <c r="H5516" i="1" s="1"/>
  <c r="G204" i="3"/>
  <c r="H5514" i="1" s="1"/>
  <c r="G203" i="3"/>
  <c r="H5513" i="1" s="1"/>
  <c r="G202" i="3"/>
  <c r="H5512" i="1" s="1"/>
  <c r="G213" i="3"/>
  <c r="H5519" i="1" s="1"/>
  <c r="G210" i="3"/>
  <c r="H5517" i="1" s="1"/>
  <c r="G212" i="3"/>
  <c r="H5511" i="1" s="1"/>
  <c r="G205" i="3"/>
  <c r="H5515" i="1" s="1"/>
  <c r="G195" i="3"/>
  <c r="H5510" i="1" s="1"/>
  <c r="G194" i="3"/>
  <c r="H5508" i="1" s="1"/>
  <c r="G187" i="3"/>
  <c r="H5501" i="1" s="1"/>
  <c r="I99" i="3" l="1"/>
  <c r="N2140" i="1" s="1"/>
  <c r="N2858" i="1" s="1"/>
  <c r="I103" i="3"/>
  <c r="N2144" i="1" s="1"/>
  <c r="N2556" i="1" s="1"/>
  <c r="I90" i="3"/>
  <c r="N2137" i="1" s="1"/>
  <c r="N2753" i="1" s="1"/>
  <c r="I96" i="3"/>
  <c r="N2138" i="1" s="1"/>
  <c r="N2958" i="1" s="1"/>
  <c r="I101" i="3"/>
  <c r="N2142" i="1" s="1"/>
  <c r="N2656" i="1" s="1"/>
  <c r="I98" i="3"/>
  <c r="N2139" i="1" s="1"/>
  <c r="N2653" i="1" s="1"/>
  <c r="I104" i="3"/>
  <c r="N2145" i="1" s="1"/>
  <c r="N2863" i="1" s="1"/>
  <c r="H5614" i="1"/>
  <c r="H6024" i="1"/>
  <c r="H6126" i="1"/>
  <c r="H5922" i="1"/>
  <c r="H5718" i="1"/>
  <c r="H5820" i="1"/>
  <c r="H6330" i="1"/>
  <c r="H6228" i="1"/>
  <c r="H5620" i="1"/>
  <c r="H6336" i="1"/>
  <c r="H6234" i="1"/>
  <c r="H6132" i="1"/>
  <c r="H5826" i="1"/>
  <c r="H6030" i="1"/>
  <c r="H5928" i="1"/>
  <c r="H5724" i="1"/>
  <c r="I100" i="3"/>
  <c r="N2141" i="1" s="1"/>
  <c r="N2859" i="1" s="1"/>
  <c r="I102" i="3"/>
  <c r="N2143" i="1" s="1"/>
  <c r="N2861" i="1" s="1"/>
  <c r="H6155" i="1"/>
  <c r="H5849" i="1"/>
  <c r="H5643" i="1"/>
  <c r="H5951" i="1"/>
  <c r="H6053" i="1"/>
  <c r="H5747" i="1"/>
  <c r="H6359" i="1"/>
  <c r="H6257" i="1"/>
  <c r="H5615" i="1"/>
  <c r="H6127" i="1"/>
  <c r="H5923" i="1"/>
  <c r="H5719" i="1"/>
  <c r="H5821" i="1"/>
  <c r="H6331" i="1"/>
  <c r="H6229" i="1"/>
  <c r="H6025" i="1"/>
  <c r="H5616" i="1"/>
  <c r="H5924" i="1"/>
  <c r="H5822" i="1"/>
  <c r="H5720" i="1"/>
  <c r="H6332" i="1"/>
  <c r="H6230" i="1"/>
  <c r="H6026" i="1"/>
  <c r="H6128" i="1"/>
  <c r="H5605" i="1"/>
  <c r="H6321" i="1"/>
  <c r="H6219" i="1"/>
  <c r="H6015" i="1"/>
  <c r="H6117" i="1"/>
  <c r="H5913" i="1"/>
  <c r="H5709" i="1"/>
  <c r="H5811" i="1"/>
  <c r="H5549" i="1"/>
  <c r="H6266" i="1"/>
  <c r="H6164" i="1"/>
  <c r="H6062" i="1"/>
  <c r="H5960" i="1"/>
  <c r="H5858" i="1"/>
  <c r="H5653" i="1"/>
  <c r="H5756" i="1"/>
  <c r="H5824" i="1"/>
  <c r="H6334" i="1"/>
  <c r="H6232" i="1"/>
  <c r="H5618" i="1"/>
  <c r="H6028" i="1"/>
  <c r="H6130" i="1"/>
  <c r="H5926" i="1"/>
  <c r="H5722" i="1"/>
  <c r="H5617" i="1"/>
  <c r="H5721" i="1"/>
  <c r="H5823" i="1"/>
  <c r="H6333" i="1"/>
  <c r="H6231" i="1"/>
  <c r="H6027" i="1"/>
  <c r="H6129" i="1"/>
  <c r="H5925" i="1"/>
  <c r="H5622" i="1"/>
  <c r="H6134" i="1"/>
  <c r="H5726" i="1"/>
  <c r="H6338" i="1"/>
  <c r="H6032" i="1"/>
  <c r="H6236" i="1"/>
  <c r="H5828" i="1"/>
  <c r="H5930" i="1"/>
  <c r="H6328" i="1"/>
  <c r="H6226" i="1"/>
  <c r="H6124" i="1"/>
  <c r="H6022" i="1"/>
  <c r="H5920" i="1"/>
  <c r="H5716" i="1"/>
  <c r="H5612" i="1"/>
  <c r="H5818" i="1"/>
  <c r="H9716" i="1"/>
  <c r="H9614" i="1"/>
  <c r="H9512" i="1"/>
  <c r="H9410" i="1"/>
  <c r="H9308" i="1"/>
  <c r="H9206" i="1"/>
  <c r="H9000" i="1"/>
  <c r="H9104" i="1"/>
  <c r="H2327" i="1"/>
  <c r="H6327" i="1"/>
  <c r="H6225" i="1"/>
  <c r="H6123" i="1"/>
  <c r="H6021" i="1"/>
  <c r="H5919" i="1"/>
  <c r="H5715" i="1"/>
  <c r="H5817" i="1"/>
  <c r="H5611" i="1"/>
  <c r="I209" i="3"/>
  <c r="N5516" i="1" s="1"/>
  <c r="G349" i="3"/>
  <c r="I266" i="3"/>
  <c r="N5539" i="1" s="1"/>
  <c r="G406" i="3"/>
  <c r="I212" i="3"/>
  <c r="N5511" i="1" s="1"/>
  <c r="G352" i="3"/>
  <c r="I187" i="3"/>
  <c r="N5501" i="1" s="1"/>
  <c r="G327" i="3"/>
  <c r="I202" i="3"/>
  <c r="N5512" i="1" s="1"/>
  <c r="G342" i="3"/>
  <c r="I265" i="3"/>
  <c r="N5445" i="1" s="1"/>
  <c r="G405" i="3"/>
  <c r="I194" i="3"/>
  <c r="N5508" i="1" s="1"/>
  <c r="G334" i="3"/>
  <c r="I213" i="3"/>
  <c r="N5519" i="1" s="1"/>
  <c r="G353" i="3"/>
  <c r="I196" i="3"/>
  <c r="N5518" i="1" s="1"/>
  <c r="G336" i="3"/>
  <c r="I267" i="3"/>
  <c r="N5540" i="1" s="1"/>
  <c r="G407" i="3"/>
  <c r="I210" i="3"/>
  <c r="N5517" i="1" s="1"/>
  <c r="G350" i="3"/>
  <c r="I204" i="3"/>
  <c r="N5514" i="1" s="1"/>
  <c r="G344" i="3"/>
  <c r="I205" i="3"/>
  <c r="N5515" i="1" s="1"/>
  <c r="G345" i="3"/>
  <c r="I203" i="3"/>
  <c r="N5513" i="1" s="1"/>
  <c r="G343" i="3"/>
  <c r="I195" i="3"/>
  <c r="N5510" i="1" s="1"/>
  <c r="G335" i="3"/>
  <c r="I215" i="3"/>
  <c r="N5523" i="1" s="1"/>
  <c r="G355" i="3"/>
  <c r="I263" i="3"/>
  <c r="N5536" i="1" s="1"/>
  <c r="G403" i="3"/>
  <c r="I403" i="3" s="1"/>
  <c r="I74" i="3"/>
  <c r="N2133" i="1" s="1"/>
  <c r="H2137" i="1"/>
  <c r="H2651" i="1" s="1"/>
  <c r="G230" i="3"/>
  <c r="H2141" i="1"/>
  <c r="H2553" i="1" s="1"/>
  <c r="G240" i="3"/>
  <c r="H2143" i="1"/>
  <c r="H2759" i="1" s="1"/>
  <c r="G242" i="3"/>
  <c r="H2133" i="1"/>
  <c r="G214" i="3"/>
  <c r="H2138" i="1"/>
  <c r="H2754" i="1" s="1"/>
  <c r="G236" i="3"/>
  <c r="H2142" i="1"/>
  <c r="H2656" i="1" s="1"/>
  <c r="G241" i="3"/>
  <c r="H2146" i="1"/>
  <c r="H2660" i="1" s="1"/>
  <c r="G245" i="3"/>
  <c r="I71" i="3"/>
  <c r="N2132" i="1" s="1"/>
  <c r="H2139" i="1"/>
  <c r="H2959" i="1" s="1"/>
  <c r="G238" i="3"/>
  <c r="H2145" i="1"/>
  <c r="H2965" i="1" s="1"/>
  <c r="G244" i="3"/>
  <c r="H2132" i="1"/>
  <c r="H2339" i="1" s="1"/>
  <c r="G211" i="3"/>
  <c r="H5520" i="1" s="1"/>
  <c r="H2140" i="1"/>
  <c r="H2654" i="1" s="1"/>
  <c r="G239" i="3"/>
  <c r="H2144" i="1"/>
  <c r="H2352" i="1" s="1"/>
  <c r="G243" i="3"/>
  <c r="N2246" i="1"/>
  <c r="N2860" i="1"/>
  <c r="N2758" i="1"/>
  <c r="N2452" i="1"/>
  <c r="N2350" i="1"/>
  <c r="N2449" i="1"/>
  <c r="N2347" i="1"/>
  <c r="N2348" i="1"/>
  <c r="N2960" i="1"/>
  <c r="N2862" i="1"/>
  <c r="N2760" i="1"/>
  <c r="N2963" i="1"/>
  <c r="H2550" i="1"/>
  <c r="H2346" i="1"/>
  <c r="H2347" i="1"/>
  <c r="N2659" i="1"/>
  <c r="H2862" i="1"/>
  <c r="H2760" i="1"/>
  <c r="H2658" i="1"/>
  <c r="H2556" i="1"/>
  <c r="H2454" i="1"/>
  <c r="I123" i="3"/>
  <c r="N2148" i="1" s="1"/>
  <c r="H2148" i="1"/>
  <c r="H2753" i="1"/>
  <c r="H2241" i="1"/>
  <c r="H2235" i="1"/>
  <c r="H2223" i="1"/>
  <c r="H2429" i="1"/>
  <c r="H2531" i="1"/>
  <c r="H2633" i="1"/>
  <c r="H2735" i="1"/>
  <c r="H2837" i="1"/>
  <c r="H2939" i="1"/>
  <c r="I105" i="3"/>
  <c r="N2146" i="1" s="1"/>
  <c r="N2957" i="1" l="1"/>
  <c r="N2553" i="1"/>
  <c r="N2447" i="1"/>
  <c r="H2447" i="1"/>
  <c r="N2557" i="1"/>
  <c r="H2958" i="1"/>
  <c r="N2855" i="1"/>
  <c r="N2248" i="1"/>
  <c r="N2857" i="1"/>
  <c r="N2965" i="1"/>
  <c r="H2957" i="1"/>
  <c r="N2249" i="1"/>
  <c r="H2353" i="1"/>
  <c r="H2242" i="1"/>
  <c r="N2549" i="1"/>
  <c r="N2352" i="1"/>
  <c r="N2243" i="1"/>
  <c r="N2353" i="1"/>
  <c r="N2761" i="1"/>
  <c r="H2659" i="1"/>
  <c r="N2241" i="1"/>
  <c r="N2651" i="1"/>
  <c r="N2346" i="1"/>
  <c r="H2855" i="1"/>
  <c r="N2455" i="1"/>
  <c r="H2856" i="1"/>
  <c r="N2345" i="1"/>
  <c r="N2652" i="1"/>
  <c r="N2658" i="1"/>
  <c r="N2755" i="1"/>
  <c r="H2451" i="1"/>
  <c r="N2242" i="1"/>
  <c r="N2754" i="1"/>
  <c r="N2448" i="1"/>
  <c r="N2856" i="1"/>
  <c r="N2550" i="1"/>
  <c r="H2860" i="1"/>
  <c r="H2449" i="1"/>
  <c r="N2247" i="1"/>
  <c r="H2850" i="1"/>
  <c r="H2345" i="1"/>
  <c r="H2248" i="1"/>
  <c r="H2551" i="1"/>
  <c r="H2448" i="1"/>
  <c r="N2351" i="1"/>
  <c r="N2961" i="1"/>
  <c r="N2964" i="1"/>
  <c r="N2244" i="1"/>
  <c r="N2959" i="1"/>
  <c r="N2962" i="1"/>
  <c r="H2653" i="1"/>
  <c r="N2453" i="1"/>
  <c r="N2450" i="1"/>
  <c r="H2748" i="1"/>
  <c r="H2646" i="1"/>
  <c r="H2544" i="1"/>
  <c r="H2549" i="1"/>
  <c r="H2964" i="1"/>
  <c r="H2243" i="1"/>
  <c r="H2652" i="1"/>
  <c r="N2657" i="1"/>
  <c r="N2454" i="1"/>
  <c r="N2654" i="1"/>
  <c r="N2551" i="1"/>
  <c r="N2554" i="1"/>
  <c r="H2755" i="1"/>
  <c r="N2555" i="1"/>
  <c r="N2552" i="1"/>
  <c r="H2442" i="1"/>
  <c r="H2857" i="1"/>
  <c r="N2759" i="1"/>
  <c r="N2756" i="1"/>
  <c r="H2455" i="1"/>
  <c r="N2349" i="1"/>
  <c r="I407" i="3"/>
  <c r="N8929" i="1" s="1"/>
  <c r="N9239" i="1" s="1"/>
  <c r="H8929" i="1"/>
  <c r="I406" i="3"/>
  <c r="N8928" i="1" s="1"/>
  <c r="N9032" i="1" s="1"/>
  <c r="H8928" i="1"/>
  <c r="H2557" i="1"/>
  <c r="N2245" i="1"/>
  <c r="H2249" i="1"/>
  <c r="N2451" i="1"/>
  <c r="H2761" i="1"/>
  <c r="N2655" i="1"/>
  <c r="H2863" i="1"/>
  <c r="N2757" i="1"/>
  <c r="I335" i="3"/>
  <c r="N8899" i="1" s="1"/>
  <c r="H8899" i="1"/>
  <c r="I350" i="3"/>
  <c r="N8906" i="1" s="1"/>
  <c r="H8906" i="1"/>
  <c r="I334" i="3"/>
  <c r="N8897" i="1" s="1"/>
  <c r="H8897" i="1"/>
  <c r="I352" i="3"/>
  <c r="N8900" i="1" s="1"/>
  <c r="H8900" i="1"/>
  <c r="I343" i="3"/>
  <c r="N8902" i="1" s="1"/>
  <c r="H8902" i="1"/>
  <c r="I405" i="3"/>
  <c r="N8834" i="1" s="1"/>
  <c r="H8834" i="1"/>
  <c r="I345" i="3"/>
  <c r="N8904" i="1" s="1"/>
  <c r="H8904" i="1"/>
  <c r="I336" i="3"/>
  <c r="N8907" i="1" s="1"/>
  <c r="H8907" i="1"/>
  <c r="I342" i="3"/>
  <c r="N8901" i="1" s="1"/>
  <c r="H8901" i="1"/>
  <c r="I349" i="3"/>
  <c r="N8905" i="1" s="1"/>
  <c r="H8905" i="1"/>
  <c r="I355" i="3"/>
  <c r="N8912" i="1" s="1"/>
  <c r="H8912" i="1"/>
  <c r="I344" i="3"/>
  <c r="N8903" i="1" s="1"/>
  <c r="H8903" i="1"/>
  <c r="I353" i="3"/>
  <c r="N8908" i="1" s="1"/>
  <c r="H8908" i="1"/>
  <c r="I327" i="3"/>
  <c r="N8890" i="1" s="1"/>
  <c r="H8890" i="1"/>
  <c r="H9745" i="1"/>
  <c r="H9643" i="1"/>
  <c r="H9541" i="1"/>
  <c r="H9337" i="1"/>
  <c r="H9439" i="1"/>
  <c r="H9235" i="1"/>
  <c r="H9133" i="1"/>
  <c r="H9029" i="1"/>
  <c r="N9745" i="1"/>
  <c r="N9643" i="1"/>
  <c r="N9541" i="1"/>
  <c r="N9439" i="1"/>
  <c r="N9337" i="1"/>
  <c r="N9235" i="1"/>
  <c r="N9133" i="1"/>
  <c r="N9029" i="1"/>
  <c r="H9729" i="1"/>
  <c r="H9627" i="1"/>
  <c r="H9525" i="1"/>
  <c r="H9423" i="1"/>
  <c r="H9321" i="1"/>
  <c r="H9116" i="1"/>
  <c r="H9219" i="1"/>
  <c r="H9012" i="1"/>
  <c r="N5640" i="1"/>
  <c r="N6356" i="1"/>
  <c r="N6254" i="1"/>
  <c r="N6152" i="1"/>
  <c r="N6050" i="1"/>
  <c r="N5948" i="1"/>
  <c r="N5744" i="1"/>
  <c r="N5846" i="1"/>
  <c r="N5619" i="1"/>
  <c r="N5927" i="1"/>
  <c r="N5723" i="1"/>
  <c r="N5825" i="1"/>
  <c r="N6335" i="1"/>
  <c r="N6233" i="1"/>
  <c r="N6131" i="1"/>
  <c r="N6029" i="1"/>
  <c r="N5622" i="1"/>
  <c r="N6134" i="1"/>
  <c r="N5930" i="1"/>
  <c r="N5828" i="1"/>
  <c r="N5726" i="1"/>
  <c r="N6338" i="1"/>
  <c r="N6236" i="1"/>
  <c r="N6032" i="1"/>
  <c r="N5720" i="1"/>
  <c r="N5822" i="1"/>
  <c r="N5616" i="1"/>
  <c r="N6332" i="1"/>
  <c r="N6230" i="1"/>
  <c r="N6128" i="1"/>
  <c r="N6026" i="1"/>
  <c r="N5924" i="1"/>
  <c r="N5620" i="1"/>
  <c r="N5724" i="1"/>
  <c r="N6336" i="1"/>
  <c r="N6234" i="1"/>
  <c r="N6132" i="1"/>
  <c r="N6030" i="1"/>
  <c r="N5826" i="1"/>
  <c r="N5928" i="1"/>
  <c r="N5627" i="1"/>
  <c r="N6343" i="1"/>
  <c r="N6241" i="1"/>
  <c r="N6037" i="1"/>
  <c r="N6139" i="1"/>
  <c r="N5935" i="1"/>
  <c r="N5833" i="1"/>
  <c r="N5731" i="1"/>
  <c r="N6028" i="1"/>
  <c r="N5926" i="1"/>
  <c r="N5824" i="1"/>
  <c r="N5722" i="1"/>
  <c r="N5618" i="1"/>
  <c r="N6334" i="1"/>
  <c r="N6232" i="1"/>
  <c r="N6130" i="1"/>
  <c r="N5624" i="1"/>
  <c r="N6339" i="1"/>
  <c r="N6237" i="1"/>
  <c r="N6033" i="1"/>
  <c r="N6135" i="1"/>
  <c r="N5829" i="1"/>
  <c r="N5931" i="1"/>
  <c r="N5728" i="1"/>
  <c r="N5605" i="1"/>
  <c r="N5709" i="1"/>
  <c r="N5913" i="1"/>
  <c r="N5811" i="1"/>
  <c r="N6321" i="1"/>
  <c r="N6219" i="1"/>
  <c r="N6015" i="1"/>
  <c r="N6117" i="1"/>
  <c r="N5922" i="1"/>
  <c r="N5820" i="1"/>
  <c r="N5718" i="1"/>
  <c r="N5614" i="1"/>
  <c r="N6024" i="1"/>
  <c r="N6330" i="1"/>
  <c r="N6228" i="1"/>
  <c r="N6126" i="1"/>
  <c r="N5621" i="1"/>
  <c r="N6031" i="1"/>
  <c r="N6133" i="1"/>
  <c r="N5929" i="1"/>
  <c r="N6235" i="1"/>
  <c r="N5827" i="1"/>
  <c r="N5725" i="1"/>
  <c r="N6337" i="1"/>
  <c r="N5612" i="1"/>
  <c r="N5818" i="1"/>
  <c r="N6022" i="1"/>
  <c r="N5920" i="1"/>
  <c r="N6124" i="1"/>
  <c r="N6328" i="1"/>
  <c r="N5716" i="1"/>
  <c r="N6226" i="1"/>
  <c r="N5821" i="1"/>
  <c r="N5923" i="1"/>
  <c r="N5719" i="1"/>
  <c r="N5615" i="1"/>
  <c r="N6229" i="1"/>
  <c r="N6331" i="1"/>
  <c r="N6127" i="1"/>
  <c r="N6025" i="1"/>
  <c r="N5617" i="1"/>
  <c r="N6231" i="1"/>
  <c r="N6333" i="1"/>
  <c r="N6129" i="1"/>
  <c r="N5721" i="1"/>
  <c r="N6027" i="1"/>
  <c r="N5925" i="1"/>
  <c r="N5823" i="1"/>
  <c r="N5644" i="1"/>
  <c r="N5748" i="1"/>
  <c r="N6360" i="1"/>
  <c r="N6258" i="1"/>
  <c r="N6054" i="1"/>
  <c r="N6156" i="1"/>
  <c r="N5952" i="1"/>
  <c r="N5850" i="1"/>
  <c r="N5549" i="1"/>
  <c r="N5858" i="1"/>
  <c r="N6266" i="1"/>
  <c r="N6062" i="1"/>
  <c r="N6164" i="1"/>
  <c r="N5960" i="1"/>
  <c r="N5653" i="1"/>
  <c r="N5756" i="1"/>
  <c r="N5951" i="1"/>
  <c r="N6257" i="1"/>
  <c r="N6155" i="1"/>
  <c r="N6053" i="1"/>
  <c r="N5849" i="1"/>
  <c r="N5643" i="1"/>
  <c r="N6359" i="1"/>
  <c r="N5747" i="1"/>
  <c r="H2756" i="1"/>
  <c r="H2858" i="1"/>
  <c r="H2960" i="1"/>
  <c r="H2348" i="1"/>
  <c r="H2450" i="1"/>
  <c r="H2244" i="1"/>
  <c r="H2552" i="1"/>
  <c r="H2962" i="1"/>
  <c r="H2655" i="1"/>
  <c r="H2350" i="1"/>
  <c r="H2757" i="1"/>
  <c r="H2452" i="1"/>
  <c r="H2859" i="1"/>
  <c r="H2246" i="1"/>
  <c r="N2952" i="1"/>
  <c r="H2961" i="1"/>
  <c r="H2554" i="1"/>
  <c r="H2245" i="1"/>
  <c r="H6356" i="1"/>
  <c r="H6254" i="1"/>
  <c r="H6152" i="1"/>
  <c r="H6050" i="1"/>
  <c r="H5846" i="1"/>
  <c r="H5948" i="1"/>
  <c r="H5744" i="1"/>
  <c r="H5640" i="1"/>
  <c r="H2558" i="1"/>
  <c r="H2657" i="1"/>
  <c r="H2349" i="1"/>
  <c r="H2758" i="1"/>
  <c r="H2952" i="1"/>
  <c r="H6340" i="1"/>
  <c r="H6136" i="1"/>
  <c r="H6238" i="1"/>
  <c r="H6034" i="1"/>
  <c r="H5830" i="1"/>
  <c r="H5932" i="1"/>
  <c r="H5727" i="1"/>
  <c r="H5623" i="1"/>
  <c r="H2247" i="1"/>
  <c r="H2762" i="1"/>
  <c r="H2861" i="1"/>
  <c r="H2864" i="1"/>
  <c r="H2963" i="1"/>
  <c r="H2966" i="1"/>
  <c r="H2351" i="1"/>
  <c r="H2354" i="1"/>
  <c r="H2453" i="1"/>
  <c r="H2456" i="1"/>
  <c r="H2555" i="1"/>
  <c r="H2250" i="1"/>
  <c r="I211" i="3"/>
  <c r="N5520" i="1" s="1"/>
  <c r="G351" i="3"/>
  <c r="I241" i="3"/>
  <c r="G381" i="3"/>
  <c r="I381" i="3" s="1"/>
  <c r="I240" i="3"/>
  <c r="G380" i="3"/>
  <c r="I380" i="3" s="1"/>
  <c r="I244" i="3"/>
  <c r="G384" i="3"/>
  <c r="I384" i="3" s="1"/>
  <c r="I236" i="3"/>
  <c r="G376" i="3"/>
  <c r="I376" i="3" s="1"/>
  <c r="I230" i="3"/>
  <c r="G370" i="3"/>
  <c r="I370" i="3" s="1"/>
  <c r="I243" i="3"/>
  <c r="G383" i="3"/>
  <c r="I383" i="3" s="1"/>
  <c r="I238" i="3"/>
  <c r="G378" i="3"/>
  <c r="I378" i="3" s="1"/>
  <c r="I214" i="3"/>
  <c r="G354" i="3"/>
  <c r="I354" i="3" s="1"/>
  <c r="I239" i="3"/>
  <c r="G379" i="3"/>
  <c r="I379" i="3" s="1"/>
  <c r="I245" i="3"/>
  <c r="G385" i="3"/>
  <c r="I385" i="3" s="1"/>
  <c r="I242" i="3"/>
  <c r="G382" i="3"/>
  <c r="I382" i="3" s="1"/>
  <c r="N2748" i="1"/>
  <c r="N2339" i="1"/>
  <c r="N2235" i="1"/>
  <c r="N2646" i="1"/>
  <c r="N2544" i="1"/>
  <c r="N2850" i="1"/>
  <c r="N2442" i="1"/>
  <c r="N2966" i="1"/>
  <c r="N2250" i="1"/>
  <c r="N2864" i="1"/>
  <c r="N2762" i="1"/>
  <c r="N2660" i="1"/>
  <c r="N2558" i="1"/>
  <c r="N2456" i="1"/>
  <c r="N2354" i="1"/>
  <c r="H2252" i="1"/>
  <c r="H2866" i="1"/>
  <c r="H2356" i="1"/>
  <c r="H2764" i="1"/>
  <c r="H2968" i="1"/>
  <c r="H2662" i="1"/>
  <c r="H2560" i="1"/>
  <c r="H2458" i="1"/>
  <c r="N2866" i="1"/>
  <c r="N2356" i="1"/>
  <c r="N2458" i="1"/>
  <c r="N2252" i="1"/>
  <c r="N2968" i="1"/>
  <c r="N2764" i="1"/>
  <c r="N2662" i="1"/>
  <c r="N2560" i="1"/>
  <c r="N9748" i="1" l="1"/>
  <c r="N9137" i="1"/>
  <c r="N9749" i="1"/>
  <c r="N9033" i="1"/>
  <c r="N9341" i="1"/>
  <c r="N9443" i="1"/>
  <c r="N9545" i="1"/>
  <c r="N9340" i="1"/>
  <c r="N9647" i="1"/>
  <c r="N9442" i="1"/>
  <c r="N9544" i="1"/>
  <c r="N9136" i="1"/>
  <c r="N9238" i="1"/>
  <c r="H9032" i="1"/>
  <c r="H9340" i="1"/>
  <c r="H9136" i="1"/>
  <c r="H9238" i="1"/>
  <c r="H9748" i="1"/>
  <c r="H9646" i="1"/>
  <c r="H9544" i="1"/>
  <c r="H9442" i="1"/>
  <c r="N9646" i="1"/>
  <c r="I351" i="3"/>
  <c r="N8909" i="1" s="1"/>
  <c r="H8909" i="1"/>
  <c r="N9630" i="1"/>
  <c r="N9528" i="1"/>
  <c r="N9426" i="1"/>
  <c r="N9324" i="1"/>
  <c r="N9222" i="1"/>
  <c r="N9016" i="1"/>
  <c r="N9120" i="1"/>
  <c r="N9732" i="1"/>
  <c r="N9009" i="1"/>
  <c r="N9113" i="1"/>
  <c r="N9725" i="1"/>
  <c r="N9215" i="1"/>
  <c r="N9623" i="1"/>
  <c r="N9521" i="1"/>
  <c r="N9419" i="1"/>
  <c r="N9317" i="1"/>
  <c r="N9719" i="1"/>
  <c r="N9617" i="1"/>
  <c r="N9515" i="1"/>
  <c r="N9413" i="1"/>
  <c r="N9107" i="1"/>
  <c r="N9209" i="1"/>
  <c r="N9311" i="1"/>
  <c r="N9003" i="1"/>
  <c r="H9413" i="1"/>
  <c r="H9003" i="1"/>
  <c r="H9311" i="1"/>
  <c r="H9209" i="1"/>
  <c r="H9107" i="1"/>
  <c r="H9515" i="1"/>
  <c r="H9719" i="1"/>
  <c r="H9617" i="1"/>
  <c r="H9200" i="1"/>
  <c r="H8994" i="1"/>
  <c r="H9710" i="1"/>
  <c r="H9608" i="1"/>
  <c r="H9404" i="1"/>
  <c r="H9506" i="1"/>
  <c r="H9302" i="1"/>
  <c r="H9098" i="1"/>
  <c r="H9211" i="1"/>
  <c r="H9109" i="1"/>
  <c r="H9005" i="1"/>
  <c r="H9721" i="1"/>
  <c r="H9619" i="1"/>
  <c r="H9517" i="1"/>
  <c r="H9415" i="1"/>
  <c r="H9313" i="1"/>
  <c r="H9312" i="1"/>
  <c r="H9004" i="1"/>
  <c r="H9414" i="1"/>
  <c r="H9210" i="1"/>
  <c r="H9108" i="1"/>
  <c r="H9720" i="1"/>
  <c r="H9516" i="1"/>
  <c r="H9618" i="1"/>
  <c r="H9113" i="1"/>
  <c r="H9725" i="1"/>
  <c r="H9623" i="1"/>
  <c r="H9419" i="1"/>
  <c r="H9521" i="1"/>
  <c r="H9317" i="1"/>
  <c r="H9215" i="1"/>
  <c r="H9009" i="1"/>
  <c r="N9200" i="1"/>
  <c r="N9710" i="1"/>
  <c r="N9608" i="1"/>
  <c r="N9506" i="1"/>
  <c r="N9404" i="1"/>
  <c r="N9302" i="1"/>
  <c r="N9098" i="1"/>
  <c r="N8994" i="1"/>
  <c r="N9619" i="1"/>
  <c r="N9005" i="1"/>
  <c r="N9517" i="1"/>
  <c r="N9415" i="1"/>
  <c r="N9721" i="1"/>
  <c r="N9109" i="1"/>
  <c r="N9211" i="1"/>
  <c r="N9313" i="1"/>
  <c r="N9720" i="1"/>
  <c r="N9618" i="1"/>
  <c r="N9516" i="1"/>
  <c r="N9414" i="1"/>
  <c r="N9312" i="1"/>
  <c r="N9004" i="1"/>
  <c r="N9108" i="1"/>
  <c r="N9210" i="1"/>
  <c r="H9523" i="1"/>
  <c r="H9421" i="1"/>
  <c r="H9319" i="1"/>
  <c r="H9115" i="1"/>
  <c r="H9217" i="1"/>
  <c r="H9727" i="1"/>
  <c r="H9011" i="1"/>
  <c r="H9625" i="1"/>
  <c r="H9451" i="1"/>
  <c r="H9349" i="1"/>
  <c r="H9247" i="1"/>
  <c r="H9145" i="1"/>
  <c r="H9042" i="1"/>
  <c r="H8938" i="1"/>
  <c r="H9655" i="1"/>
  <c r="H9553" i="1"/>
  <c r="H9615" i="1"/>
  <c r="H9513" i="1"/>
  <c r="H9717" i="1"/>
  <c r="H9411" i="1"/>
  <c r="H9309" i="1"/>
  <c r="H9207" i="1"/>
  <c r="H9105" i="1"/>
  <c r="H9001" i="1"/>
  <c r="N9626" i="1"/>
  <c r="N9524" i="1"/>
  <c r="N9013" i="1"/>
  <c r="N9320" i="1"/>
  <c r="N9218" i="1"/>
  <c r="N9422" i="1"/>
  <c r="N9117" i="1"/>
  <c r="N9728" i="1"/>
  <c r="N9011" i="1"/>
  <c r="N9625" i="1"/>
  <c r="N9727" i="1"/>
  <c r="N9523" i="1"/>
  <c r="N9421" i="1"/>
  <c r="N9217" i="1"/>
  <c r="N9115" i="1"/>
  <c r="N9319" i="1"/>
  <c r="N9655" i="1"/>
  <c r="N9553" i="1"/>
  <c r="N9451" i="1"/>
  <c r="N9349" i="1"/>
  <c r="N9042" i="1"/>
  <c r="N9247" i="1"/>
  <c r="N9145" i="1"/>
  <c r="N8938" i="1"/>
  <c r="N9105" i="1"/>
  <c r="N9001" i="1"/>
  <c r="N9411" i="1"/>
  <c r="N9207" i="1"/>
  <c r="N9717" i="1"/>
  <c r="N9615" i="1"/>
  <c r="N9309" i="1"/>
  <c r="N9513" i="1"/>
  <c r="H9723" i="1"/>
  <c r="H9621" i="1"/>
  <c r="H9519" i="1"/>
  <c r="H9007" i="1"/>
  <c r="H9417" i="1"/>
  <c r="H9315" i="1"/>
  <c r="H9111" i="1"/>
  <c r="H9213" i="1"/>
  <c r="H9110" i="1"/>
  <c r="H9722" i="1"/>
  <c r="H9006" i="1"/>
  <c r="H9212" i="1"/>
  <c r="H9518" i="1"/>
  <c r="H9620" i="1"/>
  <c r="H9416" i="1"/>
  <c r="H9314" i="1"/>
  <c r="N9417" i="1"/>
  <c r="N9315" i="1"/>
  <c r="N9111" i="1"/>
  <c r="N9007" i="1"/>
  <c r="N9213" i="1"/>
  <c r="N9519" i="1"/>
  <c r="N9723" i="1"/>
  <c r="N9621" i="1"/>
  <c r="N9008" i="1"/>
  <c r="N9520" i="1"/>
  <c r="N9316" i="1"/>
  <c r="N9112" i="1"/>
  <c r="N9214" i="1"/>
  <c r="N9724" i="1"/>
  <c r="N9622" i="1"/>
  <c r="N9418" i="1"/>
  <c r="N9518" i="1"/>
  <c r="N9416" i="1"/>
  <c r="N9006" i="1"/>
  <c r="N9620" i="1"/>
  <c r="N9110" i="1"/>
  <c r="N9314" i="1"/>
  <c r="N9212" i="1"/>
  <c r="N9722" i="1"/>
  <c r="N9010" i="1"/>
  <c r="N9726" i="1"/>
  <c r="N9624" i="1"/>
  <c r="N9522" i="1"/>
  <c r="N9114" i="1"/>
  <c r="N9420" i="1"/>
  <c r="N9216" i="1"/>
  <c r="N9318" i="1"/>
  <c r="N5623" i="1"/>
  <c r="N6340" i="1"/>
  <c r="N6238" i="1"/>
  <c r="N5727" i="1"/>
  <c r="N6136" i="1"/>
  <c r="N6034" i="1"/>
  <c r="N5932" i="1"/>
  <c r="N5830" i="1"/>
  <c r="N9423" i="1" l="1"/>
  <c r="N9321" i="1"/>
  <c r="N9525" i="1"/>
  <c r="N9219" i="1"/>
  <c r="N9627" i="1"/>
  <c r="N9116" i="1"/>
  <c r="N9012" i="1"/>
  <c r="N9729" i="1"/>
  <c r="G190" i="3"/>
  <c r="H5505" i="1" s="1"/>
  <c r="G182" i="3"/>
  <c r="H5502" i="1" s="1"/>
  <c r="G185" i="3"/>
  <c r="H5499" i="1" s="1"/>
  <c r="I188" i="3"/>
  <c r="N5503" i="1" s="1"/>
  <c r="G181" i="3"/>
  <c r="H5496" i="1" s="1"/>
  <c r="G183" i="3"/>
  <c r="H5497" i="1" s="1"/>
  <c r="G184" i="3"/>
  <c r="H5498" i="1" s="1"/>
  <c r="I189" i="3"/>
  <c r="N5504" i="1" s="1"/>
  <c r="G173" i="3"/>
  <c r="H5492" i="1" s="1"/>
  <c r="I165" i="3"/>
  <c r="N5465" i="1" s="1"/>
  <c r="G168" i="3"/>
  <c r="H5485" i="1" s="1"/>
  <c r="G167" i="3"/>
  <c r="H5484" i="1" s="1"/>
  <c r="G151" i="3"/>
  <c r="H5480" i="1" s="1"/>
  <c r="G150" i="3"/>
  <c r="H5476" i="1" s="1"/>
  <c r="G149" i="3"/>
  <c r="G148" i="3"/>
  <c r="H5475" i="1" s="1"/>
  <c r="G147" i="3"/>
  <c r="H5474" i="1" s="1"/>
  <c r="G146" i="3"/>
  <c r="H5473" i="1" s="1"/>
  <c r="G159" i="3"/>
  <c r="H5457" i="1" s="1"/>
  <c r="G158" i="3"/>
  <c r="H5456" i="1" s="1"/>
  <c r="G153" i="3"/>
  <c r="H5452" i="1" s="1"/>
  <c r="G152" i="3"/>
  <c r="H5451" i="1" s="1"/>
  <c r="G144" i="3"/>
  <c r="H5440" i="1" s="1"/>
  <c r="I45" i="3" l="1"/>
  <c r="H5606" i="1"/>
  <c r="H6322" i="1"/>
  <c r="H6220" i="1"/>
  <c r="H6016" i="1"/>
  <c r="H6118" i="1"/>
  <c r="H5914" i="1"/>
  <c r="H5710" i="1"/>
  <c r="H5812" i="1"/>
  <c r="H5762" i="1"/>
  <c r="H5660" i="1"/>
  <c r="H6068" i="1"/>
  <c r="H6170" i="1"/>
  <c r="H6272" i="1"/>
  <c r="H5966" i="1"/>
  <c r="H5864" i="1"/>
  <c r="H5556" i="1"/>
  <c r="I43" i="3"/>
  <c r="H5577" i="1"/>
  <c r="H5885" i="1"/>
  <c r="H5783" i="1"/>
  <c r="H5681" i="1"/>
  <c r="H6293" i="1"/>
  <c r="H6191" i="1"/>
  <c r="H6089" i="1"/>
  <c r="H5987" i="1"/>
  <c r="H5580" i="1"/>
  <c r="H5684" i="1"/>
  <c r="H5990" i="1"/>
  <c r="H5888" i="1"/>
  <c r="H5786" i="1"/>
  <c r="H5700" i="1"/>
  <c r="H5596" i="1"/>
  <c r="H6108" i="1"/>
  <c r="H6312" i="1"/>
  <c r="H5904" i="1"/>
  <c r="H5802" i="1"/>
  <c r="H6006" i="1"/>
  <c r="H5601" i="1"/>
  <c r="H6011" i="1"/>
  <c r="H6113" i="1"/>
  <c r="H6215" i="1"/>
  <c r="H5909" i="1"/>
  <c r="H5705" i="1"/>
  <c r="H5807" i="1"/>
  <c r="H6317" i="1"/>
  <c r="H5609" i="1"/>
  <c r="H5917" i="1"/>
  <c r="H5713" i="1"/>
  <c r="H5815" i="1"/>
  <c r="H6325" i="1"/>
  <c r="H6019" i="1"/>
  <c r="H6121" i="1"/>
  <c r="H6223" i="1"/>
  <c r="H5602" i="1"/>
  <c r="H5910" i="1"/>
  <c r="H5706" i="1"/>
  <c r="H5808" i="1"/>
  <c r="H6012" i="1"/>
  <c r="H6114" i="1"/>
  <c r="H5886" i="1"/>
  <c r="H5682" i="1"/>
  <c r="H6294" i="1"/>
  <c r="H6192" i="1"/>
  <c r="H5988" i="1"/>
  <c r="H5578" i="1"/>
  <c r="H6090" i="1"/>
  <c r="H5784" i="1"/>
  <c r="H6096" i="1"/>
  <c r="H5584" i="1"/>
  <c r="H5994" i="1"/>
  <c r="H5892" i="1"/>
  <c r="H5790" i="1"/>
  <c r="H5688" i="1"/>
  <c r="H6300" i="1"/>
  <c r="H6198" i="1"/>
  <c r="H5648" i="1"/>
  <c r="H5544" i="1"/>
  <c r="H6262" i="1"/>
  <c r="H6160" i="1"/>
  <c r="H6058" i="1"/>
  <c r="H5854" i="1"/>
  <c r="H5956" i="1"/>
  <c r="H5752" i="1"/>
  <c r="H5766" i="1"/>
  <c r="H5560" i="1"/>
  <c r="H5868" i="1"/>
  <c r="H6072" i="1"/>
  <c r="H5970" i="1"/>
  <c r="H5664" i="1"/>
  <c r="H6276" i="1"/>
  <c r="H6174" i="1"/>
  <c r="H5683" i="1"/>
  <c r="H6193" i="1"/>
  <c r="H6091" i="1"/>
  <c r="H5989" i="1"/>
  <c r="H5887" i="1"/>
  <c r="H5785" i="1"/>
  <c r="H5579" i="1"/>
  <c r="H6295" i="1"/>
  <c r="H5588" i="1"/>
  <c r="H5692" i="1"/>
  <c r="H6304" i="1"/>
  <c r="H6202" i="1"/>
  <c r="H6100" i="1"/>
  <c r="H5998" i="1"/>
  <c r="H5896" i="1"/>
  <c r="H5794" i="1"/>
  <c r="H5806" i="1"/>
  <c r="H5600" i="1"/>
  <c r="H6316" i="1"/>
  <c r="H6112" i="1"/>
  <c r="H6214" i="1"/>
  <c r="H6010" i="1"/>
  <c r="H5908" i="1"/>
  <c r="H5704" i="1"/>
  <c r="H5603" i="1"/>
  <c r="H5809" i="1"/>
  <c r="H6319" i="1"/>
  <c r="H5911" i="1"/>
  <c r="H6217" i="1"/>
  <c r="H6013" i="1"/>
  <c r="H6115" i="1"/>
  <c r="H5707" i="1"/>
  <c r="H5589" i="1"/>
  <c r="H6305" i="1"/>
  <c r="H6203" i="1"/>
  <c r="H6101" i="1"/>
  <c r="H5999" i="1"/>
  <c r="H5897" i="1"/>
  <c r="H5795" i="1"/>
  <c r="H5693" i="1"/>
  <c r="H5863" i="1"/>
  <c r="H5761" i="1"/>
  <c r="H5659" i="1"/>
  <c r="H6067" i="1"/>
  <c r="H6169" i="1"/>
  <c r="H6271" i="1"/>
  <c r="H5555" i="1"/>
  <c r="H5965" i="1"/>
  <c r="H5561" i="1"/>
  <c r="H5971" i="1"/>
  <c r="H5665" i="1"/>
  <c r="H5767" i="1"/>
  <c r="H6277" i="1"/>
  <c r="H6175" i="1"/>
  <c r="H6073" i="1"/>
  <c r="H5869" i="1"/>
  <c r="N5607" i="1"/>
  <c r="N6323" i="1"/>
  <c r="N6221" i="1"/>
  <c r="N6017" i="1"/>
  <c r="N5813" i="1"/>
  <c r="N6119" i="1"/>
  <c r="N5915" i="1"/>
  <c r="N5711" i="1"/>
  <c r="N5673" i="1"/>
  <c r="N5569" i="1"/>
  <c r="N6183" i="1"/>
  <c r="N6081" i="1"/>
  <c r="N5877" i="1"/>
  <c r="N5979" i="1"/>
  <c r="N5775" i="1"/>
  <c r="N5608" i="1"/>
  <c r="N6324" i="1"/>
  <c r="N6222" i="1"/>
  <c r="N6018" i="1"/>
  <c r="N6120" i="1"/>
  <c r="N5916" i="1"/>
  <c r="N5712" i="1"/>
  <c r="N5814" i="1"/>
  <c r="I151" i="3"/>
  <c r="N5480" i="1" s="1"/>
  <c r="G291" i="3"/>
  <c r="I147" i="3"/>
  <c r="N5474" i="1" s="1"/>
  <c r="G287" i="3"/>
  <c r="I148" i="3"/>
  <c r="N5475" i="1" s="1"/>
  <c r="G288" i="3"/>
  <c r="I181" i="3"/>
  <c r="N5496" i="1" s="1"/>
  <c r="G321" i="3"/>
  <c r="I185" i="3"/>
  <c r="N5499" i="1" s="1"/>
  <c r="G325" i="3"/>
  <c r="I158" i="3"/>
  <c r="N5456" i="1" s="1"/>
  <c r="G298" i="3"/>
  <c r="I159" i="3"/>
  <c r="N5457" i="1" s="1"/>
  <c r="G299" i="3"/>
  <c r="I167" i="3"/>
  <c r="N5484" i="1" s="1"/>
  <c r="G307" i="3"/>
  <c r="I149" i="3"/>
  <c r="N5477" i="1" s="1"/>
  <c r="G289" i="3"/>
  <c r="I289" i="3" s="1"/>
  <c r="N8866" i="1" s="1"/>
  <c r="I168" i="3"/>
  <c r="N5485" i="1" s="1"/>
  <c r="G308" i="3"/>
  <c r="I184" i="3"/>
  <c r="N5498" i="1" s="1"/>
  <c r="G324" i="3"/>
  <c r="I182" i="3"/>
  <c r="N5502" i="1" s="1"/>
  <c r="G322" i="3"/>
  <c r="I144" i="3"/>
  <c r="N5440" i="1" s="1"/>
  <c r="G284" i="3"/>
  <c r="I152" i="3"/>
  <c r="N5451" i="1" s="1"/>
  <c r="G292" i="3"/>
  <c r="I153" i="3"/>
  <c r="N5452" i="1" s="1"/>
  <c r="G293" i="3"/>
  <c r="I146" i="3"/>
  <c r="N5473" i="1" s="1"/>
  <c r="G286" i="3"/>
  <c r="I150" i="3"/>
  <c r="N5476" i="1" s="1"/>
  <c r="G290" i="3"/>
  <c r="I173" i="3"/>
  <c r="N5492" i="1" s="1"/>
  <c r="G313" i="3"/>
  <c r="I183" i="3"/>
  <c r="N5497" i="1" s="1"/>
  <c r="G323" i="3"/>
  <c r="I190" i="3"/>
  <c r="N5505" i="1" s="1"/>
  <c r="G330" i="3"/>
  <c r="H2099" i="1"/>
  <c r="H2715" i="1" s="1"/>
  <c r="G170" i="3"/>
  <c r="H5487" i="1" s="1"/>
  <c r="H2076" i="1"/>
  <c r="I163" i="3"/>
  <c r="N5464" i="1" s="1"/>
  <c r="H2112" i="1"/>
  <c r="H2422" i="1" s="1"/>
  <c r="G186" i="3"/>
  <c r="H5500" i="1" s="1"/>
  <c r="H2105" i="1"/>
  <c r="H2209" i="1" s="1"/>
  <c r="G180" i="3"/>
  <c r="H5493" i="1" s="1"/>
  <c r="H2107" i="1"/>
  <c r="H2519" i="1" s="1"/>
  <c r="G191" i="3"/>
  <c r="H5495" i="1" s="1"/>
  <c r="H2101" i="1"/>
  <c r="H2921" i="1" s="1"/>
  <c r="G171" i="3"/>
  <c r="H5489" i="1" s="1"/>
  <c r="H2078" i="1"/>
  <c r="I164" i="3"/>
  <c r="N5466" i="1" s="1"/>
  <c r="H2106" i="1"/>
  <c r="H2620" i="1" s="1"/>
  <c r="G179" i="3"/>
  <c r="H5494" i="1" s="1"/>
  <c r="H2100" i="1"/>
  <c r="H2818" i="1" s="1"/>
  <c r="G172" i="3"/>
  <c r="H5488" i="1" s="1"/>
  <c r="I24" i="3"/>
  <c r="I39" i="3"/>
  <c r="N2106" i="1" s="1"/>
  <c r="N2314" i="1" s="1"/>
  <c r="G15" i="3"/>
  <c r="G155" i="3" s="1"/>
  <c r="H5454" i="1" s="1"/>
  <c r="G154" i="3"/>
  <c r="H5453" i="1" s="1"/>
  <c r="H2098" i="1"/>
  <c r="H2714" i="1" s="1"/>
  <c r="G169" i="3"/>
  <c r="H5486" i="1" s="1"/>
  <c r="H2072" i="1"/>
  <c r="G160" i="3"/>
  <c r="H2615" i="1"/>
  <c r="I32" i="3"/>
  <c r="N2100" i="1" s="1"/>
  <c r="F136" i="3"/>
  <c r="R3392" i="1" s="1"/>
  <c r="I40" i="3"/>
  <c r="N2105" i="1" s="1"/>
  <c r="H2517" i="1"/>
  <c r="H2721" i="1"/>
  <c r="L3281" i="1"/>
  <c r="L3184" i="1"/>
  <c r="L3087" i="1"/>
  <c r="L2990" i="1"/>
  <c r="L2886" i="1"/>
  <c r="L2784" i="1"/>
  <c r="L2682" i="1"/>
  <c r="L2580" i="1"/>
  <c r="L2478" i="1"/>
  <c r="L2376" i="1"/>
  <c r="L2274" i="1"/>
  <c r="L2170" i="1"/>
  <c r="L2066" i="1"/>
  <c r="L1945" i="1"/>
  <c r="L1825" i="1"/>
  <c r="L1705" i="1"/>
  <c r="L1585" i="1"/>
  <c r="L1465" i="1"/>
  <c r="L1345" i="1"/>
  <c r="L1225" i="1"/>
  <c r="L1105" i="1"/>
  <c r="L985" i="1"/>
  <c r="L865" i="1"/>
  <c r="L745" i="1"/>
  <c r="L625" i="1"/>
  <c r="L505" i="1"/>
  <c r="H2717" i="1" l="1"/>
  <c r="H2816" i="1"/>
  <c r="H2524" i="1"/>
  <c r="N2926" i="1"/>
  <c r="H2621" i="1"/>
  <c r="N2210" i="1"/>
  <c r="H2927" i="1"/>
  <c r="H2409" i="1"/>
  <c r="H2613" i="1"/>
  <c r="H2920" i="1"/>
  <c r="H2410" i="1"/>
  <c r="H2918" i="1"/>
  <c r="H2415" i="1"/>
  <c r="H2306" i="1"/>
  <c r="H2309" i="1"/>
  <c r="H2823" i="1"/>
  <c r="H2313" i="1"/>
  <c r="H2320" i="1"/>
  <c r="H2925" i="1"/>
  <c r="H2510" i="1"/>
  <c r="H2408" i="1"/>
  <c r="H2202" i="1"/>
  <c r="H2619" i="1"/>
  <c r="H2612" i="1"/>
  <c r="I15" i="3"/>
  <c r="H2411" i="1"/>
  <c r="H2723" i="1"/>
  <c r="H2626" i="1"/>
  <c r="H2307" i="1"/>
  <c r="G16" i="3"/>
  <c r="G156" i="3" s="1"/>
  <c r="H5455" i="1" s="1"/>
  <c r="H6071" i="1" s="1"/>
  <c r="H2308" i="1"/>
  <c r="H2825" i="1"/>
  <c r="H2728" i="1"/>
  <c r="H2919" i="1"/>
  <c r="H2614" i="1"/>
  <c r="H2417" i="1"/>
  <c r="H2830" i="1"/>
  <c r="H2203" i="1"/>
  <c r="H2716" i="1"/>
  <c r="H2211" i="1"/>
  <c r="H2932" i="1"/>
  <c r="H2511" i="1"/>
  <c r="H2512" i="1"/>
  <c r="H2315" i="1"/>
  <c r="H2216" i="1"/>
  <c r="H2817" i="1"/>
  <c r="H2204" i="1"/>
  <c r="H5558" i="1"/>
  <c r="H8947" i="1"/>
  <c r="H6216" i="1"/>
  <c r="I313" i="3"/>
  <c r="N8881" i="1" s="1"/>
  <c r="H8881" i="1"/>
  <c r="I292" i="3"/>
  <c r="N8840" i="1" s="1"/>
  <c r="H8840" i="1"/>
  <c r="I308" i="3"/>
  <c r="N8874" i="1" s="1"/>
  <c r="H8874" i="1"/>
  <c r="I298" i="3"/>
  <c r="N8845" i="1" s="1"/>
  <c r="H8845" i="1"/>
  <c r="I287" i="3"/>
  <c r="N8863" i="1" s="1"/>
  <c r="H8863" i="1"/>
  <c r="H6296" i="1"/>
  <c r="I290" i="3"/>
  <c r="N8865" i="1" s="1"/>
  <c r="H8865" i="1"/>
  <c r="I284" i="3"/>
  <c r="N8829" i="1" s="1"/>
  <c r="H8829" i="1"/>
  <c r="N8970" i="1"/>
  <c r="N9380" i="1"/>
  <c r="N9482" i="1"/>
  <c r="N9278" i="1"/>
  <c r="N9176" i="1"/>
  <c r="N9074" i="1"/>
  <c r="N9584" i="1"/>
  <c r="I325" i="3"/>
  <c r="N8888" i="1" s="1"/>
  <c r="H8888" i="1"/>
  <c r="I291" i="3"/>
  <c r="N8869" i="1" s="1"/>
  <c r="H8869" i="1"/>
  <c r="H6194" i="1"/>
  <c r="I330" i="3"/>
  <c r="N8894" i="1" s="1"/>
  <c r="H8894" i="1"/>
  <c r="I286" i="3"/>
  <c r="N8862" i="1" s="1"/>
  <c r="H8862" i="1"/>
  <c r="I322" i="3"/>
  <c r="N8891" i="1" s="1"/>
  <c r="H8891" i="1"/>
  <c r="I307" i="3"/>
  <c r="N8873" i="1" s="1"/>
  <c r="H8873" i="1"/>
  <c r="I321" i="3"/>
  <c r="N8885" i="1" s="1"/>
  <c r="H8885" i="1"/>
  <c r="H6210" i="1"/>
  <c r="H6092" i="1"/>
  <c r="H6318" i="1"/>
  <c r="H5661" i="1"/>
  <c r="H5557" i="1"/>
  <c r="H6273" i="1"/>
  <c r="H6069" i="1"/>
  <c r="H6171" i="1"/>
  <c r="H5967" i="1"/>
  <c r="H5865" i="1"/>
  <c r="H5763" i="1"/>
  <c r="I323" i="3"/>
  <c r="N8886" i="1" s="1"/>
  <c r="H8886" i="1"/>
  <c r="I293" i="3"/>
  <c r="N8841" i="1" s="1"/>
  <c r="N8945" i="1" s="1"/>
  <c r="H8841" i="1"/>
  <c r="I324" i="3"/>
  <c r="N8887" i="1" s="1"/>
  <c r="H8887" i="1"/>
  <c r="I299" i="3"/>
  <c r="N8846" i="1" s="1"/>
  <c r="H8846" i="1"/>
  <c r="I288" i="3"/>
  <c r="N8864" i="1" s="1"/>
  <c r="H8864" i="1"/>
  <c r="H9607" i="1"/>
  <c r="H9505" i="1"/>
  <c r="H9709" i="1"/>
  <c r="H9403" i="1"/>
  <c r="H9301" i="1"/>
  <c r="H9097" i="1"/>
  <c r="H9199" i="1"/>
  <c r="H8993" i="1"/>
  <c r="H9698" i="1"/>
  <c r="H9596" i="1"/>
  <c r="H9494" i="1"/>
  <c r="H9392" i="1"/>
  <c r="H9290" i="1"/>
  <c r="H9086" i="1"/>
  <c r="H9188" i="1"/>
  <c r="H8982" i="1"/>
  <c r="H2205" i="1"/>
  <c r="H9697" i="1"/>
  <c r="H9595" i="1"/>
  <c r="H9493" i="1"/>
  <c r="H9391" i="1"/>
  <c r="H9289" i="1"/>
  <c r="H9085" i="1"/>
  <c r="H9187" i="1"/>
  <c r="H8981" i="1"/>
  <c r="H9704" i="1"/>
  <c r="H9602" i="1"/>
  <c r="H9500" i="1"/>
  <c r="H9398" i="1"/>
  <c r="H9194" i="1"/>
  <c r="H9296" i="1"/>
  <c r="H9092" i="1"/>
  <c r="H8988" i="1"/>
  <c r="H9696" i="1"/>
  <c r="H9594" i="1"/>
  <c r="H9492" i="1"/>
  <c r="H9390" i="1"/>
  <c r="H9288" i="1"/>
  <c r="H9084" i="1"/>
  <c r="H9186" i="1"/>
  <c r="H8980" i="1"/>
  <c r="H2819" i="1"/>
  <c r="H9593" i="1"/>
  <c r="H9695" i="1"/>
  <c r="H9491" i="1"/>
  <c r="H9389" i="1"/>
  <c r="H9287" i="1"/>
  <c r="H9083" i="1"/>
  <c r="H9185" i="1"/>
  <c r="H8979" i="1"/>
  <c r="H9703" i="1"/>
  <c r="H9601" i="1"/>
  <c r="H9499" i="1"/>
  <c r="H9397" i="1"/>
  <c r="H9091" i="1"/>
  <c r="H9295" i="1"/>
  <c r="H9193" i="1"/>
  <c r="H8987" i="1"/>
  <c r="H9702" i="1"/>
  <c r="H9600" i="1"/>
  <c r="H9498" i="1"/>
  <c r="H9396" i="1"/>
  <c r="H9090" i="1"/>
  <c r="H9192" i="1"/>
  <c r="H9294" i="1"/>
  <c r="H8986" i="1"/>
  <c r="H2513" i="1"/>
  <c r="N5570" i="1"/>
  <c r="N6184" i="1"/>
  <c r="N6082" i="1"/>
  <c r="N5878" i="1"/>
  <c r="N5980" i="1"/>
  <c r="N5674" i="1"/>
  <c r="N5776" i="1"/>
  <c r="N5601" i="1"/>
  <c r="N6215" i="1"/>
  <c r="N6011" i="1"/>
  <c r="N6113" i="1"/>
  <c r="N5909" i="1"/>
  <c r="N5705" i="1"/>
  <c r="N6317" i="1"/>
  <c r="N5807" i="1"/>
  <c r="N5556" i="1"/>
  <c r="N5602" i="1"/>
  <c r="N6012" i="1"/>
  <c r="N6114" i="1"/>
  <c r="N5910" i="1"/>
  <c r="N5706" i="1"/>
  <c r="N6216" i="1"/>
  <c r="N5808" i="1"/>
  <c r="N6318" i="1"/>
  <c r="N5561" i="1"/>
  <c r="N5869" i="1"/>
  <c r="N5767" i="1"/>
  <c r="N5971" i="1"/>
  <c r="N5665" i="1"/>
  <c r="N6091" i="1"/>
  <c r="N5989" i="1"/>
  <c r="N5683" i="1"/>
  <c r="N5785" i="1"/>
  <c r="N5887" i="1"/>
  <c r="N5579" i="1"/>
  <c r="N6193" i="1"/>
  <c r="N5672" i="1"/>
  <c r="N5568" i="1"/>
  <c r="N5876" i="1"/>
  <c r="N5978" i="1"/>
  <c r="N6080" i="1"/>
  <c r="N5774" i="1"/>
  <c r="N6182" i="1"/>
  <c r="N5596" i="1"/>
  <c r="N5802" i="1"/>
  <c r="N5700" i="1"/>
  <c r="N5904" i="1"/>
  <c r="N5659" i="1"/>
  <c r="N5761" i="1"/>
  <c r="N5555" i="1"/>
  <c r="N6271" i="1"/>
  <c r="N6067" i="1"/>
  <c r="N5863" i="1"/>
  <c r="N6169" i="1"/>
  <c r="N5965" i="1"/>
  <c r="N5897" i="1"/>
  <c r="N5693" i="1"/>
  <c r="N5999" i="1"/>
  <c r="N5795" i="1"/>
  <c r="N5589" i="1"/>
  <c r="N6203" i="1"/>
  <c r="N6101" i="1"/>
  <c r="N5766" i="1"/>
  <c r="N5560" i="1"/>
  <c r="N6276" i="1"/>
  <c r="N6174" i="1"/>
  <c r="N5664" i="1"/>
  <c r="N5868" i="1"/>
  <c r="N5970" i="1"/>
  <c r="N6072" i="1"/>
  <c r="N6294" i="1"/>
  <c r="N6192" i="1"/>
  <c r="N6090" i="1"/>
  <c r="N5682" i="1"/>
  <c r="N5988" i="1"/>
  <c r="N5784" i="1"/>
  <c r="N5578" i="1"/>
  <c r="N5886" i="1"/>
  <c r="N5684" i="1"/>
  <c r="N5990" i="1"/>
  <c r="N5786" i="1"/>
  <c r="N5888" i="1"/>
  <c r="N5580" i="1"/>
  <c r="N5854" i="1"/>
  <c r="N5648" i="1"/>
  <c r="N5544" i="1"/>
  <c r="N6058" i="1"/>
  <c r="N5752" i="1"/>
  <c r="N6160" i="1"/>
  <c r="N5956" i="1"/>
  <c r="N5889" i="1"/>
  <c r="N5787" i="1"/>
  <c r="N5581" i="1"/>
  <c r="N5685" i="1"/>
  <c r="N6195" i="1"/>
  <c r="N6093" i="1"/>
  <c r="N5991" i="1"/>
  <c r="N5603" i="1"/>
  <c r="N6115" i="1"/>
  <c r="N5911" i="1"/>
  <c r="N5707" i="1"/>
  <c r="N5809" i="1"/>
  <c r="N6319" i="1"/>
  <c r="N6217" i="1"/>
  <c r="N6013" i="1"/>
  <c r="N5688" i="1"/>
  <c r="N5584" i="1"/>
  <c r="N5994" i="1"/>
  <c r="N5892" i="1"/>
  <c r="N5790" i="1"/>
  <c r="N6096" i="1"/>
  <c r="N6300" i="1"/>
  <c r="N6198" i="1"/>
  <c r="N6285" i="1"/>
  <c r="N5609" i="1"/>
  <c r="N6223" i="1"/>
  <c r="N6019" i="1"/>
  <c r="N6121" i="1"/>
  <c r="N5917" i="1"/>
  <c r="N5713" i="1"/>
  <c r="N6325" i="1"/>
  <c r="N5815" i="1"/>
  <c r="N5783" i="1"/>
  <c r="N5885" i="1"/>
  <c r="N6191" i="1"/>
  <c r="N5577" i="1"/>
  <c r="N6089" i="1"/>
  <c r="N5681" i="1"/>
  <c r="N5987" i="1"/>
  <c r="N5606" i="1"/>
  <c r="N5812" i="1"/>
  <c r="N5710" i="1"/>
  <c r="N6322" i="1"/>
  <c r="N6220" i="1"/>
  <c r="N6016" i="1"/>
  <c r="N6118" i="1"/>
  <c r="N5914" i="1"/>
  <c r="N6100" i="1"/>
  <c r="N5998" i="1"/>
  <c r="N6202" i="1"/>
  <c r="N5692" i="1"/>
  <c r="N5794" i="1"/>
  <c r="N5896" i="1"/>
  <c r="N5588" i="1"/>
  <c r="N5600" i="1"/>
  <c r="N6316" i="1"/>
  <c r="N6214" i="1"/>
  <c r="N6010" i="1"/>
  <c r="N6112" i="1"/>
  <c r="N5908" i="1"/>
  <c r="N5704" i="1"/>
  <c r="N5806" i="1"/>
  <c r="N2518" i="1"/>
  <c r="N2416" i="1"/>
  <c r="N2722" i="1"/>
  <c r="H6306" i="1"/>
  <c r="H6000" i="1"/>
  <c r="H6204" i="1"/>
  <c r="H6102" i="1"/>
  <c r="H5898" i="1"/>
  <c r="H5796" i="1"/>
  <c r="H5590" i="1"/>
  <c r="H5694" i="1"/>
  <c r="H2314" i="1"/>
  <c r="H6212" i="1"/>
  <c r="H6314" i="1"/>
  <c r="H6110" i="1"/>
  <c r="H6008" i="1"/>
  <c r="H5906" i="1"/>
  <c r="H5804" i="1"/>
  <c r="H5702" i="1"/>
  <c r="H5598" i="1"/>
  <c r="H6211" i="1"/>
  <c r="H6313" i="1"/>
  <c r="H6109" i="1"/>
  <c r="H6007" i="1"/>
  <c r="H5905" i="1"/>
  <c r="H5803" i="1"/>
  <c r="H5701" i="1"/>
  <c r="H5597" i="1"/>
  <c r="H2926" i="1"/>
  <c r="H2518" i="1"/>
  <c r="H6320" i="1"/>
  <c r="H6014" i="1"/>
  <c r="H6218" i="1"/>
  <c r="H6116" i="1"/>
  <c r="H5708" i="1"/>
  <c r="H5912" i="1"/>
  <c r="H5810" i="1"/>
  <c r="H5604" i="1"/>
  <c r="H2210" i="1"/>
  <c r="N2620" i="1"/>
  <c r="H6309" i="1"/>
  <c r="H6003" i="1"/>
  <c r="H6207" i="1"/>
  <c r="H6105" i="1"/>
  <c r="H5697" i="1"/>
  <c r="H5901" i="1"/>
  <c r="H5799" i="1"/>
  <c r="H5593" i="1"/>
  <c r="H6308" i="1"/>
  <c r="H6206" i="1"/>
  <c r="H6002" i="1"/>
  <c r="H6104" i="1"/>
  <c r="H5900" i="1"/>
  <c r="H5798" i="1"/>
  <c r="H5696" i="1"/>
  <c r="H5592" i="1"/>
  <c r="H6315" i="1"/>
  <c r="H6111" i="1"/>
  <c r="H6009" i="1"/>
  <c r="H6213" i="1"/>
  <c r="H5907" i="1"/>
  <c r="H5703" i="1"/>
  <c r="H5805" i="1"/>
  <c r="H5599" i="1"/>
  <c r="H6307" i="1"/>
  <c r="H6205" i="1"/>
  <c r="H6001" i="1"/>
  <c r="H6103" i="1"/>
  <c r="H5899" i="1"/>
  <c r="H5797" i="1"/>
  <c r="H5695" i="1"/>
  <c r="H5591" i="1"/>
  <c r="H2416" i="1"/>
  <c r="I169" i="3"/>
  <c r="N5486" i="1" s="1"/>
  <c r="G309" i="3"/>
  <c r="I179" i="3"/>
  <c r="N5494" i="1" s="1"/>
  <c r="G319" i="3"/>
  <c r="I180" i="3"/>
  <c r="N5493" i="1" s="1"/>
  <c r="G320" i="3"/>
  <c r="I154" i="3"/>
  <c r="N5453" i="1" s="1"/>
  <c r="G294" i="3"/>
  <c r="I186" i="3"/>
  <c r="N5500" i="1" s="1"/>
  <c r="G326" i="3"/>
  <c r="H2722" i="1"/>
  <c r="I155" i="3"/>
  <c r="N5454" i="1" s="1"/>
  <c r="G295" i="3"/>
  <c r="I171" i="3"/>
  <c r="N5489" i="1" s="1"/>
  <c r="G311" i="3"/>
  <c r="I160" i="3"/>
  <c r="G300" i="3"/>
  <c r="I300" i="3" s="1"/>
  <c r="I172" i="3"/>
  <c r="N5488" i="1" s="1"/>
  <c r="G312" i="3"/>
  <c r="I191" i="3"/>
  <c r="N5495" i="1" s="1"/>
  <c r="G331" i="3"/>
  <c r="I170" i="3"/>
  <c r="N5487" i="1" s="1"/>
  <c r="G310" i="3"/>
  <c r="N2824" i="1"/>
  <c r="H2824" i="1"/>
  <c r="N2415" i="1"/>
  <c r="N2619" i="1"/>
  <c r="N2209" i="1"/>
  <c r="N2721" i="1"/>
  <c r="N2517" i="1"/>
  <c r="N2925" i="1"/>
  <c r="N2313" i="1"/>
  <c r="N2823" i="1"/>
  <c r="N2204" i="1"/>
  <c r="N2410" i="1"/>
  <c r="N2512" i="1"/>
  <c r="N2614" i="1"/>
  <c r="N2716" i="1"/>
  <c r="N2920" i="1"/>
  <c r="N2308" i="1"/>
  <c r="N2818" i="1"/>
  <c r="H77" i="1"/>
  <c r="I156" i="3" l="1"/>
  <c r="N5455" i="1" s="1"/>
  <c r="N6071" i="1" s="1"/>
  <c r="H5559" i="1"/>
  <c r="H5969" i="1"/>
  <c r="G296" i="3"/>
  <c r="I296" i="3" s="1"/>
  <c r="N8844" i="1" s="1"/>
  <c r="H5663" i="1"/>
  <c r="H5867" i="1"/>
  <c r="H6173" i="1"/>
  <c r="H6275" i="1"/>
  <c r="H5765" i="1"/>
  <c r="H8968" i="1"/>
  <c r="H9480" i="1"/>
  <c r="H9378" i="1"/>
  <c r="H9276" i="1"/>
  <c r="H9072" i="1"/>
  <c r="H9174" i="1"/>
  <c r="H9582" i="1"/>
  <c r="H9684" i="1"/>
  <c r="H9049" i="1"/>
  <c r="H8945" i="1"/>
  <c r="H9661" i="1"/>
  <c r="H9559" i="1"/>
  <c r="H9457" i="1"/>
  <c r="H9355" i="1"/>
  <c r="H9253" i="1"/>
  <c r="H9151" i="1"/>
  <c r="N9093" i="1"/>
  <c r="N8989" i="1"/>
  <c r="N9195" i="1"/>
  <c r="N9705" i="1"/>
  <c r="N9603" i="1"/>
  <c r="N9399" i="1"/>
  <c r="N9501" i="1"/>
  <c r="N9297" i="1"/>
  <c r="N9714" i="1"/>
  <c r="N9102" i="1"/>
  <c r="N9612" i="1"/>
  <c r="N9510" i="1"/>
  <c r="N9408" i="1"/>
  <c r="N9306" i="1"/>
  <c r="N9204" i="1"/>
  <c r="N8998" i="1"/>
  <c r="H9096" i="1"/>
  <c r="H8992" i="1"/>
  <c r="H9198" i="1"/>
  <c r="H9300" i="1"/>
  <c r="H9708" i="1"/>
  <c r="H9606" i="1"/>
  <c r="H9504" i="1"/>
  <c r="H9402" i="1"/>
  <c r="N8967" i="1"/>
  <c r="N9683" i="1"/>
  <c r="N9479" i="1"/>
  <c r="N9581" i="1"/>
  <c r="N9377" i="1"/>
  <c r="N9275" i="1"/>
  <c r="N9071" i="1"/>
  <c r="N9173" i="1"/>
  <c r="N9191" i="1"/>
  <c r="N9599" i="1" s="1"/>
  <c r="N9089" i="1"/>
  <c r="N9497" i="1" s="1"/>
  <c r="N8985" i="1"/>
  <c r="N9395" i="1" s="1"/>
  <c r="N9293" i="1"/>
  <c r="N9701" i="1" s="1"/>
  <c r="I294" i="3"/>
  <c r="N8842" i="1" s="1"/>
  <c r="H8842" i="1"/>
  <c r="N9355" i="1"/>
  <c r="N9151" i="1"/>
  <c r="N9049" i="1"/>
  <c r="N9661" i="1"/>
  <c r="N9559" i="1"/>
  <c r="N9457" i="1"/>
  <c r="N9253" i="1"/>
  <c r="H9387" i="1"/>
  <c r="H9285" i="1"/>
  <c r="H9081" i="1"/>
  <c r="H9183" i="1"/>
  <c r="H8977" i="1"/>
  <c r="H9693" i="1"/>
  <c r="H9591" i="1"/>
  <c r="H9489" i="1"/>
  <c r="N8992" i="1"/>
  <c r="N9096" i="1"/>
  <c r="N9708" i="1"/>
  <c r="N9606" i="1"/>
  <c r="N9504" i="1"/>
  <c r="N9402" i="1"/>
  <c r="N9300" i="1"/>
  <c r="N9198" i="1"/>
  <c r="N9686" i="1"/>
  <c r="H9665" i="1"/>
  <c r="H9563" i="1"/>
  <c r="H9461" i="1"/>
  <c r="H9359" i="1"/>
  <c r="H9257" i="1"/>
  <c r="H9155" i="1"/>
  <c r="H8949" i="1"/>
  <c r="H9053" i="1"/>
  <c r="H9037" i="1"/>
  <c r="H8933" i="1"/>
  <c r="H9141" i="1"/>
  <c r="H9651" i="1"/>
  <c r="H9549" i="1"/>
  <c r="H9345" i="1"/>
  <c r="H9447" i="1"/>
  <c r="H9243" i="1"/>
  <c r="I320" i="3"/>
  <c r="N8882" i="1" s="1"/>
  <c r="H8882" i="1"/>
  <c r="N8968" i="1"/>
  <c r="N9684" i="1" s="1"/>
  <c r="N9072" i="1"/>
  <c r="N9582" i="1"/>
  <c r="N9174" i="1"/>
  <c r="N9378" i="1"/>
  <c r="N9480" i="1"/>
  <c r="N9276" i="1"/>
  <c r="N9094" i="1"/>
  <c r="N9298" i="1"/>
  <c r="N9196" i="1"/>
  <c r="N9706" i="1"/>
  <c r="N9604" i="1"/>
  <c r="N9400" i="1"/>
  <c r="N8990" i="1"/>
  <c r="N9502" i="1"/>
  <c r="H9711" i="1"/>
  <c r="H8995" i="1"/>
  <c r="H9609" i="1"/>
  <c r="H9507" i="1"/>
  <c r="H9405" i="1"/>
  <c r="H9303" i="1"/>
  <c r="H9201" i="1"/>
  <c r="H9099" i="1"/>
  <c r="N9549" i="1"/>
  <c r="N9447" i="1"/>
  <c r="N9345" i="1"/>
  <c r="N9243" i="1"/>
  <c r="N9141" i="1"/>
  <c r="N9037" i="1"/>
  <c r="N8933" i="1"/>
  <c r="N9651" i="1" s="1"/>
  <c r="H8978" i="1"/>
  <c r="H9694" i="1"/>
  <c r="H9592" i="1"/>
  <c r="H9184" i="1"/>
  <c r="H9490" i="1"/>
  <c r="H9388" i="1"/>
  <c r="H9286" i="1"/>
  <c r="H9082" i="1"/>
  <c r="I311" i="3"/>
  <c r="N8878" i="1" s="1"/>
  <c r="H8878" i="1"/>
  <c r="I331" i="3"/>
  <c r="N8884" i="1" s="1"/>
  <c r="H8884" i="1"/>
  <c r="I295" i="3"/>
  <c r="N8843" i="1" s="1"/>
  <c r="H8843" i="1"/>
  <c r="H9564" i="1"/>
  <c r="H9462" i="1"/>
  <c r="H9360" i="1"/>
  <c r="H9258" i="1"/>
  <c r="H9156" i="1"/>
  <c r="H9666" i="1"/>
  <c r="H9054" i="1"/>
  <c r="H8950" i="1"/>
  <c r="N8995" i="1"/>
  <c r="N9711" i="1"/>
  <c r="N9609" i="1"/>
  <c r="N9405" i="1"/>
  <c r="N9507" i="1"/>
  <c r="N9099" i="1"/>
  <c r="N9303" i="1"/>
  <c r="N9201" i="1"/>
  <c r="H8969" i="1"/>
  <c r="H9175" i="1"/>
  <c r="H9073" i="1"/>
  <c r="H9379" i="1"/>
  <c r="H9277" i="1"/>
  <c r="N9592" i="1"/>
  <c r="N8978" i="1"/>
  <c r="N9694" i="1" s="1"/>
  <c r="N9388" i="1"/>
  <c r="N9490" i="1"/>
  <c r="N9286" i="1"/>
  <c r="N9184" i="1"/>
  <c r="N9082" i="1"/>
  <c r="H9357" i="1"/>
  <c r="H9459" i="1"/>
  <c r="H9255" i="1"/>
  <c r="H9153" i="1"/>
  <c r="H9051" i="1"/>
  <c r="H9663" i="1"/>
  <c r="H9561" i="1"/>
  <c r="I310" i="3"/>
  <c r="N8876" i="1" s="1"/>
  <c r="H8876" i="1"/>
  <c r="H9604" i="1"/>
  <c r="H9706" i="1"/>
  <c r="H9502" i="1"/>
  <c r="H9400" i="1"/>
  <c r="H9298" i="1"/>
  <c r="H9094" i="1"/>
  <c r="H9196" i="1"/>
  <c r="H8990" i="1"/>
  <c r="N8977" i="1"/>
  <c r="N9693" i="1" s="1"/>
  <c r="N9591" i="1"/>
  <c r="N9387" i="1"/>
  <c r="N9489" i="1"/>
  <c r="N9285" i="1"/>
  <c r="N9183" i="1"/>
  <c r="N9081" i="1"/>
  <c r="I319" i="3"/>
  <c r="N8883" i="1" s="1"/>
  <c r="H8883" i="1"/>
  <c r="N8950" i="1"/>
  <c r="N9462" i="1" s="1"/>
  <c r="N9360" i="1"/>
  <c r="N9054" i="1"/>
  <c r="N9564" i="1" s="1"/>
  <c r="N9258" i="1"/>
  <c r="N9156" i="1"/>
  <c r="N9666" i="1" s="1"/>
  <c r="H8966" i="1"/>
  <c r="H9682" i="1"/>
  <c r="H9580" i="1"/>
  <c r="H9478" i="1"/>
  <c r="H9376" i="1"/>
  <c r="H9274" i="1"/>
  <c r="H9070" i="1"/>
  <c r="H9172" i="1"/>
  <c r="N8969" i="1"/>
  <c r="N9481" i="1" s="1"/>
  <c r="N9277" i="1"/>
  <c r="N9073" i="1"/>
  <c r="N9583" i="1" s="1"/>
  <c r="N9379" i="1"/>
  <c r="N9175" i="1"/>
  <c r="N9685" i="1" s="1"/>
  <c r="H9048" i="1"/>
  <c r="H9150" i="1"/>
  <c r="H8944" i="1"/>
  <c r="H9660" i="1"/>
  <c r="H9558" i="1"/>
  <c r="H9354" i="1"/>
  <c r="H9252" i="1"/>
  <c r="H9456" i="1"/>
  <c r="I312" i="3"/>
  <c r="N8877" i="1" s="1"/>
  <c r="H8877" i="1"/>
  <c r="H9299" i="1"/>
  <c r="H9095" i="1"/>
  <c r="H9401" i="1"/>
  <c r="H9197" i="1"/>
  <c r="H9503" i="1"/>
  <c r="H8991" i="1"/>
  <c r="N8966" i="1"/>
  <c r="N9682" i="1" s="1"/>
  <c r="N9070" i="1"/>
  <c r="N9274" i="1"/>
  <c r="N9172" i="1"/>
  <c r="N9580" i="1"/>
  <c r="N9376" i="1"/>
  <c r="N9478" i="1"/>
  <c r="H8973" i="1"/>
  <c r="H9689" i="1"/>
  <c r="H9587" i="1"/>
  <c r="H9179" i="1"/>
  <c r="H9383" i="1"/>
  <c r="H9485" i="1"/>
  <c r="H9281" i="1"/>
  <c r="H9077" i="1"/>
  <c r="N9354" i="1"/>
  <c r="N9150" i="1"/>
  <c r="N9048" i="1"/>
  <c r="N8944" i="1"/>
  <c r="N9660" i="1"/>
  <c r="N9558" i="1"/>
  <c r="N9252" i="1"/>
  <c r="N9456" i="1"/>
  <c r="H6274" i="1"/>
  <c r="H6070" i="1"/>
  <c r="H6172" i="1"/>
  <c r="H5968" i="1"/>
  <c r="H5866" i="1"/>
  <c r="H5764" i="1"/>
  <c r="H5662" i="1"/>
  <c r="N8949" i="1"/>
  <c r="N9053" i="1"/>
  <c r="N9155" i="1"/>
  <c r="N9257" i="1"/>
  <c r="N9665" i="1"/>
  <c r="N9563" i="1"/>
  <c r="N9359" i="1"/>
  <c r="N9461" i="1"/>
  <c r="I326" i="3"/>
  <c r="N8889" i="1" s="1"/>
  <c r="H8889" i="1"/>
  <c r="I309" i="3"/>
  <c r="N8875" i="1" s="1"/>
  <c r="H8875" i="1"/>
  <c r="N8991" i="1"/>
  <c r="N9707" i="1"/>
  <c r="N9605" i="1"/>
  <c r="N9401" i="1"/>
  <c r="N9503" i="1"/>
  <c r="N9299" i="1"/>
  <c r="N9197" i="1"/>
  <c r="N9095" i="1"/>
  <c r="H8989" i="1"/>
  <c r="H9705" i="1"/>
  <c r="H9501" i="1"/>
  <c r="H9093" i="1"/>
  <c r="H9603" i="1"/>
  <c r="H9399" i="1"/>
  <c r="H9297" i="1"/>
  <c r="H9195" i="1"/>
  <c r="H9408" i="1"/>
  <c r="H9510" i="1"/>
  <c r="H9612" i="1"/>
  <c r="H9306" i="1"/>
  <c r="H9102" i="1"/>
  <c r="H9204" i="1"/>
  <c r="H8998" i="1"/>
  <c r="H9714" i="1"/>
  <c r="N9281" i="1"/>
  <c r="N9077" i="1"/>
  <c r="N9179" i="1"/>
  <c r="N8973" i="1"/>
  <c r="N9689" i="1"/>
  <c r="N9587" i="1"/>
  <c r="N9485" i="1"/>
  <c r="N9383" i="1"/>
  <c r="H8967" i="1"/>
  <c r="H9581" i="1"/>
  <c r="H9479" i="1"/>
  <c r="H9377" i="1"/>
  <c r="H9683" i="1"/>
  <c r="H9275" i="1"/>
  <c r="H9071" i="1"/>
  <c r="H9173" i="1"/>
  <c r="H9191" i="1"/>
  <c r="H9701" i="1"/>
  <c r="H9497" i="1"/>
  <c r="H9089" i="1"/>
  <c r="H8985" i="1"/>
  <c r="H9395" i="1"/>
  <c r="H9293" i="1"/>
  <c r="N6297" i="1"/>
  <c r="N5559" i="1"/>
  <c r="N6173" i="1"/>
  <c r="N5867" i="1"/>
  <c r="N5969" i="1"/>
  <c r="N6295" i="1"/>
  <c r="N6262" i="1"/>
  <c r="N5865" i="1"/>
  <c r="N6171" i="1"/>
  <c r="N5967" i="1"/>
  <c r="N5661" i="1"/>
  <c r="N5763" i="1"/>
  <c r="N5557" i="1"/>
  <c r="N6069" i="1"/>
  <c r="N6273" i="1"/>
  <c r="N6092" i="1"/>
  <c r="N6277" i="1"/>
  <c r="N5591" i="1"/>
  <c r="N5695" i="1"/>
  <c r="N6307" i="1"/>
  <c r="N6205" i="1"/>
  <c r="N6103" i="1"/>
  <c r="N6001" i="1"/>
  <c r="N5899" i="1"/>
  <c r="N5797" i="1"/>
  <c r="N5593" i="1"/>
  <c r="N6309" i="1"/>
  <c r="N6207" i="1"/>
  <c r="N6105" i="1"/>
  <c r="N5697" i="1"/>
  <c r="N6003" i="1"/>
  <c r="N5901" i="1"/>
  <c r="N5799" i="1"/>
  <c r="N6312" i="1"/>
  <c r="N5597" i="1"/>
  <c r="N6313" i="1"/>
  <c r="N6211" i="1"/>
  <c r="N6109" i="1"/>
  <c r="N6007" i="1"/>
  <c r="N5701" i="1"/>
  <c r="N5905" i="1"/>
  <c r="N5803" i="1"/>
  <c r="N6304" i="1"/>
  <c r="N6296" i="1"/>
  <c r="N6305" i="1"/>
  <c r="N6108" i="1"/>
  <c r="N6073" i="1"/>
  <c r="N5599" i="1"/>
  <c r="N6009" i="1"/>
  <c r="N5805" i="1"/>
  <c r="N6315" i="1"/>
  <c r="N6111" i="1"/>
  <c r="N6213" i="1"/>
  <c r="N5907" i="1"/>
  <c r="N5703" i="1"/>
  <c r="N5764" i="1"/>
  <c r="N5558" i="1"/>
  <c r="N5662" i="1"/>
  <c r="N6274" i="1"/>
  <c r="N6172" i="1"/>
  <c r="N5866" i="1"/>
  <c r="N6070" i="1"/>
  <c r="N5968" i="1"/>
  <c r="N6210" i="1"/>
  <c r="N6284" i="1"/>
  <c r="N6006" i="1"/>
  <c r="N5592" i="1"/>
  <c r="N6308" i="1"/>
  <c r="N6206" i="1"/>
  <c r="N6104" i="1"/>
  <c r="N5696" i="1"/>
  <c r="N6002" i="1"/>
  <c r="N5900" i="1"/>
  <c r="N5798" i="1"/>
  <c r="N5660" i="1"/>
  <c r="N5762" i="1"/>
  <c r="N6272" i="1"/>
  <c r="N6068" i="1"/>
  <c r="N5864" i="1"/>
  <c r="N5966" i="1"/>
  <c r="N6170" i="1"/>
  <c r="N5598" i="1"/>
  <c r="N6314" i="1"/>
  <c r="N6212" i="1"/>
  <c r="N6110" i="1"/>
  <c r="N6008" i="1"/>
  <c r="N5906" i="1"/>
  <c r="N5804" i="1"/>
  <c r="N5702" i="1"/>
  <c r="N6194" i="1"/>
  <c r="N5604" i="1"/>
  <c r="N5912" i="1"/>
  <c r="N5708" i="1"/>
  <c r="N5810" i="1"/>
  <c r="N6320" i="1"/>
  <c r="N6218" i="1"/>
  <c r="N6116" i="1"/>
  <c r="N6014" i="1"/>
  <c r="N5590" i="1"/>
  <c r="N6306" i="1"/>
  <c r="N5694" i="1"/>
  <c r="N6204" i="1"/>
  <c r="N6102" i="1"/>
  <c r="N6000" i="1"/>
  <c r="N5898" i="1"/>
  <c r="N5796" i="1"/>
  <c r="N6293" i="1"/>
  <c r="N6175" i="1"/>
  <c r="N6286" i="1"/>
  <c r="N152" i="1"/>
  <c r="N992" i="1" s="1"/>
  <c r="N1832" i="1" s="1"/>
  <c r="N272" i="1"/>
  <c r="N1112" i="1" s="1"/>
  <c r="N1952" i="1" s="1"/>
  <c r="N392" i="1"/>
  <c r="N1232" i="1" s="1"/>
  <c r="N512" i="1"/>
  <c r="N1352" i="1" s="1"/>
  <c r="N632" i="1"/>
  <c r="N1472" i="1" s="1"/>
  <c r="N752" i="1"/>
  <c r="N1592" i="1" s="1"/>
  <c r="N872" i="1"/>
  <c r="N1712" i="1" s="1"/>
  <c r="N9702" i="1" l="1"/>
  <c r="N9294" i="1"/>
  <c r="N8986" i="1"/>
  <c r="N9600" i="1"/>
  <c r="N9192" i="1"/>
  <c r="N9498" i="1"/>
  <c r="N9090" i="1"/>
  <c r="N9396" i="1"/>
  <c r="N9703" i="1"/>
  <c r="N9295" i="1"/>
  <c r="N9397" i="1"/>
  <c r="N9601" i="1"/>
  <c r="N9193" i="1"/>
  <c r="N8987" i="1"/>
  <c r="N9499" i="1"/>
  <c r="N9091" i="1"/>
  <c r="N5765" i="1"/>
  <c r="N6275" i="1"/>
  <c r="N5663" i="1"/>
  <c r="H8844" i="1"/>
  <c r="H9256" i="1" s="1"/>
  <c r="N9392" i="1"/>
  <c r="N9290" i="1"/>
  <c r="N9188" i="1"/>
  <c r="N9494" i="1"/>
  <c r="N9086" i="1"/>
  <c r="N8982" i="1"/>
  <c r="N9698" i="1"/>
  <c r="N9596" i="1"/>
  <c r="N9391" i="1"/>
  <c r="N9289" i="1"/>
  <c r="N9595" i="1"/>
  <c r="N9187" i="1"/>
  <c r="N8981" i="1"/>
  <c r="N9085" i="1"/>
  <c r="N9697" i="1"/>
  <c r="N9493" i="1"/>
  <c r="N9594" i="1"/>
  <c r="N9492" i="1"/>
  <c r="N9084" i="1"/>
  <c r="N8980" i="1"/>
  <c r="N9390" i="1"/>
  <c r="N9186" i="1"/>
  <c r="N9696" i="1"/>
  <c r="N9288" i="1"/>
  <c r="N9593" i="1"/>
  <c r="N9491" i="1"/>
  <c r="N9695" i="1"/>
  <c r="N9389" i="1"/>
  <c r="N9083" i="1"/>
  <c r="N8979" i="1"/>
  <c r="N9287" i="1"/>
  <c r="N9185" i="1"/>
  <c r="H9707" i="1"/>
  <c r="H9605" i="1"/>
  <c r="H9583" i="1"/>
  <c r="N8947" i="1"/>
  <c r="N9459" i="1"/>
  <c r="N9357" i="1"/>
  <c r="N9051" i="1"/>
  <c r="N9561" i="1"/>
  <c r="N9255" i="1"/>
  <c r="N9153" i="1"/>
  <c r="N9663" i="1"/>
  <c r="N9097" i="1"/>
  <c r="N9709" i="1"/>
  <c r="N8993" i="1"/>
  <c r="N9607" i="1"/>
  <c r="N9403" i="1"/>
  <c r="N9505" i="1"/>
  <c r="N9301" i="1"/>
  <c r="N9199" i="1"/>
  <c r="H9685" i="1"/>
  <c r="N8948" i="1"/>
  <c r="N9358" i="1"/>
  <c r="N9256" i="1"/>
  <c r="N9052" i="1"/>
  <c r="N9154" i="1"/>
  <c r="N9664" i="1"/>
  <c r="N9460" i="1"/>
  <c r="N9562" i="1"/>
  <c r="H9599" i="1"/>
  <c r="H9481" i="1"/>
  <c r="N8988" i="1"/>
  <c r="N9704" i="1"/>
  <c r="N9092" i="1"/>
  <c r="N9602" i="1"/>
  <c r="N9500" i="1"/>
  <c r="N9398" i="1"/>
  <c r="N9296" i="1"/>
  <c r="N9194" i="1"/>
  <c r="H9050" i="1"/>
  <c r="H9662" i="1"/>
  <c r="H9560" i="1"/>
  <c r="H9458" i="1"/>
  <c r="H9356" i="1"/>
  <c r="H9254" i="1"/>
  <c r="H9152" i="1"/>
  <c r="H8946" i="1"/>
  <c r="N9050" i="1"/>
  <c r="N9356" i="1"/>
  <c r="N8946" i="1"/>
  <c r="N9560" i="1"/>
  <c r="N9662" i="1"/>
  <c r="N9254" i="1"/>
  <c r="N9458" i="1"/>
  <c r="N9152" i="1"/>
  <c r="C267" i="3"/>
  <c r="C266" i="3"/>
  <c r="C124" i="3"/>
  <c r="C215" i="3"/>
  <c r="H3482" i="1" s="1"/>
  <c r="C213" i="3"/>
  <c r="H3477" i="1" s="1"/>
  <c r="C211" i="3"/>
  <c r="H3476" i="1" s="1"/>
  <c r="E214" i="3"/>
  <c r="N3478" i="1" s="1"/>
  <c r="E204" i="3"/>
  <c r="N3472" i="1" s="1"/>
  <c r="E203" i="3"/>
  <c r="N3471" i="1" s="1"/>
  <c r="E202" i="3"/>
  <c r="N3470" i="1" s="1"/>
  <c r="C209" i="3"/>
  <c r="H3474" i="1" s="1"/>
  <c r="H9358" i="1" l="1"/>
  <c r="H8948" i="1"/>
  <c r="H9052" i="1"/>
  <c r="H9562" i="1"/>
  <c r="H9154" i="1"/>
  <c r="H9460" i="1"/>
  <c r="H9664" i="1"/>
  <c r="N3590" i="1"/>
  <c r="N4430" i="1"/>
  <c r="N4070" i="1"/>
  <c r="N4670" i="1"/>
  <c r="N5390" i="1"/>
  <c r="N4550" i="1"/>
  <c r="N5270" i="1"/>
  <c r="N4310" i="1"/>
  <c r="N3710" i="1"/>
  <c r="N5150" i="1"/>
  <c r="N4190" i="1"/>
  <c r="N3950" i="1"/>
  <c r="N4910" i="1"/>
  <c r="N3830" i="1"/>
  <c r="N4790" i="1"/>
  <c r="N5030" i="1"/>
  <c r="N3598" i="1"/>
  <c r="N5278" i="1"/>
  <c r="N4318" i="1"/>
  <c r="N5158" i="1"/>
  <c r="N3838" i="1"/>
  <c r="N4078" i="1"/>
  <c r="N5038" i="1"/>
  <c r="N4918" i="1"/>
  <c r="N4198" i="1"/>
  <c r="N4678" i="1"/>
  <c r="N3958" i="1"/>
  <c r="N3718" i="1"/>
  <c r="N4798" i="1"/>
  <c r="N4438" i="1"/>
  <c r="N5398" i="1"/>
  <c r="N4558" i="1"/>
  <c r="N3591" i="1"/>
  <c r="N4071" i="1"/>
  <c r="N5151" i="1"/>
  <c r="N4191" i="1"/>
  <c r="N4911" i="1"/>
  <c r="N3831" i="1"/>
  <c r="N4431" i="1"/>
  <c r="N4671" i="1"/>
  <c r="N3951" i="1"/>
  <c r="N5031" i="1"/>
  <c r="N3711" i="1"/>
  <c r="N4791" i="1"/>
  <c r="N5391" i="1"/>
  <c r="N4551" i="1"/>
  <c r="N5271" i="1"/>
  <c r="N4311" i="1"/>
  <c r="N3592" i="1"/>
  <c r="N4072" i="1"/>
  <c r="N5032" i="1"/>
  <c r="N3832" i="1"/>
  <c r="N4792" i="1"/>
  <c r="N4432" i="1"/>
  <c r="N5392" i="1"/>
  <c r="N4552" i="1"/>
  <c r="N5152" i="1"/>
  <c r="N5272" i="1"/>
  <c r="N4192" i="1"/>
  <c r="N3712" i="1"/>
  <c r="N4312" i="1"/>
  <c r="N4912" i="1"/>
  <c r="N3952" i="1"/>
  <c r="N4672" i="1"/>
  <c r="H3957" i="1"/>
  <c r="H3837" i="1"/>
  <c r="H3717" i="1"/>
  <c r="H3597" i="1"/>
  <c r="H3954" i="1"/>
  <c r="H3714" i="1"/>
  <c r="H3594" i="1"/>
  <c r="H3834" i="1"/>
  <c r="E266" i="3"/>
  <c r="N3515" i="1" s="1"/>
  <c r="H3515" i="1"/>
  <c r="E267" i="3"/>
  <c r="N3516" i="1" s="1"/>
  <c r="H3516" i="1"/>
  <c r="H3956" i="1"/>
  <c r="H4076" i="1"/>
  <c r="H4196" i="1"/>
  <c r="H4556" i="1"/>
  <c r="H3716" i="1"/>
  <c r="H3596" i="1"/>
  <c r="H3836" i="1"/>
  <c r="H4316" i="1"/>
  <c r="H4436" i="1"/>
  <c r="H4322" i="1"/>
  <c r="H4442" i="1"/>
  <c r="H4562" i="1"/>
  <c r="H3962" i="1"/>
  <c r="H4082" i="1"/>
  <c r="H3842" i="1"/>
  <c r="H3602" i="1"/>
  <c r="H4202" i="1"/>
  <c r="H3722" i="1"/>
  <c r="E211" i="3"/>
  <c r="N3476" i="1" s="1"/>
  <c r="C351" i="3"/>
  <c r="E209" i="3"/>
  <c r="N3474" i="1" s="1"/>
  <c r="C349" i="3"/>
  <c r="E213" i="3"/>
  <c r="N3477" i="1" s="1"/>
  <c r="C353" i="3"/>
  <c r="E215" i="3"/>
  <c r="N3482" i="1" s="1"/>
  <c r="C355" i="3"/>
  <c r="H99" i="1"/>
  <c r="H1299" i="1" s="1"/>
  <c r="C218" i="3"/>
  <c r="H102" i="1"/>
  <c r="C222" i="3"/>
  <c r="H106" i="1"/>
  <c r="H1906" i="1" s="1"/>
  <c r="C226" i="3"/>
  <c r="H110" i="1"/>
  <c r="H1910" i="1" s="1"/>
  <c r="C230" i="3"/>
  <c r="H114" i="1"/>
  <c r="H1914" i="1" s="1"/>
  <c r="C234" i="3"/>
  <c r="H118" i="1"/>
  <c r="C238" i="3"/>
  <c r="H119" i="1"/>
  <c r="C239" i="3"/>
  <c r="H125" i="1"/>
  <c r="H1805" i="1" s="1"/>
  <c r="C263" i="3"/>
  <c r="H98" i="1"/>
  <c r="C219" i="3"/>
  <c r="H103" i="1"/>
  <c r="H1783" i="1" s="1"/>
  <c r="C223" i="3"/>
  <c r="H107" i="1"/>
  <c r="H1667" i="1" s="1"/>
  <c r="C227" i="3"/>
  <c r="H111" i="1"/>
  <c r="C231" i="3"/>
  <c r="H115" i="1"/>
  <c r="C235" i="3"/>
  <c r="H120" i="1"/>
  <c r="C240" i="3"/>
  <c r="H100" i="1"/>
  <c r="H1540" i="1" s="1"/>
  <c r="C220" i="3"/>
  <c r="H104" i="1"/>
  <c r="H1304" i="1" s="1"/>
  <c r="C224" i="3"/>
  <c r="H108" i="1"/>
  <c r="C228" i="3"/>
  <c r="H112" i="1"/>
  <c r="H1432" i="1" s="1"/>
  <c r="C232" i="3"/>
  <c r="H116" i="1"/>
  <c r="H236" i="1" s="1"/>
  <c r="C236" i="3"/>
  <c r="H121" i="1"/>
  <c r="C241" i="3"/>
  <c r="H101" i="1"/>
  <c r="H1301" i="1" s="1"/>
  <c r="C221" i="3"/>
  <c r="H105" i="1"/>
  <c r="H705" i="1" s="1"/>
  <c r="C225" i="3"/>
  <c r="H109" i="1"/>
  <c r="H1189" i="1" s="1"/>
  <c r="C229" i="3"/>
  <c r="H113" i="1"/>
  <c r="C233" i="3"/>
  <c r="H117" i="1"/>
  <c r="H2037" i="1" s="1"/>
  <c r="C237" i="3"/>
  <c r="H1059" i="1"/>
  <c r="H586" i="1"/>
  <c r="H946" i="1"/>
  <c r="H1074" i="1"/>
  <c r="H1794" i="1"/>
  <c r="E123" i="3"/>
  <c r="N125" i="1" s="1"/>
  <c r="H940" i="1" l="1"/>
  <c r="H227" i="1"/>
  <c r="H717" i="1"/>
  <c r="H1077" i="1"/>
  <c r="H1550" i="1"/>
  <c r="H823" i="1"/>
  <c r="H461" i="1"/>
  <c r="H1545" i="1"/>
  <c r="H1552" i="1"/>
  <c r="H965" i="1"/>
  <c r="H703" i="1"/>
  <c r="H470" i="1"/>
  <c r="H365" i="1"/>
  <c r="H465" i="1"/>
  <c r="H1664" i="1"/>
  <c r="H1905" i="1"/>
  <c r="H224" i="1"/>
  <c r="H1917" i="1"/>
  <c r="H594" i="1"/>
  <c r="H1779" i="1"/>
  <c r="H1317" i="1"/>
  <c r="H707" i="1"/>
  <c r="H1194" i="1"/>
  <c r="H1186" i="1"/>
  <c r="H219" i="1"/>
  <c r="H357" i="1"/>
  <c r="H701" i="1"/>
  <c r="H464" i="1"/>
  <c r="H587" i="1"/>
  <c r="H2034" i="1"/>
  <c r="H1066" i="1"/>
  <c r="H1661" i="1"/>
  <c r="H2029" i="1"/>
  <c r="H1780" i="1"/>
  <c r="H579" i="1"/>
  <c r="H1309" i="1"/>
  <c r="H1061" i="1"/>
  <c r="H1900" i="1"/>
  <c r="H1539" i="1"/>
  <c r="H229" i="1"/>
  <c r="H832" i="1"/>
  <c r="H1180" i="1"/>
  <c r="H1554" i="1"/>
  <c r="H1666" i="1"/>
  <c r="H339" i="1"/>
  <c r="H826" i="1"/>
  <c r="H237" i="1"/>
  <c r="H709" i="1"/>
  <c r="H220" i="1"/>
  <c r="H947" i="1"/>
  <c r="H1197" i="1"/>
  <c r="H1677" i="1"/>
  <c r="H1909" i="1"/>
  <c r="H469" i="1"/>
  <c r="H821" i="1"/>
  <c r="H1781" i="1"/>
  <c r="H1060" i="1"/>
  <c r="H1660" i="1"/>
  <c r="H1547" i="1"/>
  <c r="H834" i="1"/>
  <c r="H1546" i="1"/>
  <c r="H1419" i="1"/>
  <c r="H2019" i="1"/>
  <c r="H477" i="1"/>
  <c r="H597" i="1"/>
  <c r="H829" i="1"/>
  <c r="H1549" i="1"/>
  <c r="H221" i="1"/>
  <c r="H581" i="1"/>
  <c r="H1192" i="1"/>
  <c r="H460" i="1"/>
  <c r="H845" i="1"/>
  <c r="H1067" i="1"/>
  <c r="H943" i="1"/>
  <c r="H1314" i="1"/>
  <c r="H710" i="1"/>
  <c r="H2026" i="1"/>
  <c r="H1179" i="1"/>
  <c r="H1789" i="1"/>
  <c r="H2021" i="1"/>
  <c r="H1797" i="1"/>
  <c r="H354" i="1"/>
  <c r="H1437" i="1"/>
  <c r="H349" i="1"/>
  <c r="H1541" i="1"/>
  <c r="H580" i="1"/>
  <c r="H1187" i="1"/>
  <c r="H957" i="1"/>
  <c r="H1069" i="1"/>
  <c r="H1181" i="1"/>
  <c r="H941" i="1"/>
  <c r="H820" i="1"/>
  <c r="H1787" i="1"/>
  <c r="H1907" i="1"/>
  <c r="H954" i="1"/>
  <c r="H706" i="1"/>
  <c r="H346" i="1"/>
  <c r="H1659" i="1"/>
  <c r="H1557" i="1"/>
  <c r="H837" i="1"/>
  <c r="H1669" i="1"/>
  <c r="H1665" i="1"/>
  <c r="H341" i="1"/>
  <c r="H1421" i="1"/>
  <c r="H340" i="1"/>
  <c r="H1300" i="1"/>
  <c r="H1307" i="1"/>
  <c r="H1427" i="1"/>
  <c r="H1674" i="1"/>
  <c r="H234" i="1"/>
  <c r="H226" i="1"/>
  <c r="H939" i="1"/>
  <c r="H459" i="1"/>
  <c r="H1901" i="1"/>
  <c r="H827" i="1"/>
  <c r="H1305" i="1"/>
  <c r="H945" i="1"/>
  <c r="H592" i="1"/>
  <c r="H1312" i="1"/>
  <c r="H1784" i="1"/>
  <c r="H605" i="1"/>
  <c r="H583" i="1"/>
  <c r="H350" i="1"/>
  <c r="H225" i="1"/>
  <c r="H345" i="1"/>
  <c r="H2032" i="1"/>
  <c r="H2024" i="1"/>
  <c r="H1544" i="1"/>
  <c r="H1085" i="1"/>
  <c r="H245" i="1"/>
  <c r="H2023" i="1"/>
  <c r="H223" i="1"/>
  <c r="H1790" i="1"/>
  <c r="H230" i="1"/>
  <c r="H1065" i="1"/>
  <c r="H825" i="1"/>
  <c r="H1072" i="1"/>
  <c r="H704" i="1"/>
  <c r="H584" i="1"/>
  <c r="H2045" i="1"/>
  <c r="H485" i="1"/>
  <c r="H1303" i="1"/>
  <c r="H343" i="1"/>
  <c r="H590" i="1"/>
  <c r="H950" i="1"/>
  <c r="H1425" i="1"/>
  <c r="H1785" i="1"/>
  <c r="H352" i="1"/>
  <c r="H1424" i="1"/>
  <c r="H944" i="1"/>
  <c r="H1925" i="1"/>
  <c r="H1205" i="1"/>
  <c r="H1423" i="1"/>
  <c r="H1903" i="1"/>
  <c r="H1430" i="1"/>
  <c r="H1670" i="1"/>
  <c r="H585" i="1"/>
  <c r="H1185" i="1"/>
  <c r="H1792" i="1"/>
  <c r="H1672" i="1"/>
  <c r="H344" i="1"/>
  <c r="H1445" i="1"/>
  <c r="H1543" i="1"/>
  <c r="H1310" i="1"/>
  <c r="H2025" i="1"/>
  <c r="H952" i="1"/>
  <c r="H232" i="1"/>
  <c r="H1184" i="1"/>
  <c r="H725" i="1"/>
  <c r="H463" i="1"/>
  <c r="H1190" i="1"/>
  <c r="H949" i="1"/>
  <c r="H589" i="1"/>
  <c r="H712" i="1"/>
  <c r="H472" i="1"/>
  <c r="H1064" i="1"/>
  <c r="H824" i="1"/>
  <c r="H1420" i="1"/>
  <c r="H2020" i="1"/>
  <c r="H1685" i="1"/>
  <c r="H1325" i="1"/>
  <c r="H2027" i="1"/>
  <c r="H347" i="1"/>
  <c r="H1063" i="1"/>
  <c r="H1663" i="1"/>
  <c r="H714" i="1"/>
  <c r="H474" i="1"/>
  <c r="H830" i="1"/>
  <c r="H1070" i="1"/>
  <c r="H466" i="1"/>
  <c r="H1306" i="1"/>
  <c r="H1899" i="1"/>
  <c r="H699" i="1"/>
  <c r="H1786" i="1"/>
  <c r="H1429" i="1"/>
  <c r="H1912" i="1"/>
  <c r="H1904" i="1"/>
  <c r="H700" i="1"/>
  <c r="H1565" i="1"/>
  <c r="H467" i="1"/>
  <c r="H1183" i="1"/>
  <c r="H1434" i="1"/>
  <c r="H2030" i="1"/>
  <c r="H1426" i="1"/>
  <c r="H819" i="1"/>
  <c r="E349" i="3"/>
  <c r="N6863" i="1" s="1"/>
  <c r="N8183" i="1" s="1"/>
  <c r="H6863" i="1"/>
  <c r="E351" i="3"/>
  <c r="N6865" i="1" s="1"/>
  <c r="N7465" i="1" s="1"/>
  <c r="H6865" i="1"/>
  <c r="E355" i="3"/>
  <c r="N6871" i="1" s="1"/>
  <c r="N7711" i="1" s="1"/>
  <c r="H6871" i="1"/>
  <c r="E353" i="3"/>
  <c r="N6866" i="1" s="1"/>
  <c r="N8186" i="1" s="1"/>
  <c r="H6866" i="1"/>
  <c r="H8702" i="1"/>
  <c r="H8822" i="1"/>
  <c r="H8462" i="1"/>
  <c r="H8582" i="1"/>
  <c r="H8222" i="1"/>
  <c r="H8342" i="1"/>
  <c r="H7982" i="1"/>
  <c r="H8102" i="1"/>
  <c r="H7502" i="1"/>
  <c r="H7622" i="1"/>
  <c r="H7742" i="1"/>
  <c r="H7862" i="1"/>
  <c r="H7022" i="1"/>
  <c r="H7142" i="1"/>
  <c r="H7262" i="1"/>
  <c r="H7382" i="1"/>
  <c r="N8822" i="1"/>
  <c r="N8462" i="1"/>
  <c r="N8702" i="1"/>
  <c r="N8582" i="1"/>
  <c r="N8222" i="1"/>
  <c r="N8342" i="1"/>
  <c r="N7982" i="1"/>
  <c r="N7862" i="1"/>
  <c r="N8102" i="1"/>
  <c r="N7502" i="1"/>
  <c r="N7622" i="1"/>
  <c r="N7382" i="1"/>
  <c r="N7742" i="1"/>
  <c r="N7022" i="1"/>
  <c r="N7142" i="1"/>
  <c r="N7262" i="1"/>
  <c r="H4194" i="1"/>
  <c r="N3596" i="1"/>
  <c r="N4676" i="1" s="1"/>
  <c r="N4436" i="1"/>
  <c r="N4556" i="1"/>
  <c r="N4196" i="1"/>
  <c r="N5276" i="1" s="1"/>
  <c r="N4316" i="1"/>
  <c r="N5396" i="1" s="1"/>
  <c r="N3836" i="1"/>
  <c r="N4916" i="1" s="1"/>
  <c r="N4076" i="1"/>
  <c r="N5156" i="1" s="1"/>
  <c r="N3956" i="1"/>
  <c r="N5036" i="1" s="1"/>
  <c r="N3716" i="1"/>
  <c r="N4796" i="1" s="1"/>
  <c r="H5042" i="1"/>
  <c r="H4916" i="1"/>
  <c r="N3636" i="1"/>
  <c r="N3756" i="1"/>
  <c r="N3876" i="1"/>
  <c r="N4716" i="1"/>
  <c r="N4836" i="1"/>
  <c r="N4236" i="1"/>
  <c r="N5436" i="1"/>
  <c r="N4356" i="1"/>
  <c r="N5316" i="1"/>
  <c r="N4476" i="1"/>
  <c r="N4116" i="1"/>
  <c r="N5076" i="1"/>
  <c r="N3996" i="1"/>
  <c r="N5196" i="1"/>
  <c r="N4596" i="1"/>
  <c r="N4956" i="1"/>
  <c r="H4434" i="1"/>
  <c r="H3636" i="1"/>
  <c r="H4236" i="1"/>
  <c r="H3876" i="1"/>
  <c r="H3996" i="1"/>
  <c r="H4956" i="1"/>
  <c r="H4716" i="1"/>
  <c r="H4116" i="1"/>
  <c r="H4836" i="1"/>
  <c r="H4476" i="1"/>
  <c r="H4356" i="1"/>
  <c r="H3756" i="1"/>
  <c r="H4596" i="1"/>
  <c r="E263" i="3"/>
  <c r="N3513" i="1" s="1"/>
  <c r="H3513" i="1"/>
  <c r="H4676" i="1"/>
  <c r="H3635" i="1"/>
  <c r="H4115" i="1"/>
  <c r="H4355" i="1"/>
  <c r="H3875" i="1"/>
  <c r="H3995" i="1"/>
  <c r="H4475" i="1"/>
  <c r="H3755" i="1"/>
  <c r="H4595" i="1"/>
  <c r="H4235" i="1"/>
  <c r="N3602" i="1"/>
  <c r="N5162" i="1"/>
  <c r="N4322" i="1"/>
  <c r="N4922" i="1"/>
  <c r="N3842" i="1"/>
  <c r="N5042" i="1"/>
  <c r="N3962" i="1"/>
  <c r="N4682" i="1"/>
  <c r="N4082" i="1"/>
  <c r="N4802" i="1"/>
  <c r="N4442" i="1"/>
  <c r="N5402" i="1"/>
  <c r="N4562" i="1"/>
  <c r="N4202" i="1"/>
  <c r="N3722" i="1"/>
  <c r="N5282" i="1"/>
  <c r="H4796" i="1"/>
  <c r="N3875" i="1"/>
  <c r="N3635" i="1"/>
  <c r="N5075" i="1"/>
  <c r="N3995" i="1"/>
  <c r="N5195" i="1"/>
  <c r="N4595" i="1"/>
  <c r="N5315" i="1"/>
  <c r="N4955" i="1"/>
  <c r="N4115" i="1"/>
  <c r="N4475" i="1"/>
  <c r="N4715" i="1"/>
  <c r="N3755" i="1"/>
  <c r="N4235" i="1"/>
  <c r="N4835" i="1"/>
  <c r="N5435" i="1"/>
  <c r="N4355" i="1"/>
  <c r="H5396" i="1"/>
  <c r="H4802" i="1"/>
  <c r="H5402" i="1"/>
  <c r="H4077" i="1"/>
  <c r="N3597" i="1"/>
  <c r="N5157" i="1"/>
  <c r="N4197" i="1"/>
  <c r="N3717" i="1"/>
  <c r="N4077" i="1"/>
  <c r="N4917" i="1"/>
  <c r="N3837" i="1"/>
  <c r="N4677" i="1"/>
  <c r="N3957" i="1"/>
  <c r="N4797" i="1"/>
  <c r="N5037" i="1"/>
  <c r="N4437" i="1"/>
  <c r="N5397" i="1"/>
  <c r="N4557" i="1"/>
  <c r="N4317" i="1"/>
  <c r="N5277" i="1"/>
  <c r="H5282" i="1"/>
  <c r="H5276" i="1"/>
  <c r="H4197" i="1"/>
  <c r="H5162" i="1"/>
  <c r="H4682" i="1"/>
  <c r="H5156" i="1"/>
  <c r="H4314" i="1"/>
  <c r="H4317" i="1"/>
  <c r="N3594" i="1"/>
  <c r="N4074" i="1"/>
  <c r="N5154" i="1"/>
  <c r="N3834" i="1"/>
  <c r="N4914" i="1"/>
  <c r="N4314" i="1"/>
  <c r="N5034" i="1"/>
  <c r="N3954" i="1"/>
  <c r="N4674" i="1"/>
  <c r="N4794" i="1"/>
  <c r="N4434" i="1"/>
  <c r="N3714" i="1"/>
  <c r="N5394" i="1"/>
  <c r="N4554" i="1"/>
  <c r="N5274" i="1"/>
  <c r="N4194" i="1"/>
  <c r="H4922" i="1"/>
  <c r="H5036" i="1"/>
  <c r="H4074" i="1"/>
  <c r="H4437" i="1"/>
  <c r="H5433" i="1"/>
  <c r="H5313" i="1"/>
  <c r="H5073" i="1"/>
  <c r="H4953" i="1"/>
  <c r="H5193" i="1"/>
  <c r="H4713" i="1"/>
  <c r="H4833" i="1"/>
  <c r="H4353" i="1"/>
  <c r="H4473" i="1"/>
  <c r="H4593" i="1"/>
  <c r="H4233" i="1"/>
  <c r="H4113" i="1"/>
  <c r="H3873" i="1"/>
  <c r="H3993" i="1"/>
  <c r="H3633" i="1"/>
  <c r="H3753" i="1"/>
  <c r="N5313" i="1"/>
  <c r="N5433" i="1"/>
  <c r="N5073" i="1"/>
  <c r="N5193" i="1"/>
  <c r="N4953" i="1"/>
  <c r="N4833" i="1"/>
  <c r="N4713" i="1"/>
  <c r="N4593" i="1"/>
  <c r="N4233" i="1"/>
  <c r="N4353" i="1"/>
  <c r="N4473" i="1"/>
  <c r="N3873" i="1"/>
  <c r="N3993" i="1"/>
  <c r="N4113" i="1"/>
  <c r="N3633" i="1"/>
  <c r="N3753" i="1"/>
  <c r="E233" i="3"/>
  <c r="C373" i="3"/>
  <c r="E373" i="3" s="1"/>
  <c r="E241" i="3"/>
  <c r="C381" i="3"/>
  <c r="E381" i="3" s="1"/>
  <c r="E224" i="3"/>
  <c r="C364" i="3"/>
  <c r="E364" i="3" s="1"/>
  <c r="E231" i="3"/>
  <c r="C371" i="3"/>
  <c r="E371" i="3" s="1"/>
  <c r="E230" i="3"/>
  <c r="C370" i="3"/>
  <c r="E370" i="3" s="1"/>
  <c r="E229" i="3"/>
  <c r="C369" i="3"/>
  <c r="E369" i="3" s="1"/>
  <c r="E236" i="3"/>
  <c r="C376" i="3"/>
  <c r="E376" i="3" s="1"/>
  <c r="E220" i="3"/>
  <c r="C360" i="3"/>
  <c r="E360" i="3" s="1"/>
  <c r="E227" i="3"/>
  <c r="C367" i="3"/>
  <c r="E367" i="3" s="1"/>
  <c r="E239" i="3"/>
  <c r="C379" i="3"/>
  <c r="E379" i="3" s="1"/>
  <c r="E226" i="3"/>
  <c r="C366" i="3"/>
  <c r="E366" i="3" s="1"/>
  <c r="E225" i="3"/>
  <c r="C365" i="3"/>
  <c r="E365" i="3" s="1"/>
  <c r="E232" i="3"/>
  <c r="C372" i="3"/>
  <c r="E372" i="3" s="1"/>
  <c r="E240" i="3"/>
  <c r="C380" i="3"/>
  <c r="E380" i="3" s="1"/>
  <c r="E223" i="3"/>
  <c r="C363" i="3"/>
  <c r="E363" i="3" s="1"/>
  <c r="E238" i="3"/>
  <c r="C378" i="3"/>
  <c r="E378" i="3" s="1"/>
  <c r="E222" i="3"/>
  <c r="C362" i="3"/>
  <c r="E362" i="3" s="1"/>
  <c r="E237" i="3"/>
  <c r="C377" i="3"/>
  <c r="E377" i="3" s="1"/>
  <c r="E221" i="3"/>
  <c r="C361" i="3"/>
  <c r="E361" i="3" s="1"/>
  <c r="E228" i="3"/>
  <c r="C368" i="3"/>
  <c r="E368" i="3" s="1"/>
  <c r="E235" i="3"/>
  <c r="C375" i="3"/>
  <c r="E375" i="3" s="1"/>
  <c r="E219" i="3"/>
  <c r="C359" i="3"/>
  <c r="E359" i="3" s="1"/>
  <c r="E234" i="3"/>
  <c r="C374" i="3"/>
  <c r="E374" i="3" s="1"/>
  <c r="E218" i="3"/>
  <c r="C358" i="3"/>
  <c r="E358" i="3" s="1"/>
  <c r="N1685" i="1"/>
  <c r="N965" i="1"/>
  <c r="N245" i="1"/>
  <c r="N1805" i="1"/>
  <c r="N365" i="1"/>
  <c r="N1925" i="1"/>
  <c r="N1325" i="1"/>
  <c r="N1205" i="1"/>
  <c r="N485" i="1"/>
  <c r="N845" i="1"/>
  <c r="N1445" i="1"/>
  <c r="N605" i="1"/>
  <c r="N725" i="1"/>
  <c r="N2045" i="1"/>
  <c r="N1085" i="1"/>
  <c r="N1565" i="1"/>
  <c r="C201" i="3"/>
  <c r="H3469" i="1" s="1"/>
  <c r="C210" i="3"/>
  <c r="H3475" i="1" s="1"/>
  <c r="C205" i="3"/>
  <c r="H3473" i="1" s="1"/>
  <c r="E200" i="3"/>
  <c r="N3468" i="1" s="1"/>
  <c r="C195" i="3"/>
  <c r="H3467" i="1" s="1"/>
  <c r="C187" i="3"/>
  <c r="H3460" i="1" s="1"/>
  <c r="C186" i="3"/>
  <c r="H3459" i="1" s="1"/>
  <c r="C177" i="3"/>
  <c r="H3451" i="1" s="1"/>
  <c r="C185" i="3"/>
  <c r="H3458" i="1" s="1"/>
  <c r="N7946" i="1" l="1"/>
  <c r="N7706" i="1"/>
  <c r="N7103" i="1"/>
  <c r="N8783" i="1"/>
  <c r="N7223" i="1"/>
  <c r="N7826" i="1"/>
  <c r="N7823" i="1"/>
  <c r="N8303" i="1"/>
  <c r="N7703" i="1"/>
  <c r="N8543" i="1"/>
  <c r="N7943" i="1"/>
  <c r="N7583" i="1"/>
  <c r="N6983" i="1"/>
  <c r="N8663" i="1"/>
  <c r="N8423" i="1"/>
  <c r="N8063" i="1"/>
  <c r="N8666" i="1"/>
  <c r="N7226" i="1"/>
  <c r="N8306" i="1"/>
  <c r="N8426" i="1"/>
  <c r="N7463" i="1"/>
  <c r="N7343" i="1"/>
  <c r="N7225" i="1"/>
  <c r="N8305" i="1" s="1"/>
  <c r="N7105" i="1"/>
  <c r="N8185" i="1" s="1"/>
  <c r="N7945" i="1"/>
  <c r="N7586" i="1"/>
  <c r="N8431" i="1"/>
  <c r="N8786" i="1"/>
  <c r="N8791" i="1"/>
  <c r="N7106" i="1"/>
  <c r="N7346" i="1"/>
  <c r="N7825" i="1"/>
  <c r="N8311" i="1"/>
  <c r="N8671" i="1"/>
  <c r="N7705" i="1"/>
  <c r="N8785" i="1" s="1"/>
  <c r="N7111" i="1"/>
  <c r="N8071" i="1"/>
  <c r="N7351" i="1"/>
  <c r="N7345" i="1"/>
  <c r="N8425" i="1" s="1"/>
  <c r="N6985" i="1"/>
  <c r="N8065" i="1" s="1"/>
  <c r="N8191" i="1"/>
  <c r="N6991" i="1"/>
  <c r="N7591" i="1"/>
  <c r="N7585" i="1"/>
  <c r="N8665" i="1" s="1"/>
  <c r="N7231" i="1"/>
  <c r="N7831" i="1"/>
  <c r="N7951" i="1"/>
  <c r="N8551" i="1"/>
  <c r="N7471" i="1"/>
  <c r="N8546" i="1"/>
  <c r="N8066" i="1"/>
  <c r="H7346" i="1"/>
  <c r="H6986" i="1"/>
  <c r="H7106" i="1"/>
  <c r="H7226" i="1"/>
  <c r="C196" i="3"/>
  <c r="E196" i="3" s="1"/>
  <c r="N3480" i="1" s="1"/>
  <c r="H3480" i="1"/>
  <c r="H6991" i="1"/>
  <c r="H7831" i="1"/>
  <c r="H7111" i="1"/>
  <c r="H7231" i="1"/>
  <c r="H7351" i="1"/>
  <c r="H7951" i="1"/>
  <c r="H7471" i="1"/>
  <c r="H7591" i="1"/>
  <c r="H7711" i="1"/>
  <c r="H7343" i="1"/>
  <c r="H7103" i="1"/>
  <c r="H7223" i="1"/>
  <c r="H6983" i="1"/>
  <c r="C180" i="3"/>
  <c r="E180" i="3" s="1"/>
  <c r="N3453" i="1" s="1"/>
  <c r="H3453" i="1"/>
  <c r="N6986" i="1"/>
  <c r="N7466" i="1"/>
  <c r="H7705" i="1"/>
  <c r="H6985" i="1"/>
  <c r="H7825" i="1"/>
  <c r="H7105" i="1"/>
  <c r="H7225" i="1"/>
  <c r="H7345" i="1"/>
  <c r="H7945" i="1"/>
  <c r="H7465" i="1"/>
  <c r="H7585" i="1"/>
  <c r="N8545" i="1"/>
  <c r="N3588" i="1"/>
  <c r="N4668" i="1"/>
  <c r="N3948" i="1"/>
  <c r="N4788" i="1"/>
  <c r="N3708" i="1"/>
  <c r="N4188" i="1"/>
  <c r="N5028" i="1"/>
  <c r="N4428" i="1"/>
  <c r="N4068" i="1"/>
  <c r="N5268" i="1"/>
  <c r="N5388" i="1"/>
  <c r="N4548" i="1"/>
  <c r="N5148" i="1"/>
  <c r="N4308" i="1"/>
  <c r="N4908" i="1"/>
  <c r="N3828" i="1"/>
  <c r="H4315" i="1"/>
  <c r="H4555" i="1"/>
  <c r="H4435" i="1"/>
  <c r="H3715" i="1"/>
  <c r="H3595" i="1"/>
  <c r="H3955" i="1"/>
  <c r="H3835" i="1"/>
  <c r="H4075" i="1"/>
  <c r="H4195" i="1"/>
  <c r="H4794" i="1"/>
  <c r="H5075" i="1"/>
  <c r="H5196" i="1"/>
  <c r="H4955" i="1"/>
  <c r="H5076" i="1"/>
  <c r="H3699" i="1"/>
  <c r="H3579" i="1"/>
  <c r="H3819" i="1"/>
  <c r="H3939" i="1"/>
  <c r="H4059" i="1"/>
  <c r="H3589" i="1"/>
  <c r="H3709" i="1"/>
  <c r="H4554" i="1"/>
  <c r="H5435" i="1"/>
  <c r="H4917" i="1"/>
  <c r="H3698" i="1"/>
  <c r="H4178" i="1"/>
  <c r="H3578" i="1"/>
  <c r="H5258" i="1"/>
  <c r="H4658" i="1"/>
  <c r="H4418" i="1"/>
  <c r="H5138" i="1"/>
  <c r="H3938" i="1"/>
  <c r="H4898" i="1"/>
  <c r="H4058" i="1"/>
  <c r="H3818" i="1"/>
  <c r="H5018" i="1"/>
  <c r="H4778" i="1"/>
  <c r="H4538" i="1"/>
  <c r="H4298" i="1"/>
  <c r="H5378" i="1"/>
  <c r="H5387" i="1"/>
  <c r="H4427" i="1"/>
  <c r="H5267" i="1"/>
  <c r="H3947" i="1"/>
  <c r="H5147" i="1"/>
  <c r="H4067" i="1"/>
  <c r="H3707" i="1"/>
  <c r="H3827" i="1"/>
  <c r="H4907" i="1"/>
  <c r="H4187" i="1"/>
  <c r="H5027" i="1"/>
  <c r="H3587" i="1"/>
  <c r="H4667" i="1"/>
  <c r="H4307" i="1"/>
  <c r="H4547" i="1"/>
  <c r="H4787" i="1"/>
  <c r="H5195" i="1"/>
  <c r="H5316" i="1"/>
  <c r="H3700" i="1"/>
  <c r="H3580" i="1"/>
  <c r="H4180" i="1"/>
  <c r="H4060" i="1"/>
  <c r="H3940" i="1"/>
  <c r="H3820" i="1"/>
  <c r="H5315" i="1"/>
  <c r="H4715" i="1"/>
  <c r="H4914" i="1"/>
  <c r="H3593" i="1"/>
  <c r="H3713" i="1"/>
  <c r="H4797" i="1"/>
  <c r="H4677" i="1"/>
  <c r="H3691" i="1"/>
  <c r="H3571" i="1"/>
  <c r="H4171" i="1"/>
  <c r="H3811" i="1"/>
  <c r="H3931" i="1"/>
  <c r="H4051" i="1"/>
  <c r="H4557" i="1"/>
  <c r="H4835" i="1"/>
  <c r="H5436" i="1"/>
  <c r="H4674" i="1"/>
  <c r="E177" i="3"/>
  <c r="N3451" i="1" s="1"/>
  <c r="C317" i="3"/>
  <c r="E185" i="3"/>
  <c r="N3458" i="1" s="1"/>
  <c r="C325" i="3"/>
  <c r="E186" i="3"/>
  <c r="N3459" i="1" s="1"/>
  <c r="C326" i="3"/>
  <c r="E201" i="3"/>
  <c r="N3469" i="1" s="1"/>
  <c r="C341" i="3"/>
  <c r="E210" i="3"/>
  <c r="N3475" i="1" s="1"/>
  <c r="C350" i="3"/>
  <c r="E195" i="3"/>
  <c r="N3467" i="1" s="1"/>
  <c r="C335" i="3"/>
  <c r="E205" i="3"/>
  <c r="N3473" i="1" s="1"/>
  <c r="C345" i="3"/>
  <c r="E187" i="3"/>
  <c r="N3460" i="1" s="1"/>
  <c r="C327" i="3"/>
  <c r="H64" i="1"/>
  <c r="C179" i="3"/>
  <c r="H3452" i="1" s="1"/>
  <c r="E40" i="3"/>
  <c r="C190" i="3"/>
  <c r="H3463" i="1" s="1"/>
  <c r="C175" i="3"/>
  <c r="I20" i="3"/>
  <c r="N2072" i="1" s="1"/>
  <c r="C171" i="3"/>
  <c r="H3446" i="1" s="1"/>
  <c r="C336" i="3" l="1"/>
  <c r="C320" i="3"/>
  <c r="H6842" i="1" s="1"/>
  <c r="E335" i="3"/>
  <c r="N6856" i="1" s="1"/>
  <c r="N7216" i="1" s="1"/>
  <c r="H6856" i="1"/>
  <c r="E325" i="3"/>
  <c r="N6847" i="1" s="1"/>
  <c r="N7807" i="1" s="1"/>
  <c r="H6847" i="1"/>
  <c r="H8665" i="1"/>
  <c r="H8785" i="1"/>
  <c r="H8551" i="1"/>
  <c r="H8545" i="1"/>
  <c r="H7706" i="1"/>
  <c r="E336" i="3"/>
  <c r="N6869" i="1" s="1"/>
  <c r="N8428" i="1" s="1"/>
  <c r="H6869" i="1"/>
  <c r="E350" i="3"/>
  <c r="N6864" i="1" s="1"/>
  <c r="H6864" i="1"/>
  <c r="E320" i="3"/>
  <c r="N6842" i="1" s="1"/>
  <c r="N8042" i="1" s="1"/>
  <c r="H7463" i="1"/>
  <c r="H8431" i="1"/>
  <c r="H7586" i="1"/>
  <c r="H8425" i="1"/>
  <c r="H7703" i="1"/>
  <c r="H8311" i="1"/>
  <c r="H7466" i="1"/>
  <c r="E327" i="3"/>
  <c r="N6849" i="1" s="1"/>
  <c r="N8169" i="1" s="1"/>
  <c r="H6849" i="1"/>
  <c r="E341" i="3"/>
  <c r="N6858" i="1" s="1"/>
  <c r="N8298" i="1" s="1"/>
  <c r="H6858" i="1"/>
  <c r="E317" i="3"/>
  <c r="N6840" i="1" s="1"/>
  <c r="N7320" i="1" s="1"/>
  <c r="H6840" i="1"/>
  <c r="H8305" i="1"/>
  <c r="H7583" i="1"/>
  <c r="H8191" i="1"/>
  <c r="H7826" i="1"/>
  <c r="H8185" i="1"/>
  <c r="H7823" i="1"/>
  <c r="E345" i="3"/>
  <c r="N6862" i="1" s="1"/>
  <c r="N7822" i="1" s="1"/>
  <c r="H6862" i="1"/>
  <c r="E326" i="3"/>
  <c r="N6848" i="1" s="1"/>
  <c r="N7328" i="1" s="1"/>
  <c r="H6848" i="1"/>
  <c r="H3693" i="1"/>
  <c r="H4173" i="1"/>
  <c r="H5133" i="1"/>
  <c r="H3813" i="1"/>
  <c r="H5253" i="1"/>
  <c r="H3933" i="1"/>
  <c r="H4893" i="1"/>
  <c r="H4413" i="1"/>
  <c r="H5013" i="1"/>
  <c r="H4053" i="1"/>
  <c r="H4773" i="1"/>
  <c r="H3573" i="1"/>
  <c r="H4653" i="1"/>
  <c r="H4533" i="1"/>
  <c r="H5373" i="1"/>
  <c r="H4293" i="1"/>
  <c r="H8791" i="1"/>
  <c r="H8071" i="1"/>
  <c r="H8065" i="1"/>
  <c r="H8671" i="1"/>
  <c r="H3839" i="1"/>
  <c r="H3600" i="1"/>
  <c r="H5039" i="1"/>
  <c r="H4079" i="1"/>
  <c r="H3719" i="1"/>
  <c r="H4679" i="1"/>
  <c r="H4799" i="1"/>
  <c r="H4319" i="1"/>
  <c r="H5399" i="1"/>
  <c r="H4439" i="1"/>
  <c r="H5279" i="1"/>
  <c r="H4199" i="1"/>
  <c r="H5159" i="1"/>
  <c r="H3959" i="1"/>
  <c r="H4919" i="1"/>
  <c r="H4559" i="1"/>
  <c r="N8058" i="1"/>
  <c r="N6968" i="1"/>
  <c r="N8064" i="1"/>
  <c r="N7224" i="1"/>
  <c r="N8184" i="1"/>
  <c r="N7584" i="1"/>
  <c r="N7344" i="1"/>
  <c r="N7704" i="1"/>
  <c r="N8784" i="1"/>
  <c r="N7824" i="1"/>
  <c r="N8424" i="1"/>
  <c r="N8664" i="1"/>
  <c r="N7944" i="1"/>
  <c r="N8544" i="1"/>
  <c r="N7464" i="1"/>
  <c r="N6984" i="1"/>
  <c r="N8304" i="1"/>
  <c r="N7104" i="1"/>
  <c r="H1864" i="1"/>
  <c r="H8761" i="1"/>
  <c r="H8521" i="1"/>
  <c r="H8641" i="1"/>
  <c r="H8281" i="1"/>
  <c r="H8401" i="1"/>
  <c r="H8041" i="1"/>
  <c r="H8161" i="1"/>
  <c r="H7681" i="1"/>
  <c r="H7801" i="1"/>
  <c r="H7921" i="1"/>
  <c r="H7201" i="1"/>
  <c r="H7321" i="1"/>
  <c r="H7441" i="1"/>
  <c r="H7081" i="1"/>
  <c r="H6961" i="1"/>
  <c r="H7561" i="1"/>
  <c r="H4300" i="1"/>
  <c r="H5397" i="1"/>
  <c r="H5155" i="1"/>
  <c r="H4651" i="1"/>
  <c r="H3953" i="1"/>
  <c r="H4420" i="1"/>
  <c r="H4179" i="1"/>
  <c r="H4915" i="1"/>
  <c r="N3587" i="1"/>
  <c r="N4067" i="1"/>
  <c r="N4667" i="1"/>
  <c r="N3947" i="1"/>
  <c r="N4787" i="1"/>
  <c r="N4427" i="1"/>
  <c r="N4547" i="1"/>
  <c r="N5387" i="1"/>
  <c r="N5027" i="1"/>
  <c r="N5267" i="1"/>
  <c r="N4187" i="1"/>
  <c r="N5147" i="1"/>
  <c r="N3827" i="1"/>
  <c r="N3707" i="1"/>
  <c r="N4907" i="1"/>
  <c r="N4307" i="1"/>
  <c r="H3806" i="1"/>
  <c r="H3926" i="1"/>
  <c r="H4046" i="1"/>
  <c r="H4166" i="1"/>
  <c r="H3566" i="1"/>
  <c r="H4526" i="1"/>
  <c r="H3686" i="1"/>
  <c r="H4286" i="1"/>
  <c r="H4406" i="1"/>
  <c r="N3600" i="1"/>
  <c r="N4079" i="1"/>
  <c r="N5399" i="1"/>
  <c r="N4559" i="1"/>
  <c r="N5279" i="1"/>
  <c r="N4319" i="1"/>
  <c r="N5159" i="1"/>
  <c r="N3839" i="1"/>
  <c r="N3719" i="1"/>
  <c r="N4919" i="1"/>
  <c r="N3959" i="1"/>
  <c r="N4679" i="1"/>
  <c r="N4199" i="1"/>
  <c r="N5039" i="1"/>
  <c r="N4799" i="1"/>
  <c r="N4439" i="1"/>
  <c r="N3595" i="1"/>
  <c r="N4075" i="1"/>
  <c r="N4795" i="1"/>
  <c r="N4435" i="1"/>
  <c r="N4555" i="1"/>
  <c r="N5395" i="1"/>
  <c r="N5035" i="1"/>
  <c r="N5275" i="1"/>
  <c r="N4195" i="1"/>
  <c r="N5155" i="1"/>
  <c r="N3835" i="1"/>
  <c r="N4915" i="1"/>
  <c r="N4315" i="1"/>
  <c r="N3715" i="1"/>
  <c r="N4675" i="1"/>
  <c r="N3955" i="1"/>
  <c r="N4893" i="1"/>
  <c r="N3813" i="1"/>
  <c r="N4773" i="1"/>
  <c r="N4653" i="1"/>
  <c r="N4293" i="1"/>
  <c r="N3573" i="1"/>
  <c r="N5373" i="1"/>
  <c r="N4413" i="1"/>
  <c r="N3693" i="1"/>
  <c r="N5133" i="1"/>
  <c r="N4533" i="1"/>
  <c r="N5253" i="1"/>
  <c r="N4053" i="1"/>
  <c r="N3933" i="1"/>
  <c r="N5013" i="1"/>
  <c r="N4173" i="1"/>
  <c r="H4531" i="1"/>
  <c r="H3833" i="1"/>
  <c r="H4429" i="1"/>
  <c r="H3949" i="1"/>
  <c r="H4069" i="1"/>
  <c r="H4309" i="1"/>
  <c r="H4549" i="1"/>
  <c r="H4189" i="1"/>
  <c r="H4669" i="1"/>
  <c r="H3829" i="1"/>
  <c r="H4789" i="1"/>
  <c r="H4299" i="1"/>
  <c r="H5274" i="1"/>
  <c r="H5035" i="1"/>
  <c r="H4891" i="1"/>
  <c r="H5157" i="1"/>
  <c r="H5269" i="1"/>
  <c r="H5149" i="1"/>
  <c r="H4909" i="1"/>
  <c r="H5029" i="1"/>
  <c r="H5389" i="1"/>
  <c r="H4675" i="1"/>
  <c r="N5138" i="1"/>
  <c r="N4058" i="1"/>
  <c r="N3578" i="1"/>
  <c r="N5018" i="1"/>
  <c r="N4178" i="1"/>
  <c r="N3698" i="1"/>
  <c r="N4898" i="1"/>
  <c r="N3818" i="1"/>
  <c r="N4778" i="1"/>
  <c r="N4298" i="1"/>
  <c r="N4418" i="1"/>
  <c r="N3938" i="1"/>
  <c r="N5378" i="1"/>
  <c r="N4538" i="1"/>
  <c r="N5258" i="1"/>
  <c r="N4658" i="1"/>
  <c r="H3703" i="1"/>
  <c r="H4183" i="1"/>
  <c r="H3583" i="1"/>
  <c r="H4063" i="1"/>
  <c r="H3943" i="1"/>
  <c r="H4543" i="1"/>
  <c r="H4303" i="1"/>
  <c r="H3823" i="1"/>
  <c r="H4423" i="1"/>
  <c r="N5020" i="1"/>
  <c r="N4180" i="1"/>
  <c r="N4900" i="1"/>
  <c r="N3820" i="1"/>
  <c r="N4780" i="1"/>
  <c r="N3580" i="1"/>
  <c r="N4300" i="1"/>
  <c r="N3700" i="1"/>
  <c r="N4660" i="1"/>
  <c r="N3940" i="1"/>
  <c r="N5380" i="1"/>
  <c r="N4420" i="1"/>
  <c r="N5140" i="1"/>
  <c r="N4540" i="1"/>
  <c r="N4060" i="1"/>
  <c r="N5260" i="1"/>
  <c r="N3589" i="1"/>
  <c r="N5149" i="1"/>
  <c r="N4309" i="1"/>
  <c r="N3709" i="1"/>
  <c r="N4909" i="1"/>
  <c r="N3829" i="1"/>
  <c r="N4669" i="1"/>
  <c r="N3949" i="1"/>
  <c r="N4789" i="1"/>
  <c r="N5029" i="1"/>
  <c r="N4429" i="1"/>
  <c r="N5389" i="1"/>
  <c r="N4549" i="1"/>
  <c r="N5269" i="1"/>
  <c r="N4189" i="1"/>
  <c r="N4069" i="1"/>
  <c r="N3571" i="1"/>
  <c r="N4291" i="1" s="1"/>
  <c r="N5011" i="1" s="1"/>
  <c r="N3691" i="1"/>
  <c r="N4411" i="1" s="1"/>
  <c r="N5131" i="1" s="1"/>
  <c r="N4051" i="1"/>
  <c r="N4771" i="1" s="1"/>
  <c r="N4171" i="1"/>
  <c r="N4891" i="1" s="1"/>
  <c r="N3811" i="1"/>
  <c r="N4531" i="1" s="1"/>
  <c r="N5251" i="1" s="1"/>
  <c r="N3931" i="1"/>
  <c r="N4651" i="1" s="1"/>
  <c r="N5371" i="1" s="1"/>
  <c r="H5037" i="1"/>
  <c r="H4291" i="1"/>
  <c r="H4540" i="1"/>
  <c r="H4795" i="1"/>
  <c r="H4411" i="1"/>
  <c r="H5394" i="1"/>
  <c r="H4660" i="1"/>
  <c r="H4419" i="1"/>
  <c r="H1264" i="1"/>
  <c r="N3593" i="1"/>
  <c r="N4073" i="1"/>
  <c r="N4433" i="1"/>
  <c r="N5393" i="1"/>
  <c r="N4553" i="1"/>
  <c r="N5273" i="1"/>
  <c r="N4193" i="1"/>
  <c r="N5153" i="1"/>
  <c r="N3833" i="1"/>
  <c r="N4913" i="1"/>
  <c r="N3953" i="1"/>
  <c r="N3713" i="1"/>
  <c r="N5033" i="1"/>
  <c r="N4313" i="1"/>
  <c r="N4673" i="1"/>
  <c r="N4793" i="1"/>
  <c r="N3579" i="1"/>
  <c r="N4179" i="1" s="1"/>
  <c r="N4779" i="1" s="1"/>
  <c r="N5379" i="1" s="1"/>
  <c r="N3699" i="1"/>
  <c r="N4299" i="1" s="1"/>
  <c r="N4899" i="1" s="1"/>
  <c r="N4059" i="1"/>
  <c r="N4659" i="1" s="1"/>
  <c r="N5259" i="1" s="1"/>
  <c r="N3819" i="1"/>
  <c r="N4419" i="1" s="1"/>
  <c r="N5019" i="1" s="1"/>
  <c r="N3939" i="1"/>
  <c r="N4539" i="1" s="1"/>
  <c r="N5139" i="1" s="1"/>
  <c r="H4780" i="1"/>
  <c r="H4659" i="1"/>
  <c r="H4771" i="1"/>
  <c r="H5277" i="1"/>
  <c r="H5154" i="1"/>
  <c r="H4900" i="1"/>
  <c r="H5034" i="1"/>
  <c r="H4539" i="1"/>
  <c r="H5275" i="1"/>
  <c r="H5395" i="1"/>
  <c r="H424" i="1"/>
  <c r="H5372" i="1"/>
  <c r="H5132" i="1"/>
  <c r="H5252" i="1"/>
  <c r="H4892" i="1"/>
  <c r="H5012" i="1"/>
  <c r="H4772" i="1"/>
  <c r="H4532" i="1"/>
  <c r="H4652" i="1"/>
  <c r="H4292" i="1"/>
  <c r="H3812" i="1"/>
  <c r="H3932" i="1"/>
  <c r="H4412" i="1"/>
  <c r="H4052" i="1"/>
  <c r="H4172" i="1"/>
  <c r="H3692" i="1"/>
  <c r="H3572" i="1"/>
  <c r="H784" i="1"/>
  <c r="H1144" i="1"/>
  <c r="H184" i="1"/>
  <c r="H904" i="1"/>
  <c r="H1504" i="1"/>
  <c r="H1744" i="1"/>
  <c r="H544" i="1"/>
  <c r="H304" i="1"/>
  <c r="H1984" i="1"/>
  <c r="E190" i="3"/>
  <c r="N3463" i="1" s="1"/>
  <c r="C330" i="3"/>
  <c r="H1624" i="1"/>
  <c r="E179" i="3"/>
  <c r="N3452" i="1" s="1"/>
  <c r="C319" i="3"/>
  <c r="E175" i="3"/>
  <c r="N3449" i="1" s="1"/>
  <c r="C315" i="3"/>
  <c r="E315" i="3" s="1"/>
  <c r="N6838" i="1" s="1"/>
  <c r="H664" i="1"/>
  <c r="H1384" i="1"/>
  <c r="E171" i="3"/>
  <c r="N3446" i="1" s="1"/>
  <c r="C311" i="3"/>
  <c r="H1024" i="1"/>
  <c r="H56" i="1"/>
  <c r="C170" i="3"/>
  <c r="H3444" i="1" s="1"/>
  <c r="H57" i="1"/>
  <c r="C172" i="3"/>
  <c r="H3445" i="1" s="1"/>
  <c r="H33" i="1"/>
  <c r="C162" i="3"/>
  <c r="E32" i="3"/>
  <c r="N57" i="1" s="1"/>
  <c r="E24" i="3"/>
  <c r="N38" i="1" s="1"/>
  <c r="E22" i="3"/>
  <c r="N33" i="1" s="1"/>
  <c r="C168" i="3"/>
  <c r="H3442" i="1" s="1"/>
  <c r="C167" i="3"/>
  <c r="H3441" i="1" s="1"/>
  <c r="C150" i="3"/>
  <c r="H3433" i="1" s="1"/>
  <c r="C159" i="3"/>
  <c r="H3417" i="1" s="1"/>
  <c r="C158" i="3"/>
  <c r="H3416" i="1" s="1"/>
  <c r="N7336" i="1" l="1"/>
  <c r="N8522" i="1"/>
  <c r="N7442" i="1"/>
  <c r="N8289" i="1"/>
  <c r="N6962" i="1"/>
  <c r="N7809" i="1"/>
  <c r="N7449" i="1"/>
  <c r="N8162" i="1"/>
  <c r="N7327" i="1"/>
  <c r="N8282" i="1"/>
  <c r="N8402" i="1"/>
  <c r="N7102" i="1"/>
  <c r="N7207" i="1"/>
  <c r="N8407" i="1"/>
  <c r="N7802" i="1"/>
  <c r="N7202" i="1"/>
  <c r="N8776" i="1"/>
  <c r="N8658" i="1"/>
  <c r="N7458" i="1"/>
  <c r="N7682" i="1"/>
  <c r="N7936" i="1"/>
  <c r="N7098" i="1"/>
  <c r="N8762" i="1"/>
  <c r="N7816" i="1"/>
  <c r="N6978" i="1"/>
  <c r="N7456" i="1"/>
  <c r="N7088" i="1"/>
  <c r="N7688" i="1" s="1"/>
  <c r="N7082" i="1"/>
  <c r="N7322" i="1"/>
  <c r="N6976" i="1"/>
  <c r="N8418" i="1"/>
  <c r="N8529" i="1"/>
  <c r="N6969" i="1"/>
  <c r="N7576" i="1"/>
  <c r="N7096" i="1"/>
  <c r="N7927" i="1"/>
  <c r="N7208" i="1"/>
  <c r="N7808" i="1" s="1"/>
  <c r="N7338" i="1"/>
  <c r="N8649" i="1"/>
  <c r="N8176" i="1"/>
  <c r="N7567" i="1"/>
  <c r="N8647" i="1"/>
  <c r="N7938" i="1"/>
  <c r="N7218" i="1"/>
  <c r="N8769" i="1"/>
  <c r="N8047" i="1"/>
  <c r="N7687" i="1"/>
  <c r="N7200" i="1"/>
  <c r="N7920" i="1" s="1"/>
  <c r="N7569" i="1"/>
  <c r="N8056" i="1"/>
  <c r="N8167" i="1"/>
  <c r="N8767" i="1"/>
  <c r="N8778" i="1"/>
  <c r="N8538" i="1"/>
  <c r="N8409" i="1"/>
  <c r="N7329" i="1"/>
  <c r="N8416" i="1"/>
  <c r="N8296" i="1"/>
  <c r="N8287" i="1"/>
  <c r="N8662" i="1"/>
  <c r="N7578" i="1"/>
  <c r="N7209" i="1"/>
  <c r="N8049" i="1"/>
  <c r="N8527" i="1"/>
  <c r="N8182" i="1"/>
  <c r="N7929" i="1"/>
  <c r="N7689" i="1"/>
  <c r="N8642" i="1"/>
  <c r="N7562" i="1"/>
  <c r="N6989" i="1"/>
  <c r="N7696" i="1"/>
  <c r="N8536" i="1"/>
  <c r="N7087" i="1"/>
  <c r="N6967" i="1"/>
  <c r="N7698" i="1"/>
  <c r="N8178" i="1"/>
  <c r="N7089" i="1"/>
  <c r="N7922" i="1"/>
  <c r="N8656" i="1"/>
  <c r="N7447" i="1"/>
  <c r="N7702" i="1"/>
  <c r="N7818" i="1"/>
  <c r="N7448" i="1"/>
  <c r="N8048" i="1" s="1"/>
  <c r="N7228" i="1"/>
  <c r="N7828" i="1"/>
  <c r="N8068" i="1"/>
  <c r="N7948" i="1"/>
  <c r="N7108" i="1"/>
  <c r="N8668" i="1"/>
  <c r="N8308" i="1"/>
  <c r="N7708" i="1"/>
  <c r="N7468" i="1"/>
  <c r="N8788" i="1"/>
  <c r="N8548" i="1"/>
  <c r="N7348" i="1"/>
  <c r="N8188" i="1"/>
  <c r="N7588" i="1"/>
  <c r="H7102" i="1"/>
  <c r="H6982" i="1"/>
  <c r="N7080" i="1"/>
  <c r="N7800" i="1" s="1"/>
  <c r="H7098" i="1"/>
  <c r="H6978" i="1"/>
  <c r="H7082" i="1"/>
  <c r="H7682" i="1"/>
  <c r="H8762" i="1"/>
  <c r="H7802" i="1"/>
  <c r="H8522" i="1"/>
  <c r="H7922" i="1"/>
  <c r="H8642" i="1"/>
  <c r="H7202" i="1"/>
  <c r="H6962" i="1"/>
  <c r="H8282" i="1"/>
  <c r="H7322" i="1"/>
  <c r="H8402" i="1"/>
  <c r="H7442" i="1"/>
  <c r="H8042" i="1"/>
  <c r="H7562" i="1"/>
  <c r="H8162" i="1"/>
  <c r="H8186" i="1"/>
  <c r="N7560" i="1"/>
  <c r="N8280" i="1" s="1"/>
  <c r="N8302" i="1"/>
  <c r="N8782" i="1"/>
  <c r="H8063" i="1"/>
  <c r="E319" i="3"/>
  <c r="N6841" i="1" s="1"/>
  <c r="N8401" i="1" s="1"/>
  <c r="H6841" i="1"/>
  <c r="N6960" i="1"/>
  <c r="N7680" i="1" s="1"/>
  <c r="N7582" i="1"/>
  <c r="N7462" i="1"/>
  <c r="H7089" i="1"/>
  <c r="H7209" i="1"/>
  <c r="H6969" i="1"/>
  <c r="H7329" i="1"/>
  <c r="H7449" i="1"/>
  <c r="H7569" i="1"/>
  <c r="H7584" i="1"/>
  <c r="H7704" i="1"/>
  <c r="H7824" i="1"/>
  <c r="H7344" i="1"/>
  <c r="H7104" i="1"/>
  <c r="H7224" i="1"/>
  <c r="H7944" i="1"/>
  <c r="H7464" i="1"/>
  <c r="H6984" i="1"/>
  <c r="N7222" i="1"/>
  <c r="N8542" i="1"/>
  <c r="H8306" i="1"/>
  <c r="H7687" i="1"/>
  <c r="H6967" i="1"/>
  <c r="H8767" i="1"/>
  <c r="H7807" i="1"/>
  <c r="H8407" i="1"/>
  <c r="H7927" i="1"/>
  <c r="H8527" i="1"/>
  <c r="H7207" i="1"/>
  <c r="H7087" i="1"/>
  <c r="H8647" i="1"/>
  <c r="H7567" i="1"/>
  <c r="H8287" i="1"/>
  <c r="H7327" i="1"/>
  <c r="H8047" i="1"/>
  <c r="H7447" i="1"/>
  <c r="H8167" i="1"/>
  <c r="E311" i="3"/>
  <c r="N6835" i="1" s="1"/>
  <c r="N7795" i="1" s="1"/>
  <c r="H6835" i="1"/>
  <c r="N8062" i="1"/>
  <c r="N7942" i="1"/>
  <c r="H8183" i="1"/>
  <c r="H8066" i="1"/>
  <c r="H7943" i="1"/>
  <c r="H8788" i="1"/>
  <c r="H7468" i="1"/>
  <c r="H8668" i="1"/>
  <c r="H7588" i="1"/>
  <c r="H8428" i="1"/>
  <c r="H7708" i="1"/>
  <c r="H8548" i="1"/>
  <c r="H7828" i="1"/>
  <c r="H7348" i="1"/>
  <c r="H6989" i="1"/>
  <c r="H8308" i="1"/>
  <c r="H7108" i="1"/>
  <c r="H8188" i="1"/>
  <c r="H7228" i="1"/>
  <c r="H8068" i="1"/>
  <c r="H7948" i="1"/>
  <c r="E330" i="3"/>
  <c r="N6852" i="1" s="1"/>
  <c r="N8652" i="1" s="1"/>
  <c r="H6852" i="1"/>
  <c r="N7440" i="1"/>
  <c r="N8160" i="1" s="1"/>
  <c r="N6982" i="1"/>
  <c r="N8422" i="1"/>
  <c r="H7328" i="1"/>
  <c r="H7448" i="1"/>
  <c r="H6968" i="1"/>
  <c r="H7088" i="1"/>
  <c r="H7208" i="1"/>
  <c r="H8303" i="1"/>
  <c r="H8656" i="1"/>
  <c r="H7696" i="1"/>
  <c r="H8416" i="1"/>
  <c r="H7456" i="1"/>
  <c r="H7336" i="1"/>
  <c r="H8536" i="1"/>
  <c r="H7816" i="1"/>
  <c r="H8296" i="1"/>
  <c r="H7096" i="1"/>
  <c r="H8056" i="1"/>
  <c r="H7216" i="1"/>
  <c r="H8176" i="1"/>
  <c r="H7936" i="1"/>
  <c r="H6976" i="1"/>
  <c r="H8776" i="1"/>
  <c r="H7576" i="1"/>
  <c r="N7342" i="1"/>
  <c r="H7440" i="1"/>
  <c r="H6960" i="1"/>
  <c r="H7080" i="1"/>
  <c r="H7560" i="1"/>
  <c r="H7200" i="1"/>
  <c r="H7320" i="1"/>
  <c r="H7946" i="1"/>
  <c r="N8040" i="1"/>
  <c r="N7928" i="1"/>
  <c r="N7568" i="1"/>
  <c r="N6958" i="1"/>
  <c r="N7438" i="1"/>
  <c r="N7558" i="1"/>
  <c r="N7198" i="1"/>
  <c r="N7078" i="1"/>
  <c r="N7318" i="1"/>
  <c r="H8753" i="1"/>
  <c r="H8513" i="1"/>
  <c r="H8633" i="1"/>
  <c r="H8273" i="1"/>
  <c r="H8393" i="1"/>
  <c r="H8153" i="1"/>
  <c r="H7793" i="1"/>
  <c r="H7913" i="1"/>
  <c r="H7553" i="1"/>
  <c r="H7313" i="1"/>
  <c r="H7673" i="1"/>
  <c r="H7433" i="1"/>
  <c r="H8033" i="1"/>
  <c r="H7073" i="1"/>
  <c r="H7193" i="1"/>
  <c r="H6953" i="1"/>
  <c r="H8754" i="1"/>
  <c r="H8514" i="1"/>
  <c r="H8634" i="1"/>
  <c r="H8274" i="1"/>
  <c r="H8394" i="1"/>
  <c r="H8154" i="1"/>
  <c r="H7794" i="1"/>
  <c r="H7914" i="1"/>
  <c r="H8034" i="1"/>
  <c r="H7554" i="1"/>
  <c r="H7674" i="1"/>
  <c r="H7314" i="1"/>
  <c r="H7434" i="1"/>
  <c r="H7074" i="1"/>
  <c r="H6954" i="1"/>
  <c r="H7194" i="1"/>
  <c r="H4882" i="1"/>
  <c r="H3922" i="1"/>
  <c r="H5002" i="1"/>
  <c r="H4042" i="1"/>
  <c r="H4762" i="1"/>
  <c r="H4162" i="1"/>
  <c r="H4642" i="1"/>
  <c r="H3562" i="1"/>
  <c r="H4522" i="1"/>
  <c r="H3682" i="1"/>
  <c r="H5362" i="1"/>
  <c r="H4282" i="1"/>
  <c r="H5122" i="1"/>
  <c r="H4402" i="1"/>
  <c r="H5242" i="1"/>
  <c r="H3802" i="1"/>
  <c r="H5019" i="1"/>
  <c r="H5131" i="1"/>
  <c r="H4766" i="1"/>
  <c r="H4899" i="1"/>
  <c r="H3537" i="1"/>
  <c r="H4137" i="1"/>
  <c r="H3897" i="1"/>
  <c r="H4017" i="1"/>
  <c r="H3777" i="1"/>
  <c r="H3657" i="1"/>
  <c r="H5011" i="1"/>
  <c r="H5023" i="1"/>
  <c r="H5251" i="1"/>
  <c r="H5371" i="1"/>
  <c r="N3689" i="1"/>
  <c r="N4049" i="1"/>
  <c r="N3929" i="1"/>
  <c r="N4169" i="1"/>
  <c r="N3809" i="1"/>
  <c r="N3569" i="1"/>
  <c r="H5139" i="1"/>
  <c r="H5143" i="1"/>
  <c r="H4646" i="1"/>
  <c r="H5366" i="1"/>
  <c r="H5259" i="1"/>
  <c r="H4663" i="1"/>
  <c r="H5246" i="1"/>
  <c r="H5140" i="1"/>
  <c r="N3943" i="1"/>
  <c r="N5263" i="1"/>
  <c r="N4063" i="1"/>
  <c r="N5023" i="1"/>
  <c r="N4183" i="1"/>
  <c r="N4663" i="1"/>
  <c r="N3823" i="1"/>
  <c r="N4783" i="1"/>
  <c r="N4303" i="1"/>
  <c r="N4903" i="1"/>
  <c r="N3703" i="1"/>
  <c r="N3583" i="1"/>
  <c r="N5383" i="1"/>
  <c r="N4423" i="1"/>
  <c r="N5143" i="1"/>
  <c r="N4543" i="1"/>
  <c r="H5383" i="1"/>
  <c r="H3673" i="1"/>
  <c r="H3793" i="1"/>
  <c r="H3913" i="1"/>
  <c r="H3553" i="1"/>
  <c r="H4033" i="1"/>
  <c r="N5132" i="1"/>
  <c r="N4532" i="1"/>
  <c r="N5252" i="1"/>
  <c r="N4052" i="1"/>
  <c r="N5012" i="1"/>
  <c r="N4172" i="1"/>
  <c r="N3572" i="1"/>
  <c r="N4892" i="1"/>
  <c r="N3812" i="1"/>
  <c r="N3692" i="1"/>
  <c r="N3932" i="1"/>
  <c r="N4772" i="1"/>
  <c r="N4292" i="1"/>
  <c r="N4652" i="1"/>
  <c r="N5372" i="1"/>
  <c r="N4412" i="1"/>
  <c r="H5260" i="1"/>
  <c r="H5263" i="1"/>
  <c r="H5126" i="1"/>
  <c r="H5020" i="1"/>
  <c r="H4783" i="1"/>
  <c r="H5006" i="1"/>
  <c r="H3536" i="1"/>
  <c r="H5336" i="1"/>
  <c r="H4136" i="1"/>
  <c r="H3776" i="1"/>
  <c r="H5096" i="1"/>
  <c r="H4256" i="1"/>
  <c r="H4976" i="1"/>
  <c r="H3896" i="1"/>
  <c r="H4736" i="1"/>
  <c r="H4856" i="1"/>
  <c r="H3656" i="1"/>
  <c r="H4376" i="1"/>
  <c r="H4016" i="1"/>
  <c r="H4496" i="1"/>
  <c r="H5216" i="1"/>
  <c r="H4616" i="1"/>
  <c r="H5241" i="1"/>
  <c r="H3921" i="1"/>
  <c r="H4881" i="1"/>
  <c r="H4041" i="1"/>
  <c r="H5001" i="1"/>
  <c r="H4161" i="1"/>
  <c r="H4761" i="1"/>
  <c r="H3801" i="1"/>
  <c r="H4641" i="1"/>
  <c r="H3561" i="1"/>
  <c r="H4521" i="1"/>
  <c r="H3681" i="1"/>
  <c r="H5361" i="1"/>
  <c r="H4281" i="1"/>
  <c r="H4401" i="1"/>
  <c r="H5121" i="1"/>
  <c r="N3806" i="1"/>
  <c r="N4886" i="1" s="1"/>
  <c r="N3926" i="1"/>
  <c r="N5006" i="1" s="1"/>
  <c r="N4286" i="1"/>
  <c r="N5366" i="1" s="1"/>
  <c r="N3686" i="1"/>
  <c r="N4766" i="1" s="1"/>
  <c r="N4406" i="1"/>
  <c r="N4526" i="1"/>
  <c r="N4046" i="1"/>
  <c r="N5126" i="1" s="1"/>
  <c r="N4166" i="1"/>
  <c r="N5246" i="1" s="1"/>
  <c r="N3566" i="1"/>
  <c r="N4646" i="1" s="1"/>
  <c r="H5380" i="1"/>
  <c r="H4903" i="1"/>
  <c r="H4073" i="1"/>
  <c r="H4886" i="1"/>
  <c r="H4779" i="1"/>
  <c r="H4193" i="1"/>
  <c r="H896" i="1"/>
  <c r="H5364" i="1"/>
  <c r="H5124" i="1"/>
  <c r="H5244" i="1"/>
  <c r="H4884" i="1"/>
  <c r="H5004" i="1"/>
  <c r="H4764" i="1"/>
  <c r="H4644" i="1"/>
  <c r="H4524" i="1"/>
  <c r="H4284" i="1"/>
  <c r="H4404" i="1"/>
  <c r="H3804" i="1"/>
  <c r="H3924" i="1"/>
  <c r="H4044" i="1"/>
  <c r="H4164" i="1"/>
  <c r="H3564" i="1"/>
  <c r="H3684" i="1"/>
  <c r="N5365" i="1"/>
  <c r="N5245" i="1"/>
  <c r="N5005" i="1"/>
  <c r="N5125" i="1"/>
  <c r="N4885" i="1"/>
  <c r="N4645" i="1"/>
  <c r="N4765" i="1"/>
  <c r="N4285" i="1"/>
  <c r="N4405" i="1"/>
  <c r="N4525" i="1"/>
  <c r="N4045" i="1"/>
  <c r="N4165" i="1"/>
  <c r="N3805" i="1"/>
  <c r="N3925" i="1"/>
  <c r="N3565" i="1"/>
  <c r="N3685" i="1"/>
  <c r="H1137" i="1"/>
  <c r="H5365" i="1"/>
  <c r="H5125" i="1"/>
  <c r="H5245" i="1"/>
  <c r="H4885" i="1"/>
  <c r="H5005" i="1"/>
  <c r="H4765" i="1"/>
  <c r="H4645" i="1"/>
  <c r="H4525" i="1"/>
  <c r="H4285" i="1"/>
  <c r="H4405" i="1"/>
  <c r="H3805" i="1"/>
  <c r="H3925" i="1"/>
  <c r="H4045" i="1"/>
  <c r="H4165" i="1"/>
  <c r="H3565" i="1"/>
  <c r="H3685" i="1"/>
  <c r="H1017" i="1"/>
  <c r="H1737" i="1"/>
  <c r="H777" i="1"/>
  <c r="H1136" i="1"/>
  <c r="H1497" i="1"/>
  <c r="H536" i="1"/>
  <c r="H1257" i="1"/>
  <c r="H1016" i="1"/>
  <c r="H657" i="1"/>
  <c r="H1976" i="1"/>
  <c r="H177" i="1"/>
  <c r="H1617" i="1"/>
  <c r="E172" i="3"/>
  <c r="N3445" i="1" s="1"/>
  <c r="C312" i="3"/>
  <c r="E168" i="3"/>
  <c r="N3442" i="1" s="1"/>
  <c r="C308" i="3"/>
  <c r="H1736" i="1"/>
  <c r="H1376" i="1"/>
  <c r="E159" i="3"/>
  <c r="N3417" i="1" s="1"/>
  <c r="C299" i="3"/>
  <c r="H656" i="1"/>
  <c r="H1256" i="1"/>
  <c r="H1377" i="1"/>
  <c r="E170" i="3"/>
  <c r="N3444" i="1" s="1"/>
  <c r="C310" i="3"/>
  <c r="E158" i="3"/>
  <c r="N3416" i="1" s="1"/>
  <c r="C298" i="3"/>
  <c r="H776" i="1"/>
  <c r="H416" i="1"/>
  <c r="H1977" i="1"/>
  <c r="E150" i="3"/>
  <c r="N3433" i="1" s="1"/>
  <c r="C290" i="3"/>
  <c r="H176" i="1"/>
  <c r="H296" i="1"/>
  <c r="H537" i="1"/>
  <c r="H897" i="1"/>
  <c r="H1856" i="1"/>
  <c r="H1496" i="1"/>
  <c r="H297" i="1"/>
  <c r="E162" i="3"/>
  <c r="C302" i="3"/>
  <c r="E302" i="3" s="1"/>
  <c r="E167" i="3"/>
  <c r="N3441" i="1" s="1"/>
  <c r="C307" i="3"/>
  <c r="H1616" i="1"/>
  <c r="H417" i="1"/>
  <c r="H1857" i="1"/>
  <c r="H55" i="1"/>
  <c r="C169" i="3"/>
  <c r="H3443" i="1" s="1"/>
  <c r="N297" i="1"/>
  <c r="N897" i="1"/>
  <c r="N1737" i="1"/>
  <c r="N177" i="1"/>
  <c r="N1257" i="1"/>
  <c r="N417" i="1"/>
  <c r="N537" i="1"/>
  <c r="N657" i="1"/>
  <c r="N777" i="1"/>
  <c r="N1857" i="1"/>
  <c r="N1617" i="1"/>
  <c r="N1137" i="1"/>
  <c r="N1377" i="1"/>
  <c r="N1497" i="1"/>
  <c r="N3024" i="1"/>
  <c r="N1977" i="1"/>
  <c r="N3121" i="1"/>
  <c r="N3218" i="1"/>
  <c r="N3315" i="1"/>
  <c r="N1017" i="1"/>
  <c r="C157" i="3"/>
  <c r="H3415" i="1" s="1"/>
  <c r="C155" i="3"/>
  <c r="H3413" i="1" s="1"/>
  <c r="N8761" i="1" l="1"/>
  <c r="N7201" i="1"/>
  <c r="N7572" i="1"/>
  <c r="N8641" i="1"/>
  <c r="N7081" i="1"/>
  <c r="N7441" i="1"/>
  <c r="N6961" i="1"/>
  <c r="N8521" i="1"/>
  <c r="N7321" i="1"/>
  <c r="N7561" i="1"/>
  <c r="N8281" i="1"/>
  <c r="N7921" i="1"/>
  <c r="N8161" i="1"/>
  <c r="N7681" i="1"/>
  <c r="N8041" i="1"/>
  <c r="N7092" i="1"/>
  <c r="N7801" i="1"/>
  <c r="N7692" i="1"/>
  <c r="N7212" i="1"/>
  <c r="N6972" i="1"/>
  <c r="N8292" i="1"/>
  <c r="N7932" i="1"/>
  <c r="N8412" i="1"/>
  <c r="N7332" i="1"/>
  <c r="N7812" i="1"/>
  <c r="N7452" i="1"/>
  <c r="N8772" i="1"/>
  <c r="N8052" i="1"/>
  <c r="N8532" i="1"/>
  <c r="N8172" i="1"/>
  <c r="N7915" i="1"/>
  <c r="H7689" i="1"/>
  <c r="N7675" i="1"/>
  <c r="N8755" i="1" s="1"/>
  <c r="H8280" i="1"/>
  <c r="H8546" i="1"/>
  <c r="H8784" i="1"/>
  <c r="H7929" i="1"/>
  <c r="H8543" i="1"/>
  <c r="H7338" i="1"/>
  <c r="H8058" i="1"/>
  <c r="H7938" i="1"/>
  <c r="H7818" i="1"/>
  <c r="H7578" i="1"/>
  <c r="H7698" i="1"/>
  <c r="H7458" i="1"/>
  <c r="H7218" i="1"/>
  <c r="H8178" i="1"/>
  <c r="E310" i="3"/>
  <c r="N6833" i="1" s="1"/>
  <c r="N8633" i="1" s="1"/>
  <c r="H6833" i="1"/>
  <c r="N7555" i="1"/>
  <c r="N8635" i="1" s="1"/>
  <c r="H7800" i="1"/>
  <c r="H7808" i="1"/>
  <c r="H8064" i="1"/>
  <c r="H8664" i="1"/>
  <c r="H7809" i="1"/>
  <c r="E290" i="3"/>
  <c r="N6822" i="1" s="1"/>
  <c r="N7422" i="1" s="1"/>
  <c r="H6822" i="1"/>
  <c r="E308" i="3"/>
  <c r="N6831" i="1" s="1"/>
  <c r="N7311" i="1" s="1"/>
  <c r="H6831" i="1"/>
  <c r="N7435" i="1"/>
  <c r="N8515" i="1" s="1"/>
  <c r="H7680" i="1"/>
  <c r="H7688" i="1"/>
  <c r="H8544" i="1"/>
  <c r="N7315" i="1"/>
  <c r="N8395" i="1" s="1"/>
  <c r="H8426" i="1"/>
  <c r="H8160" i="1"/>
  <c r="H7568" i="1"/>
  <c r="H8663" i="1"/>
  <c r="E307" i="3"/>
  <c r="N6830" i="1" s="1"/>
  <c r="N7190" i="1" s="1"/>
  <c r="H6830" i="1"/>
  <c r="E312" i="3"/>
  <c r="N6834" i="1" s="1"/>
  <c r="N7554" i="1" s="1"/>
  <c r="H6834" i="1"/>
  <c r="N7195" i="1"/>
  <c r="N8275" i="1" s="1"/>
  <c r="H8048" i="1"/>
  <c r="H8304" i="1"/>
  <c r="H8289" i="1"/>
  <c r="H7222" i="1"/>
  <c r="E298" i="3"/>
  <c r="N6805" i="1" s="1"/>
  <c r="N6925" i="1" s="1"/>
  <c r="H6805" i="1"/>
  <c r="N7075" i="1"/>
  <c r="N8155" i="1" s="1"/>
  <c r="N6955" i="1"/>
  <c r="N8035" i="1" s="1"/>
  <c r="H7928" i="1"/>
  <c r="H7692" i="1"/>
  <c r="H7812" i="1"/>
  <c r="H7932" i="1"/>
  <c r="H7212" i="1"/>
  <c r="H7092" i="1"/>
  <c r="H7332" i="1"/>
  <c r="H6972" i="1"/>
  <c r="H7452" i="1"/>
  <c r="H7572" i="1"/>
  <c r="H8423" i="1"/>
  <c r="H8786" i="1"/>
  <c r="H8184" i="1"/>
  <c r="H8169" i="1"/>
  <c r="H7342" i="1"/>
  <c r="H7920" i="1"/>
  <c r="H8298" i="1"/>
  <c r="H8778" i="1"/>
  <c r="H8658" i="1"/>
  <c r="H8418" i="1"/>
  <c r="H8538" i="1"/>
  <c r="E299" i="3"/>
  <c r="N6806" i="1" s="1"/>
  <c r="N7526" i="1" s="1"/>
  <c r="H6806" i="1"/>
  <c r="H8040" i="1"/>
  <c r="H8783" i="1"/>
  <c r="H7195" i="1"/>
  <c r="H7795" i="1"/>
  <c r="H6955" i="1"/>
  <c r="H7915" i="1"/>
  <c r="H7555" i="1"/>
  <c r="H7315" i="1"/>
  <c r="H7435" i="1"/>
  <c r="H7075" i="1"/>
  <c r="H7675" i="1"/>
  <c r="H8424" i="1"/>
  <c r="H8049" i="1"/>
  <c r="H8666" i="1"/>
  <c r="N7678" i="1"/>
  <c r="N8528" i="1"/>
  <c r="N8520" i="1"/>
  <c r="N8648" i="1"/>
  <c r="N8288" i="1"/>
  <c r="N6953" i="1"/>
  <c r="N8038" i="1"/>
  <c r="N8400" i="1"/>
  <c r="N7798" i="1"/>
  <c r="N8168" i="1"/>
  <c r="N8640" i="1"/>
  <c r="N7918" i="1"/>
  <c r="N8158" i="1"/>
  <c r="N8278" i="1"/>
  <c r="N8408" i="1"/>
  <c r="N8760" i="1"/>
  <c r="H8752" i="1"/>
  <c r="H8512" i="1"/>
  <c r="H8632" i="1"/>
  <c r="H8272" i="1"/>
  <c r="H8392" i="1"/>
  <c r="H8152" i="1"/>
  <c r="H8032" i="1"/>
  <c r="H7792" i="1"/>
  <c r="H7912" i="1"/>
  <c r="H7552" i="1"/>
  <c r="H7312" i="1"/>
  <c r="H7432" i="1"/>
  <c r="H7672" i="1"/>
  <c r="H7072" i="1"/>
  <c r="H7192" i="1"/>
  <c r="H6952" i="1"/>
  <c r="H4497" i="1"/>
  <c r="N5216" i="1"/>
  <c r="N3896" i="1"/>
  <c r="N4976" i="1"/>
  <c r="N4016" i="1"/>
  <c r="N4856" i="1"/>
  <c r="N4136" i="1"/>
  <c r="N4736" i="1"/>
  <c r="N3536" i="1"/>
  <c r="N4616" i="1"/>
  <c r="N3656" i="1"/>
  <c r="N4256" i="1"/>
  <c r="N3776" i="1"/>
  <c r="N5336" i="1"/>
  <c r="N4376" i="1"/>
  <c r="N5096" i="1"/>
  <c r="N4496" i="1"/>
  <c r="H4633" i="1"/>
  <c r="N4889" i="1"/>
  <c r="H4737" i="1"/>
  <c r="N4529" i="1"/>
  <c r="N3801" i="1"/>
  <c r="N5361" i="1"/>
  <c r="N4401" i="1"/>
  <c r="N5241" i="1"/>
  <c r="N4521" i="1"/>
  <c r="N3681" i="1"/>
  <c r="N5121" i="1"/>
  <c r="N4041" i="1"/>
  <c r="N5001" i="1"/>
  <c r="N4161" i="1"/>
  <c r="N4881" i="1"/>
  <c r="N3921" i="1"/>
  <c r="N4641" i="1"/>
  <c r="N4761" i="1"/>
  <c r="N3561" i="1"/>
  <c r="N4281" i="1"/>
  <c r="H4153" i="1"/>
  <c r="N4649" i="1"/>
  <c r="H4617" i="1"/>
  <c r="N5364" i="1"/>
  <c r="N4404" i="1"/>
  <c r="N5244" i="1"/>
  <c r="N4284" i="1"/>
  <c r="N5124" i="1"/>
  <c r="N4164" i="1"/>
  <c r="N3564" i="1"/>
  <c r="N5004" i="1"/>
  <c r="N4044" i="1"/>
  <c r="N4884" i="1"/>
  <c r="N3924" i="1"/>
  <c r="N4524" i="1"/>
  <c r="N4764" i="1"/>
  <c r="N3804" i="1"/>
  <c r="N4644" i="1"/>
  <c r="N3684" i="1"/>
  <c r="H4433" i="1"/>
  <c r="H4513" i="1"/>
  <c r="N4769" i="1"/>
  <c r="H4857" i="1"/>
  <c r="N3537" i="1"/>
  <c r="N4257" i="1" s="1"/>
  <c r="N4977" i="1" s="1"/>
  <c r="N3777" i="1"/>
  <c r="N4497" i="1" s="1"/>
  <c r="N5217" i="1" s="1"/>
  <c r="N3897" i="1"/>
  <c r="N4617" i="1" s="1"/>
  <c r="N5337" i="1" s="1"/>
  <c r="N4017" i="1"/>
  <c r="N4737" i="1" s="1"/>
  <c r="N4137" i="1"/>
  <c r="N4857" i="1" s="1"/>
  <c r="N3657" i="1"/>
  <c r="N4377" i="1" s="1"/>
  <c r="N5097" i="1" s="1"/>
  <c r="N3673" i="1"/>
  <c r="N4273" i="1" s="1"/>
  <c r="N4873" i="1" s="1"/>
  <c r="N3913" i="1"/>
  <c r="N4513" i="1" s="1"/>
  <c r="N5113" i="1" s="1"/>
  <c r="N3553" i="1"/>
  <c r="N4153" i="1" s="1"/>
  <c r="N4753" i="1" s="1"/>
  <c r="N5353" i="1" s="1"/>
  <c r="N3793" i="1"/>
  <c r="N4393" i="1" s="1"/>
  <c r="N4993" i="1" s="1"/>
  <c r="N4033" i="1"/>
  <c r="N4633" i="1" s="1"/>
  <c r="N5233" i="1" s="1"/>
  <c r="N4882" i="1"/>
  <c r="N4162" i="1"/>
  <c r="N4642" i="1"/>
  <c r="N3802" i="1"/>
  <c r="N5122" i="1"/>
  <c r="N3922" i="1"/>
  <c r="N3682" i="1"/>
  <c r="N4762" i="1"/>
  <c r="N4282" i="1"/>
  <c r="N5362" i="1"/>
  <c r="N4402" i="1"/>
  <c r="N5242" i="1"/>
  <c r="N4522" i="1"/>
  <c r="N5002" i="1"/>
  <c r="N4042" i="1"/>
  <c r="N3562" i="1"/>
  <c r="H4393" i="1"/>
  <c r="N4409" i="1"/>
  <c r="H4273" i="1"/>
  <c r="H3535" i="1"/>
  <c r="H4855" i="1"/>
  <c r="H4375" i="1"/>
  <c r="H4495" i="1"/>
  <c r="H4015" i="1"/>
  <c r="H5215" i="1"/>
  <c r="H4615" i="1"/>
  <c r="H3655" i="1"/>
  <c r="H5095" i="1"/>
  <c r="H4135" i="1"/>
  <c r="H5335" i="1"/>
  <c r="H4255" i="1"/>
  <c r="H4735" i="1"/>
  <c r="H3895" i="1"/>
  <c r="H4975" i="1"/>
  <c r="H3775" i="1"/>
  <c r="H5379" i="1"/>
  <c r="H4313" i="1"/>
  <c r="H4257" i="1"/>
  <c r="H3653" i="1"/>
  <c r="H4253" i="1"/>
  <c r="H3773" i="1"/>
  <c r="H4373" i="1"/>
  <c r="H4493" i="1"/>
  <c r="H3533" i="1"/>
  <c r="H4013" i="1"/>
  <c r="H4133" i="1"/>
  <c r="H3893" i="1"/>
  <c r="N4289" i="1"/>
  <c r="H4377" i="1"/>
  <c r="H175" i="1"/>
  <c r="H5363" i="1"/>
  <c r="H5123" i="1"/>
  <c r="H5243" i="1"/>
  <c r="H4883" i="1"/>
  <c r="H5003" i="1"/>
  <c r="H4763" i="1"/>
  <c r="H4643" i="1"/>
  <c r="H4523" i="1"/>
  <c r="H4283" i="1"/>
  <c r="H4403" i="1"/>
  <c r="H3803" i="1"/>
  <c r="H3923" i="1"/>
  <c r="H4043" i="1"/>
  <c r="H4163" i="1"/>
  <c r="H3563" i="1"/>
  <c r="H3683" i="1"/>
  <c r="H535" i="1"/>
  <c r="H655" i="1"/>
  <c r="H1735" i="1"/>
  <c r="H1855" i="1"/>
  <c r="H1135" i="1"/>
  <c r="H1975" i="1"/>
  <c r="H1495" i="1"/>
  <c r="H1255" i="1"/>
  <c r="H895" i="1"/>
  <c r="H1375" i="1"/>
  <c r="H1015" i="1"/>
  <c r="H775" i="1"/>
  <c r="E169" i="3"/>
  <c r="N3443" i="1" s="1"/>
  <c r="C309" i="3"/>
  <c r="H1615" i="1"/>
  <c r="H295" i="1"/>
  <c r="E155" i="3"/>
  <c r="N3413" i="1" s="1"/>
  <c r="C295" i="3"/>
  <c r="E157" i="3"/>
  <c r="N3415" i="1" s="1"/>
  <c r="C297" i="3"/>
  <c r="H415" i="1"/>
  <c r="C16" i="3"/>
  <c r="C156" i="3" s="1"/>
  <c r="H3414" i="1" s="1"/>
  <c r="C154" i="3"/>
  <c r="H3412" i="1" s="1"/>
  <c r="E15" i="3"/>
  <c r="E17" i="3"/>
  <c r="N7062" i="1" l="1"/>
  <c r="N7302" i="1"/>
  <c r="N8273" i="1"/>
  <c r="N8033" i="1"/>
  <c r="N8513" i="1"/>
  <c r="N8271" i="1"/>
  <c r="N8005" i="1"/>
  <c r="N8365" i="1"/>
  <c r="N7071" i="1"/>
  <c r="N7911" i="1"/>
  <c r="N7182" i="1"/>
  <c r="N7782" i="1" s="1"/>
  <c r="N7193" i="1"/>
  <c r="N7433" i="1"/>
  <c r="N7913" i="1"/>
  <c r="N7793" i="1"/>
  <c r="N6942" i="1"/>
  <c r="N7542" i="1" s="1"/>
  <c r="N8153" i="1"/>
  <c r="N8393" i="1"/>
  <c r="N7673" i="1"/>
  <c r="N8753" i="1"/>
  <c r="N7073" i="1"/>
  <c r="N7313" i="1"/>
  <c r="N7553" i="1"/>
  <c r="N7551" i="1"/>
  <c r="N7431" i="1"/>
  <c r="N8631" i="1"/>
  <c r="N7191" i="1"/>
  <c r="N7791" i="1"/>
  <c r="N7671" i="1"/>
  <c r="N8031" i="1"/>
  <c r="N8751" i="1"/>
  <c r="N6951" i="1"/>
  <c r="N7286" i="1"/>
  <c r="N8006" i="1" s="1"/>
  <c r="N8514" i="1"/>
  <c r="N8511" i="1"/>
  <c r="N8151" i="1"/>
  <c r="N8391" i="1"/>
  <c r="N7885" i="1"/>
  <c r="N7910" i="1"/>
  <c r="N7790" i="1"/>
  <c r="N8270" i="1"/>
  <c r="N7550" i="1"/>
  <c r="N8150" i="1"/>
  <c r="N8510" i="1"/>
  <c r="N7310" i="1"/>
  <c r="N7670" i="1"/>
  <c r="N8390" i="1"/>
  <c r="N8030" i="1"/>
  <c r="N8630" i="1"/>
  <c r="N7070" i="1"/>
  <c r="N8605" i="1"/>
  <c r="N7430" i="1"/>
  <c r="N6950" i="1"/>
  <c r="N8750" i="1"/>
  <c r="N7046" i="1"/>
  <c r="N7766" i="1" s="1"/>
  <c r="N7194" i="1"/>
  <c r="N7166" i="1"/>
  <c r="N7886" i="1" s="1"/>
  <c r="N6926" i="1"/>
  <c r="N7646" i="1" s="1"/>
  <c r="N7406" i="1"/>
  <c r="N8126" i="1" s="1"/>
  <c r="N8154" i="1"/>
  <c r="N7674" i="1"/>
  <c r="N8274" i="1"/>
  <c r="N7794" i="1"/>
  <c r="N6954" i="1"/>
  <c r="N8754" i="1"/>
  <c r="N7074" i="1"/>
  <c r="N7434" i="1"/>
  <c r="N8634" i="1"/>
  <c r="N8034" i="1"/>
  <c r="N8394" i="1"/>
  <c r="N7314" i="1"/>
  <c r="N7914" i="1"/>
  <c r="N8725" i="1"/>
  <c r="N7285" i="1"/>
  <c r="N7645" i="1"/>
  <c r="N8125" i="1"/>
  <c r="N8485" i="1"/>
  <c r="N7405" i="1"/>
  <c r="N7525" i="1"/>
  <c r="N8245" i="1"/>
  <c r="N7165" i="1"/>
  <c r="N7765" i="1"/>
  <c r="N7045" i="1"/>
  <c r="H8155" i="1"/>
  <c r="H8292" i="1"/>
  <c r="H8515" i="1"/>
  <c r="H8168" i="1"/>
  <c r="H7046" i="1"/>
  <c r="H6926" i="1"/>
  <c r="H7166" i="1"/>
  <c r="H7286" i="1"/>
  <c r="H7406" i="1"/>
  <c r="H7526" i="1"/>
  <c r="H8395" i="1"/>
  <c r="H8288" i="1"/>
  <c r="H7302" i="1"/>
  <c r="H7422" i="1"/>
  <c r="H7062" i="1"/>
  <c r="H6942" i="1"/>
  <c r="H7182" i="1"/>
  <c r="H8529" i="1"/>
  <c r="H8520" i="1"/>
  <c r="E309" i="3"/>
  <c r="N6832" i="1" s="1"/>
  <c r="N8752" i="1" s="1"/>
  <c r="H6832" i="1"/>
  <c r="H8635" i="1"/>
  <c r="H7582" i="1"/>
  <c r="H8652" i="1"/>
  <c r="H8772" i="1"/>
  <c r="H8648" i="1"/>
  <c r="H8408" i="1"/>
  <c r="H8532" i="1"/>
  <c r="H7462" i="1"/>
  <c r="H8400" i="1"/>
  <c r="E297" i="3"/>
  <c r="N6804" i="1" s="1"/>
  <c r="N6924" i="1" s="1"/>
  <c r="H6804" i="1"/>
  <c r="H8769" i="1"/>
  <c r="H8035" i="1"/>
  <c r="H8760" i="1"/>
  <c r="H8052" i="1"/>
  <c r="H8390" i="1"/>
  <c r="H7670" i="1"/>
  <c r="H7190" i="1"/>
  <c r="H8150" i="1"/>
  <c r="H7070" i="1"/>
  <c r="H7790" i="1"/>
  <c r="H7910" i="1"/>
  <c r="H8750" i="1"/>
  <c r="H8030" i="1"/>
  <c r="H8510" i="1"/>
  <c r="H7550" i="1"/>
  <c r="H8630" i="1"/>
  <c r="H7310" i="1"/>
  <c r="H6950" i="1"/>
  <c r="H8270" i="1"/>
  <c r="H7430" i="1"/>
  <c r="H8485" i="1"/>
  <c r="H7765" i="1"/>
  <c r="H8605" i="1"/>
  <c r="H7885" i="1"/>
  <c r="H8245" i="1"/>
  <c r="H7045" i="1"/>
  <c r="H8365" i="1"/>
  <c r="H7165" i="1"/>
  <c r="H8005" i="1"/>
  <c r="H7285" i="1"/>
  <c r="H8125" i="1"/>
  <c r="H7405" i="1"/>
  <c r="H7525" i="1"/>
  <c r="H6925" i="1"/>
  <c r="H7645" i="1"/>
  <c r="H8725" i="1"/>
  <c r="H8412" i="1"/>
  <c r="H8528" i="1"/>
  <c r="H8649" i="1"/>
  <c r="H8409" i="1"/>
  <c r="H7791" i="1"/>
  <c r="H8031" i="1"/>
  <c r="H8751" i="1"/>
  <c r="H7911" i="1"/>
  <c r="H8511" i="1"/>
  <c r="H7551" i="1"/>
  <c r="H8631" i="1"/>
  <c r="H7311" i="1"/>
  <c r="H8271" i="1"/>
  <c r="H7431" i="1"/>
  <c r="H8391" i="1"/>
  <c r="H7671" i="1"/>
  <c r="H7071" i="1"/>
  <c r="H8151" i="1"/>
  <c r="H6951" i="1"/>
  <c r="H7191" i="1"/>
  <c r="E295" i="3"/>
  <c r="N6802" i="1" s="1"/>
  <c r="N7402" i="1" s="1"/>
  <c r="H6802" i="1"/>
  <c r="H8755" i="1"/>
  <c r="H8275" i="1"/>
  <c r="H8640" i="1"/>
  <c r="H8172" i="1"/>
  <c r="N8518" i="1"/>
  <c r="N8398" i="1"/>
  <c r="N7662" i="1"/>
  <c r="N8638" i="1"/>
  <c r="N8768" i="1"/>
  <c r="N8022" i="1"/>
  <c r="N8246" i="1"/>
  <c r="N7902" i="1"/>
  <c r="N8758" i="1"/>
  <c r="N5009" i="1"/>
  <c r="H5093" i="1"/>
  <c r="H4673" i="1"/>
  <c r="H3534" i="1"/>
  <c r="H5214" i="1"/>
  <c r="H4134" i="1"/>
  <c r="H5094" i="1"/>
  <c r="H4254" i="1"/>
  <c r="H4734" i="1"/>
  <c r="H3894" i="1"/>
  <c r="H3654" i="1"/>
  <c r="H4974" i="1"/>
  <c r="H4854" i="1"/>
  <c r="H4374" i="1"/>
  <c r="H4494" i="1"/>
  <c r="H3774" i="1"/>
  <c r="H4014" i="1"/>
  <c r="H4614" i="1"/>
  <c r="N5363" i="1"/>
  <c r="N4403" i="1"/>
  <c r="N5243" i="1"/>
  <c r="N4283" i="1"/>
  <c r="N5123" i="1"/>
  <c r="N4163" i="1"/>
  <c r="N5003" i="1"/>
  <c r="N4043" i="1"/>
  <c r="N4883" i="1"/>
  <c r="N3923" i="1"/>
  <c r="N4763" i="1"/>
  <c r="N3803" i="1"/>
  <c r="N3563" i="1"/>
  <c r="N4643" i="1"/>
  <c r="N3683" i="1"/>
  <c r="N4523" i="1"/>
  <c r="H5097" i="1"/>
  <c r="H4613" i="1"/>
  <c r="H4553" i="1"/>
  <c r="H5337" i="1"/>
  <c r="H5233" i="1"/>
  <c r="H5217" i="1"/>
  <c r="H4993" i="1"/>
  <c r="H4753" i="1"/>
  <c r="H4733" i="1"/>
  <c r="H4977" i="1"/>
  <c r="H5113" i="1"/>
  <c r="N5369" i="1"/>
  <c r="N5249" i="1"/>
  <c r="H5092" i="1"/>
  <c r="H4132" i="1"/>
  <c r="H3652" i="1"/>
  <c r="H4732" i="1"/>
  <c r="H3892" i="1"/>
  <c r="H3772" i="1"/>
  <c r="H4852" i="1"/>
  <c r="H4252" i="1"/>
  <c r="H3532" i="1"/>
  <c r="H4372" i="1"/>
  <c r="H4492" i="1"/>
  <c r="H5212" i="1"/>
  <c r="H4612" i="1"/>
  <c r="H4012" i="1"/>
  <c r="H4972" i="1"/>
  <c r="N3775" i="1"/>
  <c r="N3535" i="1"/>
  <c r="N3655" i="1"/>
  <c r="N5215" i="1"/>
  <c r="N4495" i="1"/>
  <c r="N4975" i="1"/>
  <c r="N4015" i="1"/>
  <c r="N5095" i="1"/>
  <c r="N4855" i="1"/>
  <c r="N4135" i="1"/>
  <c r="N4735" i="1"/>
  <c r="N4615" i="1"/>
  <c r="N4255" i="1"/>
  <c r="N3895" i="1"/>
  <c r="N5335" i="1"/>
  <c r="N4375" i="1"/>
  <c r="N3533" i="1"/>
  <c r="N3773" i="1"/>
  <c r="N5333" i="1"/>
  <c r="N4373" i="1"/>
  <c r="N5093" i="1"/>
  <c r="N3893" i="1"/>
  <c r="N5213" i="1"/>
  <c r="N4973" i="1"/>
  <c r="N4493" i="1"/>
  <c r="N4853" i="1"/>
  <c r="N4133" i="1"/>
  <c r="N4613" i="1"/>
  <c r="N4733" i="1"/>
  <c r="N4253" i="1"/>
  <c r="N4013" i="1"/>
  <c r="N3653" i="1"/>
  <c r="H4853" i="1"/>
  <c r="N5129" i="1"/>
  <c r="H5213" i="1"/>
  <c r="H4973" i="1"/>
  <c r="H5333" i="1"/>
  <c r="H4873" i="1"/>
  <c r="E154" i="3"/>
  <c r="N3412" i="1" s="1"/>
  <c r="C294" i="3"/>
  <c r="E156" i="3"/>
  <c r="N3414" i="1" s="1"/>
  <c r="C296" i="3"/>
  <c r="G42" i="2"/>
  <c r="N8362" i="1" l="1"/>
  <c r="N7072" i="1"/>
  <c r="N8392" i="1"/>
  <c r="N8152" i="1"/>
  <c r="N7432" i="1"/>
  <c r="N7164" i="1"/>
  <c r="N7672" i="1"/>
  <c r="N8632" i="1"/>
  <c r="N7912" i="1"/>
  <c r="N7312" i="1"/>
  <c r="N8244" i="1"/>
  <c r="N8032" i="1"/>
  <c r="N7552" i="1"/>
  <c r="N7192" i="1"/>
  <c r="N8512" i="1"/>
  <c r="N8272" i="1"/>
  <c r="N7792" i="1"/>
  <c r="N6952" i="1"/>
  <c r="N7882" i="1"/>
  <c r="N7044" i="1"/>
  <c r="N7284" i="1"/>
  <c r="N7884" i="1"/>
  <c r="N8604" i="1"/>
  <c r="N8124" i="1"/>
  <c r="N7524" i="1"/>
  <c r="N7764" i="1"/>
  <c r="N8484" i="1"/>
  <c r="N7644" i="1"/>
  <c r="N8004" i="1"/>
  <c r="N8364" i="1"/>
  <c r="N8724" i="1"/>
  <c r="N7404" i="1"/>
  <c r="N7522" i="1"/>
  <c r="N6922" i="1"/>
  <c r="N7282" i="1"/>
  <c r="N7162" i="1"/>
  <c r="N8242" i="1"/>
  <c r="N7762" i="1"/>
  <c r="N7642" i="1"/>
  <c r="N7042" i="1"/>
  <c r="N8602" i="1"/>
  <c r="N8122" i="1"/>
  <c r="N8002" i="1"/>
  <c r="N8482" i="1"/>
  <c r="N8722" i="1"/>
  <c r="H8724" i="1"/>
  <c r="H7644" i="1"/>
  <c r="H8484" i="1"/>
  <c r="H7764" i="1"/>
  <c r="H8604" i="1"/>
  <c r="H7884" i="1"/>
  <c r="H8244" i="1"/>
  <c r="H7044" i="1"/>
  <c r="H8364" i="1"/>
  <c r="H7164" i="1"/>
  <c r="H8004" i="1"/>
  <c r="H7284" i="1"/>
  <c r="H6924" i="1"/>
  <c r="H8124" i="1"/>
  <c r="H7404" i="1"/>
  <c r="H7524" i="1"/>
  <c r="H8022" i="1"/>
  <c r="H8246" i="1"/>
  <c r="E296" i="3"/>
  <c r="N6803" i="1" s="1"/>
  <c r="N7763" i="1" s="1"/>
  <c r="H6803" i="1"/>
  <c r="E294" i="3"/>
  <c r="N6801" i="1" s="1"/>
  <c r="N8241" i="1" s="1"/>
  <c r="H6801" i="1"/>
  <c r="H7822" i="1"/>
  <c r="H7902" i="1"/>
  <c r="H8126" i="1"/>
  <c r="H8006" i="1"/>
  <c r="H7282" i="1"/>
  <c r="H6922" i="1"/>
  <c r="H7402" i="1"/>
  <c r="H7522" i="1"/>
  <c r="H7642" i="1"/>
  <c r="H7762" i="1"/>
  <c r="H7882" i="1"/>
  <c r="H7042" i="1"/>
  <c r="H7162" i="1"/>
  <c r="H7702" i="1"/>
  <c r="H7886" i="1"/>
  <c r="H7646" i="1"/>
  <c r="H7662" i="1"/>
  <c r="H8768" i="1"/>
  <c r="H7782" i="1"/>
  <c r="H7766" i="1"/>
  <c r="H7542" i="1"/>
  <c r="N8382" i="1"/>
  <c r="N8726" i="1"/>
  <c r="N8622" i="1"/>
  <c r="N8142" i="1"/>
  <c r="N8486" i="1"/>
  <c r="N8606" i="1"/>
  <c r="N8366" i="1"/>
  <c r="N8262" i="1"/>
  <c r="N8502" i="1"/>
  <c r="H5353" i="1"/>
  <c r="N3532" i="1"/>
  <c r="N4852" i="1"/>
  <c r="N4492" i="1"/>
  <c r="N4612" i="1"/>
  <c r="N4252" i="1"/>
  <c r="N5092" i="1"/>
  <c r="N4372" i="1"/>
  <c r="N5212" i="1"/>
  <c r="N3892" i="1"/>
  <c r="N3652" i="1"/>
  <c r="N5332" i="1" s="1"/>
  <c r="N4972" i="1"/>
  <c r="N4012" i="1"/>
  <c r="N4132" i="1"/>
  <c r="N4732" i="1"/>
  <c r="N3772" i="1"/>
  <c r="H5332" i="1"/>
  <c r="H5334" i="1"/>
  <c r="H4913" i="1"/>
  <c r="H4793" i="1"/>
  <c r="N3774" i="1"/>
  <c r="N3534" i="1"/>
  <c r="N3654" i="1"/>
  <c r="N5334" i="1" s="1"/>
  <c r="N5094" i="1"/>
  <c r="N4254" i="1"/>
  <c r="N4374" i="1"/>
  <c r="N3894" i="1"/>
  <c r="N4734" i="1"/>
  <c r="N5214" i="1"/>
  <c r="N4014" i="1"/>
  <c r="N4974" i="1"/>
  <c r="N4494" i="1"/>
  <c r="N4854" i="1"/>
  <c r="N4134" i="1"/>
  <c r="N4614" i="1"/>
  <c r="G31" i="2"/>
  <c r="N8483" i="1" l="1"/>
  <c r="N8123" i="1"/>
  <c r="N7043" i="1"/>
  <c r="N8723" i="1" s="1"/>
  <c r="N7883" i="1"/>
  <c r="N8121" i="1"/>
  <c r="N7163" i="1"/>
  <c r="N8363" i="1"/>
  <c r="N8243" i="1"/>
  <c r="N7161" i="1"/>
  <c r="N7403" i="1"/>
  <c r="N6923" i="1"/>
  <c r="N6921" i="1"/>
  <c r="N7523" i="1"/>
  <c r="N7643" i="1"/>
  <c r="N7283" i="1"/>
  <c r="N8003" i="1"/>
  <c r="N8603" i="1"/>
  <c r="N7761" i="1"/>
  <c r="N7521" i="1"/>
  <c r="N8601" i="1"/>
  <c r="N8001" i="1"/>
  <c r="N7881" i="1"/>
  <c r="N7401" i="1"/>
  <c r="N8481" i="1"/>
  <c r="N8361" i="1"/>
  <c r="N7641" i="1"/>
  <c r="N7281" i="1"/>
  <c r="N7041" i="1"/>
  <c r="N8721" i="1" s="1"/>
  <c r="H8262" i="1"/>
  <c r="H8362" i="1"/>
  <c r="H8122" i="1"/>
  <c r="H8142" i="1"/>
  <c r="H8486" i="1"/>
  <c r="H7942" i="1"/>
  <c r="H8726" i="1"/>
  <c r="H8502" i="1"/>
  <c r="H8622" i="1"/>
  <c r="H8722" i="1"/>
  <c r="H7523" i="1"/>
  <c r="H7643" i="1"/>
  <c r="H8483" i="1"/>
  <c r="H7763" i="1"/>
  <c r="H8603" i="1"/>
  <c r="H7883" i="1"/>
  <c r="H8243" i="1"/>
  <c r="H7043" i="1"/>
  <c r="H6923" i="1"/>
  <c r="H8363" i="1"/>
  <c r="H7163" i="1"/>
  <c r="H8003" i="1"/>
  <c r="H7283" i="1"/>
  <c r="H8123" i="1"/>
  <c r="H7403" i="1"/>
  <c r="H8382" i="1"/>
  <c r="H8602" i="1"/>
  <c r="H8366" i="1"/>
  <c r="H8482" i="1"/>
  <c r="H8062" i="1"/>
  <c r="H8001" i="1"/>
  <c r="H7281" i="1"/>
  <c r="H8121" i="1"/>
  <c r="H7401" i="1"/>
  <c r="H7521" i="1"/>
  <c r="H7641" i="1"/>
  <c r="H8601" i="1"/>
  <c r="H7761" i="1"/>
  <c r="H8481" i="1"/>
  <c r="H7881" i="1"/>
  <c r="H8241" i="1"/>
  <c r="H7041" i="1"/>
  <c r="H6921" i="1"/>
  <c r="H8361" i="1"/>
  <c r="H7161" i="1"/>
  <c r="H8242" i="1"/>
  <c r="H8606" i="1"/>
  <c r="H8002" i="1"/>
  <c r="N8742" i="1"/>
  <c r="H5033" i="1"/>
  <c r="H5153" i="1"/>
  <c r="N874" i="1"/>
  <c r="N1714" i="1" s="1"/>
  <c r="N873" i="1"/>
  <c r="N1713" i="1" s="1"/>
  <c r="H873" i="1"/>
  <c r="N754" i="1"/>
  <c r="N1594" i="1" s="1"/>
  <c r="N753" i="1"/>
  <c r="N1593" i="1" s="1"/>
  <c r="H753" i="1"/>
  <c r="N634" i="1"/>
  <c r="N1474" i="1" s="1"/>
  <c r="N633" i="1"/>
  <c r="N1473" i="1" s="1"/>
  <c r="H633" i="1"/>
  <c r="N514" i="1"/>
  <c r="N1354" i="1" s="1"/>
  <c r="N513" i="1"/>
  <c r="N1353" i="1" s="1"/>
  <c r="H513" i="1"/>
  <c r="N394" i="1"/>
  <c r="N1234" i="1" s="1"/>
  <c r="N393" i="1"/>
  <c r="N1233" i="1" s="1"/>
  <c r="H393" i="1"/>
  <c r="H8742" i="1" l="1"/>
  <c r="H8182" i="1"/>
  <c r="H8721" i="1"/>
  <c r="H8302" i="1"/>
  <c r="H8723" i="1"/>
  <c r="H5393" i="1"/>
  <c r="H5273" i="1"/>
  <c r="H1353" i="1"/>
  <c r="H1593" i="1"/>
  <c r="H1233" i="1"/>
  <c r="H1473" i="1"/>
  <c r="H1713" i="1"/>
  <c r="N274" i="1"/>
  <c r="N1114" i="1" s="1"/>
  <c r="N1954" i="1" s="1"/>
  <c r="N273" i="1"/>
  <c r="N1113" i="1" s="1"/>
  <c r="N1953" i="1" s="1"/>
  <c r="H273" i="1"/>
  <c r="N154" i="1"/>
  <c r="N994" i="1" s="1"/>
  <c r="N1834" i="1" s="1"/>
  <c r="N153" i="1"/>
  <c r="N993" i="1" s="1"/>
  <c r="N1833" i="1" s="1"/>
  <c r="H153" i="1"/>
  <c r="H8422" i="1" l="1"/>
  <c r="H8542" i="1"/>
  <c r="H993" i="1"/>
  <c r="H1113" i="1"/>
  <c r="H8782" i="1" l="1"/>
  <c r="H8662" i="1"/>
  <c r="H1953" i="1"/>
  <c r="H1833" i="1"/>
  <c r="N2078" i="1" l="1"/>
  <c r="N3030" i="1"/>
  <c r="N3321" i="1" s="1"/>
  <c r="H3224" i="1"/>
  <c r="H3053" i="1"/>
  <c r="H3344" i="1" s="1"/>
  <c r="H3068" i="1"/>
  <c r="H3359" i="1" s="1"/>
  <c r="H3321" i="1" l="1"/>
  <c r="N3127" i="1"/>
  <c r="H3127" i="1"/>
  <c r="N3224" i="1"/>
  <c r="H3150" i="1"/>
  <c r="H3165" i="1"/>
  <c r="H3262" i="1"/>
  <c r="H3247" i="1"/>
  <c r="Q3376" i="1"/>
  <c r="Q3377" i="1"/>
  <c r="Q3378" i="1"/>
  <c r="Q3379" i="1"/>
  <c r="Q3380" i="1"/>
  <c r="Q3381" i="1"/>
  <c r="Q3382" i="1"/>
  <c r="Q3383" i="1"/>
  <c r="Q3384" i="1"/>
  <c r="Q3385" i="1"/>
  <c r="Q3386" i="1"/>
  <c r="Q3387" i="1"/>
  <c r="Q3388" i="1"/>
  <c r="Q3389" i="1"/>
  <c r="Q3390" i="1"/>
  <c r="Q3391" i="1"/>
  <c r="L3012" i="1"/>
  <c r="L2088" i="1"/>
  <c r="L2296" i="1" s="1"/>
  <c r="L2806" i="1" s="1"/>
  <c r="L45" i="1"/>
  <c r="L2953" i="1"/>
  <c r="L2851" i="1"/>
  <c r="L2749" i="1"/>
  <c r="L2647" i="1"/>
  <c r="L2545" i="1"/>
  <c r="L2443" i="1"/>
  <c r="L2341" i="1"/>
  <c r="L2237" i="1"/>
  <c r="L1172" i="1"/>
  <c r="L1052" i="1"/>
  <c r="L932" i="1"/>
  <c r="L812" i="1"/>
  <c r="L692" i="1"/>
  <c r="L572" i="1"/>
  <c r="L452" i="1"/>
  <c r="L1652" i="1" s="1"/>
  <c r="L332" i="1"/>
  <c r="L211" i="1"/>
  <c r="L405" i="1" l="1"/>
  <c r="L1005" i="1" s="1"/>
  <c r="L1605" i="1" s="1"/>
  <c r="L285" i="1"/>
  <c r="L885" i="1" s="1"/>
  <c r="L1485" i="1" s="1"/>
  <c r="L645" i="1"/>
  <c r="L1245" i="1" s="1"/>
  <c r="L1845" i="1" s="1"/>
  <c r="L165" i="1"/>
  <c r="L765" i="1" s="1"/>
  <c r="L1365" i="1" s="1"/>
  <c r="L1965" i="1" s="1"/>
  <c r="L525" i="1"/>
  <c r="L1125" i="1" s="1"/>
  <c r="L1725" i="1" s="1"/>
  <c r="L3206" i="1"/>
  <c r="L3109" i="1"/>
  <c r="L3303" i="1"/>
  <c r="L2602" i="1"/>
  <c r="L2192" i="1"/>
  <c r="L2704" i="1" s="1"/>
  <c r="L2500" i="1"/>
  <c r="L2398" i="1"/>
  <c r="L2908" i="1" s="1"/>
  <c r="L1292" i="1"/>
  <c r="L1772" i="1"/>
  <c r="L1412" i="1"/>
  <c r="L1892" i="1"/>
  <c r="L1532" i="1"/>
  <c r="L2012" i="1"/>
  <c r="N3053" i="1" l="1"/>
  <c r="H3025" i="1"/>
  <c r="H3012" i="1"/>
  <c r="K159" i="3"/>
  <c r="H6381" i="1" s="1"/>
  <c r="K158" i="3"/>
  <c r="H6380" i="1" s="1"/>
  <c r="K154" i="3"/>
  <c r="H6377" i="1" s="1"/>
  <c r="K153" i="3"/>
  <c r="H6376" i="1" s="1"/>
  <c r="H2130" i="1"/>
  <c r="H2115" i="1"/>
  <c r="H2088" i="1"/>
  <c r="H6473" i="1" l="1"/>
  <c r="H6570" i="1"/>
  <c r="H6667" i="1"/>
  <c r="H6474" i="1"/>
  <c r="H6668" i="1"/>
  <c r="H6571" i="1"/>
  <c r="H6671" i="1"/>
  <c r="H6574" i="1"/>
  <c r="H6477" i="1"/>
  <c r="H6575" i="1"/>
  <c r="H6478" i="1"/>
  <c r="H6672" i="1"/>
  <c r="M153" i="3"/>
  <c r="N6376" i="1" s="1"/>
  <c r="K293" i="3"/>
  <c r="M158" i="3"/>
  <c r="N6380" i="1" s="1"/>
  <c r="K298" i="3"/>
  <c r="M154" i="3"/>
  <c r="N6377" i="1" s="1"/>
  <c r="K294" i="3"/>
  <c r="M159" i="3"/>
  <c r="N6381" i="1" s="1"/>
  <c r="K299" i="3"/>
  <c r="K16" i="3"/>
  <c r="K156" i="3" s="1"/>
  <c r="H6379" i="1" s="1"/>
  <c r="K15" i="3"/>
  <c r="K155" i="3" s="1"/>
  <c r="H6378" i="1" s="1"/>
  <c r="H2176" i="1"/>
  <c r="H2484" i="1"/>
  <c r="H2586" i="1"/>
  <c r="H2688" i="1"/>
  <c r="H2280" i="1"/>
  <c r="H2790" i="1"/>
  <c r="H2382" i="1"/>
  <c r="H3109" i="1"/>
  <c r="H3206" i="1"/>
  <c r="H3303" i="1"/>
  <c r="H2731" i="1"/>
  <c r="H2833" i="1"/>
  <c r="H2323" i="1"/>
  <c r="H2425" i="1"/>
  <c r="H2935" i="1"/>
  <c r="H2629" i="1"/>
  <c r="H2527" i="1"/>
  <c r="H2219" i="1"/>
  <c r="H2398" i="1"/>
  <c r="H2296" i="1"/>
  <c r="H2500" i="1"/>
  <c r="H2602" i="1"/>
  <c r="H2192" i="1"/>
  <c r="H2644" i="1"/>
  <c r="H2440" i="1"/>
  <c r="H2848" i="1"/>
  <c r="H2746" i="1"/>
  <c r="H2338" i="1"/>
  <c r="H2542" i="1"/>
  <c r="H2234" i="1"/>
  <c r="H2950" i="1"/>
  <c r="H3316" i="1"/>
  <c r="H3122" i="1"/>
  <c r="H3219" i="1"/>
  <c r="N3150" i="1"/>
  <c r="N3344" i="1"/>
  <c r="N3247" i="1"/>
  <c r="I14" i="3"/>
  <c r="Q130" i="3"/>
  <c r="N3369" i="1" s="1"/>
  <c r="H92" i="1"/>
  <c r="H45" i="1"/>
  <c r="C153" i="3"/>
  <c r="H3411" i="1" s="1"/>
  <c r="C152" i="3"/>
  <c r="H3410" i="1" s="1"/>
  <c r="C144" i="3"/>
  <c r="H3400" i="1" s="1"/>
  <c r="B136" i="3" l="1"/>
  <c r="M294" i="3"/>
  <c r="N9766" i="1" s="1"/>
  <c r="H9766" i="1"/>
  <c r="M298" i="3"/>
  <c r="N9769" i="1" s="1"/>
  <c r="H9769" i="1"/>
  <c r="M293" i="3"/>
  <c r="N9765" i="1" s="1"/>
  <c r="H9765" i="1"/>
  <c r="M299" i="3"/>
  <c r="N9770" i="1" s="1"/>
  <c r="H9770" i="1"/>
  <c r="H6475" i="1"/>
  <c r="H6669" i="1"/>
  <c r="H6572" i="1"/>
  <c r="H6476" i="1"/>
  <c r="H6573" i="1"/>
  <c r="H6670" i="1"/>
  <c r="N6478" i="1"/>
  <c r="N6672" i="1"/>
  <c r="N6575" i="1"/>
  <c r="N6474" i="1"/>
  <c r="N6668" i="1"/>
  <c r="N6571" i="1"/>
  <c r="N6477" i="1"/>
  <c r="N6574" i="1"/>
  <c r="N6671" i="1"/>
  <c r="N6473" i="1"/>
  <c r="N6667" i="1"/>
  <c r="N6570" i="1"/>
  <c r="H3520" i="1"/>
  <c r="H3640" i="1"/>
  <c r="H4240" i="1"/>
  <c r="H4000" i="1"/>
  <c r="H4120" i="1"/>
  <c r="H3880" i="1"/>
  <c r="H3760" i="1"/>
  <c r="H4251" i="1"/>
  <c r="H3771" i="1"/>
  <c r="H4371" i="1"/>
  <c r="H4491" i="1"/>
  <c r="H3531" i="1"/>
  <c r="H4011" i="1"/>
  <c r="H4131" i="1"/>
  <c r="H3891" i="1"/>
  <c r="H3651" i="1"/>
  <c r="H3530" i="1"/>
  <c r="H4010" i="1"/>
  <c r="H4130" i="1"/>
  <c r="H3650" i="1"/>
  <c r="H3770" i="1"/>
  <c r="H3890" i="1"/>
  <c r="E144" i="3"/>
  <c r="N3400" i="1" s="1"/>
  <c r="C284" i="3"/>
  <c r="E152" i="3"/>
  <c r="N3410" i="1" s="1"/>
  <c r="C292" i="3"/>
  <c r="E153" i="3"/>
  <c r="N3411" i="1" s="1"/>
  <c r="C293" i="3"/>
  <c r="M155" i="3"/>
  <c r="N6378" i="1" s="1"/>
  <c r="K295" i="3"/>
  <c r="M156" i="3"/>
  <c r="N6379" i="1" s="1"/>
  <c r="K296" i="3"/>
  <c r="H2806" i="1"/>
  <c r="H2908" i="1"/>
  <c r="H2704" i="1"/>
  <c r="H2892" i="1"/>
  <c r="E16" i="3"/>
  <c r="N26" i="1" s="1"/>
  <c r="H2011" i="1"/>
  <c r="H691" i="1"/>
  <c r="H811" i="1"/>
  <c r="H931" i="1"/>
  <c r="H1051" i="1"/>
  <c r="H1171" i="1"/>
  <c r="H1291" i="1"/>
  <c r="H1411" i="1"/>
  <c r="H1531" i="1"/>
  <c r="H212" i="1"/>
  <c r="H571" i="1"/>
  <c r="H1651" i="1"/>
  <c r="H1771" i="1"/>
  <c r="H1891" i="1"/>
  <c r="H331" i="1"/>
  <c r="H451" i="1"/>
  <c r="H285" i="1"/>
  <c r="H885" i="1" s="1"/>
  <c r="H1485" i="1" s="1"/>
  <c r="H645" i="1"/>
  <c r="H1245" i="1" s="1"/>
  <c r="H1845" i="1" s="1"/>
  <c r="H525" i="1"/>
  <c r="H1125" i="1" s="1"/>
  <c r="H1725" i="1" s="1"/>
  <c r="H165" i="1"/>
  <c r="H765" i="1" s="1"/>
  <c r="H1365" i="1" s="1"/>
  <c r="H1965" i="1" s="1"/>
  <c r="H405" i="1"/>
  <c r="H1005" i="1" s="1"/>
  <c r="H1605" i="1" s="1"/>
  <c r="H9863" i="1" l="1"/>
  <c r="H10057" i="1"/>
  <c r="H9960" i="1"/>
  <c r="N9863" i="1"/>
  <c r="N10057" i="1"/>
  <c r="N9960" i="1"/>
  <c r="M296" i="3"/>
  <c r="N9768" i="1" s="1"/>
  <c r="H9768" i="1"/>
  <c r="H10061" i="1"/>
  <c r="H9867" i="1"/>
  <c r="H9964" i="1"/>
  <c r="N9964" i="1"/>
  <c r="N9867" i="1"/>
  <c r="N10061" i="1"/>
  <c r="M295" i="3"/>
  <c r="N9767" i="1" s="1"/>
  <c r="H9767" i="1"/>
  <c r="H9862" i="1"/>
  <c r="H10056" i="1"/>
  <c r="H9959" i="1"/>
  <c r="N9862" i="1"/>
  <c r="N9959" i="1"/>
  <c r="N10056" i="1"/>
  <c r="H9866" i="1"/>
  <c r="H10060" i="1"/>
  <c r="H9963" i="1"/>
  <c r="N10060" i="1"/>
  <c r="N9963" i="1"/>
  <c r="N9866" i="1"/>
  <c r="E284" i="3"/>
  <c r="N6789" i="1" s="1"/>
  <c r="N7149" i="1" s="1"/>
  <c r="H6789" i="1"/>
  <c r="E293" i="3"/>
  <c r="N6800" i="1" s="1"/>
  <c r="N6920" i="1" s="1"/>
  <c r="H6800" i="1"/>
  <c r="E292" i="3"/>
  <c r="N6799" i="1" s="1"/>
  <c r="N7399" i="1" s="1"/>
  <c r="H6799" i="1"/>
  <c r="N6476" i="1"/>
  <c r="N6573" i="1"/>
  <c r="N6670" i="1"/>
  <c r="N6475" i="1"/>
  <c r="N6669" i="1"/>
  <c r="N6572" i="1"/>
  <c r="H5091" i="1"/>
  <c r="N3530" i="1"/>
  <c r="N4250" i="1" s="1"/>
  <c r="N4970" i="1" s="1"/>
  <c r="N3890" i="1"/>
  <c r="N4610" i="1" s="1"/>
  <c r="N5330" i="1" s="1"/>
  <c r="N3650" i="1"/>
  <c r="N4370" i="1" s="1"/>
  <c r="N5090" i="1" s="1"/>
  <c r="N4010" i="1"/>
  <c r="N4730" i="1" s="1"/>
  <c r="N4130" i="1"/>
  <c r="N4850" i="1" s="1"/>
  <c r="N3770" i="1"/>
  <c r="N4490" i="1" s="1"/>
  <c r="N5210" i="1" s="1"/>
  <c r="H4730" i="1"/>
  <c r="H4611" i="1"/>
  <c r="H4960" i="1"/>
  <c r="H4720" i="1"/>
  <c r="N3520" i="1"/>
  <c r="N4240" i="1"/>
  <c r="N3880" i="1"/>
  <c r="N3401" i="1"/>
  <c r="N4000" i="1"/>
  <c r="N4120" i="1"/>
  <c r="N3640" i="1"/>
  <c r="N3760" i="1"/>
  <c r="H4250" i="1"/>
  <c r="H4840" i="1"/>
  <c r="H4610" i="1"/>
  <c r="H4731" i="1"/>
  <c r="H5080" i="1"/>
  <c r="H4851" i="1"/>
  <c r="H4370" i="1"/>
  <c r="H4971" i="1"/>
  <c r="H5331" i="1"/>
  <c r="H4480" i="1"/>
  <c r="H4490" i="1"/>
  <c r="N3531" i="1"/>
  <c r="N4611" i="1" s="1"/>
  <c r="N4371" i="1"/>
  <c r="N3891" i="1"/>
  <c r="N4971" i="1" s="1"/>
  <c r="N4011" i="1"/>
  <c r="N5091" i="1" s="1"/>
  <c r="N4131" i="1"/>
  <c r="N5211" i="1" s="1"/>
  <c r="N3651" i="1"/>
  <c r="N4731" i="1" s="1"/>
  <c r="N4491" i="1"/>
  <c r="N3771" i="1"/>
  <c r="N4851" i="1" s="1"/>
  <c r="N4251" i="1"/>
  <c r="N5331" i="1" s="1"/>
  <c r="H4850" i="1"/>
  <c r="H5211" i="1"/>
  <c r="H4600" i="1"/>
  <c r="H4360" i="1"/>
  <c r="E56" i="3"/>
  <c r="N92" i="1" s="1"/>
  <c r="R10172" i="1"/>
  <c r="M56" i="3"/>
  <c r="N7389" i="1" l="1"/>
  <c r="N8229" i="1" s="1"/>
  <c r="N7279" i="1"/>
  <c r="N7999" i="1" s="1"/>
  <c r="N7509" i="1"/>
  <c r="N8349" i="1" s="1"/>
  <c r="N7029" i="1"/>
  <c r="N7030" i="1" s="1"/>
  <c r="N6909" i="1"/>
  <c r="N7749" i="1" s="1"/>
  <c r="N7629" i="1"/>
  <c r="N7630" i="1" s="1"/>
  <c r="N6790" i="1"/>
  <c r="N7159" i="1"/>
  <c r="N7879" i="1" s="1"/>
  <c r="N7519" i="1"/>
  <c r="N8239" i="1" s="1"/>
  <c r="N7269" i="1"/>
  <c r="N7270" i="1" s="1"/>
  <c r="N6919" i="1"/>
  <c r="N7639" i="1" s="1"/>
  <c r="N7400" i="1"/>
  <c r="N8480" i="1" s="1"/>
  <c r="H10058" i="1"/>
  <c r="H9864" i="1"/>
  <c r="H9961" i="1"/>
  <c r="N10058" i="1"/>
  <c r="N9961" i="1"/>
  <c r="N9864" i="1"/>
  <c r="H10059" i="1"/>
  <c r="H9865" i="1"/>
  <c r="H9962" i="1"/>
  <c r="N7640" i="1"/>
  <c r="N8720" i="1" s="1"/>
  <c r="N10059" i="1"/>
  <c r="N9865" i="1"/>
  <c r="N9962" i="1"/>
  <c r="N7880" i="1"/>
  <c r="N7039" i="1"/>
  <c r="N7759" i="1" s="1"/>
  <c r="N7760" i="1"/>
  <c r="N7040" i="1"/>
  <c r="N8120" i="1" s="1"/>
  <c r="N7520" i="1"/>
  <c r="N8600" i="1" s="1"/>
  <c r="H7040" i="1"/>
  <c r="H7160" i="1"/>
  <c r="H7280" i="1"/>
  <c r="H7400" i="1"/>
  <c r="H7520" i="1"/>
  <c r="H7640" i="1"/>
  <c r="H7760" i="1"/>
  <c r="H6920" i="1"/>
  <c r="H7880" i="1"/>
  <c r="N7280" i="1"/>
  <c r="N8360" i="1" s="1"/>
  <c r="N7160" i="1"/>
  <c r="N8240" i="1" s="1"/>
  <c r="H7039" i="1"/>
  <c r="H7159" i="1"/>
  <c r="H7279" i="1"/>
  <c r="H7399" i="1"/>
  <c r="H6919" i="1"/>
  <c r="H7519" i="1"/>
  <c r="H7269" i="1"/>
  <c r="H7389" i="1"/>
  <c r="H7509" i="1"/>
  <c r="H6909" i="1"/>
  <c r="H7629" i="1"/>
  <c r="H7029" i="1"/>
  <c r="H7149" i="1"/>
  <c r="N7510" i="1"/>
  <c r="N7390" i="1"/>
  <c r="N8119" i="1"/>
  <c r="N8000" i="1"/>
  <c r="N7150" i="1"/>
  <c r="N7989" i="1"/>
  <c r="H4970" i="1"/>
  <c r="H5090" i="1"/>
  <c r="N5080" i="1"/>
  <c r="N5081" i="1" s="1"/>
  <c r="N4241" i="1"/>
  <c r="N3881" i="1"/>
  <c r="N4720" i="1"/>
  <c r="N4721" i="1" s="1"/>
  <c r="H5330" i="1"/>
  <c r="N4360" i="1"/>
  <c r="N3521" i="1"/>
  <c r="H5210" i="1"/>
  <c r="N4600" i="1"/>
  <c r="N4601" i="1" s="1"/>
  <c r="N3761" i="1"/>
  <c r="N4480" i="1"/>
  <c r="N3641" i="1"/>
  <c r="H5320" i="1"/>
  <c r="N4960" i="1"/>
  <c r="N4961" i="1" s="1"/>
  <c r="N4121" i="1"/>
  <c r="N4840" i="1"/>
  <c r="N4841" i="1" s="1"/>
  <c r="N4001" i="1"/>
  <c r="H5200" i="1"/>
  <c r="N2011" i="1"/>
  <c r="N1531" i="1"/>
  <c r="N1051" i="1"/>
  <c r="N571" i="1"/>
  <c r="N1891" i="1"/>
  <c r="N1411" i="1"/>
  <c r="N931" i="1"/>
  <c r="N451" i="1"/>
  <c r="N1771" i="1"/>
  <c r="N1291" i="1"/>
  <c r="N811" i="1"/>
  <c r="N331" i="1"/>
  <c r="N1651" i="1"/>
  <c r="N1171" i="1"/>
  <c r="N691" i="1"/>
  <c r="N212" i="1"/>
  <c r="N7869" i="1" l="1"/>
  <c r="N7870" i="1" s="1"/>
  <c r="N8469" i="1"/>
  <c r="N8470" i="1" s="1"/>
  <c r="N6910" i="1"/>
  <c r="N8109" i="1"/>
  <c r="N8110" i="1" s="1"/>
  <c r="H8469" i="1"/>
  <c r="H7749" i="1"/>
  <c r="H8119" i="1"/>
  <c r="H8480" i="1"/>
  <c r="H8600" i="1"/>
  <c r="H8349" i="1"/>
  <c r="H8360" i="1"/>
  <c r="H8229" i="1"/>
  <c r="H7999" i="1"/>
  <c r="H8240" i="1"/>
  <c r="H8109" i="1"/>
  <c r="H7879" i="1"/>
  <c r="H8120" i="1"/>
  <c r="H7989" i="1"/>
  <c r="H7759" i="1"/>
  <c r="H8000" i="1"/>
  <c r="H8239" i="1"/>
  <c r="H7869" i="1"/>
  <c r="H7639" i="1"/>
  <c r="H8720" i="1"/>
  <c r="N8709" i="1"/>
  <c r="N8719" i="1"/>
  <c r="N8230" i="1"/>
  <c r="N8589" i="1"/>
  <c r="N7750" i="1"/>
  <c r="N7990" i="1"/>
  <c r="N8599" i="1"/>
  <c r="N8350" i="1"/>
  <c r="N8359" i="1"/>
  <c r="N8479" i="1"/>
  <c r="N4481" i="1"/>
  <c r="N5320" i="1"/>
  <c r="N5321" i="1" s="1"/>
  <c r="N5200" i="1"/>
  <c r="N5201" i="1" s="1"/>
  <c r="N4361" i="1"/>
  <c r="J136" i="3"/>
  <c r="H2063" i="1"/>
  <c r="I12" i="3"/>
  <c r="E12" i="3"/>
  <c r="N22" i="1" s="1"/>
  <c r="P136" i="3"/>
  <c r="N136" i="3"/>
  <c r="N139" i="3" s="1"/>
  <c r="F139" i="3"/>
  <c r="Q134" i="3"/>
  <c r="Q132" i="3"/>
  <c r="M127" i="3"/>
  <c r="I127" i="3"/>
  <c r="E127" i="3"/>
  <c r="I126" i="3"/>
  <c r="E126" i="3"/>
  <c r="M125" i="3"/>
  <c r="I125" i="3"/>
  <c r="E101" i="3"/>
  <c r="N121" i="1" s="1"/>
  <c r="E100" i="3"/>
  <c r="N120" i="1" s="1"/>
  <c r="E99" i="3"/>
  <c r="N119" i="1" s="1"/>
  <c r="E98" i="3"/>
  <c r="N118" i="1" s="1"/>
  <c r="E97" i="3"/>
  <c r="N117" i="1" s="1"/>
  <c r="E96" i="3"/>
  <c r="N116" i="1" s="1"/>
  <c r="E95" i="3"/>
  <c r="N115" i="1" s="1"/>
  <c r="E94" i="3"/>
  <c r="N114" i="1" s="1"/>
  <c r="E93" i="3"/>
  <c r="N113" i="1" s="1"/>
  <c r="E92" i="3"/>
  <c r="N112" i="1" s="1"/>
  <c r="E91" i="3"/>
  <c r="N111" i="1" s="1"/>
  <c r="E90" i="3"/>
  <c r="N110" i="1" s="1"/>
  <c r="E89" i="3"/>
  <c r="N109" i="1" s="1"/>
  <c r="E88" i="3"/>
  <c r="N108" i="1" s="1"/>
  <c r="E87" i="3"/>
  <c r="N107" i="1" s="1"/>
  <c r="E86" i="3"/>
  <c r="N106" i="1" s="1"/>
  <c r="E85" i="3"/>
  <c r="N105" i="1" s="1"/>
  <c r="E84" i="3"/>
  <c r="N104" i="1" s="1"/>
  <c r="E83" i="3"/>
  <c r="N103" i="1" s="1"/>
  <c r="E82" i="3"/>
  <c r="N102" i="1" s="1"/>
  <c r="E81" i="3"/>
  <c r="N101" i="1" s="1"/>
  <c r="E80" i="3"/>
  <c r="N100" i="1" s="1"/>
  <c r="E79" i="3"/>
  <c r="N98" i="1" s="1"/>
  <c r="E78" i="3"/>
  <c r="N99" i="1" s="1"/>
  <c r="M75" i="3"/>
  <c r="I75" i="3"/>
  <c r="E75" i="3"/>
  <c r="I56" i="3"/>
  <c r="N2130" i="1" s="1"/>
  <c r="M10" i="3"/>
  <c r="N3012" i="1" s="1"/>
  <c r="I10" i="3"/>
  <c r="E10" i="3"/>
  <c r="N45" i="1" s="1"/>
  <c r="E74" i="3"/>
  <c r="M73" i="3"/>
  <c r="I73" i="3"/>
  <c r="E73" i="3"/>
  <c r="M72" i="3"/>
  <c r="I72" i="3"/>
  <c r="M71" i="3"/>
  <c r="E71" i="3"/>
  <c r="M70" i="3"/>
  <c r="I70" i="3"/>
  <c r="E70" i="3"/>
  <c r="M69" i="3"/>
  <c r="I69" i="3"/>
  <c r="E69" i="3"/>
  <c r="M68" i="3"/>
  <c r="M66" i="3"/>
  <c r="M65" i="3"/>
  <c r="I65" i="3"/>
  <c r="E65" i="3"/>
  <c r="M64" i="3"/>
  <c r="I64" i="3"/>
  <c r="E64" i="3"/>
  <c r="M63" i="3"/>
  <c r="I63" i="3"/>
  <c r="E63" i="3"/>
  <c r="M62" i="3"/>
  <c r="I62" i="3"/>
  <c r="E62" i="3"/>
  <c r="E61" i="3"/>
  <c r="E60" i="3"/>
  <c r="M59" i="3"/>
  <c r="M58" i="3"/>
  <c r="M57" i="3"/>
  <c r="I55" i="3"/>
  <c r="E55" i="3"/>
  <c r="N79" i="1" s="1"/>
  <c r="M54" i="3"/>
  <c r="I54" i="3"/>
  <c r="M53" i="3"/>
  <c r="M52" i="3"/>
  <c r="I52" i="3"/>
  <c r="E52" i="3"/>
  <c r="I50" i="3"/>
  <c r="E50" i="3"/>
  <c r="I49" i="3"/>
  <c r="E49" i="3"/>
  <c r="I48" i="3"/>
  <c r="N2115" i="1" s="1"/>
  <c r="E48" i="3"/>
  <c r="M51" i="3"/>
  <c r="I51" i="3"/>
  <c r="I47" i="3"/>
  <c r="E47" i="3"/>
  <c r="I46" i="3"/>
  <c r="E46" i="3"/>
  <c r="E45" i="3"/>
  <c r="I44" i="3"/>
  <c r="E44" i="3"/>
  <c r="E43" i="3"/>
  <c r="N68" i="1" s="1"/>
  <c r="I11" i="3"/>
  <c r="I42" i="3"/>
  <c r="E42" i="3"/>
  <c r="N67" i="1" s="1"/>
  <c r="I41" i="3"/>
  <c r="E41" i="3"/>
  <c r="N66" i="1" s="1"/>
  <c r="E39" i="3"/>
  <c r="E37" i="3"/>
  <c r="M30" i="3"/>
  <c r="N3023" i="1" s="1"/>
  <c r="I30" i="3"/>
  <c r="N2099" i="1" s="1"/>
  <c r="E30" i="3"/>
  <c r="N56" i="1" s="1"/>
  <c r="E36" i="3"/>
  <c r="E35" i="3"/>
  <c r="E34" i="3"/>
  <c r="I33" i="3"/>
  <c r="M31" i="3"/>
  <c r="N3025" i="1" s="1"/>
  <c r="I31" i="3"/>
  <c r="N2101" i="1" s="1"/>
  <c r="E31" i="3"/>
  <c r="N58" i="1" s="1"/>
  <c r="M28" i="3"/>
  <c r="I28" i="3"/>
  <c r="E28" i="3"/>
  <c r="M27" i="3"/>
  <c r="I27" i="3"/>
  <c r="E27" i="3"/>
  <c r="M29" i="3"/>
  <c r="N3022" i="1" s="1"/>
  <c r="I29" i="3"/>
  <c r="N2098" i="1" s="1"/>
  <c r="E29" i="3"/>
  <c r="N55" i="1" s="1"/>
  <c r="I25" i="3"/>
  <c r="E25" i="3"/>
  <c r="N37" i="1" s="1"/>
  <c r="I23" i="3"/>
  <c r="N2076" i="1" s="1"/>
  <c r="E23" i="3"/>
  <c r="N36" i="1" s="1"/>
  <c r="M19" i="3"/>
  <c r="I19" i="3"/>
  <c r="E19" i="3"/>
  <c r="M18" i="3"/>
  <c r="I18" i="3"/>
  <c r="E18" i="3"/>
  <c r="M16" i="3"/>
  <c r="I16" i="3"/>
  <c r="M14" i="3"/>
  <c r="E14" i="3"/>
  <c r="M13" i="3"/>
  <c r="I13" i="3"/>
  <c r="E13" i="3"/>
  <c r="N23" i="1" s="1"/>
  <c r="M9" i="3"/>
  <c r="I9" i="3"/>
  <c r="M8" i="3"/>
  <c r="I8" i="3"/>
  <c r="M7" i="3"/>
  <c r="I7" i="3"/>
  <c r="M6" i="3"/>
  <c r="I6" i="3"/>
  <c r="Q4" i="3"/>
  <c r="M4" i="3"/>
  <c r="I4" i="3"/>
  <c r="N2052" i="1" s="1"/>
  <c r="E4" i="3"/>
  <c r="N12" i="1" s="1"/>
  <c r="N132" i="1" s="1"/>
  <c r="H8359" i="1" l="1"/>
  <c r="H8479" i="1"/>
  <c r="H8709" i="1"/>
  <c r="H8599" i="1"/>
  <c r="H8719" i="1"/>
  <c r="H8589" i="1"/>
  <c r="N8590" i="1"/>
  <c r="N8710" i="1"/>
  <c r="J139" i="3"/>
  <c r="N3119" i="1"/>
  <c r="N3313" i="1"/>
  <c r="N3216" i="1"/>
  <c r="N2513" i="1"/>
  <c r="N2615" i="1"/>
  <c r="N2819" i="1"/>
  <c r="N2411" i="1"/>
  <c r="N2921" i="1"/>
  <c r="N2309" i="1"/>
  <c r="N2717" i="1"/>
  <c r="N2205" i="1"/>
  <c r="N2918" i="1"/>
  <c r="N2612" i="1"/>
  <c r="N2306" i="1"/>
  <c r="N2202" i="1"/>
  <c r="N2510" i="1"/>
  <c r="N2714" i="1"/>
  <c r="N2408" i="1"/>
  <c r="N2816" i="1"/>
  <c r="N2715" i="1"/>
  <c r="N2613" i="1"/>
  <c r="N2203" i="1"/>
  <c r="N2817" i="1"/>
  <c r="N2511" i="1"/>
  <c r="N2307" i="1"/>
  <c r="N2409" i="1"/>
  <c r="N2919" i="1"/>
  <c r="N3120" i="1" s="1"/>
  <c r="N62" i="1"/>
  <c r="N1855" i="1"/>
  <c r="N175" i="1"/>
  <c r="N535" i="1"/>
  <c r="N1495" i="1"/>
  <c r="N1735" i="1"/>
  <c r="N1255" i="1"/>
  <c r="N1615" i="1"/>
  <c r="N895" i="1"/>
  <c r="N415" i="1"/>
  <c r="N655" i="1"/>
  <c r="N295" i="1"/>
  <c r="N1975" i="1"/>
  <c r="N1375" i="1"/>
  <c r="N775" i="1"/>
  <c r="N1015" i="1"/>
  <c r="N1135" i="1"/>
  <c r="N1016" i="1"/>
  <c r="N1976" i="1"/>
  <c r="N1856" i="1"/>
  <c r="N416" i="1"/>
  <c r="N896" i="1"/>
  <c r="N776" i="1"/>
  <c r="N656" i="1"/>
  <c r="N1376" i="1"/>
  <c r="N1736" i="1"/>
  <c r="N296" i="1"/>
  <c r="N536" i="1"/>
  <c r="N1256" i="1"/>
  <c r="N1136" i="1"/>
  <c r="N1616" i="1"/>
  <c r="N1496" i="1"/>
  <c r="N176" i="1"/>
  <c r="N2019" i="1"/>
  <c r="N1419" i="1"/>
  <c r="N819" i="1"/>
  <c r="N219" i="1"/>
  <c r="N699" i="1"/>
  <c r="N1779" i="1"/>
  <c r="N1659" i="1"/>
  <c r="N1299" i="1"/>
  <c r="N579" i="1"/>
  <c r="N939" i="1"/>
  <c r="N1539" i="1"/>
  <c r="N339" i="1"/>
  <c r="N1899" i="1"/>
  <c r="N1179" i="1"/>
  <c r="N459" i="1"/>
  <c r="N1059" i="1"/>
  <c r="B139" i="3"/>
  <c r="N2176" i="1"/>
  <c r="N2892" i="1" s="1"/>
  <c r="N2586" i="1"/>
  <c r="N2688" i="1"/>
  <c r="N2280" i="1"/>
  <c r="N2790" i="1"/>
  <c r="N2382" i="1"/>
  <c r="N2484" i="1"/>
  <c r="R6782" i="1"/>
  <c r="N2950" i="1"/>
  <c r="N2234" i="1"/>
  <c r="N2746" i="1"/>
  <c r="N2440" i="1"/>
  <c r="N2338" i="1"/>
  <c r="N2848" i="1"/>
  <c r="N2644" i="1"/>
  <c r="N2542" i="1"/>
  <c r="N3122" i="1"/>
  <c r="N3219" i="1"/>
  <c r="N3316" i="1"/>
  <c r="N2833" i="1"/>
  <c r="N2527" i="1"/>
  <c r="N2629" i="1"/>
  <c r="N2935" i="1"/>
  <c r="N2425" i="1"/>
  <c r="N2731" i="1"/>
  <c r="N2323" i="1"/>
  <c r="N2219" i="1"/>
  <c r="N2088" i="1"/>
  <c r="N645" i="1"/>
  <c r="N1245" i="1" s="1"/>
  <c r="N1845" i="1" s="1"/>
  <c r="N405" i="1"/>
  <c r="N1005" i="1" s="1"/>
  <c r="N1605" i="1" s="1"/>
  <c r="N525" i="1"/>
  <c r="N1125" i="1" s="1"/>
  <c r="N1725" i="1" s="1"/>
  <c r="N165" i="1"/>
  <c r="N765" i="1" s="1"/>
  <c r="N1365" i="1" s="1"/>
  <c r="N1965" i="1" s="1"/>
  <c r="N285" i="1"/>
  <c r="N885" i="1" s="1"/>
  <c r="N1485" i="1" s="1"/>
  <c r="O136" i="3"/>
  <c r="M12" i="3"/>
  <c r="Q133" i="3"/>
  <c r="Q135" i="3"/>
  <c r="N3217" i="1" l="1"/>
  <c r="N3314" i="1"/>
  <c r="Q136" i="3"/>
  <c r="N3109" i="1"/>
  <c r="N3206" i="1"/>
  <c r="N3303" i="1"/>
  <c r="N2192" i="1"/>
  <c r="N2704" i="1" s="1"/>
  <c r="N2500" i="1"/>
  <c r="N2602" i="1"/>
  <c r="N2398" i="1"/>
  <c r="N2908" i="1" s="1"/>
  <c r="N2296" i="1"/>
  <c r="N2806" i="1" s="1"/>
  <c r="J31" i="2" l="1"/>
  <c r="J43" i="2" l="1"/>
  <c r="K31" i="2" s="1"/>
  <c r="H2057" i="1" l="1"/>
  <c r="H2128" i="1"/>
  <c r="H2846" i="1" s="1"/>
  <c r="H2122" i="1"/>
  <c r="H2117" i="1"/>
  <c r="H2113" i="1"/>
  <c r="H2069" i="1"/>
  <c r="H2583" i="1" l="1"/>
  <c r="H2173" i="1"/>
  <c r="H2685" i="1"/>
  <c r="H2889" i="1"/>
  <c r="H2481" i="1"/>
  <c r="H2277" i="1"/>
  <c r="H2787" i="1"/>
  <c r="H2379" i="1"/>
  <c r="H2631" i="1"/>
  <c r="H2221" i="1"/>
  <c r="H2733" i="1"/>
  <c r="H2937" i="1"/>
  <c r="H2529" i="1"/>
  <c r="H2835" i="1"/>
  <c r="H2427" i="1"/>
  <c r="H2325" i="1"/>
  <c r="H2674" i="1"/>
  <c r="H2265" i="1"/>
  <c r="H2776" i="1"/>
  <c r="H2572" i="1"/>
  <c r="H2161" i="1"/>
  <c r="H2878" i="1"/>
  <c r="H2470" i="1"/>
  <c r="H2368" i="1"/>
  <c r="H2729" i="1"/>
  <c r="H2321" i="1"/>
  <c r="H2423" i="1"/>
  <c r="H2627" i="1"/>
  <c r="H2217" i="1"/>
  <c r="H2831" i="1"/>
  <c r="H2933" i="1"/>
  <c r="H2525" i="1"/>
  <c r="H2942" i="1"/>
  <c r="H2534" i="1"/>
  <c r="H2226" i="1"/>
  <c r="H2840" i="1"/>
  <c r="H2432" i="1"/>
  <c r="H2738" i="1"/>
  <c r="H2330" i="1"/>
  <c r="H2636" i="1"/>
  <c r="H2232" i="1"/>
  <c r="H2642" i="1"/>
  <c r="H2948" i="1"/>
  <c r="H2336" i="1"/>
  <c r="H2744" i="1"/>
  <c r="H2540" i="1"/>
  <c r="H2438" i="1"/>
  <c r="H2114" i="1"/>
  <c r="H2218" i="1" s="1"/>
  <c r="H2526" i="1" l="1"/>
  <c r="H2730" i="1"/>
  <c r="H2934" i="1"/>
  <c r="H2322" i="1"/>
  <c r="H2424" i="1"/>
  <c r="H2832" i="1"/>
  <c r="H2628" i="1"/>
  <c r="H2092" i="1"/>
  <c r="H2810" i="1" l="1"/>
  <c r="H2402" i="1"/>
  <c r="H2708" i="1"/>
  <c r="H2300" i="1"/>
  <c r="H2606" i="1"/>
  <c r="H2196" i="1"/>
  <c r="H2912" i="1"/>
  <c r="H2504" i="1"/>
  <c r="A2050" i="1" l="1"/>
  <c r="G43" i="2" l="1"/>
  <c r="J39" i="2"/>
  <c r="J40" i="2" l="1"/>
  <c r="J41" i="2"/>
  <c r="H2577" i="1"/>
  <c r="H2167" i="1"/>
  <c r="H2883" i="1"/>
  <c r="H2475" i="1"/>
  <c r="H2271" i="1"/>
  <c r="H2781" i="1"/>
  <c r="H2373" i="1"/>
  <c r="H2679" i="1"/>
  <c r="L31" i="2" l="1"/>
  <c r="P34" i="2"/>
  <c r="P33" i="2"/>
  <c r="P36" i="2"/>
  <c r="J36" i="2" s="1"/>
  <c r="P32" i="2"/>
  <c r="P35" i="2"/>
  <c r="P37" i="2" l="1"/>
  <c r="J37" i="2" s="1"/>
  <c r="J32" i="2"/>
  <c r="K32" i="2" s="1"/>
  <c r="I8829" i="1" l="1"/>
  <c r="I5440" i="1"/>
  <c r="L32" i="2"/>
  <c r="I5442" i="1" l="1"/>
  <c r="I5445" i="1" s="1"/>
  <c r="M5440" i="1"/>
  <c r="G5440" i="1"/>
  <c r="O5440" i="1" s="1"/>
  <c r="I8831" i="1"/>
  <c r="I8834" i="1" s="1"/>
  <c r="G8829" i="1"/>
  <c r="O8829" i="1" s="1"/>
  <c r="O8831" i="1" s="1"/>
  <c r="M8829" i="1"/>
  <c r="H63" i="1"/>
  <c r="O5442" i="1" l="1"/>
  <c r="O5439" i="1" s="1"/>
  <c r="O5441" i="1"/>
  <c r="Q5440" i="1"/>
  <c r="Q8829" i="1"/>
  <c r="O8830" i="1"/>
  <c r="I8840" i="1"/>
  <c r="G8834" i="1"/>
  <c r="O8834" i="1" s="1"/>
  <c r="M8834" i="1"/>
  <c r="I5451" i="1"/>
  <c r="M5445" i="1"/>
  <c r="G5445" i="1"/>
  <c r="O5445" i="1" s="1"/>
  <c r="H3069" i="1"/>
  <c r="H2981" i="1"/>
  <c r="H3044" i="1"/>
  <c r="N3054" i="1"/>
  <c r="H3039" i="1"/>
  <c r="H3049" i="1"/>
  <c r="N3034" i="1"/>
  <c r="H3021" i="1"/>
  <c r="H3020" i="1"/>
  <c r="H3009" i="1"/>
  <c r="H2993" i="1"/>
  <c r="H2992" i="1"/>
  <c r="H2988" i="1"/>
  <c r="N2152" i="1"/>
  <c r="H2151" i="1"/>
  <c r="H2126" i="1"/>
  <c r="H2125" i="1"/>
  <c r="H2124" i="1"/>
  <c r="H2123" i="1"/>
  <c r="H2120" i="1"/>
  <c r="H2111" i="1"/>
  <c r="H2109" i="1"/>
  <c r="H2108" i="1"/>
  <c r="H2116" i="1"/>
  <c r="H2077" i="1"/>
  <c r="H2096" i="1"/>
  <c r="H2087" i="1"/>
  <c r="H2086" i="1"/>
  <c r="H2085" i="1"/>
  <c r="H2064" i="1"/>
  <c r="H2052" i="1"/>
  <c r="I8841" i="1" l="1"/>
  <c r="G8840" i="1"/>
  <c r="O8840" i="1" s="1"/>
  <c r="M8840" i="1"/>
  <c r="Q5445" i="1"/>
  <c r="O5444" i="1"/>
  <c r="Q5444" i="1" s="1"/>
  <c r="O5446" i="1"/>
  <c r="O8828" i="1"/>
  <c r="O8832" i="1"/>
  <c r="Q8831" i="1"/>
  <c r="Q5439" i="1"/>
  <c r="I5452" i="1"/>
  <c r="M5451" i="1"/>
  <c r="G5451" i="1"/>
  <c r="O5451" i="1" s="1"/>
  <c r="O8835" i="1"/>
  <c r="Q8834" i="1"/>
  <c r="O8833" i="1"/>
  <c r="Q8833" i="1" s="1"/>
  <c r="O5443" i="1"/>
  <c r="Q5442" i="1"/>
  <c r="H2680" i="1"/>
  <c r="H2476" i="1"/>
  <c r="H2272" i="1"/>
  <c r="H2374" i="1"/>
  <c r="H2884" i="1"/>
  <c r="H2168" i="1"/>
  <c r="H2578" i="1"/>
  <c r="H2782" i="1"/>
  <c r="H2702" i="1"/>
  <c r="H2190" i="1"/>
  <c r="H2804" i="1"/>
  <c r="H2600" i="1"/>
  <c r="H2294" i="1"/>
  <c r="H2906" i="1"/>
  <c r="H2396" i="1"/>
  <c r="H2498" i="1"/>
  <c r="H2742" i="1"/>
  <c r="H2230" i="1"/>
  <c r="H2946" i="1"/>
  <c r="H2538" i="1"/>
  <c r="H2436" i="1"/>
  <c r="H2334" i="1"/>
  <c r="H2844" i="1"/>
  <c r="H2640" i="1"/>
  <c r="H3106" i="1"/>
  <c r="H3203" i="1"/>
  <c r="H3300" i="1"/>
  <c r="H2907" i="1"/>
  <c r="H2191" i="1"/>
  <c r="H2601" i="1"/>
  <c r="H2295" i="1"/>
  <c r="H2397" i="1"/>
  <c r="H2499" i="1"/>
  <c r="H2805" i="1"/>
  <c r="H2703" i="1"/>
  <c r="H2712" i="1"/>
  <c r="H2406" i="1"/>
  <c r="H2508" i="1"/>
  <c r="H2916" i="1"/>
  <c r="H2304" i="1"/>
  <c r="H2200" i="1"/>
  <c r="H2814" i="1"/>
  <c r="H2610" i="1"/>
  <c r="H2181" i="1"/>
  <c r="H2693" i="1"/>
  <c r="H2489" i="1"/>
  <c r="H2285" i="1"/>
  <c r="H2795" i="1"/>
  <c r="H2591" i="1"/>
  <c r="H2387" i="1"/>
  <c r="H2928" i="1"/>
  <c r="H2826" i="1"/>
  <c r="H2724" i="1"/>
  <c r="H2212" i="1"/>
  <c r="H2316" i="1"/>
  <c r="H2520" i="1"/>
  <c r="H2622" i="1"/>
  <c r="H2418" i="1"/>
  <c r="H2725" i="1"/>
  <c r="H2623" i="1"/>
  <c r="H2521" i="1"/>
  <c r="H2827" i="1"/>
  <c r="H2419" i="1"/>
  <c r="H2929" i="1"/>
  <c r="H2213" i="1"/>
  <c r="H2317" i="1"/>
  <c r="H2736" i="1"/>
  <c r="H2430" i="1"/>
  <c r="H2838" i="1"/>
  <c r="H2532" i="1"/>
  <c r="H2634" i="1"/>
  <c r="H2224" i="1"/>
  <c r="H2328" i="1"/>
  <c r="H2940" i="1"/>
  <c r="N2972" i="1"/>
  <c r="N2360" i="1"/>
  <c r="N2564" i="1"/>
  <c r="N2256" i="1"/>
  <c r="N2666" i="1"/>
  <c r="N2768" i="1"/>
  <c r="N2462" i="1"/>
  <c r="N2870" i="1"/>
  <c r="H3279" i="1"/>
  <c r="H3182" i="1"/>
  <c r="H3085" i="1"/>
  <c r="H3090" i="1"/>
  <c r="H3187" i="1"/>
  <c r="H3284" i="1"/>
  <c r="H3312" i="1"/>
  <c r="H3118" i="1"/>
  <c r="H3215" i="1"/>
  <c r="H3319" i="1"/>
  <c r="H3125" i="1"/>
  <c r="H3222" i="1"/>
  <c r="H2739" i="1"/>
  <c r="H2433" i="1"/>
  <c r="H2227" i="1"/>
  <c r="H2331" i="1"/>
  <c r="H2943" i="1"/>
  <c r="H2841" i="1"/>
  <c r="H2637" i="1"/>
  <c r="H2535" i="1"/>
  <c r="H2851" i="1"/>
  <c r="H2237" i="1"/>
  <c r="H2341" i="1"/>
  <c r="H2545" i="1"/>
  <c r="H2647" i="1"/>
  <c r="H2749" i="1"/>
  <c r="H2953" i="1"/>
  <c r="H2443" i="1"/>
  <c r="N3151" i="1"/>
  <c r="N3345" i="1"/>
  <c r="N3248" i="1"/>
  <c r="H2067" i="1"/>
  <c r="H2065" i="1"/>
  <c r="H2639" i="1"/>
  <c r="H2741" i="1"/>
  <c r="H2229" i="1"/>
  <c r="H2333" i="1"/>
  <c r="H2435" i="1"/>
  <c r="H2537" i="1"/>
  <c r="H2843" i="1"/>
  <c r="H2945" i="1"/>
  <c r="H3322" i="1"/>
  <c r="H3225" i="1"/>
  <c r="H3128" i="1"/>
  <c r="H2842" i="1"/>
  <c r="H2740" i="1"/>
  <c r="H2228" i="1"/>
  <c r="H2332" i="1"/>
  <c r="H2638" i="1"/>
  <c r="H2536" i="1"/>
  <c r="H2434" i="1"/>
  <c r="H2944" i="1"/>
  <c r="H3146" i="1"/>
  <c r="H3340" i="1"/>
  <c r="H3243" i="1"/>
  <c r="H2568" i="1"/>
  <c r="H2260" i="1"/>
  <c r="H2874" i="1"/>
  <c r="H2772" i="1"/>
  <c r="H2670" i="1"/>
  <c r="H2156" i="1"/>
  <c r="H2364" i="1"/>
  <c r="H2466" i="1"/>
  <c r="H2803" i="1"/>
  <c r="H2395" i="1"/>
  <c r="H2905" i="1"/>
  <c r="H2189" i="1"/>
  <c r="H2599" i="1"/>
  <c r="H2293" i="1"/>
  <c r="H2701" i="1"/>
  <c r="H2497" i="1"/>
  <c r="H2592" i="1"/>
  <c r="H2796" i="1"/>
  <c r="H2286" i="1"/>
  <c r="H2490" i="1"/>
  <c r="H2388" i="1"/>
  <c r="H2182" i="1"/>
  <c r="H2694" i="1"/>
  <c r="H2898" i="1"/>
  <c r="H2630" i="1"/>
  <c r="H2220" i="1"/>
  <c r="H2426" i="1"/>
  <c r="H2528" i="1"/>
  <c r="H2324" i="1"/>
  <c r="H2936" i="1"/>
  <c r="H2732" i="1"/>
  <c r="H2834" i="1"/>
  <c r="H2727" i="1"/>
  <c r="H2829" i="1"/>
  <c r="H2625" i="1"/>
  <c r="H2421" i="1"/>
  <c r="H2523" i="1"/>
  <c r="H2931" i="1"/>
  <c r="H2319" i="1"/>
  <c r="H2215" i="1"/>
  <c r="H2665" i="1"/>
  <c r="H2767" i="1"/>
  <c r="H2563" i="1"/>
  <c r="H2461" i="1"/>
  <c r="H2971" i="1"/>
  <c r="H2255" i="1"/>
  <c r="H2869" i="1"/>
  <c r="H2359" i="1"/>
  <c r="H2991" i="1"/>
  <c r="H2989" i="1"/>
  <c r="H3089" i="1"/>
  <c r="H3283" i="1"/>
  <c r="H3186" i="1"/>
  <c r="H3311" i="1"/>
  <c r="H3214" i="1"/>
  <c r="H3117" i="1"/>
  <c r="N3325" i="1"/>
  <c r="N3131" i="1"/>
  <c r="N3228" i="1"/>
  <c r="H3136" i="1"/>
  <c r="H3330" i="1"/>
  <c r="H3233" i="1"/>
  <c r="H3141" i="1"/>
  <c r="H3238" i="1"/>
  <c r="H3335" i="1"/>
  <c r="H3078" i="1"/>
  <c r="H3272" i="1"/>
  <c r="H3175" i="1"/>
  <c r="H3166" i="1"/>
  <c r="H3360" i="1"/>
  <c r="H3263" i="1"/>
  <c r="N2063" i="1"/>
  <c r="N2077" i="1"/>
  <c r="O5438" i="1" l="1"/>
  <c r="Q5438" i="1" s="1"/>
  <c r="Q8828" i="1"/>
  <c r="O8827" i="1"/>
  <c r="Q8827" i="1" s="1"/>
  <c r="Q5451" i="1"/>
  <c r="I5453" i="1"/>
  <c r="M5452" i="1"/>
  <c r="G5452" i="1"/>
  <c r="O5452" i="1" s="1"/>
  <c r="Q5452" i="1" s="1"/>
  <c r="Q8840" i="1"/>
  <c r="I8842" i="1"/>
  <c r="M8841" i="1"/>
  <c r="G8841" i="1"/>
  <c r="O8841" i="1" s="1"/>
  <c r="Q8841" i="1" s="1"/>
  <c r="H2897" i="1"/>
  <c r="N2181" i="1"/>
  <c r="N2693" i="1"/>
  <c r="N2489" i="1"/>
  <c r="N2285" i="1"/>
  <c r="N2387" i="1"/>
  <c r="N2795" i="1"/>
  <c r="N2591" i="1"/>
  <c r="H3280" i="1"/>
  <c r="H3086" i="1"/>
  <c r="H3183" i="1"/>
  <c r="H2681" i="1"/>
  <c r="H2375" i="1"/>
  <c r="H2783" i="1"/>
  <c r="H2169" i="1"/>
  <c r="H2477" i="1"/>
  <c r="H2579" i="1"/>
  <c r="H2273" i="1"/>
  <c r="H2885" i="1"/>
  <c r="H3088" i="1"/>
  <c r="H3185" i="1"/>
  <c r="H3282" i="1"/>
  <c r="H2887" i="1"/>
  <c r="H2377" i="1"/>
  <c r="H2479" i="1"/>
  <c r="H2171" i="1"/>
  <c r="H2581" i="1"/>
  <c r="H2275" i="1"/>
  <c r="H2683" i="1"/>
  <c r="H2785" i="1"/>
  <c r="N2679" i="1"/>
  <c r="N2271" i="1"/>
  <c r="N2781" i="1"/>
  <c r="N2373" i="1"/>
  <c r="N2577" i="1"/>
  <c r="N2167" i="1"/>
  <c r="N2883" i="1"/>
  <c r="N2475" i="1"/>
  <c r="I5454" i="1" l="1"/>
  <c r="M5453" i="1"/>
  <c r="G5453" i="1"/>
  <c r="O5453" i="1" s="1"/>
  <c r="Q5453" i="1" s="1"/>
  <c r="I8843" i="1"/>
  <c r="M8842" i="1"/>
  <c r="G8842" i="1"/>
  <c r="O8842" i="1" s="1"/>
  <c r="Q8842" i="1" s="1"/>
  <c r="N2897" i="1"/>
  <c r="H90" i="1"/>
  <c r="H67" i="1"/>
  <c r="H27" i="1"/>
  <c r="N25" i="1"/>
  <c r="I8844" i="1" l="1"/>
  <c r="G8843" i="1"/>
  <c r="O8843" i="1" s="1"/>
  <c r="Q8843" i="1" s="1"/>
  <c r="M8843" i="1"/>
  <c r="I5455" i="1"/>
  <c r="M5454" i="1"/>
  <c r="G5454" i="1"/>
  <c r="O5454" i="1" s="1"/>
  <c r="Q5454" i="1" s="1"/>
  <c r="N1945" i="1"/>
  <c r="N1465" i="1"/>
  <c r="N985" i="1"/>
  <c r="N505" i="1"/>
  <c r="N1105" i="1"/>
  <c r="N1825" i="1"/>
  <c r="N1345" i="1"/>
  <c r="N865" i="1"/>
  <c r="N385" i="1"/>
  <c r="N1705" i="1"/>
  <c r="N1225" i="1"/>
  <c r="N745" i="1"/>
  <c r="N265" i="1"/>
  <c r="N1585" i="1"/>
  <c r="N625" i="1"/>
  <c r="N145" i="1"/>
  <c r="H1650" i="1"/>
  <c r="H1170" i="1"/>
  <c r="H690" i="1"/>
  <c r="H210" i="1"/>
  <c r="H2010" i="1"/>
  <c r="H1530" i="1"/>
  <c r="H1050" i="1"/>
  <c r="H570" i="1"/>
  <c r="H1890" i="1"/>
  <c r="H1410" i="1"/>
  <c r="H930" i="1"/>
  <c r="H450" i="1"/>
  <c r="H1770" i="1"/>
  <c r="H1290" i="1"/>
  <c r="H810" i="1"/>
  <c r="H330" i="1"/>
  <c r="N27" i="1"/>
  <c r="N747" i="1" s="1"/>
  <c r="H1707" i="1"/>
  <c r="H1227" i="1"/>
  <c r="H747" i="1"/>
  <c r="H267" i="1"/>
  <c r="H1587" i="1"/>
  <c r="H1107" i="1"/>
  <c r="H627" i="1"/>
  <c r="H147" i="1"/>
  <c r="H1947" i="1"/>
  <c r="H987" i="1"/>
  <c r="H1827" i="1"/>
  <c r="H867" i="1"/>
  <c r="H1467" i="1"/>
  <c r="H507" i="1"/>
  <c r="H1347" i="1"/>
  <c r="H387" i="1"/>
  <c r="H1747" i="1"/>
  <c r="H1267" i="1"/>
  <c r="H787" i="1"/>
  <c r="H307" i="1"/>
  <c r="H1627" i="1"/>
  <c r="H1147" i="1"/>
  <c r="H667" i="1"/>
  <c r="H187" i="1"/>
  <c r="H1987" i="1"/>
  <c r="H1027" i="1"/>
  <c r="H1867" i="1"/>
  <c r="H907" i="1"/>
  <c r="H1507" i="1"/>
  <c r="H547" i="1"/>
  <c r="H1387" i="1"/>
  <c r="H427" i="1"/>
  <c r="H1731" i="1"/>
  <c r="H1251" i="1"/>
  <c r="H771" i="1"/>
  <c r="H291" i="1"/>
  <c r="H1611" i="1"/>
  <c r="H1131" i="1"/>
  <c r="H651" i="1"/>
  <c r="H171" i="1"/>
  <c r="H1491" i="1"/>
  <c r="H531" i="1"/>
  <c r="H1371" i="1"/>
  <c r="H411" i="1"/>
  <c r="H1971" i="1"/>
  <c r="H1011" i="1"/>
  <c r="H1851" i="1"/>
  <c r="H891" i="1"/>
  <c r="I17" i="2"/>
  <c r="J17" i="2" s="1"/>
  <c r="I5460" i="1" l="1"/>
  <c r="I5456" i="1"/>
  <c r="G5455" i="1"/>
  <c r="O5455" i="1" s="1"/>
  <c r="Q5455" i="1" s="1"/>
  <c r="M5455" i="1"/>
  <c r="I8849" i="1"/>
  <c r="I8845" i="1"/>
  <c r="M8844" i="1"/>
  <c r="G8844" i="1"/>
  <c r="O8844" i="1" s="1"/>
  <c r="Q8844" i="1" s="1"/>
  <c r="N987" i="1"/>
  <c r="N1947" i="1"/>
  <c r="N627" i="1"/>
  <c r="N1347" i="1"/>
  <c r="N1107" i="1"/>
  <c r="N267" i="1"/>
  <c r="N1827" i="1"/>
  <c r="N1467" i="1"/>
  <c r="N1587" i="1"/>
  <c r="N1707" i="1"/>
  <c r="N387" i="1"/>
  <c r="N1227" i="1"/>
  <c r="N507" i="1"/>
  <c r="N147" i="1"/>
  <c r="N867" i="1"/>
  <c r="J30" i="2"/>
  <c r="G29" i="2"/>
  <c r="G30" i="2" s="1"/>
  <c r="I5457" i="1" l="1"/>
  <c r="G5456" i="1"/>
  <c r="O5456" i="1" s="1"/>
  <c r="M5456" i="1"/>
  <c r="I8846" i="1"/>
  <c r="G8845" i="1"/>
  <c r="O8845" i="1" s="1"/>
  <c r="M8845" i="1"/>
  <c r="G8849" i="1"/>
  <c r="O8849" i="1" s="1"/>
  <c r="I8850" i="1"/>
  <c r="G8850" i="1" s="1"/>
  <c r="O8850" i="1" s="1"/>
  <c r="Q8850" i="1" s="1"/>
  <c r="I8851" i="1"/>
  <c r="I5462" i="1"/>
  <c r="I5461" i="1"/>
  <c r="G5461" i="1" s="1"/>
  <c r="O5461" i="1" s="1"/>
  <c r="Q5461" i="1" s="1"/>
  <c r="G5460" i="1"/>
  <c r="O5460" i="1" s="1"/>
  <c r="J27" i="2"/>
  <c r="J26" i="2"/>
  <c r="J28" i="2"/>
  <c r="J25" i="2"/>
  <c r="K25" i="2" s="1"/>
  <c r="Q8849" i="1" l="1"/>
  <c r="Q8845" i="1"/>
  <c r="Q5460" i="1"/>
  <c r="G8846" i="1"/>
  <c r="O8846" i="1" s="1"/>
  <c r="M8846" i="1"/>
  <c r="I5464" i="1"/>
  <c r="G5462" i="1"/>
  <c r="O5462" i="1" s="1"/>
  <c r="Q5462" i="1" s="1"/>
  <c r="Q5456" i="1"/>
  <c r="I9753" i="1"/>
  <c r="I6364" i="1"/>
  <c r="I8853" i="1"/>
  <c r="G8851" i="1"/>
  <c r="O8851" i="1" s="1"/>
  <c r="Q8851" i="1" s="1"/>
  <c r="G5457" i="1"/>
  <c r="O5457" i="1" s="1"/>
  <c r="Q5457" i="1" s="1"/>
  <c r="M5457" i="1"/>
  <c r="H2987" i="1"/>
  <c r="H3052" i="1"/>
  <c r="H3149" i="1" s="1"/>
  <c r="O5450" i="1" l="1"/>
  <c r="Q5450" i="1" s="1"/>
  <c r="O5458" i="1"/>
  <c r="I8855" i="1"/>
  <c r="I8854" i="1"/>
  <c r="G8853" i="1"/>
  <c r="O8853" i="1" s="1"/>
  <c r="M8853" i="1"/>
  <c r="I6366" i="1"/>
  <c r="I6369" i="1" s="1"/>
  <c r="G6364" i="1"/>
  <c r="O6364" i="1" s="1"/>
  <c r="M6364" i="1"/>
  <c r="I9755" i="1"/>
  <c r="I9758" i="1" s="1"/>
  <c r="M9753" i="1"/>
  <c r="G9753" i="1"/>
  <c r="O9753" i="1" s="1"/>
  <c r="O5463" i="1"/>
  <c r="Q8846" i="1"/>
  <c r="O8847" i="1"/>
  <c r="O8839" i="1"/>
  <c r="O8852" i="1"/>
  <c r="G5464" i="1"/>
  <c r="O5464" i="1" s="1"/>
  <c r="M5464" i="1"/>
  <c r="I5466" i="1"/>
  <c r="I5465" i="1"/>
  <c r="H3278" i="1"/>
  <c r="K27" i="2"/>
  <c r="K28" i="2"/>
  <c r="K26" i="2"/>
  <c r="H3181" i="1"/>
  <c r="H3246" i="1"/>
  <c r="H3343" i="1"/>
  <c r="H3084" i="1"/>
  <c r="I6" i="2"/>
  <c r="J6" i="2" s="1"/>
  <c r="I10044" i="1" l="1"/>
  <c r="I6655" i="1"/>
  <c r="Q8839" i="1"/>
  <c r="I9764" i="1"/>
  <c r="M9758" i="1"/>
  <c r="G9758" i="1"/>
  <c r="O9758" i="1" s="1"/>
  <c r="O6366" i="1"/>
  <c r="Q6364" i="1"/>
  <c r="R6364" i="1" s="1"/>
  <c r="O6365" i="1"/>
  <c r="I9947" i="1"/>
  <c r="I6558" i="1"/>
  <c r="M5465" i="1"/>
  <c r="G5465" i="1"/>
  <c r="O5465" i="1" s="1"/>
  <c r="Q5465" i="1" s="1"/>
  <c r="I6375" i="1"/>
  <c r="M6369" i="1"/>
  <c r="G6369" i="1"/>
  <c r="O6369" i="1" s="1"/>
  <c r="Q8853" i="1"/>
  <c r="M5466" i="1"/>
  <c r="I5468" i="1"/>
  <c r="G5466" i="1"/>
  <c r="O5466" i="1" s="1"/>
  <c r="Q5466" i="1" s="1"/>
  <c r="Q5464" i="1"/>
  <c r="Q9753" i="1"/>
  <c r="R9753" i="1" s="1"/>
  <c r="O9755" i="1"/>
  <c r="O9754" i="1"/>
  <c r="M8854" i="1"/>
  <c r="G8854" i="1"/>
  <c r="O8854" i="1" s="1"/>
  <c r="Q8854" i="1" s="1"/>
  <c r="I9850" i="1"/>
  <c r="I6461" i="1"/>
  <c r="I8857" i="1"/>
  <c r="G8855" i="1"/>
  <c r="O8855" i="1" s="1"/>
  <c r="Q8855" i="1" s="1"/>
  <c r="L27" i="2"/>
  <c r="Q6366" i="1" l="1"/>
  <c r="O6367" i="1"/>
  <c r="O6363" i="1" s="1"/>
  <c r="I6463" i="1"/>
  <c r="I6466" i="1" s="1"/>
  <c r="M6461" i="1"/>
  <c r="G6461" i="1"/>
  <c r="O6461" i="1" s="1"/>
  <c r="O5467" i="1"/>
  <c r="I6376" i="1"/>
  <c r="G6375" i="1"/>
  <c r="O6375" i="1" s="1"/>
  <c r="M6375" i="1"/>
  <c r="O9759" i="1"/>
  <c r="Q9758" i="1"/>
  <c r="O9757" i="1"/>
  <c r="Q9757" i="1" s="1"/>
  <c r="I9765" i="1"/>
  <c r="M9764" i="1"/>
  <c r="G9764" i="1"/>
  <c r="O9764" i="1" s="1"/>
  <c r="I6560" i="1"/>
  <c r="I6563" i="1" s="1"/>
  <c r="G6558" i="1"/>
  <c r="O6558" i="1" s="1"/>
  <c r="M6558" i="1"/>
  <c r="O8856" i="1"/>
  <c r="I9949" i="1"/>
  <c r="I9952" i="1" s="1"/>
  <c r="M9947" i="1"/>
  <c r="G9947" i="1"/>
  <c r="O9947" i="1" s="1"/>
  <c r="O9756" i="1"/>
  <c r="O9752" i="1" s="1"/>
  <c r="Q9755" i="1"/>
  <c r="I6657" i="1"/>
  <c r="I6660" i="1" s="1"/>
  <c r="M6655" i="1"/>
  <c r="G6655" i="1"/>
  <c r="O6655" i="1" s="1"/>
  <c r="I9852" i="1"/>
  <c r="I9855" i="1" s="1"/>
  <c r="G9850" i="1"/>
  <c r="O9850" i="1" s="1"/>
  <c r="M9850" i="1"/>
  <c r="I5473" i="1"/>
  <c r="G5468" i="1"/>
  <c r="O5468" i="1" s="1"/>
  <c r="G8857" i="1"/>
  <c r="O8857" i="1" s="1"/>
  <c r="I8862" i="1"/>
  <c r="O6368" i="1"/>
  <c r="Q6368" i="1" s="1"/>
  <c r="O6370" i="1"/>
  <c r="Q6369" i="1"/>
  <c r="I10046" i="1"/>
  <c r="I10049" i="1" s="1"/>
  <c r="G10044" i="1"/>
  <c r="O10044" i="1" s="1"/>
  <c r="M10044" i="1"/>
  <c r="K3364" i="1"/>
  <c r="O5469" i="1" l="1"/>
  <c r="Q5468" i="1"/>
  <c r="I6569" i="1"/>
  <c r="G6563" i="1"/>
  <c r="O6563" i="1" s="1"/>
  <c r="M6563" i="1"/>
  <c r="Q6375" i="1"/>
  <c r="I10055" i="1"/>
  <c r="M10049" i="1"/>
  <c r="G10049" i="1"/>
  <c r="O10049" i="1" s="1"/>
  <c r="I8863" i="1"/>
  <c r="G8862" i="1"/>
  <c r="O8862" i="1" s="1"/>
  <c r="M8862" i="1"/>
  <c r="O10046" i="1"/>
  <c r="Q10044" i="1"/>
  <c r="O10045" i="1"/>
  <c r="I5474" i="1"/>
  <c r="G5473" i="1"/>
  <c r="O5473" i="1" s="1"/>
  <c r="M5473" i="1"/>
  <c r="Q9752" i="1"/>
  <c r="O9751" i="1"/>
  <c r="Q9751" i="1" s="1"/>
  <c r="Q9764" i="1"/>
  <c r="I6377" i="1"/>
  <c r="G6376" i="1"/>
  <c r="O6376" i="1" s="1"/>
  <c r="Q6376" i="1" s="1"/>
  <c r="M6376" i="1"/>
  <c r="O5459" i="1"/>
  <c r="I9766" i="1"/>
  <c r="G9765" i="1"/>
  <c r="O9765" i="1" s="1"/>
  <c r="Q9765" i="1" s="1"/>
  <c r="M9765" i="1"/>
  <c r="Q6461" i="1"/>
  <c r="O6463" i="1"/>
  <c r="O6462" i="1"/>
  <c r="O9949" i="1"/>
  <c r="O9948" i="1"/>
  <c r="Q9947" i="1"/>
  <c r="I9958" i="1"/>
  <c r="M9952" i="1"/>
  <c r="G9952" i="1"/>
  <c r="O9952" i="1" s="1"/>
  <c r="O9852" i="1"/>
  <c r="O9851" i="1"/>
  <c r="Q9850" i="1"/>
  <c r="I9861" i="1"/>
  <c r="M9855" i="1"/>
  <c r="G9855" i="1"/>
  <c r="O9855" i="1" s="1"/>
  <c r="O6657" i="1"/>
  <c r="O6656" i="1"/>
  <c r="Q6655" i="1"/>
  <c r="I6472" i="1"/>
  <c r="M6466" i="1"/>
  <c r="G6466" i="1"/>
  <c r="O6466" i="1" s="1"/>
  <c r="Q6363" i="1"/>
  <c r="O6362" i="1"/>
  <c r="Q6362" i="1" s="1"/>
  <c r="Q8857" i="1"/>
  <c r="O8858" i="1"/>
  <c r="O8848" i="1" s="1"/>
  <c r="I6666" i="1"/>
  <c r="M6660" i="1"/>
  <c r="G6660" i="1"/>
  <c r="O6660" i="1" s="1"/>
  <c r="O6560" i="1"/>
  <c r="O6559" i="1"/>
  <c r="Q6558" i="1"/>
  <c r="G3364" i="1"/>
  <c r="K3366" i="1"/>
  <c r="K3372" i="1"/>
  <c r="H3372" i="1" s="1"/>
  <c r="G3372" i="1" s="1"/>
  <c r="K3369" i="1"/>
  <c r="K3373" i="1"/>
  <c r="H3373" i="1" s="1"/>
  <c r="G3373" i="1" s="1"/>
  <c r="K3370" i="1"/>
  <c r="K3375" i="1"/>
  <c r="H3375" i="1" s="1"/>
  <c r="G3375" i="1" s="1"/>
  <c r="N3364" i="1"/>
  <c r="N3374" i="1"/>
  <c r="N3373" i="1"/>
  <c r="N3372" i="1"/>
  <c r="Q8848" i="1" l="1"/>
  <c r="O6658" i="1"/>
  <c r="O6654" i="1" s="1"/>
  <c r="Q6657" i="1"/>
  <c r="Q9855" i="1"/>
  <c r="O9854" i="1"/>
  <c r="Q9854" i="1" s="1"/>
  <c r="O9856" i="1"/>
  <c r="I9959" i="1"/>
  <c r="M9958" i="1"/>
  <c r="G9958" i="1"/>
  <c r="O9958" i="1" s="1"/>
  <c r="O10047" i="1"/>
  <c r="O10043" i="1" s="1"/>
  <c r="Q10046" i="1"/>
  <c r="I9767" i="1"/>
  <c r="M9766" i="1"/>
  <c r="G9766" i="1"/>
  <c r="O9766" i="1" s="1"/>
  <c r="Q9766" i="1" s="1"/>
  <c r="I9862" i="1"/>
  <c r="M9861" i="1"/>
  <c r="G9861" i="1"/>
  <c r="O9861" i="1" s="1"/>
  <c r="Q5459" i="1"/>
  <c r="Q8862" i="1"/>
  <c r="I8865" i="1"/>
  <c r="I8864" i="1"/>
  <c r="G8863" i="1"/>
  <c r="O8863" i="1" s="1"/>
  <c r="Q8863" i="1" s="1"/>
  <c r="M8863" i="1"/>
  <c r="O6562" i="1"/>
  <c r="Q6562" i="1" s="1"/>
  <c r="O6564" i="1"/>
  <c r="Q6563" i="1"/>
  <c r="O6561" i="1"/>
  <c r="O6557" i="1" s="1"/>
  <c r="Q6560" i="1"/>
  <c r="I6473" i="1"/>
  <c r="M6472" i="1"/>
  <c r="G6472" i="1"/>
  <c r="O6472" i="1" s="1"/>
  <c r="I6667" i="1"/>
  <c r="M6666" i="1"/>
  <c r="G6666" i="1"/>
  <c r="O6666" i="1" s="1"/>
  <c r="Q5473" i="1"/>
  <c r="Q10049" i="1"/>
  <c r="O10050" i="1"/>
  <c r="O10048" i="1"/>
  <c r="Q10048" i="1" s="1"/>
  <c r="I6570" i="1"/>
  <c r="M6569" i="1"/>
  <c r="G6569" i="1"/>
  <c r="O6569" i="1" s="1"/>
  <c r="O6465" i="1"/>
  <c r="Q6465" i="1" s="1"/>
  <c r="O6467" i="1"/>
  <c r="Q6466" i="1"/>
  <c r="O6661" i="1"/>
  <c r="O6659" i="1"/>
  <c r="Q6659" i="1" s="1"/>
  <c r="Q6660" i="1"/>
  <c r="Q6463" i="1"/>
  <c r="O6464" i="1"/>
  <c r="O6460" i="1" s="1"/>
  <c r="I6378" i="1"/>
  <c r="G6377" i="1"/>
  <c r="O6377" i="1" s="1"/>
  <c r="Q6377" i="1" s="1"/>
  <c r="M6377" i="1"/>
  <c r="I5476" i="1"/>
  <c r="I5475" i="1"/>
  <c r="G5474" i="1"/>
  <c r="O5474" i="1" s="1"/>
  <c r="Q5474" i="1" s="1"/>
  <c r="M5474" i="1"/>
  <c r="O9950" i="1"/>
  <c r="O9946" i="1" s="1"/>
  <c r="Q9949" i="1"/>
  <c r="O9853" i="1"/>
  <c r="O9849" i="1" s="1"/>
  <c r="Q9852" i="1"/>
  <c r="Q9952" i="1"/>
  <c r="O9951" i="1"/>
  <c r="Q9951" i="1" s="1"/>
  <c r="O9953" i="1"/>
  <c r="I10056" i="1"/>
  <c r="M10055" i="1"/>
  <c r="G10055" i="1"/>
  <c r="O10055" i="1" s="1"/>
  <c r="O3364" i="1"/>
  <c r="N3375" i="1"/>
  <c r="O3375" i="1" s="1"/>
  <c r="O3373" i="1"/>
  <c r="O3372" i="1"/>
  <c r="G3369" i="1"/>
  <c r="O3369" i="1" s="1"/>
  <c r="K3374" i="1"/>
  <c r="M5476" i="1" l="1"/>
  <c r="G5476" i="1"/>
  <c r="O5476" i="1" s="1"/>
  <c r="Q5476" i="1" s="1"/>
  <c r="I10057" i="1"/>
  <c r="M10056" i="1"/>
  <c r="G10056" i="1"/>
  <c r="O10056" i="1" s="1"/>
  <c r="Q10056" i="1" s="1"/>
  <c r="O9945" i="1"/>
  <c r="Q9945" i="1" s="1"/>
  <c r="Q9946" i="1"/>
  <c r="Q6460" i="1"/>
  <c r="O6459" i="1"/>
  <c r="Q6459" i="1" s="1"/>
  <c r="Q6569" i="1"/>
  <c r="Q6666" i="1"/>
  <c r="I9768" i="1"/>
  <c r="M9767" i="1"/>
  <c r="G9767" i="1"/>
  <c r="O9767" i="1" s="1"/>
  <c r="I6571" i="1"/>
  <c r="M6570" i="1"/>
  <c r="G6570" i="1"/>
  <c r="O6570" i="1" s="1"/>
  <c r="Q6570" i="1" s="1"/>
  <c r="I6668" i="1"/>
  <c r="G6667" i="1"/>
  <c r="O6667" i="1" s="1"/>
  <c r="Q6667" i="1" s="1"/>
  <c r="M6667" i="1"/>
  <c r="Q6472" i="1"/>
  <c r="Q9861" i="1"/>
  <c r="Q10043" i="1"/>
  <c r="O10042" i="1"/>
  <c r="Q10042" i="1" s="1"/>
  <c r="O6653" i="1"/>
  <c r="Q6653" i="1" s="1"/>
  <c r="Q6654" i="1"/>
  <c r="Q9958" i="1"/>
  <c r="I5477" i="1"/>
  <c r="G5475" i="1"/>
  <c r="O5475" i="1" s="1"/>
  <c r="Q5475" i="1" s="1"/>
  <c r="M5475" i="1"/>
  <c r="I6474" i="1"/>
  <c r="G6473" i="1"/>
  <c r="O6473" i="1" s="1"/>
  <c r="Q6473" i="1" s="1"/>
  <c r="M6473" i="1"/>
  <c r="I8866" i="1"/>
  <c r="M8864" i="1"/>
  <c r="G8864" i="1"/>
  <c r="O8864" i="1" s="1"/>
  <c r="Q8864" i="1" s="1"/>
  <c r="I9863" i="1"/>
  <c r="M9862" i="1"/>
  <c r="G9862" i="1"/>
  <c r="O9862" i="1" s="1"/>
  <c r="Q9862" i="1" s="1"/>
  <c r="Q10055" i="1"/>
  <c r="O9848" i="1"/>
  <c r="Q9848" i="1" s="1"/>
  <c r="Q9849" i="1"/>
  <c r="G8865" i="1"/>
  <c r="O8865" i="1" s="1"/>
  <c r="Q8865" i="1" s="1"/>
  <c r="M8865" i="1"/>
  <c r="I9960" i="1"/>
  <c r="M9959" i="1"/>
  <c r="G9959" i="1"/>
  <c r="O9959" i="1" s="1"/>
  <c r="Q9959" i="1" s="1"/>
  <c r="I6379" i="1"/>
  <c r="M6378" i="1"/>
  <c r="G6378" i="1"/>
  <c r="O6378" i="1" s="1"/>
  <c r="Q6378" i="1" s="1"/>
  <c r="O6556" i="1"/>
  <c r="Q6556" i="1" s="1"/>
  <c r="Q6557" i="1"/>
  <c r="Q3369" i="1"/>
  <c r="Q3373" i="1"/>
  <c r="Q3375" i="1"/>
  <c r="Q3364" i="1"/>
  <c r="Q3372" i="1"/>
  <c r="O3370" i="1"/>
  <c r="O3366" i="1"/>
  <c r="Q3366" i="1" s="1"/>
  <c r="O3365" i="1"/>
  <c r="H3374" i="1"/>
  <c r="G3374" i="1" s="1"/>
  <c r="O3374" i="1" s="1"/>
  <c r="I9774" i="1" l="1"/>
  <c r="G9774" i="1" s="1"/>
  <c r="O9774" i="1" s="1"/>
  <c r="Q9774" i="1" s="1"/>
  <c r="I9773" i="1"/>
  <c r="I9769" i="1"/>
  <c r="G9768" i="1"/>
  <c r="O9768" i="1" s="1"/>
  <c r="M9768" i="1"/>
  <c r="I6475" i="1"/>
  <c r="G6474" i="1"/>
  <c r="O6474" i="1" s="1"/>
  <c r="Q6474" i="1" s="1"/>
  <c r="M6474" i="1"/>
  <c r="I6572" i="1"/>
  <c r="M6571" i="1"/>
  <c r="G6571" i="1"/>
  <c r="O6571" i="1" s="1"/>
  <c r="I9864" i="1"/>
  <c r="M9863" i="1"/>
  <c r="G9863" i="1"/>
  <c r="O9863" i="1" s="1"/>
  <c r="Q9863" i="1" s="1"/>
  <c r="I6380" i="1"/>
  <c r="I6384" i="1"/>
  <c r="I6385" i="1"/>
  <c r="G6385" i="1" s="1"/>
  <c r="O6385" i="1" s="1"/>
  <c r="Q6385" i="1" s="1"/>
  <c r="M6379" i="1"/>
  <c r="G6379" i="1"/>
  <c r="O6379" i="1" s="1"/>
  <c r="Q6379" i="1" s="1"/>
  <c r="G5477" i="1"/>
  <c r="O5477" i="1" s="1"/>
  <c r="M5477" i="1"/>
  <c r="I5480" i="1"/>
  <c r="I10058" i="1"/>
  <c r="M10057" i="1"/>
  <c r="G10057" i="1"/>
  <c r="O10057" i="1" s="1"/>
  <c r="I8869" i="1"/>
  <c r="M8866" i="1"/>
  <c r="G8866" i="1"/>
  <c r="O8866" i="1" s="1"/>
  <c r="Q8866" i="1" s="1"/>
  <c r="Q9767" i="1"/>
  <c r="I9961" i="1"/>
  <c r="M9960" i="1"/>
  <c r="G9960" i="1"/>
  <c r="O9960" i="1" s="1"/>
  <c r="Q9960" i="1" s="1"/>
  <c r="I6669" i="1"/>
  <c r="M6668" i="1"/>
  <c r="G6668" i="1"/>
  <c r="O6668" i="1" s="1"/>
  <c r="Q3370" i="1"/>
  <c r="Q3374" i="1"/>
  <c r="O3367" i="1"/>
  <c r="O3363" i="1"/>
  <c r="Q3363" i="1" s="1"/>
  <c r="G64" i="2"/>
  <c r="O8867" i="1" l="1"/>
  <c r="O8861" i="1" s="1"/>
  <c r="Q6668" i="1"/>
  <c r="Q10057" i="1"/>
  <c r="I9865" i="1"/>
  <c r="G9864" i="1"/>
  <c r="O9864" i="1" s="1"/>
  <c r="M9864" i="1"/>
  <c r="I6476" i="1"/>
  <c r="M6475" i="1"/>
  <c r="G6475" i="1"/>
  <c r="O6475" i="1" s="1"/>
  <c r="Q9768" i="1"/>
  <c r="I6386" i="1"/>
  <c r="G6384" i="1"/>
  <c r="O6384" i="1" s="1"/>
  <c r="I6573" i="1"/>
  <c r="M6572" i="1"/>
  <c r="G6572" i="1"/>
  <c r="O6572" i="1" s="1"/>
  <c r="Q6572" i="1" s="1"/>
  <c r="I9770" i="1"/>
  <c r="M9769" i="1"/>
  <c r="G9769" i="1"/>
  <c r="O9769" i="1" s="1"/>
  <c r="I6381" i="1"/>
  <c r="M6380" i="1"/>
  <c r="G6380" i="1"/>
  <c r="O6380" i="1" s="1"/>
  <c r="G9773" i="1"/>
  <c r="O9773" i="1" s="1"/>
  <c r="I9775" i="1"/>
  <c r="Q6571" i="1"/>
  <c r="I6670" i="1"/>
  <c r="M6669" i="1"/>
  <c r="G6669" i="1"/>
  <c r="O6669" i="1" s="1"/>
  <c r="Q6669" i="1" s="1"/>
  <c r="I10059" i="1"/>
  <c r="M10058" i="1"/>
  <c r="G10058" i="1"/>
  <c r="O10058" i="1" s="1"/>
  <c r="Q10058" i="1" s="1"/>
  <c r="I8873" i="1"/>
  <c r="G8869" i="1"/>
  <c r="O8869" i="1" s="1"/>
  <c r="M8869" i="1"/>
  <c r="I5484" i="1"/>
  <c r="M5480" i="1"/>
  <c r="G5480" i="1"/>
  <c r="O5480" i="1" s="1"/>
  <c r="I9962" i="1"/>
  <c r="M9961" i="1"/>
  <c r="G9961" i="1"/>
  <c r="O9961" i="1" s="1"/>
  <c r="Q9961" i="1" s="1"/>
  <c r="Q5477" i="1"/>
  <c r="O5478" i="1"/>
  <c r="N2150" i="1"/>
  <c r="Q8867" i="1" l="1"/>
  <c r="I9967" i="1"/>
  <c r="I9963" i="1"/>
  <c r="I9968" i="1"/>
  <c r="G9968" i="1" s="1"/>
  <c r="O9968" i="1" s="1"/>
  <c r="Q9968" i="1" s="1"/>
  <c r="M9962" i="1"/>
  <c r="G9962" i="1"/>
  <c r="O9962" i="1" s="1"/>
  <c r="I8874" i="1"/>
  <c r="M8873" i="1"/>
  <c r="G8873" i="1"/>
  <c r="O8873" i="1" s="1"/>
  <c r="I9777" i="1"/>
  <c r="G9775" i="1"/>
  <c r="O9775" i="1" s="1"/>
  <c r="Q9775" i="1" s="1"/>
  <c r="M9770" i="1"/>
  <c r="G9770" i="1"/>
  <c r="O9770" i="1" s="1"/>
  <c r="Q9770" i="1" s="1"/>
  <c r="Q6475" i="1"/>
  <c r="Q9773" i="1"/>
  <c r="Q5480" i="1"/>
  <c r="O5479" i="1"/>
  <c r="Q5479" i="1" s="1"/>
  <c r="I10060" i="1"/>
  <c r="I10065" i="1"/>
  <c r="I10064" i="1"/>
  <c r="M10059" i="1"/>
  <c r="G10059" i="1"/>
  <c r="O10059" i="1" s="1"/>
  <c r="Q10059" i="1" s="1"/>
  <c r="Q6380" i="1"/>
  <c r="I6481" i="1"/>
  <c r="I6477" i="1"/>
  <c r="G6476" i="1"/>
  <c r="O6476" i="1" s="1"/>
  <c r="Q6476" i="1" s="1"/>
  <c r="M6476" i="1"/>
  <c r="Q8861" i="1"/>
  <c r="Q5478" i="1"/>
  <c r="O5472" i="1"/>
  <c r="I6574" i="1"/>
  <c r="I6579" i="1"/>
  <c r="G6579" i="1" s="1"/>
  <c r="O6579" i="1" s="1"/>
  <c r="Q6579" i="1" s="1"/>
  <c r="I6578" i="1"/>
  <c r="G6573" i="1"/>
  <c r="O6573" i="1" s="1"/>
  <c r="Q6573" i="1" s="1"/>
  <c r="M6573" i="1"/>
  <c r="G6381" i="1"/>
  <c r="O6381" i="1" s="1"/>
  <c r="O6374" i="1" s="1"/>
  <c r="M6381" i="1"/>
  <c r="Q6384" i="1"/>
  <c r="Q9864" i="1"/>
  <c r="I6675" i="1"/>
  <c r="I6671" i="1"/>
  <c r="I6676" i="1"/>
  <c r="M6670" i="1"/>
  <c r="G6670" i="1"/>
  <c r="O6670" i="1" s="1"/>
  <c r="Q6670" i="1" s="1"/>
  <c r="G6386" i="1"/>
  <c r="O6386" i="1" s="1"/>
  <c r="Q6386" i="1" s="1"/>
  <c r="I6388" i="1"/>
  <c r="I9866" i="1"/>
  <c r="I9870" i="1"/>
  <c r="G9865" i="1"/>
  <c r="O9865" i="1" s="1"/>
  <c r="M9865" i="1"/>
  <c r="I5485" i="1"/>
  <c r="M5484" i="1"/>
  <c r="G5484" i="1"/>
  <c r="O5484" i="1" s="1"/>
  <c r="O8868" i="1"/>
  <c r="Q8868" i="1" s="1"/>
  <c r="Q8869" i="1"/>
  <c r="Q9769" i="1"/>
  <c r="H2488" i="1"/>
  <c r="N2254" i="1"/>
  <c r="N2562" i="1" s="1"/>
  <c r="N2868" i="1" s="1"/>
  <c r="H2150" i="1"/>
  <c r="H2254" i="1" s="1"/>
  <c r="H2110" i="1"/>
  <c r="H2726" i="1" s="1"/>
  <c r="H2104" i="1"/>
  <c r="H2097" i="1"/>
  <c r="H2068" i="1"/>
  <c r="N2981" i="1"/>
  <c r="N3039" i="1"/>
  <c r="N3049" i="1"/>
  <c r="N3048" i="1"/>
  <c r="N3047" i="1"/>
  <c r="N3046" i="1"/>
  <c r="N3045" i="1"/>
  <c r="N3027" i="1"/>
  <c r="N3013" i="1"/>
  <c r="N3011" i="1"/>
  <c r="N3010" i="1"/>
  <c r="N3009" i="1"/>
  <c r="O6387" i="1" l="1"/>
  <c r="O9771" i="1"/>
  <c r="O9763" i="1"/>
  <c r="Q9763" i="1" s="1"/>
  <c r="I9867" i="1"/>
  <c r="G9866" i="1"/>
  <c r="O9866" i="1" s="1"/>
  <c r="M9866" i="1"/>
  <c r="Q8873" i="1"/>
  <c r="I6389" i="1"/>
  <c r="G6389" i="1" s="1"/>
  <c r="O6389" i="1" s="1"/>
  <c r="Q6389" i="1" s="1"/>
  <c r="I6392" i="1"/>
  <c r="I6397" i="1" s="1"/>
  <c r="I6390" i="1"/>
  <c r="G6390" i="1" s="1"/>
  <c r="O6390" i="1" s="1"/>
  <c r="Q6390" i="1" s="1"/>
  <c r="G6388" i="1"/>
  <c r="O6388" i="1" s="1"/>
  <c r="G10064" i="1"/>
  <c r="O10064" i="1" s="1"/>
  <c r="I10069" i="1"/>
  <c r="G10069" i="1" s="1"/>
  <c r="O10069" i="1" s="1"/>
  <c r="Q10069" i="1" s="1"/>
  <c r="I10066" i="1"/>
  <c r="G10066" i="1" s="1"/>
  <c r="O10066" i="1" s="1"/>
  <c r="Q10066" i="1" s="1"/>
  <c r="I10068" i="1"/>
  <c r="Q5484" i="1"/>
  <c r="G6578" i="1"/>
  <c r="O6578" i="1" s="1"/>
  <c r="I6583" i="1"/>
  <c r="G6583" i="1" s="1"/>
  <c r="O6583" i="1" s="1"/>
  <c r="Q6583" i="1" s="1"/>
  <c r="I6591" i="1"/>
  <c r="I6580" i="1"/>
  <c r="G6580" i="1" s="1"/>
  <c r="O6580" i="1" s="1"/>
  <c r="Q6580" i="1" s="1"/>
  <c r="I6582" i="1"/>
  <c r="G10065" i="1"/>
  <c r="O10065" i="1" s="1"/>
  <c r="Q10065" i="1" s="1"/>
  <c r="I10070" i="1"/>
  <c r="G10070" i="1" s="1"/>
  <c r="O10070" i="1" s="1"/>
  <c r="Q10070" i="1" s="1"/>
  <c r="I8880" i="1"/>
  <c r="I8878" i="1"/>
  <c r="I8875" i="1"/>
  <c r="G8874" i="1"/>
  <c r="O8874" i="1" s="1"/>
  <c r="Q8874" i="1" s="1"/>
  <c r="M8874" i="1"/>
  <c r="I6478" i="1"/>
  <c r="M6477" i="1"/>
  <c r="G6477" i="1"/>
  <c r="O6477" i="1" s="1"/>
  <c r="I10061" i="1"/>
  <c r="M10060" i="1"/>
  <c r="G10060" i="1"/>
  <c r="O10060" i="1" s="1"/>
  <c r="Q9962" i="1"/>
  <c r="I6575" i="1"/>
  <c r="G6574" i="1"/>
  <c r="O6574" i="1" s="1"/>
  <c r="Q6574" i="1" s="1"/>
  <c r="M6574" i="1"/>
  <c r="I6482" i="1"/>
  <c r="G6482" i="1" s="1"/>
  <c r="O6482" i="1" s="1"/>
  <c r="I6485" i="1"/>
  <c r="I6483" i="1"/>
  <c r="G6483" i="1" s="1"/>
  <c r="O6483" i="1" s="1"/>
  <c r="G6481" i="1"/>
  <c r="O6481" i="1" s="1"/>
  <c r="Q6481" i="1" s="1"/>
  <c r="Q5472" i="1"/>
  <c r="Q6374" i="1"/>
  <c r="I5489" i="1"/>
  <c r="I5486" i="1"/>
  <c r="I5491" i="1"/>
  <c r="G5485" i="1"/>
  <c r="O5485" i="1" s="1"/>
  <c r="Q5485" i="1" s="1"/>
  <c r="M5485" i="1"/>
  <c r="G6676" i="1"/>
  <c r="O6676" i="1" s="1"/>
  <c r="Q6676" i="1" s="1"/>
  <c r="I6681" i="1"/>
  <c r="G6681" i="1" s="1"/>
  <c r="O6681" i="1" s="1"/>
  <c r="Q6681" i="1" s="1"/>
  <c r="Q9865" i="1"/>
  <c r="I6672" i="1"/>
  <c r="M6671" i="1"/>
  <c r="G6671" i="1"/>
  <c r="O6671" i="1" s="1"/>
  <c r="Q6381" i="1"/>
  <c r="O6382" i="1"/>
  <c r="O9776" i="1"/>
  <c r="I9781" i="1"/>
  <c r="I9786" i="1" s="1"/>
  <c r="G9777" i="1"/>
  <c r="O9777" i="1" s="1"/>
  <c r="I9779" i="1"/>
  <c r="G9779" i="1" s="1"/>
  <c r="O9779" i="1" s="1"/>
  <c r="Q9779" i="1" s="1"/>
  <c r="I9778" i="1"/>
  <c r="G9778" i="1" s="1"/>
  <c r="O9778" i="1" s="1"/>
  <c r="Q9778" i="1" s="1"/>
  <c r="I9964" i="1"/>
  <c r="M9963" i="1"/>
  <c r="G9963" i="1"/>
  <c r="O9963" i="1" s="1"/>
  <c r="Q9963" i="1" s="1"/>
  <c r="I9874" i="1"/>
  <c r="G9870" i="1"/>
  <c r="O9870" i="1" s="1"/>
  <c r="Q9870" i="1" s="1"/>
  <c r="I9871" i="1"/>
  <c r="G9871" i="1" s="1"/>
  <c r="O9871" i="1" s="1"/>
  <c r="I9872" i="1"/>
  <c r="G9872" i="1" s="1"/>
  <c r="O9872" i="1" s="1"/>
  <c r="I6679" i="1"/>
  <c r="G6675" i="1"/>
  <c r="O6675" i="1" s="1"/>
  <c r="I6680" i="1"/>
  <c r="G6680" i="1" s="1"/>
  <c r="O6680" i="1" s="1"/>
  <c r="Q6680" i="1" s="1"/>
  <c r="I6677" i="1"/>
  <c r="G6677" i="1" s="1"/>
  <c r="O6677" i="1" s="1"/>
  <c r="Q6677" i="1" s="1"/>
  <c r="I9980" i="1"/>
  <c r="I9972" i="1"/>
  <c r="G9972" i="1" s="1"/>
  <c r="O9972" i="1" s="1"/>
  <c r="Q9972" i="1" s="1"/>
  <c r="I9969" i="1"/>
  <c r="G9969" i="1" s="1"/>
  <c r="O9969" i="1" s="1"/>
  <c r="Q9969" i="1" s="1"/>
  <c r="G9967" i="1"/>
  <c r="O9967" i="1" s="1"/>
  <c r="I9971" i="1"/>
  <c r="H2562" i="1"/>
  <c r="H2684" i="1"/>
  <c r="H2276" i="1"/>
  <c r="H2378" i="1"/>
  <c r="H2582" i="1"/>
  <c r="H2172" i="1"/>
  <c r="H2888" i="1"/>
  <c r="H2480" i="1"/>
  <c r="H2786" i="1"/>
  <c r="H2713" i="1"/>
  <c r="H2305" i="1"/>
  <c r="H2407" i="1"/>
  <c r="H2611" i="1"/>
  <c r="H2201" i="1"/>
  <c r="H2815" i="1"/>
  <c r="H2917" i="1"/>
  <c r="H2509" i="1"/>
  <c r="H2924" i="1"/>
  <c r="H2414" i="1"/>
  <c r="H2720" i="1"/>
  <c r="H2312" i="1"/>
  <c r="H2618" i="1"/>
  <c r="H2208" i="1"/>
  <c r="H2516" i="1"/>
  <c r="N3147" i="1"/>
  <c r="N3341" i="1"/>
  <c r="N3244" i="1"/>
  <c r="N3318" i="1"/>
  <c r="N3221" i="1"/>
  <c r="N3124" i="1"/>
  <c r="N3146" i="1"/>
  <c r="N3340" i="1"/>
  <c r="N3243" i="1"/>
  <c r="N3337" i="1"/>
  <c r="N3240" i="1"/>
  <c r="N3143" i="1"/>
  <c r="N3136" i="1"/>
  <c r="N3233" i="1"/>
  <c r="N3330" i="1"/>
  <c r="N3107" i="1"/>
  <c r="N3301" i="1"/>
  <c r="N3204" i="1"/>
  <c r="N3302" i="1"/>
  <c r="N3108" i="1"/>
  <c r="N3205" i="1"/>
  <c r="N3304" i="1"/>
  <c r="N3110" i="1"/>
  <c r="N3207" i="1"/>
  <c r="N3338" i="1"/>
  <c r="N3144" i="1"/>
  <c r="N3241" i="1"/>
  <c r="N3336" i="1"/>
  <c r="N3239" i="1"/>
  <c r="N3142" i="1"/>
  <c r="N3300" i="1"/>
  <c r="N3203" i="1"/>
  <c r="N3106" i="1"/>
  <c r="N3339" i="1"/>
  <c r="N3242" i="1"/>
  <c r="N3145" i="1"/>
  <c r="N3272" i="1"/>
  <c r="N3078" i="1"/>
  <c r="N3175" i="1"/>
  <c r="H2180" i="1"/>
  <c r="H2420" i="1"/>
  <c r="H2692" i="1"/>
  <c r="H2284" i="1"/>
  <c r="H2590" i="1"/>
  <c r="H2386" i="1"/>
  <c r="H2794" i="1"/>
  <c r="H2522" i="1"/>
  <c r="H2214" i="1"/>
  <c r="H2624" i="1"/>
  <c r="H2318" i="1"/>
  <c r="H2358" i="1"/>
  <c r="H2460" i="1"/>
  <c r="N2358" i="1"/>
  <c r="N2664" i="1" s="1"/>
  <c r="N2970" i="1" s="1"/>
  <c r="N2460" i="1"/>
  <c r="N2766" i="1" s="1"/>
  <c r="N3036" i="1"/>
  <c r="N3035" i="1"/>
  <c r="N2057" i="1"/>
  <c r="I6683" i="1" l="1"/>
  <c r="G6683" i="1" s="1"/>
  <c r="O6683" i="1" s="1"/>
  <c r="G6679" i="1"/>
  <c r="O6679" i="1" s="1"/>
  <c r="I6688" i="1"/>
  <c r="M9964" i="1"/>
  <c r="G9964" i="1"/>
  <c r="O9964" i="1" s="1"/>
  <c r="Q9964" i="1" s="1"/>
  <c r="Q6671" i="1"/>
  <c r="G6575" i="1"/>
  <c r="O6575" i="1" s="1"/>
  <c r="M6575" i="1"/>
  <c r="I6398" i="1"/>
  <c r="G6397" i="1"/>
  <c r="O6397" i="1" s="1"/>
  <c r="M6397" i="1"/>
  <c r="Q9872" i="1"/>
  <c r="O9873" i="1"/>
  <c r="G6478" i="1"/>
  <c r="O6478" i="1" s="1"/>
  <c r="Q6478" i="1" s="1"/>
  <c r="M6478" i="1"/>
  <c r="I9991" i="1"/>
  <c r="I9981" i="1"/>
  <c r="G9980" i="1"/>
  <c r="O9980" i="1" s="1"/>
  <c r="M9980" i="1"/>
  <c r="G6672" i="1"/>
  <c r="O6672" i="1" s="1"/>
  <c r="Q6672" i="1" s="1"/>
  <c r="M6672" i="1"/>
  <c r="G6582" i="1"/>
  <c r="O6582" i="1" s="1"/>
  <c r="I6584" i="1"/>
  <c r="G6584" i="1" s="1"/>
  <c r="O6584" i="1" s="1"/>
  <c r="Q6584" i="1" s="1"/>
  <c r="I6586" i="1"/>
  <c r="G6586" i="1" s="1"/>
  <c r="O6586" i="1" s="1"/>
  <c r="G10068" i="1"/>
  <c r="O10068" i="1" s="1"/>
  <c r="I10077" i="1"/>
  <c r="I10072" i="1"/>
  <c r="G10072" i="1" s="1"/>
  <c r="O10072" i="1" s="1"/>
  <c r="O9780" i="1"/>
  <c r="O9772" i="1" s="1"/>
  <c r="Q9777" i="1"/>
  <c r="G5491" i="1"/>
  <c r="O5491" i="1" s="1"/>
  <c r="I5492" i="1"/>
  <c r="O6484" i="1"/>
  <c r="Q6483" i="1"/>
  <c r="G9874" i="1"/>
  <c r="O9874" i="1" s="1"/>
  <c r="Q9874" i="1" s="1"/>
  <c r="I9878" i="1"/>
  <c r="I9876" i="1"/>
  <c r="G9876" i="1" s="1"/>
  <c r="O9876" i="1" s="1"/>
  <c r="I9875" i="1"/>
  <c r="G9875" i="1" s="1"/>
  <c r="O9875" i="1" s="1"/>
  <c r="I9787" i="1"/>
  <c r="M9786" i="1"/>
  <c r="G9786" i="1"/>
  <c r="O9786" i="1" s="1"/>
  <c r="I5487" i="1"/>
  <c r="M5486" i="1"/>
  <c r="G5486" i="1"/>
  <c r="O5486" i="1" s="1"/>
  <c r="Q5486" i="1" s="1"/>
  <c r="I6487" i="1"/>
  <c r="G6487" i="1" s="1"/>
  <c r="O6487" i="1" s="1"/>
  <c r="I6489" i="1"/>
  <c r="I6486" i="1"/>
  <c r="G6486" i="1" s="1"/>
  <c r="O6486" i="1" s="1"/>
  <c r="G6485" i="1"/>
  <c r="O6485" i="1" s="1"/>
  <c r="Q6485" i="1" s="1"/>
  <c r="Q10060" i="1"/>
  <c r="I6602" i="1"/>
  <c r="I6592" i="1"/>
  <c r="M6591" i="1"/>
  <c r="G6591" i="1"/>
  <c r="O6591" i="1" s="1"/>
  <c r="M5489" i="1"/>
  <c r="G5489" i="1"/>
  <c r="O5489" i="1" s="1"/>
  <c r="Q5489" i="1" s="1"/>
  <c r="I8876" i="1"/>
  <c r="G8875" i="1"/>
  <c r="O8875" i="1" s="1"/>
  <c r="Q8875" i="1" s="1"/>
  <c r="M8875" i="1"/>
  <c r="Q10064" i="1"/>
  <c r="O10067" i="1"/>
  <c r="I9975" i="1"/>
  <c r="G9975" i="1" s="1"/>
  <c r="O9975" i="1" s="1"/>
  <c r="G9971" i="1"/>
  <c r="O9971" i="1" s="1"/>
  <c r="I9973" i="1"/>
  <c r="G9973" i="1" s="1"/>
  <c r="O9973" i="1" s="1"/>
  <c r="Q9973" i="1" s="1"/>
  <c r="G10061" i="1"/>
  <c r="O10061" i="1" s="1"/>
  <c r="O10054" i="1" s="1"/>
  <c r="M10061" i="1"/>
  <c r="G8878" i="1"/>
  <c r="O8878" i="1" s="1"/>
  <c r="Q8878" i="1" s="1"/>
  <c r="M8878" i="1"/>
  <c r="Q6578" i="1"/>
  <c r="O6581" i="1"/>
  <c r="O6391" i="1"/>
  <c r="O6383" i="1" s="1"/>
  <c r="Q6388" i="1"/>
  <c r="Q9866" i="1"/>
  <c r="Q9967" i="1"/>
  <c r="O9970" i="1"/>
  <c r="Q6675" i="1"/>
  <c r="O6678" i="1"/>
  <c r="Q6477" i="1"/>
  <c r="O6471" i="1"/>
  <c r="G8880" i="1"/>
  <c r="O8880" i="1" s="1"/>
  <c r="I8881" i="1"/>
  <c r="M9867" i="1"/>
  <c r="G9867" i="1"/>
  <c r="O9867" i="1" s="1"/>
  <c r="O9860" i="1" s="1"/>
  <c r="H2930" i="1"/>
  <c r="H2822" i="1"/>
  <c r="H2828" i="1"/>
  <c r="H2766" i="1"/>
  <c r="H2664" i="1"/>
  <c r="H2868" i="1"/>
  <c r="H2896" i="1"/>
  <c r="N2674" i="1"/>
  <c r="N2265" i="1"/>
  <c r="N2470" i="1"/>
  <c r="N2776" i="1"/>
  <c r="N2368" i="1"/>
  <c r="N2572" i="1"/>
  <c r="N2161" i="1"/>
  <c r="N2878" i="1"/>
  <c r="N3326" i="1"/>
  <c r="N3132" i="1"/>
  <c r="N3229" i="1"/>
  <c r="N3327" i="1"/>
  <c r="N3133" i="1"/>
  <c r="N3230" i="1"/>
  <c r="N2119" i="1"/>
  <c r="N2092" i="1"/>
  <c r="N2109" i="1"/>
  <c r="N2110" i="1"/>
  <c r="N2107" i="1"/>
  <c r="N2112" i="1"/>
  <c r="N2989" i="1"/>
  <c r="N3069" i="1"/>
  <c r="N3068" i="1"/>
  <c r="N3056" i="1"/>
  <c r="N3051" i="1"/>
  <c r="N3052" i="1"/>
  <c r="N3044" i="1"/>
  <c r="N3043" i="1"/>
  <c r="N3042" i="1"/>
  <c r="N3041" i="1"/>
  <c r="N3040" i="1"/>
  <c r="N3038" i="1"/>
  <c r="N3032" i="1"/>
  <c r="N3031" i="1"/>
  <c r="N3029" i="1"/>
  <c r="N3028" i="1"/>
  <c r="N3021" i="1"/>
  <c r="N3020" i="1"/>
  <c r="N3004" i="1"/>
  <c r="N2993" i="1"/>
  <c r="N2992" i="1"/>
  <c r="N2991" i="1"/>
  <c r="N2988" i="1"/>
  <c r="N2987" i="1"/>
  <c r="N2976" i="1"/>
  <c r="N2151" i="1"/>
  <c r="N2135" i="1"/>
  <c r="N2131" i="1"/>
  <c r="N2128" i="1"/>
  <c r="N2126" i="1"/>
  <c r="N2125" i="1"/>
  <c r="N2124" i="1"/>
  <c r="N2114" i="1"/>
  <c r="O6673" i="1" l="1"/>
  <c r="Q10054" i="1"/>
  <c r="Q9860" i="1"/>
  <c r="I6606" i="1"/>
  <c r="I6604" i="1"/>
  <c r="I6603" i="1"/>
  <c r="G6602" i="1"/>
  <c r="O6602" i="1" s="1"/>
  <c r="M6602" i="1"/>
  <c r="O9965" i="1"/>
  <c r="O6665" i="1"/>
  <c r="I8884" i="1"/>
  <c r="I8882" i="1"/>
  <c r="G8881" i="1"/>
  <c r="O8881" i="1" s="1"/>
  <c r="Q8881" i="1" s="1"/>
  <c r="M8881" i="1"/>
  <c r="I5488" i="1"/>
  <c r="M5487" i="1"/>
  <c r="G5487" i="1"/>
  <c r="O5487" i="1" s="1"/>
  <c r="Q10072" i="1"/>
  <c r="O10073" i="1"/>
  <c r="Q8880" i="1"/>
  <c r="Q10061" i="1"/>
  <c r="O10062" i="1"/>
  <c r="I8877" i="1"/>
  <c r="G8876" i="1"/>
  <c r="O8876" i="1" s="1"/>
  <c r="Q8876" i="1" s="1"/>
  <c r="M8876" i="1"/>
  <c r="Q9786" i="1"/>
  <c r="I10083" i="1"/>
  <c r="I10088" i="1"/>
  <c r="I10078" i="1"/>
  <c r="M10077" i="1"/>
  <c r="G10077" i="1"/>
  <c r="O10077" i="1" s="1"/>
  <c r="Q6471" i="1"/>
  <c r="Q10068" i="1"/>
  <c r="O10071" i="1"/>
  <c r="Q9980" i="1"/>
  <c r="Q6383" i="1"/>
  <c r="Q9971" i="1"/>
  <c r="O9974" i="1"/>
  <c r="I9788" i="1"/>
  <c r="I9789" i="1"/>
  <c r="G9787" i="1"/>
  <c r="O9787" i="1" s="1"/>
  <c r="Q9787" i="1" s="1"/>
  <c r="M9787" i="1"/>
  <c r="I5495" i="1"/>
  <c r="I5493" i="1"/>
  <c r="M5492" i="1"/>
  <c r="G5492" i="1"/>
  <c r="O5492" i="1" s="1"/>
  <c r="Q5492" i="1" s="1"/>
  <c r="Q6586" i="1"/>
  <c r="O6587" i="1"/>
  <c r="M9981" i="1"/>
  <c r="I9982" i="1"/>
  <c r="G9981" i="1"/>
  <c r="O9981" i="1" s="1"/>
  <c r="Q9981" i="1" s="1"/>
  <c r="I9983" i="1"/>
  <c r="Q6397" i="1"/>
  <c r="I6694" i="1"/>
  <c r="I6689" i="1"/>
  <c r="I6699" i="1"/>
  <c r="M6688" i="1"/>
  <c r="G6688" i="1"/>
  <c r="O6688" i="1" s="1"/>
  <c r="Q9975" i="1"/>
  <c r="O9976" i="1"/>
  <c r="Q6591" i="1"/>
  <c r="G6489" i="1"/>
  <c r="O6489" i="1" s="1"/>
  <c r="I6494" i="1"/>
  <c r="Q5491" i="1"/>
  <c r="I9995" i="1"/>
  <c r="I9993" i="1"/>
  <c r="I9992" i="1"/>
  <c r="M9991" i="1"/>
  <c r="G9991" i="1"/>
  <c r="O9991" i="1" s="1"/>
  <c r="I6399" i="1"/>
  <c r="I6400" i="1"/>
  <c r="M6398" i="1"/>
  <c r="G6398" i="1"/>
  <c r="O6398" i="1" s="1"/>
  <c r="Q6398" i="1" s="1"/>
  <c r="Q6679" i="1"/>
  <c r="O6682" i="1"/>
  <c r="Q9867" i="1"/>
  <c r="O9868" i="1"/>
  <c r="Q6487" i="1"/>
  <c r="O6488" i="1"/>
  <c r="Q9876" i="1"/>
  <c r="O9877" i="1"/>
  <c r="Q6582" i="1"/>
  <c r="O6585" i="1"/>
  <c r="Q6683" i="1"/>
  <c r="O6684" i="1"/>
  <c r="G6592" i="1"/>
  <c r="O6592" i="1" s="1"/>
  <c r="Q6592" i="1" s="1"/>
  <c r="M6592" i="1"/>
  <c r="I6594" i="1"/>
  <c r="I6593" i="1"/>
  <c r="G9878" i="1"/>
  <c r="O9878" i="1" s="1"/>
  <c r="I9883" i="1"/>
  <c r="Q9772" i="1"/>
  <c r="O9957" i="1"/>
  <c r="Q6575" i="1"/>
  <c r="O6576" i="1"/>
  <c r="O6568" i="1"/>
  <c r="O6479" i="1"/>
  <c r="H2970" i="1"/>
  <c r="N2810" i="1"/>
  <c r="N2402" i="1"/>
  <c r="N2708" i="1"/>
  <c r="N2300" i="1"/>
  <c r="N2606" i="1"/>
  <c r="N2196" i="1"/>
  <c r="N2912" i="1"/>
  <c r="N2504" i="1"/>
  <c r="N2948" i="1"/>
  <c r="N2438" i="1"/>
  <c r="N2846" i="1"/>
  <c r="N2744" i="1"/>
  <c r="N2642" i="1"/>
  <c r="N2336" i="1"/>
  <c r="N2232" i="1"/>
  <c r="N2540" i="1"/>
  <c r="N3331" i="1"/>
  <c r="N3234" i="1"/>
  <c r="N3137" i="1"/>
  <c r="N3319" i="1"/>
  <c r="N3222" i="1"/>
  <c r="N3125" i="1"/>
  <c r="N3329" i="1"/>
  <c r="N3135" i="1"/>
  <c r="N3232" i="1"/>
  <c r="N3138" i="1"/>
  <c r="N3332" i="1"/>
  <c r="N3235" i="1"/>
  <c r="N3165" i="1"/>
  <c r="N3359" i="1"/>
  <c r="N3262" i="1"/>
  <c r="N2930" i="1"/>
  <c r="N2624" i="1"/>
  <c r="N2828" i="1"/>
  <c r="N2318" i="1"/>
  <c r="N2726" i="1"/>
  <c r="N2214" i="1"/>
  <c r="N2522" i="1"/>
  <c r="N2420" i="1"/>
  <c r="N3088" i="1"/>
  <c r="N3282" i="1"/>
  <c r="N3185" i="1"/>
  <c r="N2825" i="1"/>
  <c r="N2519" i="1"/>
  <c r="N2723" i="1"/>
  <c r="N2417" i="1"/>
  <c r="N2315" i="1"/>
  <c r="N2927" i="1"/>
  <c r="N2211" i="1"/>
  <c r="N2621" i="1"/>
  <c r="N2832" i="1"/>
  <c r="N2526" i="1"/>
  <c r="N2628" i="1"/>
  <c r="N2424" i="1"/>
  <c r="N2218" i="1"/>
  <c r="N2322" i="1"/>
  <c r="N2730" i="1"/>
  <c r="N2934" i="1"/>
  <c r="N2945" i="1"/>
  <c r="N2333" i="1"/>
  <c r="N2843" i="1"/>
  <c r="N2639" i="1"/>
  <c r="N2537" i="1"/>
  <c r="N2741" i="1"/>
  <c r="N2229" i="1"/>
  <c r="N2435" i="1"/>
  <c r="N2645" i="1"/>
  <c r="N2849" i="1"/>
  <c r="N2951" i="1"/>
  <c r="N2747" i="1"/>
  <c r="N2236" i="1"/>
  <c r="N2441" i="1"/>
  <c r="N2340" i="1"/>
  <c r="N2543" i="1"/>
  <c r="N3089" i="1"/>
  <c r="N3186" i="1"/>
  <c r="N3283" i="1"/>
  <c r="N3320" i="1"/>
  <c r="N3223" i="1"/>
  <c r="N3126" i="1"/>
  <c r="N3322" i="1"/>
  <c r="N3128" i="1"/>
  <c r="N3225" i="1"/>
  <c r="N3333" i="1"/>
  <c r="N3139" i="1"/>
  <c r="N3236" i="1"/>
  <c r="N3153" i="1"/>
  <c r="N3347" i="1"/>
  <c r="N3250" i="1"/>
  <c r="N3166" i="1"/>
  <c r="N3263" i="1"/>
  <c r="N3360" i="1"/>
  <c r="N2623" i="1"/>
  <c r="N2827" i="1"/>
  <c r="N2419" i="1"/>
  <c r="N2213" i="1"/>
  <c r="N2317" i="1"/>
  <c r="N2725" i="1"/>
  <c r="N2521" i="1"/>
  <c r="N2929" i="1"/>
  <c r="N2953" i="1"/>
  <c r="N2341" i="1"/>
  <c r="N2647" i="1"/>
  <c r="N2237" i="1"/>
  <c r="N2749" i="1"/>
  <c r="N2443" i="1"/>
  <c r="N2851" i="1"/>
  <c r="N2545" i="1"/>
  <c r="N3141" i="1"/>
  <c r="N3238" i="1"/>
  <c r="N3335" i="1"/>
  <c r="N2837" i="1"/>
  <c r="N2223" i="1"/>
  <c r="N2327" i="1"/>
  <c r="N2531" i="1"/>
  <c r="N2735" i="1"/>
  <c r="N2429" i="1"/>
  <c r="N2633" i="1"/>
  <c r="N2939" i="1"/>
  <c r="N2740" i="1"/>
  <c r="N2638" i="1"/>
  <c r="N2944" i="1"/>
  <c r="N2434" i="1"/>
  <c r="N2842" i="1"/>
  <c r="N2228" i="1"/>
  <c r="N2536" i="1"/>
  <c r="N2332" i="1"/>
  <c r="N2844" i="1"/>
  <c r="N2946" i="1"/>
  <c r="N2742" i="1"/>
  <c r="N2230" i="1"/>
  <c r="N2538" i="1"/>
  <c r="N2334" i="1"/>
  <c r="N2640" i="1"/>
  <c r="N2436" i="1"/>
  <c r="N3090" i="1"/>
  <c r="N3284" i="1"/>
  <c r="N3187" i="1"/>
  <c r="N3323" i="1"/>
  <c r="N3129" i="1"/>
  <c r="N3226" i="1"/>
  <c r="N3334" i="1"/>
  <c r="N3140" i="1"/>
  <c r="N3237" i="1"/>
  <c r="N3148" i="1"/>
  <c r="N3245" i="1"/>
  <c r="N3342" i="1"/>
  <c r="N3280" i="1"/>
  <c r="N3086" i="1"/>
  <c r="N3183" i="1"/>
  <c r="N2626" i="1"/>
  <c r="N2216" i="1"/>
  <c r="N2320" i="1"/>
  <c r="N2422" i="1"/>
  <c r="N2830" i="1"/>
  <c r="N2524" i="1"/>
  <c r="N2728" i="1"/>
  <c r="N2932" i="1"/>
  <c r="N3279" i="1"/>
  <c r="N3182" i="1"/>
  <c r="N3085" i="1"/>
  <c r="N3198" i="1"/>
  <c r="N3101" i="1"/>
  <c r="N3149" i="1"/>
  <c r="N3343" i="1"/>
  <c r="N3246" i="1"/>
  <c r="N3278" i="1"/>
  <c r="N3181" i="1"/>
  <c r="N3084" i="1"/>
  <c r="N3312" i="1"/>
  <c r="N3215" i="1"/>
  <c r="N3118" i="1"/>
  <c r="N3267" i="1"/>
  <c r="N3073" i="1"/>
  <c r="N3170" i="1"/>
  <c r="N3311" i="1"/>
  <c r="N3117" i="1"/>
  <c r="N3214" i="1"/>
  <c r="N2955" i="1"/>
  <c r="N2239" i="1"/>
  <c r="N2751" i="1"/>
  <c r="N2343" i="1"/>
  <c r="N2853" i="1"/>
  <c r="N2547" i="1"/>
  <c r="N2649" i="1"/>
  <c r="N2445" i="1"/>
  <c r="N2488" i="1"/>
  <c r="N2180" i="1"/>
  <c r="N2794" i="1"/>
  <c r="N2590" i="1"/>
  <c r="N2284" i="1"/>
  <c r="N2692" i="1"/>
  <c r="N2386" i="1"/>
  <c r="N2971" i="1"/>
  <c r="N2665" i="1"/>
  <c r="N2461" i="1"/>
  <c r="N2255" i="1"/>
  <c r="N2563" i="1"/>
  <c r="N2359" i="1"/>
  <c r="N2767" i="1"/>
  <c r="N2869" i="1"/>
  <c r="N2065" i="1"/>
  <c r="N2120" i="1"/>
  <c r="N2129" i="1"/>
  <c r="N2113" i="1"/>
  <c r="N2108" i="1"/>
  <c r="N2117" i="1"/>
  <c r="N2111" i="1"/>
  <c r="N2122" i="1"/>
  <c r="N2123" i="1"/>
  <c r="N2086" i="1"/>
  <c r="N2089" i="1"/>
  <c r="N2067" i="1"/>
  <c r="N2068" i="1"/>
  <c r="N2096" i="1"/>
  <c r="N2085" i="1"/>
  <c r="N2064" i="1"/>
  <c r="N2168" i="1" s="1"/>
  <c r="N2127" i="1"/>
  <c r="N2104" i="1"/>
  <c r="N2116" i="1"/>
  <c r="N2069" i="1"/>
  <c r="N2097" i="1"/>
  <c r="N2087" i="1"/>
  <c r="H22" i="1"/>
  <c r="H382" i="1" s="1"/>
  <c r="H1102" i="1" s="1"/>
  <c r="H87" i="1"/>
  <c r="H447" i="1" s="1"/>
  <c r="H24" i="1"/>
  <c r="H384" i="1" s="1"/>
  <c r="H1662" i="1"/>
  <c r="H2018" i="1"/>
  <c r="H1172" i="1"/>
  <c r="H74" i="1"/>
  <c r="H1514" i="1" s="1"/>
  <c r="H79" i="1"/>
  <c r="H1039" i="1" s="1"/>
  <c r="H62" i="1"/>
  <c r="H1022" i="1" s="1"/>
  <c r="H280" i="1"/>
  <c r="H520" i="1" s="1"/>
  <c r="H72" i="1"/>
  <c r="H432" i="1" s="1"/>
  <c r="H1152" i="1" s="1"/>
  <c r="H23" i="1"/>
  <c r="H503" i="1" s="1"/>
  <c r="H1583" i="1" s="1"/>
  <c r="H94" i="1"/>
  <c r="H1174" i="1" s="1"/>
  <c r="H25" i="1"/>
  <c r="H1105" i="1" s="1"/>
  <c r="H86" i="1"/>
  <c r="H566" i="1" s="1"/>
  <c r="H1046" i="1" s="1"/>
  <c r="H1526" i="1" s="1"/>
  <c r="H2006" i="1" s="1"/>
  <c r="H85" i="1"/>
  <c r="H205" i="1" s="1"/>
  <c r="H445" i="1" s="1"/>
  <c r="H71" i="1"/>
  <c r="H431" i="1" s="1"/>
  <c r="H303" i="1"/>
  <c r="H37" i="1"/>
  <c r="H517" i="1" s="1"/>
  <c r="H38" i="1"/>
  <c r="H518" i="1" s="1"/>
  <c r="H1358" i="1" s="1"/>
  <c r="H36" i="1"/>
  <c r="H156" i="1" s="1"/>
  <c r="H1997" i="1"/>
  <c r="H1877" i="1"/>
  <c r="H1757" i="1"/>
  <c r="H1637" i="1"/>
  <c r="H1517" i="1"/>
  <c r="H1397" i="1"/>
  <c r="H1277" i="1"/>
  <c r="H1157" i="1"/>
  <c r="H1037" i="1"/>
  <c r="H917" i="1"/>
  <c r="H797" i="1"/>
  <c r="H677" i="1"/>
  <c r="H557" i="1"/>
  <c r="H437" i="1"/>
  <c r="H317" i="1"/>
  <c r="H197" i="1"/>
  <c r="H127" i="1"/>
  <c r="H1087" i="1" s="1"/>
  <c r="L483" i="1"/>
  <c r="L363" i="1"/>
  <c r="L243" i="1"/>
  <c r="H123" i="1"/>
  <c r="H88" i="1"/>
  <c r="H1048" i="1" s="1"/>
  <c r="H65" i="1"/>
  <c r="H66" i="1"/>
  <c r="H1746" i="1" s="1"/>
  <c r="H75" i="1"/>
  <c r="H795" i="1" s="1"/>
  <c r="H82" i="1"/>
  <c r="H442" i="1" s="1"/>
  <c r="H83" i="1"/>
  <c r="H563" i="1" s="1"/>
  <c r="H84" i="1"/>
  <c r="H564" i="1" s="1"/>
  <c r="H89" i="1"/>
  <c r="H329" i="1" s="1"/>
  <c r="O6674" i="1" l="1"/>
  <c r="Q6674" i="1" s="1"/>
  <c r="O6577" i="1"/>
  <c r="Q6577" i="1" s="1"/>
  <c r="Q9991" i="1"/>
  <c r="O6490" i="1"/>
  <c r="O6480" i="1" s="1"/>
  <c r="Q6489" i="1"/>
  <c r="I6690" i="1"/>
  <c r="G6689" i="1"/>
  <c r="O6689" i="1" s="1"/>
  <c r="Q6689" i="1" s="1"/>
  <c r="M6689" i="1"/>
  <c r="I6691" i="1"/>
  <c r="M9789" i="1"/>
  <c r="G9789" i="1"/>
  <c r="O9789" i="1" s="1"/>
  <c r="Q9789" i="1" s="1"/>
  <c r="Q6602" i="1"/>
  <c r="I9790" i="1"/>
  <c r="G9788" i="1"/>
  <c r="O9788" i="1" s="1"/>
  <c r="Q9788" i="1" s="1"/>
  <c r="M9788" i="1"/>
  <c r="I6607" i="1"/>
  <c r="M6603" i="1"/>
  <c r="G6603" i="1"/>
  <c r="O6603" i="1" s="1"/>
  <c r="Q6603" i="1" s="1"/>
  <c r="I9884" i="1"/>
  <c r="M9883" i="1"/>
  <c r="G9883" i="1"/>
  <c r="O9883" i="1" s="1"/>
  <c r="I9996" i="1"/>
  <c r="G9992" i="1"/>
  <c r="O9992" i="1" s="1"/>
  <c r="Q9992" i="1" s="1"/>
  <c r="M9992" i="1"/>
  <c r="O9966" i="1"/>
  <c r="Q9966" i="1" s="1"/>
  <c r="I8883" i="1"/>
  <c r="M8882" i="1"/>
  <c r="G8882" i="1"/>
  <c r="O8882" i="1" s="1"/>
  <c r="I6605" i="1"/>
  <c r="M6604" i="1"/>
  <c r="G6604" i="1"/>
  <c r="O6604" i="1" s="1"/>
  <c r="Q6604" i="1" s="1"/>
  <c r="O9879" i="1"/>
  <c r="O9869" i="1" s="1"/>
  <c r="Q9878" i="1"/>
  <c r="I9994" i="1"/>
  <c r="G9993" i="1"/>
  <c r="O9993" i="1" s="1"/>
  <c r="Q9993" i="1" s="1"/>
  <c r="M9993" i="1"/>
  <c r="O10063" i="1"/>
  <c r="I8885" i="1"/>
  <c r="G8884" i="1"/>
  <c r="O8884" i="1" s="1"/>
  <c r="Q8884" i="1" s="1"/>
  <c r="M8884" i="1"/>
  <c r="M6606" i="1"/>
  <c r="G6606" i="1"/>
  <c r="O6606" i="1" s="1"/>
  <c r="Q6606" i="1" s="1"/>
  <c r="Q6568" i="1"/>
  <c r="G6593" i="1"/>
  <c r="O6593" i="1" s="1"/>
  <c r="Q6593" i="1" s="1"/>
  <c r="M6593" i="1"/>
  <c r="I6595" i="1"/>
  <c r="M9995" i="1"/>
  <c r="G9995" i="1"/>
  <c r="O9995" i="1" s="1"/>
  <c r="Q9995" i="1" s="1"/>
  <c r="M9983" i="1"/>
  <c r="G9983" i="1"/>
  <c r="O9983" i="1" s="1"/>
  <c r="Q9983" i="1" s="1"/>
  <c r="I5494" i="1"/>
  <c r="M5493" i="1"/>
  <c r="G5493" i="1"/>
  <c r="O5493" i="1" s="1"/>
  <c r="Q10077" i="1"/>
  <c r="Q6665" i="1"/>
  <c r="G6594" i="1"/>
  <c r="O6594" i="1" s="1"/>
  <c r="Q6594" i="1" s="1"/>
  <c r="M6594" i="1"/>
  <c r="Q6688" i="1"/>
  <c r="I5496" i="1"/>
  <c r="M5495" i="1"/>
  <c r="G5495" i="1"/>
  <c r="O5495" i="1" s="1"/>
  <c r="Q5495" i="1" s="1"/>
  <c r="G8877" i="1"/>
  <c r="O8877" i="1" s="1"/>
  <c r="Q8877" i="1" s="1"/>
  <c r="M8877" i="1"/>
  <c r="Q5487" i="1"/>
  <c r="M6400" i="1"/>
  <c r="G6400" i="1"/>
  <c r="O6400" i="1" s="1"/>
  <c r="Q6400" i="1" s="1"/>
  <c r="I9984" i="1"/>
  <c r="M9982" i="1"/>
  <c r="G9982" i="1"/>
  <c r="O9982" i="1" s="1"/>
  <c r="Q9982" i="1" s="1"/>
  <c r="I10080" i="1"/>
  <c r="I10079" i="1"/>
  <c r="G10078" i="1"/>
  <c r="O10078" i="1" s="1"/>
  <c r="Q10078" i="1" s="1"/>
  <c r="M10078" i="1"/>
  <c r="O8879" i="1"/>
  <c r="Q9957" i="1"/>
  <c r="M6399" i="1"/>
  <c r="G6399" i="1"/>
  <c r="O6399" i="1" s="1"/>
  <c r="Q6399" i="1" s="1"/>
  <c r="I6401" i="1"/>
  <c r="I6495" i="1"/>
  <c r="G6494" i="1"/>
  <c r="O6494" i="1" s="1"/>
  <c r="M6494" i="1"/>
  <c r="I6701" i="1"/>
  <c r="I6700" i="1"/>
  <c r="M6699" i="1"/>
  <c r="G6699" i="1"/>
  <c r="O6699" i="1" s="1"/>
  <c r="I10089" i="1"/>
  <c r="I10090" i="1"/>
  <c r="G10088" i="1"/>
  <c r="O10088" i="1" s="1"/>
  <c r="M10088" i="1"/>
  <c r="G5488" i="1"/>
  <c r="O5488" i="1" s="1"/>
  <c r="Q5488" i="1" s="1"/>
  <c r="M5488" i="1"/>
  <c r="N2896" i="1"/>
  <c r="L723" i="1"/>
  <c r="L843" i="1"/>
  <c r="L603" i="1"/>
  <c r="H363" i="1"/>
  <c r="H809" i="1"/>
  <c r="H1044" i="1"/>
  <c r="H922" i="1"/>
  <c r="H1357" i="1"/>
  <c r="H723" i="1"/>
  <c r="H1203" i="1" s="1"/>
  <c r="H1683" i="1" s="1"/>
  <c r="H243" i="1"/>
  <c r="H1083" i="1"/>
  <c r="H1563" i="1" s="1"/>
  <c r="H2043" i="1" s="1"/>
  <c r="H603" i="1"/>
  <c r="H963" i="1"/>
  <c r="H1443" i="1" s="1"/>
  <c r="H1923" i="1" s="1"/>
  <c r="H483" i="1"/>
  <c r="H843" i="1"/>
  <c r="H1323" i="1" s="1"/>
  <c r="H1803" i="1" s="1"/>
  <c r="H1865" i="1"/>
  <c r="H1385" i="1"/>
  <c r="H905" i="1"/>
  <c r="H425" i="1"/>
  <c r="H1745" i="1"/>
  <c r="H1265" i="1"/>
  <c r="H785" i="1"/>
  <c r="H305" i="1"/>
  <c r="H1625" i="1"/>
  <c r="H1145" i="1"/>
  <c r="H665" i="1"/>
  <c r="H185" i="1"/>
  <c r="H1025" i="1"/>
  <c r="H545" i="1"/>
  <c r="H1985" i="1"/>
  <c r="H1505" i="1"/>
  <c r="N2743" i="1"/>
  <c r="N2437" i="1"/>
  <c r="N2231" i="1"/>
  <c r="N2539" i="1"/>
  <c r="N2641" i="1"/>
  <c r="N2947" i="1"/>
  <c r="N2335" i="1"/>
  <c r="N2845" i="1"/>
  <c r="N2634" i="1"/>
  <c r="N2736" i="1"/>
  <c r="N2430" i="1"/>
  <c r="N2224" i="1"/>
  <c r="N2328" i="1"/>
  <c r="N2532" i="1"/>
  <c r="N2940" i="1"/>
  <c r="N2838" i="1"/>
  <c r="N2732" i="1"/>
  <c r="N2426" i="1"/>
  <c r="N2528" i="1"/>
  <c r="N2630" i="1"/>
  <c r="N2936" i="1"/>
  <c r="N2834" i="1"/>
  <c r="N2220" i="1"/>
  <c r="N2324" i="1"/>
  <c r="N2785" i="1"/>
  <c r="N2171" i="1"/>
  <c r="N2275" i="1"/>
  <c r="N2887" i="1"/>
  <c r="N2683" i="1"/>
  <c r="N2377" i="1"/>
  <c r="N2479" i="1"/>
  <c r="N2581" i="1"/>
  <c r="N2942" i="1"/>
  <c r="N2738" i="1"/>
  <c r="N2636" i="1"/>
  <c r="N2840" i="1"/>
  <c r="N2226" i="1"/>
  <c r="N2330" i="1"/>
  <c r="N2534" i="1"/>
  <c r="N2432" i="1"/>
  <c r="N2933" i="1"/>
  <c r="N2831" i="1"/>
  <c r="N2217" i="1"/>
  <c r="N2321" i="1"/>
  <c r="N2525" i="1"/>
  <c r="N2729" i="1"/>
  <c r="N2627" i="1"/>
  <c r="N2423" i="1"/>
  <c r="N2783" i="1"/>
  <c r="N2885" i="1"/>
  <c r="N2681" i="1"/>
  <c r="N2579" i="1"/>
  <c r="N2477" i="1"/>
  <c r="N2169" i="1"/>
  <c r="N2375" i="1"/>
  <c r="N2273" i="1"/>
  <c r="N2622" i="1"/>
  <c r="N2316" i="1"/>
  <c r="N2212" i="1"/>
  <c r="N2928" i="1"/>
  <c r="N2418" i="1"/>
  <c r="N2826" i="1"/>
  <c r="N2520" i="1"/>
  <c r="N2724" i="1"/>
  <c r="N2829" i="1"/>
  <c r="N2625" i="1"/>
  <c r="N2523" i="1"/>
  <c r="N2319" i="1"/>
  <c r="N2727" i="1"/>
  <c r="N2421" i="1"/>
  <c r="N2215" i="1"/>
  <c r="N2931" i="1"/>
  <c r="N2906" i="1"/>
  <c r="N2396" i="1"/>
  <c r="N2804" i="1"/>
  <c r="N2600" i="1"/>
  <c r="N2498" i="1"/>
  <c r="N2702" i="1"/>
  <c r="N2937" i="1"/>
  <c r="N2325" i="1"/>
  <c r="N2835" i="1"/>
  <c r="N2631" i="1"/>
  <c r="N2529" i="1"/>
  <c r="N2221" i="1"/>
  <c r="N2733" i="1"/>
  <c r="N2427" i="1"/>
  <c r="N2949" i="1"/>
  <c r="N2745" i="1"/>
  <c r="N2337" i="1"/>
  <c r="N2847" i="1"/>
  <c r="N2643" i="1"/>
  <c r="N2233" i="1"/>
  <c r="N2439" i="1"/>
  <c r="N2541" i="1"/>
  <c r="N622" i="1"/>
  <c r="N1342" i="1" s="1"/>
  <c r="N2805" i="1"/>
  <c r="N2601" i="1"/>
  <c r="N2499" i="1"/>
  <c r="N2703" i="1"/>
  <c r="N2397" i="1"/>
  <c r="N2191" i="1"/>
  <c r="N2907" i="1" s="1"/>
  <c r="N2295" i="1"/>
  <c r="N2379" i="1"/>
  <c r="N2889" i="1" s="1"/>
  <c r="N2583" i="1"/>
  <c r="N2173" i="1"/>
  <c r="N2685" i="1" s="1"/>
  <c r="N2277" i="1"/>
  <c r="N2787" i="1" s="1"/>
  <c r="N2481" i="1"/>
  <c r="N2712" i="1"/>
  <c r="N2406" i="1"/>
  <c r="N2610" i="1"/>
  <c r="N2508" i="1"/>
  <c r="N2304" i="1"/>
  <c r="N2814" i="1"/>
  <c r="N2200" i="1"/>
  <c r="N2916" i="1" s="1"/>
  <c r="N2294" i="1"/>
  <c r="N2190" i="1"/>
  <c r="N2888" i="1"/>
  <c r="N2786" i="1"/>
  <c r="N2480" i="1"/>
  <c r="N2582" i="1"/>
  <c r="N2276" i="1"/>
  <c r="N2378" i="1"/>
  <c r="N2172" i="1"/>
  <c r="N2684" i="1"/>
  <c r="N2943" i="1"/>
  <c r="N2637" i="1"/>
  <c r="N2331" i="1"/>
  <c r="N2227" i="1"/>
  <c r="N2739" i="1"/>
  <c r="N2841" i="1"/>
  <c r="N2433" i="1"/>
  <c r="N2535" i="1"/>
  <c r="N2490" i="1"/>
  <c r="N2796" i="1"/>
  <c r="N2182" i="1"/>
  <c r="N2898" i="1" s="1"/>
  <c r="N2592" i="1"/>
  <c r="N2694" i="1"/>
  <c r="N2286" i="1"/>
  <c r="N2388" i="1"/>
  <c r="N2208" i="1"/>
  <c r="N2618" i="1" s="1"/>
  <c r="N2312" i="1"/>
  <c r="N2720" i="1" s="1"/>
  <c r="N2414" i="1"/>
  <c r="N2822" i="1" s="1"/>
  <c r="N2516" i="1"/>
  <c r="N2924" i="1" s="1"/>
  <c r="N2884" i="1"/>
  <c r="N2374" i="1"/>
  <c r="N2476" i="1"/>
  <c r="N2272" i="1"/>
  <c r="N2782" i="1"/>
  <c r="N2680" i="1"/>
  <c r="N2578" i="1"/>
  <c r="N2568" i="1"/>
  <c r="N2772" i="1"/>
  <c r="N2156" i="1"/>
  <c r="N2466" i="1"/>
  <c r="N2670" i="1"/>
  <c r="N2260" i="1"/>
  <c r="N2364" i="1"/>
  <c r="N2713" i="1"/>
  <c r="N2407" i="1"/>
  <c r="N2815" i="1"/>
  <c r="N2201" i="1"/>
  <c r="N2917" i="1" s="1"/>
  <c r="N2305" i="1"/>
  <c r="N2611" i="1"/>
  <c r="N2509" i="1"/>
  <c r="N2599" i="1"/>
  <c r="N2293" i="1"/>
  <c r="N2701" i="1"/>
  <c r="N2189" i="1"/>
  <c r="N2905" i="1" s="1"/>
  <c r="N2803" i="1"/>
  <c r="N2497" i="1"/>
  <c r="N2395" i="1"/>
  <c r="N2501" i="1"/>
  <c r="N2603" i="1"/>
  <c r="N2297" i="1"/>
  <c r="N2705" i="1"/>
  <c r="N2193" i="1"/>
  <c r="N2909" i="1" s="1"/>
  <c r="N2399" i="1"/>
  <c r="N2807" i="1"/>
  <c r="H444" i="1"/>
  <c r="H516" i="1"/>
  <c r="H324" i="1"/>
  <c r="H1062" i="1"/>
  <c r="H1302" i="1"/>
  <c r="H915" i="1"/>
  <c r="H1995" i="1" s="1"/>
  <c r="H323" i="1"/>
  <c r="H803" i="1" s="1"/>
  <c r="H877" i="1"/>
  <c r="H448" i="1"/>
  <c r="H1528" i="1" s="1"/>
  <c r="H157" i="1"/>
  <c r="H745" i="1"/>
  <c r="H1825" i="1" s="1"/>
  <c r="H439" i="1"/>
  <c r="H572" i="1"/>
  <c r="H502" i="1"/>
  <c r="H1222" i="1" s="1"/>
  <c r="H1168" i="1"/>
  <c r="H277" i="1"/>
  <c r="H679" i="1"/>
  <c r="H1532" i="1"/>
  <c r="H744" i="1"/>
  <c r="H807" i="1"/>
  <c r="H1887" i="1" s="1"/>
  <c r="H742" i="1"/>
  <c r="H1462" i="1" s="1"/>
  <c r="H204" i="1"/>
  <c r="H203" i="1"/>
  <c r="H683" i="1" s="1"/>
  <c r="H1163" i="1" s="1"/>
  <c r="H435" i="1"/>
  <c r="H1515" i="1" s="1"/>
  <c r="H276" i="1"/>
  <c r="H757" i="1"/>
  <c r="H446" i="1"/>
  <c r="H926" i="1" s="1"/>
  <c r="H1406" i="1" s="1"/>
  <c r="H1886" i="1" s="1"/>
  <c r="H454" i="1"/>
  <c r="H1534" i="1" s="1"/>
  <c r="H984" i="1"/>
  <c r="H1047" i="1"/>
  <c r="H1866" i="1"/>
  <c r="H727" i="1"/>
  <c r="H1807" i="1" s="1"/>
  <c r="H863" i="1"/>
  <c r="H1943" i="1" s="1"/>
  <c r="H792" i="1"/>
  <c r="H1512" i="1" s="1"/>
  <c r="H1754" i="1"/>
  <c r="H698" i="1"/>
  <c r="H1298" i="1"/>
  <c r="H426" i="1"/>
  <c r="H688" i="1"/>
  <c r="H1768" i="1" s="1"/>
  <c r="H247" i="1"/>
  <c r="H1327" i="1" s="1"/>
  <c r="H985" i="1"/>
  <c r="H814" i="1"/>
  <c r="H1894" i="1" s="1"/>
  <c r="H983" i="1"/>
  <c r="H314" i="1"/>
  <c r="H1874" i="1"/>
  <c r="H812" i="1"/>
  <c r="H1652" i="1"/>
  <c r="H818" i="1"/>
  <c r="H449" i="1"/>
  <c r="H906" i="1"/>
  <c r="H208" i="1"/>
  <c r="H1288" i="1" s="1"/>
  <c r="H808" i="1"/>
  <c r="H1888" i="1" s="1"/>
  <c r="H367" i="1"/>
  <c r="H1447" i="1" s="1"/>
  <c r="H967" i="1"/>
  <c r="H2047" i="1" s="1"/>
  <c r="H756" i="1"/>
  <c r="H397" i="1"/>
  <c r="H311" i="1"/>
  <c r="H911" i="1" s="1"/>
  <c r="H1511" i="1" s="1"/>
  <c r="H206" i="1"/>
  <c r="H686" i="1" s="1"/>
  <c r="H1166" i="1" s="1"/>
  <c r="H1646" i="1" s="1"/>
  <c r="H145" i="1"/>
  <c r="H1225" i="1" s="1"/>
  <c r="H214" i="1"/>
  <c r="H1294" i="1" s="1"/>
  <c r="H934" i="1"/>
  <c r="H2014" i="1" s="1"/>
  <c r="H383" i="1"/>
  <c r="H1463" i="1" s="1"/>
  <c r="H1103" i="1"/>
  <c r="H312" i="1"/>
  <c r="H1032" i="1" s="1"/>
  <c r="H160" i="1"/>
  <c r="H400" i="1" s="1"/>
  <c r="H1639" i="1"/>
  <c r="H434" i="1"/>
  <c r="H1274" i="1"/>
  <c r="H211" i="1"/>
  <c r="H1052" i="1"/>
  <c r="H1772" i="1"/>
  <c r="H338" i="1"/>
  <c r="H938" i="1"/>
  <c r="H1658" i="1"/>
  <c r="H1704" i="1"/>
  <c r="N742" i="1"/>
  <c r="N1462" i="1" s="1"/>
  <c r="H914" i="1"/>
  <c r="H1898" i="1"/>
  <c r="H847" i="1"/>
  <c r="H1927" i="1" s="1"/>
  <c r="H191" i="1"/>
  <c r="H791" i="1" s="1"/>
  <c r="H1391" i="1" s="1"/>
  <c r="H1991" i="1" s="1"/>
  <c r="H143" i="1"/>
  <c r="H1223" i="1" s="1"/>
  <c r="H192" i="1"/>
  <c r="H1034" i="1"/>
  <c r="H218" i="1"/>
  <c r="H1418" i="1"/>
  <c r="H1386" i="1"/>
  <c r="H328" i="1"/>
  <c r="H1408" i="1" s="1"/>
  <c r="H928" i="1"/>
  <c r="H2008" i="1" s="1"/>
  <c r="H487" i="1"/>
  <c r="H1567" i="1" s="1"/>
  <c r="H1207" i="1"/>
  <c r="H637" i="1"/>
  <c r="H543" i="1"/>
  <c r="H1263" i="1" s="1"/>
  <c r="H1983" i="1" s="1"/>
  <c r="H326" i="1"/>
  <c r="H806" i="1" s="1"/>
  <c r="H1286" i="1" s="1"/>
  <c r="H1766" i="1" s="1"/>
  <c r="H265" i="1"/>
  <c r="H1345" i="1" s="1"/>
  <c r="H334" i="1"/>
  <c r="H1414" i="1" s="1"/>
  <c r="H552" i="1"/>
  <c r="H1272" i="1" s="1"/>
  <c r="H1992" i="1" s="1"/>
  <c r="H1999" i="1"/>
  <c r="H554" i="1"/>
  <c r="H332" i="1"/>
  <c r="H458" i="1"/>
  <c r="H1178" i="1"/>
  <c r="H1778" i="1"/>
  <c r="H142" i="1"/>
  <c r="H862" i="1" s="1"/>
  <c r="H1911" i="1"/>
  <c r="H1431" i="1"/>
  <c r="H951" i="1"/>
  <c r="H471" i="1"/>
  <c r="H1551" i="1"/>
  <c r="H831" i="1"/>
  <c r="H231" i="1"/>
  <c r="H1791" i="1"/>
  <c r="H1191" i="1"/>
  <c r="H591" i="1"/>
  <c r="H1311" i="1"/>
  <c r="H569" i="1"/>
  <c r="H1035" i="1"/>
  <c r="H1026" i="1"/>
  <c r="H1986" i="1"/>
  <c r="H783" i="1"/>
  <c r="H1503" i="1" s="1"/>
  <c r="H782" i="1"/>
  <c r="H302" i="1"/>
  <c r="H902" i="1"/>
  <c r="H182" i="1"/>
  <c r="H1142" i="1"/>
  <c r="H542" i="1"/>
  <c r="H351" i="1"/>
  <c r="H1671" i="1"/>
  <c r="H209" i="1"/>
  <c r="H443" i="1"/>
  <c r="H923" i="1" s="1"/>
  <c r="H1403" i="1" s="1"/>
  <c r="H322" i="1"/>
  <c r="H195" i="1"/>
  <c r="H1275" i="1" s="1"/>
  <c r="H675" i="1"/>
  <c r="H1755" i="1" s="1"/>
  <c r="H1155" i="1"/>
  <c r="H186" i="1"/>
  <c r="H666" i="1"/>
  <c r="H1146" i="1"/>
  <c r="H1626" i="1"/>
  <c r="H876" i="1"/>
  <c r="H396" i="1"/>
  <c r="H636" i="1"/>
  <c r="H551" i="1"/>
  <c r="H1151" i="1" s="1"/>
  <c r="H325" i="1"/>
  <c r="H565" i="1" s="1"/>
  <c r="H805" i="1" s="1"/>
  <c r="H505" i="1"/>
  <c r="H1585" i="1" s="1"/>
  <c r="H422" i="1"/>
  <c r="H1902" i="1"/>
  <c r="H1422" i="1"/>
  <c r="H942" i="1"/>
  <c r="H1542" i="1"/>
  <c r="H822" i="1"/>
  <c r="H1782" i="1"/>
  <c r="H1182" i="1"/>
  <c r="H2022" i="1"/>
  <c r="H1584" i="1"/>
  <c r="H1104" i="1"/>
  <c r="H624" i="1"/>
  <c r="H144" i="1"/>
  <c r="H1944" i="1" s="1"/>
  <c r="H1824" i="1"/>
  <c r="H1224" i="1"/>
  <c r="H504" i="1"/>
  <c r="H1464" i="1"/>
  <c r="H864" i="1"/>
  <c r="H264" i="1"/>
  <c r="H1344" i="1"/>
  <c r="H711" i="1"/>
  <c r="H2031" i="1"/>
  <c r="H1167" i="1"/>
  <c r="H687" i="1"/>
  <c r="H1767" i="1" s="1"/>
  <c r="H207" i="1"/>
  <c r="H1287" i="1" s="1"/>
  <c r="H567" i="1"/>
  <c r="H1647" i="1" s="1"/>
  <c r="H927" i="1"/>
  <c r="H2007" i="1" s="1"/>
  <c r="H327" i="1"/>
  <c r="H1407" i="1" s="1"/>
  <c r="H562" i="1"/>
  <c r="H202" i="1"/>
  <c r="H555" i="1"/>
  <c r="H1635" i="1" s="1"/>
  <c r="H546" i="1"/>
  <c r="H1506" i="1"/>
  <c r="H663" i="1"/>
  <c r="H1383" i="1" s="1"/>
  <c r="H183" i="1"/>
  <c r="H903" i="1" s="1"/>
  <c r="H315" i="1"/>
  <c r="H1395" i="1" s="1"/>
  <c r="H306" i="1"/>
  <c r="H786" i="1"/>
  <c r="H1266" i="1"/>
  <c r="H423" i="1"/>
  <c r="H1143" i="1" s="1"/>
  <c r="H1863" i="1" s="1"/>
  <c r="H671" i="1"/>
  <c r="H1271" i="1" s="1"/>
  <c r="H1871" i="1" s="1"/>
  <c r="H865" i="1"/>
  <c r="H1945" i="1" s="1"/>
  <c r="H385" i="1"/>
  <c r="H1465" i="1" s="1"/>
  <c r="H625" i="1"/>
  <c r="H1705" i="1" s="1"/>
  <c r="H662" i="1"/>
  <c r="H1759" i="1"/>
  <c r="H1279" i="1"/>
  <c r="H799" i="1"/>
  <c r="H319" i="1"/>
  <c r="H1879" i="1"/>
  <c r="H1159" i="1"/>
  <c r="H559" i="1"/>
  <c r="H1519" i="1"/>
  <c r="H919" i="1"/>
  <c r="H199" i="1"/>
  <c r="H1399" i="1"/>
  <c r="H1071" i="1"/>
  <c r="H568" i="1"/>
  <c r="H1648" i="1" s="1"/>
  <c r="H607" i="1"/>
  <c r="H1687" i="1" s="1"/>
  <c r="H1054" i="1"/>
  <c r="H574" i="1"/>
  <c r="H1654" i="1" s="1"/>
  <c r="H694" i="1"/>
  <c r="H1774" i="1" s="1"/>
  <c r="H743" i="1"/>
  <c r="H1823" i="1" s="1"/>
  <c r="H263" i="1"/>
  <c r="H1343" i="1" s="1"/>
  <c r="H623" i="1"/>
  <c r="H1703" i="1" s="1"/>
  <c r="H672" i="1"/>
  <c r="H1392" i="1" s="1"/>
  <c r="H1634" i="1"/>
  <c r="H1154" i="1"/>
  <c r="H674" i="1"/>
  <c r="H194" i="1"/>
  <c r="H794" i="1"/>
  <c r="H1394" i="1"/>
  <c r="H1994" i="1"/>
  <c r="H1892" i="1"/>
  <c r="H1412" i="1"/>
  <c r="H932" i="1"/>
  <c r="H452" i="1"/>
  <c r="H692" i="1"/>
  <c r="H1292" i="1"/>
  <c r="H2012" i="1"/>
  <c r="H262" i="1"/>
  <c r="H982" i="1" s="1"/>
  <c r="H1702" i="1" s="1"/>
  <c r="H622" i="1"/>
  <c r="H1342" i="1" s="1"/>
  <c r="H578" i="1"/>
  <c r="H1058" i="1"/>
  <c r="H1538" i="1"/>
  <c r="H1822" i="1"/>
  <c r="N262" i="1"/>
  <c r="N982" i="1" s="1"/>
  <c r="N1702" i="1" s="1"/>
  <c r="N382" i="1"/>
  <c r="N1102" i="1" s="1"/>
  <c r="N1822" i="1" s="1"/>
  <c r="N502" i="1"/>
  <c r="N1222" i="1" s="1"/>
  <c r="N1942" i="1" s="1"/>
  <c r="N142" i="1"/>
  <c r="N862" i="1" s="1"/>
  <c r="N1582" i="1" s="1"/>
  <c r="H1527" i="1"/>
  <c r="H760" i="1"/>
  <c r="H1872" i="1"/>
  <c r="H685" i="1"/>
  <c r="H1031" i="1"/>
  <c r="H1023" i="1"/>
  <c r="H158" i="1"/>
  <c r="H638" i="1"/>
  <c r="H278" i="1"/>
  <c r="H758" i="1"/>
  <c r="H398" i="1"/>
  <c r="H878" i="1"/>
  <c r="H996" i="1"/>
  <c r="H1875" i="1"/>
  <c r="H1043" i="1"/>
  <c r="Q9869" i="1" l="1"/>
  <c r="M6401" i="1"/>
  <c r="I6408" i="1"/>
  <c r="G6401" i="1"/>
  <c r="O6401" i="1" s="1"/>
  <c r="Q6401" i="1" s="1"/>
  <c r="G10079" i="1"/>
  <c r="O10079" i="1" s="1"/>
  <c r="I10081" i="1"/>
  <c r="M10079" i="1"/>
  <c r="M5494" i="1"/>
  <c r="G5494" i="1"/>
  <c r="O5494" i="1" s="1"/>
  <c r="Q5494" i="1" s="1"/>
  <c r="Q8882" i="1"/>
  <c r="Q9883" i="1"/>
  <c r="Q6699" i="1"/>
  <c r="M10080" i="1"/>
  <c r="G10080" i="1"/>
  <c r="O10080" i="1" s="1"/>
  <c r="Q10080" i="1" s="1"/>
  <c r="I9797" i="1"/>
  <c r="G9790" i="1"/>
  <c r="O9790" i="1" s="1"/>
  <c r="Q9790" i="1" s="1"/>
  <c r="M9790" i="1"/>
  <c r="M9994" i="1"/>
  <c r="G9994" i="1"/>
  <c r="O9994" i="1" s="1"/>
  <c r="Q9994" i="1" s="1"/>
  <c r="G8883" i="1"/>
  <c r="O8883" i="1" s="1"/>
  <c r="Q8883" i="1" s="1"/>
  <c r="M8883" i="1"/>
  <c r="M9884" i="1"/>
  <c r="I9885" i="1"/>
  <c r="G9884" i="1"/>
  <c r="O9884" i="1" s="1"/>
  <c r="Q9884" i="1" s="1"/>
  <c r="I9886" i="1"/>
  <c r="G6690" i="1"/>
  <c r="O6690" i="1" s="1"/>
  <c r="M6690" i="1"/>
  <c r="I6692" i="1"/>
  <c r="I6702" i="1"/>
  <c r="G6700" i="1"/>
  <c r="O6700" i="1" s="1"/>
  <c r="Q6700" i="1" s="1"/>
  <c r="M6700" i="1"/>
  <c r="I6703" i="1"/>
  <c r="G6701" i="1"/>
  <c r="O6701" i="1" s="1"/>
  <c r="Q6701" i="1" s="1"/>
  <c r="M6701" i="1"/>
  <c r="I9986" i="1"/>
  <c r="M9984" i="1"/>
  <c r="G9984" i="1"/>
  <c r="O9984" i="1" s="1"/>
  <c r="Q6480" i="1"/>
  <c r="Q10088" i="1"/>
  <c r="I5497" i="1"/>
  <c r="M5496" i="1"/>
  <c r="G5496" i="1"/>
  <c r="O5496" i="1" s="1"/>
  <c r="Q5496" i="1" s="1"/>
  <c r="M6595" i="1"/>
  <c r="I6597" i="1"/>
  <c r="G6595" i="1"/>
  <c r="O6595" i="1" s="1"/>
  <c r="Q6595" i="1" s="1"/>
  <c r="I6609" i="1"/>
  <c r="G6607" i="1"/>
  <c r="O6607" i="1" s="1"/>
  <c r="Q6607" i="1" s="1"/>
  <c r="M6607" i="1"/>
  <c r="I10092" i="1"/>
  <c r="G10090" i="1"/>
  <c r="O10090" i="1" s="1"/>
  <c r="Q10090" i="1" s="1"/>
  <c r="M10090" i="1"/>
  <c r="Q6494" i="1"/>
  <c r="Q5493" i="1"/>
  <c r="I8886" i="1"/>
  <c r="M8885" i="1"/>
  <c r="G8885" i="1"/>
  <c r="O8885" i="1" s="1"/>
  <c r="Q8885" i="1" s="1"/>
  <c r="I10091" i="1"/>
  <c r="G10089" i="1"/>
  <c r="O10089" i="1" s="1"/>
  <c r="Q10089" i="1" s="1"/>
  <c r="M10089" i="1"/>
  <c r="I6497" i="1"/>
  <c r="I6496" i="1"/>
  <c r="G6495" i="1"/>
  <c r="O6495" i="1" s="1"/>
  <c r="Q6495" i="1" s="1"/>
  <c r="M6495" i="1"/>
  <c r="O5490" i="1"/>
  <c r="Q10063" i="1"/>
  <c r="M6605" i="1"/>
  <c r="G6605" i="1"/>
  <c r="O6605" i="1" s="1"/>
  <c r="Q6605" i="1" s="1"/>
  <c r="I9998" i="1"/>
  <c r="M9996" i="1"/>
  <c r="G9996" i="1"/>
  <c r="O9996" i="1" s="1"/>
  <c r="Q9996" i="1" s="1"/>
  <c r="M6691" i="1"/>
  <c r="G6691" i="1"/>
  <c r="O6691" i="1" s="1"/>
  <c r="Q6691" i="1" s="1"/>
  <c r="L963" i="1"/>
  <c r="L1203" i="1"/>
  <c r="L1083" i="1"/>
  <c r="H1049" i="1"/>
  <c r="H689" i="1"/>
  <c r="H929" i="1"/>
  <c r="H1289" i="1"/>
  <c r="H804" i="1"/>
  <c r="H684" i="1"/>
  <c r="H924" i="1"/>
  <c r="H1524" i="1"/>
  <c r="H682" i="1"/>
  <c r="H802" i="1"/>
  <c r="H1042" i="1"/>
  <c r="H1402" i="1"/>
  <c r="H1262" i="1"/>
  <c r="H1982" i="1"/>
  <c r="H1382" i="1"/>
  <c r="H1862" i="1"/>
  <c r="H1502" i="1"/>
  <c r="H1742" i="1"/>
  <c r="H1622" i="1"/>
  <c r="H1597" i="1"/>
  <c r="H1717" i="1"/>
  <c r="H1477" i="1"/>
  <c r="H1237" i="1"/>
  <c r="H1117" i="1"/>
  <c r="H997" i="1"/>
  <c r="H1716" i="1"/>
  <c r="H1596" i="1"/>
  <c r="H1116" i="1"/>
  <c r="H1476" i="1"/>
  <c r="H1356" i="1"/>
  <c r="H1236" i="1"/>
  <c r="H912" i="1"/>
  <c r="H1632" i="1" s="1"/>
  <c r="N2874" i="1"/>
  <c r="H1582" i="1"/>
  <c r="H1942" i="1"/>
  <c r="H640" i="1"/>
  <c r="H1000" i="1"/>
  <c r="H1752" i="1"/>
  <c r="H1045" i="1"/>
  <c r="H925" i="1"/>
  <c r="H1751" i="1"/>
  <c r="H1631" i="1"/>
  <c r="H1743" i="1"/>
  <c r="H1623" i="1"/>
  <c r="H1718" i="1"/>
  <c r="H1478" i="1"/>
  <c r="H1238" i="1"/>
  <c r="H998" i="1"/>
  <c r="H1598" i="1"/>
  <c r="H1118" i="1"/>
  <c r="H1836" i="1"/>
  <c r="H1523" i="1"/>
  <c r="H1283" i="1"/>
  <c r="H1883" i="1"/>
  <c r="H1643" i="1"/>
  <c r="O6396" i="1" l="1"/>
  <c r="Q6396" i="1" s="1"/>
  <c r="O9785" i="1"/>
  <c r="Q9785" i="1" s="1"/>
  <c r="O6590" i="1"/>
  <c r="Q6590" i="1" s="1"/>
  <c r="I6610" i="1"/>
  <c r="G6609" i="1"/>
  <c r="O6609" i="1" s="1"/>
  <c r="M6609" i="1"/>
  <c r="I10093" i="1"/>
  <c r="M10091" i="1"/>
  <c r="G10091" i="1"/>
  <c r="O10091" i="1" s="1"/>
  <c r="Q10091" i="1" s="1"/>
  <c r="Q6690" i="1"/>
  <c r="G10081" i="1"/>
  <c r="O10081" i="1" s="1"/>
  <c r="Q10081" i="1" s="1"/>
  <c r="M10081" i="1"/>
  <c r="G6703" i="1"/>
  <c r="O6703" i="1" s="1"/>
  <c r="Q6703" i="1" s="1"/>
  <c r="M6703" i="1"/>
  <c r="O6596" i="1"/>
  <c r="Q10079" i="1"/>
  <c r="O6608" i="1"/>
  <c r="I9894" i="1"/>
  <c r="I9889" i="1"/>
  <c r="G9886" i="1"/>
  <c r="O9886" i="1" s="1"/>
  <c r="Q9886" i="1" s="1"/>
  <c r="M9886" i="1"/>
  <c r="G10092" i="1"/>
  <c r="O10092" i="1" s="1"/>
  <c r="Q10092" i="1" s="1"/>
  <c r="M10092" i="1"/>
  <c r="O6402" i="1"/>
  <c r="I6410" i="1"/>
  <c r="I6409" i="1"/>
  <c r="I6412" i="1"/>
  <c r="I6411" i="1"/>
  <c r="M6408" i="1"/>
  <c r="G6408" i="1"/>
  <c r="O6408" i="1" s="1"/>
  <c r="M9998" i="1"/>
  <c r="I9999" i="1"/>
  <c r="G9998" i="1"/>
  <c r="O9998" i="1" s="1"/>
  <c r="I6498" i="1"/>
  <c r="M6496" i="1"/>
  <c r="G6496" i="1"/>
  <c r="O6496" i="1" s="1"/>
  <c r="Q6496" i="1" s="1"/>
  <c r="I8888" i="1"/>
  <c r="I8887" i="1"/>
  <c r="G8886" i="1"/>
  <c r="O8886" i="1" s="1"/>
  <c r="Q8886" i="1" s="1"/>
  <c r="M8886" i="1"/>
  <c r="O9997" i="1"/>
  <c r="Q9984" i="1"/>
  <c r="O9979" i="1"/>
  <c r="G9885" i="1"/>
  <c r="O9885" i="1" s="1"/>
  <c r="M9885" i="1"/>
  <c r="I9887" i="1"/>
  <c r="I9800" i="1"/>
  <c r="I9798" i="1"/>
  <c r="I9799" i="1"/>
  <c r="I9801" i="1"/>
  <c r="M9797" i="1"/>
  <c r="G9797" i="1"/>
  <c r="O9797" i="1" s="1"/>
  <c r="I6500" i="1"/>
  <c r="I6505" i="1"/>
  <c r="G6497" i="1"/>
  <c r="O6497" i="1" s="1"/>
  <c r="Q6497" i="1" s="1"/>
  <c r="M6497" i="1"/>
  <c r="I5499" i="1"/>
  <c r="I5498" i="1"/>
  <c r="M5497" i="1"/>
  <c r="G5497" i="1"/>
  <c r="O5497" i="1" s="1"/>
  <c r="I6704" i="1"/>
  <c r="G6702" i="1"/>
  <c r="O6702" i="1" s="1"/>
  <c r="Q6702" i="1" s="1"/>
  <c r="M6702" i="1"/>
  <c r="G6692" i="1"/>
  <c r="O6692" i="1" s="1"/>
  <c r="Q6692" i="1" s="1"/>
  <c r="M6692" i="1"/>
  <c r="L1323" i="1"/>
  <c r="L1443" i="1"/>
  <c r="H1769" i="1"/>
  <c r="H1409" i="1"/>
  <c r="H1169" i="1"/>
  <c r="H1529" i="1"/>
  <c r="H2004" i="1"/>
  <c r="H1404" i="1"/>
  <c r="H1164" i="1"/>
  <c r="H1284" i="1"/>
  <c r="H1882" i="1"/>
  <c r="H1522" i="1"/>
  <c r="H1282" i="1"/>
  <c r="H1162" i="1"/>
  <c r="H1837" i="1"/>
  <c r="H1957" i="1"/>
  <c r="H1956" i="1"/>
  <c r="H1240" i="1"/>
  <c r="H880" i="1"/>
  <c r="H1165" i="1"/>
  <c r="H1285" i="1"/>
  <c r="H1958" i="1"/>
  <c r="H1838" i="1"/>
  <c r="H1763" i="1"/>
  <c r="H2003" i="1"/>
  <c r="O9791" i="1" l="1"/>
  <c r="I6706" i="1"/>
  <c r="G6704" i="1"/>
  <c r="O6704" i="1" s="1"/>
  <c r="Q6704" i="1" s="1"/>
  <c r="M6704" i="1"/>
  <c r="I8889" i="1"/>
  <c r="G8888" i="1"/>
  <c r="O8888" i="1" s="1"/>
  <c r="Q8888" i="1" s="1"/>
  <c r="M8888" i="1"/>
  <c r="O10076" i="1"/>
  <c r="Q5497" i="1"/>
  <c r="O9985" i="1"/>
  <c r="Q9979" i="1"/>
  <c r="M6412" i="1"/>
  <c r="G6412" i="1"/>
  <c r="O6412" i="1" s="1"/>
  <c r="Q6412" i="1" s="1"/>
  <c r="G5498" i="1"/>
  <c r="O5498" i="1" s="1"/>
  <c r="Q5498" i="1" s="1"/>
  <c r="M5498" i="1"/>
  <c r="G9801" i="1"/>
  <c r="O9801" i="1" s="1"/>
  <c r="Q9801" i="1" s="1"/>
  <c r="M9801" i="1"/>
  <c r="M6498" i="1"/>
  <c r="G6498" i="1"/>
  <c r="O6498" i="1" s="1"/>
  <c r="Q6498" i="1" s="1"/>
  <c r="Q9797" i="1"/>
  <c r="Q9885" i="1"/>
  <c r="G6411" i="1"/>
  <c r="O6411" i="1" s="1"/>
  <c r="Q6411" i="1" s="1"/>
  <c r="M6411" i="1"/>
  <c r="I10095" i="1"/>
  <c r="M10093" i="1"/>
  <c r="G10093" i="1"/>
  <c r="O10093" i="1" s="1"/>
  <c r="Q10093" i="1" s="1"/>
  <c r="I6413" i="1"/>
  <c r="M6409" i="1"/>
  <c r="G6409" i="1"/>
  <c r="O6409" i="1" s="1"/>
  <c r="Q6409" i="1" s="1"/>
  <c r="I5500" i="1"/>
  <c r="G5499" i="1"/>
  <c r="O5499" i="1" s="1"/>
  <c r="Q5499" i="1" s="1"/>
  <c r="M5499" i="1"/>
  <c r="M9799" i="1"/>
  <c r="G9799" i="1"/>
  <c r="O9799" i="1" s="1"/>
  <c r="Q9799" i="1" s="1"/>
  <c r="Q9998" i="1"/>
  <c r="M6410" i="1"/>
  <c r="G6410" i="1"/>
  <c r="O6410" i="1" s="1"/>
  <c r="Q6410" i="1" s="1"/>
  <c r="I10000" i="1"/>
  <c r="G9999" i="1"/>
  <c r="O9999" i="1" s="1"/>
  <c r="Q9999" i="1" s="1"/>
  <c r="O6687" i="1"/>
  <c r="I9898" i="1"/>
  <c r="I9895" i="1"/>
  <c r="M9894" i="1"/>
  <c r="G9894" i="1"/>
  <c r="O9894" i="1" s="1"/>
  <c r="I6611" i="1"/>
  <c r="G6610" i="1"/>
  <c r="O6610" i="1" s="1"/>
  <c r="Q6610" i="1" s="1"/>
  <c r="I9802" i="1"/>
  <c r="G9798" i="1"/>
  <c r="O9798" i="1" s="1"/>
  <c r="Q9798" i="1" s="1"/>
  <c r="M9798" i="1"/>
  <c r="Q6609" i="1"/>
  <c r="M9800" i="1"/>
  <c r="G9800" i="1"/>
  <c r="O9800" i="1" s="1"/>
  <c r="Q9800" i="1" s="1"/>
  <c r="I6509" i="1"/>
  <c r="I6506" i="1"/>
  <c r="M6505" i="1"/>
  <c r="G6505" i="1"/>
  <c r="O6505" i="1" s="1"/>
  <c r="G9887" i="1"/>
  <c r="O9887" i="1" s="1"/>
  <c r="Q9887" i="1" s="1"/>
  <c r="M9887" i="1"/>
  <c r="M8887" i="1"/>
  <c r="G8887" i="1"/>
  <c r="O8887" i="1" s="1"/>
  <c r="Q6408" i="1"/>
  <c r="L1683" i="1"/>
  <c r="L1563" i="1"/>
  <c r="H2009" i="1"/>
  <c r="H1649" i="1"/>
  <c r="H1889" i="1"/>
  <c r="H1764" i="1"/>
  <c r="H1644" i="1"/>
  <c r="H1884" i="1"/>
  <c r="H1762" i="1"/>
  <c r="H1642" i="1"/>
  <c r="H2002" i="1"/>
  <c r="H1120" i="1"/>
  <c r="H1480" i="1"/>
  <c r="H1525" i="1"/>
  <c r="H1405" i="1"/>
  <c r="O9882" i="1" l="1"/>
  <c r="Q9882" i="1" s="1"/>
  <c r="O10094" i="1"/>
  <c r="I9899" i="1"/>
  <c r="I9896" i="1"/>
  <c r="M9895" i="1"/>
  <c r="G9895" i="1"/>
  <c r="O9895" i="1" s="1"/>
  <c r="Q9895" i="1" s="1"/>
  <c r="O6493" i="1"/>
  <c r="Q6505" i="1"/>
  <c r="G9898" i="1"/>
  <c r="O9898" i="1" s="1"/>
  <c r="Q9898" i="1" s="1"/>
  <c r="M9898" i="1"/>
  <c r="I6415" i="1"/>
  <c r="M6413" i="1"/>
  <c r="G6413" i="1"/>
  <c r="O6413" i="1" s="1"/>
  <c r="Q6687" i="1"/>
  <c r="O6693" i="1"/>
  <c r="O6705" i="1"/>
  <c r="O10082" i="1"/>
  <c r="Q10076" i="1"/>
  <c r="I9804" i="1"/>
  <c r="G9802" i="1"/>
  <c r="O9802" i="1" s="1"/>
  <c r="Q9802" i="1" s="1"/>
  <c r="M9802" i="1"/>
  <c r="G10000" i="1"/>
  <c r="O10000" i="1" s="1"/>
  <c r="Q10000" i="1" s="1"/>
  <c r="I10002" i="1"/>
  <c r="I10001" i="1"/>
  <c r="G10001" i="1" s="1"/>
  <c r="O10001" i="1" s="1"/>
  <c r="Q10001" i="1" s="1"/>
  <c r="G10095" i="1"/>
  <c r="O10095" i="1" s="1"/>
  <c r="M10095" i="1"/>
  <c r="I10096" i="1"/>
  <c r="I6510" i="1"/>
  <c r="I6507" i="1"/>
  <c r="G6506" i="1"/>
  <c r="O6506" i="1" s="1"/>
  <c r="Q6506" i="1" s="1"/>
  <c r="M6506" i="1"/>
  <c r="M6509" i="1"/>
  <c r="G6509" i="1"/>
  <c r="O6509" i="1" s="1"/>
  <c r="Q6509" i="1" s="1"/>
  <c r="Q8887" i="1"/>
  <c r="I6612" i="1"/>
  <c r="G6612" i="1" s="1"/>
  <c r="O6612" i="1" s="1"/>
  <c r="Q6612" i="1" s="1"/>
  <c r="I6613" i="1"/>
  <c r="G6611" i="1"/>
  <c r="O6611" i="1" s="1"/>
  <c r="I8890" i="1"/>
  <c r="M8889" i="1"/>
  <c r="G8889" i="1"/>
  <c r="O8889" i="1" s="1"/>
  <c r="Q8889" i="1" s="1"/>
  <c r="Q9894" i="1"/>
  <c r="I5501" i="1"/>
  <c r="G5500" i="1"/>
  <c r="O5500" i="1" s="1"/>
  <c r="Q5500" i="1" s="1"/>
  <c r="M5500" i="1"/>
  <c r="O9888" i="1"/>
  <c r="M6706" i="1"/>
  <c r="I6707" i="1"/>
  <c r="G6706" i="1"/>
  <c r="O6706" i="1" s="1"/>
  <c r="L1803" i="1"/>
  <c r="L1923" i="1"/>
  <c r="H1360" i="1"/>
  <c r="H1720" i="1"/>
  <c r="H1645" i="1"/>
  <c r="H1765" i="1"/>
  <c r="O9803" i="1" l="1"/>
  <c r="G10002" i="1"/>
  <c r="O10002" i="1" s="1"/>
  <c r="Q10002" i="1" s="1"/>
  <c r="I10003" i="1"/>
  <c r="I9901" i="1"/>
  <c r="G9899" i="1"/>
  <c r="O9899" i="1" s="1"/>
  <c r="Q9899" i="1" s="1"/>
  <c r="M9899" i="1"/>
  <c r="I6708" i="1"/>
  <c r="G6707" i="1"/>
  <c r="O6707" i="1" s="1"/>
  <c r="Q6707" i="1" s="1"/>
  <c r="I5502" i="1"/>
  <c r="M5501" i="1"/>
  <c r="G5501" i="1"/>
  <c r="O5501" i="1" s="1"/>
  <c r="I6508" i="1"/>
  <c r="G6507" i="1"/>
  <c r="O6507" i="1" s="1"/>
  <c r="Q6507" i="1" s="1"/>
  <c r="M6507" i="1"/>
  <c r="I6512" i="1"/>
  <c r="M6510" i="1"/>
  <c r="G6510" i="1"/>
  <c r="O6510" i="1" s="1"/>
  <c r="Q6510" i="1" s="1"/>
  <c r="I9805" i="1"/>
  <c r="M9804" i="1"/>
  <c r="G9804" i="1"/>
  <c r="O9804" i="1" s="1"/>
  <c r="Q6493" i="1"/>
  <c r="O6499" i="1"/>
  <c r="Q6413" i="1"/>
  <c r="O6414" i="1"/>
  <c r="G10096" i="1"/>
  <c r="O10096" i="1" s="1"/>
  <c r="Q10096" i="1" s="1"/>
  <c r="I10097" i="1"/>
  <c r="Q10095" i="1"/>
  <c r="I8891" i="1"/>
  <c r="M8890" i="1"/>
  <c r="G8890" i="1"/>
  <c r="O8890" i="1" s="1"/>
  <c r="Q8890" i="1" s="1"/>
  <c r="M6415" i="1"/>
  <c r="I6416" i="1"/>
  <c r="G6415" i="1"/>
  <c r="O6415" i="1" s="1"/>
  <c r="I9897" i="1"/>
  <c r="M9896" i="1"/>
  <c r="G9896" i="1"/>
  <c r="O9896" i="1" s="1"/>
  <c r="Q6611" i="1"/>
  <c r="Q6706" i="1"/>
  <c r="I6614" i="1"/>
  <c r="G6613" i="1"/>
  <c r="O6613" i="1" s="1"/>
  <c r="Q6613" i="1" s="1"/>
  <c r="L2043" i="1"/>
  <c r="H1600" i="1"/>
  <c r="H1960" i="1"/>
  <c r="H2005" i="1"/>
  <c r="H1885" i="1"/>
  <c r="G6614" i="1" l="1"/>
  <c r="O6614" i="1" s="1"/>
  <c r="Q6614" i="1" s="1"/>
  <c r="I6616" i="1"/>
  <c r="Q5501" i="1"/>
  <c r="G10003" i="1"/>
  <c r="O10003" i="1" s="1"/>
  <c r="Q10003" i="1" s="1"/>
  <c r="I10005" i="1"/>
  <c r="Q9896" i="1"/>
  <c r="I8893" i="1"/>
  <c r="I8892" i="1"/>
  <c r="M8891" i="1"/>
  <c r="G8891" i="1"/>
  <c r="O8891" i="1" s="1"/>
  <c r="Q8891" i="1" s="1"/>
  <c r="I6513" i="1"/>
  <c r="G6512" i="1"/>
  <c r="O6512" i="1" s="1"/>
  <c r="M6512" i="1"/>
  <c r="I5504" i="1"/>
  <c r="I5503" i="1"/>
  <c r="G5502" i="1"/>
  <c r="O5502" i="1" s="1"/>
  <c r="Q5502" i="1" s="1"/>
  <c r="M5502" i="1"/>
  <c r="G9897" i="1"/>
  <c r="O9897" i="1" s="1"/>
  <c r="Q9897" i="1" s="1"/>
  <c r="M9897" i="1"/>
  <c r="I6709" i="1"/>
  <c r="G6709" i="1" s="1"/>
  <c r="O6709" i="1" s="1"/>
  <c r="Q6709" i="1" s="1"/>
  <c r="G6708" i="1"/>
  <c r="O6708" i="1" s="1"/>
  <c r="I6710" i="1"/>
  <c r="Q6415" i="1"/>
  <c r="G10097" i="1"/>
  <c r="O10097" i="1" s="1"/>
  <c r="I10098" i="1"/>
  <c r="G10098" i="1" s="1"/>
  <c r="O10098" i="1" s="1"/>
  <c r="Q10098" i="1" s="1"/>
  <c r="I10099" i="1"/>
  <c r="Q9804" i="1"/>
  <c r="G6416" i="1"/>
  <c r="O6416" i="1" s="1"/>
  <c r="Q6416" i="1" s="1"/>
  <c r="I6417" i="1"/>
  <c r="I9806" i="1"/>
  <c r="G9805" i="1"/>
  <c r="O9805" i="1" s="1"/>
  <c r="Q9805" i="1" s="1"/>
  <c r="M6508" i="1"/>
  <c r="G6508" i="1"/>
  <c r="O6508" i="1" s="1"/>
  <c r="M9901" i="1"/>
  <c r="I9902" i="1"/>
  <c r="G9901" i="1"/>
  <c r="O9901" i="1" s="1"/>
  <c r="H1840" i="1"/>
  <c r="Q6708" i="1" l="1"/>
  <c r="Q6508" i="1"/>
  <c r="O6511" i="1"/>
  <c r="Q6512" i="1"/>
  <c r="O10004" i="1"/>
  <c r="I10100" i="1"/>
  <c r="G10099" i="1"/>
  <c r="O10099" i="1" s="1"/>
  <c r="Q10099" i="1" s="1"/>
  <c r="I6514" i="1"/>
  <c r="G6513" i="1"/>
  <c r="O6513" i="1" s="1"/>
  <c r="Q6513" i="1" s="1"/>
  <c r="M10005" i="1"/>
  <c r="I10009" i="1"/>
  <c r="I10007" i="1"/>
  <c r="G10005" i="1"/>
  <c r="O10005" i="1" s="1"/>
  <c r="I10006" i="1"/>
  <c r="I9808" i="1"/>
  <c r="I9807" i="1"/>
  <c r="G9807" i="1" s="1"/>
  <c r="O9807" i="1" s="1"/>
  <c r="Q9807" i="1" s="1"/>
  <c r="G9806" i="1"/>
  <c r="O9806" i="1" s="1"/>
  <c r="M8892" i="1"/>
  <c r="G8892" i="1"/>
  <c r="O8892" i="1" s="1"/>
  <c r="Q8892" i="1" s="1"/>
  <c r="Q9901" i="1"/>
  <c r="I6419" i="1"/>
  <c r="I6418" i="1"/>
  <c r="G6418" i="1" s="1"/>
  <c r="O6418" i="1" s="1"/>
  <c r="Q6418" i="1" s="1"/>
  <c r="G6417" i="1"/>
  <c r="O6417" i="1" s="1"/>
  <c r="Q6417" i="1" s="1"/>
  <c r="M5503" i="1"/>
  <c r="G5503" i="1"/>
  <c r="O5503" i="1" s="1"/>
  <c r="Q5503" i="1" s="1"/>
  <c r="I8894" i="1"/>
  <c r="M8893" i="1"/>
  <c r="G8893" i="1"/>
  <c r="O8893" i="1" s="1"/>
  <c r="Q8893" i="1" s="1"/>
  <c r="O6615" i="1"/>
  <c r="Q10097" i="1"/>
  <c r="G9902" i="1"/>
  <c r="O9902" i="1" s="1"/>
  <c r="Q9902" i="1" s="1"/>
  <c r="I9903" i="1"/>
  <c r="G6710" i="1"/>
  <c r="O6710" i="1" s="1"/>
  <c r="Q6710" i="1" s="1"/>
  <c r="I6711" i="1"/>
  <c r="I5505" i="1"/>
  <c r="G5504" i="1"/>
  <c r="O5504" i="1" s="1"/>
  <c r="Q5504" i="1" s="1"/>
  <c r="M5504" i="1"/>
  <c r="O9900" i="1"/>
  <c r="I6617" i="1"/>
  <c r="G6616" i="1"/>
  <c r="O6616" i="1" s="1"/>
  <c r="I6620" i="1"/>
  <c r="I6618" i="1"/>
  <c r="M6616" i="1"/>
  <c r="H69" i="1"/>
  <c r="H789" i="1" s="1"/>
  <c r="H1509" i="1" s="1"/>
  <c r="H12" i="1"/>
  <c r="I5507" i="1" l="1"/>
  <c r="M5505" i="1"/>
  <c r="G5505" i="1"/>
  <c r="O5505" i="1" s="1"/>
  <c r="G10006" i="1"/>
  <c r="O10006" i="1" s="1"/>
  <c r="Q10006" i="1" s="1"/>
  <c r="M10006" i="1"/>
  <c r="I10102" i="1"/>
  <c r="G10100" i="1"/>
  <c r="O10100" i="1" s="1"/>
  <c r="I6622" i="1"/>
  <c r="G6620" i="1"/>
  <c r="O6620" i="1" s="1"/>
  <c r="Q6620" i="1" s="1"/>
  <c r="G10007" i="1"/>
  <c r="O10007" i="1" s="1"/>
  <c r="Q10007" i="1" s="1"/>
  <c r="M10007" i="1"/>
  <c r="I10010" i="1"/>
  <c r="G10009" i="1"/>
  <c r="O10009" i="1" s="1"/>
  <c r="I10011" i="1"/>
  <c r="Q9806" i="1"/>
  <c r="M6618" i="1"/>
  <c r="G6618" i="1"/>
  <c r="O6618" i="1" s="1"/>
  <c r="Q6618" i="1" s="1"/>
  <c r="I6621" i="1"/>
  <c r="I6713" i="1"/>
  <c r="G6711" i="1"/>
  <c r="O6711" i="1" s="1"/>
  <c r="Q6711" i="1" s="1"/>
  <c r="Q10005" i="1"/>
  <c r="I8896" i="1"/>
  <c r="G8894" i="1"/>
  <c r="O8894" i="1" s="1"/>
  <c r="M8894" i="1"/>
  <c r="Q6616" i="1"/>
  <c r="I9904" i="1"/>
  <c r="G9904" i="1" s="1"/>
  <c r="O9904" i="1" s="1"/>
  <c r="Q9904" i="1" s="1"/>
  <c r="I9905" i="1"/>
  <c r="G9903" i="1"/>
  <c r="O9903" i="1" s="1"/>
  <c r="Q9903" i="1" s="1"/>
  <c r="M6617" i="1"/>
  <c r="G6617" i="1"/>
  <c r="O6617" i="1" s="1"/>
  <c r="Q6617" i="1" s="1"/>
  <c r="I6515" i="1"/>
  <c r="G6515" i="1" s="1"/>
  <c r="O6515" i="1" s="1"/>
  <c r="Q6515" i="1" s="1"/>
  <c r="G6514" i="1"/>
  <c r="O6514" i="1" s="1"/>
  <c r="Q6514" i="1" s="1"/>
  <c r="I6516" i="1"/>
  <c r="G6419" i="1"/>
  <c r="O6419" i="1" s="1"/>
  <c r="Q6419" i="1" s="1"/>
  <c r="I6420" i="1"/>
  <c r="I9809" i="1"/>
  <c r="G9808" i="1"/>
  <c r="O9808" i="1" s="1"/>
  <c r="Q9808" i="1" s="1"/>
  <c r="H732" i="1"/>
  <c r="H1572" i="1" s="1"/>
  <c r="H372" i="1"/>
  <c r="H1212" i="1" s="1"/>
  <c r="H852" i="1"/>
  <c r="H429" i="1"/>
  <c r="H1149" i="1" s="1"/>
  <c r="H1869" i="1" s="1"/>
  <c r="H132" i="1"/>
  <c r="H972" i="1" s="1"/>
  <c r="H1812" i="1" s="1"/>
  <c r="H189" i="1"/>
  <c r="H909" i="1" s="1"/>
  <c r="H1629" i="1" s="1"/>
  <c r="H669" i="1"/>
  <c r="H1389" i="1" s="1"/>
  <c r="H492" i="1"/>
  <c r="H549" i="1"/>
  <c r="H1269" i="1" s="1"/>
  <c r="H612" i="1"/>
  <c r="H1452" i="1" s="1"/>
  <c r="H252" i="1"/>
  <c r="H309" i="1"/>
  <c r="H1029" i="1" s="1"/>
  <c r="H1749" i="1" s="1"/>
  <c r="H1668" i="1"/>
  <c r="O6712" i="1" l="1"/>
  <c r="O10008" i="1"/>
  <c r="I9811" i="1"/>
  <c r="G9809" i="1"/>
  <c r="O9809" i="1" s="1"/>
  <c r="Q9809" i="1" s="1"/>
  <c r="I10103" i="1"/>
  <c r="I10106" i="1"/>
  <c r="I10104" i="1"/>
  <c r="G10102" i="1"/>
  <c r="O10102" i="1" s="1"/>
  <c r="M10102" i="1"/>
  <c r="Q5505" i="1"/>
  <c r="O5506" i="1"/>
  <c r="I6517" i="1"/>
  <c r="G6516" i="1"/>
  <c r="O6516" i="1" s="1"/>
  <c r="Q6516" i="1" s="1"/>
  <c r="I9906" i="1"/>
  <c r="G9905" i="1"/>
  <c r="O9905" i="1" s="1"/>
  <c r="Q9905" i="1" s="1"/>
  <c r="I5510" i="1"/>
  <c r="I5508" i="1"/>
  <c r="G5507" i="1"/>
  <c r="O5507" i="1" s="1"/>
  <c r="Q5507" i="1" s="1"/>
  <c r="M5507" i="1"/>
  <c r="O6619" i="1"/>
  <c r="I6717" i="1"/>
  <c r="I6715" i="1"/>
  <c r="G6713" i="1"/>
  <c r="O6713" i="1" s="1"/>
  <c r="M6713" i="1"/>
  <c r="I6714" i="1"/>
  <c r="M10011" i="1"/>
  <c r="G10011" i="1"/>
  <c r="O10011" i="1" s="1"/>
  <c r="Q10011" i="1" s="1"/>
  <c r="I10013" i="1"/>
  <c r="Q10100" i="1"/>
  <c r="O10101" i="1"/>
  <c r="I6422" i="1"/>
  <c r="G6420" i="1"/>
  <c r="O6420" i="1" s="1"/>
  <c r="Q6420" i="1" s="1"/>
  <c r="I10014" i="1"/>
  <c r="I10012" i="1"/>
  <c r="M10010" i="1"/>
  <c r="G10010" i="1"/>
  <c r="O10010" i="1" s="1"/>
  <c r="Q10010" i="1" s="1"/>
  <c r="I6625" i="1"/>
  <c r="I6623" i="1"/>
  <c r="G6621" i="1"/>
  <c r="O6621" i="1" s="1"/>
  <c r="Q6621" i="1" s="1"/>
  <c r="M6621" i="1"/>
  <c r="Q8894" i="1"/>
  <c r="O8895" i="1"/>
  <c r="I8899" i="1"/>
  <c r="I8897" i="1"/>
  <c r="M8896" i="1"/>
  <c r="G8896" i="1"/>
  <c r="O8896" i="1" s="1"/>
  <c r="Q8896" i="1" s="1"/>
  <c r="Q10009" i="1"/>
  <c r="M6622" i="1"/>
  <c r="I6624" i="1"/>
  <c r="G6622" i="1"/>
  <c r="O6622" i="1" s="1"/>
  <c r="Q6622" i="1" s="1"/>
  <c r="H1692" i="1"/>
  <c r="H1092" i="1"/>
  <c r="H1932" i="1" s="1"/>
  <c r="H1332" i="1"/>
  <c r="H1989" i="1"/>
  <c r="H1068" i="1"/>
  <c r="H2028" i="1"/>
  <c r="H348" i="1"/>
  <c r="H828" i="1"/>
  <c r="H1308" i="1"/>
  <c r="H1788" i="1"/>
  <c r="H468" i="1"/>
  <c r="H948" i="1"/>
  <c r="H1428" i="1"/>
  <c r="H1908" i="1"/>
  <c r="H588" i="1"/>
  <c r="H1548" i="1"/>
  <c r="H228" i="1"/>
  <c r="H708" i="1"/>
  <c r="H1188" i="1"/>
  <c r="H81" i="1"/>
  <c r="H73" i="1"/>
  <c r="H1633" i="1" s="1"/>
  <c r="H68" i="1"/>
  <c r="H1388" i="1" s="1"/>
  <c r="H80" i="1"/>
  <c r="H1520" i="1" s="1"/>
  <c r="H70" i="1"/>
  <c r="H1750" i="1" s="1"/>
  <c r="H128" i="1"/>
  <c r="H1448" i="1" s="1"/>
  <c r="H53" i="1"/>
  <c r="H1973" i="1" s="1"/>
  <c r="H54" i="1"/>
  <c r="H1614" i="1" s="1"/>
  <c r="H28" i="1"/>
  <c r="H1828" i="1" s="1"/>
  <c r="O9810" i="1" l="1"/>
  <c r="O6421" i="1"/>
  <c r="G10014" i="1"/>
  <c r="O10014" i="1" s="1"/>
  <c r="Q10014" i="1" s="1"/>
  <c r="I10015" i="1"/>
  <c r="M10014" i="1"/>
  <c r="G6623" i="1"/>
  <c r="O6623" i="1" s="1"/>
  <c r="Q6623" i="1" s="1"/>
  <c r="M6623" i="1"/>
  <c r="M6422" i="1"/>
  <c r="I6423" i="1"/>
  <c r="G6422" i="1"/>
  <c r="O6422" i="1" s="1"/>
  <c r="I6426" i="1"/>
  <c r="I6424" i="1"/>
  <c r="Q6713" i="1"/>
  <c r="G6625" i="1"/>
  <c r="O6625" i="1" s="1"/>
  <c r="Q6625" i="1" s="1"/>
  <c r="I6626" i="1"/>
  <c r="M6625" i="1"/>
  <c r="M6715" i="1"/>
  <c r="I6718" i="1"/>
  <c r="G6715" i="1"/>
  <c r="O6715" i="1" s="1"/>
  <c r="Q6715" i="1" s="1"/>
  <c r="Q10102" i="1"/>
  <c r="G6624" i="1"/>
  <c r="O6624" i="1" s="1"/>
  <c r="Q6624" i="1" s="1"/>
  <c r="M6624" i="1"/>
  <c r="I8900" i="1"/>
  <c r="G8897" i="1"/>
  <c r="O8897" i="1" s="1"/>
  <c r="M8897" i="1"/>
  <c r="I6719" i="1"/>
  <c r="G6717" i="1"/>
  <c r="O6717" i="1" s="1"/>
  <c r="G9906" i="1"/>
  <c r="O9906" i="1" s="1"/>
  <c r="I9908" i="1"/>
  <c r="I10107" i="1"/>
  <c r="G10104" i="1"/>
  <c r="O10104" i="1" s="1"/>
  <c r="Q10104" i="1" s="1"/>
  <c r="M10104" i="1"/>
  <c r="I8901" i="1"/>
  <c r="M8899" i="1"/>
  <c r="G8899" i="1"/>
  <c r="O8899" i="1" s="1"/>
  <c r="M10013" i="1"/>
  <c r="G10013" i="1"/>
  <c r="O10013" i="1" s="1"/>
  <c r="Q10013" i="1" s="1"/>
  <c r="I10108" i="1"/>
  <c r="G10106" i="1"/>
  <c r="O10106" i="1" s="1"/>
  <c r="G10012" i="1"/>
  <c r="O10012" i="1" s="1"/>
  <c r="Q10012" i="1" s="1"/>
  <c r="M10012" i="1"/>
  <c r="G6517" i="1"/>
  <c r="O6517" i="1" s="1"/>
  <c r="I6519" i="1"/>
  <c r="G10103" i="1"/>
  <c r="O10103" i="1" s="1"/>
  <c r="Q10103" i="1" s="1"/>
  <c r="M10103" i="1"/>
  <c r="M6714" i="1"/>
  <c r="G6714" i="1"/>
  <c r="O6714" i="1" s="1"/>
  <c r="Q6714" i="1" s="1"/>
  <c r="I5511" i="1"/>
  <c r="G5508" i="1"/>
  <c r="O5508" i="1" s="1"/>
  <c r="M5508" i="1"/>
  <c r="M9811" i="1"/>
  <c r="G9811" i="1"/>
  <c r="O9811" i="1" s="1"/>
  <c r="I9812" i="1"/>
  <c r="I9815" i="1"/>
  <c r="I9813" i="1"/>
  <c r="I5512" i="1"/>
  <c r="G5510" i="1"/>
  <c r="O5510" i="1" s="1"/>
  <c r="M5510" i="1"/>
  <c r="H321" i="1"/>
  <c r="H1161" i="1" s="1"/>
  <c r="H673" i="1"/>
  <c r="H1160" i="1"/>
  <c r="H313" i="1"/>
  <c r="H430" i="1"/>
  <c r="H1753" i="1"/>
  <c r="H200" i="1"/>
  <c r="H1640" i="1" s="1"/>
  <c r="H793" i="1"/>
  <c r="H680" i="1"/>
  <c r="H193" i="1"/>
  <c r="H1273" i="1"/>
  <c r="H508" i="1"/>
  <c r="H988" i="1"/>
  <c r="H1468" i="1"/>
  <c r="H1948" i="1"/>
  <c r="H294" i="1"/>
  <c r="H774" i="1"/>
  <c r="H1254" i="1"/>
  <c r="H1734" i="1"/>
  <c r="H173" i="1"/>
  <c r="H653" i="1"/>
  <c r="H1133" i="1"/>
  <c r="H1613" i="1"/>
  <c r="H608" i="1"/>
  <c r="H2048" i="1" s="1"/>
  <c r="H1088" i="1"/>
  <c r="H1568" i="1"/>
  <c r="H910" i="1"/>
  <c r="H1390" i="1"/>
  <c r="H1870" i="1"/>
  <c r="H548" i="1"/>
  <c r="H1028" i="1"/>
  <c r="H1508" i="1"/>
  <c r="H148" i="1"/>
  <c r="H628" i="1"/>
  <c r="H1108" i="1"/>
  <c r="H1588" i="1"/>
  <c r="H414" i="1"/>
  <c r="H894" i="1"/>
  <c r="H1374" i="1"/>
  <c r="H1854" i="1"/>
  <c r="H293" i="1"/>
  <c r="H773" i="1"/>
  <c r="H1253" i="1"/>
  <c r="H1733" i="1"/>
  <c r="H248" i="1"/>
  <c r="H1688" i="1" s="1"/>
  <c r="H728" i="1"/>
  <c r="H1208" i="1"/>
  <c r="H550" i="1"/>
  <c r="H1030" i="1"/>
  <c r="H1510" i="1"/>
  <c r="H1990" i="1"/>
  <c r="H320" i="1"/>
  <c r="H1760" i="1" s="1"/>
  <c r="H800" i="1"/>
  <c r="H1280" i="1"/>
  <c r="H188" i="1"/>
  <c r="H668" i="1"/>
  <c r="H1148" i="1"/>
  <c r="H433" i="1"/>
  <c r="H913" i="1"/>
  <c r="H1393" i="1"/>
  <c r="H1873" i="1"/>
  <c r="H201" i="1"/>
  <c r="H1641" i="1" s="1"/>
  <c r="H268" i="1"/>
  <c r="H748" i="1"/>
  <c r="H1228" i="1"/>
  <c r="H1708" i="1"/>
  <c r="H534" i="1"/>
  <c r="H1014" i="1"/>
  <c r="H1494" i="1"/>
  <c r="H1974" i="1"/>
  <c r="H413" i="1"/>
  <c r="H893" i="1"/>
  <c r="H1373" i="1"/>
  <c r="H1853" i="1"/>
  <c r="H368" i="1"/>
  <c r="H1808" i="1" s="1"/>
  <c r="H848" i="1"/>
  <c r="H1328" i="1"/>
  <c r="H190" i="1"/>
  <c r="H670" i="1"/>
  <c r="H1150" i="1"/>
  <c r="H1630" i="1"/>
  <c r="H440" i="1"/>
  <c r="H1880" i="1" s="1"/>
  <c r="H920" i="1"/>
  <c r="H1400" i="1"/>
  <c r="H308" i="1"/>
  <c r="H788" i="1"/>
  <c r="H1268" i="1"/>
  <c r="H553" i="1"/>
  <c r="H1033" i="1"/>
  <c r="H1513" i="1"/>
  <c r="H1993" i="1"/>
  <c r="H388" i="1"/>
  <c r="H868" i="1"/>
  <c r="H1348" i="1"/>
  <c r="H174" i="1"/>
  <c r="H654" i="1"/>
  <c r="H1134" i="1"/>
  <c r="H533" i="1"/>
  <c r="H1013" i="1"/>
  <c r="H1493" i="1"/>
  <c r="H488" i="1"/>
  <c r="H1928" i="1" s="1"/>
  <c r="H968" i="1"/>
  <c r="H310" i="1"/>
  <c r="H790" i="1"/>
  <c r="H1270" i="1"/>
  <c r="H560" i="1"/>
  <c r="H2000" i="1" s="1"/>
  <c r="H1040" i="1"/>
  <c r="H428" i="1"/>
  <c r="H908" i="1"/>
  <c r="H1153" i="1"/>
  <c r="H29" i="1"/>
  <c r="H749" i="1" s="1"/>
  <c r="H1469" i="1" s="1"/>
  <c r="H26" i="1"/>
  <c r="H1706" i="1" s="1"/>
  <c r="H1681" i="1"/>
  <c r="H839" i="1"/>
  <c r="H1919" i="1" s="1"/>
  <c r="H233" i="1"/>
  <c r="H353" i="1" s="1"/>
  <c r="H956" i="1"/>
  <c r="H838" i="1"/>
  <c r="H1558" i="1" s="1"/>
  <c r="H475" i="1"/>
  <c r="H58" i="1"/>
  <c r="O10105" i="1" l="1"/>
  <c r="Q5510" i="1"/>
  <c r="G10108" i="1"/>
  <c r="O10108" i="1" s="1"/>
  <c r="Q10108" i="1" s="1"/>
  <c r="M10108" i="1"/>
  <c r="I10110" i="1"/>
  <c r="G8900" i="1"/>
  <c r="O8900" i="1" s="1"/>
  <c r="Q8900" i="1" s="1"/>
  <c r="M8900" i="1"/>
  <c r="Q6422" i="1"/>
  <c r="I5513" i="1"/>
  <c r="M5512" i="1"/>
  <c r="G5512" i="1"/>
  <c r="O5512" i="1" s="1"/>
  <c r="Q5512" i="1" s="1"/>
  <c r="Q5508" i="1"/>
  <c r="O5509" i="1"/>
  <c r="I6521" i="1"/>
  <c r="G6519" i="1"/>
  <c r="O6519" i="1" s="1"/>
  <c r="I6520" i="1"/>
  <c r="I6523" i="1"/>
  <c r="M6519" i="1"/>
  <c r="I10109" i="1"/>
  <c r="I10111" i="1"/>
  <c r="G10107" i="1"/>
  <c r="O10107" i="1" s="1"/>
  <c r="Q10107" i="1" s="1"/>
  <c r="M10107" i="1"/>
  <c r="G6423" i="1"/>
  <c r="O6423" i="1" s="1"/>
  <c r="Q6423" i="1" s="1"/>
  <c r="M6423" i="1"/>
  <c r="M5511" i="1"/>
  <c r="G5511" i="1"/>
  <c r="O5511" i="1" s="1"/>
  <c r="Q5511" i="1" s="1"/>
  <c r="Q6517" i="1"/>
  <c r="O6518" i="1"/>
  <c r="I9909" i="1"/>
  <c r="I9910" i="1"/>
  <c r="M9908" i="1"/>
  <c r="I9912" i="1"/>
  <c r="G9908" i="1"/>
  <c r="O9908" i="1" s="1"/>
  <c r="I6636" i="1"/>
  <c r="I6627" i="1"/>
  <c r="M6626" i="1"/>
  <c r="G6626" i="1"/>
  <c r="O6626" i="1" s="1"/>
  <c r="Q6626" i="1" s="1"/>
  <c r="I9816" i="1"/>
  <c r="G9813" i="1"/>
  <c r="O9813" i="1" s="1"/>
  <c r="Q9813" i="1" s="1"/>
  <c r="M9813" i="1"/>
  <c r="Q9906" i="1"/>
  <c r="O9907" i="1"/>
  <c r="G9815" i="1"/>
  <c r="O9815" i="1" s="1"/>
  <c r="I9817" i="1"/>
  <c r="Q8899" i="1"/>
  <c r="Q6717" i="1"/>
  <c r="O6716" i="1"/>
  <c r="M9812" i="1"/>
  <c r="G9812" i="1"/>
  <c r="O9812" i="1" s="1"/>
  <c r="Q9812" i="1" s="1"/>
  <c r="I6721" i="1"/>
  <c r="M6719" i="1"/>
  <c r="G6719" i="1"/>
  <c r="O6719" i="1" s="1"/>
  <c r="Q6719" i="1" s="1"/>
  <c r="Q9811" i="1"/>
  <c r="I8902" i="1"/>
  <c r="M8901" i="1"/>
  <c r="G8901" i="1"/>
  <c r="O8901" i="1" s="1"/>
  <c r="Q8901" i="1" s="1"/>
  <c r="I6720" i="1"/>
  <c r="I6722" i="1"/>
  <c r="M6718" i="1"/>
  <c r="G6718" i="1"/>
  <c r="O6718" i="1" s="1"/>
  <c r="Q6718" i="1" s="1"/>
  <c r="I6427" i="1"/>
  <c r="M6424" i="1"/>
  <c r="G6424" i="1"/>
  <c r="O6424" i="1" s="1"/>
  <c r="Q6424" i="1" s="1"/>
  <c r="I10016" i="1"/>
  <c r="I10025" i="1"/>
  <c r="M10015" i="1"/>
  <c r="G10015" i="1"/>
  <c r="O10015" i="1" s="1"/>
  <c r="Q10015" i="1" s="1"/>
  <c r="Q10106" i="1"/>
  <c r="Q8897" i="1"/>
  <c r="O8898" i="1"/>
  <c r="G6426" i="1"/>
  <c r="O6426" i="1" s="1"/>
  <c r="I6428" i="1"/>
  <c r="H1920" i="1"/>
  <c r="H240" i="1"/>
  <c r="H1281" i="1"/>
  <c r="H1041" i="1"/>
  <c r="H1401" i="1"/>
  <c r="H561" i="1"/>
  <c r="H801" i="1"/>
  <c r="H921" i="1"/>
  <c r="H441" i="1"/>
  <c r="H681" i="1"/>
  <c r="H1868" i="1"/>
  <c r="H1988" i="1"/>
  <c r="H1748" i="1"/>
  <c r="H1628" i="1"/>
  <c r="H778" i="1"/>
  <c r="H1521" i="1"/>
  <c r="H361" i="1"/>
  <c r="H481" i="1"/>
  <c r="H1441" i="1"/>
  <c r="H961" i="1"/>
  <c r="H1921" i="1"/>
  <c r="H1321" i="1"/>
  <c r="H841" i="1"/>
  <c r="H1801" i="1"/>
  <c r="H2001" i="1"/>
  <c r="H1761" i="1"/>
  <c r="H1881" i="1"/>
  <c r="H418" i="1"/>
  <c r="H898" i="1"/>
  <c r="H595" i="1"/>
  <c r="H1075" i="1" s="1"/>
  <c r="H478" i="1"/>
  <c r="H1198" i="1" s="1"/>
  <c r="H1918" i="1" s="1"/>
  <c r="H596" i="1"/>
  <c r="H1676" i="1" s="1"/>
  <c r="H1076" i="1"/>
  <c r="H479" i="1"/>
  <c r="H1559" i="1" s="1"/>
  <c r="H959" i="1"/>
  <c r="H2039" i="1" s="1"/>
  <c r="H600" i="1"/>
  <c r="H1080" i="1"/>
  <c r="H1560" i="1"/>
  <c r="H2040" i="1"/>
  <c r="H386" i="1"/>
  <c r="H866" i="1"/>
  <c r="H1346" i="1"/>
  <c r="H1826" i="1"/>
  <c r="H389" i="1"/>
  <c r="H1109" i="1" s="1"/>
  <c r="H1018" i="1"/>
  <c r="H235" i="1"/>
  <c r="H715" i="1" s="1"/>
  <c r="H1195" i="1" s="1"/>
  <c r="H598" i="1"/>
  <c r="H1318" i="1" s="1"/>
  <c r="H1316" i="1"/>
  <c r="H716" i="1"/>
  <c r="H1796" i="1" s="1"/>
  <c r="H1196" i="1"/>
  <c r="H599" i="1"/>
  <c r="H1679" i="1" s="1"/>
  <c r="H1079" i="1"/>
  <c r="H720" i="1"/>
  <c r="H1200" i="1"/>
  <c r="H1680" i="1"/>
  <c r="H506" i="1"/>
  <c r="H986" i="1"/>
  <c r="H1466" i="1"/>
  <c r="H509" i="1"/>
  <c r="H1229" i="1" s="1"/>
  <c r="H1949" i="1" s="1"/>
  <c r="H178" i="1"/>
  <c r="H658" i="1"/>
  <c r="H1138" i="1"/>
  <c r="H355" i="1"/>
  <c r="H835" i="1" s="1"/>
  <c r="H238" i="1"/>
  <c r="H958" i="1" s="1"/>
  <c r="H1678" i="1" s="1"/>
  <c r="H718" i="1"/>
  <c r="H1438" i="1" s="1"/>
  <c r="H356" i="1"/>
  <c r="H1436" i="1" s="1"/>
  <c r="H836" i="1"/>
  <c r="H1916" i="1" s="1"/>
  <c r="H239" i="1"/>
  <c r="H1319" i="1" s="1"/>
  <c r="H719" i="1"/>
  <c r="H1799" i="1" s="1"/>
  <c r="H1199" i="1"/>
  <c r="H360" i="1"/>
  <c r="H840" i="1"/>
  <c r="H1320" i="1"/>
  <c r="H1800" i="1"/>
  <c r="H601" i="1"/>
  <c r="H1081" i="1"/>
  <c r="H1561" i="1"/>
  <c r="H2041" i="1"/>
  <c r="H146" i="1"/>
  <c r="H626" i="1"/>
  <c r="H1106" i="1"/>
  <c r="H1586" i="1"/>
  <c r="H149" i="1"/>
  <c r="H869" i="1" s="1"/>
  <c r="H1589" i="1" s="1"/>
  <c r="H629" i="1"/>
  <c r="H1349" i="1" s="1"/>
  <c r="H538" i="1"/>
  <c r="H298" i="1"/>
  <c r="H358" i="1"/>
  <c r="H1078" i="1" s="1"/>
  <c r="H1798" i="1" s="1"/>
  <c r="H476" i="1"/>
  <c r="H1556" i="1" s="1"/>
  <c r="H359" i="1"/>
  <c r="H1439" i="1" s="1"/>
  <c r="H480" i="1"/>
  <c r="H960" i="1"/>
  <c r="H1440" i="1"/>
  <c r="H241" i="1"/>
  <c r="H721" i="1"/>
  <c r="H1201" i="1"/>
  <c r="H266" i="1"/>
  <c r="H1946" i="1" s="1"/>
  <c r="H746" i="1"/>
  <c r="H1226" i="1"/>
  <c r="H269" i="1"/>
  <c r="H989" i="1" s="1"/>
  <c r="H1709" i="1" s="1"/>
  <c r="H473" i="1"/>
  <c r="H2036" i="1"/>
  <c r="H955" i="1"/>
  <c r="M6722" i="1" l="1"/>
  <c r="I6723" i="1"/>
  <c r="G6722" i="1"/>
  <c r="O6722" i="1" s="1"/>
  <c r="Q6722" i="1" s="1"/>
  <c r="I9820" i="1"/>
  <c r="I9818" i="1"/>
  <c r="G9816" i="1"/>
  <c r="O9816" i="1" s="1"/>
  <c r="Q9816" i="1" s="1"/>
  <c r="M9816" i="1"/>
  <c r="G9910" i="1"/>
  <c r="O9910" i="1" s="1"/>
  <c r="Q9910" i="1" s="1"/>
  <c r="I9913" i="1"/>
  <c r="M9910" i="1"/>
  <c r="G6521" i="1"/>
  <c r="O6521" i="1" s="1"/>
  <c r="Q6521" i="1" s="1"/>
  <c r="M6521" i="1"/>
  <c r="I6524" i="1"/>
  <c r="M6428" i="1"/>
  <c r="G6428" i="1"/>
  <c r="O6428" i="1" s="1"/>
  <c r="Q6428" i="1" s="1"/>
  <c r="I6430" i="1"/>
  <c r="I10027" i="1"/>
  <c r="G10025" i="1"/>
  <c r="O10025" i="1" s="1"/>
  <c r="Q10025" i="1" s="1"/>
  <c r="M10025" i="1"/>
  <c r="G6720" i="1"/>
  <c r="O6720" i="1" s="1"/>
  <c r="Q6720" i="1" s="1"/>
  <c r="M6720" i="1"/>
  <c r="G9909" i="1"/>
  <c r="O9909" i="1" s="1"/>
  <c r="Q9909" i="1" s="1"/>
  <c r="M9909" i="1"/>
  <c r="Q6426" i="1"/>
  <c r="M10016" i="1"/>
  <c r="G10016" i="1"/>
  <c r="O10016" i="1" s="1"/>
  <c r="Q10016" i="1" s="1"/>
  <c r="I10017" i="1"/>
  <c r="M6721" i="1"/>
  <c r="G6721" i="1"/>
  <c r="O6721" i="1" s="1"/>
  <c r="Q6721" i="1" s="1"/>
  <c r="G9817" i="1"/>
  <c r="O9817" i="1" s="1"/>
  <c r="Q9817" i="1" s="1"/>
  <c r="M9817" i="1"/>
  <c r="I9819" i="1"/>
  <c r="G10111" i="1"/>
  <c r="O10111" i="1" s="1"/>
  <c r="Q10111" i="1" s="1"/>
  <c r="I10112" i="1"/>
  <c r="M10111" i="1"/>
  <c r="M10110" i="1"/>
  <c r="G10110" i="1"/>
  <c r="O10110" i="1" s="1"/>
  <c r="Q10110" i="1" s="1"/>
  <c r="Q9815" i="1"/>
  <c r="G6627" i="1"/>
  <c r="O6627" i="1" s="1"/>
  <c r="Q6627" i="1" s="1"/>
  <c r="M6627" i="1"/>
  <c r="I6628" i="1"/>
  <c r="M10109" i="1"/>
  <c r="G10109" i="1"/>
  <c r="O10109" i="1" s="1"/>
  <c r="I8903" i="1"/>
  <c r="G8902" i="1"/>
  <c r="O8902" i="1" s="1"/>
  <c r="Q8902" i="1" s="1"/>
  <c r="M8902" i="1"/>
  <c r="I6638" i="1"/>
  <c r="G6636" i="1"/>
  <c r="O6636" i="1" s="1"/>
  <c r="Q6636" i="1" s="1"/>
  <c r="M6636" i="1"/>
  <c r="I6429" i="1"/>
  <c r="I6431" i="1"/>
  <c r="G6427" i="1"/>
  <c r="O6427" i="1" s="1"/>
  <c r="Q6427" i="1" s="1"/>
  <c r="M6427" i="1"/>
  <c r="Q9908" i="1"/>
  <c r="G6523" i="1"/>
  <c r="O6523" i="1" s="1"/>
  <c r="I6525" i="1"/>
  <c r="I5514" i="1"/>
  <c r="M5513" i="1"/>
  <c r="G5513" i="1"/>
  <c r="O5513" i="1" s="1"/>
  <c r="Q5513" i="1" s="1"/>
  <c r="O9814" i="1"/>
  <c r="G9912" i="1"/>
  <c r="O9912" i="1" s="1"/>
  <c r="I9914" i="1"/>
  <c r="G6520" i="1"/>
  <c r="O6520" i="1" s="1"/>
  <c r="Q6520" i="1" s="1"/>
  <c r="M6520" i="1"/>
  <c r="O6425" i="1"/>
  <c r="Q6519" i="1"/>
  <c r="H1858" i="1"/>
  <c r="H1618" i="1"/>
  <c r="H1378" i="1"/>
  <c r="H1738" i="1"/>
  <c r="H1498" i="1"/>
  <c r="H1258" i="1"/>
  <c r="H1978" i="1"/>
  <c r="H1829" i="1"/>
  <c r="H593" i="1"/>
  <c r="H2038" i="1"/>
  <c r="H1555" i="1"/>
  <c r="H1435" i="1"/>
  <c r="H1315" i="1"/>
  <c r="H1675" i="1"/>
  <c r="N127" i="1"/>
  <c r="O6522" i="1" l="1"/>
  <c r="O9911" i="1"/>
  <c r="M6628" i="1"/>
  <c r="G6628" i="1"/>
  <c r="O6628" i="1" s="1"/>
  <c r="Q6628" i="1" s="1"/>
  <c r="I6629" i="1"/>
  <c r="I6640" i="1"/>
  <c r="I6642" i="1"/>
  <c r="M6638" i="1"/>
  <c r="G6638" i="1"/>
  <c r="O6638" i="1" s="1"/>
  <c r="I10113" i="1"/>
  <c r="I10122" i="1"/>
  <c r="M10112" i="1"/>
  <c r="G10112" i="1"/>
  <c r="O10112" i="1" s="1"/>
  <c r="Q10112" i="1" s="1"/>
  <c r="G10017" i="1"/>
  <c r="O10017" i="1" s="1"/>
  <c r="M10017" i="1"/>
  <c r="I10018" i="1"/>
  <c r="I6528" i="1"/>
  <c r="I6526" i="1"/>
  <c r="G6524" i="1"/>
  <c r="O6524" i="1" s="1"/>
  <c r="Q6524" i="1" s="1"/>
  <c r="M6524" i="1"/>
  <c r="G9818" i="1"/>
  <c r="O9818" i="1" s="1"/>
  <c r="M9818" i="1"/>
  <c r="M9820" i="1"/>
  <c r="I9821" i="1"/>
  <c r="G9820" i="1"/>
  <c r="O9820" i="1" s="1"/>
  <c r="Q9820" i="1" s="1"/>
  <c r="M9819" i="1"/>
  <c r="G9819" i="1"/>
  <c r="O9819" i="1" s="1"/>
  <c r="Q9819" i="1" s="1"/>
  <c r="I5515" i="1"/>
  <c r="M5514" i="1"/>
  <c r="G5514" i="1"/>
  <c r="O5514" i="1" s="1"/>
  <c r="Q5514" i="1" s="1"/>
  <c r="I9916" i="1"/>
  <c r="M9914" i="1"/>
  <c r="G9914" i="1"/>
  <c r="O9914" i="1" s="1"/>
  <c r="Q9914" i="1" s="1"/>
  <c r="M6525" i="1"/>
  <c r="I6527" i="1"/>
  <c r="G6525" i="1"/>
  <c r="O6525" i="1" s="1"/>
  <c r="Q6525" i="1" s="1"/>
  <c r="M6431" i="1"/>
  <c r="G6431" i="1"/>
  <c r="O6431" i="1" s="1"/>
  <c r="Q6431" i="1" s="1"/>
  <c r="I6432" i="1"/>
  <c r="I8904" i="1"/>
  <c r="M8903" i="1"/>
  <c r="G8903" i="1"/>
  <c r="O8903" i="1" s="1"/>
  <c r="Q8903" i="1" s="1"/>
  <c r="G10027" i="1"/>
  <c r="O10027" i="1" s="1"/>
  <c r="I10029" i="1"/>
  <c r="I10031" i="1"/>
  <c r="M10027" i="1"/>
  <c r="I9917" i="1"/>
  <c r="I9915" i="1"/>
  <c r="M9913" i="1"/>
  <c r="G9913" i="1"/>
  <c r="O9913" i="1" s="1"/>
  <c r="Q9913" i="1" s="1"/>
  <c r="I6724" i="1"/>
  <c r="I6733" i="1"/>
  <c r="M6723" i="1"/>
  <c r="G6723" i="1"/>
  <c r="O6723" i="1" s="1"/>
  <c r="Q9912" i="1"/>
  <c r="Q6523" i="1"/>
  <c r="M6429" i="1"/>
  <c r="G6429" i="1"/>
  <c r="O6429" i="1" s="1"/>
  <c r="Q6429" i="1" s="1"/>
  <c r="Q10109" i="1"/>
  <c r="G6430" i="1"/>
  <c r="O6430" i="1" s="1"/>
  <c r="Q6430" i="1" s="1"/>
  <c r="M6430" i="1"/>
  <c r="N967" i="1"/>
  <c r="N1327" i="1"/>
  <c r="N847" i="1"/>
  <c r="N1687" i="1"/>
  <c r="N1207" i="1"/>
  <c r="N727" i="1"/>
  <c r="N247" i="1"/>
  <c r="N1447" i="1"/>
  <c r="N487" i="1"/>
  <c r="N1807" i="1"/>
  <c r="N2047" i="1"/>
  <c r="N1567" i="1"/>
  <c r="N1087" i="1"/>
  <c r="N607" i="1"/>
  <c r="N1927" i="1"/>
  <c r="N367" i="1"/>
  <c r="H713" i="1"/>
  <c r="H1915" i="1"/>
  <c r="H2035" i="1"/>
  <c r="H1795" i="1"/>
  <c r="I6725" i="1" l="1"/>
  <c r="M6724" i="1"/>
  <c r="G6724" i="1"/>
  <c r="O6724" i="1" s="1"/>
  <c r="Q6724" i="1" s="1"/>
  <c r="Q10027" i="1"/>
  <c r="O10028" i="1"/>
  <c r="M6527" i="1"/>
  <c r="G6527" i="1"/>
  <c r="O6527" i="1" s="1"/>
  <c r="Q6527" i="1" s="1"/>
  <c r="I6643" i="1"/>
  <c r="G6642" i="1"/>
  <c r="O6642" i="1" s="1"/>
  <c r="Q10017" i="1"/>
  <c r="I6646" i="1"/>
  <c r="G6646" i="1" s="1"/>
  <c r="O6646" i="1" s="1"/>
  <c r="Q6646" i="1" s="1"/>
  <c r="G6640" i="1"/>
  <c r="O6640" i="1" s="1"/>
  <c r="I6648" i="1"/>
  <c r="Q9818" i="1"/>
  <c r="M9915" i="1"/>
  <c r="G9915" i="1"/>
  <c r="O9915" i="1" s="1"/>
  <c r="Q9915" i="1" s="1"/>
  <c r="I6630" i="1"/>
  <c r="M6629" i="1"/>
  <c r="G6629" i="1"/>
  <c r="O6629" i="1" s="1"/>
  <c r="I8905" i="1"/>
  <c r="G8904" i="1"/>
  <c r="O8904" i="1" s="1"/>
  <c r="Q8904" i="1" s="1"/>
  <c r="M8904" i="1"/>
  <c r="I9918" i="1"/>
  <c r="M9917" i="1"/>
  <c r="G9917" i="1"/>
  <c r="O9917" i="1" s="1"/>
  <c r="Q9917" i="1" s="1"/>
  <c r="I6433" i="1"/>
  <c r="I6442" i="1"/>
  <c r="G6432" i="1"/>
  <c r="O6432" i="1" s="1"/>
  <c r="Q6432" i="1" s="1"/>
  <c r="M6432" i="1"/>
  <c r="M9916" i="1"/>
  <c r="G9916" i="1"/>
  <c r="O9916" i="1" s="1"/>
  <c r="Q9916" i="1" s="1"/>
  <c r="M10122" i="1"/>
  <c r="I10124" i="1"/>
  <c r="G10122" i="1"/>
  <c r="O10122" i="1" s="1"/>
  <c r="Q10122" i="1" s="1"/>
  <c r="Q6723" i="1"/>
  <c r="G6526" i="1"/>
  <c r="O6526" i="1" s="1"/>
  <c r="M6526" i="1"/>
  <c r="I10114" i="1"/>
  <c r="G10113" i="1"/>
  <c r="O10113" i="1" s="1"/>
  <c r="M10113" i="1"/>
  <c r="I10032" i="1"/>
  <c r="G10031" i="1"/>
  <c r="O10031" i="1" s="1"/>
  <c r="I9822" i="1"/>
  <c r="I9831" i="1"/>
  <c r="G9821" i="1"/>
  <c r="O9821" i="1" s="1"/>
  <c r="Q9821" i="1" s="1"/>
  <c r="M9821" i="1"/>
  <c r="G6528" i="1"/>
  <c r="O6528" i="1" s="1"/>
  <c r="Q6528" i="1" s="1"/>
  <c r="I6529" i="1"/>
  <c r="M6528" i="1"/>
  <c r="O6639" i="1"/>
  <c r="Q6638" i="1"/>
  <c r="I6735" i="1"/>
  <c r="G6733" i="1"/>
  <c r="O6733" i="1" s="1"/>
  <c r="Q6733" i="1" s="1"/>
  <c r="M6733" i="1"/>
  <c r="I10037" i="1"/>
  <c r="G10029" i="1"/>
  <c r="O10029" i="1" s="1"/>
  <c r="I10035" i="1"/>
  <c r="G10035" i="1" s="1"/>
  <c r="O10035" i="1" s="1"/>
  <c r="Q10035" i="1" s="1"/>
  <c r="I5516" i="1"/>
  <c r="G5515" i="1"/>
  <c r="O5515" i="1" s="1"/>
  <c r="Q5515" i="1" s="1"/>
  <c r="M5515" i="1"/>
  <c r="I10019" i="1"/>
  <c r="M10018" i="1"/>
  <c r="G10018" i="1"/>
  <c r="O10018" i="1" s="1"/>
  <c r="Q10018" i="1" s="1"/>
  <c r="H833" i="1"/>
  <c r="I10039" i="1" l="1"/>
  <c r="M10037" i="1"/>
  <c r="G10037" i="1"/>
  <c r="O10037" i="1" s="1"/>
  <c r="G10032" i="1"/>
  <c r="O10032" i="1" s="1"/>
  <c r="Q10032" i="1" s="1"/>
  <c r="I10033" i="1"/>
  <c r="G6442" i="1"/>
  <c r="O6442" i="1" s="1"/>
  <c r="Q6442" i="1" s="1"/>
  <c r="I6444" i="1"/>
  <c r="M6442" i="1"/>
  <c r="I6644" i="1"/>
  <c r="G6643" i="1"/>
  <c r="O6643" i="1" s="1"/>
  <c r="Q6643" i="1" s="1"/>
  <c r="Q10029" i="1"/>
  <c r="O10030" i="1"/>
  <c r="I6530" i="1"/>
  <c r="I6539" i="1"/>
  <c r="G6529" i="1"/>
  <c r="O6529" i="1" s="1"/>
  <c r="Q6529" i="1" s="1"/>
  <c r="M6529" i="1"/>
  <c r="I10126" i="1"/>
  <c r="I10128" i="1"/>
  <c r="G10124" i="1"/>
  <c r="O10124" i="1" s="1"/>
  <c r="M10124" i="1"/>
  <c r="M6433" i="1"/>
  <c r="I6434" i="1"/>
  <c r="G6433" i="1"/>
  <c r="O6433" i="1" s="1"/>
  <c r="Q6433" i="1" s="1"/>
  <c r="Q6629" i="1"/>
  <c r="M6648" i="1"/>
  <c r="I6650" i="1"/>
  <c r="G6648" i="1"/>
  <c r="O6648" i="1" s="1"/>
  <c r="O6641" i="1"/>
  <c r="Q6640" i="1"/>
  <c r="I10115" i="1"/>
  <c r="M10114" i="1"/>
  <c r="G10114" i="1"/>
  <c r="O10114" i="1" s="1"/>
  <c r="Q10114" i="1" s="1"/>
  <c r="M6630" i="1"/>
  <c r="G6630" i="1"/>
  <c r="O6630" i="1" s="1"/>
  <c r="Q6630" i="1" s="1"/>
  <c r="I6631" i="1"/>
  <c r="I9919" i="1"/>
  <c r="I9928" i="1"/>
  <c r="M9918" i="1"/>
  <c r="G9918" i="1"/>
  <c r="O9918" i="1" s="1"/>
  <c r="Q9918" i="1" s="1"/>
  <c r="Q6526" i="1"/>
  <c r="I9833" i="1"/>
  <c r="M9831" i="1"/>
  <c r="G9831" i="1"/>
  <c r="O9831" i="1" s="1"/>
  <c r="Q9831" i="1" s="1"/>
  <c r="Q10113" i="1"/>
  <c r="G10019" i="1"/>
  <c r="O10019" i="1" s="1"/>
  <c r="Q10019" i="1" s="1"/>
  <c r="M10019" i="1"/>
  <c r="I10020" i="1"/>
  <c r="I6737" i="1"/>
  <c r="I6739" i="1"/>
  <c r="G6735" i="1"/>
  <c r="O6735" i="1" s="1"/>
  <c r="M6735" i="1"/>
  <c r="M9822" i="1"/>
  <c r="I9823" i="1"/>
  <c r="G9822" i="1"/>
  <c r="O9822" i="1" s="1"/>
  <c r="Q9822" i="1" s="1"/>
  <c r="I5517" i="1"/>
  <c r="M5516" i="1"/>
  <c r="G5516" i="1"/>
  <c r="O5516" i="1" s="1"/>
  <c r="Q5516" i="1" s="1"/>
  <c r="Q10031" i="1"/>
  <c r="I8906" i="1"/>
  <c r="G8905" i="1"/>
  <c r="O8905" i="1" s="1"/>
  <c r="M8905" i="1"/>
  <c r="Q6642" i="1"/>
  <c r="M6725" i="1"/>
  <c r="I6726" i="1"/>
  <c r="G6725" i="1"/>
  <c r="O6725" i="1" s="1"/>
  <c r="H953" i="1"/>
  <c r="I10116" i="1" l="1"/>
  <c r="G10115" i="1"/>
  <c r="O10115" i="1" s="1"/>
  <c r="M10115" i="1"/>
  <c r="Q6735" i="1"/>
  <c r="O6736" i="1"/>
  <c r="I6740" i="1"/>
  <c r="G6739" i="1"/>
  <c r="O6739" i="1" s="1"/>
  <c r="M9928" i="1"/>
  <c r="I9930" i="1"/>
  <c r="G9928" i="1"/>
  <c r="O9928" i="1" s="1"/>
  <c r="Q9928" i="1" s="1"/>
  <c r="I6435" i="1"/>
  <c r="M6434" i="1"/>
  <c r="G6434" i="1"/>
  <c r="O6434" i="1" s="1"/>
  <c r="I6541" i="1"/>
  <c r="M6539" i="1"/>
  <c r="G6539" i="1"/>
  <c r="O6539" i="1" s="1"/>
  <c r="Q6539" i="1" s="1"/>
  <c r="I6448" i="1"/>
  <c r="G6444" i="1"/>
  <c r="O6444" i="1" s="1"/>
  <c r="I6446" i="1"/>
  <c r="M6444" i="1"/>
  <c r="G6737" i="1"/>
  <c r="O6737" i="1" s="1"/>
  <c r="I6745" i="1"/>
  <c r="I6743" i="1"/>
  <c r="G6743" i="1" s="1"/>
  <c r="O6743" i="1" s="1"/>
  <c r="Q6743" i="1" s="1"/>
  <c r="G9919" i="1"/>
  <c r="O9919" i="1" s="1"/>
  <c r="Q9919" i="1" s="1"/>
  <c r="M9919" i="1"/>
  <c r="I9920" i="1"/>
  <c r="G6530" i="1"/>
  <c r="O6530" i="1" s="1"/>
  <c r="I6531" i="1"/>
  <c r="M6530" i="1"/>
  <c r="I5518" i="1"/>
  <c r="I5519" i="1"/>
  <c r="M5517" i="1"/>
  <c r="G5517" i="1"/>
  <c r="O5517" i="1" s="1"/>
  <c r="Q5517" i="1" s="1"/>
  <c r="I10021" i="1"/>
  <c r="I10022" i="1"/>
  <c r="G10020" i="1"/>
  <c r="O10020" i="1" s="1"/>
  <c r="Q10020" i="1" s="1"/>
  <c r="M10020" i="1"/>
  <c r="I6633" i="1"/>
  <c r="I6632" i="1"/>
  <c r="M6631" i="1"/>
  <c r="G6631" i="1"/>
  <c r="O6631" i="1" s="1"/>
  <c r="Q6631" i="1" s="1"/>
  <c r="O6649" i="1"/>
  <c r="Q6648" i="1"/>
  <c r="G10033" i="1"/>
  <c r="O10033" i="1" s="1"/>
  <c r="I10034" i="1"/>
  <c r="G10034" i="1" s="1"/>
  <c r="O10034" i="1" s="1"/>
  <c r="Q10034" i="1" s="1"/>
  <c r="I9837" i="1"/>
  <c r="M9833" i="1"/>
  <c r="I9835" i="1"/>
  <c r="G9833" i="1"/>
  <c r="O9833" i="1" s="1"/>
  <c r="I6651" i="1"/>
  <c r="G6650" i="1"/>
  <c r="O6650" i="1" s="1"/>
  <c r="O10125" i="1"/>
  <c r="Q10124" i="1"/>
  <c r="I10129" i="1"/>
  <c r="G10128" i="1"/>
  <c r="O10128" i="1" s="1"/>
  <c r="O10038" i="1"/>
  <c r="Q10037" i="1"/>
  <c r="Q8905" i="1"/>
  <c r="Q6725" i="1"/>
  <c r="I8907" i="1"/>
  <c r="I8908" i="1"/>
  <c r="G8906" i="1"/>
  <c r="O8906" i="1" s="1"/>
  <c r="Q8906" i="1" s="1"/>
  <c r="M8906" i="1"/>
  <c r="I10132" i="1"/>
  <c r="G10132" i="1" s="1"/>
  <c r="O10132" i="1" s="1"/>
  <c r="Q10132" i="1" s="1"/>
  <c r="I10134" i="1"/>
  <c r="G10126" i="1"/>
  <c r="O10126" i="1" s="1"/>
  <c r="I6645" i="1"/>
  <c r="G6645" i="1" s="1"/>
  <c r="O6645" i="1" s="1"/>
  <c r="Q6645" i="1" s="1"/>
  <c r="G6644" i="1"/>
  <c r="O6644" i="1" s="1"/>
  <c r="I9824" i="1"/>
  <c r="M9823" i="1"/>
  <c r="G9823" i="1"/>
  <c r="O9823" i="1" s="1"/>
  <c r="Q9823" i="1" s="1"/>
  <c r="I6727" i="1"/>
  <c r="M6726" i="1"/>
  <c r="G6726" i="1"/>
  <c r="O6726" i="1" s="1"/>
  <c r="Q6726" i="1" s="1"/>
  <c r="I10040" i="1"/>
  <c r="G10039" i="1"/>
  <c r="O10039" i="1" s="1"/>
  <c r="H1073" i="1"/>
  <c r="G10040" i="1" l="1"/>
  <c r="O10040" i="1" s="1"/>
  <c r="Q10040" i="1" s="1"/>
  <c r="M10040" i="1"/>
  <c r="I9825" i="1"/>
  <c r="G9824" i="1"/>
  <c r="O9824" i="1" s="1"/>
  <c r="Q9824" i="1" s="1"/>
  <c r="M9824" i="1"/>
  <c r="I8909" i="1"/>
  <c r="I8910" i="1"/>
  <c r="M8908" i="1"/>
  <c r="G8908" i="1"/>
  <c r="O8908" i="1" s="1"/>
  <c r="Q8908" i="1" s="1"/>
  <c r="Q10128" i="1"/>
  <c r="I6634" i="1"/>
  <c r="M6632" i="1"/>
  <c r="G6632" i="1"/>
  <c r="O6632" i="1" s="1"/>
  <c r="I5520" i="1"/>
  <c r="I5521" i="1"/>
  <c r="M5519" i="1"/>
  <c r="G5519" i="1"/>
  <c r="O5519" i="1" s="1"/>
  <c r="Q5519" i="1" s="1"/>
  <c r="I10130" i="1"/>
  <c r="G10129" i="1"/>
  <c r="O10129" i="1" s="1"/>
  <c r="Q10129" i="1" s="1"/>
  <c r="G9837" i="1"/>
  <c r="O9837" i="1" s="1"/>
  <c r="I9838" i="1"/>
  <c r="G6633" i="1"/>
  <c r="O6633" i="1" s="1"/>
  <c r="Q6633" i="1" s="1"/>
  <c r="M6633" i="1"/>
  <c r="M5518" i="1"/>
  <c r="G5518" i="1"/>
  <c r="O5518" i="1" s="1"/>
  <c r="Q5518" i="1" s="1"/>
  <c r="Q6739" i="1"/>
  <c r="I6747" i="1"/>
  <c r="G6745" i="1"/>
  <c r="O6745" i="1" s="1"/>
  <c r="M6745" i="1"/>
  <c r="M6541" i="1"/>
  <c r="I6545" i="1"/>
  <c r="G6541" i="1"/>
  <c r="O6541" i="1" s="1"/>
  <c r="I6543" i="1"/>
  <c r="I6741" i="1"/>
  <c r="G6740" i="1"/>
  <c r="O6740" i="1" s="1"/>
  <c r="Q6740" i="1" s="1"/>
  <c r="Q10033" i="1"/>
  <c r="O10036" i="1"/>
  <c r="O6738" i="1"/>
  <c r="Q6737" i="1"/>
  <c r="Q6434" i="1"/>
  <c r="Q6650" i="1"/>
  <c r="M10022" i="1"/>
  <c r="G10022" i="1"/>
  <c r="O10022" i="1" s="1"/>
  <c r="Q10022" i="1" s="1"/>
  <c r="I6532" i="1"/>
  <c r="M6531" i="1"/>
  <c r="G6531" i="1"/>
  <c r="O6531" i="1" s="1"/>
  <c r="Q6531" i="1" s="1"/>
  <c r="M8907" i="1"/>
  <c r="G8907" i="1"/>
  <c r="O8907" i="1" s="1"/>
  <c r="Q8907" i="1" s="1"/>
  <c r="M6727" i="1"/>
  <c r="I6728" i="1"/>
  <c r="G6727" i="1"/>
  <c r="O6727" i="1" s="1"/>
  <c r="Q6727" i="1" s="1"/>
  <c r="M6651" i="1"/>
  <c r="G6651" i="1"/>
  <c r="O6651" i="1" s="1"/>
  <c r="Q6651" i="1" s="1"/>
  <c r="I10023" i="1"/>
  <c r="G10021" i="1"/>
  <c r="O10021" i="1" s="1"/>
  <c r="Q10021" i="1" s="1"/>
  <c r="M10021" i="1"/>
  <c r="Q6530" i="1"/>
  <c r="I6452" i="1"/>
  <c r="G6452" i="1" s="1"/>
  <c r="O6452" i="1" s="1"/>
  <c r="Q6452" i="1" s="1"/>
  <c r="G6446" i="1"/>
  <c r="O6446" i="1" s="1"/>
  <c r="I6454" i="1"/>
  <c r="I6436" i="1"/>
  <c r="M6435" i="1"/>
  <c r="G6435" i="1"/>
  <c r="O6435" i="1" s="1"/>
  <c r="Q6435" i="1" s="1"/>
  <c r="Q6644" i="1"/>
  <c r="O6647" i="1"/>
  <c r="O10127" i="1"/>
  <c r="Q10126" i="1"/>
  <c r="I10136" i="1"/>
  <c r="M10134" i="1"/>
  <c r="G10134" i="1"/>
  <c r="O10134" i="1" s="1"/>
  <c r="O9834" i="1"/>
  <c r="Q9833" i="1"/>
  <c r="I9921" i="1"/>
  <c r="G9920" i="1"/>
  <c r="O9920" i="1" s="1"/>
  <c r="M9920" i="1"/>
  <c r="O6445" i="1"/>
  <c r="Q6444" i="1"/>
  <c r="Q10115" i="1"/>
  <c r="Q10039" i="1"/>
  <c r="O10041" i="1"/>
  <c r="G9835" i="1"/>
  <c r="O9835" i="1" s="1"/>
  <c r="I9843" i="1"/>
  <c r="I9841" i="1"/>
  <c r="G9841" i="1" s="1"/>
  <c r="O9841" i="1" s="1"/>
  <c r="Q9841" i="1" s="1"/>
  <c r="I6449" i="1"/>
  <c r="G6448" i="1"/>
  <c r="O6448" i="1" s="1"/>
  <c r="G9930" i="1"/>
  <c r="O9930" i="1" s="1"/>
  <c r="M9930" i="1"/>
  <c r="I9932" i="1"/>
  <c r="I9934" i="1"/>
  <c r="I10117" i="1"/>
  <c r="G10116" i="1"/>
  <c r="O10116" i="1" s="1"/>
  <c r="Q10116" i="1" s="1"/>
  <c r="M10116" i="1"/>
  <c r="H1193" i="1"/>
  <c r="O6652" i="1" l="1"/>
  <c r="I9935" i="1"/>
  <c r="G9934" i="1"/>
  <c r="O9934" i="1" s="1"/>
  <c r="I9938" i="1"/>
  <c r="G9938" i="1" s="1"/>
  <c r="O9938" i="1" s="1"/>
  <c r="Q9938" i="1" s="1"/>
  <c r="G9932" i="1"/>
  <c r="O9932" i="1" s="1"/>
  <c r="I9940" i="1"/>
  <c r="I9922" i="1"/>
  <c r="G9921" i="1"/>
  <c r="O9921" i="1" s="1"/>
  <c r="Q9921" i="1" s="1"/>
  <c r="M9921" i="1"/>
  <c r="I6730" i="1"/>
  <c r="I6729" i="1"/>
  <c r="G6728" i="1"/>
  <c r="O6728" i="1" s="1"/>
  <c r="Q6728" i="1" s="1"/>
  <c r="M6728" i="1"/>
  <c r="O6746" i="1"/>
  <c r="Q6745" i="1"/>
  <c r="I5523" i="1"/>
  <c r="I5524" i="1"/>
  <c r="G5521" i="1"/>
  <c r="O5521" i="1" s="1"/>
  <c r="O9836" i="1"/>
  <c r="Q9835" i="1"/>
  <c r="I6748" i="1"/>
  <c r="G6747" i="1"/>
  <c r="O6747" i="1" s="1"/>
  <c r="M5520" i="1"/>
  <c r="G5520" i="1"/>
  <c r="O5520" i="1" s="1"/>
  <c r="Q5520" i="1" s="1"/>
  <c r="I8912" i="1"/>
  <c r="G8910" i="1"/>
  <c r="O8910" i="1" s="1"/>
  <c r="I8913" i="1"/>
  <c r="Q9930" i="1"/>
  <c r="O9931" i="1"/>
  <c r="I6742" i="1"/>
  <c r="G6742" i="1" s="1"/>
  <c r="O6742" i="1" s="1"/>
  <c r="Q6742" i="1" s="1"/>
  <c r="G6741" i="1"/>
  <c r="O6741" i="1" s="1"/>
  <c r="Q6741" i="1" s="1"/>
  <c r="I9839" i="1"/>
  <c r="G9838" i="1"/>
  <c r="O9838" i="1" s="1"/>
  <c r="Q9838" i="1" s="1"/>
  <c r="Q6632" i="1"/>
  <c r="G8909" i="1"/>
  <c r="O8909" i="1" s="1"/>
  <c r="Q8909" i="1" s="1"/>
  <c r="M8909" i="1"/>
  <c r="I6551" i="1"/>
  <c r="I6549" i="1"/>
  <c r="G6549" i="1" s="1"/>
  <c r="O6549" i="1" s="1"/>
  <c r="Q6549" i="1" s="1"/>
  <c r="G6543" i="1"/>
  <c r="O6543" i="1" s="1"/>
  <c r="Q9837" i="1"/>
  <c r="Q6448" i="1"/>
  <c r="I6450" i="1"/>
  <c r="G6449" i="1"/>
  <c r="O6449" i="1" s="1"/>
  <c r="Q6449" i="1" s="1"/>
  <c r="G6436" i="1"/>
  <c r="O6436" i="1" s="1"/>
  <c r="Q6436" i="1" s="1"/>
  <c r="M6436" i="1"/>
  <c r="I6437" i="1"/>
  <c r="I10024" i="1"/>
  <c r="G10023" i="1"/>
  <c r="O10023" i="1" s="1"/>
  <c r="Q10023" i="1" s="1"/>
  <c r="M10023" i="1"/>
  <c r="O6542" i="1"/>
  <c r="Q6541" i="1"/>
  <c r="I6635" i="1"/>
  <c r="M6634" i="1"/>
  <c r="G6634" i="1"/>
  <c r="O6634" i="1" s="1"/>
  <c r="Q6634" i="1" s="1"/>
  <c r="Q10134" i="1"/>
  <c r="O10135" i="1"/>
  <c r="I10137" i="1"/>
  <c r="G10136" i="1"/>
  <c r="O10136" i="1" s="1"/>
  <c r="I6456" i="1"/>
  <c r="M6454" i="1"/>
  <c r="G6454" i="1"/>
  <c r="O6454" i="1" s="1"/>
  <c r="I6546" i="1"/>
  <c r="G6545" i="1"/>
  <c r="O6545" i="1" s="1"/>
  <c r="G10130" i="1"/>
  <c r="O10130" i="1" s="1"/>
  <c r="Q10130" i="1" s="1"/>
  <c r="I10131" i="1"/>
  <c r="G10131" i="1" s="1"/>
  <c r="O10131" i="1" s="1"/>
  <c r="Q10131" i="1" s="1"/>
  <c r="M9825" i="1"/>
  <c r="G9825" i="1"/>
  <c r="O9825" i="1" s="1"/>
  <c r="Q9825" i="1" s="1"/>
  <c r="I9826" i="1"/>
  <c r="I10118" i="1"/>
  <c r="I10119" i="1"/>
  <c r="M10117" i="1"/>
  <c r="G10117" i="1"/>
  <c r="O10117" i="1" s="1"/>
  <c r="I9845" i="1"/>
  <c r="G9843" i="1"/>
  <c r="O9843" i="1" s="1"/>
  <c r="M9843" i="1"/>
  <c r="O6447" i="1"/>
  <c r="Q6446" i="1"/>
  <c r="I6533" i="1"/>
  <c r="M6532" i="1"/>
  <c r="G6532" i="1"/>
  <c r="O6532" i="1" s="1"/>
  <c r="Q9920" i="1"/>
  <c r="H1313" i="1"/>
  <c r="Q10117" i="1" l="1"/>
  <c r="I9828" i="1"/>
  <c r="I9827" i="1"/>
  <c r="M9826" i="1"/>
  <c r="G9826" i="1"/>
  <c r="O9826" i="1" s="1"/>
  <c r="Q9826" i="1" s="1"/>
  <c r="I6547" i="1"/>
  <c r="G6546" i="1"/>
  <c r="O6546" i="1" s="1"/>
  <c r="Q6546" i="1" s="1"/>
  <c r="I6438" i="1"/>
  <c r="I6439" i="1"/>
  <c r="G6437" i="1"/>
  <c r="O6437" i="1" s="1"/>
  <c r="Q6437" i="1" s="1"/>
  <c r="M6437" i="1"/>
  <c r="M8912" i="1"/>
  <c r="G8912" i="1"/>
  <c r="O8912" i="1" s="1"/>
  <c r="I5525" i="1"/>
  <c r="I5538" i="1"/>
  <c r="G5524" i="1"/>
  <c r="O5524" i="1" s="1"/>
  <c r="Q5524" i="1" s="1"/>
  <c r="O6455" i="1"/>
  <c r="Q6454" i="1"/>
  <c r="O6544" i="1"/>
  <c r="Q6543" i="1"/>
  <c r="G9839" i="1"/>
  <c r="O9839" i="1" s="1"/>
  <c r="Q9839" i="1" s="1"/>
  <c r="I9840" i="1"/>
  <c r="G9840" i="1" s="1"/>
  <c r="O9840" i="1" s="1"/>
  <c r="Q9840" i="1" s="1"/>
  <c r="M5523" i="1"/>
  <c r="G5523" i="1"/>
  <c r="O5523" i="1" s="1"/>
  <c r="M6635" i="1"/>
  <c r="G6635" i="1"/>
  <c r="O6635" i="1" s="1"/>
  <c r="Q6635" i="1" s="1"/>
  <c r="I9923" i="1"/>
  <c r="G9922" i="1"/>
  <c r="O9922" i="1" s="1"/>
  <c r="Q9922" i="1" s="1"/>
  <c r="M9922" i="1"/>
  <c r="I9846" i="1"/>
  <c r="G9845" i="1"/>
  <c r="O9845" i="1" s="1"/>
  <c r="O10133" i="1"/>
  <c r="I6457" i="1"/>
  <c r="G6456" i="1"/>
  <c r="O6456" i="1" s="1"/>
  <c r="M6551" i="1"/>
  <c r="I6553" i="1"/>
  <c r="G6551" i="1"/>
  <c r="O6551" i="1" s="1"/>
  <c r="Q6747" i="1"/>
  <c r="I9942" i="1"/>
  <c r="M9940" i="1"/>
  <c r="G9940" i="1"/>
  <c r="O9940" i="1" s="1"/>
  <c r="Q10136" i="1"/>
  <c r="I6451" i="1"/>
  <c r="G6451" i="1" s="1"/>
  <c r="O6451" i="1" s="1"/>
  <c r="Q6451" i="1" s="1"/>
  <c r="G6450" i="1"/>
  <c r="O6450" i="1" s="1"/>
  <c r="Q6450" i="1" s="1"/>
  <c r="M6748" i="1"/>
  <c r="G6748" i="1"/>
  <c r="O6748" i="1" s="1"/>
  <c r="Q6748" i="1" s="1"/>
  <c r="O9933" i="1"/>
  <c r="Q9932" i="1"/>
  <c r="Q6532" i="1"/>
  <c r="O9844" i="1"/>
  <c r="Q9843" i="1"/>
  <c r="G6533" i="1"/>
  <c r="O6533" i="1" s="1"/>
  <c r="Q6533" i="1" s="1"/>
  <c r="I6534" i="1"/>
  <c r="M6533" i="1"/>
  <c r="M10119" i="1"/>
  <c r="G10119" i="1"/>
  <c r="O10119" i="1" s="1"/>
  <c r="Q10119" i="1" s="1"/>
  <c r="O6744" i="1"/>
  <c r="O6637" i="1"/>
  <c r="O6601" i="1" s="1"/>
  <c r="I8927" i="1"/>
  <c r="G8913" i="1"/>
  <c r="O8913" i="1" s="1"/>
  <c r="Q8913" i="1" s="1"/>
  <c r="I8914" i="1"/>
  <c r="I6731" i="1"/>
  <c r="G6729" i="1"/>
  <c r="O6729" i="1" s="1"/>
  <c r="Q6729" i="1" s="1"/>
  <c r="M6729" i="1"/>
  <c r="Q9934" i="1"/>
  <c r="M10137" i="1"/>
  <c r="G10137" i="1"/>
  <c r="O10137" i="1" s="1"/>
  <c r="Q10137" i="1" s="1"/>
  <c r="I10120" i="1"/>
  <c r="G10118" i="1"/>
  <c r="O10118" i="1" s="1"/>
  <c r="Q10118" i="1" s="1"/>
  <c r="M10118" i="1"/>
  <c r="Q6545" i="1"/>
  <c r="M10024" i="1"/>
  <c r="G10024" i="1"/>
  <c r="O10024" i="1" s="1"/>
  <c r="O9842" i="1"/>
  <c r="Q8910" i="1"/>
  <c r="O8911" i="1"/>
  <c r="Q5521" i="1"/>
  <c r="O5522" i="1"/>
  <c r="G6730" i="1"/>
  <c r="O6730" i="1" s="1"/>
  <c r="Q6730" i="1" s="1"/>
  <c r="M6730" i="1"/>
  <c r="I9936" i="1"/>
  <c r="G9935" i="1"/>
  <c r="O9935" i="1" s="1"/>
  <c r="Q9935" i="1" s="1"/>
  <c r="H1433" i="1"/>
  <c r="O6749" i="1" l="1"/>
  <c r="O6453" i="1"/>
  <c r="O10138" i="1"/>
  <c r="Q10024" i="1"/>
  <c r="O10026" i="1"/>
  <c r="O9990" i="1" s="1"/>
  <c r="I8928" i="1"/>
  <c r="G8927" i="1"/>
  <c r="O8927" i="1" s="1"/>
  <c r="Q8927" i="1" s="1"/>
  <c r="M8927" i="1"/>
  <c r="Q9845" i="1"/>
  <c r="I5539" i="1"/>
  <c r="G5538" i="1"/>
  <c r="O5538" i="1" s="1"/>
  <c r="Q5538" i="1" s="1"/>
  <c r="M5538" i="1"/>
  <c r="Q6601" i="1"/>
  <c r="O6567" i="1"/>
  <c r="Q6567" i="1" s="1"/>
  <c r="M9846" i="1"/>
  <c r="G9846" i="1"/>
  <c r="O9846" i="1" s="1"/>
  <c r="Q9846" i="1" s="1"/>
  <c r="I5526" i="1"/>
  <c r="G5525" i="1"/>
  <c r="O5525" i="1" s="1"/>
  <c r="I6548" i="1"/>
  <c r="G6548" i="1" s="1"/>
  <c r="O6548" i="1" s="1"/>
  <c r="Q6548" i="1" s="1"/>
  <c r="G6547" i="1"/>
  <c r="O6547" i="1" s="1"/>
  <c r="O6552" i="1"/>
  <c r="Q6551" i="1"/>
  <c r="Q8912" i="1"/>
  <c r="I6554" i="1"/>
  <c r="G6553" i="1"/>
  <c r="O6553" i="1" s="1"/>
  <c r="I9924" i="1"/>
  <c r="I9925" i="1"/>
  <c r="M9923" i="1"/>
  <c r="G9923" i="1"/>
  <c r="O9923" i="1" s="1"/>
  <c r="Q9923" i="1" s="1"/>
  <c r="I9829" i="1"/>
  <c r="M9827" i="1"/>
  <c r="G9827" i="1"/>
  <c r="O9827" i="1" s="1"/>
  <c r="Q9827" i="1" s="1"/>
  <c r="G9936" i="1"/>
  <c r="O9936" i="1" s="1"/>
  <c r="I9937" i="1"/>
  <c r="G9937" i="1" s="1"/>
  <c r="O9937" i="1" s="1"/>
  <c r="Q9937" i="1" s="1"/>
  <c r="I6732" i="1"/>
  <c r="G6731" i="1"/>
  <c r="O6731" i="1" s="1"/>
  <c r="Q6731" i="1" s="1"/>
  <c r="M6731" i="1"/>
  <c r="Q9940" i="1"/>
  <c r="O9941" i="1"/>
  <c r="Q6456" i="1"/>
  <c r="G9828" i="1"/>
  <c r="O9828" i="1" s="1"/>
  <c r="Q9828" i="1" s="1"/>
  <c r="M9828" i="1"/>
  <c r="I8915" i="1"/>
  <c r="G8914" i="1"/>
  <c r="O8914" i="1" s="1"/>
  <c r="Q8914" i="1" s="1"/>
  <c r="I6535" i="1"/>
  <c r="I6536" i="1"/>
  <c r="M6534" i="1"/>
  <c r="G6534" i="1"/>
  <c r="O6534" i="1" s="1"/>
  <c r="G6457" i="1"/>
  <c r="O6457" i="1" s="1"/>
  <c r="Q6457" i="1" s="1"/>
  <c r="M6457" i="1"/>
  <c r="G6439" i="1"/>
  <c r="O6439" i="1" s="1"/>
  <c r="Q6439" i="1" s="1"/>
  <c r="M6439" i="1"/>
  <c r="I10121" i="1"/>
  <c r="G10120" i="1"/>
  <c r="O10120" i="1" s="1"/>
  <c r="Q10120" i="1" s="1"/>
  <c r="M10120" i="1"/>
  <c r="I9943" i="1"/>
  <c r="G9942" i="1"/>
  <c r="O9942" i="1" s="1"/>
  <c r="Q5523" i="1"/>
  <c r="I6440" i="1"/>
  <c r="M6438" i="1"/>
  <c r="G6438" i="1"/>
  <c r="O6438" i="1" s="1"/>
  <c r="Q6438" i="1" s="1"/>
  <c r="H1553" i="1"/>
  <c r="Q5525" i="1" l="1"/>
  <c r="G9943" i="1"/>
  <c r="O9943" i="1" s="1"/>
  <c r="Q9943" i="1" s="1"/>
  <c r="M9943" i="1"/>
  <c r="M6732" i="1"/>
  <c r="G6732" i="1"/>
  <c r="O6732" i="1" s="1"/>
  <c r="G9925" i="1"/>
  <c r="O9925" i="1" s="1"/>
  <c r="Q9925" i="1" s="1"/>
  <c r="M9925" i="1"/>
  <c r="I9926" i="1"/>
  <c r="G9924" i="1"/>
  <c r="O9924" i="1" s="1"/>
  <c r="Q9924" i="1" s="1"/>
  <c r="M9924" i="1"/>
  <c r="Q6534" i="1"/>
  <c r="O6458" i="1"/>
  <c r="Q9936" i="1"/>
  <c r="O9939" i="1"/>
  <c r="Q6553" i="1"/>
  <c r="I5540" i="1"/>
  <c r="M5539" i="1"/>
  <c r="G5539" i="1"/>
  <c r="O5539" i="1" s="1"/>
  <c r="M6554" i="1"/>
  <c r="G6554" i="1"/>
  <c r="O6554" i="1" s="1"/>
  <c r="Q6554" i="1" s="1"/>
  <c r="I5527" i="1"/>
  <c r="G5526" i="1"/>
  <c r="O5526" i="1" s="1"/>
  <c r="O9847" i="1"/>
  <c r="I6441" i="1"/>
  <c r="M6440" i="1"/>
  <c r="G6440" i="1"/>
  <c r="O6440" i="1" s="1"/>
  <c r="Q6440" i="1" s="1"/>
  <c r="G6536" i="1"/>
  <c r="O6536" i="1" s="1"/>
  <c r="Q6536" i="1" s="1"/>
  <c r="M6536" i="1"/>
  <c r="G10121" i="1"/>
  <c r="O10121" i="1" s="1"/>
  <c r="M10121" i="1"/>
  <c r="I6537" i="1"/>
  <c r="G6535" i="1"/>
  <c r="O6535" i="1" s="1"/>
  <c r="Q6535" i="1" s="1"/>
  <c r="M6535" i="1"/>
  <c r="I9830" i="1"/>
  <c r="M9829" i="1"/>
  <c r="G9829" i="1"/>
  <c r="O9829" i="1" s="1"/>
  <c r="Q9829" i="1" s="1"/>
  <c r="I8929" i="1"/>
  <c r="M8928" i="1"/>
  <c r="G8928" i="1"/>
  <c r="O8928" i="1" s="1"/>
  <c r="Q9990" i="1"/>
  <c r="O9956" i="1"/>
  <c r="Q9956" i="1" s="1"/>
  <c r="Q9942" i="1"/>
  <c r="O9944" i="1"/>
  <c r="G8915" i="1"/>
  <c r="O8915" i="1" s="1"/>
  <c r="I8916" i="1"/>
  <c r="Q6547" i="1"/>
  <c r="O6550" i="1"/>
  <c r="H1673" i="1"/>
  <c r="Q5539" i="1" l="1"/>
  <c r="G6441" i="1"/>
  <c r="O6441" i="1" s="1"/>
  <c r="M6441" i="1"/>
  <c r="G5540" i="1"/>
  <c r="O5540" i="1" s="1"/>
  <c r="Q5540" i="1" s="1"/>
  <c r="M5540" i="1"/>
  <c r="Q8928" i="1"/>
  <c r="I6538" i="1"/>
  <c r="M6537" i="1"/>
  <c r="G6537" i="1"/>
  <c r="O6537" i="1" s="1"/>
  <c r="Q6537" i="1" s="1"/>
  <c r="O6555" i="1"/>
  <c r="Q5526" i="1"/>
  <c r="G8916" i="1"/>
  <c r="O8916" i="1" s="1"/>
  <c r="Q8916" i="1" s="1"/>
  <c r="I8917" i="1"/>
  <c r="G8929" i="1"/>
  <c r="O8929" i="1" s="1"/>
  <c r="Q8929" i="1" s="1"/>
  <c r="M8929" i="1"/>
  <c r="Q10121" i="1"/>
  <c r="O10123" i="1"/>
  <c r="O10087" i="1" s="1"/>
  <c r="I5528" i="1"/>
  <c r="G5527" i="1"/>
  <c r="O5527" i="1" s="1"/>
  <c r="Q5527" i="1" s="1"/>
  <c r="G9830" i="1"/>
  <c r="O9830" i="1" s="1"/>
  <c r="M9830" i="1"/>
  <c r="I9927" i="1"/>
  <c r="G9926" i="1"/>
  <c r="O9926" i="1" s="1"/>
  <c r="Q9926" i="1" s="1"/>
  <c r="M9926" i="1"/>
  <c r="Q8915" i="1"/>
  <c r="Q6732" i="1"/>
  <c r="O6734" i="1"/>
  <c r="O6698" i="1" s="1"/>
  <c r="H1793" i="1"/>
  <c r="Q6441" i="1" l="1"/>
  <c r="O6443" i="1"/>
  <c r="O6407" i="1" s="1"/>
  <c r="G9927" i="1"/>
  <c r="O9927" i="1" s="1"/>
  <c r="M9927" i="1"/>
  <c r="M6538" i="1"/>
  <c r="G6538" i="1"/>
  <c r="O6538" i="1" s="1"/>
  <c r="G8917" i="1"/>
  <c r="O8917" i="1" s="1"/>
  <c r="Q8917" i="1" s="1"/>
  <c r="I8918" i="1"/>
  <c r="O8930" i="1"/>
  <c r="Q6698" i="1"/>
  <c r="O6664" i="1"/>
  <c r="Q6664" i="1" s="1"/>
  <c r="Q9830" i="1"/>
  <c r="O9832" i="1"/>
  <c r="O9796" i="1" s="1"/>
  <c r="I5529" i="1"/>
  <c r="G5528" i="1"/>
  <c r="O5528" i="1" s="1"/>
  <c r="Q5528" i="1" s="1"/>
  <c r="Q10087" i="1"/>
  <c r="O10053" i="1"/>
  <c r="Q10053" i="1" s="1"/>
  <c r="O5541" i="1"/>
  <c r="H1913" i="1"/>
  <c r="Q6538" i="1" l="1"/>
  <c r="O6540" i="1"/>
  <c r="O6504" i="1" s="1"/>
  <c r="Q6407" i="1"/>
  <c r="O6373" i="1"/>
  <c r="Q6373" i="1" s="1"/>
  <c r="I5530" i="1"/>
  <c r="G5529" i="1"/>
  <c r="O5529" i="1" s="1"/>
  <c r="G8918" i="1"/>
  <c r="O8918" i="1" s="1"/>
  <c r="I8919" i="1"/>
  <c r="Q9796" i="1"/>
  <c r="O9762" i="1"/>
  <c r="Q9762" i="1" s="1"/>
  <c r="Q9927" i="1"/>
  <c r="O9929" i="1"/>
  <c r="O9893" i="1" s="1"/>
  <c r="H2033" i="1"/>
  <c r="Q5529" i="1" l="1"/>
  <c r="Q6504" i="1"/>
  <c r="O6470" i="1"/>
  <c r="Q6470" i="1" s="1"/>
  <c r="G8919" i="1"/>
  <c r="O8919" i="1" s="1"/>
  <c r="Q8919" i="1" s="1"/>
  <c r="I8920" i="1"/>
  <c r="Q8918" i="1"/>
  <c r="G5530" i="1"/>
  <c r="O5530" i="1" s="1"/>
  <c r="Q5530" i="1" s="1"/>
  <c r="I5531" i="1"/>
  <c r="Q9893" i="1"/>
  <c r="O9859" i="1"/>
  <c r="Q9859" i="1" s="1"/>
  <c r="H462" i="1"/>
  <c r="I5532" i="1" l="1"/>
  <c r="G5531" i="1"/>
  <c r="O5531" i="1" s="1"/>
  <c r="G8920" i="1"/>
  <c r="O8920" i="1" s="1"/>
  <c r="Q8920" i="1" s="1"/>
  <c r="I8921" i="1"/>
  <c r="H582" i="1"/>
  <c r="H222" i="1"/>
  <c r="H702" i="1"/>
  <c r="H342" i="1"/>
  <c r="Q5531" i="1" l="1"/>
  <c r="I5533" i="1"/>
  <c r="G5532" i="1"/>
  <c r="O5532" i="1" s="1"/>
  <c r="Q5532" i="1" s="1"/>
  <c r="G8921" i="1"/>
  <c r="O8921" i="1" s="1"/>
  <c r="Q8921" i="1" s="1"/>
  <c r="I8922" i="1"/>
  <c r="N2027" i="1"/>
  <c r="N1667" i="1"/>
  <c r="N707" i="1"/>
  <c r="N227" i="1"/>
  <c r="N1907" i="1"/>
  <c r="N1547" i="1"/>
  <c r="N1067" i="1"/>
  <c r="N947" i="1"/>
  <c r="N1187" i="1"/>
  <c r="N827" i="1"/>
  <c r="N347" i="1"/>
  <c r="N1307" i="1"/>
  <c r="N467" i="1"/>
  <c r="N1787" i="1"/>
  <c r="N1427" i="1"/>
  <c r="N587" i="1"/>
  <c r="N2038" i="1"/>
  <c r="N1198" i="1"/>
  <c r="N1438" i="1"/>
  <c r="N598" i="1"/>
  <c r="N718" i="1"/>
  <c r="N358" i="1"/>
  <c r="N838" i="1"/>
  <c r="N1078" i="1"/>
  <c r="N1318" i="1"/>
  <c r="N1918" i="1"/>
  <c r="N958" i="1"/>
  <c r="N1798" i="1"/>
  <c r="N238" i="1"/>
  <c r="N1678" i="1"/>
  <c r="N1558" i="1"/>
  <c r="N478" i="1"/>
  <c r="N2030" i="1"/>
  <c r="N1670" i="1"/>
  <c r="N950" i="1"/>
  <c r="N470" i="1"/>
  <c r="N710" i="1"/>
  <c r="N1190" i="1"/>
  <c r="N1310" i="1"/>
  <c r="N230" i="1"/>
  <c r="N1430" i="1"/>
  <c r="N350" i="1"/>
  <c r="N1910" i="1"/>
  <c r="N590" i="1"/>
  <c r="N1790" i="1"/>
  <c r="N830" i="1"/>
  <c r="N1070" i="1"/>
  <c r="N1550" i="1"/>
  <c r="N1306" i="1"/>
  <c r="N466" i="1"/>
  <c r="N586" i="1"/>
  <c r="N1066" i="1"/>
  <c r="N1186" i="1"/>
  <c r="N1426" i="1"/>
  <c r="N1906" i="1"/>
  <c r="N706" i="1"/>
  <c r="N2026" i="1"/>
  <c r="N346" i="1"/>
  <c r="N1786" i="1"/>
  <c r="N826" i="1"/>
  <c r="N1546" i="1"/>
  <c r="N946" i="1"/>
  <c r="N1666" i="1"/>
  <c r="N226" i="1"/>
  <c r="N1673" i="1"/>
  <c r="N1793" i="1"/>
  <c r="N713" i="1"/>
  <c r="N2033" i="1"/>
  <c r="N1073" i="1"/>
  <c r="N1193" i="1"/>
  <c r="N593" i="1"/>
  <c r="N473" i="1"/>
  <c r="N1433" i="1"/>
  <c r="N353" i="1"/>
  <c r="N1913" i="1"/>
  <c r="N953" i="1"/>
  <c r="N1553" i="1"/>
  <c r="N233" i="1"/>
  <c r="N1313" i="1"/>
  <c r="N833" i="1"/>
  <c r="N2021" i="1"/>
  <c r="N1901" i="1"/>
  <c r="N1781" i="1"/>
  <c r="N221" i="1"/>
  <c r="N341" i="1"/>
  <c r="N1421" i="1"/>
  <c r="N701" i="1"/>
  <c r="N1181" i="1"/>
  <c r="N1061" i="1"/>
  <c r="N941" i="1"/>
  <c r="N1541" i="1"/>
  <c r="N821" i="1"/>
  <c r="N581" i="1"/>
  <c r="N1301" i="1"/>
  <c r="N1661" i="1"/>
  <c r="N461" i="1"/>
  <c r="N1561" i="1"/>
  <c r="N361" i="1"/>
  <c r="N1081" i="1"/>
  <c r="N961" i="1"/>
  <c r="N601" i="1"/>
  <c r="N1321" i="1"/>
  <c r="N1681" i="1"/>
  <c r="N841" i="1"/>
  <c r="N481" i="1"/>
  <c r="N1801" i="1"/>
  <c r="N1201" i="1"/>
  <c r="N1441" i="1"/>
  <c r="N241" i="1"/>
  <c r="N721" i="1"/>
  <c r="N2041" i="1"/>
  <c r="N1921" i="1"/>
  <c r="N357" i="1"/>
  <c r="N957" i="1"/>
  <c r="N1677" i="1"/>
  <c r="N1797" i="1"/>
  <c r="N717" i="1"/>
  <c r="N1557" i="1"/>
  <c r="N2037" i="1"/>
  <c r="N237" i="1"/>
  <c r="N1077" i="1"/>
  <c r="N597" i="1"/>
  <c r="N1437" i="1"/>
  <c r="N1317" i="1"/>
  <c r="N1197" i="1"/>
  <c r="N477" i="1"/>
  <c r="N837" i="1"/>
  <c r="N1917" i="1"/>
  <c r="N1429" i="1"/>
  <c r="N349" i="1"/>
  <c r="N1189" i="1"/>
  <c r="N1669" i="1"/>
  <c r="N949" i="1"/>
  <c r="N829" i="1"/>
  <c r="N1549" i="1"/>
  <c r="N1309" i="1"/>
  <c r="N1789" i="1"/>
  <c r="N229" i="1"/>
  <c r="N709" i="1"/>
  <c r="N1909" i="1"/>
  <c r="N589" i="1"/>
  <c r="N1069" i="1"/>
  <c r="N469" i="1"/>
  <c r="N2029" i="1"/>
  <c r="N2025" i="1"/>
  <c r="N1185" i="1"/>
  <c r="N825" i="1"/>
  <c r="N1905" i="1"/>
  <c r="N705" i="1"/>
  <c r="N1065" i="1"/>
  <c r="N1785" i="1"/>
  <c r="N1425" i="1"/>
  <c r="N1305" i="1"/>
  <c r="N225" i="1"/>
  <c r="N465" i="1"/>
  <c r="N585" i="1"/>
  <c r="N345" i="1"/>
  <c r="N945" i="1"/>
  <c r="N1665" i="1"/>
  <c r="N1545" i="1"/>
  <c r="N1680" i="1"/>
  <c r="N1800" i="1"/>
  <c r="N1560" i="1"/>
  <c r="N1920" i="1"/>
  <c r="N1440" i="1"/>
  <c r="N1320" i="1"/>
  <c r="N960" i="1"/>
  <c r="N360" i="1"/>
  <c r="N2040" i="1"/>
  <c r="N840" i="1"/>
  <c r="N240" i="1"/>
  <c r="N1200" i="1"/>
  <c r="N600" i="1"/>
  <c r="N720" i="1"/>
  <c r="N1080" i="1"/>
  <c r="N480" i="1"/>
  <c r="N1556" i="1"/>
  <c r="N1076" i="1"/>
  <c r="N1676" i="1"/>
  <c r="N1196" i="1"/>
  <c r="N596" i="1"/>
  <c r="N1916" i="1"/>
  <c r="N1796" i="1"/>
  <c r="N836" i="1"/>
  <c r="N1436" i="1"/>
  <c r="N236" i="1"/>
  <c r="N476" i="1"/>
  <c r="N2036" i="1"/>
  <c r="N716" i="1"/>
  <c r="N956" i="1"/>
  <c r="N356" i="1"/>
  <c r="N1316" i="1"/>
  <c r="N952" i="1"/>
  <c r="N2032" i="1"/>
  <c r="N1552" i="1"/>
  <c r="N1672" i="1"/>
  <c r="N592" i="1"/>
  <c r="N472" i="1"/>
  <c r="N1192" i="1"/>
  <c r="N1312" i="1"/>
  <c r="N1912" i="1"/>
  <c r="N232" i="1"/>
  <c r="N352" i="1"/>
  <c r="N1792" i="1"/>
  <c r="N712" i="1"/>
  <c r="N1432" i="1"/>
  <c r="N832" i="1"/>
  <c r="N1072" i="1"/>
  <c r="N1900" i="1"/>
  <c r="N1300" i="1"/>
  <c r="N1780" i="1"/>
  <c r="N1660" i="1"/>
  <c r="N820" i="1"/>
  <c r="N1540" i="1"/>
  <c r="N1060" i="1"/>
  <c r="N580" i="1"/>
  <c r="N1180" i="1"/>
  <c r="N1420" i="1"/>
  <c r="N460" i="1"/>
  <c r="N220" i="1"/>
  <c r="N700" i="1"/>
  <c r="N2020" i="1"/>
  <c r="N340" i="1"/>
  <c r="N940" i="1"/>
  <c r="N1554" i="1"/>
  <c r="N2028" i="1"/>
  <c r="N824" i="1"/>
  <c r="N591" i="1"/>
  <c r="N343" i="1"/>
  <c r="N1418" i="1"/>
  <c r="N1662" i="1"/>
  <c r="N822" i="1"/>
  <c r="N2022" i="1"/>
  <c r="N1422" i="1"/>
  <c r="N1902" i="1"/>
  <c r="N222" i="1"/>
  <c r="N942" i="1"/>
  <c r="N1542" i="1"/>
  <c r="N342" i="1"/>
  <c r="N1182" i="1"/>
  <c r="N582" i="1"/>
  <c r="N462" i="1"/>
  <c r="N1782" i="1"/>
  <c r="N702" i="1"/>
  <c r="N1062" i="1"/>
  <c r="N1302" i="1"/>
  <c r="N595" i="1"/>
  <c r="N1075" i="1" s="1"/>
  <c r="N1555" i="1" s="1"/>
  <c r="N2035" i="1" s="1"/>
  <c r="N475" i="1"/>
  <c r="N955" i="1" s="1"/>
  <c r="N1435" i="1" s="1"/>
  <c r="N1915" i="1" s="1"/>
  <c r="N355" i="1"/>
  <c r="N835" i="1" s="1"/>
  <c r="N1315" i="1" s="1"/>
  <c r="N1795" i="1" s="1"/>
  <c r="N235" i="1"/>
  <c r="N715" i="1" s="1"/>
  <c r="N1195" i="1" s="1"/>
  <c r="N1675" i="1" s="1"/>
  <c r="I8923" i="1" l="1"/>
  <c r="G8922" i="1"/>
  <c r="O8922" i="1" s="1"/>
  <c r="Q8922" i="1" s="1"/>
  <c r="I5534" i="1"/>
  <c r="G5533" i="1"/>
  <c r="O5533" i="1" s="1"/>
  <c r="Q5533" i="1" s="1"/>
  <c r="N1423" i="1"/>
  <c r="N1783" i="1"/>
  <c r="N1063" i="1"/>
  <c r="N1074" i="1"/>
  <c r="N2023" i="1"/>
  <c r="N823" i="1"/>
  <c r="N1548" i="1"/>
  <c r="N834" i="1"/>
  <c r="N828" i="1"/>
  <c r="N1183" i="1"/>
  <c r="N588" i="1"/>
  <c r="N1674" i="1"/>
  <c r="N943" i="1"/>
  <c r="N1543" i="1"/>
  <c r="N1663" i="1"/>
  <c r="N1914" i="1"/>
  <c r="N1194" i="1"/>
  <c r="N1903" i="1"/>
  <c r="N703" i="1"/>
  <c r="N1303" i="1"/>
  <c r="N594" i="1"/>
  <c r="N708" i="1"/>
  <c r="N1308" i="1"/>
  <c r="N1658" i="1"/>
  <c r="N463" i="1"/>
  <c r="N583" i="1"/>
  <c r="N223" i="1"/>
  <c r="N228" i="1"/>
  <c r="N948" i="1"/>
  <c r="N354" i="1"/>
  <c r="N714" i="1"/>
  <c r="N1314" i="1"/>
  <c r="N1064" i="1"/>
  <c r="N348" i="1"/>
  <c r="N1428" i="1"/>
  <c r="N938" i="1"/>
  <c r="N344" i="1"/>
  <c r="N1188" i="1"/>
  <c r="N468" i="1"/>
  <c r="N1068" i="1"/>
  <c r="N1298" i="1"/>
  <c r="N944" i="1"/>
  <c r="N1664" i="1"/>
  <c r="N1668" i="1"/>
  <c r="N1788" i="1"/>
  <c r="N1908" i="1"/>
  <c r="N1671" i="1"/>
  <c r="N474" i="1"/>
  <c r="N1434" i="1"/>
  <c r="N1794" i="1"/>
  <c r="N234" i="1"/>
  <c r="N2034" i="1"/>
  <c r="N954" i="1"/>
  <c r="N1424" i="1"/>
  <c r="N224" i="1"/>
  <c r="N1784" i="1"/>
  <c r="N584" i="1"/>
  <c r="N1184" i="1"/>
  <c r="N1904" i="1"/>
  <c r="N1304" i="1"/>
  <c r="N464" i="1"/>
  <c r="N1544" i="1"/>
  <c r="N704" i="1"/>
  <c r="N2024" i="1"/>
  <c r="N1311" i="1"/>
  <c r="N711" i="1"/>
  <c r="N351" i="1"/>
  <c r="N2031" i="1"/>
  <c r="N951" i="1"/>
  <c r="N1791" i="1"/>
  <c r="N471" i="1"/>
  <c r="N1919" i="1"/>
  <c r="N1439" i="1"/>
  <c r="N959" i="1"/>
  <c r="N479" i="1"/>
  <c r="N1679" i="1"/>
  <c r="N1079" i="1"/>
  <c r="N359" i="1"/>
  <c r="N1559" i="1"/>
  <c r="N719" i="1"/>
  <c r="N1319" i="1"/>
  <c r="N599" i="1"/>
  <c r="N2039" i="1"/>
  <c r="N1199" i="1"/>
  <c r="N239" i="1"/>
  <c r="N1799" i="1"/>
  <c r="N839" i="1"/>
  <c r="N1191" i="1"/>
  <c r="N1911" i="1"/>
  <c r="N1071" i="1"/>
  <c r="N1551" i="1"/>
  <c r="N1431" i="1"/>
  <c r="N831" i="1"/>
  <c r="N231" i="1"/>
  <c r="N458" i="1"/>
  <c r="N1538" i="1"/>
  <c r="N818" i="1"/>
  <c r="N218" i="1"/>
  <c r="N338" i="1"/>
  <c r="N1898" i="1"/>
  <c r="N1058" i="1"/>
  <c r="N578" i="1"/>
  <c r="N1778" i="1"/>
  <c r="N2018" i="1"/>
  <c r="N698" i="1"/>
  <c r="N1178" i="1"/>
  <c r="G5534" i="1" l="1"/>
  <c r="O5534" i="1" s="1"/>
  <c r="O5535" i="1" s="1"/>
  <c r="I5536" i="1"/>
  <c r="I8925" i="1"/>
  <c r="G8925" i="1" s="1"/>
  <c r="O8925" i="1" s="1"/>
  <c r="G8923" i="1"/>
  <c r="O8923" i="1" s="1"/>
  <c r="N53" i="1"/>
  <c r="N54" i="1"/>
  <c r="N60" i="1"/>
  <c r="N64" i="1"/>
  <c r="N69" i="1"/>
  <c r="N72" i="1"/>
  <c r="N73" i="1"/>
  <c r="N75" i="1"/>
  <c r="N77" i="1"/>
  <c r="N80" i="1"/>
  <c r="N81" i="1"/>
  <c r="N82" i="1"/>
  <c r="N83" i="1"/>
  <c r="N84" i="1"/>
  <c r="N85" i="1"/>
  <c r="N86" i="1"/>
  <c r="N87" i="1"/>
  <c r="N89" i="1"/>
  <c r="N90" i="1"/>
  <c r="N91" i="1"/>
  <c r="N94" i="1"/>
  <c r="N123" i="1"/>
  <c r="N128" i="1"/>
  <c r="Q8923" i="1" l="1"/>
  <c r="O8924" i="1"/>
  <c r="O8926" i="1"/>
  <c r="Q8925" i="1"/>
  <c r="G5536" i="1"/>
  <c r="O5536" i="1" s="1"/>
  <c r="M5536" i="1"/>
  <c r="Q5534" i="1"/>
  <c r="N1808" i="1"/>
  <c r="N368" i="1"/>
  <c r="N1208" i="1"/>
  <c r="N1688" i="1"/>
  <c r="N2048" i="1"/>
  <c r="N1568" i="1"/>
  <c r="N1088" i="1"/>
  <c r="N608" i="1"/>
  <c r="N848" i="1"/>
  <c r="N728" i="1"/>
  <c r="N1928" i="1"/>
  <c r="N1448" i="1"/>
  <c r="N968" i="1"/>
  <c r="N488" i="1"/>
  <c r="N1328" i="1"/>
  <c r="N248" i="1"/>
  <c r="N1894" i="1"/>
  <c r="N1414" i="1"/>
  <c r="N934" i="1"/>
  <c r="N454" i="1"/>
  <c r="N1774" i="1"/>
  <c r="N1294" i="1"/>
  <c r="N814" i="1"/>
  <c r="N334" i="1"/>
  <c r="N2014" i="1"/>
  <c r="N1654" i="1"/>
  <c r="N1174" i="1"/>
  <c r="N694" i="1"/>
  <c r="N214" i="1"/>
  <c r="N1534" i="1"/>
  <c r="N1054" i="1"/>
  <c r="N574" i="1"/>
  <c r="N1884" i="1"/>
  <c r="N1404" i="1"/>
  <c r="N924" i="1"/>
  <c r="N444" i="1"/>
  <c r="N1764" i="1"/>
  <c r="N1284" i="1"/>
  <c r="N804" i="1"/>
  <c r="N324" i="1"/>
  <c r="N1644" i="1"/>
  <c r="N1164" i="1"/>
  <c r="N684" i="1"/>
  <c r="N204" i="1"/>
  <c r="N2004" i="1"/>
  <c r="N1524" i="1"/>
  <c r="N1044" i="1"/>
  <c r="N564" i="1"/>
  <c r="N2007" i="1"/>
  <c r="N1527" i="1"/>
  <c r="N1047" i="1"/>
  <c r="N567" i="1"/>
  <c r="N1887" i="1"/>
  <c r="N1407" i="1"/>
  <c r="N927" i="1"/>
  <c r="N447" i="1"/>
  <c r="N1767" i="1"/>
  <c r="N1287" i="1"/>
  <c r="N807" i="1"/>
  <c r="N327" i="1"/>
  <c r="N1647" i="1"/>
  <c r="N1167" i="1"/>
  <c r="N687" i="1"/>
  <c r="N207" i="1"/>
  <c r="N2003" i="1"/>
  <c r="N1523" i="1"/>
  <c r="N1043" i="1"/>
  <c r="N563" i="1"/>
  <c r="N1883" i="1"/>
  <c r="N1403" i="1"/>
  <c r="N923" i="1"/>
  <c r="N443" i="1"/>
  <c r="N1763" i="1"/>
  <c r="N1283" i="1"/>
  <c r="N803" i="1"/>
  <c r="N323" i="1"/>
  <c r="N1643" i="1"/>
  <c r="N1163" i="1"/>
  <c r="N683" i="1"/>
  <c r="N203" i="1"/>
  <c r="N1650" i="1"/>
  <c r="N1170" i="1"/>
  <c r="N690" i="1"/>
  <c r="N210" i="1"/>
  <c r="N2010" i="1"/>
  <c r="N1530" i="1"/>
  <c r="N1050" i="1"/>
  <c r="N570" i="1"/>
  <c r="N1890" i="1"/>
  <c r="N1410" i="1"/>
  <c r="N930" i="1"/>
  <c r="N450" i="1"/>
  <c r="N1770" i="1"/>
  <c r="N1290" i="1"/>
  <c r="N810" i="1"/>
  <c r="N330" i="1"/>
  <c r="N332" i="1"/>
  <c r="N211" i="1"/>
  <c r="N1652" i="1"/>
  <c r="N452" i="1"/>
  <c r="N572" i="1"/>
  <c r="N1172" i="1"/>
  <c r="N1892" i="1"/>
  <c r="N2012" i="1"/>
  <c r="N812" i="1"/>
  <c r="N932" i="1"/>
  <c r="N1052" i="1"/>
  <c r="N692" i="1"/>
  <c r="N1772" i="1"/>
  <c r="N1412" i="1"/>
  <c r="N1532" i="1"/>
  <c r="N1292" i="1"/>
  <c r="N723" i="1"/>
  <c r="N1563" i="1"/>
  <c r="N603" i="1"/>
  <c r="N1923" i="1"/>
  <c r="N1443" i="1"/>
  <c r="N963" i="1"/>
  <c r="N483" i="1"/>
  <c r="N1683" i="1"/>
  <c r="N243" i="1"/>
  <c r="N1803" i="1"/>
  <c r="N1323" i="1"/>
  <c r="N843" i="1"/>
  <c r="N363" i="1"/>
  <c r="N2043" i="1"/>
  <c r="N1203" i="1"/>
  <c r="N1083" i="1"/>
  <c r="N1646" i="1"/>
  <c r="N1166" i="1"/>
  <c r="N686" i="1"/>
  <c r="N206" i="1"/>
  <c r="N2006" i="1"/>
  <c r="N1526" i="1"/>
  <c r="N1046" i="1"/>
  <c r="N566" i="1"/>
  <c r="N1886" i="1"/>
  <c r="N1406" i="1"/>
  <c r="N926" i="1"/>
  <c r="N446" i="1"/>
  <c r="N1766" i="1"/>
  <c r="N1286" i="1"/>
  <c r="N806" i="1"/>
  <c r="N326" i="1"/>
  <c r="N1642" i="1"/>
  <c r="N1162" i="1"/>
  <c r="N682" i="1"/>
  <c r="N202" i="1"/>
  <c r="N2002" i="1"/>
  <c r="N1522" i="1"/>
  <c r="N1042" i="1"/>
  <c r="N562" i="1"/>
  <c r="N1882" i="1"/>
  <c r="N1402" i="1"/>
  <c r="N922" i="1"/>
  <c r="N442" i="1"/>
  <c r="N1762" i="1"/>
  <c r="N1282" i="1"/>
  <c r="N802" i="1"/>
  <c r="N322" i="1"/>
  <c r="N1889" i="1"/>
  <c r="N1409" i="1"/>
  <c r="N929" i="1"/>
  <c r="N449" i="1"/>
  <c r="N1769" i="1"/>
  <c r="N1289" i="1"/>
  <c r="N809" i="1"/>
  <c r="N329" i="1"/>
  <c r="N1649" i="1"/>
  <c r="N1169" i="1"/>
  <c r="N689" i="1"/>
  <c r="N209" i="1"/>
  <c r="N2009" i="1"/>
  <c r="N1529" i="1"/>
  <c r="N1049" i="1"/>
  <c r="N569" i="1"/>
  <c r="N1765" i="1"/>
  <c r="N1285" i="1"/>
  <c r="N805" i="1"/>
  <c r="N325" i="1"/>
  <c r="N1645" i="1"/>
  <c r="N1165" i="1"/>
  <c r="N685" i="1"/>
  <c r="N205" i="1"/>
  <c r="N2005" i="1"/>
  <c r="N1525" i="1"/>
  <c r="N1045" i="1"/>
  <c r="N565" i="1"/>
  <c r="N1885" i="1"/>
  <c r="N1405" i="1"/>
  <c r="N925" i="1"/>
  <c r="N445" i="1"/>
  <c r="N1761" i="1"/>
  <c r="N1281" i="1"/>
  <c r="N801" i="1"/>
  <c r="N321" i="1"/>
  <c r="N1641" i="1"/>
  <c r="N1161" i="1"/>
  <c r="N681" i="1"/>
  <c r="N201" i="1"/>
  <c r="N2001" i="1"/>
  <c r="N1521" i="1"/>
  <c r="N1041" i="1"/>
  <c r="N561" i="1"/>
  <c r="N1881" i="1"/>
  <c r="N1401" i="1"/>
  <c r="N921" i="1"/>
  <c r="N441" i="1"/>
  <c r="N1637" i="1"/>
  <c r="N1157" i="1"/>
  <c r="N677" i="1"/>
  <c r="N197" i="1"/>
  <c r="N1997" i="1"/>
  <c r="N1517" i="1"/>
  <c r="N1037" i="1"/>
  <c r="N557" i="1"/>
  <c r="N1877" i="1"/>
  <c r="N1397" i="1"/>
  <c r="N917" i="1"/>
  <c r="N437" i="1"/>
  <c r="N1757" i="1"/>
  <c r="N1277" i="1"/>
  <c r="N797" i="1"/>
  <c r="N317" i="1"/>
  <c r="N1992" i="1"/>
  <c r="N1512" i="1"/>
  <c r="N1032" i="1"/>
  <c r="N552" i="1"/>
  <c r="N1872" i="1"/>
  <c r="N1392" i="1"/>
  <c r="N912" i="1"/>
  <c r="N432" i="1"/>
  <c r="N1752" i="1"/>
  <c r="N1272" i="1"/>
  <c r="N792" i="1"/>
  <c r="N312" i="1"/>
  <c r="N1632" i="1"/>
  <c r="N1152" i="1"/>
  <c r="N672" i="1"/>
  <c r="N192" i="1"/>
  <c r="N1748" i="1"/>
  <c r="N188" i="1"/>
  <c r="N1268" i="1"/>
  <c r="N1148" i="1"/>
  <c r="N308" i="1"/>
  <c r="N908" i="1"/>
  <c r="N1508" i="1"/>
  <c r="N548" i="1"/>
  <c r="N788" i="1"/>
  <c r="N1388" i="1"/>
  <c r="N1988" i="1"/>
  <c r="N1628" i="1"/>
  <c r="N1868" i="1"/>
  <c r="N668" i="1"/>
  <c r="N428" i="1"/>
  <c r="N1028" i="1"/>
  <c r="N1974" i="1"/>
  <c r="N1494" i="1"/>
  <c r="N1014" i="1"/>
  <c r="N534" i="1"/>
  <c r="N1854" i="1"/>
  <c r="N1374" i="1"/>
  <c r="N894" i="1"/>
  <c r="N414" i="1"/>
  <c r="N1734" i="1"/>
  <c r="N774" i="1"/>
  <c r="N1614" i="1"/>
  <c r="N654" i="1"/>
  <c r="N1254" i="1"/>
  <c r="N294" i="1"/>
  <c r="N1134" i="1"/>
  <c r="N174" i="1"/>
  <c r="N1755" i="1"/>
  <c r="N1275" i="1"/>
  <c r="N795" i="1"/>
  <c r="N315" i="1"/>
  <c r="N1635" i="1"/>
  <c r="N1155" i="1"/>
  <c r="N675" i="1"/>
  <c r="N195" i="1"/>
  <c r="N1995" i="1"/>
  <c r="N1515" i="1"/>
  <c r="N1035" i="1"/>
  <c r="N555" i="1"/>
  <c r="N1875" i="1"/>
  <c r="N1395" i="1"/>
  <c r="N915" i="1"/>
  <c r="N435" i="1"/>
  <c r="N1984" i="1"/>
  <c r="N1504" i="1"/>
  <c r="N1024" i="1"/>
  <c r="N544" i="1"/>
  <c r="N1864" i="1"/>
  <c r="N1384" i="1"/>
  <c r="N904" i="1"/>
  <c r="N424" i="1"/>
  <c r="N1264" i="1"/>
  <c r="N304" i="1"/>
  <c r="N1144" i="1"/>
  <c r="N184" i="1"/>
  <c r="N1744" i="1"/>
  <c r="N784" i="1"/>
  <c r="N1624" i="1"/>
  <c r="N664" i="1"/>
  <c r="N1973" i="1"/>
  <c r="N1253" i="1"/>
  <c r="N653" i="1"/>
  <c r="N173" i="1"/>
  <c r="N1133" i="1"/>
  <c r="N533" i="1"/>
  <c r="N1733" i="1"/>
  <c r="N413" i="1"/>
  <c r="N1613" i="1"/>
  <c r="N293" i="1"/>
  <c r="N893" i="1"/>
  <c r="N773" i="1"/>
  <c r="N1493" i="1"/>
  <c r="N1373" i="1"/>
  <c r="N1853" i="1"/>
  <c r="N1013" i="1"/>
  <c r="N1880" i="1"/>
  <c r="N1400" i="1"/>
  <c r="N920" i="1"/>
  <c r="N440" i="1"/>
  <c r="N1760" i="1"/>
  <c r="N1280" i="1"/>
  <c r="N800" i="1"/>
  <c r="N320" i="1"/>
  <c r="N1640" i="1"/>
  <c r="N1160" i="1"/>
  <c r="N680" i="1"/>
  <c r="N200" i="1"/>
  <c r="N2000" i="1"/>
  <c r="N1520" i="1"/>
  <c r="N1040" i="1"/>
  <c r="N560" i="1"/>
  <c r="N1860" i="1"/>
  <c r="N1380" i="1"/>
  <c r="N900" i="1"/>
  <c r="N420" i="1"/>
  <c r="N1740" i="1"/>
  <c r="N1260" i="1"/>
  <c r="N780" i="1"/>
  <c r="N300" i="1"/>
  <c r="N1620" i="1"/>
  <c r="N660" i="1"/>
  <c r="N1500" i="1"/>
  <c r="N540" i="1"/>
  <c r="N1140" i="1"/>
  <c r="N180" i="1"/>
  <c r="N1980" i="1"/>
  <c r="N1020" i="1"/>
  <c r="N1999" i="1"/>
  <c r="N1279" i="1"/>
  <c r="N799" i="1"/>
  <c r="N1879" i="1"/>
  <c r="N319" i="1"/>
  <c r="N199" i="1"/>
  <c r="N439" i="1"/>
  <c r="N559" i="1"/>
  <c r="N1159" i="1"/>
  <c r="N679" i="1"/>
  <c r="N919" i="1"/>
  <c r="N1039" i="1"/>
  <c r="N1759" i="1"/>
  <c r="N1639" i="1"/>
  <c r="N1399" i="1"/>
  <c r="N1519" i="1"/>
  <c r="N1873" i="1"/>
  <c r="N1393" i="1"/>
  <c r="N913" i="1"/>
  <c r="N433" i="1"/>
  <c r="N1753" i="1"/>
  <c r="N1273" i="1"/>
  <c r="N793" i="1"/>
  <c r="N313" i="1"/>
  <c r="N1633" i="1"/>
  <c r="N1153" i="1"/>
  <c r="N673" i="1"/>
  <c r="N193" i="1"/>
  <c r="N1993" i="1"/>
  <c r="N1513" i="1"/>
  <c r="N1033" i="1"/>
  <c r="N553" i="1"/>
  <c r="N1749" i="1"/>
  <c r="N1269" i="1"/>
  <c r="N789" i="1"/>
  <c r="N309" i="1"/>
  <c r="N1629" i="1"/>
  <c r="N1149" i="1"/>
  <c r="N669" i="1"/>
  <c r="N189" i="1"/>
  <c r="N1989" i="1"/>
  <c r="N1509" i="1"/>
  <c r="N1029" i="1"/>
  <c r="N549" i="1"/>
  <c r="N1869" i="1"/>
  <c r="N1389" i="1"/>
  <c r="N909" i="1"/>
  <c r="N429" i="1"/>
  <c r="N24" i="1"/>
  <c r="N1704" i="1" s="1"/>
  <c r="N88" i="1"/>
  <c r="N928" i="1" s="1"/>
  <c r="N2008" i="1" s="1"/>
  <c r="N74" i="1"/>
  <c r="N1754" i="1" s="1"/>
  <c r="N71" i="1"/>
  <c r="N431" i="1" s="1"/>
  <c r="N1031" i="1" s="1"/>
  <c r="N1631" i="1" s="1"/>
  <c r="N61" i="1"/>
  <c r="N661" i="1" s="1"/>
  <c r="N1381" i="1" s="1"/>
  <c r="N70" i="1"/>
  <c r="N670" i="1" s="1"/>
  <c r="N63" i="1"/>
  <c r="N423" i="1" s="1"/>
  <c r="N1143" i="1" s="1"/>
  <c r="N1863" i="1" s="1"/>
  <c r="N65" i="1"/>
  <c r="N302" i="1"/>
  <c r="N1382" i="1" s="1"/>
  <c r="N157" i="1"/>
  <c r="N878" i="1"/>
  <c r="N1718" i="1" s="1"/>
  <c r="N29" i="1"/>
  <c r="N269" i="1" s="1"/>
  <c r="N989" i="1" s="1"/>
  <c r="N1709" i="1" s="1"/>
  <c r="N28" i="1"/>
  <c r="N1228" i="1" s="1"/>
  <c r="N1022" i="1"/>
  <c r="N662" i="1"/>
  <c r="N1742" i="1" s="1"/>
  <c r="N902" i="1"/>
  <c r="N1982" i="1" s="1"/>
  <c r="N782" i="1"/>
  <c r="N1862" i="1" s="1"/>
  <c r="N787" i="1"/>
  <c r="N1867" i="1" s="1"/>
  <c r="N1147" i="1"/>
  <c r="N547" i="1"/>
  <c r="N1627" i="1" s="1"/>
  <c r="N427" i="1"/>
  <c r="N1507" i="1" s="1"/>
  <c r="N667" i="1"/>
  <c r="N1747" i="1" s="1"/>
  <c r="N1027" i="1"/>
  <c r="N307" i="1"/>
  <c r="N1387" i="1" s="1"/>
  <c r="N187" i="1"/>
  <c r="N1267" i="1" s="1"/>
  <c r="N907" i="1"/>
  <c r="N1987" i="1" s="1"/>
  <c r="N636" i="1"/>
  <c r="N876" i="1"/>
  <c r="N516" i="1"/>
  <c r="N756" i="1"/>
  <c r="N276" i="1"/>
  <c r="N156" i="1"/>
  <c r="N396" i="1"/>
  <c r="N623" i="1"/>
  <c r="N1703" i="1" s="1"/>
  <c r="N983" i="1"/>
  <c r="N503" i="1"/>
  <c r="N1583" i="1" s="1"/>
  <c r="N143" i="1"/>
  <c r="N1223" i="1" s="1"/>
  <c r="N743" i="1"/>
  <c r="N1823" i="1" s="1"/>
  <c r="N263" i="1"/>
  <c r="N1343" i="1" s="1"/>
  <c r="N863" i="1"/>
  <c r="N1943" i="1" s="1"/>
  <c r="N383" i="1"/>
  <c r="N1463" i="1" s="1"/>
  <c r="N1103" i="1"/>
  <c r="N1986" i="1"/>
  <c r="N1746" i="1"/>
  <c r="N1866" i="1"/>
  <c r="N1026" i="1"/>
  <c r="N1626" i="1"/>
  <c r="N186" i="1"/>
  <c r="N306" i="1"/>
  <c r="N1506" i="1"/>
  <c r="N426" i="1"/>
  <c r="N546" i="1"/>
  <c r="N1146" i="1"/>
  <c r="N786" i="1"/>
  <c r="N1266" i="1"/>
  <c r="N906" i="1"/>
  <c r="N666" i="1"/>
  <c r="N1386" i="1"/>
  <c r="N280" i="1"/>
  <c r="N520" i="1" s="1"/>
  <c r="N760" i="1" s="1"/>
  <c r="N1000" i="1" s="1"/>
  <c r="N1240" i="1" s="1"/>
  <c r="N1480" i="1" s="1"/>
  <c r="N1720" i="1" s="1"/>
  <c r="N1960" i="1" s="1"/>
  <c r="N160" i="1"/>
  <c r="N400" i="1" s="1"/>
  <c r="N640" i="1" s="1"/>
  <c r="N880" i="1" s="1"/>
  <c r="N1120" i="1" s="1"/>
  <c r="N1360" i="1" s="1"/>
  <c r="N1600" i="1" s="1"/>
  <c r="N1840" i="1" s="1"/>
  <c r="N158" i="1"/>
  <c r="N998" i="1" s="1"/>
  <c r="N1838" i="1" s="1"/>
  <c r="N278" i="1"/>
  <c r="N1118" i="1" s="1"/>
  <c r="N1958" i="1" s="1"/>
  <c r="N518" i="1"/>
  <c r="N1358" i="1" s="1"/>
  <c r="N291" i="1"/>
  <c r="N171" i="1"/>
  <c r="N411" i="1"/>
  <c r="N1706" i="1"/>
  <c r="N1226" i="1"/>
  <c r="N746" i="1"/>
  <c r="N266" i="1"/>
  <c r="N1946" i="1" s="1"/>
  <c r="N1586" i="1"/>
  <c r="N1106" i="1"/>
  <c r="N626" i="1"/>
  <c r="N146" i="1"/>
  <c r="N1466" i="1"/>
  <c r="N986" i="1"/>
  <c r="N506" i="1"/>
  <c r="N1826" i="1"/>
  <c r="N1346" i="1"/>
  <c r="N866" i="1"/>
  <c r="N386" i="1"/>
  <c r="N1018" i="1"/>
  <c r="N538" i="1"/>
  <c r="N1618" i="1" s="1"/>
  <c r="N298" i="1"/>
  <c r="N1378" i="1" s="1"/>
  <c r="N658" i="1"/>
  <c r="N1738" i="1" s="1"/>
  <c r="N898" i="1"/>
  <c r="N1978" i="1" s="1"/>
  <c r="N418" i="1"/>
  <c r="N1498" i="1" s="1"/>
  <c r="N778" i="1"/>
  <c r="N1858" i="1" s="1"/>
  <c r="N1138" i="1"/>
  <c r="N178" i="1"/>
  <c r="N1258" i="1" s="1"/>
  <c r="Q5535" i="1" l="1"/>
  <c r="Q5536" i="1"/>
  <c r="O5537" i="1"/>
  <c r="O5483" i="1" s="1"/>
  <c r="Q8924" i="1"/>
  <c r="O8872" i="1"/>
  <c r="N1948" i="1"/>
  <c r="N997" i="1"/>
  <c r="N1116" i="1"/>
  <c r="N1596" i="1"/>
  <c r="N1356" i="1"/>
  <c r="N1716" i="1"/>
  <c r="N1476" i="1"/>
  <c r="N1236" i="1"/>
  <c r="N996" i="1"/>
  <c r="N1390" i="1"/>
  <c r="N1150" i="1"/>
  <c r="N1630" i="1"/>
  <c r="N1824" i="1"/>
  <c r="N388" i="1"/>
  <c r="N1588" i="1"/>
  <c r="N1270" i="1"/>
  <c r="N509" i="1"/>
  <c r="N1229" i="1" s="1"/>
  <c r="N1949" i="1" s="1"/>
  <c r="N624" i="1"/>
  <c r="N148" i="1"/>
  <c r="N1510" i="1"/>
  <c r="N421" i="1"/>
  <c r="N1141" i="1" s="1"/>
  <c r="N1861" i="1" s="1"/>
  <c r="N864" i="1"/>
  <c r="N744" i="1"/>
  <c r="N144" i="1"/>
  <c r="N1224" i="1"/>
  <c r="N1464" i="1"/>
  <c r="N1344" i="1"/>
  <c r="N264" i="1"/>
  <c r="N1944" i="1" s="1"/>
  <c r="N389" i="1"/>
  <c r="N1109" i="1" s="1"/>
  <c r="N1829" i="1" s="1"/>
  <c r="N384" i="1"/>
  <c r="N1584" i="1"/>
  <c r="N1104" i="1"/>
  <c r="N149" i="1"/>
  <c r="N869" i="1" s="1"/>
  <c r="N1589" i="1" s="1"/>
  <c r="N181" i="1"/>
  <c r="N901" i="1" s="1"/>
  <c r="N1621" i="1" s="1"/>
  <c r="N629" i="1"/>
  <c r="N1349" i="1" s="1"/>
  <c r="N301" i="1"/>
  <c r="N1021" i="1" s="1"/>
  <c r="N1741" i="1" s="1"/>
  <c r="N749" i="1"/>
  <c r="N1469" i="1" s="1"/>
  <c r="N781" i="1"/>
  <c r="N1501" i="1" s="1"/>
  <c r="N448" i="1"/>
  <c r="N1528" i="1" s="1"/>
  <c r="N1828" i="1"/>
  <c r="N1708" i="1"/>
  <c r="N1870" i="1"/>
  <c r="N541" i="1"/>
  <c r="N1261" i="1" s="1"/>
  <c r="N1981" i="1" s="1"/>
  <c r="N984" i="1"/>
  <c r="N504" i="1"/>
  <c r="N1168" i="1"/>
  <c r="N1634" i="1"/>
  <c r="N208" i="1"/>
  <c r="N1288" i="1" s="1"/>
  <c r="N508" i="1"/>
  <c r="N268" i="1"/>
  <c r="N1750" i="1"/>
  <c r="N1990" i="1"/>
  <c r="N1048" i="1"/>
  <c r="N663" i="1"/>
  <c r="N1383" i="1" s="1"/>
  <c r="N551" i="1"/>
  <c r="N1151" i="1" s="1"/>
  <c r="N1751" i="1" s="1"/>
  <c r="N1514" i="1"/>
  <c r="N183" i="1"/>
  <c r="N903" i="1" s="1"/>
  <c r="N1623" i="1" s="1"/>
  <c r="N757" i="1"/>
  <c r="N311" i="1"/>
  <c r="N911" i="1" s="1"/>
  <c r="N1511" i="1" s="1"/>
  <c r="N277" i="1"/>
  <c r="N1611" i="1"/>
  <c r="N543" i="1"/>
  <c r="N1263" i="1" s="1"/>
  <c r="N1983" i="1" s="1"/>
  <c r="N517" i="1"/>
  <c r="N194" i="1"/>
  <c r="N1154" i="1" s="1"/>
  <c r="N868" i="1"/>
  <c r="N988" i="1"/>
  <c r="N628" i="1"/>
  <c r="N748" i="1"/>
  <c r="N310" i="1"/>
  <c r="N430" i="1"/>
  <c r="N550" i="1"/>
  <c r="N190" i="1"/>
  <c r="N783" i="1"/>
  <c r="N1503" i="1" s="1"/>
  <c r="N1274" i="1"/>
  <c r="N1994" i="1"/>
  <c r="N688" i="1"/>
  <c r="N1768" i="1" s="1"/>
  <c r="N568" i="1"/>
  <c r="N1648" i="1" s="1"/>
  <c r="N397" i="1"/>
  <c r="N637" i="1"/>
  <c r="N1985" i="1"/>
  <c r="N1505" i="1"/>
  <c r="N1025" i="1"/>
  <c r="N545" i="1"/>
  <c r="N1865" i="1"/>
  <c r="N1385" i="1"/>
  <c r="N905" i="1"/>
  <c r="N425" i="1"/>
  <c r="N1265" i="1"/>
  <c r="N305" i="1"/>
  <c r="N1145" i="1"/>
  <c r="N185" i="1"/>
  <c r="N1745" i="1"/>
  <c r="N785" i="1"/>
  <c r="N1625" i="1"/>
  <c r="N665" i="1"/>
  <c r="N303" i="1"/>
  <c r="N1023" i="1" s="1"/>
  <c r="N1743" i="1" s="1"/>
  <c r="N1874" i="1"/>
  <c r="N877" i="1"/>
  <c r="N1348" i="1"/>
  <c r="N1468" i="1"/>
  <c r="N1108" i="1"/>
  <c r="N790" i="1"/>
  <c r="N910" i="1"/>
  <c r="N1030" i="1"/>
  <c r="N1394" i="1"/>
  <c r="N808" i="1"/>
  <c r="N1888" i="1" s="1"/>
  <c r="N328" i="1"/>
  <c r="N1408" i="1" s="1"/>
  <c r="N191" i="1"/>
  <c r="N791" i="1" s="1"/>
  <c r="N1391" i="1" s="1"/>
  <c r="N1991" i="1" s="1"/>
  <c r="N671" i="1"/>
  <c r="N1271" i="1" s="1"/>
  <c r="N1871" i="1" s="1"/>
  <c r="N182" i="1"/>
  <c r="N1142" i="1" s="1"/>
  <c r="N422" i="1"/>
  <c r="N1502" i="1" s="1"/>
  <c r="N542" i="1"/>
  <c r="N1622" i="1" s="1"/>
  <c r="N758" i="1"/>
  <c r="N1598" i="1" s="1"/>
  <c r="N638" i="1"/>
  <c r="N1478" i="1" s="1"/>
  <c r="N398" i="1"/>
  <c r="N1238" i="1" s="1"/>
  <c r="N1851" i="1"/>
  <c r="N1731" i="1"/>
  <c r="N1491" i="1"/>
  <c r="N1371" i="1"/>
  <c r="N1011" i="1"/>
  <c r="N1131" i="1"/>
  <c r="N651" i="1"/>
  <c r="N1251" i="1"/>
  <c r="N771" i="1"/>
  <c r="N891" i="1"/>
  <c r="N531" i="1"/>
  <c r="Q8872" i="1" l="1"/>
  <c r="O8838" i="1"/>
  <c r="Q8838" i="1" s="1"/>
  <c r="Q5483" i="1"/>
  <c r="O5449" i="1"/>
  <c r="Q5449" i="1" s="1"/>
  <c r="N1717" i="1"/>
  <c r="N1117" i="1"/>
  <c r="N1237" i="1"/>
  <c r="N1597" i="1"/>
  <c r="N1477" i="1"/>
  <c r="N1357" i="1"/>
  <c r="N1837" i="1"/>
  <c r="N1836" i="1"/>
  <c r="N1956" i="1"/>
  <c r="N314" i="1"/>
  <c r="N434" i="1"/>
  <c r="N1034" i="1"/>
  <c r="N554" i="1"/>
  <c r="N914" i="1"/>
  <c r="N794" i="1"/>
  <c r="N674" i="1"/>
  <c r="N1971" i="1"/>
  <c r="N1262" i="1"/>
  <c r="N1957" i="1" l="1"/>
  <c r="N852" i="1"/>
  <c r="N372" i="1"/>
  <c r="N612" i="1"/>
  <c r="N732" i="1"/>
  <c r="N492" i="1"/>
  <c r="N252" i="1"/>
  <c r="N1092" i="1" l="1"/>
  <c r="N1332" i="1"/>
  <c r="N1452" i="1"/>
  <c r="N1572" i="1"/>
  <c r="N1212" i="1"/>
  <c r="N972" i="1"/>
  <c r="N1692" i="1"/>
  <c r="N1812" i="1" l="1"/>
  <c r="N1932" i="1"/>
  <c r="O1969" i="1" l="1"/>
  <c r="O1968" i="1"/>
  <c r="O1967" i="1"/>
  <c r="O1966" i="1"/>
  <c r="O1963" i="1"/>
  <c r="O1962" i="1"/>
  <c r="N1933" i="1"/>
  <c r="O1849" i="1"/>
  <c r="O1848" i="1"/>
  <c r="O1847" i="1"/>
  <c r="O1846" i="1"/>
  <c r="O1843" i="1"/>
  <c r="O1842" i="1"/>
  <c r="N1813" i="1"/>
  <c r="O1729" i="1"/>
  <c r="O1728" i="1"/>
  <c r="O1727" i="1"/>
  <c r="O1726" i="1"/>
  <c r="O1723" i="1"/>
  <c r="O1722" i="1"/>
  <c r="N1693" i="1"/>
  <c r="O1609" i="1"/>
  <c r="O1608" i="1"/>
  <c r="O1607" i="1"/>
  <c r="O1606" i="1"/>
  <c r="O1603" i="1"/>
  <c r="O1602" i="1"/>
  <c r="N1573" i="1"/>
  <c r="O1489" i="1"/>
  <c r="O1488" i="1"/>
  <c r="O1487" i="1"/>
  <c r="O1486" i="1"/>
  <c r="O1483" i="1"/>
  <c r="O1482" i="1"/>
  <c r="N1453" i="1"/>
  <c r="O1369" i="1"/>
  <c r="O1368" i="1"/>
  <c r="O1367" i="1"/>
  <c r="O1366" i="1"/>
  <c r="O1363" i="1"/>
  <c r="O1362" i="1"/>
  <c r="N1333" i="1"/>
  <c r="O1249" i="1"/>
  <c r="O1248" i="1"/>
  <c r="O1247" i="1"/>
  <c r="O1246" i="1"/>
  <c r="O1243" i="1"/>
  <c r="O1242" i="1"/>
  <c r="N1213" i="1"/>
  <c r="O1129" i="1"/>
  <c r="O1128" i="1"/>
  <c r="O1127" i="1"/>
  <c r="O1126" i="1"/>
  <c r="O1123" i="1"/>
  <c r="O1122" i="1"/>
  <c r="N1093" i="1"/>
  <c r="O1009" i="1"/>
  <c r="O1008" i="1"/>
  <c r="O1007" i="1"/>
  <c r="O1006" i="1"/>
  <c r="O1003" i="1"/>
  <c r="O1002" i="1"/>
  <c r="N973" i="1"/>
  <c r="O889" i="1"/>
  <c r="O888" i="1"/>
  <c r="O887" i="1"/>
  <c r="O886" i="1"/>
  <c r="O883" i="1"/>
  <c r="O882" i="1"/>
  <c r="N853" i="1"/>
  <c r="O769" i="1"/>
  <c r="O768" i="1"/>
  <c r="O767" i="1"/>
  <c r="O766" i="1"/>
  <c r="O763" i="1"/>
  <c r="O762" i="1"/>
  <c r="N733" i="1"/>
  <c r="O649" i="1"/>
  <c r="O648" i="1"/>
  <c r="O647" i="1"/>
  <c r="O646" i="1"/>
  <c r="O643" i="1"/>
  <c r="O642" i="1"/>
  <c r="N613" i="1"/>
  <c r="O529" i="1"/>
  <c r="O528" i="1"/>
  <c r="O527" i="1"/>
  <c r="O526" i="1"/>
  <c r="O523" i="1"/>
  <c r="O522" i="1"/>
  <c r="N493" i="1"/>
  <c r="O409" i="1"/>
  <c r="O408" i="1"/>
  <c r="O407" i="1"/>
  <c r="O406" i="1"/>
  <c r="O403" i="1"/>
  <c r="O402" i="1"/>
  <c r="N373" i="1"/>
  <c r="O289" i="1"/>
  <c r="O288" i="1"/>
  <c r="O287" i="1"/>
  <c r="O286" i="1"/>
  <c r="O283" i="1"/>
  <c r="O282" i="1"/>
  <c r="N253" i="1"/>
  <c r="O169" i="1"/>
  <c r="O168" i="1"/>
  <c r="O167" i="1"/>
  <c r="O166" i="1"/>
  <c r="O163" i="1"/>
  <c r="O162" i="1"/>
  <c r="N133" i="1"/>
  <c r="O49" i="1"/>
  <c r="O48" i="1"/>
  <c r="O47" i="1"/>
  <c r="O46" i="1"/>
  <c r="O43" i="1"/>
  <c r="O42" i="1"/>
  <c r="N13" i="1"/>
  <c r="A2362" i="1" l="1"/>
  <c r="A2258" i="1"/>
  <c r="B2566" i="1" l="1"/>
  <c r="A2566" i="1"/>
  <c r="B2464" i="1"/>
  <c r="A2464" i="1"/>
  <c r="B2362" i="1"/>
  <c r="B2258" i="1"/>
  <c r="B2154" i="1"/>
  <c r="A2154" i="1"/>
  <c r="B2050" i="1"/>
  <c r="K2260" i="1" l="1"/>
  <c r="K2262" i="1" s="1"/>
  <c r="K2265" i="1" s="1"/>
  <c r="K2271" i="1" s="1"/>
  <c r="K2272" i="1" s="1"/>
  <c r="K2273" i="1" s="1"/>
  <c r="K2274" i="1" s="1"/>
  <c r="K2275" i="1" s="1"/>
  <c r="K2052" i="1"/>
  <c r="K2466" i="1"/>
  <c r="K2156" i="1"/>
  <c r="K2158" i="1" s="1"/>
  <c r="K2161" i="1" s="1"/>
  <c r="K2167" i="1" s="1"/>
  <c r="K2168" i="1" s="1"/>
  <c r="K2169" i="1" s="1"/>
  <c r="K2170" i="1" s="1"/>
  <c r="K2171" i="1" s="1"/>
  <c r="K2364" i="1"/>
  <c r="K2568" i="1"/>
  <c r="Q2366" i="1" l="1"/>
  <c r="K2365" i="1"/>
  <c r="Q2570" i="1"/>
  <c r="K2569" i="1"/>
  <c r="Q2468" i="1"/>
  <c r="K2467" i="1"/>
  <c r="K2172" i="1"/>
  <c r="K2173" i="1" s="1"/>
  <c r="K2176" i="1"/>
  <c r="K2276" i="1"/>
  <c r="K2277" i="1" s="1"/>
  <c r="K2280" i="1"/>
  <c r="Q2267" i="1"/>
  <c r="Q2163" i="1"/>
  <c r="Q2573" i="1"/>
  <c r="J35" i="2"/>
  <c r="J34" i="2"/>
  <c r="K2475" i="1" l="1"/>
  <c r="K2476" i="1" s="1"/>
  <c r="K2477" i="1" s="1"/>
  <c r="K2478" i="1" s="1"/>
  <c r="K2479" i="1" s="1"/>
  <c r="K2470" i="1"/>
  <c r="K2282" i="1"/>
  <c r="K2284" i="1" s="1"/>
  <c r="K2281" i="1"/>
  <c r="K2373" i="1"/>
  <c r="K2374" i="1" s="1"/>
  <c r="K2375" i="1" s="1"/>
  <c r="K2376" i="1" s="1"/>
  <c r="K2377" i="1" s="1"/>
  <c r="K2368" i="1"/>
  <c r="K2177" i="1"/>
  <c r="K2178" i="1"/>
  <c r="K2180" i="1" s="1"/>
  <c r="K2577" i="1"/>
  <c r="K2578" i="1" s="1"/>
  <c r="K2579" i="1" s="1"/>
  <c r="K2580" i="1" s="1"/>
  <c r="K2581" i="1" s="1"/>
  <c r="K2572" i="1"/>
  <c r="J33" i="2"/>
  <c r="Q2369" i="1"/>
  <c r="Q2471" i="1"/>
  <c r="Q2164" i="1"/>
  <c r="Q2574" i="1"/>
  <c r="Q2268" i="1"/>
  <c r="K2286" i="1" l="1"/>
  <c r="K2288" i="1" s="1"/>
  <c r="K2293" i="1" s="1"/>
  <c r="K2294" i="1" s="1"/>
  <c r="K2285" i="1"/>
  <c r="K2382" i="1"/>
  <c r="K2378" i="1"/>
  <c r="K2379" i="1" s="1"/>
  <c r="K2181" i="1"/>
  <c r="K2182" i="1"/>
  <c r="K2184" i="1" s="1"/>
  <c r="K2189" i="1" s="1"/>
  <c r="K2190" i="1" s="1"/>
  <c r="K2582" i="1"/>
  <c r="K2583" i="1" s="1"/>
  <c r="K2586" i="1"/>
  <c r="K2480" i="1"/>
  <c r="K2481" i="1" s="1"/>
  <c r="K2484" i="1"/>
  <c r="Q2370" i="1"/>
  <c r="Q2472" i="1"/>
  <c r="K2588" i="1" l="1"/>
  <c r="K2590" i="1" s="1"/>
  <c r="K2587" i="1"/>
  <c r="K2383" i="1"/>
  <c r="K2384" i="1"/>
  <c r="K2386" i="1" s="1"/>
  <c r="K2486" i="1"/>
  <c r="K2488" i="1" s="1"/>
  <c r="K2485" i="1"/>
  <c r="K2191" i="1"/>
  <c r="K2193" i="1" s="1"/>
  <c r="K2196" i="1" s="1"/>
  <c r="K2200" i="1" s="1"/>
  <c r="K2201" i="1" s="1"/>
  <c r="K2192" i="1"/>
  <c r="K2296" i="1"/>
  <c r="K2295" i="1"/>
  <c r="K2297" i="1" s="1"/>
  <c r="K2300" i="1" s="1"/>
  <c r="K2304" i="1" s="1"/>
  <c r="K2305" i="1" s="1"/>
  <c r="Q2290" i="1"/>
  <c r="Q2186" i="1"/>
  <c r="K2387" i="1" l="1"/>
  <c r="K2388" i="1"/>
  <c r="K2489" i="1"/>
  <c r="K2490" i="1"/>
  <c r="K2202" i="1"/>
  <c r="K2203" i="1" s="1"/>
  <c r="K2204" i="1" s="1"/>
  <c r="K2205" i="1"/>
  <c r="K2207" i="1"/>
  <c r="K2208" i="1" s="1"/>
  <c r="K2311" i="1"/>
  <c r="K2312" i="1" s="1"/>
  <c r="K2309" i="1"/>
  <c r="K2306" i="1"/>
  <c r="K2307" i="1" s="1"/>
  <c r="K2308" i="1" s="1"/>
  <c r="K2592" i="1"/>
  <c r="K2591" i="1"/>
  <c r="Q2494" i="1"/>
  <c r="Q2392" i="1"/>
  <c r="Q2291" i="1"/>
  <c r="Q2187" i="1"/>
  <c r="K2211" i="1" l="1"/>
  <c r="K2212" i="1" s="1"/>
  <c r="K2213" i="1" s="1"/>
  <c r="K2209" i="1"/>
  <c r="K2210" i="1" s="1"/>
  <c r="K2315" i="1"/>
  <c r="K2316" i="1" s="1"/>
  <c r="K2317" i="1" s="1"/>
  <c r="K2313" i="1"/>
  <c r="K2314" i="1" s="1"/>
  <c r="K2594" i="1"/>
  <c r="K2599" i="1"/>
  <c r="K2600" i="1" s="1"/>
  <c r="K2390" i="1"/>
  <c r="K2395" i="1"/>
  <c r="K2396" i="1" s="1"/>
  <c r="K2492" i="1"/>
  <c r="K2497" i="1"/>
  <c r="K2498" i="1" s="1"/>
  <c r="Q2596" i="1"/>
  <c r="Q2495" i="1"/>
  <c r="Q2393" i="1"/>
  <c r="K2397" i="1" l="1"/>
  <c r="K2399" i="1" s="1"/>
  <c r="K2402" i="1" s="1"/>
  <c r="K2406" i="1" s="1"/>
  <c r="K2407" i="1" s="1"/>
  <c r="K2398" i="1"/>
  <c r="K2602" i="1"/>
  <c r="K2601" i="1"/>
  <c r="K2603" i="1" s="1"/>
  <c r="K2606" i="1" s="1"/>
  <c r="K2610" i="1" s="1"/>
  <c r="K2611" i="1" s="1"/>
  <c r="K2319" i="1"/>
  <c r="K2320" i="1" s="1"/>
  <c r="K2321" i="1" s="1"/>
  <c r="K2322" i="1" s="1"/>
  <c r="K2318" i="1"/>
  <c r="K2500" i="1"/>
  <c r="K2499" i="1"/>
  <c r="K2501" i="1" s="1"/>
  <c r="K2504" i="1" s="1"/>
  <c r="K2508" i="1" s="1"/>
  <c r="K2509" i="1" s="1"/>
  <c r="K2215" i="1"/>
  <c r="K2216" i="1" s="1"/>
  <c r="K2217" i="1" s="1"/>
  <c r="K2218" i="1" s="1"/>
  <c r="K2214" i="1"/>
  <c r="Q2597" i="1"/>
  <c r="K2615" i="1" l="1"/>
  <c r="K2617" i="1"/>
  <c r="K2618" i="1" s="1"/>
  <c r="K2612" i="1"/>
  <c r="K2613" i="1" s="1"/>
  <c r="K2614" i="1" s="1"/>
  <c r="K2323" i="1"/>
  <c r="K2324" i="1"/>
  <c r="K2325" i="1" s="1"/>
  <c r="K2327" i="1" s="1"/>
  <c r="K2515" i="1"/>
  <c r="K2516" i="1" s="1"/>
  <c r="K2510" i="1"/>
  <c r="K2511" i="1" s="1"/>
  <c r="K2512" i="1" s="1"/>
  <c r="K2513" i="1"/>
  <c r="K2219" i="1"/>
  <c r="K2220" i="1"/>
  <c r="K2221" i="1" s="1"/>
  <c r="K2223" i="1" s="1"/>
  <c r="K2411" i="1"/>
  <c r="K2408" i="1"/>
  <c r="K2409" i="1" s="1"/>
  <c r="K2410" i="1" s="1"/>
  <c r="K2413" i="1"/>
  <c r="K2414" i="1" s="1"/>
  <c r="Q2607" i="1"/>
  <c r="Q2301" i="1"/>
  <c r="Q2197" i="1"/>
  <c r="K2415" i="1" l="1"/>
  <c r="K2416" i="1" s="1"/>
  <c r="K2417" i="1"/>
  <c r="K2418" i="1" s="1"/>
  <c r="K2419" i="1" s="1"/>
  <c r="K2328" i="1"/>
  <c r="K2331" i="1" s="1"/>
  <c r="K2330" i="1"/>
  <c r="K2332" i="1" s="1"/>
  <c r="K2333" i="1" s="1"/>
  <c r="K2334" i="1" s="1"/>
  <c r="K2335" i="1" s="1"/>
  <c r="K2336" i="1" s="1"/>
  <c r="K2337" i="1" s="1"/>
  <c r="K2519" i="1"/>
  <c r="K2520" i="1" s="1"/>
  <c r="K2521" i="1" s="1"/>
  <c r="K2517" i="1"/>
  <c r="K2518" i="1" s="1"/>
  <c r="K2619" i="1"/>
  <c r="K2620" i="1" s="1"/>
  <c r="K2621" i="1"/>
  <c r="K2622" i="1" s="1"/>
  <c r="K2623" i="1" s="1"/>
  <c r="K2224" i="1"/>
  <c r="K2227" i="1" s="1"/>
  <c r="K2226" i="1"/>
  <c r="K2228" i="1" s="1"/>
  <c r="K2229" i="1" s="1"/>
  <c r="K2230" i="1" s="1"/>
  <c r="K2231" i="1" s="1"/>
  <c r="K2232" i="1" s="1"/>
  <c r="K2233" i="1" s="1"/>
  <c r="Q2505" i="1"/>
  <c r="Q2403" i="1"/>
  <c r="Q2302" i="1"/>
  <c r="Q2608" i="1"/>
  <c r="Q2198" i="1"/>
  <c r="K2625" i="1" l="1"/>
  <c r="K2626" i="1" s="1"/>
  <c r="K2627" i="1" s="1"/>
  <c r="K2628" i="1" s="1"/>
  <c r="K2624" i="1"/>
  <c r="K2339" i="1"/>
  <c r="K2338" i="1"/>
  <c r="K2523" i="1"/>
  <c r="K2524" i="1" s="1"/>
  <c r="K2525" i="1" s="1"/>
  <c r="K2526" i="1" s="1"/>
  <c r="K2522" i="1"/>
  <c r="K2420" i="1"/>
  <c r="K2421" i="1"/>
  <c r="K2422" i="1" s="1"/>
  <c r="K2423" i="1" s="1"/>
  <c r="K2424" i="1" s="1"/>
  <c r="K2234" i="1"/>
  <c r="K2235" i="1"/>
  <c r="Q2506" i="1"/>
  <c r="Q2404" i="1"/>
  <c r="K2426" i="1" l="1"/>
  <c r="K2427" i="1" s="1"/>
  <c r="K2429" i="1" s="1"/>
  <c r="K2425" i="1"/>
  <c r="K2340" i="1"/>
  <c r="K2341" i="1"/>
  <c r="K2527" i="1"/>
  <c r="K2528" i="1"/>
  <c r="K2529" i="1" s="1"/>
  <c r="K2531" i="1" s="1"/>
  <c r="K2236" i="1"/>
  <c r="K2237" i="1"/>
  <c r="K2629" i="1"/>
  <c r="K2630" i="1"/>
  <c r="K2631" i="1" s="1"/>
  <c r="K2633" i="1" s="1"/>
  <c r="B850" i="1"/>
  <c r="K2239" i="1" l="1"/>
  <c r="K2240" i="1"/>
  <c r="K2344" i="1"/>
  <c r="K2343" i="1"/>
  <c r="K2532" i="1"/>
  <c r="K2535" i="1" s="1"/>
  <c r="K2534" i="1"/>
  <c r="K2536" i="1" s="1"/>
  <c r="K2537" i="1" s="1"/>
  <c r="K2538" i="1" s="1"/>
  <c r="K2539" i="1" s="1"/>
  <c r="K2540" i="1" s="1"/>
  <c r="K2541" i="1" s="1"/>
  <c r="K2636" i="1"/>
  <c r="K2638" i="1" s="1"/>
  <c r="K2639" i="1" s="1"/>
  <c r="K2640" i="1" s="1"/>
  <c r="K2641" i="1" s="1"/>
  <c r="K2642" i="1" s="1"/>
  <c r="K2643" i="1" s="1"/>
  <c r="K2634" i="1"/>
  <c r="K2637" i="1" s="1"/>
  <c r="K2430" i="1"/>
  <c r="K2433" i="1" s="1"/>
  <c r="K2432" i="1"/>
  <c r="K2434" i="1" s="1"/>
  <c r="K2435" i="1" s="1"/>
  <c r="K2436" i="1" s="1"/>
  <c r="K2437" i="1" s="1"/>
  <c r="K2438" i="1" s="1"/>
  <c r="K2439" i="1" s="1"/>
  <c r="B3362" i="1"/>
  <c r="A3362" i="1"/>
  <c r="K3267" i="1"/>
  <c r="B3265" i="1"/>
  <c r="A3265" i="1"/>
  <c r="K3170" i="1"/>
  <c r="B3168" i="1"/>
  <c r="A3168" i="1"/>
  <c r="K3073" i="1"/>
  <c r="B3071" i="1"/>
  <c r="A3071" i="1"/>
  <c r="K2976" i="1"/>
  <c r="B2974" i="1"/>
  <c r="A2974" i="1"/>
  <c r="K2874" i="1"/>
  <c r="K2875" i="1" s="1"/>
  <c r="B2872" i="1"/>
  <c r="A2872" i="1"/>
  <c r="K2772" i="1"/>
  <c r="K2773" i="1" s="1"/>
  <c r="B2770" i="1"/>
  <c r="A2770" i="1"/>
  <c r="K2670" i="1"/>
  <c r="K2671" i="1" s="1"/>
  <c r="B2668" i="1"/>
  <c r="A2668" i="1"/>
  <c r="K1932" i="1"/>
  <c r="B1930" i="1"/>
  <c r="A1930" i="1"/>
  <c r="K1812" i="1"/>
  <c r="B1810" i="1"/>
  <c r="A1810" i="1"/>
  <c r="K1692" i="1"/>
  <c r="B1690" i="1"/>
  <c r="A1690" i="1"/>
  <c r="K1572" i="1"/>
  <c r="B1570" i="1"/>
  <c r="A1570" i="1"/>
  <c r="K1452" i="1"/>
  <c r="B1450" i="1"/>
  <c r="A1450" i="1"/>
  <c r="K1332" i="1"/>
  <c r="B1330" i="1"/>
  <c r="A1330" i="1"/>
  <c r="K1212" i="1"/>
  <c r="B1210" i="1"/>
  <c r="A1210" i="1"/>
  <c r="K1092" i="1"/>
  <c r="B1090" i="1"/>
  <c r="A1090" i="1"/>
  <c r="K972" i="1"/>
  <c r="B970" i="1"/>
  <c r="A970" i="1"/>
  <c r="K852" i="1"/>
  <c r="A850" i="1"/>
  <c r="K732" i="1"/>
  <c r="B730" i="1"/>
  <c r="A730" i="1"/>
  <c r="K612" i="1"/>
  <c r="B610" i="1"/>
  <c r="A610" i="1"/>
  <c r="K492" i="1"/>
  <c r="B490" i="1"/>
  <c r="A490" i="1"/>
  <c r="K372" i="1"/>
  <c r="B370" i="1"/>
  <c r="A370" i="1"/>
  <c r="K252" i="1"/>
  <c r="B250" i="1"/>
  <c r="A250" i="1"/>
  <c r="K132" i="1"/>
  <c r="B130" i="1"/>
  <c r="A130" i="1"/>
  <c r="K12" i="1"/>
  <c r="B10" i="1"/>
  <c r="A10" i="1"/>
  <c r="K2679" i="1" l="1"/>
  <c r="K2680" i="1" s="1"/>
  <c r="K2681" i="1" s="1"/>
  <c r="K2682" i="1" s="1"/>
  <c r="K2683" i="1" s="1"/>
  <c r="K2674" i="1"/>
  <c r="K2644" i="1"/>
  <c r="K2645" i="1"/>
  <c r="K2543" i="1"/>
  <c r="K2542" i="1"/>
  <c r="K2781" i="1"/>
  <c r="K2782" i="1" s="1"/>
  <c r="K2783" i="1" s="1"/>
  <c r="K2784" i="1" s="1"/>
  <c r="K2785" i="1" s="1"/>
  <c r="K2776" i="1"/>
  <c r="K2358" i="1"/>
  <c r="K2359" i="1" s="1"/>
  <c r="K2360" i="1" s="1"/>
  <c r="K2345" i="1"/>
  <c r="K2346" i="1" s="1"/>
  <c r="K2347" i="1" s="1"/>
  <c r="K2348" i="1" s="1"/>
  <c r="K2349" i="1" s="1"/>
  <c r="K2350" i="1" s="1"/>
  <c r="K2351" i="1" s="1"/>
  <c r="K2352" i="1" s="1"/>
  <c r="K2353" i="1" s="1"/>
  <c r="K2354" i="1" s="1"/>
  <c r="K2356" i="1" s="1"/>
  <c r="K2441" i="1"/>
  <c r="K2440" i="1"/>
  <c r="K2241" i="1"/>
  <c r="K2242" i="1" s="1"/>
  <c r="K2243" i="1" s="1"/>
  <c r="K2244" i="1" s="1"/>
  <c r="K2245" i="1" s="1"/>
  <c r="K2246" i="1" s="1"/>
  <c r="K2247" i="1" s="1"/>
  <c r="K2248" i="1" s="1"/>
  <c r="K2249" i="1" s="1"/>
  <c r="K2250" i="1" s="1"/>
  <c r="K2252" i="1" s="1"/>
  <c r="K2254" i="1"/>
  <c r="K2255" i="1" s="1"/>
  <c r="K2256" i="1" s="1"/>
  <c r="K2878" i="1"/>
  <c r="K2883" i="1"/>
  <c r="K2884" i="1" s="1"/>
  <c r="K2885" i="1" s="1"/>
  <c r="K2886" i="1" s="1"/>
  <c r="K2887" i="1" s="1"/>
  <c r="K142" i="1"/>
  <c r="K134" i="1"/>
  <c r="K1454" i="1"/>
  <c r="K1462" i="1"/>
  <c r="K1463" i="1" s="1"/>
  <c r="K1464" i="1" s="1"/>
  <c r="K1465" i="1" s="1"/>
  <c r="K1466" i="1" s="1"/>
  <c r="K1467" i="1" s="1"/>
  <c r="K494" i="1"/>
  <c r="K502" i="1"/>
  <c r="K862" i="1"/>
  <c r="K863" i="1" s="1"/>
  <c r="K864" i="1" s="1"/>
  <c r="K865" i="1" s="1"/>
  <c r="K866" i="1" s="1"/>
  <c r="K867" i="1" s="1"/>
  <c r="K854" i="1"/>
  <c r="K1822" i="1"/>
  <c r="K1823" i="1" s="1"/>
  <c r="K1824" i="1" s="1"/>
  <c r="K1825" i="1" s="1"/>
  <c r="K1826" i="1" s="1"/>
  <c r="K1827" i="1" s="1"/>
  <c r="K1814" i="1"/>
  <c r="K1222" i="1"/>
  <c r="K1223" i="1" s="1"/>
  <c r="K1224" i="1" s="1"/>
  <c r="K1225" i="1" s="1"/>
  <c r="K1226" i="1" s="1"/>
  <c r="K1227" i="1" s="1"/>
  <c r="K1214" i="1"/>
  <c r="K262" i="1"/>
  <c r="K254" i="1"/>
  <c r="K1574" i="1"/>
  <c r="K1582" i="1"/>
  <c r="K1583" i="1" s="1"/>
  <c r="K1584" i="1" s="1"/>
  <c r="K1585" i="1" s="1"/>
  <c r="K1586" i="1" s="1"/>
  <c r="K1587" i="1" s="1"/>
  <c r="K614" i="1"/>
  <c r="K622" i="1"/>
  <c r="K974" i="1"/>
  <c r="K982" i="1"/>
  <c r="K983" i="1" s="1"/>
  <c r="K984" i="1" s="1"/>
  <c r="K985" i="1" s="1"/>
  <c r="K986" i="1" s="1"/>
  <c r="K987" i="1" s="1"/>
  <c r="K1934" i="1"/>
  <c r="K1942" i="1"/>
  <c r="K1943" i="1" s="1"/>
  <c r="K1944" i="1" s="1"/>
  <c r="K1945" i="1" s="1"/>
  <c r="K1946" i="1" s="1"/>
  <c r="K1947" i="1" s="1"/>
  <c r="K22" i="1"/>
  <c r="K14" i="1"/>
  <c r="K1342" i="1"/>
  <c r="K1343" i="1" s="1"/>
  <c r="K1344" i="1" s="1"/>
  <c r="K1345" i="1" s="1"/>
  <c r="K1346" i="1" s="1"/>
  <c r="K1347" i="1" s="1"/>
  <c r="K1334" i="1"/>
  <c r="K382" i="1"/>
  <c r="K374" i="1"/>
  <c r="K1702" i="1"/>
  <c r="K1703" i="1" s="1"/>
  <c r="K1704" i="1" s="1"/>
  <c r="K1705" i="1" s="1"/>
  <c r="K1706" i="1" s="1"/>
  <c r="K1707" i="1" s="1"/>
  <c r="K1694" i="1"/>
  <c r="K742" i="1"/>
  <c r="K734" i="1"/>
  <c r="K1094" i="1"/>
  <c r="K1102" i="1"/>
  <c r="K1103" i="1" s="1"/>
  <c r="K1104" i="1" s="1"/>
  <c r="K1105" i="1" s="1"/>
  <c r="K1106" i="1" s="1"/>
  <c r="K1107" i="1" s="1"/>
  <c r="K3269" i="1"/>
  <c r="K3272" i="1" s="1"/>
  <c r="K3278" i="1" s="1"/>
  <c r="K3172" i="1"/>
  <c r="K3175" i="1" s="1"/>
  <c r="K3181" i="1" s="1"/>
  <c r="K3075" i="1"/>
  <c r="K3078" i="1" s="1"/>
  <c r="K3084" i="1" s="1"/>
  <c r="K2892" i="1" l="1"/>
  <c r="K2888" i="1"/>
  <c r="K2889" i="1" s="1"/>
  <c r="K2790" i="1"/>
  <c r="K2786" i="1"/>
  <c r="K2787" i="1" s="1"/>
  <c r="K2544" i="1"/>
  <c r="K2545" i="1"/>
  <c r="K2647" i="1"/>
  <c r="K2646" i="1"/>
  <c r="K2442" i="1"/>
  <c r="K2443" i="1"/>
  <c r="K2688" i="1"/>
  <c r="K2684" i="1"/>
  <c r="K2685" i="1" s="1"/>
  <c r="K1588" i="1"/>
  <c r="K1589" i="1" s="1"/>
  <c r="K1592" i="1"/>
  <c r="K1593" i="1" s="1"/>
  <c r="K1594" i="1" s="1"/>
  <c r="K1596" i="1" s="1"/>
  <c r="K1597" i="1" s="1"/>
  <c r="K1598" i="1" s="1"/>
  <c r="K1600" i="1" s="1"/>
  <c r="K1605" i="1" s="1"/>
  <c r="K1611" i="1" s="1"/>
  <c r="K1613" i="1" s="1"/>
  <c r="K1614" i="1" s="1"/>
  <c r="K872" i="1"/>
  <c r="K873" i="1" s="1"/>
  <c r="K874" i="1" s="1"/>
  <c r="K876" i="1" s="1"/>
  <c r="K877" i="1" s="1"/>
  <c r="K878" i="1" s="1"/>
  <c r="K880" i="1" s="1"/>
  <c r="K885" i="1" s="1"/>
  <c r="K891" i="1" s="1"/>
  <c r="K893" i="1" s="1"/>
  <c r="K894" i="1" s="1"/>
  <c r="K868" i="1"/>
  <c r="K869" i="1" s="1"/>
  <c r="K1952" i="1"/>
  <c r="K1953" i="1" s="1"/>
  <c r="K1954" i="1" s="1"/>
  <c r="K1956" i="1" s="1"/>
  <c r="K1957" i="1" s="1"/>
  <c r="K1958" i="1" s="1"/>
  <c r="K1960" i="1" s="1"/>
  <c r="K1965" i="1" s="1"/>
  <c r="K1971" i="1" s="1"/>
  <c r="K1973" i="1" s="1"/>
  <c r="K1974" i="1" s="1"/>
  <c r="K1948" i="1"/>
  <c r="K1949" i="1" s="1"/>
  <c r="K1708" i="1"/>
  <c r="K1709" i="1" s="1"/>
  <c r="K1712" i="1"/>
  <c r="K1713" i="1" s="1"/>
  <c r="K1714" i="1" s="1"/>
  <c r="K1716" i="1" s="1"/>
  <c r="K1717" i="1" s="1"/>
  <c r="K1718" i="1" s="1"/>
  <c r="K1720" i="1" s="1"/>
  <c r="K1725" i="1" s="1"/>
  <c r="K1731" i="1" s="1"/>
  <c r="K1733" i="1" s="1"/>
  <c r="K1734" i="1" s="1"/>
  <c r="K992" i="1"/>
  <c r="K993" i="1" s="1"/>
  <c r="K994" i="1" s="1"/>
  <c r="K996" i="1" s="1"/>
  <c r="K997" i="1" s="1"/>
  <c r="K998" i="1" s="1"/>
  <c r="K1000" i="1" s="1"/>
  <c r="K1005" i="1" s="1"/>
  <c r="K1011" i="1" s="1"/>
  <c r="K1013" i="1" s="1"/>
  <c r="K1014" i="1" s="1"/>
  <c r="K988" i="1"/>
  <c r="K989" i="1" s="1"/>
  <c r="K1468" i="1"/>
  <c r="K1469" i="1" s="1"/>
  <c r="K1472" i="1"/>
  <c r="K1473" i="1" s="1"/>
  <c r="K1474" i="1" s="1"/>
  <c r="K1476" i="1" s="1"/>
  <c r="K1477" i="1" s="1"/>
  <c r="K1478" i="1" s="1"/>
  <c r="K1480" i="1" s="1"/>
  <c r="K1485" i="1" s="1"/>
  <c r="K1491" i="1" s="1"/>
  <c r="K1493" i="1" s="1"/>
  <c r="K1494" i="1" s="1"/>
  <c r="K1232" i="1"/>
  <c r="K1233" i="1" s="1"/>
  <c r="K1234" i="1" s="1"/>
  <c r="K1236" i="1" s="1"/>
  <c r="K1237" i="1" s="1"/>
  <c r="K1238" i="1" s="1"/>
  <c r="K1240" i="1" s="1"/>
  <c r="K1245" i="1" s="1"/>
  <c r="K1251" i="1" s="1"/>
  <c r="K1253" i="1" s="1"/>
  <c r="K1254" i="1" s="1"/>
  <c r="K1228" i="1"/>
  <c r="K1229" i="1" s="1"/>
  <c r="K1112" i="1"/>
  <c r="K1113" i="1" s="1"/>
  <c r="K1114" i="1" s="1"/>
  <c r="K1116" i="1" s="1"/>
  <c r="K1117" i="1" s="1"/>
  <c r="K1118" i="1" s="1"/>
  <c r="K1120" i="1" s="1"/>
  <c r="K1125" i="1" s="1"/>
  <c r="K1131" i="1" s="1"/>
  <c r="K1133" i="1" s="1"/>
  <c r="K1134" i="1" s="1"/>
  <c r="K1108" i="1"/>
  <c r="K1109" i="1" s="1"/>
  <c r="K1352" i="1"/>
  <c r="K1353" i="1" s="1"/>
  <c r="K1354" i="1" s="1"/>
  <c r="K1356" i="1" s="1"/>
  <c r="K1357" i="1" s="1"/>
  <c r="K1358" i="1" s="1"/>
  <c r="K1360" i="1" s="1"/>
  <c r="K1365" i="1" s="1"/>
  <c r="K1371" i="1" s="1"/>
  <c r="K1373" i="1" s="1"/>
  <c r="K1374" i="1" s="1"/>
  <c r="K1348" i="1"/>
  <c r="K1349" i="1" s="1"/>
  <c r="K1828" i="1"/>
  <c r="K1829" i="1" s="1"/>
  <c r="K1832" i="1"/>
  <c r="K1833" i="1" s="1"/>
  <c r="K1834" i="1" s="1"/>
  <c r="K1836" i="1" s="1"/>
  <c r="K1837" i="1" s="1"/>
  <c r="K1838" i="1" s="1"/>
  <c r="K1840" i="1" s="1"/>
  <c r="K1845" i="1" s="1"/>
  <c r="K1851" i="1" s="1"/>
  <c r="K1853" i="1" s="1"/>
  <c r="K1854" i="1" s="1"/>
  <c r="O3371" i="1"/>
  <c r="K2649" i="1" l="1"/>
  <c r="K2650" i="1"/>
  <c r="K2548" i="1"/>
  <c r="K2547" i="1"/>
  <c r="K2690" i="1"/>
  <c r="K2692" i="1" s="1"/>
  <c r="K2689" i="1"/>
  <c r="K2791" i="1"/>
  <c r="K2792" i="1"/>
  <c r="K2794" i="1" s="1"/>
  <c r="K2445" i="1"/>
  <c r="K2446" i="1"/>
  <c r="K2893" i="1"/>
  <c r="K2894" i="1"/>
  <c r="K2896" i="1" s="1"/>
  <c r="K1738" i="1"/>
  <c r="K1740" i="1" s="1"/>
  <c r="K1741" i="1" s="1"/>
  <c r="K1742" i="1" s="1"/>
  <c r="K1743" i="1" s="1"/>
  <c r="K1744" i="1" s="1"/>
  <c r="K1745" i="1" s="1"/>
  <c r="K1746" i="1" s="1"/>
  <c r="K1747" i="1" s="1"/>
  <c r="K1748" i="1" s="1"/>
  <c r="K1735" i="1"/>
  <c r="K1736" i="1" s="1"/>
  <c r="K1737" i="1" s="1"/>
  <c r="K1135" i="1"/>
  <c r="K1136" i="1" s="1"/>
  <c r="K1137" i="1" s="1"/>
  <c r="K1138" i="1"/>
  <c r="K1140" i="1" s="1"/>
  <c r="K1141" i="1" s="1"/>
  <c r="K1142" i="1" s="1"/>
  <c r="K1143" i="1" s="1"/>
  <c r="K1144" i="1" s="1"/>
  <c r="K1145" i="1" s="1"/>
  <c r="K1146" i="1" s="1"/>
  <c r="K1147" i="1" s="1"/>
  <c r="K1148" i="1" s="1"/>
  <c r="K1255" i="1"/>
  <c r="K1256" i="1" s="1"/>
  <c r="K1257" i="1" s="1"/>
  <c r="K1258" i="1"/>
  <c r="K1260" i="1" s="1"/>
  <c r="K1261" i="1" s="1"/>
  <c r="K1262" i="1" s="1"/>
  <c r="K1263" i="1" s="1"/>
  <c r="K1264" i="1" s="1"/>
  <c r="K1265" i="1" s="1"/>
  <c r="K1266" i="1" s="1"/>
  <c r="K1267" i="1" s="1"/>
  <c r="K1268" i="1" s="1"/>
  <c r="K1975" i="1"/>
  <c r="K1976" i="1" s="1"/>
  <c r="K1977" i="1" s="1"/>
  <c r="K1978" i="1"/>
  <c r="K1980" i="1" s="1"/>
  <c r="K1981" i="1" s="1"/>
  <c r="K1982" i="1" s="1"/>
  <c r="K1983" i="1" s="1"/>
  <c r="K1984" i="1" s="1"/>
  <c r="K1985" i="1" s="1"/>
  <c r="K1986" i="1" s="1"/>
  <c r="K1987" i="1" s="1"/>
  <c r="K1988" i="1" s="1"/>
  <c r="K1858" i="1"/>
  <c r="K1860" i="1" s="1"/>
  <c r="K1861" i="1" s="1"/>
  <c r="K1862" i="1" s="1"/>
  <c r="K1863" i="1" s="1"/>
  <c r="K1864" i="1" s="1"/>
  <c r="K1865" i="1" s="1"/>
  <c r="K1866" i="1" s="1"/>
  <c r="K1867" i="1" s="1"/>
  <c r="K1868" i="1" s="1"/>
  <c r="K1855" i="1"/>
  <c r="K1856" i="1" s="1"/>
  <c r="K1857" i="1" s="1"/>
  <c r="K1498" i="1"/>
  <c r="K1500" i="1" s="1"/>
  <c r="K1501" i="1" s="1"/>
  <c r="K1502" i="1" s="1"/>
  <c r="K1503" i="1" s="1"/>
  <c r="K1504" i="1" s="1"/>
  <c r="K1505" i="1" s="1"/>
  <c r="K1506" i="1" s="1"/>
  <c r="K1507" i="1" s="1"/>
  <c r="K1508" i="1" s="1"/>
  <c r="K1495" i="1"/>
  <c r="K1496" i="1" s="1"/>
  <c r="K1497" i="1" s="1"/>
  <c r="K895" i="1"/>
  <c r="K896" i="1" s="1"/>
  <c r="K897" i="1" s="1"/>
  <c r="K898" i="1"/>
  <c r="K900" i="1" s="1"/>
  <c r="K901" i="1" s="1"/>
  <c r="K902" i="1" s="1"/>
  <c r="K903" i="1" s="1"/>
  <c r="K904" i="1" s="1"/>
  <c r="K905" i="1" s="1"/>
  <c r="K906" i="1" s="1"/>
  <c r="K907" i="1" s="1"/>
  <c r="K908" i="1" s="1"/>
  <c r="K1618" i="1"/>
  <c r="K1620" i="1" s="1"/>
  <c r="K1621" i="1" s="1"/>
  <c r="K1622" i="1" s="1"/>
  <c r="K1623" i="1" s="1"/>
  <c r="K1624" i="1" s="1"/>
  <c r="K1625" i="1" s="1"/>
  <c r="K1626" i="1" s="1"/>
  <c r="K1627" i="1" s="1"/>
  <c r="K1628" i="1" s="1"/>
  <c r="K1615" i="1"/>
  <c r="K1616" i="1" s="1"/>
  <c r="K1617" i="1" s="1"/>
  <c r="K1375" i="1"/>
  <c r="K1376" i="1" s="1"/>
  <c r="K1377" i="1" s="1"/>
  <c r="K1378" i="1"/>
  <c r="K1380" i="1" s="1"/>
  <c r="K1381" i="1" s="1"/>
  <c r="K1382" i="1" s="1"/>
  <c r="K1383" i="1" s="1"/>
  <c r="K1384" i="1" s="1"/>
  <c r="K1385" i="1" s="1"/>
  <c r="K1386" i="1" s="1"/>
  <c r="K1387" i="1" s="1"/>
  <c r="K1388" i="1" s="1"/>
  <c r="K1015" i="1"/>
  <c r="K1016" i="1" s="1"/>
  <c r="K1017" i="1" s="1"/>
  <c r="K1018" i="1"/>
  <c r="K1020" i="1" s="1"/>
  <c r="K1021" i="1" s="1"/>
  <c r="K1022" i="1" s="1"/>
  <c r="K1023" i="1" s="1"/>
  <c r="K1024" i="1" s="1"/>
  <c r="K1025" i="1" s="1"/>
  <c r="K1026" i="1" s="1"/>
  <c r="K1027" i="1" s="1"/>
  <c r="K1028" i="1" s="1"/>
  <c r="O3368" i="1"/>
  <c r="Q3368" i="1" s="1"/>
  <c r="K2796" i="1" l="1"/>
  <c r="K2795" i="1"/>
  <c r="K2693" i="1"/>
  <c r="K2694" i="1"/>
  <c r="K2898" i="1"/>
  <c r="K2897" i="1"/>
  <c r="K2549" i="1"/>
  <c r="K2550" i="1" s="1"/>
  <c r="K2551" i="1" s="1"/>
  <c r="K2552" i="1" s="1"/>
  <c r="K2553" i="1" s="1"/>
  <c r="K2554" i="1" s="1"/>
  <c r="K2555" i="1" s="1"/>
  <c r="K2556" i="1" s="1"/>
  <c r="K2557" i="1" s="1"/>
  <c r="K2558" i="1" s="1"/>
  <c r="K2560" i="1" s="1"/>
  <c r="K2562" i="1"/>
  <c r="K2563" i="1" s="1"/>
  <c r="K2564" i="1" s="1"/>
  <c r="K2460" i="1"/>
  <c r="K2461" i="1" s="1"/>
  <c r="K2462" i="1" s="1"/>
  <c r="K2447" i="1"/>
  <c r="K2448" i="1" s="1"/>
  <c r="K2449" i="1" s="1"/>
  <c r="K2450" i="1" s="1"/>
  <c r="K2451" i="1" s="1"/>
  <c r="K2452" i="1" s="1"/>
  <c r="K2453" i="1" s="1"/>
  <c r="K2454" i="1" s="1"/>
  <c r="K2455" i="1" s="1"/>
  <c r="K2456" i="1" s="1"/>
  <c r="K2458" i="1" s="1"/>
  <c r="K2664" i="1"/>
  <c r="K2665" i="1" s="1"/>
  <c r="K2666" i="1" s="1"/>
  <c r="K2651" i="1"/>
  <c r="K2652" i="1" s="1"/>
  <c r="K2653" i="1" s="1"/>
  <c r="K2654" i="1" s="1"/>
  <c r="K2655" i="1" s="1"/>
  <c r="K2656" i="1" s="1"/>
  <c r="K2657" i="1" s="1"/>
  <c r="K2658" i="1" s="1"/>
  <c r="K2659" i="1" s="1"/>
  <c r="K2660" i="1" s="1"/>
  <c r="K2662" i="1" s="1"/>
  <c r="K1989" i="1"/>
  <c r="K1990" i="1"/>
  <c r="K1991" i="1" s="1"/>
  <c r="K1992" i="1" s="1"/>
  <c r="K1993" i="1" s="1"/>
  <c r="K1994" i="1" s="1"/>
  <c r="K1995" i="1" s="1"/>
  <c r="K1630" i="1"/>
  <c r="K1631" i="1" s="1"/>
  <c r="K1632" i="1" s="1"/>
  <c r="K1633" i="1" s="1"/>
  <c r="K1634" i="1" s="1"/>
  <c r="K1635" i="1" s="1"/>
  <c r="K1629" i="1"/>
  <c r="K1270" i="1"/>
  <c r="K1271" i="1" s="1"/>
  <c r="K1272" i="1" s="1"/>
  <c r="K1273" i="1" s="1"/>
  <c r="K1274" i="1" s="1"/>
  <c r="K1275" i="1" s="1"/>
  <c r="K1269" i="1"/>
  <c r="K1029" i="1"/>
  <c r="K1030" i="1"/>
  <c r="K1031" i="1" s="1"/>
  <c r="K1032" i="1" s="1"/>
  <c r="K1033" i="1" s="1"/>
  <c r="K1034" i="1" s="1"/>
  <c r="K1035" i="1" s="1"/>
  <c r="K1150" i="1"/>
  <c r="K1151" i="1" s="1"/>
  <c r="K1152" i="1" s="1"/>
  <c r="K1153" i="1" s="1"/>
  <c r="K1154" i="1" s="1"/>
  <c r="K1155" i="1" s="1"/>
  <c r="K1149" i="1"/>
  <c r="K1510" i="1"/>
  <c r="K1511" i="1" s="1"/>
  <c r="K1512" i="1" s="1"/>
  <c r="K1513" i="1" s="1"/>
  <c r="K1514" i="1" s="1"/>
  <c r="K1515" i="1" s="1"/>
  <c r="K1509" i="1"/>
  <c r="K910" i="1"/>
  <c r="K911" i="1" s="1"/>
  <c r="K912" i="1" s="1"/>
  <c r="K913" i="1" s="1"/>
  <c r="K914" i="1" s="1"/>
  <c r="K915" i="1" s="1"/>
  <c r="K909" i="1"/>
  <c r="K1389" i="1"/>
  <c r="K1390" i="1"/>
  <c r="K1391" i="1" s="1"/>
  <c r="K1392" i="1" s="1"/>
  <c r="K1393" i="1" s="1"/>
  <c r="K1394" i="1" s="1"/>
  <c r="K1395" i="1" s="1"/>
  <c r="K1870" i="1"/>
  <c r="K1871" i="1" s="1"/>
  <c r="K1872" i="1" s="1"/>
  <c r="K1873" i="1" s="1"/>
  <c r="K1874" i="1" s="1"/>
  <c r="K1875" i="1" s="1"/>
  <c r="K1869" i="1"/>
  <c r="K1749" i="1"/>
  <c r="K1750" i="1"/>
  <c r="K1751" i="1" s="1"/>
  <c r="K1752" i="1" s="1"/>
  <c r="K1753" i="1" s="1"/>
  <c r="K1754" i="1" s="1"/>
  <c r="K1755" i="1" s="1"/>
  <c r="O3362" i="1"/>
  <c r="Q3177" i="1"/>
  <c r="Q3274" i="1"/>
  <c r="Q3080" i="1"/>
  <c r="Q3362" i="1" l="1"/>
  <c r="K2900" i="1"/>
  <c r="K2905" i="1"/>
  <c r="K2906" i="1" s="1"/>
  <c r="K2701" i="1"/>
  <c r="K2702" i="1" s="1"/>
  <c r="K2696" i="1"/>
  <c r="K2798" i="1"/>
  <c r="K2803" i="1"/>
  <c r="K2804" i="1" s="1"/>
  <c r="Q3081" i="1"/>
  <c r="Q3178" i="1"/>
  <c r="Q3275" i="1"/>
  <c r="K2704" i="1" l="1"/>
  <c r="K2703" i="1"/>
  <c r="K2705" i="1" s="1"/>
  <c r="K2708" i="1" s="1"/>
  <c r="K2712" i="1" s="1"/>
  <c r="K2713" i="1" s="1"/>
  <c r="K2907" i="1"/>
  <c r="K2909" i="1" s="1"/>
  <c r="K2912" i="1" s="1"/>
  <c r="K2916" i="1" s="1"/>
  <c r="K2917" i="1" s="1"/>
  <c r="K2908" i="1"/>
  <c r="K2806" i="1"/>
  <c r="K2805" i="1"/>
  <c r="K2807" i="1" s="1"/>
  <c r="K2810" i="1" s="1"/>
  <c r="K2814" i="1" s="1"/>
  <c r="K2815" i="1" s="1"/>
  <c r="K3182" i="1"/>
  <c r="K3279" i="1"/>
  <c r="K3085" i="1"/>
  <c r="K2918" i="1" l="1"/>
  <c r="K2919" i="1" s="1"/>
  <c r="K2920" i="1" s="1"/>
  <c r="K2921" i="1"/>
  <c r="K2923" i="1"/>
  <c r="K2924" i="1" s="1"/>
  <c r="K2717" i="1"/>
  <c r="K2719" i="1"/>
  <c r="K2720" i="1" s="1"/>
  <c r="K2714" i="1"/>
  <c r="K2715" i="1" s="1"/>
  <c r="K2716" i="1" s="1"/>
  <c r="K2821" i="1"/>
  <c r="K2822" i="1" s="1"/>
  <c r="K2819" i="1"/>
  <c r="K2816" i="1"/>
  <c r="K2817" i="1" s="1"/>
  <c r="K2818" i="1" s="1"/>
  <c r="K3280" i="1"/>
  <c r="K3086" i="1"/>
  <c r="K3183" i="1"/>
  <c r="K2825" i="1" l="1"/>
  <c r="K2826" i="1" s="1"/>
  <c r="K2827" i="1" s="1"/>
  <c r="K2823" i="1"/>
  <c r="K2824" i="1" s="1"/>
  <c r="K2925" i="1"/>
  <c r="K2926" i="1" s="1"/>
  <c r="K2927" i="1"/>
  <c r="K2928" i="1" s="1"/>
  <c r="K2929" i="1" s="1"/>
  <c r="K2723" i="1"/>
  <c r="K2724" i="1" s="1"/>
  <c r="K2725" i="1" s="1"/>
  <c r="K2721" i="1"/>
  <c r="K2722" i="1" s="1"/>
  <c r="K3087" i="1"/>
  <c r="K3088" i="1" s="1"/>
  <c r="K3093" i="1" s="1"/>
  <c r="K3097" i="1" s="1"/>
  <c r="K3184" i="1"/>
  <c r="K3185" i="1" s="1"/>
  <c r="K3281" i="1"/>
  <c r="K3282" i="1" s="1"/>
  <c r="K2930" i="1" l="1"/>
  <c r="K2931" i="1"/>
  <c r="K2932" i="1" s="1"/>
  <c r="K2933" i="1" s="1"/>
  <c r="K2934" i="1" s="1"/>
  <c r="K2726" i="1"/>
  <c r="K2727" i="1"/>
  <c r="K2728" i="1" s="1"/>
  <c r="K2729" i="1" s="1"/>
  <c r="K2730" i="1" s="1"/>
  <c r="K2829" i="1"/>
  <c r="K2830" i="1" s="1"/>
  <c r="K2831" i="1" s="1"/>
  <c r="K2832" i="1" s="1"/>
  <c r="K2828" i="1"/>
  <c r="K3288" i="1"/>
  <c r="K3293" i="1" s="1"/>
  <c r="K3287" i="1"/>
  <c r="K3291" i="1" s="1"/>
  <c r="K3300" i="1" s="1"/>
  <c r="K3191" i="1"/>
  <c r="K3190" i="1"/>
  <c r="K3095" i="1"/>
  <c r="K3094" i="1"/>
  <c r="K3186" i="1"/>
  <c r="K3283" i="1"/>
  <c r="K3089" i="1"/>
  <c r="K2732" i="1" l="1"/>
  <c r="K2733" i="1" s="1"/>
  <c r="K2735" i="1" s="1"/>
  <c r="K2731" i="1"/>
  <c r="K2833" i="1"/>
  <c r="K2834" i="1"/>
  <c r="K2835" i="1" s="1"/>
  <c r="K2837" i="1" s="1"/>
  <c r="K2935" i="1"/>
  <c r="K2936" i="1"/>
  <c r="K2937" i="1" s="1"/>
  <c r="K2939" i="1" s="1"/>
  <c r="K3192" i="1"/>
  <c r="K3203" i="1"/>
  <c r="K3195" i="1"/>
  <c r="K3194" i="1"/>
  <c r="K3311" i="1"/>
  <c r="K3306" i="1"/>
  <c r="K3289" i="1"/>
  <c r="K3292" i="1"/>
  <c r="K3284" i="1"/>
  <c r="K3090" i="1"/>
  <c r="K3187" i="1"/>
  <c r="K2838" i="1" l="1"/>
  <c r="K2841" i="1" s="1"/>
  <c r="K2840" i="1"/>
  <c r="K2842" i="1" s="1"/>
  <c r="K2843" i="1" s="1"/>
  <c r="K2844" i="1" s="1"/>
  <c r="K2845" i="1" s="1"/>
  <c r="K2846" i="1" s="1"/>
  <c r="K2847" i="1" s="1"/>
  <c r="K2940" i="1"/>
  <c r="K2943" i="1" s="1"/>
  <c r="K2942" i="1"/>
  <c r="K2944" i="1" s="1"/>
  <c r="K2945" i="1" s="1"/>
  <c r="K2946" i="1" s="1"/>
  <c r="K2947" i="1" s="1"/>
  <c r="K2948" i="1" s="1"/>
  <c r="K2949" i="1" s="1"/>
  <c r="K2738" i="1"/>
  <c r="K2740" i="1" s="1"/>
  <c r="K2741" i="1" s="1"/>
  <c r="K2742" i="1" s="1"/>
  <c r="K2743" i="1" s="1"/>
  <c r="K2744" i="1" s="1"/>
  <c r="K2745" i="1" s="1"/>
  <c r="K2736" i="1"/>
  <c r="K2739" i="1" s="1"/>
  <c r="K3314" i="1"/>
  <c r="K3313" i="1"/>
  <c r="K3217" i="1"/>
  <c r="K3216" i="1"/>
  <c r="K3214" i="1"/>
  <c r="K3196" i="1"/>
  <c r="K2951" i="1" l="1"/>
  <c r="K2950" i="1"/>
  <c r="K2849" i="1"/>
  <c r="K2848" i="1"/>
  <c r="K2747" i="1"/>
  <c r="K2746" i="1"/>
  <c r="K3099" i="1"/>
  <c r="K3098" i="1"/>
  <c r="K3295" i="1"/>
  <c r="K3101" i="1"/>
  <c r="K3106" i="1" s="1"/>
  <c r="K3117" i="1" s="1"/>
  <c r="K3198" i="1"/>
  <c r="K2850" i="1" l="1"/>
  <c r="K2851" i="1"/>
  <c r="K2749" i="1"/>
  <c r="K2748" i="1"/>
  <c r="K2952" i="1"/>
  <c r="K2953" i="1"/>
  <c r="K3120" i="1"/>
  <c r="K3119" i="1"/>
  <c r="Q3103" i="1"/>
  <c r="Q3200" i="1"/>
  <c r="Q3297" i="1"/>
  <c r="K2752" i="1" l="1"/>
  <c r="K2751" i="1"/>
  <c r="K2956" i="1"/>
  <c r="K2955" i="1"/>
  <c r="K2854" i="1"/>
  <c r="K2853" i="1"/>
  <c r="Q3201" i="1"/>
  <c r="Q3298" i="1"/>
  <c r="Q3104" i="1"/>
  <c r="K2855" i="1" l="1"/>
  <c r="K2856" i="1" s="1"/>
  <c r="K2857" i="1" s="1"/>
  <c r="K2858" i="1" s="1"/>
  <c r="K2859" i="1" s="1"/>
  <c r="K2860" i="1" s="1"/>
  <c r="K2861" i="1" s="1"/>
  <c r="K2862" i="1" s="1"/>
  <c r="K2863" i="1" s="1"/>
  <c r="K2864" i="1" s="1"/>
  <c r="K2866" i="1" s="1"/>
  <c r="K2868" i="1"/>
  <c r="K2869" i="1" s="1"/>
  <c r="K2870" i="1" s="1"/>
  <c r="K2970" i="1"/>
  <c r="K2971" i="1" s="1"/>
  <c r="K2972" i="1" s="1"/>
  <c r="K2957" i="1"/>
  <c r="K2958" i="1" s="1"/>
  <c r="K2959" i="1" s="1"/>
  <c r="K2960" i="1" s="1"/>
  <c r="K2961" i="1" s="1"/>
  <c r="K2962" i="1" s="1"/>
  <c r="K2963" i="1" s="1"/>
  <c r="K2964" i="1" s="1"/>
  <c r="K2965" i="1" s="1"/>
  <c r="K2966" i="1" s="1"/>
  <c r="K2968" i="1" s="1"/>
  <c r="K2753" i="1"/>
  <c r="K2754" i="1" s="1"/>
  <c r="K2755" i="1" s="1"/>
  <c r="K2756" i="1" s="1"/>
  <c r="K2757" i="1" s="1"/>
  <c r="K2758" i="1" s="1"/>
  <c r="K2759" i="1" s="1"/>
  <c r="K2760" i="1" s="1"/>
  <c r="K2761" i="1" s="1"/>
  <c r="K2762" i="1" s="1"/>
  <c r="K2764" i="1" s="1"/>
  <c r="K2766" i="1"/>
  <c r="K2767" i="1" s="1"/>
  <c r="K2768" i="1" s="1"/>
  <c r="K3301" i="1"/>
  <c r="K3303" i="1" s="1"/>
  <c r="K3107" i="1"/>
  <c r="K3109" i="1" s="1"/>
  <c r="K3204" i="1"/>
  <c r="K3206" i="1" s="1"/>
  <c r="Q3306" i="1"/>
  <c r="Q3113" i="1" l="1"/>
  <c r="Q3210" i="1"/>
  <c r="K3108" i="1"/>
  <c r="Q3307" i="1"/>
  <c r="K3205" i="1"/>
  <c r="K3302" i="1"/>
  <c r="K3207" i="1" l="1"/>
  <c r="K3209" i="1" s="1"/>
  <c r="Q3209" i="1" s="1"/>
  <c r="K3110" i="1"/>
  <c r="K3112" i="1" s="1"/>
  <c r="Q3112" i="1" s="1"/>
  <c r="K3304" i="1"/>
  <c r="Q3308" i="1"/>
  <c r="Q3211" i="1"/>
  <c r="Q3114" i="1"/>
  <c r="Q3115" i="1" l="1"/>
  <c r="Q3309" i="1"/>
  <c r="Q3212" i="1"/>
  <c r="K3121" i="1" l="1"/>
  <c r="K3315" i="1"/>
  <c r="K3218" i="1"/>
  <c r="K3312" i="1" l="1"/>
  <c r="K3316" i="1" s="1"/>
  <c r="K3318" i="1" s="1"/>
  <c r="K3215" i="1"/>
  <c r="K3219" i="1" s="1"/>
  <c r="K3221" i="1" s="1"/>
  <c r="K3118" i="1"/>
  <c r="K3122" i="1" s="1"/>
  <c r="K3124" i="1" s="1"/>
  <c r="K3319" i="1" l="1"/>
  <c r="K3222" i="1"/>
  <c r="K3125" i="1"/>
  <c r="K2978" i="1"/>
  <c r="K2981" i="1" s="1"/>
  <c r="K2987" i="1" s="1"/>
  <c r="Q2876" i="1"/>
  <c r="Q2774" i="1"/>
  <c r="Q2672" i="1"/>
  <c r="K3126" i="1" l="1"/>
  <c r="K3127" i="1" s="1"/>
  <c r="K3223" i="1"/>
  <c r="K3224" i="1" s="1"/>
  <c r="K3320" i="1"/>
  <c r="K3321" i="1" s="1"/>
  <c r="K2054" i="1"/>
  <c r="K2057" i="1" s="1"/>
  <c r="K2063" i="1" s="1"/>
  <c r="Q2675" i="1" l="1"/>
  <c r="K3322" i="1"/>
  <c r="K3225" i="1"/>
  <c r="K3128" i="1"/>
  <c r="Q2777" i="1"/>
  <c r="Q2879" i="1"/>
  <c r="L1948" i="1"/>
  <c r="L1828" i="1"/>
  <c r="L1708" i="1"/>
  <c r="L1588" i="1"/>
  <c r="L1468" i="1"/>
  <c r="L1348" i="1"/>
  <c r="L1228" i="1"/>
  <c r="L1108" i="1"/>
  <c r="L988" i="1"/>
  <c r="L868" i="1"/>
  <c r="L748" i="1"/>
  <c r="L628" i="1"/>
  <c r="L508" i="1"/>
  <c r="L388" i="1"/>
  <c r="L268" i="1"/>
  <c r="L148" i="1"/>
  <c r="Q2880" i="1" l="1"/>
  <c r="Q2676" i="1"/>
  <c r="Q2778" i="1"/>
  <c r="K3226" i="1"/>
  <c r="K3129" i="1"/>
  <c r="Q2983" i="1"/>
  <c r="K3323" i="1"/>
  <c r="Q2059" i="1"/>
  <c r="L509" i="1"/>
  <c r="L869" i="1"/>
  <c r="L1829" i="1"/>
  <c r="L1949" i="1"/>
  <c r="L749" i="1"/>
  <c r="L1709" i="1"/>
  <c r="L1229" i="1"/>
  <c r="L1469" i="1"/>
  <c r="L1589" i="1"/>
  <c r="L989" i="1"/>
  <c r="L1109" i="1"/>
  <c r="L629" i="1"/>
  <c r="L1349" i="1"/>
  <c r="L149" i="1"/>
  <c r="L269" i="1"/>
  <c r="L389" i="1"/>
  <c r="L28" i="1"/>
  <c r="Q2060" i="1" l="1"/>
  <c r="K3131" i="1"/>
  <c r="K3325" i="1"/>
  <c r="Q2984" i="1"/>
  <c r="K3228" i="1"/>
  <c r="L29" i="1"/>
  <c r="Q2902" i="1" l="1"/>
  <c r="Q2800" i="1"/>
  <c r="K2064" i="1"/>
  <c r="K2065" i="1" s="1"/>
  <c r="K2066" i="1" s="1"/>
  <c r="K2067" i="1" s="1"/>
  <c r="K3230" i="1"/>
  <c r="K3229" i="1"/>
  <c r="K3232" i="1"/>
  <c r="K3329" i="1"/>
  <c r="K3327" i="1"/>
  <c r="K3326" i="1"/>
  <c r="K3132" i="1"/>
  <c r="K3133" i="1"/>
  <c r="K3135" i="1"/>
  <c r="K2068" i="1" l="1"/>
  <c r="K2069" i="1" s="1"/>
  <c r="K2072" i="1"/>
  <c r="Q2903" i="1"/>
  <c r="Q2801" i="1"/>
  <c r="Q2698" i="1"/>
  <c r="K3234" i="1"/>
  <c r="K3236" i="1" s="1"/>
  <c r="K3330" i="1"/>
  <c r="K3332" i="1" s="1"/>
  <c r="K3137" i="1"/>
  <c r="K3139" i="1" s="1"/>
  <c r="K3331" i="1"/>
  <c r="K3333" i="1" s="1"/>
  <c r="K3233" i="1"/>
  <c r="K3235" i="1" s="1"/>
  <c r="K3136" i="1"/>
  <c r="K3138" i="1" s="1"/>
  <c r="K263" i="1"/>
  <c r="K264" i="1" s="1"/>
  <c r="K265" i="1" s="1"/>
  <c r="K266" i="1" s="1"/>
  <c r="K267" i="1" s="1"/>
  <c r="K272" i="1" s="1"/>
  <c r="K273" i="1" s="1"/>
  <c r="K274" i="1" s="1"/>
  <c r="K276" i="1" s="1"/>
  <c r="K623" i="1"/>
  <c r="K624" i="1" s="1"/>
  <c r="K625" i="1" s="1"/>
  <c r="K626" i="1" s="1"/>
  <c r="K627" i="1" s="1"/>
  <c r="K632" i="1" s="1"/>
  <c r="K633" i="1" s="1"/>
  <c r="K634" i="1" s="1"/>
  <c r="K636" i="1" s="1"/>
  <c r="K2074" i="1" l="1"/>
  <c r="K2076" i="1" s="1"/>
  <c r="K2077" i="1" s="1"/>
  <c r="K2073" i="1"/>
  <c r="Q2699" i="1"/>
  <c r="K3140" i="1"/>
  <c r="K3334" i="1"/>
  <c r="K3237" i="1"/>
  <c r="K277" i="1"/>
  <c r="K278" i="1" s="1"/>
  <c r="K280" i="1" s="1"/>
  <c r="K285" i="1" s="1"/>
  <c r="K291" i="1" s="1"/>
  <c r="K268" i="1"/>
  <c r="K269" i="1" s="1"/>
  <c r="K743" i="1"/>
  <c r="K744" i="1" s="1"/>
  <c r="K745" i="1" s="1"/>
  <c r="K746" i="1" s="1"/>
  <c r="K747" i="1" s="1"/>
  <c r="K752" i="1" s="1"/>
  <c r="K753" i="1" s="1"/>
  <c r="K754" i="1" s="1"/>
  <c r="K756" i="1" s="1"/>
  <c r="K628" i="1"/>
  <c r="K629" i="1" s="1"/>
  <c r="K637" i="1"/>
  <c r="K638" i="1" s="1"/>
  <c r="K640" i="1" s="1"/>
  <c r="K645" i="1" s="1"/>
  <c r="K651" i="1" s="1"/>
  <c r="K383" i="1"/>
  <c r="K384" i="1" s="1"/>
  <c r="K385" i="1" s="1"/>
  <c r="K386" i="1" s="1"/>
  <c r="K387" i="1" s="1"/>
  <c r="K392" i="1" s="1"/>
  <c r="K393" i="1" s="1"/>
  <c r="K394" i="1" s="1"/>
  <c r="K396" i="1" s="1"/>
  <c r="K143" i="1"/>
  <c r="K144" i="1" s="1"/>
  <c r="K145" i="1" s="1"/>
  <c r="K146" i="1" s="1"/>
  <c r="K147" i="1" s="1"/>
  <c r="K152" i="1" s="1"/>
  <c r="K153" i="1" s="1"/>
  <c r="K154" i="1" s="1"/>
  <c r="K156" i="1" s="1"/>
  <c r="K2078" i="1" l="1"/>
  <c r="K2080" i="1" s="1"/>
  <c r="Q2083" i="1"/>
  <c r="K3238" i="1"/>
  <c r="K3335" i="1"/>
  <c r="K2988" i="1"/>
  <c r="K3141" i="1"/>
  <c r="K157" i="1"/>
  <c r="K158" i="1" s="1"/>
  <c r="K160" i="1" s="1"/>
  <c r="K165" i="1" s="1"/>
  <c r="K171" i="1" s="1"/>
  <c r="K148" i="1"/>
  <c r="K149" i="1" s="1"/>
  <c r="K503" i="1"/>
  <c r="K504" i="1" s="1"/>
  <c r="K505" i="1" s="1"/>
  <c r="K506" i="1" s="1"/>
  <c r="K397" i="1"/>
  <c r="K398" i="1" s="1"/>
  <c r="K400" i="1" s="1"/>
  <c r="K405" i="1" s="1"/>
  <c r="K411" i="1" s="1"/>
  <c r="K388" i="1"/>
  <c r="K389" i="1" s="1"/>
  <c r="K748" i="1"/>
  <c r="K749" i="1" s="1"/>
  <c r="K757" i="1"/>
  <c r="K758" i="1" s="1"/>
  <c r="K760" i="1" s="1"/>
  <c r="K765" i="1" s="1"/>
  <c r="K771" i="1" s="1"/>
  <c r="Q2082" i="1" l="1"/>
  <c r="K2085" i="1"/>
  <c r="K2086" i="1" s="1"/>
  <c r="K2087" i="1" s="1"/>
  <c r="K2089" i="1" s="1"/>
  <c r="K2092" i="1" s="1"/>
  <c r="K2096" i="1" s="1"/>
  <c r="K3151" i="1"/>
  <c r="K3142" i="1"/>
  <c r="K3345" i="1"/>
  <c r="K3336" i="1"/>
  <c r="K2989" i="1"/>
  <c r="K3239" i="1"/>
  <c r="K3248" i="1"/>
  <c r="K507" i="1"/>
  <c r="K512" i="1" s="1"/>
  <c r="K513" i="1" s="1"/>
  <c r="K514" i="1" s="1"/>
  <c r="K516" i="1" s="1"/>
  <c r="K2088" i="1" l="1"/>
  <c r="Q2913" i="1"/>
  <c r="Q2811" i="1"/>
  <c r="K3250" i="1"/>
  <c r="K3254" i="1" s="1"/>
  <c r="K3255" i="1" s="1"/>
  <c r="K3256" i="1" s="1"/>
  <c r="K3257" i="1" s="1"/>
  <c r="K2990" i="1"/>
  <c r="K2991" i="1" s="1"/>
  <c r="K3143" i="1"/>
  <c r="K3240" i="1"/>
  <c r="K3337" i="1"/>
  <c r="K3153" i="1"/>
  <c r="K3157" i="1" s="1"/>
  <c r="K3158" i="1" s="1"/>
  <c r="K3159" i="1" s="1"/>
  <c r="K3160" i="1" s="1"/>
  <c r="K3347" i="1"/>
  <c r="K3351" i="1" s="1"/>
  <c r="K3352" i="1" s="1"/>
  <c r="K3353" i="1" s="1"/>
  <c r="K3354" i="1" s="1"/>
  <c r="K508" i="1"/>
  <c r="K2997" i="1" l="1"/>
  <c r="K2996" i="1"/>
  <c r="K2998" i="1" s="1"/>
  <c r="K3000" i="1" s="1"/>
  <c r="Q2914" i="1"/>
  <c r="Q2812" i="1"/>
  <c r="Q2093" i="1"/>
  <c r="Q2709" i="1"/>
  <c r="K3155" i="1"/>
  <c r="K3161" i="1" s="1"/>
  <c r="K3241" i="1"/>
  <c r="K2992" i="1"/>
  <c r="K3349" i="1"/>
  <c r="K3338" i="1"/>
  <c r="K3144" i="1"/>
  <c r="K3252" i="1"/>
  <c r="K517" i="1"/>
  <c r="K509" i="1"/>
  <c r="K3357" i="1" l="1"/>
  <c r="K3355" i="1"/>
  <c r="K3002" i="1"/>
  <c r="K3001" i="1"/>
  <c r="Q2094" i="1"/>
  <c r="Q2710" i="1"/>
  <c r="K3145" i="1"/>
  <c r="K3242" i="1"/>
  <c r="K3260" i="1"/>
  <c r="K3258" i="1"/>
  <c r="K3339" i="1"/>
  <c r="K2993" i="1"/>
  <c r="K3163" i="1"/>
  <c r="K518" i="1"/>
  <c r="K3165" i="1" l="1"/>
  <c r="K3359" i="1"/>
  <c r="K3360" i="1" s="1"/>
  <c r="K3340" i="1"/>
  <c r="K3243" i="1"/>
  <c r="K3262" i="1"/>
  <c r="K3146" i="1"/>
  <c r="K520" i="1"/>
  <c r="K525" i="1" s="1"/>
  <c r="K531" i="1" s="1"/>
  <c r="K3263" i="1" l="1"/>
  <c r="K3244" i="1"/>
  <c r="K3245" i="1"/>
  <c r="K3147" i="1"/>
  <c r="K3148" i="1"/>
  <c r="K3341" i="1"/>
  <c r="K3342" i="1"/>
  <c r="K3166" i="1"/>
  <c r="K2097" i="1" l="1"/>
  <c r="K2098" i="1" s="1"/>
  <c r="K2099" i="1" s="1"/>
  <c r="K2100" i="1" s="1"/>
  <c r="K3004" i="1"/>
  <c r="K3246" i="1"/>
  <c r="K3247" i="1" s="1"/>
  <c r="K3343" i="1"/>
  <c r="K3344" i="1" s="1"/>
  <c r="K3149" i="1"/>
  <c r="K3150" i="1" s="1"/>
  <c r="K293" i="1"/>
  <c r="K653" i="1"/>
  <c r="Q3006" i="1" l="1"/>
  <c r="K3009" i="1"/>
  <c r="K2101" i="1"/>
  <c r="K2103" i="1"/>
  <c r="K654" i="1"/>
  <c r="K657" i="1"/>
  <c r="K294" i="1"/>
  <c r="K297" i="1"/>
  <c r="K173" i="1"/>
  <c r="K773" i="1"/>
  <c r="K413" i="1"/>
  <c r="K2104" i="1" l="1"/>
  <c r="K658" i="1"/>
  <c r="K660" i="1" s="1"/>
  <c r="K661" i="1" s="1"/>
  <c r="K662" i="1" s="1"/>
  <c r="K655" i="1"/>
  <c r="K656" i="1" s="1"/>
  <c r="K1877" i="1"/>
  <c r="K1879" i="1" s="1"/>
  <c r="K1880" i="1" s="1"/>
  <c r="K1882" i="1" s="1"/>
  <c r="K1883" i="1" s="1"/>
  <c r="K1884" i="1" s="1"/>
  <c r="K1885" i="1" s="1"/>
  <c r="K1886" i="1" s="1"/>
  <c r="K1887" i="1" s="1"/>
  <c r="K1888" i="1" s="1"/>
  <c r="K1889" i="1" s="1"/>
  <c r="K1891" i="1" s="1"/>
  <c r="K1397" i="1"/>
  <c r="K1399" i="1" s="1"/>
  <c r="K1400" i="1" s="1"/>
  <c r="K1401" i="1" s="1"/>
  <c r="K298" i="1"/>
  <c r="K300" i="1" s="1"/>
  <c r="K301" i="1" s="1"/>
  <c r="K302" i="1" s="1"/>
  <c r="K295" i="1"/>
  <c r="K296" i="1" s="1"/>
  <c r="K1037" i="1"/>
  <c r="K1039" i="1" s="1"/>
  <c r="K1040" i="1" s="1"/>
  <c r="K1042" i="1" s="1"/>
  <c r="K1043" i="1" s="1"/>
  <c r="K1044" i="1" s="1"/>
  <c r="K1045" i="1" s="1"/>
  <c r="K1046" i="1" s="1"/>
  <c r="K1047" i="1" s="1"/>
  <c r="K1048" i="1" s="1"/>
  <c r="K1049" i="1" s="1"/>
  <c r="K1051" i="1" s="1"/>
  <c r="K774" i="1"/>
  <c r="K414" i="1"/>
  <c r="K174" i="1"/>
  <c r="Q3007" i="1"/>
  <c r="K2107" i="1" l="1"/>
  <c r="K2108" i="1" s="1"/>
  <c r="K2109" i="1" s="1"/>
  <c r="K2111" i="1" s="1"/>
  <c r="K2112" i="1" s="1"/>
  <c r="K2113" i="1" s="1"/>
  <c r="K2114" i="1" s="1"/>
  <c r="K2105" i="1"/>
  <c r="K2106" i="1" s="1"/>
  <c r="K303" i="1"/>
  <c r="K304" i="1" s="1"/>
  <c r="K305" i="1" s="1"/>
  <c r="K306" i="1" s="1"/>
  <c r="K307" i="1" s="1"/>
  <c r="K308" i="1" s="1"/>
  <c r="K664" i="1"/>
  <c r="K665" i="1" s="1"/>
  <c r="K666" i="1" s="1"/>
  <c r="K667" i="1" s="1"/>
  <c r="K668" i="1" s="1"/>
  <c r="K663" i="1"/>
  <c r="K1277" i="1"/>
  <c r="K1279" i="1" s="1"/>
  <c r="K1280" i="1" s="1"/>
  <c r="K1281" i="1" s="1"/>
  <c r="K1402" i="1"/>
  <c r="K1403" i="1" s="1"/>
  <c r="K1404" i="1" s="1"/>
  <c r="K1405" i="1" s="1"/>
  <c r="K1406" i="1" s="1"/>
  <c r="K1407" i="1" s="1"/>
  <c r="K1408" i="1" s="1"/>
  <c r="K1409" i="1" s="1"/>
  <c r="K1411" i="1" s="1"/>
  <c r="K1881" i="1"/>
  <c r="K1517" i="1"/>
  <c r="K1519" i="1" s="1"/>
  <c r="K1520" i="1" s="1"/>
  <c r="K1522" i="1" s="1"/>
  <c r="K1523" i="1" s="1"/>
  <c r="K1524" i="1" s="1"/>
  <c r="K1525" i="1" s="1"/>
  <c r="K1526" i="1" s="1"/>
  <c r="K1527" i="1" s="1"/>
  <c r="K1528" i="1" s="1"/>
  <c r="K1529" i="1" s="1"/>
  <c r="K1531" i="1" s="1"/>
  <c r="K1997" i="1"/>
  <c r="K1999" i="1" s="1"/>
  <c r="K2000" i="1" s="1"/>
  <c r="K178" i="1"/>
  <c r="K180" i="1" s="1"/>
  <c r="K181" i="1" s="1"/>
  <c r="K182" i="1" s="1"/>
  <c r="K175" i="1"/>
  <c r="K176" i="1" s="1"/>
  <c r="K177" i="1" s="1"/>
  <c r="K418" i="1"/>
  <c r="K420" i="1" s="1"/>
  <c r="K421" i="1" s="1"/>
  <c r="K422" i="1" s="1"/>
  <c r="K415" i="1"/>
  <c r="K416" i="1" s="1"/>
  <c r="K417" i="1" s="1"/>
  <c r="K778" i="1"/>
  <c r="K780" i="1" s="1"/>
  <c r="K781" i="1" s="1"/>
  <c r="K782" i="1" s="1"/>
  <c r="K775" i="1"/>
  <c r="K776" i="1" s="1"/>
  <c r="K777" i="1" s="1"/>
  <c r="K1041" i="1"/>
  <c r="K1052" i="1"/>
  <c r="K1050" i="1"/>
  <c r="K1890" i="1"/>
  <c r="K1892" i="1"/>
  <c r="K2115" i="1" l="1"/>
  <c r="K2116" i="1"/>
  <c r="K2117" i="1" s="1"/>
  <c r="K2119" i="1" s="1"/>
  <c r="K2120" i="1" s="1"/>
  <c r="K2123" i="1" s="1"/>
  <c r="K2110" i="1"/>
  <c r="K669" i="1"/>
  <c r="K670" i="1"/>
  <c r="K671" i="1" s="1"/>
  <c r="K672" i="1" s="1"/>
  <c r="K673" i="1" s="1"/>
  <c r="K674" i="1" s="1"/>
  <c r="K675" i="1" s="1"/>
  <c r="K677" i="1" s="1"/>
  <c r="K679" i="1" s="1"/>
  <c r="K680" i="1" s="1"/>
  <c r="K310" i="1"/>
  <c r="K311" i="1" s="1"/>
  <c r="K312" i="1" s="1"/>
  <c r="K313" i="1" s="1"/>
  <c r="K314" i="1" s="1"/>
  <c r="K315" i="1" s="1"/>
  <c r="K317" i="1" s="1"/>
  <c r="K319" i="1" s="1"/>
  <c r="K320" i="1" s="1"/>
  <c r="K309" i="1"/>
  <c r="K423" i="1"/>
  <c r="K424" i="1" s="1"/>
  <c r="K425" i="1" s="1"/>
  <c r="K426" i="1" s="1"/>
  <c r="K427" i="1" s="1"/>
  <c r="K428" i="1" s="1"/>
  <c r="K783" i="1"/>
  <c r="K784" i="1" s="1"/>
  <c r="K785" i="1" s="1"/>
  <c r="K786" i="1" s="1"/>
  <c r="K787" i="1" s="1"/>
  <c r="K788" i="1" s="1"/>
  <c r="K183" i="1"/>
  <c r="K184" i="1" s="1"/>
  <c r="K185" i="1" s="1"/>
  <c r="K186" i="1" s="1"/>
  <c r="K187" i="1" s="1"/>
  <c r="K188" i="1" s="1"/>
  <c r="K189" i="1" s="1"/>
  <c r="K190" i="1" s="1"/>
  <c r="K191" i="1" s="1"/>
  <c r="K192" i="1" s="1"/>
  <c r="K193" i="1" s="1"/>
  <c r="K194" i="1" s="1"/>
  <c r="K195" i="1" s="1"/>
  <c r="K1282" i="1"/>
  <c r="K1283" i="1" s="1"/>
  <c r="K1284" i="1" s="1"/>
  <c r="K1285" i="1" s="1"/>
  <c r="K1286" i="1" s="1"/>
  <c r="K1287" i="1" s="1"/>
  <c r="K1288" i="1" s="1"/>
  <c r="K1289" i="1" s="1"/>
  <c r="K1291" i="1" s="1"/>
  <c r="K1412" i="1"/>
  <c r="K1416" i="1" s="1"/>
  <c r="K1410" i="1"/>
  <c r="K1530" i="1"/>
  <c r="K1521" i="1"/>
  <c r="K1532" i="1"/>
  <c r="K1536" i="1" s="1"/>
  <c r="K1157" i="1"/>
  <c r="K1159" i="1" s="1"/>
  <c r="K1160" i="1" s="1"/>
  <c r="K1162" i="1" s="1"/>
  <c r="K1163" i="1" s="1"/>
  <c r="K1164" i="1" s="1"/>
  <c r="K1165" i="1" s="1"/>
  <c r="K1166" i="1" s="1"/>
  <c r="K1167" i="1" s="1"/>
  <c r="K1168" i="1" s="1"/>
  <c r="K1169" i="1" s="1"/>
  <c r="K1171" i="1" s="1"/>
  <c r="K1637" i="1"/>
  <c r="K1639" i="1" s="1"/>
  <c r="K1640" i="1" s="1"/>
  <c r="K1642" i="1" s="1"/>
  <c r="K1643" i="1" s="1"/>
  <c r="K1644" i="1" s="1"/>
  <c r="K1645" i="1" s="1"/>
  <c r="K1646" i="1" s="1"/>
  <c r="K1647" i="1" s="1"/>
  <c r="K1648" i="1" s="1"/>
  <c r="K1649" i="1" s="1"/>
  <c r="K1651" i="1" s="1"/>
  <c r="K1757" i="1"/>
  <c r="K1759" i="1" s="1"/>
  <c r="K1760" i="1" s="1"/>
  <c r="K917" i="1"/>
  <c r="K919" i="1" s="1"/>
  <c r="K920" i="1" s="1"/>
  <c r="K921" i="1" s="1"/>
  <c r="K2001" i="1"/>
  <c r="K2002" i="1"/>
  <c r="K2003" i="1" s="1"/>
  <c r="K2004" i="1" s="1"/>
  <c r="K2005" i="1" s="1"/>
  <c r="K2006" i="1" s="1"/>
  <c r="K2007" i="1" s="1"/>
  <c r="K2008" i="1" s="1"/>
  <c r="K2009" i="1" s="1"/>
  <c r="K1894" i="1"/>
  <c r="K1898" i="1"/>
  <c r="K1896" i="1"/>
  <c r="K1058" i="1"/>
  <c r="K1056" i="1"/>
  <c r="K1054" i="1"/>
  <c r="K2122" i="1" l="1"/>
  <c r="K2124" i="1" s="1"/>
  <c r="K2125" i="1" s="1"/>
  <c r="K2126" i="1" s="1"/>
  <c r="K2127" i="1" s="1"/>
  <c r="K2128" i="1" s="1"/>
  <c r="K2129" i="1" s="1"/>
  <c r="K2131" i="1" s="1"/>
  <c r="K1418" i="1"/>
  <c r="K1420" i="1" s="1"/>
  <c r="K1421" i="1" s="1"/>
  <c r="K1422" i="1" s="1"/>
  <c r="K1424" i="1" s="1"/>
  <c r="K1290" i="1"/>
  <c r="K430" i="1"/>
  <c r="K431" i="1" s="1"/>
  <c r="K432" i="1" s="1"/>
  <c r="K433" i="1" s="1"/>
  <c r="K434" i="1" s="1"/>
  <c r="K435" i="1" s="1"/>
  <c r="K437" i="1" s="1"/>
  <c r="K439" i="1" s="1"/>
  <c r="K440" i="1" s="1"/>
  <c r="K429" i="1"/>
  <c r="K790" i="1"/>
  <c r="K791" i="1" s="1"/>
  <c r="K792" i="1" s="1"/>
  <c r="K793" i="1" s="1"/>
  <c r="K794" i="1" s="1"/>
  <c r="K795" i="1" s="1"/>
  <c r="K797" i="1" s="1"/>
  <c r="K799" i="1" s="1"/>
  <c r="K800" i="1" s="1"/>
  <c r="K789" i="1"/>
  <c r="K322" i="1"/>
  <c r="K323" i="1" s="1"/>
  <c r="K324" i="1" s="1"/>
  <c r="K325" i="1" s="1"/>
  <c r="K326" i="1" s="1"/>
  <c r="K327" i="1" s="1"/>
  <c r="K328" i="1" s="1"/>
  <c r="K329" i="1" s="1"/>
  <c r="K321" i="1"/>
  <c r="K682" i="1"/>
  <c r="K683" i="1" s="1"/>
  <c r="K684" i="1" s="1"/>
  <c r="K685" i="1" s="1"/>
  <c r="K686" i="1" s="1"/>
  <c r="K687" i="1" s="1"/>
  <c r="K688" i="1" s="1"/>
  <c r="K689" i="1" s="1"/>
  <c r="K681" i="1"/>
  <c r="K1292" i="1"/>
  <c r="K1296" i="1" s="1"/>
  <c r="K197" i="1"/>
  <c r="K199" i="1" s="1"/>
  <c r="K200" i="1" s="1"/>
  <c r="K202" i="1" s="1"/>
  <c r="K203" i="1" s="1"/>
  <c r="K204" i="1" s="1"/>
  <c r="K205" i="1" s="1"/>
  <c r="K206" i="1" s="1"/>
  <c r="K207" i="1" s="1"/>
  <c r="K208" i="1" s="1"/>
  <c r="K209" i="1" s="1"/>
  <c r="K211" i="1" s="1"/>
  <c r="K218" i="1" s="1"/>
  <c r="K1900" i="1"/>
  <c r="K1901" i="1" s="1"/>
  <c r="K1902" i="1" s="1"/>
  <c r="K1903" i="1" s="1"/>
  <c r="K1905" i="1" s="1"/>
  <c r="K1907" i="1" s="1"/>
  <c r="K1909" i="1" s="1"/>
  <c r="K1911" i="1" s="1"/>
  <c r="K1913" i="1" s="1"/>
  <c r="K1899" i="1"/>
  <c r="K1060" i="1"/>
  <c r="K1061" i="1" s="1"/>
  <c r="K1062" i="1" s="1"/>
  <c r="K1063" i="1" s="1"/>
  <c r="K1065" i="1" s="1"/>
  <c r="K1067" i="1" s="1"/>
  <c r="K1069" i="1" s="1"/>
  <c r="K1071" i="1" s="1"/>
  <c r="K1073" i="1" s="1"/>
  <c r="K1059" i="1"/>
  <c r="K1538" i="1"/>
  <c r="K1414" i="1"/>
  <c r="K1641" i="1"/>
  <c r="K1652" i="1"/>
  <c r="K1654" i="1" s="1"/>
  <c r="K1534" i="1"/>
  <c r="K1170" i="1"/>
  <c r="K922" i="1"/>
  <c r="K923" i="1" s="1"/>
  <c r="K924" i="1" s="1"/>
  <c r="K925" i="1" s="1"/>
  <c r="K926" i="1" s="1"/>
  <c r="K927" i="1" s="1"/>
  <c r="K928" i="1" s="1"/>
  <c r="K929" i="1" s="1"/>
  <c r="K931" i="1" s="1"/>
  <c r="K1161" i="1"/>
  <c r="K1172" i="1"/>
  <c r="K1178" i="1" s="1"/>
  <c r="K1650" i="1"/>
  <c r="K2011" i="1"/>
  <c r="K2010" i="1"/>
  <c r="K2012" i="1"/>
  <c r="K1761" i="1"/>
  <c r="K1762" i="1"/>
  <c r="K1763" i="1" s="1"/>
  <c r="K1764" i="1" s="1"/>
  <c r="K1765" i="1" s="1"/>
  <c r="K1766" i="1" s="1"/>
  <c r="K1767" i="1" s="1"/>
  <c r="K1768" i="1" s="1"/>
  <c r="K1769" i="1" s="1"/>
  <c r="Q3015" i="1"/>
  <c r="K3010" i="1"/>
  <c r="K3012" i="1" s="1"/>
  <c r="K2130" i="1" l="1"/>
  <c r="K2133" i="1"/>
  <c r="K2136" i="1" s="1"/>
  <c r="K2132" i="1"/>
  <c r="K1419" i="1"/>
  <c r="K1904" i="1"/>
  <c r="K1915" i="1" s="1"/>
  <c r="K1916" i="1" s="1"/>
  <c r="K1917" i="1" s="1"/>
  <c r="K1918" i="1" s="1"/>
  <c r="K1919" i="1" s="1"/>
  <c r="K1920" i="1" s="1"/>
  <c r="K1921" i="1" s="1"/>
  <c r="K1923" i="1" s="1"/>
  <c r="K1925" i="1" s="1"/>
  <c r="K216" i="1"/>
  <c r="K214" i="1"/>
  <c r="K201" i="1"/>
  <c r="K1298" i="1"/>
  <c r="K1299" i="1" s="1"/>
  <c r="K210" i="1"/>
  <c r="K212" i="1" s="1"/>
  <c r="K1423" i="1"/>
  <c r="K1425" i="1" s="1"/>
  <c r="K1427" i="1" s="1"/>
  <c r="K1429" i="1" s="1"/>
  <c r="K1431" i="1" s="1"/>
  <c r="K1433" i="1" s="1"/>
  <c r="K1294" i="1"/>
  <c r="K691" i="1"/>
  <c r="K692" i="1"/>
  <c r="K690" i="1"/>
  <c r="K331" i="1"/>
  <c r="K332" i="1"/>
  <c r="K330" i="1"/>
  <c r="K802" i="1"/>
  <c r="K803" i="1" s="1"/>
  <c r="K804" i="1" s="1"/>
  <c r="K805" i="1" s="1"/>
  <c r="K806" i="1" s="1"/>
  <c r="K807" i="1" s="1"/>
  <c r="K808" i="1" s="1"/>
  <c r="K809" i="1" s="1"/>
  <c r="K801" i="1"/>
  <c r="K442" i="1"/>
  <c r="K443" i="1" s="1"/>
  <c r="K444" i="1" s="1"/>
  <c r="K445" i="1" s="1"/>
  <c r="K446" i="1" s="1"/>
  <c r="K447" i="1" s="1"/>
  <c r="K448" i="1" s="1"/>
  <c r="K449" i="1" s="1"/>
  <c r="K441" i="1"/>
  <c r="K1064" i="1"/>
  <c r="K1075" i="1" s="1"/>
  <c r="K1076" i="1" s="1"/>
  <c r="K1077" i="1" s="1"/>
  <c r="K1078" i="1" s="1"/>
  <c r="K1079" i="1" s="1"/>
  <c r="K1080" i="1" s="1"/>
  <c r="K1081" i="1" s="1"/>
  <c r="K1083" i="1" s="1"/>
  <c r="K1085" i="1" s="1"/>
  <c r="K1174" i="1"/>
  <c r="K1540" i="1"/>
  <c r="K1541" i="1" s="1"/>
  <c r="K1542" i="1" s="1"/>
  <c r="K1544" i="1" s="1"/>
  <c r="K1555" i="1" s="1"/>
  <c r="K1556" i="1" s="1"/>
  <c r="K1557" i="1" s="1"/>
  <c r="K1558" i="1" s="1"/>
  <c r="K1559" i="1" s="1"/>
  <c r="K1560" i="1" s="1"/>
  <c r="K1561" i="1" s="1"/>
  <c r="K1563" i="1" s="1"/>
  <c r="K1565" i="1" s="1"/>
  <c r="K1539" i="1"/>
  <c r="K1180" i="1"/>
  <c r="K1181" i="1" s="1"/>
  <c r="K1182" i="1" s="1"/>
  <c r="K1184" i="1" s="1"/>
  <c r="K1179" i="1"/>
  <c r="K220" i="1"/>
  <c r="K221" i="1" s="1"/>
  <c r="K222" i="1" s="1"/>
  <c r="K224" i="1" s="1"/>
  <c r="K219" i="1"/>
  <c r="K1176" i="1"/>
  <c r="K1658" i="1"/>
  <c r="K1656" i="1"/>
  <c r="K930" i="1"/>
  <c r="K932" i="1"/>
  <c r="K938" i="1" s="1"/>
  <c r="K1771" i="1"/>
  <c r="K1770" i="1"/>
  <c r="K1772" i="1"/>
  <c r="K2016" i="1"/>
  <c r="K2014" i="1"/>
  <c r="K2018" i="1"/>
  <c r="K2019" i="1" s="1"/>
  <c r="K3011" i="1"/>
  <c r="Q3016" i="1"/>
  <c r="K1435" i="1"/>
  <c r="K1436" i="1" s="1"/>
  <c r="K1437" i="1" s="1"/>
  <c r="K1438" i="1" s="1"/>
  <c r="K1439" i="1" s="1"/>
  <c r="K1440" i="1" s="1"/>
  <c r="K1441" i="1" s="1"/>
  <c r="K1443" i="1" s="1"/>
  <c r="K1445" i="1" s="1"/>
  <c r="K1426" i="1"/>
  <c r="K1428" i="1" s="1"/>
  <c r="K1430" i="1" s="1"/>
  <c r="K1432" i="1" s="1"/>
  <c r="K1434" i="1" s="1"/>
  <c r="K2135" i="1" l="1"/>
  <c r="K2150" i="1"/>
  <c r="K2151" i="1" s="1"/>
  <c r="K2152" i="1" s="1"/>
  <c r="K2137" i="1"/>
  <c r="K2138" i="1" s="1"/>
  <c r="K2139" i="1" s="1"/>
  <c r="K2140" i="1" s="1"/>
  <c r="K2141" i="1" s="1"/>
  <c r="K2142" i="1" s="1"/>
  <c r="K2143" i="1" s="1"/>
  <c r="K2144" i="1" s="1"/>
  <c r="K2145" i="1" s="1"/>
  <c r="K2146" i="1" s="1"/>
  <c r="K2148" i="1" s="1"/>
  <c r="K1906" i="1"/>
  <c r="K1908" i="1" s="1"/>
  <c r="K1910" i="1" s="1"/>
  <c r="K1912" i="1" s="1"/>
  <c r="K1914" i="1" s="1"/>
  <c r="K1066" i="1"/>
  <c r="K1068" i="1" s="1"/>
  <c r="K1070" i="1" s="1"/>
  <c r="K1072" i="1" s="1"/>
  <c r="K1074" i="1" s="1"/>
  <c r="K1300" i="1"/>
  <c r="K1301" i="1" s="1"/>
  <c r="K1302" i="1" s="1"/>
  <c r="K1303" i="1" s="1"/>
  <c r="K1305" i="1" s="1"/>
  <c r="K1307" i="1" s="1"/>
  <c r="K1309" i="1" s="1"/>
  <c r="K1311" i="1" s="1"/>
  <c r="K1313" i="1" s="1"/>
  <c r="K1546" i="1"/>
  <c r="K1548" i="1" s="1"/>
  <c r="K1550" i="1" s="1"/>
  <c r="K1552" i="1" s="1"/>
  <c r="K1554" i="1" s="1"/>
  <c r="K811" i="1"/>
  <c r="K812" i="1"/>
  <c r="K810" i="1"/>
  <c r="K334" i="1"/>
  <c r="K336" i="1"/>
  <c r="K338" i="1"/>
  <c r="K698" i="1"/>
  <c r="K696" i="1"/>
  <c r="K694" i="1"/>
  <c r="K451" i="1"/>
  <c r="K450" i="1"/>
  <c r="K452" i="1"/>
  <c r="K1543" i="1"/>
  <c r="K1545" i="1" s="1"/>
  <c r="K1547" i="1" s="1"/>
  <c r="K1549" i="1" s="1"/>
  <c r="K1551" i="1" s="1"/>
  <c r="K1553" i="1" s="1"/>
  <c r="K1183" i="1"/>
  <c r="K1185" i="1" s="1"/>
  <c r="K1187" i="1" s="1"/>
  <c r="K1189" i="1" s="1"/>
  <c r="K1191" i="1" s="1"/>
  <c r="K1193" i="1" s="1"/>
  <c r="K2020" i="1"/>
  <c r="K2021" i="1" s="1"/>
  <c r="K2022" i="1" s="1"/>
  <c r="K2024" i="1" s="1"/>
  <c r="K223" i="1"/>
  <c r="K225" i="1" s="1"/>
  <c r="K227" i="1" s="1"/>
  <c r="K229" i="1" s="1"/>
  <c r="K231" i="1" s="1"/>
  <c r="K233" i="1" s="1"/>
  <c r="K1660" i="1"/>
  <c r="K1661" i="1" s="1"/>
  <c r="K1662" i="1" s="1"/>
  <c r="K1659" i="1"/>
  <c r="K940" i="1"/>
  <c r="K941" i="1" s="1"/>
  <c r="K942" i="1" s="1"/>
  <c r="K944" i="1" s="1"/>
  <c r="K955" i="1" s="1"/>
  <c r="K956" i="1" s="1"/>
  <c r="K957" i="1" s="1"/>
  <c r="K958" i="1" s="1"/>
  <c r="K959" i="1" s="1"/>
  <c r="K960" i="1" s="1"/>
  <c r="K961" i="1" s="1"/>
  <c r="K963" i="1" s="1"/>
  <c r="K965" i="1" s="1"/>
  <c r="K939" i="1"/>
  <c r="K1087" i="1"/>
  <c r="K1088" i="1" s="1"/>
  <c r="K1447" i="1"/>
  <c r="K1448" i="1" s="1"/>
  <c r="K1567" i="1"/>
  <c r="K1568" i="1" s="1"/>
  <c r="K1927" i="1"/>
  <c r="K1928" i="1" s="1"/>
  <c r="K934" i="1"/>
  <c r="K936" i="1"/>
  <c r="K1774" i="1"/>
  <c r="K1778" i="1"/>
  <c r="K1776" i="1"/>
  <c r="Q3017" i="1"/>
  <c r="K3013" i="1"/>
  <c r="K3020" i="1" s="1"/>
  <c r="K226" i="1"/>
  <c r="K228" i="1" s="1"/>
  <c r="K230" i="1" s="1"/>
  <c r="K232" i="1" s="1"/>
  <c r="K234" i="1" s="1"/>
  <c r="K235" i="1"/>
  <c r="K236" i="1" s="1"/>
  <c r="K237" i="1" s="1"/>
  <c r="K238" i="1" s="1"/>
  <c r="K239" i="1" s="1"/>
  <c r="K240" i="1" s="1"/>
  <c r="K241" i="1" s="1"/>
  <c r="K243" i="1" s="1"/>
  <c r="K245" i="1" s="1"/>
  <c r="K533" i="1"/>
  <c r="K1195" i="1"/>
  <c r="K1196" i="1" s="1"/>
  <c r="K1197" i="1" s="1"/>
  <c r="K1198" i="1" s="1"/>
  <c r="K1199" i="1" s="1"/>
  <c r="K1200" i="1" s="1"/>
  <c r="K1201" i="1" s="1"/>
  <c r="K1203" i="1" s="1"/>
  <c r="K1205" i="1" s="1"/>
  <c r="K1186" i="1"/>
  <c r="K1188" i="1" s="1"/>
  <c r="K1190" i="1" s="1"/>
  <c r="K1192" i="1" s="1"/>
  <c r="K1194" i="1" s="1"/>
  <c r="K1304" i="1" l="1"/>
  <c r="K1315" i="1" s="1"/>
  <c r="K1316" i="1" s="1"/>
  <c r="K1317" i="1" s="1"/>
  <c r="K1318" i="1" s="1"/>
  <c r="K1319" i="1" s="1"/>
  <c r="K1320" i="1" s="1"/>
  <c r="K1321" i="1" s="1"/>
  <c r="K1323" i="1" s="1"/>
  <c r="K1325" i="1" s="1"/>
  <c r="K700" i="1"/>
  <c r="K701" i="1" s="1"/>
  <c r="K702" i="1" s="1"/>
  <c r="K699" i="1"/>
  <c r="K340" i="1"/>
  <c r="K341" i="1" s="1"/>
  <c r="K342" i="1" s="1"/>
  <c r="K339" i="1"/>
  <c r="K456" i="1"/>
  <c r="K454" i="1"/>
  <c r="K458" i="1"/>
  <c r="K814" i="1"/>
  <c r="K816" i="1"/>
  <c r="K818" i="1"/>
  <c r="K2023" i="1"/>
  <c r="K2025" i="1" s="1"/>
  <c r="K2027" i="1" s="1"/>
  <c r="K2029" i="1" s="1"/>
  <c r="K2031" i="1" s="1"/>
  <c r="K2033" i="1" s="1"/>
  <c r="K946" i="1"/>
  <c r="K948" i="1" s="1"/>
  <c r="K950" i="1" s="1"/>
  <c r="K952" i="1" s="1"/>
  <c r="K954" i="1" s="1"/>
  <c r="K1780" i="1"/>
  <c r="K1781" i="1" s="1"/>
  <c r="K1782" i="1" s="1"/>
  <c r="K1783" i="1" s="1"/>
  <c r="K1785" i="1" s="1"/>
  <c r="K1787" i="1" s="1"/>
  <c r="K1789" i="1" s="1"/>
  <c r="K1791" i="1" s="1"/>
  <c r="K1793" i="1" s="1"/>
  <c r="K1779" i="1"/>
  <c r="K1663" i="1"/>
  <c r="K1665" i="1" s="1"/>
  <c r="K1667" i="1" s="1"/>
  <c r="K1669" i="1" s="1"/>
  <c r="K1671" i="1" s="1"/>
  <c r="K1673" i="1" s="1"/>
  <c r="K1664" i="1"/>
  <c r="K943" i="1"/>
  <c r="K945" i="1" s="1"/>
  <c r="K947" i="1" s="1"/>
  <c r="K949" i="1" s="1"/>
  <c r="K951" i="1" s="1"/>
  <c r="K953" i="1" s="1"/>
  <c r="K967" i="1"/>
  <c r="K968" i="1" s="1"/>
  <c r="K1207" i="1"/>
  <c r="K1208" i="1" s="1"/>
  <c r="K2035" i="1"/>
  <c r="K2036" i="1" s="1"/>
  <c r="K2037" i="1" s="1"/>
  <c r="K2038" i="1" s="1"/>
  <c r="K2039" i="1" s="1"/>
  <c r="K2040" i="1" s="1"/>
  <c r="K2041" i="1" s="1"/>
  <c r="K2026" i="1"/>
  <c r="K2028" i="1" s="1"/>
  <c r="K2030" i="1" s="1"/>
  <c r="K2032" i="1" s="1"/>
  <c r="K2034" i="1" s="1"/>
  <c r="K534" i="1"/>
  <c r="Q3018" i="1"/>
  <c r="K1327" i="1" l="1"/>
  <c r="K1328" i="1" s="1"/>
  <c r="K1306" i="1"/>
  <c r="K1308" i="1" s="1"/>
  <c r="K1310" i="1" s="1"/>
  <c r="K1312" i="1" s="1"/>
  <c r="K1314" i="1" s="1"/>
  <c r="K459" i="1"/>
  <c r="K460" i="1"/>
  <c r="K461" i="1" s="1"/>
  <c r="K462" i="1" s="1"/>
  <c r="K1784" i="1"/>
  <c r="K1786" i="1" s="1"/>
  <c r="K1788" i="1" s="1"/>
  <c r="K1790" i="1" s="1"/>
  <c r="K1792" i="1" s="1"/>
  <c r="K1794" i="1" s="1"/>
  <c r="K344" i="1"/>
  <c r="K343" i="1"/>
  <c r="K345" i="1" s="1"/>
  <c r="K347" i="1" s="1"/>
  <c r="K349" i="1" s="1"/>
  <c r="K351" i="1" s="1"/>
  <c r="K353" i="1" s="1"/>
  <c r="K820" i="1"/>
  <c r="K821" i="1" s="1"/>
  <c r="K822" i="1" s="1"/>
  <c r="K819" i="1"/>
  <c r="K704" i="1"/>
  <c r="K703" i="1"/>
  <c r="K705" i="1" s="1"/>
  <c r="K707" i="1" s="1"/>
  <c r="K709" i="1" s="1"/>
  <c r="K711" i="1" s="1"/>
  <c r="K713" i="1" s="1"/>
  <c r="K1675" i="1"/>
  <c r="K1676" i="1" s="1"/>
  <c r="K1677" i="1" s="1"/>
  <c r="K1678" i="1" s="1"/>
  <c r="K1679" i="1" s="1"/>
  <c r="K1680" i="1" s="1"/>
  <c r="K1681" i="1" s="1"/>
  <c r="K1683" i="1" s="1"/>
  <c r="K1666" i="1"/>
  <c r="K1668" i="1" s="1"/>
  <c r="K1670" i="1" s="1"/>
  <c r="K1672" i="1" s="1"/>
  <c r="K1674" i="1" s="1"/>
  <c r="K2043" i="1"/>
  <c r="K247" i="1"/>
  <c r="K248" i="1" s="1"/>
  <c r="K538" i="1"/>
  <c r="K540" i="1" s="1"/>
  <c r="K541" i="1" s="1"/>
  <c r="K542" i="1" s="1"/>
  <c r="K543" i="1" s="1"/>
  <c r="K544" i="1" s="1"/>
  <c r="K535" i="1"/>
  <c r="K536" i="1" s="1"/>
  <c r="K537" i="1" s="1"/>
  <c r="K1795" i="1" l="1"/>
  <c r="K1796" i="1" s="1"/>
  <c r="K1797" i="1" s="1"/>
  <c r="K1798" i="1" s="1"/>
  <c r="K1799" i="1" s="1"/>
  <c r="K1800" i="1" s="1"/>
  <c r="K1801" i="1" s="1"/>
  <c r="K1803" i="1" s="1"/>
  <c r="K1805" i="1" s="1"/>
  <c r="K706" i="1"/>
  <c r="K708" i="1" s="1"/>
  <c r="K710" i="1" s="1"/>
  <c r="K712" i="1" s="1"/>
  <c r="K714" i="1" s="1"/>
  <c r="K715" i="1"/>
  <c r="K716" i="1" s="1"/>
  <c r="K717" i="1" s="1"/>
  <c r="K718" i="1" s="1"/>
  <c r="K719" i="1" s="1"/>
  <c r="K720" i="1" s="1"/>
  <c r="K721" i="1" s="1"/>
  <c r="K723" i="1" s="1"/>
  <c r="K346" i="1"/>
  <c r="K348" i="1" s="1"/>
  <c r="K350" i="1" s="1"/>
  <c r="K352" i="1" s="1"/>
  <c r="K354" i="1" s="1"/>
  <c r="K355" i="1"/>
  <c r="K356" i="1" s="1"/>
  <c r="K357" i="1" s="1"/>
  <c r="K358" i="1" s="1"/>
  <c r="K359" i="1" s="1"/>
  <c r="K360" i="1" s="1"/>
  <c r="K361" i="1" s="1"/>
  <c r="K363" i="1" s="1"/>
  <c r="K824" i="1"/>
  <c r="K823" i="1"/>
  <c r="K825" i="1" s="1"/>
  <c r="K827" i="1" s="1"/>
  <c r="K829" i="1" s="1"/>
  <c r="K831" i="1" s="1"/>
  <c r="K833" i="1" s="1"/>
  <c r="K463" i="1"/>
  <c r="K465" i="1" s="1"/>
  <c r="K467" i="1" s="1"/>
  <c r="K469" i="1" s="1"/>
  <c r="K471" i="1" s="1"/>
  <c r="K473" i="1" s="1"/>
  <c r="K464" i="1"/>
  <c r="K1685" i="1"/>
  <c r="K1687" i="1"/>
  <c r="K1688" i="1" s="1"/>
  <c r="K2047" i="1"/>
  <c r="K2048" i="1" s="1"/>
  <c r="K2045" i="1"/>
  <c r="K3024" i="1"/>
  <c r="K545" i="1"/>
  <c r="I10" i="2"/>
  <c r="J10" i="2" s="1"/>
  <c r="K1807" i="1" l="1"/>
  <c r="K1808" i="1" s="1"/>
  <c r="K835" i="1"/>
  <c r="K836" i="1" s="1"/>
  <c r="K837" i="1" s="1"/>
  <c r="K838" i="1" s="1"/>
  <c r="K839" i="1" s="1"/>
  <c r="K840" i="1" s="1"/>
  <c r="K841" i="1" s="1"/>
  <c r="K843" i="1" s="1"/>
  <c r="K826" i="1"/>
  <c r="K828" i="1" s="1"/>
  <c r="K830" i="1" s="1"/>
  <c r="K832" i="1" s="1"/>
  <c r="K834" i="1" s="1"/>
  <c r="K365" i="1"/>
  <c r="K367" i="1"/>
  <c r="K368" i="1" s="1"/>
  <c r="K466" i="1"/>
  <c r="K468" i="1" s="1"/>
  <c r="K470" i="1" s="1"/>
  <c r="K472" i="1" s="1"/>
  <c r="K474" i="1" s="1"/>
  <c r="K475" i="1"/>
  <c r="K476" i="1" s="1"/>
  <c r="K477" i="1" s="1"/>
  <c r="K478" i="1" s="1"/>
  <c r="K479" i="1" s="1"/>
  <c r="K480" i="1" s="1"/>
  <c r="K481" i="1" s="1"/>
  <c r="K483" i="1" s="1"/>
  <c r="K725" i="1"/>
  <c r="K727" i="1"/>
  <c r="K728" i="1" s="1"/>
  <c r="K3021" i="1"/>
  <c r="K546" i="1"/>
  <c r="K45" i="2"/>
  <c r="J45" i="2"/>
  <c r="G45" i="2"/>
  <c r="H24" i="2"/>
  <c r="G24" i="2"/>
  <c r="G65" i="2" s="1"/>
  <c r="I23" i="2"/>
  <c r="J23" i="2" s="1"/>
  <c r="I22" i="2"/>
  <c r="J22" i="2" s="1"/>
  <c r="I21" i="2"/>
  <c r="J21" i="2" s="1"/>
  <c r="I20" i="2"/>
  <c r="J20" i="2" s="1"/>
  <c r="I19" i="2"/>
  <c r="J19" i="2" s="1"/>
  <c r="I16" i="2"/>
  <c r="J16" i="2" s="1"/>
  <c r="I15" i="2"/>
  <c r="J15" i="2" s="1"/>
  <c r="I14" i="2"/>
  <c r="J14" i="2" s="1"/>
  <c r="I13" i="2"/>
  <c r="J13" i="2" s="1"/>
  <c r="I12" i="2"/>
  <c r="J12" i="2" s="1"/>
  <c r="I11" i="2"/>
  <c r="J11" i="2" s="1"/>
  <c r="I9" i="2"/>
  <c r="J9" i="2" s="1"/>
  <c r="I8" i="2"/>
  <c r="J8" i="2" s="1"/>
  <c r="I7" i="2"/>
  <c r="J7" i="2" s="1"/>
  <c r="K3025" i="1" l="1"/>
  <c r="K3027" i="1" s="1"/>
  <c r="K3022" i="1"/>
  <c r="K3023" i="1" s="1"/>
  <c r="K485" i="1"/>
  <c r="K487" i="1"/>
  <c r="K488" i="1" s="1"/>
  <c r="K845" i="1"/>
  <c r="K847" i="1"/>
  <c r="K848" i="1" s="1"/>
  <c r="K547" i="1"/>
  <c r="I24" i="2"/>
  <c r="J24" i="2"/>
  <c r="K17" i="2" s="1"/>
  <c r="I8109" i="1" l="1"/>
  <c r="I4720" i="1"/>
  <c r="L17" i="2"/>
  <c r="K6" i="2"/>
  <c r="K23" i="2"/>
  <c r="K8" i="2"/>
  <c r="K23" i="1"/>
  <c r="K24" i="1" s="1"/>
  <c r="K25" i="1" s="1"/>
  <c r="K26" i="1" s="1"/>
  <c r="K27" i="1" s="1"/>
  <c r="K13" i="2"/>
  <c r="K12" i="2"/>
  <c r="K11" i="2"/>
  <c r="K14" i="2"/>
  <c r="K10" i="2"/>
  <c r="K9" i="2"/>
  <c r="K16" i="2"/>
  <c r="K15" i="2"/>
  <c r="K7" i="2"/>
  <c r="K548" i="1"/>
  <c r="K19" i="2"/>
  <c r="K20" i="2"/>
  <c r="K22" i="2"/>
  <c r="K21" i="2"/>
  <c r="I7509" i="1" l="1"/>
  <c r="I4120" i="1"/>
  <c r="N18" i="2"/>
  <c r="I8119" i="1"/>
  <c r="M8109" i="1"/>
  <c r="G8109" i="1"/>
  <c r="O8109" i="1" s="1"/>
  <c r="I7629" i="1"/>
  <c r="I4240" i="1"/>
  <c r="I7989" i="1"/>
  <c r="I4600" i="1"/>
  <c r="I7029" i="1"/>
  <c r="I3640" i="1"/>
  <c r="I7149" i="1"/>
  <c r="I3760" i="1"/>
  <c r="I8709" i="1"/>
  <c r="I5320" i="1"/>
  <c r="I6909" i="1"/>
  <c r="I3520" i="1"/>
  <c r="I7269" i="1"/>
  <c r="I3880" i="1"/>
  <c r="I6789" i="1"/>
  <c r="I3400" i="1"/>
  <c r="N11" i="2"/>
  <c r="K24" i="2"/>
  <c r="I7869" i="1"/>
  <c r="I4480" i="1"/>
  <c r="I7749" i="1"/>
  <c r="I4360" i="1"/>
  <c r="I8469" i="1"/>
  <c r="I5080" i="1"/>
  <c r="I8589" i="1"/>
  <c r="I5200" i="1"/>
  <c r="I8349" i="1"/>
  <c r="I4960" i="1"/>
  <c r="I8229" i="1"/>
  <c r="I4840" i="1"/>
  <c r="N23" i="2"/>
  <c r="I7389" i="1"/>
  <c r="I4000" i="1"/>
  <c r="I4730" i="1"/>
  <c r="M4720" i="1"/>
  <c r="G4720" i="1"/>
  <c r="O4720" i="1" s="1"/>
  <c r="L6" i="2"/>
  <c r="K28" i="1"/>
  <c r="K29" i="1" s="1"/>
  <c r="L10" i="2"/>
  <c r="K3028" i="1"/>
  <c r="I492" i="1"/>
  <c r="L7" i="2"/>
  <c r="I132" i="1"/>
  <c r="L19" i="2"/>
  <c r="I1452" i="1"/>
  <c r="L14" i="2"/>
  <c r="I972" i="1"/>
  <c r="L13" i="2"/>
  <c r="I852" i="1"/>
  <c r="I12" i="1"/>
  <c r="I22" i="1" s="1"/>
  <c r="L8" i="2"/>
  <c r="I252" i="1"/>
  <c r="I262" i="1" s="1"/>
  <c r="L20" i="2"/>
  <c r="I1572" i="1"/>
  <c r="L21" i="2"/>
  <c r="I1692" i="1"/>
  <c r="L22" i="2"/>
  <c r="I1812" i="1"/>
  <c r="L16" i="2"/>
  <c r="I1212" i="1"/>
  <c r="L15" i="2"/>
  <c r="I1092" i="1"/>
  <c r="L9" i="2"/>
  <c r="I372" i="1"/>
  <c r="L11" i="2"/>
  <c r="I612" i="1"/>
  <c r="L12" i="2"/>
  <c r="I732" i="1"/>
  <c r="I1332" i="1"/>
  <c r="L23" i="2"/>
  <c r="I1932" i="1"/>
  <c r="K549" i="1"/>
  <c r="K550" i="1"/>
  <c r="I4010" i="1" l="1"/>
  <c r="G4000" i="1"/>
  <c r="O4000" i="1" s="1"/>
  <c r="M4000" i="1"/>
  <c r="I3890" i="1"/>
  <c r="M3880" i="1"/>
  <c r="G3880" i="1"/>
  <c r="O3880" i="1" s="1"/>
  <c r="I7999" i="1"/>
  <c r="M7989" i="1"/>
  <c r="G7989" i="1"/>
  <c r="O7989" i="1" s="1"/>
  <c r="I7519" i="1"/>
  <c r="M7509" i="1"/>
  <c r="G7509" i="1"/>
  <c r="O7509" i="1" s="1"/>
  <c r="I7399" i="1"/>
  <c r="M7389" i="1"/>
  <c r="G7389" i="1"/>
  <c r="O7389" i="1" s="1"/>
  <c r="I4370" i="1"/>
  <c r="G4360" i="1"/>
  <c r="O4360" i="1" s="1"/>
  <c r="M4360" i="1"/>
  <c r="I7279" i="1"/>
  <c r="M7269" i="1"/>
  <c r="G7269" i="1"/>
  <c r="O7269" i="1" s="1"/>
  <c r="I7759" i="1"/>
  <c r="M7749" i="1"/>
  <c r="G7749" i="1"/>
  <c r="O7749" i="1" s="1"/>
  <c r="I5330" i="1"/>
  <c r="M5320" i="1"/>
  <c r="G5320" i="1"/>
  <c r="O5320" i="1" s="1"/>
  <c r="I4490" i="1"/>
  <c r="M4480" i="1"/>
  <c r="G4480" i="1"/>
  <c r="O4480" i="1" s="1"/>
  <c r="I3410" i="1"/>
  <c r="G3400" i="1"/>
  <c r="O3400" i="1" s="1"/>
  <c r="M3400" i="1"/>
  <c r="I8719" i="1"/>
  <c r="M8709" i="1"/>
  <c r="G8709" i="1"/>
  <c r="O8709" i="1" s="1"/>
  <c r="I3770" i="1"/>
  <c r="G3760" i="1"/>
  <c r="O3760" i="1" s="1"/>
  <c r="M3760" i="1"/>
  <c r="I3650" i="1"/>
  <c r="G3640" i="1"/>
  <c r="O3640" i="1" s="1"/>
  <c r="M3640" i="1"/>
  <c r="O8111" i="1"/>
  <c r="Q8109" i="1"/>
  <c r="O8110" i="1"/>
  <c r="I7879" i="1"/>
  <c r="M7869" i="1"/>
  <c r="G7869" i="1"/>
  <c r="O7869" i="1" s="1"/>
  <c r="I6799" i="1"/>
  <c r="G6789" i="1"/>
  <c r="O6789" i="1" s="1"/>
  <c r="M6789" i="1"/>
  <c r="I7159" i="1"/>
  <c r="M7149" i="1"/>
  <c r="G7149" i="1"/>
  <c r="O7149" i="1" s="1"/>
  <c r="I7039" i="1"/>
  <c r="G7029" i="1"/>
  <c r="O7029" i="1" s="1"/>
  <c r="M7029" i="1"/>
  <c r="Q4720" i="1"/>
  <c r="O4721" i="1"/>
  <c r="O4722" i="1"/>
  <c r="I5210" i="1"/>
  <c r="G5200" i="1"/>
  <c r="O5200" i="1" s="1"/>
  <c r="M5200" i="1"/>
  <c r="I5090" i="1"/>
  <c r="G5080" i="1"/>
  <c r="O5080" i="1" s="1"/>
  <c r="M5080" i="1"/>
  <c r="I3530" i="1"/>
  <c r="G3520" i="1"/>
  <c r="O3520" i="1" s="1"/>
  <c r="M3520" i="1"/>
  <c r="I8120" i="1"/>
  <c r="M8119" i="1"/>
  <c r="G8119" i="1"/>
  <c r="O8119" i="1" s="1"/>
  <c r="I4850" i="1"/>
  <c r="M4840" i="1"/>
  <c r="G4840" i="1"/>
  <c r="O4840" i="1" s="1"/>
  <c r="I4970" i="1"/>
  <c r="G4960" i="1"/>
  <c r="O4960" i="1" s="1"/>
  <c r="M4960" i="1"/>
  <c r="I8599" i="1"/>
  <c r="M8589" i="1"/>
  <c r="G8589" i="1"/>
  <c r="O8589" i="1" s="1"/>
  <c r="I8479" i="1"/>
  <c r="G8469" i="1"/>
  <c r="O8469" i="1" s="1"/>
  <c r="M8469" i="1"/>
  <c r="I6919" i="1"/>
  <c r="M6909" i="1"/>
  <c r="G6909" i="1"/>
  <c r="O6909" i="1" s="1"/>
  <c r="I4250" i="1"/>
  <c r="G4240" i="1"/>
  <c r="O4240" i="1" s="1"/>
  <c r="M4240" i="1"/>
  <c r="I4731" i="1"/>
  <c r="G4730" i="1"/>
  <c r="O4730" i="1" s="1"/>
  <c r="M4730" i="1"/>
  <c r="I8239" i="1"/>
  <c r="M8229" i="1"/>
  <c r="G8229" i="1"/>
  <c r="O8229" i="1" s="1"/>
  <c r="I8359" i="1"/>
  <c r="G8349" i="1"/>
  <c r="O8349" i="1" s="1"/>
  <c r="M8349" i="1"/>
  <c r="I4610" i="1"/>
  <c r="M4600" i="1"/>
  <c r="G4600" i="1"/>
  <c r="O4600" i="1" s="1"/>
  <c r="I7639" i="1"/>
  <c r="M7629" i="1"/>
  <c r="G7629" i="1"/>
  <c r="O7629" i="1" s="1"/>
  <c r="I4130" i="1"/>
  <c r="G4120" i="1"/>
  <c r="O4120" i="1" s="1"/>
  <c r="M4120" i="1"/>
  <c r="G1212" i="1"/>
  <c r="O1212" i="1" s="1"/>
  <c r="I1222" i="1"/>
  <c r="I1223" i="1" s="1"/>
  <c r="I1224" i="1" s="1"/>
  <c r="I1225" i="1" s="1"/>
  <c r="I1226" i="1" s="1"/>
  <c r="I1227" i="1" s="1"/>
  <c r="G492" i="1"/>
  <c r="O492" i="1" s="1"/>
  <c r="I502" i="1"/>
  <c r="G1812" i="1"/>
  <c r="O1812" i="1" s="1"/>
  <c r="Q1812" i="1" s="1"/>
  <c r="I1822" i="1"/>
  <c r="I1823" i="1" s="1"/>
  <c r="I1824" i="1" s="1"/>
  <c r="I1825" i="1" s="1"/>
  <c r="I1826" i="1" s="1"/>
  <c r="I1827" i="1" s="1"/>
  <c r="G372" i="1"/>
  <c r="O372" i="1" s="1"/>
  <c r="Q372" i="1" s="1"/>
  <c r="I382" i="1"/>
  <c r="G382" i="1" s="1"/>
  <c r="G1692" i="1"/>
  <c r="O1692" i="1" s="1"/>
  <c r="Q1692" i="1" s="1"/>
  <c r="I1702" i="1"/>
  <c r="I1703" i="1" s="1"/>
  <c r="I1704" i="1" s="1"/>
  <c r="I1705" i="1" s="1"/>
  <c r="I1706" i="1" s="1"/>
  <c r="I1707" i="1" s="1"/>
  <c r="G732" i="1"/>
  <c r="O732" i="1" s="1"/>
  <c r="Q732" i="1" s="1"/>
  <c r="I742" i="1"/>
  <c r="G742" i="1" s="1"/>
  <c r="G1932" i="1"/>
  <c r="O1932" i="1" s="1"/>
  <c r="Q1932" i="1" s="1"/>
  <c r="I1942" i="1"/>
  <c r="I1943" i="1" s="1"/>
  <c r="I1944" i="1" s="1"/>
  <c r="I1945" i="1" s="1"/>
  <c r="I1946" i="1" s="1"/>
  <c r="I1947" i="1" s="1"/>
  <c r="G972" i="1"/>
  <c r="O972" i="1" s="1"/>
  <c r="Q972" i="1" s="1"/>
  <c r="I982" i="1"/>
  <c r="I983" i="1" s="1"/>
  <c r="I984" i="1" s="1"/>
  <c r="I985" i="1" s="1"/>
  <c r="I986" i="1" s="1"/>
  <c r="I987" i="1" s="1"/>
  <c r="G852" i="1"/>
  <c r="O852" i="1" s="1"/>
  <c r="Q852" i="1" s="1"/>
  <c r="I862" i="1"/>
  <c r="I863" i="1" s="1"/>
  <c r="I864" i="1" s="1"/>
  <c r="I865" i="1" s="1"/>
  <c r="I866" i="1" s="1"/>
  <c r="I867" i="1" s="1"/>
  <c r="G1092" i="1"/>
  <c r="O1092" i="1" s="1"/>
  <c r="Q1092" i="1" s="1"/>
  <c r="I1102" i="1"/>
  <c r="I1103" i="1" s="1"/>
  <c r="I1104" i="1" s="1"/>
  <c r="I1105" i="1" s="1"/>
  <c r="I1106" i="1" s="1"/>
  <c r="I1107" i="1" s="1"/>
  <c r="G1572" i="1"/>
  <c r="O1572" i="1" s="1"/>
  <c r="Q1572" i="1" s="1"/>
  <c r="I1582" i="1"/>
  <c r="I1583" i="1" s="1"/>
  <c r="I1584" i="1" s="1"/>
  <c r="I1585" i="1" s="1"/>
  <c r="I1586" i="1" s="1"/>
  <c r="I1587" i="1" s="1"/>
  <c r="G612" i="1"/>
  <c r="O612" i="1" s="1"/>
  <c r="Q612" i="1" s="1"/>
  <c r="I622" i="1"/>
  <c r="G622" i="1" s="1"/>
  <c r="G1332" i="1"/>
  <c r="O1332" i="1" s="1"/>
  <c r="Q1332" i="1" s="1"/>
  <c r="I1342" i="1"/>
  <c r="I1343" i="1" s="1"/>
  <c r="I1344" i="1" s="1"/>
  <c r="I1345" i="1" s="1"/>
  <c r="I1346" i="1" s="1"/>
  <c r="I1347" i="1" s="1"/>
  <c r="G1452" i="1"/>
  <c r="O1452" i="1" s="1"/>
  <c r="Q1452" i="1" s="1"/>
  <c r="I1462" i="1"/>
  <c r="I1463" i="1" s="1"/>
  <c r="I1464" i="1" s="1"/>
  <c r="I1465" i="1" s="1"/>
  <c r="I1466" i="1" s="1"/>
  <c r="I1467" i="1" s="1"/>
  <c r="G132" i="1"/>
  <c r="O132" i="1" s="1"/>
  <c r="Q132" i="1" s="1"/>
  <c r="I142" i="1"/>
  <c r="G142" i="1" s="1"/>
  <c r="K32" i="1"/>
  <c r="K34" i="1" s="1"/>
  <c r="K33" i="1"/>
  <c r="K36" i="1" s="1"/>
  <c r="K37" i="1" s="1"/>
  <c r="G12" i="1"/>
  <c r="O12" i="1" s="1"/>
  <c r="K3029" i="1"/>
  <c r="K3030" i="1" s="1"/>
  <c r="G252" i="1"/>
  <c r="O252" i="1" s="1"/>
  <c r="Q252" i="1" s="1"/>
  <c r="M492" i="1"/>
  <c r="L24" i="2"/>
  <c r="G1942" i="1"/>
  <c r="M1932" i="1"/>
  <c r="M1332" i="1"/>
  <c r="M732" i="1"/>
  <c r="M372" i="1"/>
  <c r="M1092" i="1"/>
  <c r="M1212" i="1"/>
  <c r="M1812" i="1"/>
  <c r="M1692" i="1"/>
  <c r="G262" i="1"/>
  <c r="M252" i="1"/>
  <c r="M1452" i="1"/>
  <c r="M1572" i="1"/>
  <c r="M612" i="1"/>
  <c r="M132" i="1"/>
  <c r="M972" i="1"/>
  <c r="G22" i="1"/>
  <c r="M12" i="1"/>
  <c r="M852" i="1"/>
  <c r="K551" i="1"/>
  <c r="G1102" i="1" l="1"/>
  <c r="G1462" i="1"/>
  <c r="O1462" i="1" s="1"/>
  <c r="Q1462" i="1" s="1"/>
  <c r="I4131" i="1"/>
  <c r="G4130" i="1"/>
  <c r="O4130" i="1" s="1"/>
  <c r="M4130" i="1"/>
  <c r="O8350" i="1"/>
  <c r="O8351" i="1"/>
  <c r="Q8349" i="1"/>
  <c r="Q8469" i="1"/>
  <c r="O8471" i="1"/>
  <c r="O8470" i="1"/>
  <c r="O4841" i="1"/>
  <c r="Q4840" i="1"/>
  <c r="O4842" i="1"/>
  <c r="O8112" i="1"/>
  <c r="O8108" i="1" s="1"/>
  <c r="O8107" i="1" s="1"/>
  <c r="Q8111" i="1"/>
  <c r="I4371" i="1"/>
  <c r="M4370" i="1"/>
  <c r="G4370" i="1"/>
  <c r="O4370" i="1" s="1"/>
  <c r="O7631" i="1"/>
  <c r="Q7629" i="1"/>
  <c r="O7630" i="1"/>
  <c r="I8360" i="1"/>
  <c r="M8359" i="1"/>
  <c r="G8359" i="1"/>
  <c r="O8359" i="1" s="1"/>
  <c r="O4241" i="1"/>
  <c r="Q4240" i="1"/>
  <c r="O4242" i="1"/>
  <c r="I8480" i="1"/>
  <c r="G8479" i="1"/>
  <c r="O8479" i="1" s="1"/>
  <c r="M8479" i="1"/>
  <c r="O5082" i="1"/>
  <c r="Q5080" i="1"/>
  <c r="O5081" i="1"/>
  <c r="Q6789" i="1"/>
  <c r="O6791" i="1"/>
  <c r="O6790" i="1"/>
  <c r="Q6790" i="1" s="1"/>
  <c r="I8720" i="1"/>
  <c r="M8719" i="1"/>
  <c r="G8719" i="1"/>
  <c r="O8719" i="1" s="1"/>
  <c r="I5331" i="1"/>
  <c r="M5330" i="1"/>
  <c r="G5330" i="1"/>
  <c r="O5330" i="1" s="1"/>
  <c r="Q7389" i="1"/>
  <c r="O7391" i="1"/>
  <c r="O7390" i="1"/>
  <c r="I8000" i="1"/>
  <c r="M7999" i="1"/>
  <c r="G7999" i="1"/>
  <c r="O7999" i="1" s="1"/>
  <c r="Q8229" i="1"/>
  <c r="O8230" i="1"/>
  <c r="O8231" i="1"/>
  <c r="I4251" i="1"/>
  <c r="G4250" i="1"/>
  <c r="O4250" i="1" s="1"/>
  <c r="M4250" i="1"/>
  <c r="Q8589" i="1"/>
  <c r="O8591" i="1"/>
  <c r="O8590" i="1"/>
  <c r="I4851" i="1"/>
  <c r="G4850" i="1"/>
  <c r="O4850" i="1" s="1"/>
  <c r="M4850" i="1"/>
  <c r="I5091" i="1"/>
  <c r="M5090" i="1"/>
  <c r="G5090" i="1"/>
  <c r="O5090" i="1" s="1"/>
  <c r="I6800" i="1"/>
  <c r="M6799" i="1"/>
  <c r="G6799" i="1"/>
  <c r="O6799" i="1" s="1"/>
  <c r="O3641" i="1"/>
  <c r="Q3640" i="1"/>
  <c r="O3642" i="1"/>
  <c r="O7750" i="1"/>
  <c r="O7751" i="1"/>
  <c r="Q7749" i="1"/>
  <c r="O3881" i="1"/>
  <c r="O3882" i="1"/>
  <c r="Q3880" i="1"/>
  <c r="I7640" i="1"/>
  <c r="M7639" i="1"/>
  <c r="G7639" i="1"/>
  <c r="O7639" i="1" s="1"/>
  <c r="Q8119" i="1"/>
  <c r="Q7029" i="1"/>
  <c r="O7030" i="1"/>
  <c r="O7031" i="1"/>
  <c r="O7870" i="1"/>
  <c r="Q7869" i="1"/>
  <c r="O7871" i="1"/>
  <c r="I3651" i="1"/>
  <c r="G3650" i="1"/>
  <c r="O3650" i="1" s="1"/>
  <c r="M3650" i="1"/>
  <c r="O3401" i="1"/>
  <c r="Q3401" i="1" s="1"/>
  <c r="Q3400" i="1"/>
  <c r="O3402" i="1"/>
  <c r="Q7269" i="1"/>
  <c r="O7271" i="1"/>
  <c r="O7270" i="1"/>
  <c r="I7400" i="1"/>
  <c r="M7399" i="1"/>
  <c r="G7399" i="1"/>
  <c r="O7399" i="1" s="1"/>
  <c r="Q4600" i="1"/>
  <c r="O4601" i="1"/>
  <c r="O4602" i="1"/>
  <c r="I8240" i="1"/>
  <c r="G8239" i="1"/>
  <c r="O8239" i="1" s="1"/>
  <c r="M8239" i="1"/>
  <c r="Q6909" i="1"/>
  <c r="O6910" i="1"/>
  <c r="O6911" i="1"/>
  <c r="I8600" i="1"/>
  <c r="M8599" i="1"/>
  <c r="G8599" i="1"/>
  <c r="O8599" i="1" s="1"/>
  <c r="O5201" i="1"/>
  <c r="Q5200" i="1"/>
  <c r="O5202" i="1"/>
  <c r="I7040" i="1"/>
  <c r="G7039" i="1"/>
  <c r="O7039" i="1" s="1"/>
  <c r="M7039" i="1"/>
  <c r="I3411" i="1"/>
  <c r="M3410" i="1"/>
  <c r="G3410" i="1"/>
  <c r="O3410" i="1" s="1"/>
  <c r="I7760" i="1"/>
  <c r="M7759" i="1"/>
  <c r="G7759" i="1"/>
  <c r="O7759" i="1" s="1"/>
  <c r="O7511" i="1"/>
  <c r="Q7509" i="1"/>
  <c r="O7510" i="1"/>
  <c r="I3891" i="1"/>
  <c r="M3890" i="1"/>
  <c r="G3890" i="1"/>
  <c r="O3890" i="1" s="1"/>
  <c r="I8121" i="1"/>
  <c r="M8120" i="1"/>
  <c r="G8120" i="1"/>
  <c r="O8120" i="1" s="1"/>
  <c r="Q8120" i="1" s="1"/>
  <c r="I5211" i="1"/>
  <c r="G5210" i="1"/>
  <c r="O5210" i="1" s="1"/>
  <c r="M5210" i="1"/>
  <c r="O7151" i="1"/>
  <c r="Q7149" i="1"/>
  <c r="O7150" i="1"/>
  <c r="I7880" i="1"/>
  <c r="M7879" i="1"/>
  <c r="G7879" i="1"/>
  <c r="O7879" i="1" s="1"/>
  <c r="O3762" i="1"/>
  <c r="O3761" i="1"/>
  <c r="Q3760" i="1"/>
  <c r="O4482" i="1"/>
  <c r="O4481" i="1"/>
  <c r="Q4480" i="1"/>
  <c r="I7280" i="1"/>
  <c r="M7279" i="1"/>
  <c r="G7279" i="1"/>
  <c r="O7279" i="1" s="1"/>
  <c r="I4611" i="1"/>
  <c r="M4610" i="1"/>
  <c r="G4610" i="1"/>
  <c r="O4610" i="1" s="1"/>
  <c r="Q4730" i="1"/>
  <c r="I6920" i="1"/>
  <c r="M6919" i="1"/>
  <c r="G6919" i="1"/>
  <c r="O6919" i="1" s="1"/>
  <c r="O4962" i="1"/>
  <c r="Q4960" i="1"/>
  <c r="O4961" i="1"/>
  <c r="O3522" i="1"/>
  <c r="Q3520" i="1"/>
  <c r="O3521" i="1"/>
  <c r="O4723" i="1"/>
  <c r="O4719" i="1" s="1"/>
  <c r="O4718" i="1" s="1"/>
  <c r="Q4722" i="1"/>
  <c r="I3771" i="1"/>
  <c r="G3770" i="1"/>
  <c r="O3770" i="1" s="1"/>
  <c r="M3770" i="1"/>
  <c r="I7520" i="1"/>
  <c r="M7519" i="1"/>
  <c r="G7519" i="1"/>
  <c r="O7519" i="1" s="1"/>
  <c r="O4001" i="1"/>
  <c r="O4002" i="1"/>
  <c r="Q4000" i="1"/>
  <c r="Q4120" i="1"/>
  <c r="O4122" i="1"/>
  <c r="O4121" i="1"/>
  <c r="I4732" i="1"/>
  <c r="M4731" i="1"/>
  <c r="G4731" i="1"/>
  <c r="O4731" i="1" s="1"/>
  <c r="Q4731" i="1" s="1"/>
  <c r="I4971" i="1"/>
  <c r="G4970" i="1"/>
  <c r="O4970" i="1" s="1"/>
  <c r="M4970" i="1"/>
  <c r="I3531" i="1"/>
  <c r="M3530" i="1"/>
  <c r="G3530" i="1"/>
  <c r="O3530" i="1" s="1"/>
  <c r="I7160" i="1"/>
  <c r="G7159" i="1"/>
  <c r="O7159" i="1" s="1"/>
  <c r="M7159" i="1"/>
  <c r="O8710" i="1"/>
  <c r="Q8709" i="1"/>
  <c r="O8711" i="1"/>
  <c r="I4491" i="1"/>
  <c r="M4490" i="1"/>
  <c r="G4490" i="1"/>
  <c r="O4490" i="1" s="1"/>
  <c r="O5321" i="1"/>
  <c r="Q5320" i="1"/>
  <c r="O5322" i="1"/>
  <c r="Q4360" i="1"/>
  <c r="O4361" i="1"/>
  <c r="O4362" i="1"/>
  <c r="O7991" i="1"/>
  <c r="O7990" i="1"/>
  <c r="Q7989" i="1"/>
  <c r="I4011" i="1"/>
  <c r="M4010" i="1"/>
  <c r="G4010" i="1"/>
  <c r="O4010" i="1" s="1"/>
  <c r="Q492" i="1"/>
  <c r="Q1212" i="1"/>
  <c r="G1702" i="1"/>
  <c r="O1702" i="1" s="1"/>
  <c r="Q1702" i="1" s="1"/>
  <c r="G862" i="1"/>
  <c r="O862" i="1" s="1"/>
  <c r="Q862" i="1" s="1"/>
  <c r="G1222" i="1"/>
  <c r="O1222" i="1" s="1"/>
  <c r="Q1222" i="1" s="1"/>
  <c r="G1822" i="1"/>
  <c r="O1822" i="1" s="1"/>
  <c r="Q1822" i="1" s="1"/>
  <c r="G1582" i="1"/>
  <c r="O1582" i="1" s="1"/>
  <c r="Q1582" i="1" s="1"/>
  <c r="G1342" i="1"/>
  <c r="O1342" i="1" s="1"/>
  <c r="Q1342" i="1" s="1"/>
  <c r="G982" i="1"/>
  <c r="O982" i="1" s="1"/>
  <c r="Q982" i="1" s="1"/>
  <c r="I992" i="1"/>
  <c r="I988" i="1"/>
  <c r="I989" i="1" s="1"/>
  <c r="I1588" i="1"/>
  <c r="I1589" i="1" s="1"/>
  <c r="I1592" i="1"/>
  <c r="I1952" i="1"/>
  <c r="I1948" i="1"/>
  <c r="I1949" i="1" s="1"/>
  <c r="I1828" i="1"/>
  <c r="I1829" i="1" s="1"/>
  <c r="I1832" i="1"/>
  <c r="I1468" i="1"/>
  <c r="I1469" i="1" s="1"/>
  <c r="I1472" i="1"/>
  <c r="I1108" i="1"/>
  <c r="I1109" i="1" s="1"/>
  <c r="I1112" i="1"/>
  <c r="I1352" i="1"/>
  <c r="I1348" i="1"/>
  <c r="I1349" i="1" s="1"/>
  <c r="I872" i="1"/>
  <c r="I868" i="1"/>
  <c r="I869" i="1" s="1"/>
  <c r="I1712" i="1"/>
  <c r="I1708" i="1"/>
  <c r="I1709" i="1" s="1"/>
  <c r="I1228" i="1"/>
  <c r="I1229" i="1" s="1"/>
  <c r="I1232" i="1"/>
  <c r="O133" i="1"/>
  <c r="Q12" i="1"/>
  <c r="O253" i="1"/>
  <c r="O254" i="1"/>
  <c r="Q254" i="1" s="1"/>
  <c r="K3031" i="1"/>
  <c r="I503" i="1"/>
  <c r="G503" i="1" s="1"/>
  <c r="O503" i="1" s="1"/>
  <c r="Q503" i="1" s="1"/>
  <c r="G502" i="1"/>
  <c r="O502" i="1" s="1"/>
  <c r="Q502" i="1" s="1"/>
  <c r="M502" i="1"/>
  <c r="O493" i="1"/>
  <c r="O494" i="1"/>
  <c r="O974" i="1"/>
  <c r="Q974" i="1" s="1"/>
  <c r="O973" i="1"/>
  <c r="O613" i="1"/>
  <c r="O614" i="1"/>
  <c r="Q614" i="1" s="1"/>
  <c r="O1334" i="1"/>
  <c r="Q1334" i="1" s="1"/>
  <c r="O1333" i="1"/>
  <c r="O1574" i="1"/>
  <c r="Q1574" i="1" s="1"/>
  <c r="O1573" i="1"/>
  <c r="O1693" i="1"/>
  <c r="O1694" i="1"/>
  <c r="Q1694" i="1" s="1"/>
  <c r="O1933" i="1"/>
  <c r="O1934" i="1"/>
  <c r="Q1934" i="1" s="1"/>
  <c r="O14" i="1"/>
  <c r="O13" i="1"/>
  <c r="Q13" i="1" s="1"/>
  <c r="O134" i="1"/>
  <c r="Q134" i="1" s="1"/>
  <c r="O1814" i="1"/>
  <c r="Q1814" i="1" s="1"/>
  <c r="O1813" i="1"/>
  <c r="O1093" i="1"/>
  <c r="O1094" i="1"/>
  <c r="O854" i="1"/>
  <c r="Q854" i="1" s="1"/>
  <c r="O853" i="1"/>
  <c r="O1453" i="1"/>
  <c r="O1454" i="1"/>
  <c r="Q1454" i="1" s="1"/>
  <c r="O1213" i="1"/>
  <c r="O1214" i="1"/>
  <c r="Q1214" i="1" s="1"/>
  <c r="O374" i="1"/>
  <c r="Q374" i="1" s="1"/>
  <c r="O373" i="1"/>
  <c r="O734" i="1"/>
  <c r="Q734" i="1" s="1"/>
  <c r="O733" i="1"/>
  <c r="G863" i="1"/>
  <c r="M862" i="1"/>
  <c r="M1462" i="1"/>
  <c r="G1463" i="1"/>
  <c r="G1703" i="1"/>
  <c r="M1702" i="1"/>
  <c r="I23" i="1"/>
  <c r="G23" i="1" s="1"/>
  <c r="M22" i="1"/>
  <c r="M1342" i="1"/>
  <c r="G1343" i="1"/>
  <c r="O1942" i="1"/>
  <c r="Q1942" i="1" s="1"/>
  <c r="G1943" i="1"/>
  <c r="M1942" i="1"/>
  <c r="M982" i="1"/>
  <c r="G983" i="1"/>
  <c r="I143" i="1"/>
  <c r="G143" i="1" s="1"/>
  <c r="M142" i="1"/>
  <c r="O142" i="1"/>
  <c r="Q142" i="1" s="1"/>
  <c r="O622" i="1"/>
  <c r="Q622" i="1" s="1"/>
  <c r="I623" i="1"/>
  <c r="G623" i="1" s="1"/>
  <c r="M622" i="1"/>
  <c r="G1103" i="1"/>
  <c r="M1102" i="1"/>
  <c r="O1102" i="1"/>
  <c r="Q1102" i="1" s="1"/>
  <c r="G1583" i="1"/>
  <c r="M1582" i="1"/>
  <c r="I263" i="1"/>
  <c r="G263" i="1" s="1"/>
  <c r="M262" i="1"/>
  <c r="O262" i="1"/>
  <c r="Q262" i="1" s="1"/>
  <c r="M1822" i="1"/>
  <c r="G1823" i="1"/>
  <c r="G1223" i="1"/>
  <c r="M1222" i="1"/>
  <c r="I383" i="1"/>
  <c r="G383" i="1" s="1"/>
  <c r="M382" i="1"/>
  <c r="O382" i="1"/>
  <c r="Q382" i="1" s="1"/>
  <c r="I743" i="1"/>
  <c r="G743" i="1" s="1"/>
  <c r="O742" i="1"/>
  <c r="Q742" i="1" s="1"/>
  <c r="M742" i="1"/>
  <c r="K552" i="1"/>
  <c r="K38" i="1"/>
  <c r="K40" i="1" s="1"/>
  <c r="K45" i="1" s="1"/>
  <c r="K51" i="1" s="1"/>
  <c r="O7992" i="1" l="1"/>
  <c r="Q7991" i="1"/>
  <c r="O4123" i="1"/>
  <c r="O4119" i="1" s="1"/>
  <c r="O4118" i="1" s="1"/>
  <c r="Q4122" i="1"/>
  <c r="I3772" i="1"/>
  <c r="G3771" i="1"/>
  <c r="O3771" i="1" s="1"/>
  <c r="Q3771" i="1" s="1"/>
  <c r="M3771" i="1"/>
  <c r="I6921" i="1"/>
  <c r="M6920" i="1"/>
  <c r="G6920" i="1"/>
  <c r="O6920" i="1" s="1"/>
  <c r="Q6920" i="1" s="1"/>
  <c r="Q6799" i="1"/>
  <c r="I8721" i="1"/>
  <c r="M8720" i="1"/>
  <c r="G8720" i="1"/>
  <c r="O8720" i="1" s="1"/>
  <c r="Q8720" i="1" s="1"/>
  <c r="I8361" i="1"/>
  <c r="G8360" i="1"/>
  <c r="O8360" i="1" s="1"/>
  <c r="Q8360" i="1" s="1"/>
  <c r="M8360" i="1"/>
  <c r="Q4130" i="1"/>
  <c r="I3532" i="1"/>
  <c r="M3531" i="1"/>
  <c r="G3531" i="1"/>
  <c r="O3531" i="1" s="1"/>
  <c r="Q3531" i="1" s="1"/>
  <c r="O3523" i="1"/>
  <c r="Q3522" i="1"/>
  <c r="Q7279" i="1"/>
  <c r="Q7511" i="1"/>
  <c r="O7512" i="1"/>
  <c r="Q7759" i="1"/>
  <c r="O5203" i="1"/>
  <c r="O5199" i="1" s="1"/>
  <c r="O5198" i="1" s="1"/>
  <c r="Q5202" i="1"/>
  <c r="Q7639" i="1"/>
  <c r="O7752" i="1"/>
  <c r="O7748" i="1" s="1"/>
  <c r="O7747" i="1" s="1"/>
  <c r="Q7751" i="1"/>
  <c r="O8592" i="1"/>
  <c r="O8588" i="1" s="1"/>
  <c r="O8587" i="1" s="1"/>
  <c r="Q8591" i="1"/>
  <c r="Q8479" i="1"/>
  <c r="I4132" i="1"/>
  <c r="G4131" i="1"/>
  <c r="O4131" i="1" s="1"/>
  <c r="Q4131" i="1" s="1"/>
  <c r="M4131" i="1"/>
  <c r="Q4490" i="1"/>
  <c r="Q4970" i="1"/>
  <c r="Q7879" i="1"/>
  <c r="Q8239" i="1"/>
  <c r="Q7399" i="1"/>
  <c r="Q3650" i="1"/>
  <c r="Q7871" i="1"/>
  <c r="O7872" i="1"/>
  <c r="O7868" i="1" s="1"/>
  <c r="O7867" i="1" s="1"/>
  <c r="I6801" i="1"/>
  <c r="M6800" i="1"/>
  <c r="G6800" i="1"/>
  <c r="O6800" i="1" s="1"/>
  <c r="Q6800" i="1" s="1"/>
  <c r="Q5082" i="1"/>
  <c r="O5083" i="1"/>
  <c r="O5079" i="1" s="1"/>
  <c r="O5078" i="1" s="1"/>
  <c r="I8481" i="1"/>
  <c r="G8480" i="1"/>
  <c r="O8480" i="1" s="1"/>
  <c r="Q8480" i="1" s="1"/>
  <c r="M8480" i="1"/>
  <c r="Q8471" i="1"/>
  <c r="O8472" i="1"/>
  <c r="O8468" i="1" s="1"/>
  <c r="O8467" i="1" s="1"/>
  <c r="I4972" i="1"/>
  <c r="G4971" i="1"/>
  <c r="O4971" i="1" s="1"/>
  <c r="Q4971" i="1" s="1"/>
  <c r="M4971" i="1"/>
  <c r="Q7519" i="1"/>
  <c r="Q4610" i="1"/>
  <c r="I7281" i="1"/>
  <c r="G7280" i="1"/>
  <c r="O7280" i="1" s="1"/>
  <c r="Q7280" i="1" s="1"/>
  <c r="M7280" i="1"/>
  <c r="Q5210" i="1"/>
  <c r="I7761" i="1"/>
  <c r="M7760" i="1"/>
  <c r="G7760" i="1"/>
  <c r="O7760" i="1" s="1"/>
  <c r="Q7760" i="1" s="1"/>
  <c r="Q8599" i="1"/>
  <c r="I8241" i="1"/>
  <c r="M8240" i="1"/>
  <c r="G8240" i="1"/>
  <c r="O8240" i="1" s="1"/>
  <c r="Q8240" i="1" s="1"/>
  <c r="I3652" i="1"/>
  <c r="G3651" i="1"/>
  <c r="O3651" i="1" s="1"/>
  <c r="Q3651" i="1" s="1"/>
  <c r="M3651" i="1"/>
  <c r="I7641" i="1"/>
  <c r="M7640" i="1"/>
  <c r="G7640" i="1"/>
  <c r="O7640" i="1" s="1"/>
  <c r="Q7640" i="1" s="1"/>
  <c r="Q5090" i="1"/>
  <c r="Q4242" i="1"/>
  <c r="O4243" i="1"/>
  <c r="O4239" i="1" s="1"/>
  <c r="O4238" i="1" s="1"/>
  <c r="O7632" i="1"/>
  <c r="O7628" i="1" s="1"/>
  <c r="O7627" i="1" s="1"/>
  <c r="Q7631" i="1"/>
  <c r="I4492" i="1"/>
  <c r="G4491" i="1"/>
  <c r="O4491" i="1" s="1"/>
  <c r="Q4491" i="1" s="1"/>
  <c r="M4491" i="1"/>
  <c r="Q8711" i="1"/>
  <c r="O8712" i="1"/>
  <c r="O8708" i="1" s="1"/>
  <c r="O8707" i="1" s="1"/>
  <c r="I7881" i="1"/>
  <c r="G7880" i="1"/>
  <c r="O7880" i="1" s="1"/>
  <c r="Q7880" i="1" s="1"/>
  <c r="M7880" i="1"/>
  <c r="I5212" i="1"/>
  <c r="G5211" i="1"/>
  <c r="O5211" i="1" s="1"/>
  <c r="Q5211" i="1" s="1"/>
  <c r="M5211" i="1"/>
  <c r="Q3890" i="1"/>
  <c r="Q3410" i="1"/>
  <c r="O4603" i="1"/>
  <c r="Q4602" i="1"/>
  <c r="I7401" i="1"/>
  <c r="M7400" i="1"/>
  <c r="G7400" i="1"/>
  <c r="O7400" i="1" s="1"/>
  <c r="Q7400" i="1" s="1"/>
  <c r="Q4250" i="1"/>
  <c r="Q5330" i="1"/>
  <c r="Q4370" i="1"/>
  <c r="Q4010" i="1"/>
  <c r="Q7159" i="1"/>
  <c r="I7521" i="1"/>
  <c r="M7520" i="1"/>
  <c r="G7520" i="1"/>
  <c r="O7520" i="1" s="1"/>
  <c r="Q7520" i="1" s="1"/>
  <c r="Q4962" i="1"/>
  <c r="O4963" i="1"/>
  <c r="O4959" i="1" s="1"/>
  <c r="O4958" i="1" s="1"/>
  <c r="I4612" i="1"/>
  <c r="M4611" i="1"/>
  <c r="G4611" i="1"/>
  <c r="O4611" i="1" s="1"/>
  <c r="Q4611" i="1" s="1"/>
  <c r="O4483" i="1"/>
  <c r="O4479" i="1" s="1"/>
  <c r="O4478" i="1" s="1"/>
  <c r="Q4482" i="1"/>
  <c r="Q7039" i="1"/>
  <c r="I8601" i="1"/>
  <c r="G8600" i="1"/>
  <c r="O8600" i="1" s="1"/>
  <c r="Q8600" i="1" s="1"/>
  <c r="M8600" i="1"/>
  <c r="O4599" i="1"/>
  <c r="O4598" i="1" s="1"/>
  <c r="O7272" i="1"/>
  <c r="O7268" i="1" s="1"/>
  <c r="O7267" i="1" s="1"/>
  <c r="Q7271" i="1"/>
  <c r="O3403" i="1"/>
  <c r="O3399" i="1" s="1"/>
  <c r="O3398" i="1" s="1"/>
  <c r="Q3402" i="1"/>
  <c r="Q7031" i="1"/>
  <c r="O7032" i="1"/>
  <c r="O7028" i="1" s="1"/>
  <c r="O7027" i="1" s="1"/>
  <c r="Q3642" i="1"/>
  <c r="O3643" i="1"/>
  <c r="O3639" i="1" s="1"/>
  <c r="O3638" i="1" s="1"/>
  <c r="I5092" i="1"/>
  <c r="M5091" i="1"/>
  <c r="G5091" i="1"/>
  <c r="O5091" i="1" s="1"/>
  <c r="Q5091" i="1" s="1"/>
  <c r="I4252" i="1"/>
  <c r="G4251" i="1"/>
  <c r="O4251" i="1" s="1"/>
  <c r="Q4251" i="1" s="1"/>
  <c r="M4251" i="1"/>
  <c r="Q7999" i="1"/>
  <c r="Q8351" i="1"/>
  <c r="O8352" i="1"/>
  <c r="O8348" i="1" s="1"/>
  <c r="O8347" i="1" s="1"/>
  <c r="O4363" i="1"/>
  <c r="O4359" i="1" s="1"/>
  <c r="O4358" i="1" s="1"/>
  <c r="Q4362" i="1"/>
  <c r="I7161" i="1"/>
  <c r="M7160" i="1"/>
  <c r="G7160" i="1"/>
  <c r="O7160" i="1" s="1"/>
  <c r="Q7160" i="1" s="1"/>
  <c r="I4733" i="1"/>
  <c r="M4732" i="1"/>
  <c r="G4732" i="1"/>
  <c r="O4732" i="1" s="1"/>
  <c r="Q4732" i="1" s="1"/>
  <c r="Q6919" i="1"/>
  <c r="Q3762" i="1"/>
  <c r="O3763" i="1"/>
  <c r="O3759" i="1" s="1"/>
  <c r="O3758" i="1" s="1"/>
  <c r="I3892" i="1"/>
  <c r="M3891" i="1"/>
  <c r="G3891" i="1"/>
  <c r="O3891" i="1" s="1"/>
  <c r="Q3891" i="1" s="1"/>
  <c r="I3412" i="1"/>
  <c r="M3411" i="1"/>
  <c r="G3411" i="1"/>
  <c r="O3411" i="1" s="1"/>
  <c r="Q3411" i="1" s="1"/>
  <c r="I7041" i="1"/>
  <c r="G7040" i="1"/>
  <c r="O7040" i="1" s="1"/>
  <c r="Q7040" i="1" s="1"/>
  <c r="M7040" i="1"/>
  <c r="Q6911" i="1"/>
  <c r="O6912" i="1"/>
  <c r="O6908" i="1" s="1"/>
  <c r="O6907" i="1" s="1"/>
  <c r="O3883" i="1"/>
  <c r="O3879" i="1" s="1"/>
  <c r="O3878" i="1" s="1"/>
  <c r="Q3882" i="1"/>
  <c r="Q4850" i="1"/>
  <c r="O8232" i="1"/>
  <c r="O8228" i="1" s="1"/>
  <c r="O8227" i="1" s="1"/>
  <c r="Q8231" i="1"/>
  <c r="I5332" i="1"/>
  <c r="M5331" i="1"/>
  <c r="G5331" i="1"/>
  <c r="O5331" i="1" s="1"/>
  <c r="Q5331" i="1" s="1"/>
  <c r="Q8719" i="1"/>
  <c r="Q6791" i="1"/>
  <c r="O6792" i="1"/>
  <c r="O6788" i="1" s="1"/>
  <c r="O6787" i="1" s="1"/>
  <c r="Q8359" i="1"/>
  <c r="I4372" i="1"/>
  <c r="G4371" i="1"/>
  <c r="O4371" i="1" s="1"/>
  <c r="Q4371" i="1" s="1"/>
  <c r="M4371" i="1"/>
  <c r="O4843" i="1"/>
  <c r="O4839" i="1" s="1"/>
  <c r="O4838" i="1" s="1"/>
  <c r="Q4842" i="1"/>
  <c r="I4012" i="1"/>
  <c r="G4011" i="1"/>
  <c r="O4011" i="1" s="1"/>
  <c r="Q4011" i="1" s="1"/>
  <c r="M4011" i="1"/>
  <c r="O7988" i="1"/>
  <c r="O7987" i="1" s="1"/>
  <c r="Q5322" i="1"/>
  <c r="O5323" i="1"/>
  <c r="O5319" i="1" s="1"/>
  <c r="O5318" i="1" s="1"/>
  <c r="Q3530" i="1"/>
  <c r="Q4002" i="1"/>
  <c r="O4003" i="1"/>
  <c r="O3999" i="1" s="1"/>
  <c r="O3998" i="1" s="1"/>
  <c r="Q3770" i="1"/>
  <c r="O3519" i="1"/>
  <c r="O3518" i="1" s="1"/>
  <c r="Q7151" i="1"/>
  <c r="O7152" i="1"/>
  <c r="O7148" i="1" s="1"/>
  <c r="O7147" i="1" s="1"/>
  <c r="I8122" i="1"/>
  <c r="M8121" i="1"/>
  <c r="G8121" i="1"/>
  <c r="O8121" i="1" s="1"/>
  <c r="Q8121" i="1" s="1"/>
  <c r="O7508" i="1"/>
  <c r="O7507" i="1" s="1"/>
  <c r="I4852" i="1"/>
  <c r="M4851" i="1"/>
  <c r="G4851" i="1"/>
  <c r="O4851" i="1" s="1"/>
  <c r="Q4851" i="1" s="1"/>
  <c r="I8001" i="1"/>
  <c r="M8000" i="1"/>
  <c r="G8000" i="1"/>
  <c r="O8000" i="1" s="1"/>
  <c r="Q8000" i="1" s="1"/>
  <c r="Q7391" i="1"/>
  <c r="O7392" i="1"/>
  <c r="O7388" i="1" s="1"/>
  <c r="O7387" i="1" s="1"/>
  <c r="Q1094" i="1"/>
  <c r="Q14" i="1"/>
  <c r="Q494" i="1"/>
  <c r="I1833" i="1"/>
  <c r="I1834" i="1" s="1"/>
  <c r="I1836" i="1"/>
  <c r="I1837" i="1" s="1"/>
  <c r="I1838" i="1" s="1"/>
  <c r="I1840" i="1" s="1"/>
  <c r="I1845" i="1" s="1"/>
  <c r="I1851" i="1" s="1"/>
  <c r="I1853" i="1" s="1"/>
  <c r="I1854" i="1" s="1"/>
  <c r="I873" i="1"/>
  <c r="I874" i="1" s="1"/>
  <c r="I876" i="1"/>
  <c r="I877" i="1" s="1"/>
  <c r="I878" i="1" s="1"/>
  <c r="I880" i="1" s="1"/>
  <c r="I885" i="1" s="1"/>
  <c r="I891" i="1" s="1"/>
  <c r="I893" i="1" s="1"/>
  <c r="I894" i="1" s="1"/>
  <c r="I1353" i="1"/>
  <c r="I1354" i="1" s="1"/>
  <c r="I1356" i="1"/>
  <c r="I1357" i="1" s="1"/>
  <c r="I1358" i="1" s="1"/>
  <c r="I1360" i="1" s="1"/>
  <c r="I1365" i="1" s="1"/>
  <c r="I1371" i="1" s="1"/>
  <c r="I1373" i="1" s="1"/>
  <c r="I1374" i="1" s="1"/>
  <c r="I1953" i="1"/>
  <c r="I1954" i="1" s="1"/>
  <c r="I1956" i="1"/>
  <c r="I1957" i="1" s="1"/>
  <c r="I1958" i="1" s="1"/>
  <c r="I1960" i="1" s="1"/>
  <c r="I1965" i="1" s="1"/>
  <c r="I1971" i="1" s="1"/>
  <c r="I1973" i="1" s="1"/>
  <c r="I1974" i="1" s="1"/>
  <c r="I1233" i="1"/>
  <c r="I1234" i="1" s="1"/>
  <c r="I1236" i="1"/>
  <c r="I1237" i="1" s="1"/>
  <c r="I1238" i="1" s="1"/>
  <c r="I1240" i="1" s="1"/>
  <c r="I1245" i="1" s="1"/>
  <c r="I1251" i="1" s="1"/>
  <c r="I1253" i="1" s="1"/>
  <c r="I1254" i="1" s="1"/>
  <c r="I1113" i="1"/>
  <c r="I1114" i="1" s="1"/>
  <c r="I1116" i="1"/>
  <c r="I1117" i="1" s="1"/>
  <c r="I1118" i="1" s="1"/>
  <c r="I1120" i="1" s="1"/>
  <c r="I1125" i="1" s="1"/>
  <c r="I1131" i="1" s="1"/>
  <c r="I1133" i="1" s="1"/>
  <c r="I1134" i="1" s="1"/>
  <c r="I1593" i="1"/>
  <c r="I1594" i="1" s="1"/>
  <c r="I1596" i="1"/>
  <c r="I1597" i="1" s="1"/>
  <c r="I1598" i="1" s="1"/>
  <c r="I1600" i="1" s="1"/>
  <c r="I1605" i="1" s="1"/>
  <c r="I1611" i="1" s="1"/>
  <c r="I1613" i="1" s="1"/>
  <c r="I1614" i="1" s="1"/>
  <c r="I1473" i="1"/>
  <c r="I1474" i="1" s="1"/>
  <c r="I1476" i="1"/>
  <c r="I1477" i="1" s="1"/>
  <c r="I1478" i="1" s="1"/>
  <c r="I1480" i="1" s="1"/>
  <c r="I1485" i="1" s="1"/>
  <c r="I1491" i="1" s="1"/>
  <c r="I1493" i="1" s="1"/>
  <c r="I1494" i="1" s="1"/>
  <c r="I1716" i="1"/>
  <c r="I1717" i="1" s="1"/>
  <c r="I1718" i="1" s="1"/>
  <c r="I1720" i="1" s="1"/>
  <c r="I1725" i="1" s="1"/>
  <c r="I1731" i="1" s="1"/>
  <c r="I1733" i="1" s="1"/>
  <c r="I1734" i="1" s="1"/>
  <c r="I1713" i="1"/>
  <c r="I1714" i="1" s="1"/>
  <c r="I993" i="1"/>
  <c r="I994" i="1" s="1"/>
  <c r="I996" i="1"/>
  <c r="I997" i="1" s="1"/>
  <c r="I998" i="1" s="1"/>
  <c r="I1000" i="1" s="1"/>
  <c r="I1005" i="1" s="1"/>
  <c r="I1011" i="1" s="1"/>
  <c r="I1013" i="1" s="1"/>
  <c r="I1014" i="1" s="1"/>
  <c r="M503" i="1"/>
  <c r="O255" i="1"/>
  <c r="K3032" i="1"/>
  <c r="I504" i="1"/>
  <c r="G504" i="1" s="1"/>
  <c r="O504" i="1" s="1"/>
  <c r="Q504" i="1" s="1"/>
  <c r="O495" i="1"/>
  <c r="O15" i="1"/>
  <c r="O735" i="1"/>
  <c r="O375" i="1"/>
  <c r="O1455" i="1"/>
  <c r="O135" i="1"/>
  <c r="O1695" i="1"/>
  <c r="O1575" i="1"/>
  <c r="O1215" i="1"/>
  <c r="O855" i="1"/>
  <c r="O1935" i="1"/>
  <c r="O1335" i="1"/>
  <c r="O1095" i="1"/>
  <c r="O615" i="1"/>
  <c r="O975" i="1"/>
  <c r="O1815" i="1"/>
  <c r="O1343" i="1"/>
  <c r="Q1343" i="1" s="1"/>
  <c r="G1344" i="1"/>
  <c r="M1343" i="1"/>
  <c r="I384" i="1"/>
  <c r="G384" i="1" s="1"/>
  <c r="M383" i="1"/>
  <c r="O383" i="1"/>
  <c r="Q383" i="1" s="1"/>
  <c r="O623" i="1"/>
  <c r="Q623" i="1" s="1"/>
  <c r="I624" i="1"/>
  <c r="G624" i="1" s="1"/>
  <c r="M623" i="1"/>
  <c r="M983" i="1"/>
  <c r="G984" i="1"/>
  <c r="O983" i="1"/>
  <c r="Q983" i="1" s="1"/>
  <c r="M1223" i="1"/>
  <c r="G1224" i="1"/>
  <c r="O1223" i="1"/>
  <c r="Q1223" i="1" s="1"/>
  <c r="M1583" i="1"/>
  <c r="O1583" i="1"/>
  <c r="Q1583" i="1" s="1"/>
  <c r="G1584" i="1"/>
  <c r="M143" i="1"/>
  <c r="O143" i="1"/>
  <c r="I144" i="1"/>
  <c r="G144" i="1" s="1"/>
  <c r="G1464" i="1"/>
  <c r="M1463" i="1"/>
  <c r="O1463" i="1"/>
  <c r="Q1463" i="1" s="1"/>
  <c r="M743" i="1"/>
  <c r="O743" i="1"/>
  <c r="I744" i="1"/>
  <c r="G744" i="1" s="1"/>
  <c r="O1823" i="1"/>
  <c r="Q1823" i="1" s="1"/>
  <c r="M1823" i="1"/>
  <c r="G1824" i="1"/>
  <c r="I264" i="1"/>
  <c r="G264" i="1" s="1"/>
  <c r="O263" i="1"/>
  <c r="Q263" i="1" s="1"/>
  <c r="M263" i="1"/>
  <c r="O1103" i="1"/>
  <c r="Q1103" i="1" s="1"/>
  <c r="G1104" i="1"/>
  <c r="M1103" i="1"/>
  <c r="M1943" i="1"/>
  <c r="G1944" i="1"/>
  <c r="O1943" i="1"/>
  <c r="Q1943" i="1" s="1"/>
  <c r="G864" i="1"/>
  <c r="O863" i="1"/>
  <c r="Q863" i="1" s="1"/>
  <c r="M863" i="1"/>
  <c r="I24" i="1"/>
  <c r="G24" i="1" s="1"/>
  <c r="M23" i="1"/>
  <c r="O1703" i="1"/>
  <c r="Q1703" i="1" s="1"/>
  <c r="M1703" i="1"/>
  <c r="G1704" i="1"/>
  <c r="K553" i="1"/>
  <c r="I8002" i="1" l="1"/>
  <c r="G8001" i="1"/>
  <c r="O8001" i="1" s="1"/>
  <c r="M8001" i="1"/>
  <c r="I3413" i="1"/>
  <c r="G3412" i="1"/>
  <c r="O3412" i="1" s="1"/>
  <c r="Q3412" i="1" s="1"/>
  <c r="M3412" i="1"/>
  <c r="I8482" i="1"/>
  <c r="M8481" i="1"/>
  <c r="G8481" i="1"/>
  <c r="O8481" i="1" s="1"/>
  <c r="Q8481" i="1" s="1"/>
  <c r="I3773" i="1"/>
  <c r="M3772" i="1"/>
  <c r="G3772" i="1"/>
  <c r="O3772" i="1" s="1"/>
  <c r="I4013" i="1"/>
  <c r="G4012" i="1"/>
  <c r="O4012" i="1" s="1"/>
  <c r="Q4012" i="1" s="1"/>
  <c r="M4012" i="1"/>
  <c r="I4373" i="1"/>
  <c r="G4372" i="1"/>
  <c r="O4372" i="1" s="1"/>
  <c r="Q4372" i="1" s="1"/>
  <c r="M4372" i="1"/>
  <c r="I4734" i="1"/>
  <c r="M4733" i="1"/>
  <c r="G4733" i="1"/>
  <c r="O4733" i="1" s="1"/>
  <c r="Q4733" i="1" s="1"/>
  <c r="I5093" i="1"/>
  <c r="M5092" i="1"/>
  <c r="G5092" i="1"/>
  <c r="O5092" i="1" s="1"/>
  <c r="Q5092" i="1" s="1"/>
  <c r="I7882" i="1"/>
  <c r="M7881" i="1"/>
  <c r="G7881" i="1"/>
  <c r="O7881" i="1" s="1"/>
  <c r="I3893" i="1"/>
  <c r="M3892" i="1"/>
  <c r="G3892" i="1"/>
  <c r="O3892" i="1" s="1"/>
  <c r="Q3892" i="1" s="1"/>
  <c r="I4493" i="1"/>
  <c r="M4492" i="1"/>
  <c r="G4492" i="1"/>
  <c r="O4492" i="1" s="1"/>
  <c r="Q4492" i="1" s="1"/>
  <c r="I7762" i="1"/>
  <c r="M7761" i="1"/>
  <c r="G7761" i="1"/>
  <c r="O7761" i="1" s="1"/>
  <c r="I5333" i="1"/>
  <c r="G5332" i="1"/>
  <c r="O5332" i="1" s="1"/>
  <c r="Q5332" i="1" s="1"/>
  <c r="M5332" i="1"/>
  <c r="I8602" i="1"/>
  <c r="M8601" i="1"/>
  <c r="G8601" i="1"/>
  <c r="O8601" i="1" s="1"/>
  <c r="Q8601" i="1" s="1"/>
  <c r="I4613" i="1"/>
  <c r="G4612" i="1"/>
  <c r="O4612" i="1" s="1"/>
  <c r="Q4612" i="1" s="1"/>
  <c r="M4612" i="1"/>
  <c r="I7402" i="1"/>
  <c r="G7401" i="1"/>
  <c r="O7401" i="1" s="1"/>
  <c r="Q7401" i="1" s="1"/>
  <c r="M7401" i="1"/>
  <c r="I6922" i="1"/>
  <c r="M6921" i="1"/>
  <c r="G6921" i="1"/>
  <c r="O6921" i="1" s="1"/>
  <c r="I4853" i="1"/>
  <c r="G4852" i="1"/>
  <c r="O4852" i="1" s="1"/>
  <c r="Q4852" i="1" s="1"/>
  <c r="M4852" i="1"/>
  <c r="I7162" i="1"/>
  <c r="M7161" i="1"/>
  <c r="G7161" i="1"/>
  <c r="O7161" i="1" s="1"/>
  <c r="Q7161" i="1" s="1"/>
  <c r="I7642" i="1"/>
  <c r="M7641" i="1"/>
  <c r="G7641" i="1"/>
  <c r="O7641" i="1" s="1"/>
  <c r="Q7641" i="1" s="1"/>
  <c r="I3653" i="1"/>
  <c r="G3652" i="1"/>
  <c r="O3652" i="1" s="1"/>
  <c r="Q3652" i="1" s="1"/>
  <c r="M3652" i="1"/>
  <c r="I7282" i="1"/>
  <c r="G7281" i="1"/>
  <c r="O7281" i="1" s="1"/>
  <c r="Q7281" i="1" s="1"/>
  <c r="M7281" i="1"/>
  <c r="I6802" i="1"/>
  <c r="M6801" i="1"/>
  <c r="G6801" i="1"/>
  <c r="O6801" i="1" s="1"/>
  <c r="Q6801" i="1" s="1"/>
  <c r="I3533" i="1"/>
  <c r="M3532" i="1"/>
  <c r="G3532" i="1"/>
  <c r="O3532" i="1" s="1"/>
  <c r="I8722" i="1"/>
  <c r="M8721" i="1"/>
  <c r="G8721" i="1"/>
  <c r="O8721" i="1" s="1"/>
  <c r="I8123" i="1"/>
  <c r="G8122" i="1"/>
  <c r="O8122" i="1" s="1"/>
  <c r="M8122" i="1"/>
  <c r="I7042" i="1"/>
  <c r="G7041" i="1"/>
  <c r="O7041" i="1" s="1"/>
  <c r="Q7041" i="1" s="1"/>
  <c r="M7041" i="1"/>
  <c r="I7522" i="1"/>
  <c r="M7521" i="1"/>
  <c r="G7521" i="1"/>
  <c r="O7521" i="1" s="1"/>
  <c r="Q7521" i="1" s="1"/>
  <c r="I4133" i="1"/>
  <c r="G4132" i="1"/>
  <c r="O4132" i="1" s="1"/>
  <c r="Q4132" i="1" s="1"/>
  <c r="M4132" i="1"/>
  <c r="I8362" i="1"/>
  <c r="G8361" i="1"/>
  <c r="O8361" i="1" s="1"/>
  <c r="M8361" i="1"/>
  <c r="I4253" i="1"/>
  <c r="M4252" i="1"/>
  <c r="G4252" i="1"/>
  <c r="O4252" i="1" s="1"/>
  <c r="Q4252" i="1" s="1"/>
  <c r="I5213" i="1"/>
  <c r="G5212" i="1"/>
  <c r="O5212" i="1" s="1"/>
  <c r="Q5212" i="1" s="1"/>
  <c r="M5212" i="1"/>
  <c r="I8242" i="1"/>
  <c r="G8241" i="1"/>
  <c r="O8241" i="1" s="1"/>
  <c r="Q8241" i="1" s="1"/>
  <c r="M8241" i="1"/>
  <c r="I4973" i="1"/>
  <c r="G4972" i="1"/>
  <c r="O4972" i="1" s="1"/>
  <c r="Q4972" i="1" s="1"/>
  <c r="M4972" i="1"/>
  <c r="Q143" i="1"/>
  <c r="Q743" i="1"/>
  <c r="I1498" i="1"/>
  <c r="I1500" i="1" s="1"/>
  <c r="I1501" i="1" s="1"/>
  <c r="I1502" i="1" s="1"/>
  <c r="I1503" i="1" s="1"/>
  <c r="I1504" i="1" s="1"/>
  <c r="I1505" i="1" s="1"/>
  <c r="I1506" i="1" s="1"/>
  <c r="I1507" i="1" s="1"/>
  <c r="I1508" i="1" s="1"/>
  <c r="I1495" i="1"/>
  <c r="I1496" i="1" s="1"/>
  <c r="I1497" i="1" s="1"/>
  <c r="I1975" i="1"/>
  <c r="I1976" i="1" s="1"/>
  <c r="I1977" i="1" s="1"/>
  <c r="I1978" i="1"/>
  <c r="I1980" i="1" s="1"/>
  <c r="I1981" i="1" s="1"/>
  <c r="I1982" i="1" s="1"/>
  <c r="I1983" i="1" s="1"/>
  <c r="I1984" i="1" s="1"/>
  <c r="I1985" i="1" s="1"/>
  <c r="I1986" i="1" s="1"/>
  <c r="I1987" i="1" s="1"/>
  <c r="I1988" i="1" s="1"/>
  <c r="I1618" i="1"/>
  <c r="I1620" i="1" s="1"/>
  <c r="I1621" i="1" s="1"/>
  <c r="I1622" i="1" s="1"/>
  <c r="I1623" i="1" s="1"/>
  <c r="I1624" i="1" s="1"/>
  <c r="I1625" i="1" s="1"/>
  <c r="I1626" i="1" s="1"/>
  <c r="I1627" i="1" s="1"/>
  <c r="I1628" i="1" s="1"/>
  <c r="I1615" i="1"/>
  <c r="I1616" i="1" s="1"/>
  <c r="I1617" i="1" s="1"/>
  <c r="I1378" i="1"/>
  <c r="I1380" i="1" s="1"/>
  <c r="I1381" i="1" s="1"/>
  <c r="I1382" i="1" s="1"/>
  <c r="I1383" i="1" s="1"/>
  <c r="I1384" i="1" s="1"/>
  <c r="I1385" i="1" s="1"/>
  <c r="I1386" i="1" s="1"/>
  <c r="I1387" i="1" s="1"/>
  <c r="I1388" i="1" s="1"/>
  <c r="I1375" i="1"/>
  <c r="I1376" i="1" s="1"/>
  <c r="I1377" i="1" s="1"/>
  <c r="I1015" i="1"/>
  <c r="I1016" i="1" s="1"/>
  <c r="I1017" i="1" s="1"/>
  <c r="I1018" i="1"/>
  <c r="I1020" i="1" s="1"/>
  <c r="I1021" i="1" s="1"/>
  <c r="I1022" i="1" s="1"/>
  <c r="I1023" i="1" s="1"/>
  <c r="I1024" i="1" s="1"/>
  <c r="I1025" i="1" s="1"/>
  <c r="I1026" i="1" s="1"/>
  <c r="I1027" i="1" s="1"/>
  <c r="I1028" i="1" s="1"/>
  <c r="I1135" i="1"/>
  <c r="I1136" i="1" s="1"/>
  <c r="I1137" i="1" s="1"/>
  <c r="I1138" i="1"/>
  <c r="I1140" i="1" s="1"/>
  <c r="I1141" i="1" s="1"/>
  <c r="I1142" i="1" s="1"/>
  <c r="I1143" i="1" s="1"/>
  <c r="I1144" i="1" s="1"/>
  <c r="I1145" i="1" s="1"/>
  <c r="I1146" i="1" s="1"/>
  <c r="I1147" i="1" s="1"/>
  <c r="I1148" i="1" s="1"/>
  <c r="I895" i="1"/>
  <c r="I896" i="1" s="1"/>
  <c r="I897" i="1" s="1"/>
  <c r="I898" i="1"/>
  <c r="I900" i="1" s="1"/>
  <c r="I901" i="1" s="1"/>
  <c r="I902" i="1" s="1"/>
  <c r="I903" i="1" s="1"/>
  <c r="I904" i="1" s="1"/>
  <c r="I905" i="1" s="1"/>
  <c r="I906" i="1" s="1"/>
  <c r="I907" i="1" s="1"/>
  <c r="I908" i="1" s="1"/>
  <c r="I1258" i="1"/>
  <c r="I1260" i="1" s="1"/>
  <c r="I1261" i="1" s="1"/>
  <c r="I1262" i="1" s="1"/>
  <c r="I1263" i="1" s="1"/>
  <c r="I1264" i="1" s="1"/>
  <c r="I1265" i="1" s="1"/>
  <c r="I1266" i="1" s="1"/>
  <c r="I1267" i="1" s="1"/>
  <c r="I1268" i="1" s="1"/>
  <c r="I1255" i="1"/>
  <c r="I1256" i="1" s="1"/>
  <c r="I1257" i="1" s="1"/>
  <c r="I1858" i="1"/>
  <c r="I1860" i="1" s="1"/>
  <c r="I1861" i="1" s="1"/>
  <c r="I1862" i="1" s="1"/>
  <c r="I1863" i="1" s="1"/>
  <c r="I1864" i="1" s="1"/>
  <c r="I1865" i="1" s="1"/>
  <c r="I1866" i="1" s="1"/>
  <c r="I1867" i="1" s="1"/>
  <c r="I1868" i="1" s="1"/>
  <c r="I1855" i="1"/>
  <c r="I1856" i="1" s="1"/>
  <c r="I1857" i="1" s="1"/>
  <c r="I1735" i="1"/>
  <c r="I1736" i="1" s="1"/>
  <c r="I1737" i="1" s="1"/>
  <c r="I1738" i="1"/>
  <c r="I1740" i="1" s="1"/>
  <c r="I1741" i="1" s="1"/>
  <c r="I1742" i="1" s="1"/>
  <c r="I1743" i="1" s="1"/>
  <c r="I1744" i="1" s="1"/>
  <c r="I1745" i="1" s="1"/>
  <c r="I1746" i="1" s="1"/>
  <c r="I1747" i="1" s="1"/>
  <c r="I1748" i="1" s="1"/>
  <c r="O251" i="1"/>
  <c r="I505" i="1"/>
  <c r="G505" i="1" s="1"/>
  <c r="O505" i="1" s="1"/>
  <c r="Q505" i="1" s="1"/>
  <c r="K3034" i="1"/>
  <c r="M504" i="1"/>
  <c r="O491" i="1"/>
  <c r="M24" i="1"/>
  <c r="O1091" i="1"/>
  <c r="O1211" i="1"/>
  <c r="O1451" i="1"/>
  <c r="O1811" i="1"/>
  <c r="O1331" i="1"/>
  <c r="O1571" i="1"/>
  <c r="O371" i="1"/>
  <c r="O971" i="1"/>
  <c r="O1931" i="1"/>
  <c r="O1691" i="1"/>
  <c r="O731" i="1"/>
  <c r="O611" i="1"/>
  <c r="O851" i="1"/>
  <c r="O131" i="1"/>
  <c r="O11" i="1"/>
  <c r="M864" i="1"/>
  <c r="O864" i="1"/>
  <c r="Q864" i="1" s="1"/>
  <c r="O984" i="1"/>
  <c r="Q984" i="1" s="1"/>
  <c r="M984" i="1"/>
  <c r="M384" i="1"/>
  <c r="I385" i="1"/>
  <c r="O384" i="1"/>
  <c r="Q384" i="1" s="1"/>
  <c r="I25" i="1"/>
  <c r="G25" i="1" s="1"/>
  <c r="O25" i="1" s="1"/>
  <c r="Q25" i="1" s="1"/>
  <c r="O624" i="1"/>
  <c r="I625" i="1"/>
  <c r="M624" i="1"/>
  <c r="O1944" i="1"/>
  <c r="Q1944" i="1" s="1"/>
  <c r="M1944" i="1"/>
  <c r="O1224" i="1"/>
  <c r="Q1224" i="1" s="1"/>
  <c r="M1224" i="1"/>
  <c r="O1344" i="1"/>
  <c r="M1344" i="1"/>
  <c r="O1104" i="1"/>
  <c r="Q1104" i="1" s="1"/>
  <c r="M1104" i="1"/>
  <c r="O264" i="1"/>
  <c r="Q264" i="1" s="1"/>
  <c r="I265" i="1"/>
  <c r="G265" i="1" s="1"/>
  <c r="M264" i="1"/>
  <c r="O744" i="1"/>
  <c r="Q744" i="1" s="1"/>
  <c r="I745" i="1"/>
  <c r="M744" i="1"/>
  <c r="M144" i="1"/>
  <c r="O144" i="1"/>
  <c r="Q144" i="1" s="1"/>
  <c r="I145" i="1"/>
  <c r="G145" i="1" s="1"/>
  <c r="M1704" i="1"/>
  <c r="O1704" i="1"/>
  <c r="Q1704" i="1" s="1"/>
  <c r="O1824" i="1"/>
  <c r="Q1824" i="1" s="1"/>
  <c r="M1824" i="1"/>
  <c r="M1464" i="1"/>
  <c r="O1464" i="1"/>
  <c r="Q1464" i="1" s="1"/>
  <c r="O1584" i="1"/>
  <c r="Q1584" i="1" s="1"/>
  <c r="M1584" i="1"/>
  <c r="K554" i="1"/>
  <c r="O22" i="1"/>
  <c r="I6803" i="1" l="1"/>
  <c r="M6802" i="1"/>
  <c r="G6802" i="1"/>
  <c r="O6802" i="1" s="1"/>
  <c r="I3654" i="1"/>
  <c r="G3653" i="1"/>
  <c r="O3653" i="1" s="1"/>
  <c r="Q3653" i="1" s="1"/>
  <c r="I7403" i="1"/>
  <c r="M7402" i="1"/>
  <c r="G7402" i="1"/>
  <c r="O7402" i="1" s="1"/>
  <c r="Q7402" i="1" s="1"/>
  <c r="I8603" i="1"/>
  <c r="G8602" i="1"/>
  <c r="O8602" i="1" s="1"/>
  <c r="Q8602" i="1" s="1"/>
  <c r="M8602" i="1"/>
  <c r="I7763" i="1"/>
  <c r="M7762" i="1"/>
  <c r="G7762" i="1"/>
  <c r="O7762" i="1" s="1"/>
  <c r="Q7762" i="1" s="1"/>
  <c r="I4735" i="1"/>
  <c r="M4734" i="1"/>
  <c r="G4734" i="1"/>
  <c r="O4734" i="1" s="1"/>
  <c r="Q4734" i="1" s="1"/>
  <c r="I4014" i="1"/>
  <c r="G4013" i="1"/>
  <c r="O4013" i="1" s="1"/>
  <c r="M4013" i="1"/>
  <c r="Q8001" i="1"/>
  <c r="Q8122" i="1"/>
  <c r="I8723" i="1"/>
  <c r="G8722" i="1"/>
  <c r="O8722" i="1" s="1"/>
  <c r="Q8722" i="1" s="1"/>
  <c r="M8722" i="1"/>
  <c r="I6923" i="1"/>
  <c r="M6922" i="1"/>
  <c r="G6922" i="1"/>
  <c r="O6922" i="1" s="1"/>
  <c r="Q6922" i="1" s="1"/>
  <c r="I3414" i="1"/>
  <c r="G3413" i="1"/>
  <c r="O3413" i="1" s="1"/>
  <c r="M3413" i="1"/>
  <c r="I8003" i="1"/>
  <c r="M8002" i="1"/>
  <c r="G8002" i="1"/>
  <c r="O8002" i="1" s="1"/>
  <c r="Q8002" i="1" s="1"/>
  <c r="I8243" i="1"/>
  <c r="M8242" i="1"/>
  <c r="G8242" i="1"/>
  <c r="O8242" i="1" s="1"/>
  <c r="Q8242" i="1" s="1"/>
  <c r="Q8361" i="1"/>
  <c r="I8124" i="1"/>
  <c r="M8123" i="1"/>
  <c r="G8123" i="1"/>
  <c r="O8123" i="1" s="1"/>
  <c r="Q8123" i="1" s="1"/>
  <c r="Q3532" i="1"/>
  <c r="I8363" i="1"/>
  <c r="G8362" i="1"/>
  <c r="O8362" i="1" s="1"/>
  <c r="Q8362" i="1" s="1"/>
  <c r="M8362" i="1"/>
  <c r="I7043" i="1"/>
  <c r="G7042" i="1"/>
  <c r="O7042" i="1" s="1"/>
  <c r="Q7042" i="1" s="1"/>
  <c r="I7643" i="1"/>
  <c r="M7642" i="1"/>
  <c r="G7642" i="1"/>
  <c r="O7642" i="1" s="1"/>
  <c r="I7163" i="1"/>
  <c r="M7162" i="1"/>
  <c r="G7162" i="1"/>
  <c r="O7162" i="1" s="1"/>
  <c r="Q7162" i="1" s="1"/>
  <c r="I4854" i="1"/>
  <c r="M4853" i="1"/>
  <c r="G4853" i="1"/>
  <c r="O4853" i="1" s="1"/>
  <c r="Q3772" i="1"/>
  <c r="I3534" i="1"/>
  <c r="M3533" i="1"/>
  <c r="G3533" i="1"/>
  <c r="O3533" i="1" s="1"/>
  <c r="Q3533" i="1" s="1"/>
  <c r="I7283" i="1"/>
  <c r="M7282" i="1"/>
  <c r="G7282" i="1"/>
  <c r="O7282" i="1" s="1"/>
  <c r="Q7282" i="1" s="1"/>
  <c r="I4254" i="1"/>
  <c r="M4253" i="1"/>
  <c r="G4253" i="1"/>
  <c r="O4253" i="1" s="1"/>
  <c r="Q4253" i="1" s="1"/>
  <c r="I7523" i="1"/>
  <c r="G7522" i="1"/>
  <c r="O7522" i="1" s="1"/>
  <c r="Q7522" i="1" s="1"/>
  <c r="M7522" i="1"/>
  <c r="I4614" i="1"/>
  <c r="G4613" i="1"/>
  <c r="O4613" i="1" s="1"/>
  <c r="Q4613" i="1" s="1"/>
  <c r="M4613" i="1"/>
  <c r="I4494" i="1"/>
  <c r="G4493" i="1"/>
  <c r="O4493" i="1" s="1"/>
  <c r="M4493" i="1"/>
  <c r="Q7881" i="1"/>
  <c r="I5094" i="1"/>
  <c r="G5093" i="1"/>
  <c r="O5093" i="1" s="1"/>
  <c r="Q5093" i="1" s="1"/>
  <c r="M5093" i="1"/>
  <c r="I4374" i="1"/>
  <c r="G4373" i="1"/>
  <c r="O4373" i="1" s="1"/>
  <c r="Q4373" i="1" s="1"/>
  <c r="M4373" i="1"/>
  <c r="I3774" i="1"/>
  <c r="M3773" i="1"/>
  <c r="G3773" i="1"/>
  <c r="O3773" i="1" s="1"/>
  <c r="Q3773" i="1" s="1"/>
  <c r="I5214" i="1"/>
  <c r="G5213" i="1"/>
  <c r="O5213" i="1" s="1"/>
  <c r="Q5213" i="1" s="1"/>
  <c r="M5213" i="1"/>
  <c r="I5334" i="1"/>
  <c r="G5333" i="1"/>
  <c r="O5333" i="1" s="1"/>
  <c r="Q5333" i="1" s="1"/>
  <c r="M5333" i="1"/>
  <c r="Q7761" i="1"/>
  <c r="I8483" i="1"/>
  <c r="G8482" i="1"/>
  <c r="O8482" i="1" s="1"/>
  <c r="M8482" i="1"/>
  <c r="I4974" i="1"/>
  <c r="M4973" i="1"/>
  <c r="G4973" i="1"/>
  <c r="O4973" i="1" s="1"/>
  <c r="Q4973" i="1" s="1"/>
  <c r="I4134" i="1"/>
  <c r="G4133" i="1"/>
  <c r="O4133" i="1" s="1"/>
  <c r="Q4133" i="1" s="1"/>
  <c r="M4133" i="1"/>
  <c r="Q8721" i="1"/>
  <c r="Q6921" i="1"/>
  <c r="I3894" i="1"/>
  <c r="M3893" i="1"/>
  <c r="G3893" i="1"/>
  <c r="O3893" i="1" s="1"/>
  <c r="Q3893" i="1" s="1"/>
  <c r="I7883" i="1"/>
  <c r="G7882" i="1"/>
  <c r="O7882" i="1" s="1"/>
  <c r="Q7882" i="1" s="1"/>
  <c r="M7882" i="1"/>
  <c r="Q624" i="1"/>
  <c r="Q1344" i="1"/>
  <c r="I1270" i="1"/>
  <c r="I1271" i="1" s="1"/>
  <c r="I1272" i="1" s="1"/>
  <c r="I1273" i="1" s="1"/>
  <c r="I1274" i="1" s="1"/>
  <c r="I1275" i="1" s="1"/>
  <c r="I1269" i="1"/>
  <c r="I1389" i="1"/>
  <c r="I1390" i="1"/>
  <c r="I1391" i="1" s="1"/>
  <c r="I1392" i="1" s="1"/>
  <c r="I1393" i="1" s="1"/>
  <c r="I1394" i="1" s="1"/>
  <c r="I1395" i="1" s="1"/>
  <c r="I910" i="1"/>
  <c r="I911" i="1" s="1"/>
  <c r="I912" i="1" s="1"/>
  <c r="I913" i="1" s="1"/>
  <c r="I914" i="1" s="1"/>
  <c r="I915" i="1" s="1"/>
  <c r="I909" i="1"/>
  <c r="I1630" i="1"/>
  <c r="I1631" i="1" s="1"/>
  <c r="I1632" i="1" s="1"/>
  <c r="I1633" i="1" s="1"/>
  <c r="I1634" i="1" s="1"/>
  <c r="I1635" i="1" s="1"/>
  <c r="I1629" i="1"/>
  <c r="I1749" i="1"/>
  <c r="I1750" i="1"/>
  <c r="I1751" i="1" s="1"/>
  <c r="I1752" i="1" s="1"/>
  <c r="I1753" i="1" s="1"/>
  <c r="I1754" i="1" s="1"/>
  <c r="I1755" i="1" s="1"/>
  <c r="I1150" i="1"/>
  <c r="I1151" i="1" s="1"/>
  <c r="I1152" i="1" s="1"/>
  <c r="I1153" i="1" s="1"/>
  <c r="I1154" i="1" s="1"/>
  <c r="I1155" i="1" s="1"/>
  <c r="I1149" i="1"/>
  <c r="I1990" i="1"/>
  <c r="I1991" i="1" s="1"/>
  <c r="I1992" i="1" s="1"/>
  <c r="I1993" i="1" s="1"/>
  <c r="I1994" i="1" s="1"/>
  <c r="I1995" i="1" s="1"/>
  <c r="I1989" i="1"/>
  <c r="I1030" i="1"/>
  <c r="I1031" i="1" s="1"/>
  <c r="I1032" i="1" s="1"/>
  <c r="I1033" i="1" s="1"/>
  <c r="I1034" i="1" s="1"/>
  <c r="I1035" i="1" s="1"/>
  <c r="I1029" i="1"/>
  <c r="I1870" i="1"/>
  <c r="I1871" i="1" s="1"/>
  <c r="I1872" i="1" s="1"/>
  <c r="I1873" i="1" s="1"/>
  <c r="I1874" i="1" s="1"/>
  <c r="I1875" i="1" s="1"/>
  <c r="I1869" i="1"/>
  <c r="I1510" i="1"/>
  <c r="I1511" i="1" s="1"/>
  <c r="I1512" i="1" s="1"/>
  <c r="I1513" i="1" s="1"/>
  <c r="I1514" i="1" s="1"/>
  <c r="I1515" i="1" s="1"/>
  <c r="I1509" i="1"/>
  <c r="Q22" i="1"/>
  <c r="O10" i="1"/>
  <c r="O490" i="1"/>
  <c r="O250" i="1"/>
  <c r="I506" i="1"/>
  <c r="M506" i="1" s="1"/>
  <c r="M505" i="1"/>
  <c r="K3035" i="1"/>
  <c r="K3036" i="1"/>
  <c r="K3038" i="1"/>
  <c r="M145" i="1"/>
  <c r="O145" i="1"/>
  <c r="Q145" i="1" s="1"/>
  <c r="M1225" i="1"/>
  <c r="G1225" i="1"/>
  <c r="O1225" i="1" s="1"/>
  <c r="Q1225" i="1" s="1"/>
  <c r="M1585" i="1"/>
  <c r="G1585" i="1"/>
  <c r="O1585" i="1" s="1"/>
  <c r="Q1585" i="1" s="1"/>
  <c r="M745" i="1"/>
  <c r="G745" i="1"/>
  <c r="O745" i="1" s="1"/>
  <c r="Q745" i="1" s="1"/>
  <c r="M865" i="1"/>
  <c r="G865" i="1"/>
  <c r="O865" i="1" s="1"/>
  <c r="Q865" i="1" s="1"/>
  <c r="M1465" i="1"/>
  <c r="G1465" i="1"/>
  <c r="O1465" i="1" s="1"/>
  <c r="Q1465" i="1" s="1"/>
  <c r="M1825" i="1"/>
  <c r="G1825" i="1"/>
  <c r="O1825" i="1" s="1"/>
  <c r="Q1825" i="1" s="1"/>
  <c r="M1105" i="1"/>
  <c r="G1105" i="1"/>
  <c r="O1105" i="1" s="1"/>
  <c r="Q1105" i="1" s="1"/>
  <c r="M625" i="1"/>
  <c r="G625" i="1"/>
  <c r="O625" i="1" s="1"/>
  <c r="Q625" i="1" s="1"/>
  <c r="M1705" i="1"/>
  <c r="G1705" i="1"/>
  <c r="O1705" i="1" s="1"/>
  <c r="Q1705" i="1" s="1"/>
  <c r="M1345" i="1"/>
  <c r="G1345" i="1"/>
  <c r="O1345" i="1" s="1"/>
  <c r="Q1345" i="1" s="1"/>
  <c r="M985" i="1"/>
  <c r="G985" i="1"/>
  <c r="O985" i="1" s="1"/>
  <c r="M1945" i="1"/>
  <c r="G1945" i="1"/>
  <c r="O1945" i="1" s="1"/>
  <c r="Q1945" i="1" s="1"/>
  <c r="M385" i="1"/>
  <c r="G385" i="1"/>
  <c r="O385" i="1" s="1"/>
  <c r="Q385" i="1" s="1"/>
  <c r="O130" i="1"/>
  <c r="O730" i="1"/>
  <c r="O1930" i="1"/>
  <c r="O1570" i="1"/>
  <c r="O1810" i="1"/>
  <c r="O610" i="1"/>
  <c r="O1210" i="1"/>
  <c r="O850" i="1"/>
  <c r="O1690" i="1"/>
  <c r="O970" i="1"/>
  <c r="O370" i="1"/>
  <c r="O1330" i="1"/>
  <c r="O1450" i="1"/>
  <c r="O1090" i="1"/>
  <c r="I26" i="1"/>
  <c r="M25" i="1"/>
  <c r="I146" i="1"/>
  <c r="I746" i="1"/>
  <c r="G746" i="1" s="1"/>
  <c r="O746" i="1" s="1"/>
  <c r="Q746" i="1" s="1"/>
  <c r="G1346" i="1"/>
  <c r="O1346" i="1" s="1"/>
  <c r="G986" i="1"/>
  <c r="O986" i="1" s="1"/>
  <c r="Q986" i="1" s="1"/>
  <c r="G1106" i="1"/>
  <c r="O1106" i="1" s="1"/>
  <c r="Q1106" i="1" s="1"/>
  <c r="G1946" i="1"/>
  <c r="O1946" i="1" s="1"/>
  <c r="Q1946" i="1" s="1"/>
  <c r="I386" i="1"/>
  <c r="G386" i="1" s="1"/>
  <c r="O386" i="1" s="1"/>
  <c r="Q386" i="1" s="1"/>
  <c r="G1706" i="1"/>
  <c r="O1706" i="1" s="1"/>
  <c r="Q1706" i="1" s="1"/>
  <c r="G1586" i="1"/>
  <c r="O1586" i="1" s="1"/>
  <c r="Q1586" i="1" s="1"/>
  <c r="I626" i="1"/>
  <c r="G626" i="1" s="1"/>
  <c r="O626" i="1" s="1"/>
  <c r="G1466" i="1"/>
  <c r="O1466" i="1" s="1"/>
  <c r="Q1466" i="1" s="1"/>
  <c r="G1826" i="1"/>
  <c r="O1826" i="1" s="1"/>
  <c r="Q1826" i="1" s="1"/>
  <c r="I266" i="1"/>
  <c r="G266" i="1" s="1"/>
  <c r="O266" i="1" s="1"/>
  <c r="Q266" i="1" s="1"/>
  <c r="O265" i="1"/>
  <c r="Q265" i="1" s="1"/>
  <c r="G1226" i="1"/>
  <c r="O1226" i="1" s="1"/>
  <c r="Q1226" i="1" s="1"/>
  <c r="G866" i="1"/>
  <c r="O866" i="1" s="1"/>
  <c r="Q866" i="1" s="1"/>
  <c r="K555" i="1"/>
  <c r="I7884" i="1" l="1"/>
  <c r="M7883" i="1"/>
  <c r="G7883" i="1"/>
  <c r="O7883" i="1" s="1"/>
  <c r="Q7883" i="1" s="1"/>
  <c r="I4495" i="1"/>
  <c r="M4494" i="1"/>
  <c r="G4494" i="1"/>
  <c r="O4494" i="1" s="1"/>
  <c r="Q4494" i="1" s="1"/>
  <c r="I7164" i="1"/>
  <c r="M7163" i="1"/>
  <c r="G7163" i="1"/>
  <c r="O7163" i="1" s="1"/>
  <c r="I8364" i="1"/>
  <c r="M8363" i="1"/>
  <c r="G8363" i="1"/>
  <c r="O8363" i="1" s="1"/>
  <c r="Q8363" i="1" s="1"/>
  <c r="I8004" i="1"/>
  <c r="G8003" i="1"/>
  <c r="O8003" i="1" s="1"/>
  <c r="Q8003" i="1" s="1"/>
  <c r="M8003" i="1"/>
  <c r="I5095" i="1"/>
  <c r="M5094" i="1"/>
  <c r="G5094" i="1"/>
  <c r="O5094" i="1" s="1"/>
  <c r="I3535" i="1"/>
  <c r="M3534" i="1"/>
  <c r="G3534" i="1"/>
  <c r="O3534" i="1" s="1"/>
  <c r="Q3534" i="1" s="1"/>
  <c r="Q7642" i="1"/>
  <c r="I8244" i="1"/>
  <c r="G8243" i="1"/>
  <c r="O8243" i="1" s="1"/>
  <c r="Q8243" i="1" s="1"/>
  <c r="M8243" i="1"/>
  <c r="Q4013" i="1"/>
  <c r="I7404" i="1"/>
  <c r="M7403" i="1"/>
  <c r="G7403" i="1"/>
  <c r="O7403" i="1" s="1"/>
  <c r="I4975" i="1"/>
  <c r="G4974" i="1"/>
  <c r="O4974" i="1" s="1"/>
  <c r="Q4974" i="1" s="1"/>
  <c r="M4974" i="1"/>
  <c r="I7524" i="1"/>
  <c r="G7523" i="1"/>
  <c r="O7523" i="1" s="1"/>
  <c r="M7523" i="1"/>
  <c r="Q3413" i="1"/>
  <c r="I4015" i="1"/>
  <c r="G4014" i="1"/>
  <c r="O4014" i="1" s="1"/>
  <c r="Q4014" i="1" s="1"/>
  <c r="M4014" i="1"/>
  <c r="I3895" i="1"/>
  <c r="M3894" i="1"/>
  <c r="G3894" i="1"/>
  <c r="O3894" i="1" s="1"/>
  <c r="Q3894" i="1" s="1"/>
  <c r="I3775" i="1"/>
  <c r="M3774" i="1"/>
  <c r="G3774" i="1"/>
  <c r="O3774" i="1" s="1"/>
  <c r="Q3774" i="1" s="1"/>
  <c r="I4615" i="1"/>
  <c r="G4614" i="1"/>
  <c r="O4614" i="1" s="1"/>
  <c r="M4614" i="1"/>
  <c r="Q4853" i="1"/>
  <c r="I7644" i="1"/>
  <c r="G7643" i="1"/>
  <c r="O7643" i="1" s="1"/>
  <c r="Q7643" i="1" s="1"/>
  <c r="M7643" i="1"/>
  <c r="I8129" i="1"/>
  <c r="I8125" i="1"/>
  <c r="M8124" i="1"/>
  <c r="G8124" i="1"/>
  <c r="O8124" i="1" s="1"/>
  <c r="Q8124" i="1" s="1"/>
  <c r="I3415" i="1"/>
  <c r="G3414" i="1"/>
  <c r="O3414" i="1" s="1"/>
  <c r="Q3414" i="1" s="1"/>
  <c r="M3414" i="1"/>
  <c r="I6924" i="1"/>
  <c r="G6923" i="1"/>
  <c r="O6923" i="1" s="1"/>
  <c r="M6923" i="1"/>
  <c r="I7764" i="1"/>
  <c r="G7763" i="1"/>
  <c r="O7763" i="1" s="1"/>
  <c r="M7763" i="1"/>
  <c r="I4135" i="1"/>
  <c r="G4134" i="1"/>
  <c r="O4134" i="1" s="1"/>
  <c r="Q4134" i="1" s="1"/>
  <c r="M4134" i="1"/>
  <c r="Q8482" i="1"/>
  <c r="I5335" i="1"/>
  <c r="M5334" i="1"/>
  <c r="G5334" i="1"/>
  <c r="O5334" i="1" s="1"/>
  <c r="Q5334" i="1" s="1"/>
  <c r="I5215" i="1"/>
  <c r="G5214" i="1"/>
  <c r="O5214" i="1" s="1"/>
  <c r="M5214" i="1"/>
  <c r="I4255" i="1"/>
  <c r="G4254" i="1"/>
  <c r="O4254" i="1" s="1"/>
  <c r="Q4254" i="1" s="1"/>
  <c r="M4254" i="1"/>
  <c r="I4855" i="1"/>
  <c r="M4854" i="1"/>
  <c r="G4854" i="1"/>
  <c r="O4854" i="1" s="1"/>
  <c r="Q4854" i="1" s="1"/>
  <c r="I7044" i="1"/>
  <c r="G7043" i="1"/>
  <c r="O7043" i="1" s="1"/>
  <c r="Q7043" i="1" s="1"/>
  <c r="M7043" i="1"/>
  <c r="I4736" i="1"/>
  <c r="I4740" i="1"/>
  <c r="G4735" i="1"/>
  <c r="O4735" i="1" s="1"/>
  <c r="M4735" i="1"/>
  <c r="Q6802" i="1"/>
  <c r="I3655" i="1"/>
  <c r="G3654" i="1"/>
  <c r="O3654" i="1" s="1"/>
  <c r="M3654" i="1"/>
  <c r="I8484" i="1"/>
  <c r="M8483" i="1"/>
  <c r="G8483" i="1"/>
  <c r="O8483" i="1" s="1"/>
  <c r="Q8483" i="1" s="1"/>
  <c r="I4375" i="1"/>
  <c r="G4374" i="1"/>
  <c r="O4374" i="1" s="1"/>
  <c r="Q4374" i="1" s="1"/>
  <c r="M4374" i="1"/>
  <c r="I7284" i="1"/>
  <c r="M7283" i="1"/>
  <c r="G7283" i="1"/>
  <c r="O7283" i="1" s="1"/>
  <c r="Q7283" i="1" s="1"/>
  <c r="I8604" i="1"/>
  <c r="M8603" i="1"/>
  <c r="G8603" i="1"/>
  <c r="O8603" i="1" s="1"/>
  <c r="Q4493" i="1"/>
  <c r="I8724" i="1"/>
  <c r="M8723" i="1"/>
  <c r="G8723" i="1"/>
  <c r="O8723" i="1" s="1"/>
  <c r="I6804" i="1"/>
  <c r="G6803" i="1"/>
  <c r="O6803" i="1" s="1"/>
  <c r="Q6803" i="1" s="1"/>
  <c r="M6803" i="1"/>
  <c r="Q626" i="1"/>
  <c r="Q1346" i="1"/>
  <c r="Q985" i="1"/>
  <c r="G146" i="1"/>
  <c r="O146" i="1" s="1"/>
  <c r="Q146" i="1" s="1"/>
  <c r="G26" i="1"/>
  <c r="O26" i="1" s="1"/>
  <c r="Q26" i="1" s="1"/>
  <c r="G506" i="1"/>
  <c r="O506" i="1" s="1"/>
  <c r="Q506" i="1" s="1"/>
  <c r="I507" i="1"/>
  <c r="K3040" i="1"/>
  <c r="K3042" i="1" s="1"/>
  <c r="K3039" i="1"/>
  <c r="K3041" i="1" s="1"/>
  <c r="I27" i="1"/>
  <c r="M26" i="1"/>
  <c r="M1346" i="1"/>
  <c r="M146" i="1"/>
  <c r="I147" i="1"/>
  <c r="M386" i="1"/>
  <c r="I387" i="1"/>
  <c r="M1106" i="1"/>
  <c r="M1226" i="1"/>
  <c r="M1466" i="1"/>
  <c r="M626" i="1"/>
  <c r="I627" i="1"/>
  <c r="M1706" i="1"/>
  <c r="M986" i="1"/>
  <c r="I267" i="1"/>
  <c r="M266" i="1"/>
  <c r="M1826" i="1"/>
  <c r="M866" i="1"/>
  <c r="I747" i="1"/>
  <c r="M746" i="1"/>
  <c r="M1586" i="1"/>
  <c r="M1946" i="1"/>
  <c r="K557" i="1"/>
  <c r="O24" i="1"/>
  <c r="O23" i="1"/>
  <c r="I5220" i="1" l="1"/>
  <c r="I5216" i="1"/>
  <c r="G5215" i="1"/>
  <c r="O5215" i="1" s="1"/>
  <c r="Q5215" i="1" s="1"/>
  <c r="M5215" i="1"/>
  <c r="I6929" i="1"/>
  <c r="I6930" i="1" s="1"/>
  <c r="I6925" i="1"/>
  <c r="M6924" i="1"/>
  <c r="G6924" i="1"/>
  <c r="O6924" i="1" s="1"/>
  <c r="Q6924" i="1" s="1"/>
  <c r="Q8603" i="1"/>
  <c r="I4976" i="1"/>
  <c r="I4980" i="1"/>
  <c r="G4975" i="1"/>
  <c r="O4975" i="1" s="1"/>
  <c r="Q4975" i="1" s="1"/>
  <c r="M4975" i="1"/>
  <c r="I7409" i="1"/>
  <c r="I7405" i="1"/>
  <c r="M7404" i="1"/>
  <c r="G7404" i="1"/>
  <c r="O7404" i="1" s="1"/>
  <c r="Q7404" i="1" s="1"/>
  <c r="I6805" i="1"/>
  <c r="M6804" i="1"/>
  <c r="G6804" i="1"/>
  <c r="O6804" i="1" s="1"/>
  <c r="Q7763" i="1"/>
  <c r="I7645" i="1"/>
  <c r="I7649" i="1"/>
  <c r="M7644" i="1"/>
  <c r="G7644" i="1"/>
  <c r="O7644" i="1" s="1"/>
  <c r="I3780" i="1"/>
  <c r="I3776" i="1"/>
  <c r="M3775" i="1"/>
  <c r="G3775" i="1"/>
  <c r="O3775" i="1" s="1"/>
  <c r="I5100" i="1"/>
  <c r="I5096" i="1"/>
  <c r="M5095" i="1"/>
  <c r="G5095" i="1"/>
  <c r="O5095" i="1" s="1"/>
  <c r="Q5095" i="1" s="1"/>
  <c r="I8729" i="1"/>
  <c r="I8725" i="1"/>
  <c r="M8724" i="1"/>
  <c r="G8724" i="1"/>
  <c r="O8724" i="1" s="1"/>
  <c r="Q8724" i="1" s="1"/>
  <c r="I8609" i="1"/>
  <c r="I8605" i="1"/>
  <c r="M8604" i="1"/>
  <c r="G8604" i="1"/>
  <c r="O8604" i="1" s="1"/>
  <c r="Q8604" i="1" s="1"/>
  <c r="Q4735" i="1"/>
  <c r="I5340" i="1"/>
  <c r="I5336" i="1"/>
  <c r="G5335" i="1"/>
  <c r="O5335" i="1" s="1"/>
  <c r="Q5335" i="1" s="1"/>
  <c r="M5335" i="1"/>
  <c r="I7769" i="1"/>
  <c r="I7765" i="1"/>
  <c r="M7764" i="1"/>
  <c r="G7764" i="1"/>
  <c r="O7764" i="1" s="1"/>
  <c r="Q7764" i="1" s="1"/>
  <c r="I3416" i="1"/>
  <c r="G3415" i="1"/>
  <c r="O3415" i="1" s="1"/>
  <c r="M3415" i="1"/>
  <c r="I8489" i="1"/>
  <c r="I8485" i="1"/>
  <c r="M8484" i="1"/>
  <c r="G8484" i="1"/>
  <c r="O8484" i="1" s="1"/>
  <c r="Q7523" i="1"/>
  <c r="I8365" i="1"/>
  <c r="I8369" i="1"/>
  <c r="M8364" i="1"/>
  <c r="G8364" i="1"/>
  <c r="O8364" i="1" s="1"/>
  <c r="I4496" i="1"/>
  <c r="I4500" i="1"/>
  <c r="M4495" i="1"/>
  <c r="G4495" i="1"/>
  <c r="O4495" i="1" s="1"/>
  <c r="I7045" i="1"/>
  <c r="I7049" i="1"/>
  <c r="G7044" i="1"/>
  <c r="O7044" i="1" s="1"/>
  <c r="Q7044" i="1" s="1"/>
  <c r="M7044" i="1"/>
  <c r="Q7163" i="1"/>
  <c r="I4737" i="1"/>
  <c r="G4736" i="1"/>
  <c r="O4736" i="1" s="1"/>
  <c r="Q4736" i="1" s="1"/>
  <c r="M4736" i="1"/>
  <c r="I4256" i="1"/>
  <c r="I4260" i="1"/>
  <c r="G4255" i="1"/>
  <c r="O4255" i="1" s="1"/>
  <c r="Q4255" i="1" s="1"/>
  <c r="M4255" i="1"/>
  <c r="I3900" i="1"/>
  <c r="I3896" i="1"/>
  <c r="M3895" i="1"/>
  <c r="G3895" i="1"/>
  <c r="O3895" i="1" s="1"/>
  <c r="I4020" i="1"/>
  <c r="I4016" i="1"/>
  <c r="G4015" i="1"/>
  <c r="O4015" i="1" s="1"/>
  <c r="Q4015" i="1" s="1"/>
  <c r="M4015" i="1"/>
  <c r="I7525" i="1"/>
  <c r="I7529" i="1"/>
  <c r="M7524" i="1"/>
  <c r="G7524" i="1"/>
  <c r="O7524" i="1" s="1"/>
  <c r="Q7524" i="1" s="1"/>
  <c r="Q8723" i="1"/>
  <c r="I7289" i="1"/>
  <c r="I7285" i="1"/>
  <c r="G7284" i="1"/>
  <c r="O7284" i="1" s="1"/>
  <c r="Q7284" i="1" s="1"/>
  <c r="M7284" i="1"/>
  <c r="Q3654" i="1"/>
  <c r="I8126" i="1"/>
  <c r="M8125" i="1"/>
  <c r="G8125" i="1"/>
  <c r="O8125" i="1" s="1"/>
  <c r="Q8125" i="1" s="1"/>
  <c r="Q4614" i="1"/>
  <c r="I3540" i="1"/>
  <c r="I3541" i="1" s="1"/>
  <c r="I3536" i="1"/>
  <c r="M3535" i="1"/>
  <c r="G3535" i="1"/>
  <c r="O3535" i="1" s="1"/>
  <c r="Q3535" i="1" s="1"/>
  <c r="I4744" i="1"/>
  <c r="I4741" i="1"/>
  <c r="G4740" i="1"/>
  <c r="O4740" i="1" s="1"/>
  <c r="I3656" i="1"/>
  <c r="I3660" i="1"/>
  <c r="M3655" i="1"/>
  <c r="G3655" i="1"/>
  <c r="O3655" i="1" s="1"/>
  <c r="Q3655" i="1" s="1"/>
  <c r="I4860" i="1"/>
  <c r="I4856" i="1"/>
  <c r="M4855" i="1"/>
  <c r="G4855" i="1"/>
  <c r="O4855" i="1" s="1"/>
  <c r="Q4855" i="1" s="1"/>
  <c r="Q5214" i="1"/>
  <c r="Q6923" i="1"/>
  <c r="I8130" i="1"/>
  <c r="I8133" i="1"/>
  <c r="G8129" i="1"/>
  <c r="O8129" i="1" s="1"/>
  <c r="I4620" i="1"/>
  <c r="I4616" i="1"/>
  <c r="M4615" i="1"/>
  <c r="G4615" i="1"/>
  <c r="O4615" i="1" s="1"/>
  <c r="Q4615" i="1" s="1"/>
  <c r="Q7403" i="1"/>
  <c r="I8249" i="1"/>
  <c r="I8245" i="1"/>
  <c r="M8244" i="1"/>
  <c r="G8244" i="1"/>
  <c r="O8244" i="1" s="1"/>
  <c r="I7165" i="1"/>
  <c r="I7169" i="1"/>
  <c r="G7164" i="1"/>
  <c r="O7164" i="1" s="1"/>
  <c r="Q7164" i="1" s="1"/>
  <c r="M7164" i="1"/>
  <c r="Q5094" i="1"/>
  <c r="I7889" i="1"/>
  <c r="I7885" i="1"/>
  <c r="G7884" i="1"/>
  <c r="O7884" i="1" s="1"/>
  <c r="M7884" i="1"/>
  <c r="I4136" i="1"/>
  <c r="I4140" i="1"/>
  <c r="M4135" i="1"/>
  <c r="G4135" i="1"/>
  <c r="O4135" i="1" s="1"/>
  <c r="I4376" i="1"/>
  <c r="I4380" i="1"/>
  <c r="M4375" i="1"/>
  <c r="G4375" i="1"/>
  <c r="O4375" i="1" s="1"/>
  <c r="Q4375" i="1" s="1"/>
  <c r="I8005" i="1"/>
  <c r="I8009" i="1"/>
  <c r="G8004" i="1"/>
  <c r="O8004" i="1" s="1"/>
  <c r="M8004" i="1"/>
  <c r="Q24" i="1"/>
  <c r="Q23" i="1"/>
  <c r="G1947" i="1"/>
  <c r="O1947" i="1" s="1"/>
  <c r="Q1947" i="1" s="1"/>
  <c r="G1827" i="1"/>
  <c r="O1827" i="1" s="1"/>
  <c r="Q1827" i="1" s="1"/>
  <c r="G1707" i="1"/>
  <c r="O1707" i="1" s="1"/>
  <c r="Q1707" i="1" s="1"/>
  <c r="G1587" i="1"/>
  <c r="O1587" i="1" s="1"/>
  <c r="Q1587" i="1" s="1"/>
  <c r="G1467" i="1"/>
  <c r="O1467" i="1" s="1"/>
  <c r="Q1467" i="1" s="1"/>
  <c r="G1347" i="1"/>
  <c r="O1347" i="1" s="1"/>
  <c r="Q1347" i="1" s="1"/>
  <c r="G1227" i="1"/>
  <c r="O1227" i="1" s="1"/>
  <c r="Q1227" i="1" s="1"/>
  <c r="G1107" i="1"/>
  <c r="O1107" i="1" s="1"/>
  <c r="G987" i="1"/>
  <c r="O987" i="1" s="1"/>
  <c r="Q987" i="1" s="1"/>
  <c r="G867" i="1"/>
  <c r="O867" i="1" s="1"/>
  <c r="Q867" i="1" s="1"/>
  <c r="G747" i="1"/>
  <c r="O747" i="1" s="1"/>
  <c r="Q747" i="1" s="1"/>
  <c r="I752" i="1"/>
  <c r="I756" i="1" s="1"/>
  <c r="G627" i="1"/>
  <c r="O627" i="1" s="1"/>
  <c r="Q627" i="1" s="1"/>
  <c r="I632" i="1"/>
  <c r="G507" i="1"/>
  <c r="O507" i="1" s="1"/>
  <c r="Q507" i="1" s="1"/>
  <c r="I512" i="1"/>
  <c r="G387" i="1"/>
  <c r="O387" i="1" s="1"/>
  <c r="Q387" i="1" s="1"/>
  <c r="I392" i="1"/>
  <c r="G267" i="1"/>
  <c r="O267" i="1" s="1"/>
  <c r="Q267" i="1" s="1"/>
  <c r="I272" i="1"/>
  <c r="G147" i="1"/>
  <c r="O147" i="1" s="1"/>
  <c r="I152" i="1"/>
  <c r="G27" i="1"/>
  <c r="O27" i="1" s="1"/>
  <c r="I508" i="1"/>
  <c r="G508" i="1" s="1"/>
  <c r="O508" i="1" s="1"/>
  <c r="Q508" i="1" s="1"/>
  <c r="M507" i="1"/>
  <c r="K3043" i="1"/>
  <c r="M27" i="1"/>
  <c r="I28" i="1"/>
  <c r="G988" i="1"/>
  <c r="O988" i="1" s="1"/>
  <c r="Q988" i="1" s="1"/>
  <c r="M987" i="1"/>
  <c r="G1708" i="1"/>
  <c r="O1708" i="1" s="1"/>
  <c r="Q1708" i="1" s="1"/>
  <c r="M1707" i="1"/>
  <c r="G1468" i="1"/>
  <c r="O1468" i="1" s="1"/>
  <c r="Q1468" i="1" s="1"/>
  <c r="M1467" i="1"/>
  <c r="M387" i="1"/>
  <c r="I388" i="1"/>
  <c r="M147" i="1"/>
  <c r="I148" i="1"/>
  <c r="G148" i="1" s="1"/>
  <c r="I628" i="1"/>
  <c r="M627" i="1"/>
  <c r="G1828" i="1"/>
  <c r="O1828" i="1" s="1"/>
  <c r="Q1828" i="1" s="1"/>
  <c r="M1827" i="1"/>
  <c r="M1107" i="1"/>
  <c r="G1108" i="1"/>
  <c r="O1108" i="1" s="1"/>
  <c r="Q1108" i="1" s="1"/>
  <c r="G1348" i="1"/>
  <c r="O1348" i="1" s="1"/>
  <c r="Q1348" i="1" s="1"/>
  <c r="M1347" i="1"/>
  <c r="M1587" i="1"/>
  <c r="G1588" i="1"/>
  <c r="O1588" i="1" s="1"/>
  <c r="Q1588" i="1" s="1"/>
  <c r="G868" i="1"/>
  <c r="O868" i="1" s="1"/>
  <c r="Q868" i="1" s="1"/>
  <c r="M867" i="1"/>
  <c r="M1947" i="1"/>
  <c r="G1948" i="1"/>
  <c r="O1948" i="1" s="1"/>
  <c r="Q1948" i="1" s="1"/>
  <c r="I748" i="1"/>
  <c r="G748" i="1" s="1"/>
  <c r="O748" i="1" s="1"/>
  <c r="Q748" i="1" s="1"/>
  <c r="M747" i="1"/>
  <c r="M267" i="1"/>
  <c r="I268" i="1"/>
  <c r="M1227" i="1"/>
  <c r="G1228" i="1"/>
  <c r="O1228" i="1" s="1"/>
  <c r="K559" i="1"/>
  <c r="I7170" i="1" l="1"/>
  <c r="G7169" i="1"/>
  <c r="O7169" i="1" s="1"/>
  <c r="G8009" i="1"/>
  <c r="O8009" i="1" s="1"/>
  <c r="I8010" i="1"/>
  <c r="I8013" i="1"/>
  <c r="Q4135" i="1"/>
  <c r="I7166" i="1"/>
  <c r="G7165" i="1"/>
  <c r="O7165" i="1" s="1"/>
  <c r="M7165" i="1"/>
  <c r="I4017" i="1"/>
  <c r="M4016" i="1"/>
  <c r="G4016" i="1"/>
  <c r="O4016" i="1" s="1"/>
  <c r="Q4016" i="1" s="1"/>
  <c r="G4260" i="1"/>
  <c r="O4260" i="1" s="1"/>
  <c r="I4264" i="1"/>
  <c r="I4261" i="1"/>
  <c r="I4504" i="1"/>
  <c r="I4501" i="1"/>
  <c r="G4500" i="1"/>
  <c r="O4500" i="1" s="1"/>
  <c r="Q3415" i="1"/>
  <c r="I5097" i="1"/>
  <c r="M5096" i="1"/>
  <c r="G5096" i="1"/>
  <c r="O5096" i="1" s="1"/>
  <c r="I8006" i="1"/>
  <c r="G8005" i="1"/>
  <c r="O8005" i="1" s="1"/>
  <c r="Q8005" i="1" s="1"/>
  <c r="M8005" i="1"/>
  <c r="Q8244" i="1"/>
  <c r="I4617" i="1"/>
  <c r="M4616" i="1"/>
  <c r="G4616" i="1"/>
  <c r="O4616" i="1" s="1"/>
  <c r="Q4616" i="1" s="1"/>
  <c r="I3657" i="1"/>
  <c r="G3656" i="1"/>
  <c r="O3656" i="1" s="1"/>
  <c r="Q3656" i="1" s="1"/>
  <c r="M3656" i="1"/>
  <c r="I3537" i="1"/>
  <c r="M3536" i="1"/>
  <c r="G3536" i="1"/>
  <c r="O3536" i="1" s="1"/>
  <c r="Q3536" i="1" s="1"/>
  <c r="I4021" i="1"/>
  <c r="G4020" i="1"/>
  <c r="O4020" i="1" s="1"/>
  <c r="I4257" i="1"/>
  <c r="G4256" i="1"/>
  <c r="O4256" i="1" s="1"/>
  <c r="Q4256" i="1" s="1"/>
  <c r="M4256" i="1"/>
  <c r="I4497" i="1"/>
  <c r="G4496" i="1"/>
  <c r="O4496" i="1" s="1"/>
  <c r="Q4496" i="1" s="1"/>
  <c r="M4496" i="1"/>
  <c r="I3417" i="1"/>
  <c r="M3416" i="1"/>
  <c r="G3416" i="1"/>
  <c r="O3416" i="1" s="1"/>
  <c r="Q3416" i="1" s="1"/>
  <c r="I5341" i="1"/>
  <c r="G5340" i="1"/>
  <c r="O5340" i="1" s="1"/>
  <c r="I5344" i="1"/>
  <c r="I5101" i="1"/>
  <c r="G5100" i="1"/>
  <c r="O5100" i="1" s="1"/>
  <c r="I5104" i="1"/>
  <c r="I6806" i="1"/>
  <c r="M6805" i="1"/>
  <c r="G6805" i="1"/>
  <c r="O6805" i="1" s="1"/>
  <c r="Q6805" i="1" s="1"/>
  <c r="I7890" i="1"/>
  <c r="I7893" i="1"/>
  <c r="G7889" i="1"/>
  <c r="O7889" i="1" s="1"/>
  <c r="I4141" i="1"/>
  <c r="G4140" i="1"/>
  <c r="O4140" i="1" s="1"/>
  <c r="I4144" i="1"/>
  <c r="I4621" i="1"/>
  <c r="G4620" i="1"/>
  <c r="O4620" i="1" s="1"/>
  <c r="I4624" i="1"/>
  <c r="I3542" i="1"/>
  <c r="I3544" i="1" s="1"/>
  <c r="G3541" i="1"/>
  <c r="O3541" i="1" s="1"/>
  <c r="Q3895" i="1"/>
  <c r="Q8364" i="1"/>
  <c r="Q8484" i="1"/>
  <c r="G7649" i="1"/>
  <c r="O7649" i="1" s="1"/>
  <c r="I7650" i="1"/>
  <c r="I7653" i="1"/>
  <c r="I4981" i="1"/>
  <c r="G4980" i="1"/>
  <c r="O4980" i="1" s="1"/>
  <c r="I4984" i="1"/>
  <c r="I4137" i="1"/>
  <c r="M4136" i="1"/>
  <c r="G4136" i="1"/>
  <c r="O4136" i="1" s="1"/>
  <c r="Q4136" i="1" s="1"/>
  <c r="I7646" i="1"/>
  <c r="M7645" i="1"/>
  <c r="G7645" i="1"/>
  <c r="O7645" i="1" s="1"/>
  <c r="Q7645" i="1" s="1"/>
  <c r="I4977" i="1"/>
  <c r="M4976" i="1"/>
  <c r="G4976" i="1"/>
  <c r="I6926" i="1"/>
  <c r="G6925" i="1"/>
  <c r="O6925" i="1" s="1"/>
  <c r="M6925" i="1"/>
  <c r="Q8129" i="1"/>
  <c r="I8253" i="1"/>
  <c r="G8249" i="1"/>
  <c r="O8249" i="1" s="1"/>
  <c r="I8250" i="1"/>
  <c r="I4857" i="1"/>
  <c r="M4856" i="1"/>
  <c r="G4856" i="1"/>
  <c r="O4856" i="1" s="1"/>
  <c r="Q4856" i="1" s="1"/>
  <c r="I4742" i="1"/>
  <c r="G4742" i="1" s="1"/>
  <c r="O4742" i="1" s="1"/>
  <c r="Q4742" i="1" s="1"/>
  <c r="G4741" i="1"/>
  <c r="O4741" i="1" s="1"/>
  <c r="Q4741" i="1" s="1"/>
  <c r="I3897" i="1"/>
  <c r="G3896" i="1"/>
  <c r="O3896" i="1" s="1"/>
  <c r="Q3896" i="1" s="1"/>
  <c r="M3896" i="1"/>
  <c r="G4737" i="1"/>
  <c r="O4737" i="1" s="1"/>
  <c r="M4737" i="1"/>
  <c r="I8370" i="1"/>
  <c r="I8373" i="1"/>
  <c r="G8369" i="1"/>
  <c r="O8369" i="1" s="1"/>
  <c r="I8486" i="1"/>
  <c r="M8485" i="1"/>
  <c r="G8485" i="1"/>
  <c r="O8485" i="1" s="1"/>
  <c r="Q8485" i="1" s="1"/>
  <c r="I7766" i="1"/>
  <c r="G7765" i="1"/>
  <c r="O7765" i="1" s="1"/>
  <c r="M7765" i="1"/>
  <c r="I8726" i="1"/>
  <c r="M8725" i="1"/>
  <c r="G8725" i="1"/>
  <c r="O8725" i="1" s="1"/>
  <c r="Q3775" i="1"/>
  <c r="I6931" i="1"/>
  <c r="I6933" i="1" s="1"/>
  <c r="G6930" i="1"/>
  <c r="O6930" i="1" s="1"/>
  <c r="I8246" i="1"/>
  <c r="M8245" i="1"/>
  <c r="G8245" i="1"/>
  <c r="O8245" i="1" s="1"/>
  <c r="Q8245" i="1" s="1"/>
  <c r="Q4740" i="1"/>
  <c r="I4381" i="1"/>
  <c r="G4380" i="1"/>
  <c r="O4380" i="1" s="1"/>
  <c r="I4384" i="1"/>
  <c r="I8134" i="1"/>
  <c r="G8133" i="1"/>
  <c r="O8133" i="1" s="1"/>
  <c r="M8133" i="1"/>
  <c r="G7529" i="1"/>
  <c r="O7529" i="1" s="1"/>
  <c r="I7533" i="1"/>
  <c r="I7530" i="1"/>
  <c r="I7050" i="1"/>
  <c r="G7049" i="1"/>
  <c r="O7049" i="1" s="1"/>
  <c r="I4377" i="1"/>
  <c r="M4376" i="1"/>
  <c r="G4376" i="1"/>
  <c r="O4376" i="1" s="1"/>
  <c r="Q4376" i="1" s="1"/>
  <c r="Q7884" i="1"/>
  <c r="I8131" i="1"/>
  <c r="G8131" i="1" s="1"/>
  <c r="O8131" i="1" s="1"/>
  <c r="Q8131" i="1" s="1"/>
  <c r="G8130" i="1"/>
  <c r="O8130" i="1" s="1"/>
  <c r="Q8130" i="1" s="1"/>
  <c r="I4861" i="1"/>
  <c r="G4860" i="1"/>
  <c r="O4860" i="1" s="1"/>
  <c r="I4864" i="1"/>
  <c r="I4745" i="1"/>
  <c r="M4744" i="1"/>
  <c r="G4744" i="1"/>
  <c r="O4744" i="1" s="1"/>
  <c r="I7526" i="1"/>
  <c r="M7525" i="1"/>
  <c r="G7525" i="1"/>
  <c r="O7525" i="1" s="1"/>
  <c r="G3900" i="1"/>
  <c r="O3900" i="1" s="1"/>
  <c r="I3901" i="1"/>
  <c r="I7046" i="1"/>
  <c r="G7045" i="1"/>
  <c r="O7045" i="1" s="1"/>
  <c r="Q7045" i="1" s="1"/>
  <c r="M7045" i="1"/>
  <c r="I8366" i="1"/>
  <c r="M8365" i="1"/>
  <c r="G8365" i="1"/>
  <c r="O8365" i="1" s="1"/>
  <c r="Q8365" i="1" s="1"/>
  <c r="I8490" i="1"/>
  <c r="I8493" i="1"/>
  <c r="G8489" i="1"/>
  <c r="O8489" i="1" s="1"/>
  <c r="I7773" i="1"/>
  <c r="G7769" i="1"/>
  <c r="O7769" i="1" s="1"/>
  <c r="I7770" i="1"/>
  <c r="G8729" i="1"/>
  <c r="O8729" i="1" s="1"/>
  <c r="I8730" i="1"/>
  <c r="I8733" i="1"/>
  <c r="I7886" i="1"/>
  <c r="M7885" i="1"/>
  <c r="G7885" i="1"/>
  <c r="O7885" i="1" s="1"/>
  <c r="Q7885" i="1" s="1"/>
  <c r="I7286" i="1"/>
  <c r="G7285" i="1"/>
  <c r="O7285" i="1" s="1"/>
  <c r="Q7285" i="1" s="1"/>
  <c r="M7285" i="1"/>
  <c r="Q4495" i="1"/>
  <c r="I8606" i="1"/>
  <c r="G8605" i="1"/>
  <c r="O8605" i="1" s="1"/>
  <c r="Q8605" i="1" s="1"/>
  <c r="M8605" i="1"/>
  <c r="I3777" i="1"/>
  <c r="M3776" i="1"/>
  <c r="G3776" i="1"/>
  <c r="O3776" i="1" s="1"/>
  <c r="Q3776" i="1" s="1"/>
  <c r="I7406" i="1"/>
  <c r="G7405" i="1"/>
  <c r="O7405" i="1" s="1"/>
  <c r="Q7405" i="1" s="1"/>
  <c r="M7405" i="1"/>
  <c r="G7289" i="1"/>
  <c r="O7289" i="1" s="1"/>
  <c r="I7290" i="1"/>
  <c r="I8613" i="1"/>
  <c r="G8609" i="1"/>
  <c r="O8609" i="1" s="1"/>
  <c r="I8610" i="1"/>
  <c r="I3781" i="1"/>
  <c r="G3780" i="1"/>
  <c r="O3780" i="1" s="1"/>
  <c r="Q6804" i="1"/>
  <c r="G7409" i="1"/>
  <c r="O7409" i="1" s="1"/>
  <c r="I7410" i="1"/>
  <c r="I5217" i="1"/>
  <c r="M5216" i="1"/>
  <c r="G5216" i="1"/>
  <c r="O5216" i="1" s="1"/>
  <c r="Q8004" i="1"/>
  <c r="I3661" i="1"/>
  <c r="G3660" i="1"/>
  <c r="O3660" i="1" s="1"/>
  <c r="G8126" i="1"/>
  <c r="O8126" i="1" s="1"/>
  <c r="M8126" i="1"/>
  <c r="I5337" i="1"/>
  <c r="M5336" i="1"/>
  <c r="G5336" i="1"/>
  <c r="O5336" i="1" s="1"/>
  <c r="Q5336" i="1" s="1"/>
  <c r="Q7644" i="1"/>
  <c r="I5221" i="1"/>
  <c r="I5224" i="1"/>
  <c r="G5220" i="1"/>
  <c r="O5220" i="1" s="1"/>
  <c r="Q1107" i="1"/>
  <c r="Q27" i="1"/>
  <c r="Q147" i="1"/>
  <c r="Q1228" i="1"/>
  <c r="G1956" i="1"/>
  <c r="O1956" i="1" s="1"/>
  <c r="Q1956" i="1" s="1"/>
  <c r="G756" i="1"/>
  <c r="O756" i="1" s="1"/>
  <c r="Q756" i="1" s="1"/>
  <c r="G1116" i="1"/>
  <c r="O1116" i="1" s="1"/>
  <c r="Q1116" i="1" s="1"/>
  <c r="G1236" i="1"/>
  <c r="O1236" i="1" s="1"/>
  <c r="Q1236" i="1" s="1"/>
  <c r="G1596" i="1"/>
  <c r="O1596" i="1" s="1"/>
  <c r="Q1596" i="1" s="1"/>
  <c r="G1836" i="1"/>
  <c r="O1836" i="1" s="1"/>
  <c r="Q1836" i="1" s="1"/>
  <c r="G1716" i="1"/>
  <c r="O1716" i="1" s="1"/>
  <c r="Q1716" i="1" s="1"/>
  <c r="G1356" i="1"/>
  <c r="O1356" i="1" s="1"/>
  <c r="Q1356" i="1" s="1"/>
  <c r="G876" i="1"/>
  <c r="O876" i="1" s="1"/>
  <c r="Q876" i="1" s="1"/>
  <c r="G1476" i="1"/>
  <c r="O1476" i="1" s="1"/>
  <c r="Q1476" i="1" s="1"/>
  <c r="G996" i="1"/>
  <c r="O996" i="1" s="1"/>
  <c r="Q996" i="1" s="1"/>
  <c r="G1952" i="1"/>
  <c r="O1952" i="1" s="1"/>
  <c r="Q1952" i="1" s="1"/>
  <c r="G1832" i="1"/>
  <c r="O1832" i="1" s="1"/>
  <c r="G1712" i="1"/>
  <c r="O1712" i="1" s="1"/>
  <c r="Q1712" i="1" s="1"/>
  <c r="G1592" i="1"/>
  <c r="O1592" i="1" s="1"/>
  <c r="Q1592" i="1" s="1"/>
  <c r="G1593" i="1"/>
  <c r="G1473" i="1"/>
  <c r="G1472" i="1"/>
  <c r="O1472" i="1" s="1"/>
  <c r="Q1472" i="1" s="1"/>
  <c r="G1352" i="1"/>
  <c r="O1352" i="1" s="1"/>
  <c r="Q1352" i="1" s="1"/>
  <c r="G1353" i="1"/>
  <c r="G1233" i="1"/>
  <c r="G1232" i="1"/>
  <c r="O1232" i="1" s="1"/>
  <c r="Q1232" i="1" s="1"/>
  <c r="G1112" i="1"/>
  <c r="O1112" i="1" s="1"/>
  <c r="G1113" i="1"/>
  <c r="G993" i="1"/>
  <c r="G992" i="1"/>
  <c r="O992" i="1" s="1"/>
  <c r="Q992" i="1" s="1"/>
  <c r="G873" i="1"/>
  <c r="G872" i="1"/>
  <c r="O872" i="1" s="1"/>
  <c r="Q872" i="1" s="1"/>
  <c r="I753" i="1"/>
  <c r="G753" i="1" s="1"/>
  <c r="G752" i="1"/>
  <c r="O752" i="1" s="1"/>
  <c r="Q752" i="1" s="1"/>
  <c r="G632" i="1"/>
  <c r="O632" i="1" s="1"/>
  <c r="Q632" i="1" s="1"/>
  <c r="I633" i="1"/>
  <c r="G633" i="1" s="1"/>
  <c r="I513" i="1"/>
  <c r="G513" i="1" s="1"/>
  <c r="G512" i="1"/>
  <c r="O512" i="1" s="1"/>
  <c r="Q512" i="1" s="1"/>
  <c r="I393" i="1"/>
  <c r="G393" i="1" s="1"/>
  <c r="G392" i="1"/>
  <c r="O392" i="1" s="1"/>
  <c r="Q392" i="1" s="1"/>
  <c r="I273" i="1"/>
  <c r="G273" i="1" s="1"/>
  <c r="G272" i="1"/>
  <c r="O272" i="1" s="1"/>
  <c r="I153" i="1"/>
  <c r="G153" i="1" s="1"/>
  <c r="O152" i="1"/>
  <c r="Q152" i="1" s="1"/>
  <c r="M508" i="1"/>
  <c r="G28" i="1"/>
  <c r="O28" i="1" s="1"/>
  <c r="I509" i="1"/>
  <c r="G509" i="1" s="1"/>
  <c r="O509" i="1" s="1"/>
  <c r="Q509" i="1" s="1"/>
  <c r="K3044" i="1"/>
  <c r="M28" i="1"/>
  <c r="I29" i="1"/>
  <c r="G628" i="1"/>
  <c r="O628" i="1" s="1"/>
  <c r="O148" i="1"/>
  <c r="Q148" i="1" s="1"/>
  <c r="G268" i="1"/>
  <c r="O268" i="1" s="1"/>
  <c r="Q268" i="1" s="1"/>
  <c r="G388" i="1"/>
  <c r="O388" i="1" s="1"/>
  <c r="Q388" i="1" s="1"/>
  <c r="M748" i="1"/>
  <c r="I749" i="1"/>
  <c r="G749" i="1" s="1"/>
  <c r="M876" i="1"/>
  <c r="M1588" i="1"/>
  <c r="G1589" i="1"/>
  <c r="M1348" i="1"/>
  <c r="G1829" i="1"/>
  <c r="M1828" i="1"/>
  <c r="M628" i="1"/>
  <c r="I629" i="1"/>
  <c r="I149" i="1"/>
  <c r="G149" i="1" s="1"/>
  <c r="M148" i="1"/>
  <c r="M1476" i="1"/>
  <c r="M1716" i="1"/>
  <c r="M1236" i="1"/>
  <c r="G1109" i="1"/>
  <c r="M1108" i="1"/>
  <c r="I269" i="1"/>
  <c r="M268" i="1"/>
  <c r="I757" i="1"/>
  <c r="M756" i="1"/>
  <c r="M1596" i="1"/>
  <c r="M1116" i="1"/>
  <c r="M1836" i="1"/>
  <c r="M996" i="1"/>
  <c r="M1956" i="1"/>
  <c r="M1468" i="1"/>
  <c r="G1469" i="1"/>
  <c r="M1708" i="1"/>
  <c r="G1709" i="1"/>
  <c r="M1228" i="1"/>
  <c r="G1229" i="1"/>
  <c r="M1948" i="1"/>
  <c r="G1949" i="1"/>
  <c r="M868" i="1"/>
  <c r="G869" i="1"/>
  <c r="M1356" i="1"/>
  <c r="I389" i="1"/>
  <c r="M388" i="1"/>
  <c r="M988" i="1"/>
  <c r="G989" i="1"/>
  <c r="K560" i="1"/>
  <c r="O4976" i="1" l="1"/>
  <c r="Q4976" i="1" s="1"/>
  <c r="O4743" i="1"/>
  <c r="Q272" i="1"/>
  <c r="Q5220" i="1"/>
  <c r="M5337" i="1"/>
  <c r="G5337" i="1"/>
  <c r="O5337" i="1" s="1"/>
  <c r="I3782" i="1"/>
  <c r="G3781" i="1"/>
  <c r="O3781" i="1" s="1"/>
  <c r="Q3781" i="1" s="1"/>
  <c r="M8366" i="1"/>
  <c r="G8366" i="1"/>
  <c r="O8366" i="1" s="1"/>
  <c r="Q8366" i="1" s="1"/>
  <c r="G7050" i="1"/>
  <c r="O7050" i="1" s="1"/>
  <c r="Q7050" i="1" s="1"/>
  <c r="I7051" i="1"/>
  <c r="Q3660" i="1"/>
  <c r="G7410" i="1"/>
  <c r="O7410" i="1" s="1"/>
  <c r="Q7410" i="1" s="1"/>
  <c r="I7411" i="1"/>
  <c r="I8614" i="1"/>
  <c r="M8613" i="1"/>
  <c r="G8613" i="1"/>
  <c r="O8613" i="1" s="1"/>
  <c r="Q8489" i="1"/>
  <c r="G7046" i="1"/>
  <c r="O7046" i="1" s="1"/>
  <c r="M7046" i="1"/>
  <c r="I4746" i="1"/>
  <c r="G4745" i="1"/>
  <c r="O4745" i="1" s="1"/>
  <c r="Q4745" i="1" s="1"/>
  <c r="M4745" i="1"/>
  <c r="Q7529" i="1"/>
  <c r="M4857" i="1"/>
  <c r="G4857" i="1"/>
  <c r="O4857" i="1" s="1"/>
  <c r="G6926" i="1"/>
  <c r="O6926" i="1" s="1"/>
  <c r="Q6926" i="1" s="1"/>
  <c r="M6926" i="1"/>
  <c r="Q7649" i="1"/>
  <c r="G4141" i="1"/>
  <c r="O4141" i="1" s="1"/>
  <c r="Q4141" i="1" s="1"/>
  <c r="I4142" i="1"/>
  <c r="G4142" i="1" s="1"/>
  <c r="O4142" i="1" s="1"/>
  <c r="Q4142" i="1" s="1"/>
  <c r="I6810" i="1"/>
  <c r="I6809" i="1"/>
  <c r="G6809" i="1" s="1"/>
  <c r="O6809" i="1" s="1"/>
  <c r="M6806" i="1"/>
  <c r="G6806" i="1"/>
  <c r="O6806" i="1" s="1"/>
  <c r="Q4020" i="1"/>
  <c r="Q5096" i="1"/>
  <c r="I4262" i="1"/>
  <c r="G4262" i="1" s="1"/>
  <c r="O4262" i="1" s="1"/>
  <c r="Q4262" i="1" s="1"/>
  <c r="G4261" i="1"/>
  <c r="O4261" i="1" s="1"/>
  <c r="Q4261" i="1" s="1"/>
  <c r="G7166" i="1"/>
  <c r="O7166" i="1" s="1"/>
  <c r="Q7166" i="1" s="1"/>
  <c r="M7166" i="1"/>
  <c r="I3662" i="1"/>
  <c r="G3661" i="1"/>
  <c r="O3661" i="1" s="1"/>
  <c r="Q3661" i="1" s="1"/>
  <c r="G8250" i="1"/>
  <c r="O8250" i="1" s="1"/>
  <c r="Q8250" i="1" s="1"/>
  <c r="I8251" i="1"/>
  <c r="G8251" i="1" s="1"/>
  <c r="O8251" i="1" s="1"/>
  <c r="Q8251" i="1" s="1"/>
  <c r="M4137" i="1"/>
  <c r="G4137" i="1"/>
  <c r="O4137" i="1" s="1"/>
  <c r="Q3541" i="1"/>
  <c r="O3543" i="1"/>
  <c r="I5105" i="1"/>
  <c r="M5104" i="1"/>
  <c r="G5104" i="1"/>
  <c r="O5104" i="1" s="1"/>
  <c r="I3420" i="1"/>
  <c r="G3420" i="1" s="1"/>
  <c r="O3420" i="1" s="1"/>
  <c r="I3421" i="1"/>
  <c r="M3417" i="1"/>
  <c r="G3417" i="1"/>
  <c r="O3417" i="1" s="1"/>
  <c r="Q3417" i="1" s="1"/>
  <c r="I4022" i="1"/>
  <c r="G4021" i="1"/>
  <c r="O4021" i="1" s="1"/>
  <c r="Q4021" i="1" s="1"/>
  <c r="I4265" i="1"/>
  <c r="G4264" i="1"/>
  <c r="O4264" i="1" s="1"/>
  <c r="M4264" i="1"/>
  <c r="I8494" i="1"/>
  <c r="G8493" i="1"/>
  <c r="O8493" i="1" s="1"/>
  <c r="M8493" i="1"/>
  <c r="Q7289" i="1"/>
  <c r="I8734" i="1"/>
  <c r="G8733" i="1"/>
  <c r="O8733" i="1" s="1"/>
  <c r="M8733" i="1"/>
  <c r="I8491" i="1"/>
  <c r="G8491" i="1" s="1"/>
  <c r="O8491" i="1" s="1"/>
  <c r="Q8491" i="1" s="1"/>
  <c r="G8490" i="1"/>
  <c r="O8490" i="1" s="1"/>
  <c r="Q8490" i="1" s="1"/>
  <c r="Q3900" i="1"/>
  <c r="Q4860" i="1"/>
  <c r="Q8133" i="1"/>
  <c r="Q8725" i="1"/>
  <c r="M8486" i="1"/>
  <c r="G8486" i="1"/>
  <c r="O8486" i="1" s="1"/>
  <c r="M3897" i="1"/>
  <c r="G3897" i="1"/>
  <c r="O3897" i="1" s="1"/>
  <c r="Q8249" i="1"/>
  <c r="I4985" i="1"/>
  <c r="G4984" i="1"/>
  <c r="O4984" i="1" s="1"/>
  <c r="M4984" i="1"/>
  <c r="I3545" i="1"/>
  <c r="M3544" i="1"/>
  <c r="G3544" i="1"/>
  <c r="O3544" i="1" s="1"/>
  <c r="Q5100" i="1"/>
  <c r="G4617" i="1"/>
  <c r="O4617" i="1" s="1"/>
  <c r="M4617" i="1"/>
  <c r="M5097" i="1"/>
  <c r="G5097" i="1"/>
  <c r="O5097" i="1" s="1"/>
  <c r="Q5097" i="1" s="1"/>
  <c r="Q4260" i="1"/>
  <c r="G7290" i="1"/>
  <c r="O7290" i="1" s="1"/>
  <c r="Q7290" i="1" s="1"/>
  <c r="I7291" i="1"/>
  <c r="I4865" i="1"/>
  <c r="M4864" i="1"/>
  <c r="G4864" i="1"/>
  <c r="O4864" i="1" s="1"/>
  <c r="G3777" i="1"/>
  <c r="O3777" i="1" s="1"/>
  <c r="Q3777" i="1" s="1"/>
  <c r="M3777" i="1"/>
  <c r="G8730" i="1"/>
  <c r="O8730" i="1" s="1"/>
  <c r="Q8730" i="1" s="1"/>
  <c r="I8731" i="1"/>
  <c r="G8731" i="1" s="1"/>
  <c r="O8731" i="1" s="1"/>
  <c r="Q8731" i="1" s="1"/>
  <c r="Q7525" i="1"/>
  <c r="I4862" i="1"/>
  <c r="G4862" i="1" s="1"/>
  <c r="O4862" i="1" s="1"/>
  <c r="Q4862" i="1" s="1"/>
  <c r="G4861" i="1"/>
  <c r="O4861" i="1" s="1"/>
  <c r="Q4861" i="1" s="1"/>
  <c r="M4377" i="1"/>
  <c r="G4377" i="1"/>
  <c r="O4377" i="1" s="1"/>
  <c r="I8135" i="1"/>
  <c r="G8134" i="1"/>
  <c r="O8134" i="1" s="1"/>
  <c r="Q8134" i="1" s="1"/>
  <c r="M8134" i="1"/>
  <c r="Q8369" i="1"/>
  <c r="I8254" i="1"/>
  <c r="M8253" i="1"/>
  <c r="G8253" i="1"/>
  <c r="O8253" i="1" s="1"/>
  <c r="M4977" i="1"/>
  <c r="G4977" i="1"/>
  <c r="O4977" i="1" s="1"/>
  <c r="Q4980" i="1"/>
  <c r="I4625" i="1"/>
  <c r="G4624" i="1"/>
  <c r="O4624" i="1" s="1"/>
  <c r="M4624" i="1"/>
  <c r="Q7889" i="1"/>
  <c r="I5102" i="1"/>
  <c r="G5102" i="1" s="1"/>
  <c r="O5102" i="1" s="1"/>
  <c r="Q5102" i="1" s="1"/>
  <c r="G5101" i="1"/>
  <c r="O5101" i="1" s="1"/>
  <c r="Q5101" i="1" s="1"/>
  <c r="I8014" i="1"/>
  <c r="G8013" i="1"/>
  <c r="O8013" i="1" s="1"/>
  <c r="M8013" i="1"/>
  <c r="Q7409" i="1"/>
  <c r="I3902" i="1"/>
  <c r="G3901" i="1"/>
  <c r="O3901" i="1" s="1"/>
  <c r="Q3901" i="1" s="1"/>
  <c r="Q1112" i="1"/>
  <c r="Q5216" i="1"/>
  <c r="Q3780" i="1"/>
  <c r="G7286" i="1"/>
  <c r="O7286" i="1" s="1"/>
  <c r="M7286" i="1"/>
  <c r="Q8729" i="1"/>
  <c r="Q7049" i="1"/>
  <c r="I4385" i="1"/>
  <c r="G4384" i="1"/>
  <c r="O4384" i="1" s="1"/>
  <c r="M4384" i="1"/>
  <c r="G8726" i="1"/>
  <c r="O8726" i="1" s="1"/>
  <c r="Q8726" i="1" s="1"/>
  <c r="M8726" i="1"/>
  <c r="I8374" i="1"/>
  <c r="G8373" i="1"/>
  <c r="O8373" i="1" s="1"/>
  <c r="M8373" i="1"/>
  <c r="O8132" i="1"/>
  <c r="I4982" i="1"/>
  <c r="G4982" i="1" s="1"/>
  <c r="O4982" i="1" s="1"/>
  <c r="Q4982" i="1" s="1"/>
  <c r="G4981" i="1"/>
  <c r="O4981" i="1" s="1"/>
  <c r="Q4981" i="1" s="1"/>
  <c r="Q4620" i="1"/>
  <c r="I7894" i="1"/>
  <c r="M7893" i="1"/>
  <c r="G7893" i="1"/>
  <c r="O7893" i="1" s="1"/>
  <c r="I5345" i="1"/>
  <c r="M5344" i="1"/>
  <c r="G5344" i="1"/>
  <c r="O5344" i="1" s="1"/>
  <c r="G4497" i="1"/>
  <c r="O4497" i="1" s="1"/>
  <c r="M4497" i="1"/>
  <c r="M3537" i="1"/>
  <c r="G3537" i="1"/>
  <c r="O3537" i="1" s="1"/>
  <c r="I8011" i="1"/>
  <c r="G8011" i="1" s="1"/>
  <c r="O8011" i="1" s="1"/>
  <c r="Q8011" i="1" s="1"/>
  <c r="G8010" i="1"/>
  <c r="O8010" i="1" s="1"/>
  <c r="Q8010" i="1" s="1"/>
  <c r="G7770" i="1"/>
  <c r="O7770" i="1" s="1"/>
  <c r="Q7770" i="1" s="1"/>
  <c r="I7771" i="1"/>
  <c r="G7771" i="1" s="1"/>
  <c r="O7771" i="1" s="1"/>
  <c r="Q7771" i="1" s="1"/>
  <c r="G7526" i="1"/>
  <c r="O7526" i="1" s="1"/>
  <c r="Q7526" i="1" s="1"/>
  <c r="M7526" i="1"/>
  <c r="G8246" i="1"/>
  <c r="O8246" i="1" s="1"/>
  <c r="M8246" i="1"/>
  <c r="I8371" i="1"/>
  <c r="G8371" i="1" s="1"/>
  <c r="O8371" i="1" s="1"/>
  <c r="Q8371" i="1" s="1"/>
  <c r="G8370" i="1"/>
  <c r="O8370" i="1" s="1"/>
  <c r="Q8370" i="1" s="1"/>
  <c r="I4622" i="1"/>
  <c r="G4622" i="1" s="1"/>
  <c r="O4622" i="1" s="1"/>
  <c r="Q4622" i="1" s="1"/>
  <c r="G4621" i="1"/>
  <c r="O4621" i="1" s="1"/>
  <c r="Q4621" i="1" s="1"/>
  <c r="G7890" i="1"/>
  <c r="O7890" i="1" s="1"/>
  <c r="Q7890" i="1" s="1"/>
  <c r="I7891" i="1"/>
  <c r="G7891" i="1" s="1"/>
  <c r="O7891" i="1" s="1"/>
  <c r="Q7891" i="1" s="1"/>
  <c r="Q5340" i="1"/>
  <c r="Q4500" i="1"/>
  <c r="G4017" i="1"/>
  <c r="O4017" i="1" s="1"/>
  <c r="M4017" i="1"/>
  <c r="Q8009" i="1"/>
  <c r="Q4380" i="1"/>
  <c r="Q1832" i="1"/>
  <c r="I5225" i="1"/>
  <c r="G5224" i="1"/>
  <c r="O5224" i="1" s="1"/>
  <c r="M5224" i="1"/>
  <c r="G5217" i="1"/>
  <c r="O5217" i="1" s="1"/>
  <c r="Q5217" i="1" s="1"/>
  <c r="M5217" i="1"/>
  <c r="I8611" i="1"/>
  <c r="G8611" i="1" s="1"/>
  <c r="O8611" i="1" s="1"/>
  <c r="Q8611" i="1" s="1"/>
  <c r="G8610" i="1"/>
  <c r="O8610" i="1" s="1"/>
  <c r="Q8610" i="1" s="1"/>
  <c r="G8606" i="1"/>
  <c r="O8606" i="1" s="1"/>
  <c r="M8606" i="1"/>
  <c r="Q7769" i="1"/>
  <c r="Q4744" i="1"/>
  <c r="G7530" i="1"/>
  <c r="O7530" i="1" s="1"/>
  <c r="Q7530" i="1" s="1"/>
  <c r="I7531" i="1"/>
  <c r="G7531" i="1" s="1"/>
  <c r="O7531" i="1" s="1"/>
  <c r="Q7531" i="1" s="1"/>
  <c r="I4382" i="1"/>
  <c r="G4382" i="1" s="1"/>
  <c r="O4382" i="1" s="1"/>
  <c r="Q4382" i="1" s="1"/>
  <c r="G4381" i="1"/>
  <c r="O4381" i="1" s="1"/>
  <c r="Q4381" i="1" s="1"/>
  <c r="O6932" i="1"/>
  <c r="Q6930" i="1"/>
  <c r="Q7765" i="1"/>
  <c r="G7646" i="1"/>
  <c r="O7646" i="1" s="1"/>
  <c r="M7646" i="1"/>
  <c r="I7654" i="1"/>
  <c r="M7653" i="1"/>
  <c r="G7653" i="1"/>
  <c r="O7653" i="1" s="1"/>
  <c r="I4145" i="1"/>
  <c r="G4144" i="1"/>
  <c r="O4144" i="1" s="1"/>
  <c r="M4144" i="1"/>
  <c r="I5342" i="1"/>
  <c r="G5342" i="1" s="1"/>
  <c r="O5342" i="1" s="1"/>
  <c r="Q5342" i="1" s="1"/>
  <c r="G5341" i="1"/>
  <c r="O5341" i="1" s="1"/>
  <c r="Q5341" i="1" s="1"/>
  <c r="I4502" i="1"/>
  <c r="G4502" i="1" s="1"/>
  <c r="O4502" i="1" s="1"/>
  <c r="Q4502" i="1" s="1"/>
  <c r="G4501" i="1"/>
  <c r="O4501" i="1" s="1"/>
  <c r="Q4501" i="1" s="1"/>
  <c r="Q7169" i="1"/>
  <c r="I5222" i="1"/>
  <c r="G5222" i="1" s="1"/>
  <c r="O5222" i="1" s="1"/>
  <c r="Q5222" i="1" s="1"/>
  <c r="G5221" i="1"/>
  <c r="O5221" i="1" s="1"/>
  <c r="Q5221" i="1" s="1"/>
  <c r="Q8126" i="1"/>
  <c r="O8127" i="1"/>
  <c r="O8118" i="1" s="1"/>
  <c r="Q8609" i="1"/>
  <c r="M7406" i="1"/>
  <c r="G7406" i="1"/>
  <c r="O7406" i="1" s="1"/>
  <c r="M7886" i="1"/>
  <c r="G7886" i="1"/>
  <c r="O7886" i="1" s="1"/>
  <c r="Q7886" i="1" s="1"/>
  <c r="I7774" i="1"/>
  <c r="M7773" i="1"/>
  <c r="G7773" i="1"/>
  <c r="O7773" i="1" s="1"/>
  <c r="I7534" i="1"/>
  <c r="M7533" i="1"/>
  <c r="G7533" i="1"/>
  <c r="O7533" i="1" s="1"/>
  <c r="I6934" i="1"/>
  <c r="G6933" i="1"/>
  <c r="O6933" i="1" s="1"/>
  <c r="M6933" i="1"/>
  <c r="M7766" i="1"/>
  <c r="G7766" i="1"/>
  <c r="O7766" i="1" s="1"/>
  <c r="Q7766" i="1" s="1"/>
  <c r="Q4737" i="1"/>
  <c r="O4738" i="1"/>
  <c r="O4729" i="1" s="1"/>
  <c r="Q6925" i="1"/>
  <c r="G7650" i="1"/>
  <c r="O7650" i="1" s="1"/>
  <c r="Q7650" i="1" s="1"/>
  <c r="I7651" i="1"/>
  <c r="G7651" i="1" s="1"/>
  <c r="O7651" i="1" s="1"/>
  <c r="Q7651" i="1" s="1"/>
  <c r="Q4140" i="1"/>
  <c r="O4143" i="1"/>
  <c r="M4257" i="1"/>
  <c r="G4257" i="1"/>
  <c r="O4257" i="1" s="1"/>
  <c r="G3657" i="1"/>
  <c r="O3657" i="1" s="1"/>
  <c r="M3657" i="1"/>
  <c r="G8006" i="1"/>
  <c r="O8006" i="1" s="1"/>
  <c r="M8006" i="1"/>
  <c r="I4505" i="1"/>
  <c r="G4504" i="1"/>
  <c r="O4504" i="1" s="1"/>
  <c r="M4504" i="1"/>
  <c r="Q7165" i="1"/>
  <c r="I7171" i="1"/>
  <c r="G7170" i="1"/>
  <c r="O7170" i="1" s="1"/>
  <c r="Q7170" i="1" s="1"/>
  <c r="Q28" i="1"/>
  <c r="Q628" i="1"/>
  <c r="I32" i="1"/>
  <c r="G32" i="1" s="1"/>
  <c r="O32" i="1" s="1"/>
  <c r="Q32" i="1" s="1"/>
  <c r="I33" i="1"/>
  <c r="G1117" i="1"/>
  <c r="O1117" i="1" s="1"/>
  <c r="Q1117" i="1" s="1"/>
  <c r="G1597" i="1"/>
  <c r="O1597" i="1" s="1"/>
  <c r="Q1597" i="1" s="1"/>
  <c r="G1957" i="1"/>
  <c r="O1957" i="1" s="1"/>
  <c r="Q1957" i="1" s="1"/>
  <c r="G1357" i="1"/>
  <c r="O1357" i="1" s="1"/>
  <c r="Q1357" i="1" s="1"/>
  <c r="G997" i="1"/>
  <c r="O997" i="1" s="1"/>
  <c r="Q997" i="1" s="1"/>
  <c r="G877" i="1"/>
  <c r="O877" i="1" s="1"/>
  <c r="G757" i="1"/>
  <c r="O757" i="1" s="1"/>
  <c r="Q757" i="1" s="1"/>
  <c r="G1237" i="1"/>
  <c r="O1237" i="1" s="1"/>
  <c r="Q1237" i="1" s="1"/>
  <c r="G1717" i="1"/>
  <c r="O1717" i="1" s="1"/>
  <c r="Q1717" i="1" s="1"/>
  <c r="G1837" i="1"/>
  <c r="O1837" i="1" s="1"/>
  <c r="Q1837" i="1" s="1"/>
  <c r="G1477" i="1"/>
  <c r="O1477" i="1" s="1"/>
  <c r="Q1477" i="1" s="1"/>
  <c r="G1953" i="1"/>
  <c r="O1953" i="1" s="1"/>
  <c r="Q1953" i="1" s="1"/>
  <c r="M1953" i="1"/>
  <c r="G1833" i="1"/>
  <c r="O1833" i="1" s="1"/>
  <c r="Q1833" i="1" s="1"/>
  <c r="M1833" i="1"/>
  <c r="G1713" i="1"/>
  <c r="O1713" i="1" s="1"/>
  <c r="Q1713" i="1" s="1"/>
  <c r="M1713" i="1"/>
  <c r="O1593" i="1"/>
  <c r="Q1593" i="1" s="1"/>
  <c r="M1593" i="1"/>
  <c r="O1473" i="1"/>
  <c r="Q1473" i="1" s="1"/>
  <c r="M1473" i="1"/>
  <c r="O1353" i="1"/>
  <c r="M1353" i="1"/>
  <c r="O1233" i="1"/>
  <c r="M1233" i="1"/>
  <c r="O1113" i="1"/>
  <c r="Q1113" i="1" s="1"/>
  <c r="M1113" i="1"/>
  <c r="O993" i="1"/>
  <c r="Q993" i="1" s="1"/>
  <c r="M993" i="1"/>
  <c r="O873" i="1"/>
  <c r="Q873" i="1" s="1"/>
  <c r="M873" i="1"/>
  <c r="I754" i="1"/>
  <c r="M753" i="1"/>
  <c r="O753" i="1"/>
  <c r="Q753" i="1" s="1"/>
  <c r="O633" i="1"/>
  <c r="Q633" i="1" s="1"/>
  <c r="I634" i="1"/>
  <c r="I636" i="1" s="1"/>
  <c r="M633" i="1"/>
  <c r="M513" i="1"/>
  <c r="O513" i="1"/>
  <c r="Q513" i="1" s="1"/>
  <c r="I514" i="1"/>
  <c r="I516" i="1" s="1"/>
  <c r="M393" i="1"/>
  <c r="I394" i="1"/>
  <c r="I396" i="1" s="1"/>
  <c r="O393" i="1"/>
  <c r="Q393" i="1" s="1"/>
  <c r="M273" i="1"/>
  <c r="I274" i="1"/>
  <c r="I276" i="1" s="1"/>
  <c r="O273" i="1"/>
  <c r="Q273" i="1" s="1"/>
  <c r="I154" i="1"/>
  <c r="I156" i="1" s="1"/>
  <c r="M153" i="1"/>
  <c r="O153" i="1"/>
  <c r="Q153" i="1" s="1"/>
  <c r="O510" i="1"/>
  <c r="G29" i="1"/>
  <c r="O29" i="1" s="1"/>
  <c r="Q29" i="1" s="1"/>
  <c r="M509" i="1"/>
  <c r="K3054" i="1"/>
  <c r="K3045" i="1"/>
  <c r="M29" i="1"/>
  <c r="G389" i="1"/>
  <c r="O389" i="1" s="1"/>
  <c r="Q389" i="1" s="1"/>
  <c r="G629" i="1"/>
  <c r="O629" i="1" s="1"/>
  <c r="Q629" i="1" s="1"/>
  <c r="G269" i="1"/>
  <c r="O269" i="1" s="1"/>
  <c r="Q269" i="1" s="1"/>
  <c r="G1349" i="1"/>
  <c r="O1349" i="1" s="1"/>
  <c r="O149" i="1"/>
  <c r="M1597" i="1"/>
  <c r="G1598" i="1"/>
  <c r="O1598" i="1" s="1"/>
  <c r="Q1598" i="1" s="1"/>
  <c r="G1718" i="1"/>
  <c r="O1718" i="1" s="1"/>
  <c r="Q1718" i="1" s="1"/>
  <c r="M1717" i="1"/>
  <c r="M629" i="1"/>
  <c r="M389" i="1"/>
  <c r="O869" i="1"/>
  <c r="Q869" i="1" s="1"/>
  <c r="M869" i="1"/>
  <c r="M1709" i="1"/>
  <c r="O1709" i="1"/>
  <c r="Q1709" i="1" s="1"/>
  <c r="M1957" i="1"/>
  <c r="G1958" i="1"/>
  <c r="O1958" i="1" s="1"/>
  <c r="Q1958" i="1" s="1"/>
  <c r="G998" i="1"/>
  <c r="O998" i="1" s="1"/>
  <c r="Q998" i="1" s="1"/>
  <c r="M997" i="1"/>
  <c r="I758" i="1"/>
  <c r="G758" i="1" s="1"/>
  <c r="O758" i="1" s="1"/>
  <c r="M757" i="1"/>
  <c r="M149" i="1"/>
  <c r="O1829" i="1"/>
  <c r="Q1829" i="1" s="1"/>
  <c r="M1829" i="1"/>
  <c r="G878" i="1"/>
  <c r="O878" i="1" s="1"/>
  <c r="Q878" i="1" s="1"/>
  <c r="M877" i="1"/>
  <c r="M749" i="1"/>
  <c r="O749" i="1"/>
  <c r="Q749" i="1" s="1"/>
  <c r="M1949" i="1"/>
  <c r="O1949" i="1"/>
  <c r="G1358" i="1"/>
  <c r="O1358" i="1" s="1"/>
  <c r="Q1358" i="1" s="1"/>
  <c r="M1357" i="1"/>
  <c r="O1229" i="1"/>
  <c r="M1229" i="1"/>
  <c r="M1469" i="1"/>
  <c r="O1469" i="1"/>
  <c r="Q1469" i="1" s="1"/>
  <c r="G1118" i="1"/>
  <c r="O1118" i="1" s="1"/>
  <c r="Q1118" i="1" s="1"/>
  <c r="M1117" i="1"/>
  <c r="M989" i="1"/>
  <c r="O989" i="1"/>
  <c r="Q989" i="1" s="1"/>
  <c r="M1837" i="1"/>
  <c r="G1838" i="1"/>
  <c r="O1838" i="1" s="1"/>
  <c r="Q1838" i="1" s="1"/>
  <c r="O1109" i="1"/>
  <c r="M1109" i="1"/>
  <c r="G1238" i="1"/>
  <c r="O1238" i="1" s="1"/>
  <c r="Q1238" i="1" s="1"/>
  <c r="M1237" i="1"/>
  <c r="M1477" i="1"/>
  <c r="G1478" i="1"/>
  <c r="O1478" i="1" s="1"/>
  <c r="M269" i="1"/>
  <c r="M1349" i="1"/>
  <c r="O1589" i="1"/>
  <c r="Q1589" i="1" s="1"/>
  <c r="M1589" i="1"/>
  <c r="K561" i="1"/>
  <c r="K562" i="1"/>
  <c r="O6927" i="1" l="1"/>
  <c r="O6918" i="1" s="1"/>
  <c r="O7167" i="1"/>
  <c r="O7158" i="1" s="1"/>
  <c r="O7767" i="1"/>
  <c r="O7758" i="1" s="1"/>
  <c r="O3418" i="1"/>
  <c r="O3409" i="1" s="1"/>
  <c r="O8727" i="1"/>
  <c r="O8718" i="1" s="1"/>
  <c r="O8367" i="1"/>
  <c r="O8358" i="1" s="1"/>
  <c r="O5098" i="1"/>
  <c r="O5089" i="1" s="1"/>
  <c r="O5343" i="1"/>
  <c r="O8612" i="1"/>
  <c r="Q7533" i="1"/>
  <c r="Q4144" i="1"/>
  <c r="Q8246" i="1"/>
  <c r="O8247" i="1"/>
  <c r="O8238" i="1" s="1"/>
  <c r="Q3537" i="1"/>
  <c r="O3538" i="1"/>
  <c r="O3529" i="1" s="1"/>
  <c r="O5218" i="1"/>
  <c r="O5209" i="1" s="1"/>
  <c r="O7892" i="1"/>
  <c r="I8137" i="1"/>
  <c r="G8135" i="1"/>
  <c r="O8135" i="1" s="1"/>
  <c r="Q8135" i="1" s="1"/>
  <c r="M8135" i="1"/>
  <c r="I7293" i="1"/>
  <c r="G7291" i="1"/>
  <c r="O7291" i="1" s="1"/>
  <c r="O5103" i="1"/>
  <c r="O8252" i="1"/>
  <c r="Q3420" i="1"/>
  <c r="I6813" i="1"/>
  <c r="I6811" i="1"/>
  <c r="G6811" i="1" s="1"/>
  <c r="O6811" i="1" s="1"/>
  <c r="Q6811" i="1" s="1"/>
  <c r="G6810" i="1"/>
  <c r="O6810" i="1" s="1"/>
  <c r="Q6810" i="1" s="1"/>
  <c r="Q7046" i="1"/>
  <c r="O7047" i="1"/>
  <c r="O7038" i="1" s="1"/>
  <c r="I3784" i="1"/>
  <c r="G3782" i="1"/>
  <c r="O3782" i="1" s="1"/>
  <c r="Q4504" i="1"/>
  <c r="Q7406" i="1"/>
  <c r="O7407" i="1"/>
  <c r="O7398" i="1" s="1"/>
  <c r="I4146" i="1"/>
  <c r="G4145" i="1"/>
  <c r="O4145" i="1" s="1"/>
  <c r="Q4145" i="1" s="1"/>
  <c r="M4145" i="1"/>
  <c r="O7772" i="1"/>
  <c r="O8012" i="1"/>
  <c r="I7895" i="1"/>
  <c r="G7894" i="1"/>
  <c r="O7894" i="1" s="1"/>
  <c r="Q7894" i="1" s="1"/>
  <c r="M7894" i="1"/>
  <c r="Q8373" i="1"/>
  <c r="Q8253" i="1"/>
  <c r="Q4377" i="1"/>
  <c r="O4378" i="1"/>
  <c r="O4369" i="1" s="1"/>
  <c r="Q8733" i="1"/>
  <c r="Q4264" i="1"/>
  <c r="Q5104" i="1"/>
  <c r="O3778" i="1"/>
  <c r="O3769" i="1" s="1"/>
  <c r="O8492" i="1"/>
  <c r="Q5337" i="1"/>
  <c r="O5338" i="1"/>
  <c r="O5329" i="1" s="1"/>
  <c r="I4506" i="1"/>
  <c r="G4505" i="1"/>
  <c r="O4505" i="1" s="1"/>
  <c r="Q4505" i="1" s="1"/>
  <c r="M4505" i="1"/>
  <c r="I7535" i="1"/>
  <c r="G7534" i="1"/>
  <c r="O7534" i="1" s="1"/>
  <c r="Q7534" i="1" s="1"/>
  <c r="M7534" i="1"/>
  <c r="Q7653" i="1"/>
  <c r="Q5224" i="1"/>
  <c r="O4623" i="1"/>
  <c r="I8375" i="1"/>
  <c r="M8374" i="1"/>
  <c r="G8374" i="1"/>
  <c r="O8374" i="1" s="1"/>
  <c r="Q8374" i="1" s="1"/>
  <c r="O8732" i="1"/>
  <c r="O4263" i="1"/>
  <c r="Q3544" i="1"/>
  <c r="Q3897" i="1"/>
  <c r="O3898" i="1"/>
  <c r="O3889" i="1" s="1"/>
  <c r="O4863" i="1"/>
  <c r="I8735" i="1"/>
  <c r="G8734" i="1"/>
  <c r="O8734" i="1" s="1"/>
  <c r="Q8734" i="1" s="1"/>
  <c r="M8734" i="1"/>
  <c r="I4266" i="1"/>
  <c r="M4265" i="1"/>
  <c r="G4265" i="1"/>
  <c r="O4265" i="1" s="1"/>
  <c r="Q4265" i="1" s="1"/>
  <c r="O7532" i="1"/>
  <c r="I5226" i="1"/>
  <c r="G5225" i="1"/>
  <c r="O5225" i="1" s="1"/>
  <c r="Q5225" i="1" s="1"/>
  <c r="M5225" i="1"/>
  <c r="Q4497" i="1"/>
  <c r="O4498" i="1"/>
  <c r="O4489" i="1" s="1"/>
  <c r="Q8013" i="1"/>
  <c r="Q4624" i="1"/>
  <c r="I8255" i="1"/>
  <c r="M8254" i="1"/>
  <c r="G8254" i="1"/>
  <c r="O8254" i="1" s="1"/>
  <c r="Q8254" i="1" s="1"/>
  <c r="I5106" i="1"/>
  <c r="G5105" i="1"/>
  <c r="O5105" i="1" s="1"/>
  <c r="Q5105" i="1" s="1"/>
  <c r="M5105" i="1"/>
  <c r="O7652" i="1"/>
  <c r="I7053" i="1"/>
  <c r="G7051" i="1"/>
  <c r="O7051" i="1" s="1"/>
  <c r="O5223" i="1"/>
  <c r="O7887" i="1"/>
  <c r="O7878" i="1" s="1"/>
  <c r="Q8006" i="1"/>
  <c r="O8007" i="1"/>
  <c r="O7998" i="1" s="1"/>
  <c r="Q6933" i="1"/>
  <c r="Q7773" i="1"/>
  <c r="I7655" i="1"/>
  <c r="G7654" i="1"/>
  <c r="O7654" i="1" s="1"/>
  <c r="Q7654" i="1" s="1"/>
  <c r="M7654" i="1"/>
  <c r="Q8606" i="1"/>
  <c r="O8607" i="1"/>
  <c r="O8598" i="1" s="1"/>
  <c r="Q4017" i="1"/>
  <c r="O4018" i="1"/>
  <c r="O4009" i="1" s="1"/>
  <c r="Q5344" i="1"/>
  <c r="I8015" i="1"/>
  <c r="M8014" i="1"/>
  <c r="G8014" i="1"/>
  <c r="O8014" i="1" s="1"/>
  <c r="Q8014" i="1" s="1"/>
  <c r="I4626" i="1"/>
  <c r="M4625" i="1"/>
  <c r="G4625" i="1"/>
  <c r="O4625" i="1" s="1"/>
  <c r="Q4625" i="1" s="1"/>
  <c r="O8372" i="1"/>
  <c r="I3546" i="1"/>
  <c r="G3545" i="1"/>
  <c r="O3545" i="1" s="1"/>
  <c r="Q3545" i="1" s="1"/>
  <c r="M3545" i="1"/>
  <c r="Q8486" i="1"/>
  <c r="O8487" i="1"/>
  <c r="O8478" i="1" s="1"/>
  <c r="I4024" i="1"/>
  <c r="G4022" i="1"/>
  <c r="O4022" i="1" s="1"/>
  <c r="Q4022" i="1" s="1"/>
  <c r="G3662" i="1"/>
  <c r="O3662" i="1" s="1"/>
  <c r="Q3662" i="1" s="1"/>
  <c r="I3664" i="1"/>
  <c r="Q8613" i="1"/>
  <c r="I7173" i="1"/>
  <c r="G7171" i="1"/>
  <c r="O7171" i="1" s="1"/>
  <c r="I6935" i="1"/>
  <c r="G6934" i="1"/>
  <c r="O6934" i="1" s="1"/>
  <c r="Q6934" i="1" s="1"/>
  <c r="M6934" i="1"/>
  <c r="Q7286" i="1"/>
  <c r="O7287" i="1"/>
  <c r="O7278" i="1" s="1"/>
  <c r="O4983" i="1"/>
  <c r="O7527" i="1"/>
  <c r="O7518" i="1" s="1"/>
  <c r="Q4864" i="1"/>
  <c r="Q6806" i="1"/>
  <c r="O6807" i="1"/>
  <c r="O6798" i="1" s="1"/>
  <c r="Q3657" i="1"/>
  <c r="O3658" i="1"/>
  <c r="O3649" i="1" s="1"/>
  <c r="I7775" i="1"/>
  <c r="M7774" i="1"/>
  <c r="G7774" i="1"/>
  <c r="O7774" i="1" s="1"/>
  <c r="Q7774" i="1" s="1"/>
  <c r="Q7646" i="1"/>
  <c r="O7647" i="1"/>
  <c r="O7638" i="1" s="1"/>
  <c r="O4503" i="1"/>
  <c r="I5346" i="1"/>
  <c r="M5345" i="1"/>
  <c r="G5345" i="1"/>
  <c r="O5345" i="1" s="1"/>
  <c r="Q5345" i="1" s="1"/>
  <c r="Q4384" i="1"/>
  <c r="I3904" i="1"/>
  <c r="G3902" i="1"/>
  <c r="O3902" i="1" s="1"/>
  <c r="Q3902" i="1" s="1"/>
  <c r="Q4984" i="1"/>
  <c r="Q8493" i="1"/>
  <c r="I4748" i="1"/>
  <c r="G4746" i="1"/>
  <c r="O4746" i="1" s="1"/>
  <c r="M4746" i="1"/>
  <c r="I8615" i="1"/>
  <c r="M8614" i="1"/>
  <c r="G8614" i="1"/>
  <c r="O8614" i="1" s="1"/>
  <c r="Q8614" i="1" s="1"/>
  <c r="Q4257" i="1"/>
  <c r="O4258" i="1"/>
  <c r="O4249" i="1" s="1"/>
  <c r="O4383" i="1"/>
  <c r="Q7893" i="1"/>
  <c r="I4386" i="1"/>
  <c r="M4385" i="1"/>
  <c r="G4385" i="1"/>
  <c r="O4385" i="1" s="1"/>
  <c r="Q4385" i="1" s="1"/>
  <c r="Q4977" i="1"/>
  <c r="O4978" i="1"/>
  <c r="O4969" i="1" s="1"/>
  <c r="I4866" i="1"/>
  <c r="M4865" i="1"/>
  <c r="G4865" i="1"/>
  <c r="O4865" i="1" s="1"/>
  <c r="Q4865" i="1" s="1"/>
  <c r="Q4617" i="1"/>
  <c r="O4618" i="1"/>
  <c r="O4609" i="1" s="1"/>
  <c r="I4986" i="1"/>
  <c r="G4985" i="1"/>
  <c r="O4985" i="1" s="1"/>
  <c r="Q4985" i="1" s="1"/>
  <c r="M4985" i="1"/>
  <c r="I8495" i="1"/>
  <c r="M8494" i="1"/>
  <c r="G8494" i="1"/>
  <c r="O8494" i="1" s="1"/>
  <c r="Q8494" i="1" s="1"/>
  <c r="I3422" i="1"/>
  <c r="G3422" i="1" s="1"/>
  <c r="O3422" i="1" s="1"/>
  <c r="Q3422" i="1" s="1"/>
  <c r="I3424" i="1"/>
  <c r="G3421" i="1"/>
  <c r="O3421" i="1" s="1"/>
  <c r="Q3421" i="1" s="1"/>
  <c r="Q4137" i="1"/>
  <c r="O4138" i="1"/>
  <c r="O4129" i="1" s="1"/>
  <c r="Q6809" i="1"/>
  <c r="Q4857" i="1"/>
  <c r="O4858" i="1"/>
  <c r="O4849" i="1" s="1"/>
  <c r="I7413" i="1"/>
  <c r="G7411" i="1"/>
  <c r="O7411" i="1" s="1"/>
  <c r="Q1478" i="1"/>
  <c r="Q1109" i="1"/>
  <c r="Q1229" i="1"/>
  <c r="Q1233" i="1"/>
  <c r="Q1353" i="1"/>
  <c r="Q877" i="1"/>
  <c r="Q1949" i="1"/>
  <c r="Q149" i="1"/>
  <c r="Q758" i="1"/>
  <c r="Q1349" i="1"/>
  <c r="M516" i="1"/>
  <c r="G516" i="1"/>
  <c r="O516" i="1" s="1"/>
  <c r="Q516" i="1" s="1"/>
  <c r="I517" i="1"/>
  <c r="M276" i="1"/>
  <c r="I277" i="1"/>
  <c r="G276" i="1"/>
  <c r="O276" i="1" s="1"/>
  <c r="Q276" i="1" s="1"/>
  <c r="I637" i="1"/>
  <c r="G636" i="1"/>
  <c r="O636" i="1" s="1"/>
  <c r="Q636" i="1" s="1"/>
  <c r="M636" i="1"/>
  <c r="G396" i="1"/>
  <c r="O396" i="1" s="1"/>
  <c r="Q396" i="1" s="1"/>
  <c r="I397" i="1"/>
  <c r="M396" i="1"/>
  <c r="G156" i="1"/>
  <c r="O156" i="1" s="1"/>
  <c r="I157" i="1"/>
  <c r="M156" i="1"/>
  <c r="I34" i="1"/>
  <c r="G34" i="1" s="1"/>
  <c r="O34" i="1" s="1"/>
  <c r="Q34" i="1" s="1"/>
  <c r="I36" i="1"/>
  <c r="G33" i="1"/>
  <c r="O33" i="1" s="1"/>
  <c r="Q33" i="1" s="1"/>
  <c r="M33" i="1"/>
  <c r="O30" i="1"/>
  <c r="G1954" i="1"/>
  <c r="O1954" i="1" s="1"/>
  <c r="Q1954" i="1" s="1"/>
  <c r="G1834" i="1"/>
  <c r="O1834" i="1" s="1"/>
  <c r="G1714" i="1"/>
  <c r="O1714" i="1" s="1"/>
  <c r="Q1714" i="1" s="1"/>
  <c r="G1594" i="1"/>
  <c r="O1594" i="1" s="1"/>
  <c r="Q1594" i="1" s="1"/>
  <c r="G1474" i="1"/>
  <c r="O1474" i="1" s="1"/>
  <c r="Q1474" i="1" s="1"/>
  <c r="G1354" i="1"/>
  <c r="O1354" i="1" s="1"/>
  <c r="Q1354" i="1" s="1"/>
  <c r="G1234" i="1"/>
  <c r="O1234" i="1" s="1"/>
  <c r="G1114" i="1"/>
  <c r="O1114" i="1" s="1"/>
  <c r="Q1114" i="1" s="1"/>
  <c r="G994" i="1"/>
  <c r="O994" i="1" s="1"/>
  <c r="Q994" i="1" s="1"/>
  <c r="G874" i="1"/>
  <c r="O874" i="1" s="1"/>
  <c r="Q874" i="1" s="1"/>
  <c r="G754" i="1"/>
  <c r="O754" i="1" s="1"/>
  <c r="Q754" i="1" s="1"/>
  <c r="G634" i="1"/>
  <c r="O634" i="1" s="1"/>
  <c r="Q634" i="1" s="1"/>
  <c r="O390" i="1"/>
  <c r="G514" i="1"/>
  <c r="O514" i="1" s="1"/>
  <c r="Q514" i="1" s="1"/>
  <c r="G394" i="1"/>
  <c r="O394" i="1" s="1"/>
  <c r="Q394" i="1" s="1"/>
  <c r="G274" i="1"/>
  <c r="O274" i="1" s="1"/>
  <c r="O154" i="1"/>
  <c r="Q154" i="1" s="1"/>
  <c r="O1119" i="1"/>
  <c r="O501" i="1"/>
  <c r="O150" i="1"/>
  <c r="K3046" i="1"/>
  <c r="K3056" i="1"/>
  <c r="O270" i="1"/>
  <c r="O630" i="1"/>
  <c r="O1350" i="1"/>
  <c r="O1830" i="1"/>
  <c r="O1110" i="1"/>
  <c r="O1710" i="1"/>
  <c r="O1590" i="1"/>
  <c r="O1470" i="1"/>
  <c r="O990" i="1"/>
  <c r="O1230" i="1"/>
  <c r="O870" i="1"/>
  <c r="O750" i="1"/>
  <c r="O1950" i="1"/>
  <c r="G1480" i="1"/>
  <c r="O1480" i="1" s="1"/>
  <c r="M1478" i="1"/>
  <c r="M1238" i="1"/>
  <c r="G1240" i="1"/>
  <c r="O1240" i="1" s="1"/>
  <c r="Q1240" i="1" s="1"/>
  <c r="M1358" i="1"/>
  <c r="G1360" i="1"/>
  <c r="O1360" i="1" s="1"/>
  <c r="Q1360" i="1" s="1"/>
  <c r="G880" i="1"/>
  <c r="O880" i="1" s="1"/>
  <c r="Q880" i="1" s="1"/>
  <c r="M878" i="1"/>
  <c r="G1000" i="1"/>
  <c r="O1000" i="1" s="1"/>
  <c r="Q1000" i="1" s="1"/>
  <c r="M998" i="1"/>
  <c r="G1600" i="1"/>
  <c r="O1600" i="1" s="1"/>
  <c r="Q1600" i="1" s="1"/>
  <c r="M1598" i="1"/>
  <c r="M1718" i="1"/>
  <c r="G1720" i="1"/>
  <c r="O1720" i="1" s="1"/>
  <c r="Q1720" i="1" s="1"/>
  <c r="G1840" i="1"/>
  <c r="O1840" i="1" s="1"/>
  <c r="Q1840" i="1" s="1"/>
  <c r="M1838" i="1"/>
  <c r="M1958" i="1"/>
  <c r="G1960" i="1"/>
  <c r="O1960" i="1" s="1"/>
  <c r="Q1960" i="1" s="1"/>
  <c r="I760" i="1"/>
  <c r="M758" i="1"/>
  <c r="G1120" i="1"/>
  <c r="O1120" i="1" s="1"/>
  <c r="Q1120" i="1" s="1"/>
  <c r="M1118" i="1"/>
  <c r="K563" i="1"/>
  <c r="O6812" i="1" l="1"/>
  <c r="O4023" i="1"/>
  <c r="I5228" i="1"/>
  <c r="G5226" i="1"/>
  <c r="O5226" i="1" s="1"/>
  <c r="M5226" i="1"/>
  <c r="O3663" i="1"/>
  <c r="I8497" i="1"/>
  <c r="G8495" i="1"/>
  <c r="O8495" i="1" s="1"/>
  <c r="Q8495" i="1" s="1"/>
  <c r="M8495" i="1"/>
  <c r="I4868" i="1"/>
  <c r="M4866" i="1"/>
  <c r="G4866" i="1"/>
  <c r="O4866" i="1" s="1"/>
  <c r="Q4866" i="1" s="1"/>
  <c r="I5348" i="1"/>
  <c r="G5346" i="1"/>
  <c r="O5346" i="1" s="1"/>
  <c r="M5346" i="1"/>
  <c r="I6937" i="1"/>
  <c r="M6935" i="1"/>
  <c r="G6935" i="1"/>
  <c r="O6935" i="1" s="1"/>
  <c r="Q6935" i="1" s="1"/>
  <c r="I7657" i="1"/>
  <c r="G7655" i="1"/>
  <c r="O7655" i="1" s="1"/>
  <c r="Q7655" i="1" s="1"/>
  <c r="M7655" i="1"/>
  <c r="I8377" i="1"/>
  <c r="M8375" i="1"/>
  <c r="G8375" i="1"/>
  <c r="O8375" i="1" s="1"/>
  <c r="I7537" i="1"/>
  <c r="M7535" i="1"/>
  <c r="G7535" i="1"/>
  <c r="O7535" i="1" s="1"/>
  <c r="Q7535" i="1" s="1"/>
  <c r="I7294" i="1"/>
  <c r="G7293" i="1"/>
  <c r="O7293" i="1" s="1"/>
  <c r="M7293" i="1"/>
  <c r="I4025" i="1"/>
  <c r="M4024" i="1"/>
  <c r="G4024" i="1"/>
  <c r="O4024" i="1" s="1"/>
  <c r="I5108" i="1"/>
  <c r="M5106" i="1"/>
  <c r="G5106" i="1"/>
  <c r="O5106" i="1" s="1"/>
  <c r="I7897" i="1"/>
  <c r="G7895" i="1"/>
  <c r="O7895" i="1" s="1"/>
  <c r="M7895" i="1"/>
  <c r="Q274" i="1"/>
  <c r="I6814" i="1"/>
  <c r="G6813" i="1"/>
  <c r="O6813" i="1" s="1"/>
  <c r="M6813" i="1"/>
  <c r="Q1234" i="1"/>
  <c r="Q7171" i="1"/>
  <c r="O7172" i="1"/>
  <c r="O3903" i="1"/>
  <c r="O3423" i="1"/>
  <c r="I8617" i="1"/>
  <c r="G8615" i="1"/>
  <c r="O8615" i="1" s="1"/>
  <c r="Q8615" i="1" s="1"/>
  <c r="M8615" i="1"/>
  <c r="Q7411" i="1"/>
  <c r="O7412" i="1"/>
  <c r="I4988" i="1"/>
  <c r="M4986" i="1"/>
  <c r="G4986" i="1"/>
  <c r="O4986" i="1" s="1"/>
  <c r="I7174" i="1"/>
  <c r="G7173" i="1"/>
  <c r="O7173" i="1" s="1"/>
  <c r="M7173" i="1"/>
  <c r="I4268" i="1"/>
  <c r="M4266" i="1"/>
  <c r="G4266" i="1"/>
  <c r="O4266" i="1" s="1"/>
  <c r="Q4266" i="1" s="1"/>
  <c r="I4508" i="1"/>
  <c r="G4506" i="1"/>
  <c r="O4506" i="1" s="1"/>
  <c r="Q4506" i="1" s="1"/>
  <c r="M4506" i="1"/>
  <c r="Q3782" i="1"/>
  <c r="O3783" i="1"/>
  <c r="I8142" i="1"/>
  <c r="G8137" i="1"/>
  <c r="O8137" i="1" s="1"/>
  <c r="Q4746" i="1"/>
  <c r="O4747" i="1"/>
  <c r="I3905" i="1"/>
  <c r="M3904" i="1"/>
  <c r="G3904" i="1"/>
  <c r="O3904" i="1" s="1"/>
  <c r="I4628" i="1"/>
  <c r="M4626" i="1"/>
  <c r="G4626" i="1"/>
  <c r="O4626" i="1" s="1"/>
  <c r="Q4626" i="1" s="1"/>
  <c r="Q7051" i="1"/>
  <c r="O7052" i="1"/>
  <c r="I7414" i="1"/>
  <c r="G7413" i="1"/>
  <c r="O7413" i="1" s="1"/>
  <c r="M7413" i="1"/>
  <c r="I3425" i="1"/>
  <c r="G3424" i="1"/>
  <c r="O3424" i="1" s="1"/>
  <c r="M3424" i="1"/>
  <c r="I4753" i="1"/>
  <c r="G4748" i="1"/>
  <c r="O4748" i="1" s="1"/>
  <c r="G7053" i="1"/>
  <c r="O7053" i="1" s="1"/>
  <c r="I7054" i="1"/>
  <c r="M7053" i="1"/>
  <c r="I8257" i="1"/>
  <c r="G8255" i="1"/>
  <c r="O8255" i="1" s="1"/>
  <c r="Q8255" i="1" s="1"/>
  <c r="M8255" i="1"/>
  <c r="I3785" i="1"/>
  <c r="G3784" i="1"/>
  <c r="O3784" i="1" s="1"/>
  <c r="M3784" i="1"/>
  <c r="O8136" i="1"/>
  <c r="I4388" i="1"/>
  <c r="G4386" i="1"/>
  <c r="O4386" i="1" s="1"/>
  <c r="Q4386" i="1" s="1"/>
  <c r="M4386" i="1"/>
  <c r="I7777" i="1"/>
  <c r="G7775" i="1"/>
  <c r="O7775" i="1" s="1"/>
  <c r="M7775" i="1"/>
  <c r="O4867" i="1"/>
  <c r="I3665" i="1"/>
  <c r="G3664" i="1"/>
  <c r="O3664" i="1" s="1"/>
  <c r="M3664" i="1"/>
  <c r="I8017" i="1"/>
  <c r="M8015" i="1"/>
  <c r="G8015" i="1"/>
  <c r="O8015" i="1" s="1"/>
  <c r="I8737" i="1"/>
  <c r="G8735" i="1"/>
  <c r="O8735" i="1" s="1"/>
  <c r="Q8735" i="1" s="1"/>
  <c r="M8735" i="1"/>
  <c r="I4148" i="1"/>
  <c r="G4146" i="1"/>
  <c r="O4146" i="1" s="1"/>
  <c r="Q4146" i="1" s="1"/>
  <c r="M4146" i="1"/>
  <c r="Q1480" i="1"/>
  <c r="Q1834" i="1"/>
  <c r="I3548" i="1"/>
  <c r="G3546" i="1"/>
  <c r="O3546" i="1" s="1"/>
  <c r="Q3546" i="1" s="1"/>
  <c r="M3546" i="1"/>
  <c r="Q7291" i="1"/>
  <c r="O7292" i="1"/>
  <c r="Q156" i="1"/>
  <c r="K3060" i="1"/>
  <c r="K3061" i="1" s="1"/>
  <c r="K3062" i="1" s="1"/>
  <c r="K3063" i="1" s="1"/>
  <c r="O35" i="1"/>
  <c r="I638" i="1"/>
  <c r="M637" i="1"/>
  <c r="G637" i="1"/>
  <c r="O637" i="1" s="1"/>
  <c r="Q637" i="1" s="1"/>
  <c r="G277" i="1"/>
  <c r="O277" i="1" s="1"/>
  <c r="I278" i="1"/>
  <c r="M277" i="1"/>
  <c r="G760" i="1"/>
  <c r="O760" i="1" s="1"/>
  <c r="I765" i="1"/>
  <c r="I771" i="1" s="1"/>
  <c r="I398" i="1"/>
  <c r="M397" i="1"/>
  <c r="G397" i="1"/>
  <c r="O397" i="1" s="1"/>
  <c r="Q397" i="1" s="1"/>
  <c r="G517" i="1"/>
  <c r="O517" i="1" s="1"/>
  <c r="M517" i="1"/>
  <c r="I518" i="1"/>
  <c r="G157" i="1"/>
  <c r="O157" i="1" s="1"/>
  <c r="I158" i="1"/>
  <c r="M157" i="1"/>
  <c r="M36" i="1"/>
  <c r="I37" i="1"/>
  <c r="G36" i="1"/>
  <c r="O36" i="1" s="1"/>
  <c r="O1835" i="1"/>
  <c r="O1955" i="1"/>
  <c r="O1715" i="1"/>
  <c r="O1595" i="1"/>
  <c r="O1475" i="1"/>
  <c r="O1355" i="1"/>
  <c r="O995" i="1"/>
  <c r="O1235" i="1"/>
  <c r="O1115" i="1"/>
  <c r="O875" i="1"/>
  <c r="O755" i="1"/>
  <c r="O635" i="1"/>
  <c r="O515" i="1"/>
  <c r="O395" i="1"/>
  <c r="O275" i="1"/>
  <c r="O155" i="1"/>
  <c r="O141" i="1"/>
  <c r="O21" i="1"/>
  <c r="O1341" i="1"/>
  <c r="K3058" i="1"/>
  <c r="K3066" i="1" s="1"/>
  <c r="K3047" i="1"/>
  <c r="O261" i="1"/>
  <c r="O381" i="1"/>
  <c r="O621" i="1"/>
  <c r="O1599" i="1"/>
  <c r="O1959" i="1"/>
  <c r="O879" i="1"/>
  <c r="O1239" i="1"/>
  <c r="O1221" i="1"/>
  <c r="O1581" i="1"/>
  <c r="O1101" i="1"/>
  <c r="O759" i="1"/>
  <c r="O999" i="1"/>
  <c r="O1359" i="1"/>
  <c r="O741" i="1"/>
  <c r="O1719" i="1"/>
  <c r="O1839" i="1"/>
  <c r="O1941" i="1"/>
  <c r="O1479" i="1"/>
  <c r="O861" i="1"/>
  <c r="O981" i="1"/>
  <c r="O1461" i="1"/>
  <c r="O1701" i="1"/>
  <c r="O1821" i="1"/>
  <c r="K564" i="1"/>
  <c r="O8496" i="1" l="1"/>
  <c r="O4627" i="1"/>
  <c r="O6936" i="1"/>
  <c r="O8128" i="1"/>
  <c r="O4507" i="1"/>
  <c r="O7656" i="1"/>
  <c r="O8256" i="1"/>
  <c r="O4267" i="1"/>
  <c r="O8616" i="1"/>
  <c r="I3553" i="1"/>
  <c r="G3548" i="1"/>
  <c r="O3548" i="1" s="1"/>
  <c r="I3666" i="1"/>
  <c r="M3665" i="1"/>
  <c r="G3665" i="1"/>
  <c r="O3665" i="1" s="1"/>
  <c r="Q3665" i="1" s="1"/>
  <c r="O4749" i="1"/>
  <c r="Q4748" i="1"/>
  <c r="Q8015" i="1"/>
  <c r="O8016" i="1"/>
  <c r="I7055" i="1"/>
  <c r="M7054" i="1"/>
  <c r="G7054" i="1"/>
  <c r="O7054" i="1" s="1"/>
  <c r="Q7054" i="1" s="1"/>
  <c r="I3906" i="1"/>
  <c r="M3905" i="1"/>
  <c r="G3905" i="1"/>
  <c r="O3905" i="1" s="1"/>
  <c r="Q3905" i="1" s="1"/>
  <c r="I7782" i="1"/>
  <c r="G7777" i="1"/>
  <c r="O7777" i="1" s="1"/>
  <c r="Q7053" i="1"/>
  <c r="Q3424" i="1"/>
  <c r="O4739" i="1"/>
  <c r="Q4986" i="1"/>
  <c r="O4987" i="1"/>
  <c r="O4147" i="1"/>
  <c r="M7294" i="1"/>
  <c r="I7295" i="1"/>
  <c r="G7294" i="1"/>
  <c r="O7294" i="1" s="1"/>
  <c r="Q7294" i="1" s="1"/>
  <c r="I5353" i="1"/>
  <c r="G5348" i="1"/>
  <c r="O5348" i="1" s="1"/>
  <c r="I4153" i="1"/>
  <c r="G4148" i="1"/>
  <c r="O4148" i="1" s="1"/>
  <c r="I8022" i="1"/>
  <c r="G8017" i="1"/>
  <c r="O8017" i="1" s="1"/>
  <c r="I4393" i="1"/>
  <c r="G4388" i="1"/>
  <c r="O4388" i="1" s="1"/>
  <c r="I3426" i="1"/>
  <c r="M3425" i="1"/>
  <c r="G3425" i="1"/>
  <c r="O3425" i="1" s="1"/>
  <c r="Q3425" i="1" s="1"/>
  <c r="I5113" i="1"/>
  <c r="G5108" i="1"/>
  <c r="O5108" i="1" s="1"/>
  <c r="I7662" i="1"/>
  <c r="G7657" i="1"/>
  <c r="O7657" i="1" s="1"/>
  <c r="O7648" i="1" s="1"/>
  <c r="I4513" i="1"/>
  <c r="G4508" i="1"/>
  <c r="O4508" i="1" s="1"/>
  <c r="O8736" i="1"/>
  <c r="O7536" i="1"/>
  <c r="I4633" i="1"/>
  <c r="G4628" i="1"/>
  <c r="O4628" i="1" s="1"/>
  <c r="O4619" i="1" s="1"/>
  <c r="I4993" i="1"/>
  <c r="G4988" i="1"/>
  <c r="O4988" i="1" s="1"/>
  <c r="Q4024" i="1"/>
  <c r="Q3664" i="1"/>
  <c r="Q7413" i="1"/>
  <c r="O8138" i="1"/>
  <c r="Q8137" i="1"/>
  <c r="I7542" i="1"/>
  <c r="G7537" i="1"/>
  <c r="O7537" i="1" s="1"/>
  <c r="I4873" i="1"/>
  <c r="G4868" i="1"/>
  <c r="O4868" i="1" s="1"/>
  <c r="O4859" i="1" s="1"/>
  <c r="O4387" i="1"/>
  <c r="G7414" i="1"/>
  <c r="O7414" i="1" s="1"/>
  <c r="Q7414" i="1" s="1"/>
  <c r="I7415" i="1"/>
  <c r="M7414" i="1"/>
  <c r="I8148" i="1"/>
  <c r="M8142" i="1"/>
  <c r="G8142" i="1"/>
  <c r="O8142" i="1" s="1"/>
  <c r="I4273" i="1"/>
  <c r="G4268" i="1"/>
  <c r="O4268" i="1" s="1"/>
  <c r="O3547" i="1"/>
  <c r="I4026" i="1"/>
  <c r="M4025" i="1"/>
  <c r="G4025" i="1"/>
  <c r="O4025" i="1" s="1"/>
  <c r="Q4025" i="1" s="1"/>
  <c r="Q8375" i="1"/>
  <c r="O8376" i="1"/>
  <c r="I6942" i="1"/>
  <c r="G6937" i="1"/>
  <c r="O6937" i="1" s="1"/>
  <c r="O6928" i="1" s="1"/>
  <c r="Q5226" i="1"/>
  <c r="O5227" i="1"/>
  <c r="Q3904" i="1"/>
  <c r="Q7895" i="1"/>
  <c r="O7896" i="1"/>
  <c r="I5233" i="1"/>
  <c r="G5228" i="1"/>
  <c r="O5228" i="1" s="1"/>
  <c r="I8742" i="1"/>
  <c r="G8737" i="1"/>
  <c r="O8737" i="1" s="1"/>
  <c r="Q3784" i="1"/>
  <c r="I8262" i="1"/>
  <c r="G8257" i="1"/>
  <c r="O8257" i="1" s="1"/>
  <c r="Q760" i="1"/>
  <c r="I3786" i="1"/>
  <c r="M3785" i="1"/>
  <c r="G3785" i="1"/>
  <c r="O3785" i="1" s="1"/>
  <c r="Q3785" i="1" s="1"/>
  <c r="I4759" i="1"/>
  <c r="M4753" i="1"/>
  <c r="G4753" i="1"/>
  <c r="O4753" i="1" s="1"/>
  <c r="Q7173" i="1"/>
  <c r="Q6813" i="1"/>
  <c r="I7902" i="1"/>
  <c r="G7897" i="1"/>
  <c r="O7897" i="1" s="1"/>
  <c r="I8382" i="1"/>
  <c r="G8377" i="1"/>
  <c r="O8377" i="1" s="1"/>
  <c r="I8502" i="1"/>
  <c r="G8497" i="1"/>
  <c r="O8497" i="1" s="1"/>
  <c r="Q7775" i="1"/>
  <c r="O7776" i="1"/>
  <c r="O7768" i="1" s="1"/>
  <c r="I7175" i="1"/>
  <c r="G7174" i="1"/>
  <c r="O7174" i="1" s="1"/>
  <c r="Q7174" i="1" s="1"/>
  <c r="M7174" i="1"/>
  <c r="I8622" i="1"/>
  <c r="G8617" i="1"/>
  <c r="O8617" i="1" s="1"/>
  <c r="M6814" i="1"/>
  <c r="I6815" i="1"/>
  <c r="G6814" i="1"/>
  <c r="O6814" i="1" s="1"/>
  <c r="Q6814" i="1" s="1"/>
  <c r="Q5106" i="1"/>
  <c r="O5107" i="1"/>
  <c r="O5099" i="1" s="1"/>
  <c r="Q7293" i="1"/>
  <c r="Q5346" i="1"/>
  <c r="O5347" i="1"/>
  <c r="Q157" i="1"/>
  <c r="Q277" i="1"/>
  <c r="G518" i="1"/>
  <c r="O518" i="1" s="1"/>
  <c r="Q518" i="1" s="1"/>
  <c r="M518" i="1"/>
  <c r="I520" i="1"/>
  <c r="G278" i="1"/>
  <c r="O278" i="1" s="1"/>
  <c r="I280" i="1"/>
  <c r="M278" i="1"/>
  <c r="Q517" i="1"/>
  <c r="G398" i="1"/>
  <c r="O398" i="1" s="1"/>
  <c r="M398" i="1"/>
  <c r="I400" i="1"/>
  <c r="G638" i="1"/>
  <c r="O638" i="1" s="1"/>
  <c r="I640" i="1"/>
  <c r="M638" i="1"/>
  <c r="G158" i="1"/>
  <c r="O158" i="1" s="1"/>
  <c r="M158" i="1"/>
  <c r="I160" i="1"/>
  <c r="Q36" i="1"/>
  <c r="G37" i="1"/>
  <c r="O37" i="1" s="1"/>
  <c r="I38" i="1"/>
  <c r="M37" i="1"/>
  <c r="O1831" i="1"/>
  <c r="O991" i="1"/>
  <c r="O1231" i="1"/>
  <c r="O1951" i="1"/>
  <c r="O1711" i="1"/>
  <c r="O1591" i="1"/>
  <c r="O1471" i="1"/>
  <c r="O751" i="1"/>
  <c r="O1351" i="1"/>
  <c r="O871" i="1"/>
  <c r="O1111" i="1"/>
  <c r="M765" i="1"/>
  <c r="K3048" i="1"/>
  <c r="K3064" i="1"/>
  <c r="O1961" i="1"/>
  <c r="O1601" i="1"/>
  <c r="O1721" i="1"/>
  <c r="O1841" i="1"/>
  <c r="O881" i="1"/>
  <c r="O1481" i="1"/>
  <c r="O1121" i="1"/>
  <c r="O761" i="1"/>
  <c r="O1001" i="1"/>
  <c r="O1241" i="1"/>
  <c r="O1361" i="1"/>
  <c r="K565" i="1"/>
  <c r="O7528" i="1" l="1"/>
  <c r="O8248" i="1"/>
  <c r="O4259" i="1"/>
  <c r="O4499" i="1"/>
  <c r="O3539" i="1"/>
  <c r="O5339" i="1"/>
  <c r="O8728" i="1"/>
  <c r="I6817" i="1"/>
  <c r="G6815" i="1"/>
  <c r="O6815" i="1" s="1"/>
  <c r="Q6815" i="1" s="1"/>
  <c r="M6815" i="1"/>
  <c r="O8618" i="1"/>
  <c r="Q8617" i="1"/>
  <c r="I3788" i="1"/>
  <c r="G3786" i="1"/>
  <c r="O3786" i="1" s="1"/>
  <c r="Q3786" i="1" s="1"/>
  <c r="M3786" i="1"/>
  <c r="I8268" i="1"/>
  <c r="G8262" i="1"/>
  <c r="O8262" i="1" s="1"/>
  <c r="M8262" i="1"/>
  <c r="I5239" i="1"/>
  <c r="G5233" i="1"/>
  <c r="O5233" i="1" s="1"/>
  <c r="M5233" i="1"/>
  <c r="I7668" i="1"/>
  <c r="G7662" i="1"/>
  <c r="O7662" i="1" s="1"/>
  <c r="M7662" i="1"/>
  <c r="I4399" i="1"/>
  <c r="G4393" i="1"/>
  <c r="O4393" i="1" s="1"/>
  <c r="M4393" i="1"/>
  <c r="I8628" i="1"/>
  <c r="M8622" i="1"/>
  <c r="G8622" i="1"/>
  <c r="O8622" i="1" s="1"/>
  <c r="O8498" i="1"/>
  <c r="Q8497" i="1"/>
  <c r="O7888" i="1"/>
  <c r="O6938" i="1"/>
  <c r="Q6937" i="1"/>
  <c r="Q4268" i="1"/>
  <c r="O4269" i="1"/>
  <c r="O4379" i="1"/>
  <c r="Q4988" i="1"/>
  <c r="O4989" i="1"/>
  <c r="O4509" i="1"/>
  <c r="Q4508" i="1"/>
  <c r="O5109" i="1"/>
  <c r="Q5108" i="1"/>
  <c r="O8018" i="1"/>
  <c r="Q8017" i="1"/>
  <c r="M7295" i="1"/>
  <c r="I7297" i="1"/>
  <c r="G7295" i="1"/>
  <c r="O7295" i="1" s="1"/>
  <c r="Q7295" i="1" s="1"/>
  <c r="I8508" i="1"/>
  <c r="M8502" i="1"/>
  <c r="G8502" i="1"/>
  <c r="O8502" i="1" s="1"/>
  <c r="I6948" i="1"/>
  <c r="M6942" i="1"/>
  <c r="G6942" i="1"/>
  <c r="O6942" i="1" s="1"/>
  <c r="I4279" i="1"/>
  <c r="M4273" i="1"/>
  <c r="G4273" i="1"/>
  <c r="O4273" i="1" s="1"/>
  <c r="O4869" i="1"/>
  <c r="Q4868" i="1"/>
  <c r="I4999" i="1"/>
  <c r="G4993" i="1"/>
  <c r="O4993" i="1" s="1"/>
  <c r="M4993" i="1"/>
  <c r="I4519" i="1"/>
  <c r="M4513" i="1"/>
  <c r="G4513" i="1"/>
  <c r="O4513" i="1" s="1"/>
  <c r="I5119" i="1"/>
  <c r="M5113" i="1"/>
  <c r="G5113" i="1"/>
  <c r="O5113" i="1" s="1"/>
  <c r="I8028" i="1"/>
  <c r="G8022" i="1"/>
  <c r="O8022" i="1" s="1"/>
  <c r="M8022" i="1"/>
  <c r="I7057" i="1"/>
  <c r="M7055" i="1"/>
  <c r="G7055" i="1"/>
  <c r="O7055" i="1" s="1"/>
  <c r="Q7055" i="1" s="1"/>
  <c r="O4752" i="1"/>
  <c r="Q4753" i="1"/>
  <c r="O8738" i="1"/>
  <c r="Q8737" i="1"/>
  <c r="Q8142" i="1"/>
  <c r="O8141" i="1"/>
  <c r="I4879" i="1"/>
  <c r="M4873" i="1"/>
  <c r="G4873" i="1"/>
  <c r="O4873" i="1" s="1"/>
  <c r="O4149" i="1"/>
  <c r="Q4148" i="1"/>
  <c r="O4139" i="1"/>
  <c r="O7778" i="1"/>
  <c r="Q7777" i="1"/>
  <c r="I3668" i="1"/>
  <c r="M3666" i="1"/>
  <c r="G3666" i="1"/>
  <c r="O3666" i="1" s="1"/>
  <c r="I7908" i="1"/>
  <c r="M7902" i="1"/>
  <c r="G7902" i="1"/>
  <c r="O7902" i="1" s="1"/>
  <c r="Q8377" i="1"/>
  <c r="O8378" i="1"/>
  <c r="O8368" i="1"/>
  <c r="O4629" i="1"/>
  <c r="Q4628" i="1"/>
  <c r="I7177" i="1"/>
  <c r="G7175" i="1"/>
  <c r="O7175" i="1" s="1"/>
  <c r="Q7175" i="1" s="1"/>
  <c r="M7175" i="1"/>
  <c r="I8388" i="1"/>
  <c r="M8382" i="1"/>
  <c r="G8382" i="1"/>
  <c r="O8382" i="1" s="1"/>
  <c r="I8748" i="1"/>
  <c r="M8742" i="1"/>
  <c r="G8742" i="1"/>
  <c r="O8742" i="1" s="1"/>
  <c r="Q7537" i="1"/>
  <c r="O7538" i="1"/>
  <c r="I4639" i="1"/>
  <c r="G4633" i="1"/>
  <c r="O4633" i="1" s="1"/>
  <c r="M4633" i="1"/>
  <c r="O8488" i="1"/>
  <c r="I4159" i="1"/>
  <c r="M4153" i="1"/>
  <c r="G4153" i="1"/>
  <c r="O4153" i="1" s="1"/>
  <c r="O4979" i="1"/>
  <c r="I7788" i="1"/>
  <c r="M7782" i="1"/>
  <c r="G7782" i="1"/>
  <c r="O7782" i="1" s="1"/>
  <c r="O8008" i="1"/>
  <c r="Q3548" i="1"/>
  <c r="O3549" i="1"/>
  <c r="O7898" i="1"/>
  <c r="Q7897" i="1"/>
  <c r="G4759" i="1"/>
  <c r="O4759" i="1" s="1"/>
  <c r="I4761" i="1"/>
  <c r="I8150" i="1"/>
  <c r="G8148" i="1"/>
  <c r="O8148" i="1" s="1"/>
  <c r="I7548" i="1"/>
  <c r="G7542" i="1"/>
  <c r="O7542" i="1" s="1"/>
  <c r="M7542" i="1"/>
  <c r="O8608" i="1"/>
  <c r="I3559" i="1"/>
  <c r="G3553" i="1"/>
  <c r="O3553" i="1" s="1"/>
  <c r="M3553" i="1"/>
  <c r="I3428" i="1"/>
  <c r="G3426" i="1"/>
  <c r="O3426" i="1" s="1"/>
  <c r="M3426" i="1"/>
  <c r="Q5348" i="1"/>
  <c r="O5349" i="1"/>
  <c r="O8258" i="1"/>
  <c r="Q8257" i="1"/>
  <c r="O5229" i="1"/>
  <c r="Q5228" i="1"/>
  <c r="O5219" i="1"/>
  <c r="I4028" i="1"/>
  <c r="G4026" i="1"/>
  <c r="O4026" i="1" s="1"/>
  <c r="Q4026" i="1" s="1"/>
  <c r="M4026" i="1"/>
  <c r="I7417" i="1"/>
  <c r="G7415" i="1"/>
  <c r="O7415" i="1" s="1"/>
  <c r="Q7415" i="1" s="1"/>
  <c r="M7415" i="1"/>
  <c r="O7658" i="1"/>
  <c r="Q7657" i="1"/>
  <c r="O4389" i="1"/>
  <c r="Q4388" i="1"/>
  <c r="I5359" i="1"/>
  <c r="G5353" i="1"/>
  <c r="O5353" i="1" s="1"/>
  <c r="M5353" i="1"/>
  <c r="I3908" i="1"/>
  <c r="G3906" i="1"/>
  <c r="O3906" i="1" s="1"/>
  <c r="M3906" i="1"/>
  <c r="Q37" i="1"/>
  <c r="O519" i="1"/>
  <c r="G640" i="1"/>
  <c r="O640" i="1" s="1"/>
  <c r="I645" i="1"/>
  <c r="I651" i="1" s="1"/>
  <c r="G651" i="1" s="1"/>
  <c r="O651" i="1" s="1"/>
  <c r="Q651" i="1" s="1"/>
  <c r="G280" i="1"/>
  <c r="O280" i="1" s="1"/>
  <c r="I285" i="1"/>
  <c r="I291" i="1" s="1"/>
  <c r="G291" i="1" s="1"/>
  <c r="O291" i="1" s="1"/>
  <c r="Q638" i="1"/>
  <c r="O639" i="1"/>
  <c r="Q278" i="1"/>
  <c r="O279" i="1"/>
  <c r="G400" i="1"/>
  <c r="O400" i="1" s="1"/>
  <c r="I405" i="1"/>
  <c r="I411" i="1" s="1"/>
  <c r="G520" i="1"/>
  <c r="O520" i="1" s="1"/>
  <c r="I525" i="1"/>
  <c r="Q398" i="1"/>
  <c r="O399" i="1"/>
  <c r="G160" i="1"/>
  <c r="O160" i="1" s="1"/>
  <c r="I165" i="1"/>
  <c r="G165" i="1" s="1"/>
  <c r="O165" i="1" s="1"/>
  <c r="Q165" i="1" s="1"/>
  <c r="Q158" i="1"/>
  <c r="O159" i="1"/>
  <c r="G38" i="1"/>
  <c r="O38" i="1" s="1"/>
  <c r="Q38" i="1" s="1"/>
  <c r="I40" i="1"/>
  <c r="M38" i="1"/>
  <c r="G1851" i="1"/>
  <c r="O1851" i="1" s="1"/>
  <c r="Q1851" i="1" s="1"/>
  <c r="M1845" i="1"/>
  <c r="M1125" i="1"/>
  <c r="M1725" i="1"/>
  <c r="G1251" i="1"/>
  <c r="O1251" i="1" s="1"/>
  <c r="Q1251" i="1" s="1"/>
  <c r="M1245" i="1"/>
  <c r="G1371" i="1"/>
  <c r="O1371" i="1" s="1"/>
  <c r="Q1371" i="1" s="1"/>
  <c r="M1365" i="1"/>
  <c r="M1005" i="1"/>
  <c r="M1965" i="1"/>
  <c r="G891" i="1"/>
  <c r="O891" i="1" s="1"/>
  <c r="Q891" i="1" s="1"/>
  <c r="M885" i="1"/>
  <c r="G411" i="1"/>
  <c r="O411" i="1" s="1"/>
  <c r="M1605" i="1"/>
  <c r="M1485" i="1"/>
  <c r="G1365" i="1"/>
  <c r="O1365" i="1" s="1"/>
  <c r="Q1365" i="1" s="1"/>
  <c r="G1845" i="1"/>
  <c r="O1845" i="1" s="1"/>
  <c r="Q1845" i="1" s="1"/>
  <c r="G1005" i="1"/>
  <c r="O1005" i="1" s="1"/>
  <c r="Q1005" i="1" s="1"/>
  <c r="G1245" i="1"/>
  <c r="O1245" i="1" s="1"/>
  <c r="Q1245" i="1" s="1"/>
  <c r="G1965" i="1"/>
  <c r="O1965" i="1" s="1"/>
  <c r="Q1965" i="1" s="1"/>
  <c r="G765" i="1"/>
  <c r="O765" i="1" s="1"/>
  <c r="Q765" i="1" s="1"/>
  <c r="G1125" i="1"/>
  <c r="O1125" i="1" s="1"/>
  <c r="Q1125" i="1" s="1"/>
  <c r="G1605" i="1"/>
  <c r="O1605" i="1" s="1"/>
  <c r="Q1605" i="1" s="1"/>
  <c r="G1725" i="1"/>
  <c r="O1725" i="1" s="1"/>
  <c r="Q1725" i="1" s="1"/>
  <c r="G1485" i="1"/>
  <c r="O1485" i="1" s="1"/>
  <c r="Q1485" i="1" s="1"/>
  <c r="G885" i="1"/>
  <c r="O885" i="1" s="1"/>
  <c r="Q885" i="1" s="1"/>
  <c r="K3068" i="1"/>
  <c r="K3049" i="1"/>
  <c r="K53" i="1"/>
  <c r="K57" i="1" s="1"/>
  <c r="K566" i="1"/>
  <c r="O6816" i="1" l="1"/>
  <c r="O3787" i="1"/>
  <c r="I8750" i="1"/>
  <c r="G8748" i="1"/>
  <c r="O8748" i="1" s="1"/>
  <c r="I4033" i="1"/>
  <c r="G4028" i="1"/>
  <c r="O4028" i="1" s="1"/>
  <c r="O4027" i="1"/>
  <c r="O7541" i="1"/>
  <c r="Q7542" i="1"/>
  <c r="I4762" i="1"/>
  <c r="G4761" i="1"/>
  <c r="O4761" i="1" s="1"/>
  <c r="M4761" i="1"/>
  <c r="Q7782" i="1"/>
  <c r="O7781" i="1"/>
  <c r="O8381" i="1"/>
  <c r="Q8382" i="1"/>
  <c r="I7910" i="1"/>
  <c r="G7908" i="1"/>
  <c r="O7908" i="1" s="1"/>
  <c r="Q4993" i="1"/>
  <c r="O4992" i="1"/>
  <c r="Q3906" i="1"/>
  <c r="O3907" i="1"/>
  <c r="I7550" i="1"/>
  <c r="G7548" i="1"/>
  <c r="O7548" i="1" s="1"/>
  <c r="O4760" i="1"/>
  <c r="Q4759" i="1"/>
  <c r="O4632" i="1"/>
  <c r="Q4633" i="1"/>
  <c r="Q3666" i="1"/>
  <c r="O3667" i="1"/>
  <c r="O4872" i="1"/>
  <c r="Q4873" i="1"/>
  <c r="Q5113" i="1"/>
  <c r="O5112" i="1"/>
  <c r="I5001" i="1"/>
  <c r="G4999" i="1"/>
  <c r="O4999" i="1" s="1"/>
  <c r="I6950" i="1"/>
  <c r="G6948" i="1"/>
  <c r="O6948" i="1" s="1"/>
  <c r="I7670" i="1"/>
  <c r="G7668" i="1"/>
  <c r="O7668" i="1" s="1"/>
  <c r="O8149" i="1"/>
  <c r="Q8148" i="1"/>
  <c r="I7790" i="1"/>
  <c r="G7788" i="1"/>
  <c r="O7788" i="1" s="1"/>
  <c r="G4639" i="1"/>
  <c r="O4639" i="1" s="1"/>
  <c r="I4641" i="1"/>
  <c r="I8390" i="1"/>
  <c r="G8388" i="1"/>
  <c r="O8388" i="1" s="1"/>
  <c r="O7056" i="1"/>
  <c r="I8630" i="1"/>
  <c r="G8628" i="1"/>
  <c r="O8628" i="1" s="1"/>
  <c r="I3673" i="1"/>
  <c r="G3668" i="1"/>
  <c r="O3668" i="1" s="1"/>
  <c r="I4881" i="1"/>
  <c r="G4879" i="1"/>
  <c r="O4879" i="1" s="1"/>
  <c r="I5121" i="1"/>
  <c r="G5119" i="1"/>
  <c r="O5119" i="1" s="1"/>
  <c r="O8501" i="1"/>
  <c r="Q8502" i="1"/>
  <c r="O7296" i="1"/>
  <c r="I3793" i="1"/>
  <c r="G3788" i="1"/>
  <c r="O3788" i="1" s="1"/>
  <c r="O3779" i="1" s="1"/>
  <c r="Q5353" i="1"/>
  <c r="O5352" i="1"/>
  <c r="Q3426" i="1"/>
  <c r="O3427" i="1"/>
  <c r="Q4273" i="1"/>
  <c r="O4272" i="1"/>
  <c r="Q5233" i="1"/>
  <c r="O5232" i="1"/>
  <c r="I3913" i="1"/>
  <c r="G3908" i="1"/>
  <c r="O3908" i="1" s="1"/>
  <c r="Q291" i="1"/>
  <c r="I8151" i="1"/>
  <c r="G8150" i="1"/>
  <c r="O8150" i="1" s="1"/>
  <c r="M8150" i="1"/>
  <c r="O3552" i="1"/>
  <c r="Q3553" i="1"/>
  <c r="Q4153" i="1"/>
  <c r="O4152" i="1"/>
  <c r="O4512" i="1"/>
  <c r="Q4513" i="1"/>
  <c r="I7302" i="1"/>
  <c r="G7297" i="1"/>
  <c r="O7297" i="1" s="1"/>
  <c r="Q411" i="1"/>
  <c r="I5361" i="1"/>
  <c r="G5359" i="1"/>
  <c r="O5359" i="1" s="1"/>
  <c r="I7422" i="1"/>
  <c r="G7417" i="1"/>
  <c r="O7417" i="1" s="1"/>
  <c r="I3433" i="1"/>
  <c r="G3428" i="1"/>
  <c r="O3428" i="1" s="1"/>
  <c r="I3561" i="1"/>
  <c r="G3559" i="1"/>
  <c r="O3559" i="1" s="1"/>
  <c r="Q8742" i="1"/>
  <c r="O8741" i="1"/>
  <c r="I7182" i="1"/>
  <c r="G7177" i="1"/>
  <c r="O7177" i="1" s="1"/>
  <c r="G7057" i="1"/>
  <c r="O7057" i="1" s="1"/>
  <c r="I7062" i="1"/>
  <c r="I8510" i="1"/>
  <c r="G8508" i="1"/>
  <c r="O8508" i="1" s="1"/>
  <c r="O7176" i="1"/>
  <c r="Q4393" i="1"/>
  <c r="O4392" i="1"/>
  <c r="I5241" i="1"/>
  <c r="G5239" i="1"/>
  <c r="O5239" i="1" s="1"/>
  <c r="I4161" i="1"/>
  <c r="G4159" i="1"/>
  <c r="O4159" i="1" s="1"/>
  <c r="Q7902" i="1"/>
  <c r="O7901" i="1"/>
  <c r="G4519" i="1"/>
  <c r="O4519" i="1" s="1"/>
  <c r="I4521" i="1"/>
  <c r="I4281" i="1"/>
  <c r="G4279" i="1"/>
  <c r="O4279" i="1" s="1"/>
  <c r="O7416" i="1"/>
  <c r="G4399" i="1"/>
  <c r="O4399" i="1" s="1"/>
  <c r="I4401" i="1"/>
  <c r="O8021" i="1"/>
  <c r="Q8022" i="1"/>
  <c r="O6941" i="1"/>
  <c r="Q6942" i="1"/>
  <c r="Q8262" i="1"/>
  <c r="O8261" i="1"/>
  <c r="I8030" i="1"/>
  <c r="G8028" i="1"/>
  <c r="O8028" i="1" s="1"/>
  <c r="Q8622" i="1"/>
  <c r="O8621" i="1"/>
  <c r="O7661" i="1"/>
  <c r="Q7662" i="1"/>
  <c r="I8270" i="1"/>
  <c r="G8268" i="1"/>
  <c r="O8268" i="1" s="1"/>
  <c r="G6817" i="1"/>
  <c r="O6817" i="1" s="1"/>
  <c r="I6822" i="1"/>
  <c r="G285" i="1"/>
  <c r="O285" i="1" s="1"/>
  <c r="Q285" i="1" s="1"/>
  <c r="O271" i="1"/>
  <c r="G405" i="1"/>
  <c r="O405" i="1" s="1"/>
  <c r="Q405" i="1" s="1"/>
  <c r="G645" i="1"/>
  <c r="O645" i="1" s="1"/>
  <c r="Q645" i="1" s="1"/>
  <c r="M285" i="1"/>
  <c r="M645" i="1"/>
  <c r="M405" i="1"/>
  <c r="O391" i="1"/>
  <c r="O631" i="1"/>
  <c r="I531" i="1"/>
  <c r="M525" i="1"/>
  <c r="G525" i="1"/>
  <c r="O525" i="1" s="1"/>
  <c r="O151" i="1"/>
  <c r="Q520" i="1"/>
  <c r="O521" i="1"/>
  <c r="O511" i="1"/>
  <c r="Q280" i="1"/>
  <c r="O281" i="1"/>
  <c r="Q400" i="1"/>
  <c r="O401" i="1"/>
  <c r="Q640" i="1"/>
  <c r="O641" i="1"/>
  <c r="I171" i="1"/>
  <c r="I173" i="1" s="1"/>
  <c r="M165" i="1"/>
  <c r="O39" i="1"/>
  <c r="Q160" i="1"/>
  <c r="O161" i="1"/>
  <c r="I45" i="1"/>
  <c r="G40" i="1"/>
  <c r="O40" i="1" s="1"/>
  <c r="M1133" i="1"/>
  <c r="M1733" i="1"/>
  <c r="G1731" i="1"/>
  <c r="O1731" i="1" s="1"/>
  <c r="Q1731" i="1" s="1"/>
  <c r="I293" i="1"/>
  <c r="G1971" i="1"/>
  <c r="O1971" i="1" s="1"/>
  <c r="Q1971" i="1" s="1"/>
  <c r="G1611" i="1"/>
  <c r="O1611" i="1" s="1"/>
  <c r="Q1611" i="1" s="1"/>
  <c r="I413" i="1"/>
  <c r="G1491" i="1"/>
  <c r="O1491" i="1" s="1"/>
  <c r="Q1491" i="1" s="1"/>
  <c r="G1011" i="1"/>
  <c r="O1011" i="1" s="1"/>
  <c r="G1131" i="1"/>
  <c r="O1131" i="1" s="1"/>
  <c r="Q1131" i="1" s="1"/>
  <c r="I653" i="1"/>
  <c r="O652" i="1"/>
  <c r="G1973" i="1"/>
  <c r="O1973" i="1" s="1"/>
  <c r="Q1973" i="1" s="1"/>
  <c r="G1133" i="1"/>
  <c r="O1133" i="1" s="1"/>
  <c r="Q1133" i="1" s="1"/>
  <c r="O892" i="1"/>
  <c r="M1973" i="1"/>
  <c r="O1372" i="1"/>
  <c r="O1252" i="1"/>
  <c r="O1852" i="1"/>
  <c r="O292" i="1"/>
  <c r="O1724" i="1"/>
  <c r="O164" i="1"/>
  <c r="O1844" i="1"/>
  <c r="O1244" i="1"/>
  <c r="O1484" i="1"/>
  <c r="O1604" i="1"/>
  <c r="O1964" i="1"/>
  <c r="O1364" i="1"/>
  <c r="O1124" i="1"/>
  <c r="O412" i="1"/>
  <c r="O884" i="1"/>
  <c r="O764" i="1"/>
  <c r="O1004" i="1"/>
  <c r="G771" i="1"/>
  <c r="O771" i="1" s="1"/>
  <c r="Q771" i="1" s="1"/>
  <c r="I773" i="1"/>
  <c r="K3050" i="1"/>
  <c r="K3051" i="1"/>
  <c r="K3069" i="1"/>
  <c r="K54" i="1"/>
  <c r="K55" i="1" s="1"/>
  <c r="K567" i="1"/>
  <c r="O7048" i="1" l="1"/>
  <c r="O4019" i="1"/>
  <c r="Q1011" i="1"/>
  <c r="Q6817" i="1"/>
  <c r="O6818" i="1"/>
  <c r="I8031" i="1"/>
  <c r="M8030" i="1"/>
  <c r="G8030" i="1"/>
  <c r="O8030" i="1" s="1"/>
  <c r="O4520" i="1"/>
  <c r="Q4519" i="1"/>
  <c r="I8511" i="1"/>
  <c r="M8510" i="1"/>
  <c r="G8510" i="1"/>
  <c r="O8510" i="1" s="1"/>
  <c r="I3562" i="1"/>
  <c r="G3561" i="1"/>
  <c r="O3561" i="1" s="1"/>
  <c r="M3561" i="1"/>
  <c r="Q3788" i="1"/>
  <c r="O3789" i="1"/>
  <c r="I4882" i="1"/>
  <c r="M4881" i="1"/>
  <c r="G4881" i="1"/>
  <c r="O4881" i="1" s="1"/>
  <c r="I8391" i="1"/>
  <c r="G8390" i="1"/>
  <c r="O8390" i="1" s="1"/>
  <c r="M8390" i="1"/>
  <c r="I7671" i="1"/>
  <c r="G7670" i="1"/>
  <c r="O7670" i="1" s="1"/>
  <c r="M7670" i="1"/>
  <c r="O7549" i="1"/>
  <c r="Q7548" i="1"/>
  <c r="O8269" i="1"/>
  <c r="Q8268" i="1"/>
  <c r="I7068" i="1"/>
  <c r="M7062" i="1"/>
  <c r="G7062" i="1"/>
  <c r="O7062" i="1" s="1"/>
  <c r="O3429" i="1"/>
  <c r="Q3428" i="1"/>
  <c r="Q8150" i="1"/>
  <c r="I3799" i="1"/>
  <c r="G3793" i="1"/>
  <c r="O3793" i="1" s="1"/>
  <c r="M3793" i="1"/>
  <c r="O3669" i="1"/>
  <c r="Q3668" i="1"/>
  <c r="I4642" i="1"/>
  <c r="M4641" i="1"/>
  <c r="G4641" i="1"/>
  <c r="O4641" i="1" s="1"/>
  <c r="O6949" i="1"/>
  <c r="Q6948" i="1"/>
  <c r="O3659" i="1"/>
  <c r="I7551" i="1"/>
  <c r="G7550" i="1"/>
  <c r="O7550" i="1" s="1"/>
  <c r="M7550" i="1"/>
  <c r="I8271" i="1"/>
  <c r="G8270" i="1"/>
  <c r="O8270" i="1" s="1"/>
  <c r="M8270" i="1"/>
  <c r="I4402" i="1"/>
  <c r="G4401" i="1"/>
  <c r="O4401" i="1" s="1"/>
  <c r="M4401" i="1"/>
  <c r="O5240" i="1"/>
  <c r="Q5239" i="1"/>
  <c r="Q7057" i="1"/>
  <c r="O7058" i="1"/>
  <c r="I3439" i="1"/>
  <c r="G3433" i="1"/>
  <c r="O3433" i="1" s="1"/>
  <c r="M3433" i="1"/>
  <c r="I8155" i="1"/>
  <c r="I8152" i="1"/>
  <c r="G8151" i="1"/>
  <c r="O8151" i="1" s="1"/>
  <c r="Q8151" i="1" s="1"/>
  <c r="M8151" i="1"/>
  <c r="O7288" i="1"/>
  <c r="I3679" i="1"/>
  <c r="G3673" i="1"/>
  <c r="O3673" i="1" s="1"/>
  <c r="M3673" i="1"/>
  <c r="O4640" i="1"/>
  <c r="Q4639" i="1"/>
  <c r="I6951" i="1"/>
  <c r="M6950" i="1"/>
  <c r="G6950" i="1"/>
  <c r="O6950" i="1" s="1"/>
  <c r="O3899" i="1"/>
  <c r="Q4028" i="1"/>
  <c r="O4029" i="1"/>
  <c r="Q4399" i="1"/>
  <c r="O4400" i="1"/>
  <c r="I5242" i="1"/>
  <c r="M5241" i="1"/>
  <c r="G5241" i="1"/>
  <c r="O5241" i="1" s="1"/>
  <c r="O7178" i="1"/>
  <c r="Q7177" i="1"/>
  <c r="O7418" i="1"/>
  <c r="Q7417" i="1"/>
  <c r="O8629" i="1"/>
  <c r="Q8628" i="1"/>
  <c r="O7789" i="1"/>
  <c r="Q7788" i="1"/>
  <c r="O5000" i="1"/>
  <c r="Q4999" i="1"/>
  <c r="I4039" i="1"/>
  <c r="G4033" i="1"/>
  <c r="O4033" i="1" s="1"/>
  <c r="M4033" i="1"/>
  <c r="O7408" i="1"/>
  <c r="I7188" i="1"/>
  <c r="M7182" i="1"/>
  <c r="G7182" i="1"/>
  <c r="O7182" i="1" s="1"/>
  <c r="I7428" i="1"/>
  <c r="M7422" i="1"/>
  <c r="G7422" i="1"/>
  <c r="O7422" i="1" s="1"/>
  <c r="Q7297" i="1"/>
  <c r="O7298" i="1"/>
  <c r="O3419" i="1"/>
  <c r="I8631" i="1"/>
  <c r="M8630" i="1"/>
  <c r="G8630" i="1"/>
  <c r="O8630" i="1" s="1"/>
  <c r="I7791" i="1"/>
  <c r="G7790" i="1"/>
  <c r="O7790" i="1" s="1"/>
  <c r="M7790" i="1"/>
  <c r="I5002" i="1"/>
  <c r="M5001" i="1"/>
  <c r="G5001" i="1"/>
  <c r="O5001" i="1" s="1"/>
  <c r="O8749" i="1"/>
  <c r="Q8748" i="1"/>
  <c r="O4280" i="1"/>
  <c r="Q4279" i="1"/>
  <c r="O4160" i="1"/>
  <c r="Q4159" i="1"/>
  <c r="O5360" i="1"/>
  <c r="Q5359" i="1"/>
  <c r="I7308" i="1"/>
  <c r="M7302" i="1"/>
  <c r="G7302" i="1"/>
  <c r="O7302" i="1" s="1"/>
  <c r="O5120" i="1"/>
  <c r="Q5119" i="1"/>
  <c r="Q4761" i="1"/>
  <c r="I8751" i="1"/>
  <c r="M8750" i="1"/>
  <c r="G8750" i="1"/>
  <c r="O8750" i="1" s="1"/>
  <c r="I4282" i="1"/>
  <c r="M4281" i="1"/>
  <c r="G4281" i="1"/>
  <c r="O4281" i="1" s="1"/>
  <c r="I4162" i="1"/>
  <c r="G4161" i="1"/>
  <c r="O4161" i="1" s="1"/>
  <c r="M4161" i="1"/>
  <c r="O7168" i="1"/>
  <c r="I5362" i="1"/>
  <c r="G5361" i="1"/>
  <c r="O5361" i="1" s="1"/>
  <c r="M5361" i="1"/>
  <c r="O3909" i="1"/>
  <c r="Q3908" i="1"/>
  <c r="I5122" i="1"/>
  <c r="M5121" i="1"/>
  <c r="G5121" i="1"/>
  <c r="O5121" i="1" s="1"/>
  <c r="O7909" i="1"/>
  <c r="Q7908" i="1"/>
  <c r="I4763" i="1"/>
  <c r="I4766" i="1"/>
  <c r="M4762" i="1"/>
  <c r="G4762" i="1"/>
  <c r="O4762" i="1" s="1"/>
  <c r="Q4762" i="1" s="1"/>
  <c r="I6828" i="1"/>
  <c r="G6822" i="1"/>
  <c r="O6822" i="1" s="1"/>
  <c r="M6822" i="1"/>
  <c r="O8029" i="1"/>
  <c r="Q8028" i="1"/>
  <c r="I4522" i="1"/>
  <c r="M4521" i="1"/>
  <c r="G4521" i="1"/>
  <c r="O4521" i="1" s="1"/>
  <c r="O8509" i="1"/>
  <c r="Q8508" i="1"/>
  <c r="O3560" i="1"/>
  <c r="Q3559" i="1"/>
  <c r="I3919" i="1"/>
  <c r="G3913" i="1"/>
  <c r="O3913" i="1" s="1"/>
  <c r="M3913" i="1"/>
  <c r="Q4879" i="1"/>
  <c r="O4880" i="1"/>
  <c r="O8389" i="1"/>
  <c r="Q8388" i="1"/>
  <c r="O7669" i="1"/>
  <c r="Q7668" i="1"/>
  <c r="I7911" i="1"/>
  <c r="G7910" i="1"/>
  <c r="O7910" i="1" s="1"/>
  <c r="M7910" i="1"/>
  <c r="O6808" i="1"/>
  <c r="O284" i="1"/>
  <c r="O644" i="1"/>
  <c r="O404" i="1"/>
  <c r="G171" i="1"/>
  <c r="O171" i="1" s="1"/>
  <c r="Q525" i="1"/>
  <c r="O524" i="1"/>
  <c r="I533" i="1"/>
  <c r="G531" i="1"/>
  <c r="O531" i="1" s="1"/>
  <c r="Q40" i="1"/>
  <c r="O41" i="1"/>
  <c r="I51" i="1"/>
  <c r="M45" i="1"/>
  <c r="G45" i="1"/>
  <c r="O45" i="1" s="1"/>
  <c r="O31" i="1"/>
  <c r="M1974" i="1"/>
  <c r="G1978" i="1"/>
  <c r="O1978" i="1" s="1"/>
  <c r="Q1978" i="1" s="1"/>
  <c r="G1974" i="1"/>
  <c r="O1974" i="1" s="1"/>
  <c r="Q1974" i="1" s="1"/>
  <c r="G1733" i="1"/>
  <c r="O1733" i="1" s="1"/>
  <c r="Q1733" i="1" s="1"/>
  <c r="G1134" i="1"/>
  <c r="O1134" i="1" s="1"/>
  <c r="Q1134" i="1" s="1"/>
  <c r="K56" i="1"/>
  <c r="M1975" i="1"/>
  <c r="G1975" i="1"/>
  <c r="O1975" i="1" s="1"/>
  <c r="Q1975" i="1" s="1"/>
  <c r="G1853" i="1"/>
  <c r="O1853" i="1" s="1"/>
  <c r="Q1853" i="1" s="1"/>
  <c r="G1734" i="1"/>
  <c r="O1734" i="1" s="1"/>
  <c r="Q1734" i="1" s="1"/>
  <c r="M1614" i="1"/>
  <c r="M1493" i="1"/>
  <c r="M1253" i="1"/>
  <c r="M1013" i="1"/>
  <c r="M893" i="1"/>
  <c r="M413" i="1"/>
  <c r="G293" i="1"/>
  <c r="O293" i="1" s="1"/>
  <c r="O1612" i="1"/>
  <c r="O1972" i="1"/>
  <c r="O1732" i="1"/>
  <c r="G893" i="1"/>
  <c r="O893" i="1" s="1"/>
  <c r="Q893" i="1" s="1"/>
  <c r="M1853" i="1"/>
  <c r="G1373" i="1"/>
  <c r="O1373" i="1" s="1"/>
  <c r="Q1373" i="1" s="1"/>
  <c r="M1373" i="1"/>
  <c r="M293" i="1"/>
  <c r="I294" i="1"/>
  <c r="O1132" i="1"/>
  <c r="G413" i="1"/>
  <c r="O413" i="1" s="1"/>
  <c r="Q413" i="1" s="1"/>
  <c r="I414" i="1"/>
  <c r="O1492" i="1"/>
  <c r="G1613" i="1"/>
  <c r="O1613" i="1" s="1"/>
  <c r="Q1613" i="1" s="1"/>
  <c r="G1493" i="1"/>
  <c r="O1493" i="1" s="1"/>
  <c r="Q1493" i="1" s="1"/>
  <c r="G1013" i="1"/>
  <c r="O1013" i="1" s="1"/>
  <c r="Q1013" i="1" s="1"/>
  <c r="M1613" i="1"/>
  <c r="G1253" i="1"/>
  <c r="O1253" i="1" s="1"/>
  <c r="Q1253" i="1" s="1"/>
  <c r="O1012" i="1"/>
  <c r="I654" i="1"/>
  <c r="I655" i="1" s="1"/>
  <c r="G653" i="1"/>
  <c r="O653" i="1" s="1"/>
  <c r="Q653" i="1" s="1"/>
  <c r="M653" i="1"/>
  <c r="M1134" i="1"/>
  <c r="O772" i="1"/>
  <c r="O172" i="1"/>
  <c r="I174" i="1"/>
  <c r="I175" i="1" s="1"/>
  <c r="M173" i="1"/>
  <c r="G173" i="1"/>
  <c r="O173" i="1" s="1"/>
  <c r="Q173" i="1" s="1"/>
  <c r="M773" i="1"/>
  <c r="I774" i="1"/>
  <c r="I775" i="1" s="1"/>
  <c r="G773" i="1"/>
  <c r="O773" i="1" s="1"/>
  <c r="Q773" i="1" s="1"/>
  <c r="K3052" i="1"/>
  <c r="K3053" i="1" s="1"/>
  <c r="K58" i="1"/>
  <c r="K568" i="1"/>
  <c r="Q4521" i="1" l="1"/>
  <c r="Q4161" i="1"/>
  <c r="Q171" i="1"/>
  <c r="I4523" i="1"/>
  <c r="I4526" i="1"/>
  <c r="M4522" i="1"/>
  <c r="G4522" i="1"/>
  <c r="O4522" i="1" s="1"/>
  <c r="Q4522" i="1" s="1"/>
  <c r="I4768" i="1"/>
  <c r="M4766" i="1"/>
  <c r="G4766" i="1"/>
  <c r="O4766" i="1" s="1"/>
  <c r="Q4766" i="1" s="1"/>
  <c r="Q4281" i="1"/>
  <c r="I7190" i="1"/>
  <c r="G7188" i="1"/>
  <c r="O7188" i="1" s="1"/>
  <c r="Q6950" i="1"/>
  <c r="I3921" i="1"/>
  <c r="G3919" i="1"/>
  <c r="O3919" i="1" s="1"/>
  <c r="I4764" i="1"/>
  <c r="G4763" i="1"/>
  <c r="O4763" i="1" s="1"/>
  <c r="Q4763" i="1" s="1"/>
  <c r="M4763" i="1"/>
  <c r="I8755" i="1"/>
  <c r="I8752" i="1"/>
  <c r="G8751" i="1"/>
  <c r="O8751" i="1" s="1"/>
  <c r="Q8751" i="1" s="1"/>
  <c r="M8751" i="1"/>
  <c r="I7310" i="1"/>
  <c r="G7308" i="1"/>
  <c r="O7308" i="1" s="1"/>
  <c r="Q7790" i="1"/>
  <c r="I5246" i="1"/>
  <c r="I5243" i="1"/>
  <c r="G5242" i="1"/>
  <c r="O5242" i="1" s="1"/>
  <c r="Q5242" i="1" s="1"/>
  <c r="M5242" i="1"/>
  <c r="Q8270" i="1"/>
  <c r="O3792" i="1"/>
  <c r="Q3793" i="1"/>
  <c r="O7061" i="1"/>
  <c r="Q7062" i="1"/>
  <c r="Q4881" i="1"/>
  <c r="Q8510" i="1"/>
  <c r="I4286" i="1"/>
  <c r="I4283" i="1"/>
  <c r="G4282" i="1"/>
  <c r="O4282" i="1" s="1"/>
  <c r="Q4282" i="1" s="1"/>
  <c r="M4282" i="1"/>
  <c r="I7795" i="1"/>
  <c r="I7792" i="1"/>
  <c r="G7791" i="1"/>
  <c r="O7791" i="1" s="1"/>
  <c r="Q7791" i="1" s="1"/>
  <c r="M7791" i="1"/>
  <c r="I6955" i="1"/>
  <c r="I6952" i="1"/>
  <c r="M6951" i="1"/>
  <c r="G6951" i="1"/>
  <c r="O6951" i="1" s="1"/>
  <c r="Q6951" i="1" s="1"/>
  <c r="I8272" i="1"/>
  <c r="I8275" i="1"/>
  <c r="G8271" i="1"/>
  <c r="O8271" i="1" s="1"/>
  <c r="Q8271" i="1" s="1"/>
  <c r="M8271" i="1"/>
  <c r="G3799" i="1"/>
  <c r="O3799" i="1" s="1"/>
  <c r="I3801" i="1"/>
  <c r="Q5361" i="1"/>
  <c r="I5366" i="1"/>
  <c r="I5363" i="1"/>
  <c r="M5362" i="1"/>
  <c r="G5362" i="1"/>
  <c r="O5362" i="1" s="1"/>
  <c r="Q5362" i="1" s="1"/>
  <c r="Q8630" i="1"/>
  <c r="Q7422" i="1"/>
  <c r="O7421" i="1"/>
  <c r="Q4033" i="1"/>
  <c r="O4032" i="1"/>
  <c r="I8153" i="1"/>
  <c r="M8152" i="1"/>
  <c r="G8152" i="1"/>
  <c r="O8152" i="1" s="1"/>
  <c r="Q8152" i="1" s="1"/>
  <c r="Q4641" i="1"/>
  <c r="I7070" i="1"/>
  <c r="G7068" i="1"/>
  <c r="O7068" i="1" s="1"/>
  <c r="I4883" i="1"/>
  <c r="I4886" i="1"/>
  <c r="M4882" i="1"/>
  <c r="G4882" i="1"/>
  <c r="O4882" i="1" s="1"/>
  <c r="Q4882" i="1" s="1"/>
  <c r="I8512" i="1"/>
  <c r="I8515" i="1"/>
  <c r="G8511" i="1"/>
  <c r="O8511" i="1" s="1"/>
  <c r="Q8511" i="1" s="1"/>
  <c r="M8511" i="1"/>
  <c r="O6821" i="1"/>
  <c r="Q6822" i="1"/>
  <c r="G4039" i="1"/>
  <c r="O4039" i="1" s="1"/>
  <c r="I4041" i="1"/>
  <c r="I8157" i="1"/>
  <c r="M8155" i="1"/>
  <c r="G8155" i="1"/>
  <c r="O8155" i="1" s="1"/>
  <c r="Q8155" i="1" s="1"/>
  <c r="Q7670" i="1"/>
  <c r="Q5121" i="1"/>
  <c r="I6830" i="1"/>
  <c r="G6828" i="1"/>
  <c r="O6828" i="1" s="1"/>
  <c r="Q5001" i="1"/>
  <c r="I8632" i="1"/>
  <c r="I8635" i="1"/>
  <c r="G8631" i="1"/>
  <c r="O8631" i="1" s="1"/>
  <c r="Q8631" i="1" s="1"/>
  <c r="M8631" i="1"/>
  <c r="I7430" i="1"/>
  <c r="G7428" i="1"/>
  <c r="O7428" i="1" s="1"/>
  <c r="Q4401" i="1"/>
  <c r="I4643" i="1"/>
  <c r="I4646" i="1"/>
  <c r="M4642" i="1"/>
  <c r="G4642" i="1"/>
  <c r="O4642" i="1" s="1"/>
  <c r="Q4642" i="1" s="1"/>
  <c r="I7675" i="1"/>
  <c r="I7672" i="1"/>
  <c r="G7671" i="1"/>
  <c r="O7671" i="1" s="1"/>
  <c r="Q7671" i="1" s="1"/>
  <c r="M7671" i="1"/>
  <c r="Q7910" i="1"/>
  <c r="I5126" i="1"/>
  <c r="I5123" i="1"/>
  <c r="G5122" i="1"/>
  <c r="O5122" i="1" s="1"/>
  <c r="Q5122" i="1" s="1"/>
  <c r="M5122" i="1"/>
  <c r="O7181" i="1"/>
  <c r="Q7182" i="1"/>
  <c r="O3672" i="1"/>
  <c r="Q3673" i="1"/>
  <c r="O3432" i="1"/>
  <c r="Q3433" i="1"/>
  <c r="I4406" i="1"/>
  <c r="I4403" i="1"/>
  <c r="M4402" i="1"/>
  <c r="G4402" i="1"/>
  <c r="O4402" i="1" s="1"/>
  <c r="Q4402" i="1" s="1"/>
  <c r="Q7550" i="1"/>
  <c r="Q8030" i="1"/>
  <c r="I7915" i="1"/>
  <c r="I7912" i="1"/>
  <c r="G7911" i="1"/>
  <c r="O7911" i="1" s="1"/>
  <c r="Q7911" i="1" s="1"/>
  <c r="M7911" i="1"/>
  <c r="I4166" i="1"/>
  <c r="I4163" i="1"/>
  <c r="M4162" i="1"/>
  <c r="G4162" i="1"/>
  <c r="O4162" i="1" s="1"/>
  <c r="Q4162" i="1" s="1"/>
  <c r="Q8750" i="1"/>
  <c r="Q7302" i="1"/>
  <c r="O7301" i="1"/>
  <c r="I5006" i="1"/>
  <c r="I5003" i="1"/>
  <c r="M5002" i="1"/>
  <c r="G5002" i="1"/>
  <c r="O5002" i="1" s="1"/>
  <c r="Q5002" i="1" s="1"/>
  <c r="Q5241" i="1"/>
  <c r="I3681" i="1"/>
  <c r="G3679" i="1"/>
  <c r="O3679" i="1" s="1"/>
  <c r="I3441" i="1"/>
  <c r="G3439" i="1"/>
  <c r="O3439" i="1" s="1"/>
  <c r="I7555" i="1"/>
  <c r="I7552" i="1"/>
  <c r="M7551" i="1"/>
  <c r="G7551" i="1"/>
  <c r="O7551" i="1" s="1"/>
  <c r="Q7551" i="1" s="1"/>
  <c r="Q8390" i="1"/>
  <c r="Q3561" i="1"/>
  <c r="Q3913" i="1"/>
  <c r="O3912" i="1"/>
  <c r="I8395" i="1"/>
  <c r="I8392" i="1"/>
  <c r="G8391" i="1"/>
  <c r="O8391" i="1" s="1"/>
  <c r="Q8391" i="1" s="1"/>
  <c r="M8391" i="1"/>
  <c r="I3566" i="1"/>
  <c r="I3563" i="1"/>
  <c r="M3562" i="1"/>
  <c r="G3562" i="1"/>
  <c r="O3562" i="1" s="1"/>
  <c r="Q3562" i="1" s="1"/>
  <c r="I8035" i="1"/>
  <c r="I8032" i="1"/>
  <c r="G8031" i="1"/>
  <c r="O8031" i="1" s="1"/>
  <c r="Q8031" i="1" s="1"/>
  <c r="M8031" i="1"/>
  <c r="Q293" i="1"/>
  <c r="Q531" i="1"/>
  <c r="O532" i="1"/>
  <c r="I534" i="1"/>
  <c r="G533" i="1"/>
  <c r="O533" i="1" s="1"/>
  <c r="Q533" i="1" s="1"/>
  <c r="M533" i="1"/>
  <c r="Q45" i="1"/>
  <c r="O44" i="1"/>
  <c r="I53" i="1"/>
  <c r="G51" i="1"/>
  <c r="O51" i="1" s="1"/>
  <c r="G1980" i="1"/>
  <c r="O1980" i="1" s="1"/>
  <c r="Q1980" i="1" s="1"/>
  <c r="M1978" i="1"/>
  <c r="G1138" i="1"/>
  <c r="O1138" i="1" s="1"/>
  <c r="Q1138" i="1" s="1"/>
  <c r="G1854" i="1"/>
  <c r="O1854" i="1" s="1"/>
  <c r="Q1854" i="1" s="1"/>
  <c r="G1618" i="1"/>
  <c r="G1738" i="1"/>
  <c r="G1014" i="1"/>
  <c r="O1014" i="1" s="1"/>
  <c r="Q1014" i="1" s="1"/>
  <c r="G894" i="1"/>
  <c r="O894" i="1" s="1"/>
  <c r="M1135" i="1"/>
  <c r="G1135" i="1"/>
  <c r="O1135" i="1" s="1"/>
  <c r="Q1135" i="1" s="1"/>
  <c r="G294" i="1"/>
  <c r="O294" i="1" s="1"/>
  <c r="I295" i="1"/>
  <c r="I656" i="1"/>
  <c r="M655" i="1"/>
  <c r="G655" i="1"/>
  <c r="O655" i="1" s="1"/>
  <c r="Q655" i="1" s="1"/>
  <c r="I776" i="1"/>
  <c r="M775" i="1"/>
  <c r="G775" i="1"/>
  <c r="O775" i="1" s="1"/>
  <c r="Q775" i="1" s="1"/>
  <c r="G1254" i="1"/>
  <c r="O1254" i="1" s="1"/>
  <c r="G1378" i="1"/>
  <c r="I176" i="1"/>
  <c r="G175" i="1"/>
  <c r="O175" i="1" s="1"/>
  <c r="Q175" i="1" s="1"/>
  <c r="M175" i="1"/>
  <c r="G414" i="1"/>
  <c r="O414" i="1" s="1"/>
  <c r="Q414" i="1" s="1"/>
  <c r="I415" i="1"/>
  <c r="M1734" i="1"/>
  <c r="G1976" i="1"/>
  <c r="O1976" i="1" s="1"/>
  <c r="Q1976" i="1" s="1"/>
  <c r="M1976" i="1"/>
  <c r="G1374" i="1"/>
  <c r="O1374" i="1" s="1"/>
  <c r="Q1374" i="1" s="1"/>
  <c r="M1374" i="1"/>
  <c r="G1614" i="1"/>
  <c r="O1614" i="1" s="1"/>
  <c r="M1854" i="1"/>
  <c r="M294" i="1"/>
  <c r="M894" i="1"/>
  <c r="I298" i="1"/>
  <c r="M1014" i="1"/>
  <c r="M414" i="1"/>
  <c r="I418" i="1"/>
  <c r="G1494" i="1"/>
  <c r="O1494" i="1" s="1"/>
  <c r="Q1494" i="1" s="1"/>
  <c r="M1494" i="1"/>
  <c r="M1254" i="1"/>
  <c r="G654" i="1"/>
  <c r="O654" i="1" s="1"/>
  <c r="Q654" i="1" s="1"/>
  <c r="I658" i="1"/>
  <c r="G658" i="1" s="1"/>
  <c r="M654" i="1"/>
  <c r="M1138" i="1"/>
  <c r="G774" i="1"/>
  <c r="O774" i="1" s="1"/>
  <c r="Q774" i="1" s="1"/>
  <c r="I778" i="1"/>
  <c r="G778" i="1" s="1"/>
  <c r="M774" i="1"/>
  <c r="I178" i="1"/>
  <c r="G178" i="1" s="1"/>
  <c r="G174" i="1"/>
  <c r="O174" i="1" s="1"/>
  <c r="M174" i="1"/>
  <c r="K60" i="1"/>
  <c r="K569" i="1"/>
  <c r="I8033" i="1" l="1"/>
  <c r="G8032" i="1"/>
  <c r="O8032" i="1" s="1"/>
  <c r="M8032" i="1"/>
  <c r="I8393" i="1"/>
  <c r="G8392" i="1"/>
  <c r="O8392" i="1" s="1"/>
  <c r="Q8392" i="1" s="1"/>
  <c r="M8392" i="1"/>
  <c r="O3440" i="1"/>
  <c r="Q3439" i="1"/>
  <c r="I5004" i="1"/>
  <c r="M5003" i="1"/>
  <c r="G5003" i="1"/>
  <c r="O5003" i="1" s="1"/>
  <c r="Q5003" i="1" s="1"/>
  <c r="I4164" i="1"/>
  <c r="M4163" i="1"/>
  <c r="G4163" i="1"/>
  <c r="O4163" i="1" s="1"/>
  <c r="Q4163" i="1" s="1"/>
  <c r="I7673" i="1"/>
  <c r="G7672" i="1"/>
  <c r="O7672" i="1" s="1"/>
  <c r="Q7672" i="1" s="1"/>
  <c r="M7672" i="1"/>
  <c r="I4888" i="1"/>
  <c r="G4886" i="1"/>
  <c r="O4886" i="1" s="1"/>
  <c r="Q4886" i="1" s="1"/>
  <c r="M4886" i="1"/>
  <c r="I7797" i="1"/>
  <c r="M7795" i="1"/>
  <c r="G7795" i="1"/>
  <c r="O7795" i="1" s="1"/>
  <c r="Q7795" i="1" s="1"/>
  <c r="I7311" i="1"/>
  <c r="G7310" i="1"/>
  <c r="O7310" i="1" s="1"/>
  <c r="M7310" i="1"/>
  <c r="O3920" i="1"/>
  <c r="Q3919" i="1"/>
  <c r="I4524" i="1"/>
  <c r="G4523" i="1"/>
  <c r="O4523" i="1" s="1"/>
  <c r="M4523" i="1"/>
  <c r="Q294" i="1"/>
  <c r="I8037" i="1"/>
  <c r="M8035" i="1"/>
  <c r="G8035" i="1"/>
  <c r="O8035" i="1" s="1"/>
  <c r="Q8035" i="1" s="1"/>
  <c r="I8397" i="1"/>
  <c r="G8395" i="1"/>
  <c r="O8395" i="1" s="1"/>
  <c r="Q8395" i="1" s="1"/>
  <c r="M8395" i="1"/>
  <c r="I3442" i="1"/>
  <c r="M3441" i="1"/>
  <c r="G3441" i="1"/>
  <c r="O3441" i="1" s="1"/>
  <c r="I5008" i="1"/>
  <c r="M5006" i="1"/>
  <c r="G5006" i="1"/>
  <c r="O5006" i="1" s="1"/>
  <c r="Q5006" i="1" s="1"/>
  <c r="I4168" i="1"/>
  <c r="G4166" i="1"/>
  <c r="O4166" i="1" s="1"/>
  <c r="Q4166" i="1" s="1"/>
  <c r="M4166" i="1"/>
  <c r="I5124" i="1"/>
  <c r="M5123" i="1"/>
  <c r="G5123" i="1"/>
  <c r="O5123" i="1" s="1"/>
  <c r="I7677" i="1"/>
  <c r="G7675" i="1"/>
  <c r="O7675" i="1" s="1"/>
  <c r="Q7675" i="1" s="1"/>
  <c r="M7675" i="1"/>
  <c r="G8157" i="1"/>
  <c r="O8157" i="1" s="1"/>
  <c r="M8157" i="1"/>
  <c r="I8158" i="1"/>
  <c r="I4884" i="1"/>
  <c r="M4883" i="1"/>
  <c r="G4883" i="1"/>
  <c r="O4883" i="1" s="1"/>
  <c r="Q4883" i="1" s="1"/>
  <c r="I3802" i="1"/>
  <c r="G3801" i="1"/>
  <c r="O3801" i="1" s="1"/>
  <c r="M3801" i="1"/>
  <c r="I6953" i="1"/>
  <c r="G6952" i="1"/>
  <c r="O6952" i="1" s="1"/>
  <c r="Q6952" i="1" s="1"/>
  <c r="M6952" i="1"/>
  <c r="I5244" i="1"/>
  <c r="M5243" i="1"/>
  <c r="G5243" i="1"/>
  <c r="O5243" i="1" s="1"/>
  <c r="I3922" i="1"/>
  <c r="M3921" i="1"/>
  <c r="G3921" i="1"/>
  <c r="O3921" i="1" s="1"/>
  <c r="I5128" i="1"/>
  <c r="M5126" i="1"/>
  <c r="G5126" i="1"/>
  <c r="O5126" i="1" s="1"/>
  <c r="Q5126" i="1" s="1"/>
  <c r="O7429" i="1"/>
  <c r="Q7428" i="1"/>
  <c r="Q6828" i="1"/>
  <c r="O6829" i="1"/>
  <c r="I4042" i="1"/>
  <c r="M4041" i="1"/>
  <c r="G4041" i="1"/>
  <c r="O4041" i="1" s="1"/>
  <c r="O7069" i="1"/>
  <c r="Q7068" i="1"/>
  <c r="I8154" i="1"/>
  <c r="G8153" i="1"/>
  <c r="O8153" i="1" s="1"/>
  <c r="Q8153" i="1" s="1"/>
  <c r="M8153" i="1"/>
  <c r="O3800" i="1"/>
  <c r="Q3799" i="1"/>
  <c r="I6957" i="1"/>
  <c r="G6955" i="1"/>
  <c r="O6955" i="1" s="1"/>
  <c r="Q6955" i="1" s="1"/>
  <c r="M6955" i="1"/>
  <c r="I5248" i="1"/>
  <c r="M5246" i="1"/>
  <c r="G5246" i="1"/>
  <c r="O5246" i="1" s="1"/>
  <c r="Q5246" i="1" s="1"/>
  <c r="I6831" i="1"/>
  <c r="M6830" i="1"/>
  <c r="G6830" i="1"/>
  <c r="O6830" i="1" s="1"/>
  <c r="Q4039" i="1"/>
  <c r="O4040" i="1"/>
  <c r="I7071" i="1"/>
  <c r="M7070" i="1"/>
  <c r="G7070" i="1"/>
  <c r="O7070" i="1" s="1"/>
  <c r="I4284" i="1"/>
  <c r="M4283" i="1"/>
  <c r="G4283" i="1"/>
  <c r="O4283" i="1" s="1"/>
  <c r="Q4283" i="1" s="1"/>
  <c r="I8753" i="1"/>
  <c r="G8752" i="1"/>
  <c r="O8752" i="1" s="1"/>
  <c r="Q8752" i="1" s="1"/>
  <c r="M8752" i="1"/>
  <c r="O3680" i="1"/>
  <c r="Q3679" i="1"/>
  <c r="I3682" i="1"/>
  <c r="M3681" i="1"/>
  <c r="G3681" i="1"/>
  <c r="O3681" i="1" s="1"/>
  <c r="I7431" i="1"/>
  <c r="M7430" i="1"/>
  <c r="G7430" i="1"/>
  <c r="O7430" i="1" s="1"/>
  <c r="I3564" i="1"/>
  <c r="M3563" i="1"/>
  <c r="G3563" i="1"/>
  <c r="O3563" i="1" s="1"/>
  <c r="Q3563" i="1" s="1"/>
  <c r="I7913" i="1"/>
  <c r="G7912" i="1"/>
  <c r="O7912" i="1" s="1"/>
  <c r="Q7912" i="1" s="1"/>
  <c r="M7912" i="1"/>
  <c r="I4648" i="1"/>
  <c r="G4646" i="1"/>
  <c r="O4646" i="1" s="1"/>
  <c r="Q4646" i="1" s="1"/>
  <c r="M4646" i="1"/>
  <c r="I8517" i="1"/>
  <c r="M8515" i="1"/>
  <c r="G8515" i="1"/>
  <c r="O8515" i="1" s="1"/>
  <c r="Q8515" i="1" s="1"/>
  <c r="I5364" i="1"/>
  <c r="M5363" i="1"/>
  <c r="G5363" i="1"/>
  <c r="O5363" i="1" s="1"/>
  <c r="Q5363" i="1" s="1"/>
  <c r="I4288" i="1"/>
  <c r="G4286" i="1"/>
  <c r="O4286" i="1" s="1"/>
  <c r="Q4286" i="1" s="1"/>
  <c r="M4286" i="1"/>
  <c r="I8757" i="1"/>
  <c r="G8755" i="1"/>
  <c r="O8755" i="1" s="1"/>
  <c r="Q8755" i="1" s="1"/>
  <c r="M8755" i="1"/>
  <c r="I4769" i="1"/>
  <c r="G4768" i="1"/>
  <c r="O4768" i="1" s="1"/>
  <c r="M4768" i="1"/>
  <c r="I3568" i="1"/>
  <c r="M3566" i="1"/>
  <c r="G3566" i="1"/>
  <c r="O3566" i="1" s="1"/>
  <c r="Q3566" i="1" s="1"/>
  <c r="I7917" i="1"/>
  <c r="M7915" i="1"/>
  <c r="G7915" i="1"/>
  <c r="O7915" i="1" s="1"/>
  <c r="Q7915" i="1" s="1"/>
  <c r="I4404" i="1"/>
  <c r="M4403" i="1"/>
  <c r="G4403" i="1"/>
  <c r="O4403" i="1" s="1"/>
  <c r="I4644" i="1"/>
  <c r="M4643" i="1"/>
  <c r="G4643" i="1"/>
  <c r="O4643" i="1" s="1"/>
  <c r="Q4643" i="1" s="1"/>
  <c r="I8513" i="1"/>
  <c r="M8512" i="1"/>
  <c r="G8512" i="1"/>
  <c r="O8512" i="1" s="1"/>
  <c r="Q8512" i="1" s="1"/>
  <c r="I5368" i="1"/>
  <c r="M5366" i="1"/>
  <c r="G5366" i="1"/>
  <c r="O5366" i="1" s="1"/>
  <c r="Q5366" i="1" s="1"/>
  <c r="I8277" i="1"/>
  <c r="G8275" i="1"/>
  <c r="O8275" i="1" s="1"/>
  <c r="Q8275" i="1" s="1"/>
  <c r="M8275" i="1"/>
  <c r="O7189" i="1"/>
  <c r="Q7188" i="1"/>
  <c r="I7553" i="1"/>
  <c r="M7552" i="1"/>
  <c r="G7552" i="1"/>
  <c r="O7552" i="1" s="1"/>
  <c r="I4408" i="1"/>
  <c r="G4406" i="1"/>
  <c r="O4406" i="1" s="1"/>
  <c r="Q4406" i="1" s="1"/>
  <c r="M4406" i="1"/>
  <c r="I8637" i="1"/>
  <c r="M8635" i="1"/>
  <c r="G8635" i="1"/>
  <c r="O8635" i="1" s="1"/>
  <c r="Q8635" i="1" s="1"/>
  <c r="I8273" i="1"/>
  <c r="M8272" i="1"/>
  <c r="G8272" i="1"/>
  <c r="O8272" i="1" s="1"/>
  <c r="I7191" i="1"/>
  <c r="G7190" i="1"/>
  <c r="O7190" i="1" s="1"/>
  <c r="M7190" i="1"/>
  <c r="I7557" i="1"/>
  <c r="M7555" i="1"/>
  <c r="G7555" i="1"/>
  <c r="O7555" i="1" s="1"/>
  <c r="Q7555" i="1" s="1"/>
  <c r="I8633" i="1"/>
  <c r="M8632" i="1"/>
  <c r="G8632" i="1"/>
  <c r="O8632" i="1" s="1"/>
  <c r="Q8632" i="1" s="1"/>
  <c r="I7793" i="1"/>
  <c r="M7792" i="1"/>
  <c r="G7792" i="1"/>
  <c r="O7792" i="1" s="1"/>
  <c r="Q7792" i="1" s="1"/>
  <c r="O7309" i="1"/>
  <c r="Q7308" i="1"/>
  <c r="I4765" i="1"/>
  <c r="M4764" i="1"/>
  <c r="G4764" i="1"/>
  <c r="O4764" i="1" s="1"/>
  <c r="Q4764" i="1" s="1"/>
  <c r="I4528" i="1"/>
  <c r="M4526" i="1"/>
  <c r="G4526" i="1"/>
  <c r="O4526" i="1" s="1"/>
  <c r="Q4526" i="1" s="1"/>
  <c r="Q1254" i="1"/>
  <c r="Q174" i="1"/>
  <c r="Q894" i="1"/>
  <c r="Q1614" i="1"/>
  <c r="I535" i="1"/>
  <c r="I538" i="1"/>
  <c r="G534" i="1"/>
  <c r="O534" i="1" s="1"/>
  <c r="Q534" i="1" s="1"/>
  <c r="M534" i="1"/>
  <c r="Q51" i="1"/>
  <c r="O52" i="1"/>
  <c r="I54" i="1"/>
  <c r="G53" i="1"/>
  <c r="O53" i="1" s="1"/>
  <c r="Q53" i="1" s="1"/>
  <c r="M53" i="1"/>
  <c r="G1981" i="1"/>
  <c r="O1981" i="1" s="1"/>
  <c r="Q1981" i="1" s="1"/>
  <c r="M1980" i="1"/>
  <c r="M1498" i="1"/>
  <c r="G1500" i="1"/>
  <c r="O1500" i="1" s="1"/>
  <c r="Q1500" i="1" s="1"/>
  <c r="M1500" i="1"/>
  <c r="G1140" i="1"/>
  <c r="O1140" i="1" s="1"/>
  <c r="Q1140" i="1" s="1"/>
  <c r="M1140" i="1"/>
  <c r="G898" i="1"/>
  <c r="O898" i="1" s="1"/>
  <c r="Q898" i="1" s="1"/>
  <c r="I420" i="1"/>
  <c r="I421" i="1" s="1"/>
  <c r="G421" i="1" s="1"/>
  <c r="O421" i="1" s="1"/>
  <c r="Q421" i="1" s="1"/>
  <c r="G418" i="1"/>
  <c r="O418" i="1" s="1"/>
  <c r="Q418" i="1" s="1"/>
  <c r="G1498" i="1"/>
  <c r="O1498" i="1" s="1"/>
  <c r="G1858" i="1"/>
  <c r="O1858" i="1" s="1"/>
  <c r="Q1858" i="1" s="1"/>
  <c r="G1258" i="1"/>
  <c r="O1258" i="1" s="1"/>
  <c r="G1018" i="1"/>
  <c r="O1018" i="1" s="1"/>
  <c r="Q1018" i="1" s="1"/>
  <c r="I300" i="1"/>
  <c r="I301" i="1" s="1"/>
  <c r="G301" i="1" s="1"/>
  <c r="O301" i="1" s="1"/>
  <c r="Q301" i="1" s="1"/>
  <c r="G298" i="1"/>
  <c r="O298" i="1" s="1"/>
  <c r="Q298" i="1" s="1"/>
  <c r="M1015" i="1"/>
  <c r="G1015" i="1"/>
  <c r="O1015" i="1" s="1"/>
  <c r="Q1015" i="1" s="1"/>
  <c r="I777" i="1"/>
  <c r="G777" i="1" s="1"/>
  <c r="G776" i="1"/>
  <c r="O776" i="1" s="1"/>
  <c r="Q776" i="1" s="1"/>
  <c r="M776" i="1"/>
  <c r="G1137" i="1"/>
  <c r="M1136" i="1"/>
  <c r="G1136" i="1"/>
  <c r="O1136" i="1" s="1"/>
  <c r="Q1136" i="1" s="1"/>
  <c r="I177" i="1"/>
  <c r="G177" i="1" s="1"/>
  <c r="G176" i="1"/>
  <c r="O176" i="1" s="1"/>
  <c r="Q176" i="1" s="1"/>
  <c r="M176" i="1"/>
  <c r="M895" i="1"/>
  <c r="G895" i="1"/>
  <c r="O895" i="1" s="1"/>
  <c r="Q895" i="1" s="1"/>
  <c r="M1735" i="1"/>
  <c r="G1735" i="1"/>
  <c r="O1735" i="1" s="1"/>
  <c r="Q1735" i="1" s="1"/>
  <c r="M1375" i="1"/>
  <c r="G1375" i="1"/>
  <c r="O1375" i="1" s="1"/>
  <c r="O1738" i="1"/>
  <c r="Q1738" i="1" s="1"/>
  <c r="M1740" i="1"/>
  <c r="M1738" i="1"/>
  <c r="G1977" i="1"/>
  <c r="O1977" i="1" s="1"/>
  <c r="Q1977" i="1" s="1"/>
  <c r="M1977" i="1"/>
  <c r="O1378" i="1"/>
  <c r="Q1378" i="1" s="1"/>
  <c r="M1378" i="1"/>
  <c r="M1380" i="1"/>
  <c r="I657" i="1"/>
  <c r="G657" i="1" s="1"/>
  <c r="G656" i="1"/>
  <c r="O656" i="1" s="1"/>
  <c r="Q656" i="1" s="1"/>
  <c r="M656" i="1"/>
  <c r="M1495" i="1"/>
  <c r="G1495" i="1"/>
  <c r="O1495" i="1" s="1"/>
  <c r="Q1495" i="1" s="1"/>
  <c r="M1615" i="1"/>
  <c r="G1615" i="1"/>
  <c r="O1615" i="1" s="1"/>
  <c r="Q1615" i="1" s="1"/>
  <c r="M1255" i="1"/>
  <c r="G1255" i="1"/>
  <c r="O1255" i="1" s="1"/>
  <c r="Q1255" i="1" s="1"/>
  <c r="I296" i="1"/>
  <c r="M295" i="1"/>
  <c r="G295" i="1"/>
  <c r="O295" i="1" s="1"/>
  <c r="O1618" i="1"/>
  <c r="Q1618" i="1" s="1"/>
  <c r="M1618" i="1"/>
  <c r="M1620" i="1"/>
  <c r="I416" i="1"/>
  <c r="M415" i="1"/>
  <c r="G415" i="1"/>
  <c r="O415" i="1" s="1"/>
  <c r="M1855" i="1"/>
  <c r="G1855" i="1"/>
  <c r="O1855" i="1" s="1"/>
  <c r="Q1855" i="1" s="1"/>
  <c r="M1858" i="1"/>
  <c r="M898" i="1"/>
  <c r="M298" i="1"/>
  <c r="M1018" i="1"/>
  <c r="M418" i="1"/>
  <c r="G1501" i="1"/>
  <c r="O1501" i="1" s="1"/>
  <c r="M1258" i="1"/>
  <c r="O658" i="1"/>
  <c r="Q658" i="1" s="1"/>
  <c r="M658" i="1"/>
  <c r="I660" i="1"/>
  <c r="M660" i="1" s="1"/>
  <c r="G1141" i="1"/>
  <c r="O1141" i="1" s="1"/>
  <c r="Q1141" i="1" s="1"/>
  <c r="O178" i="1"/>
  <c r="Q178" i="1" s="1"/>
  <c r="I180" i="1"/>
  <c r="M180" i="1" s="1"/>
  <c r="M178" i="1"/>
  <c r="M778" i="1"/>
  <c r="I780" i="1"/>
  <c r="M780" i="1" s="1"/>
  <c r="O778" i="1"/>
  <c r="Q778" i="1" s="1"/>
  <c r="K570" i="1"/>
  <c r="K571" i="1"/>
  <c r="K61" i="1"/>
  <c r="K572" i="1"/>
  <c r="I4645" i="1" l="1"/>
  <c r="G4644" i="1"/>
  <c r="O4644" i="1" s="1"/>
  <c r="Q4644" i="1" s="1"/>
  <c r="M4644" i="1"/>
  <c r="I8634" i="1"/>
  <c r="M8633" i="1"/>
  <c r="G8633" i="1"/>
  <c r="O8633" i="1" s="1"/>
  <c r="Q4403" i="1"/>
  <c r="M3568" i="1"/>
  <c r="I3569" i="1"/>
  <c r="G3568" i="1"/>
  <c r="O3568" i="1" s="1"/>
  <c r="I7914" i="1"/>
  <c r="G7913" i="1"/>
  <c r="O7913" i="1" s="1"/>
  <c r="Q7913" i="1" s="1"/>
  <c r="M7913" i="1"/>
  <c r="I4285" i="1"/>
  <c r="M4284" i="1"/>
  <c r="G4284" i="1"/>
  <c r="O4284" i="1" s="1"/>
  <c r="Q4284" i="1" s="1"/>
  <c r="I6832" i="1"/>
  <c r="I6835" i="1"/>
  <c r="M6831" i="1"/>
  <c r="G6831" i="1"/>
  <c r="O6831" i="1" s="1"/>
  <c r="Q6831" i="1" s="1"/>
  <c r="M5128" i="1"/>
  <c r="I5129" i="1"/>
  <c r="G5128" i="1"/>
  <c r="O5128" i="1" s="1"/>
  <c r="I7678" i="1"/>
  <c r="G7677" i="1"/>
  <c r="O7677" i="1" s="1"/>
  <c r="M7677" i="1"/>
  <c r="Q4523" i="1"/>
  <c r="I8274" i="1"/>
  <c r="G8273" i="1"/>
  <c r="O8273" i="1" s="1"/>
  <c r="Q8273" i="1" s="1"/>
  <c r="M8273" i="1"/>
  <c r="Q3681" i="1"/>
  <c r="Q7070" i="1"/>
  <c r="I4046" i="1"/>
  <c r="I4043" i="1"/>
  <c r="M4042" i="1"/>
  <c r="G4042" i="1"/>
  <c r="O4042" i="1" s="1"/>
  <c r="Q4042" i="1" s="1"/>
  <c r="Q3921" i="1"/>
  <c r="I6954" i="1"/>
  <c r="G6953" i="1"/>
  <c r="O6953" i="1" s="1"/>
  <c r="M6953" i="1"/>
  <c r="I8159" i="1"/>
  <c r="G8158" i="1"/>
  <c r="O8158" i="1" s="1"/>
  <c r="Q8158" i="1" s="1"/>
  <c r="M8158" i="1"/>
  <c r="Q5123" i="1"/>
  <c r="G5008" i="1"/>
  <c r="O5008" i="1" s="1"/>
  <c r="M5008" i="1"/>
  <c r="I5009" i="1"/>
  <c r="I4525" i="1"/>
  <c r="G4524" i="1"/>
  <c r="O4524" i="1" s="1"/>
  <c r="Q4524" i="1" s="1"/>
  <c r="M4524" i="1"/>
  <c r="I5005" i="1"/>
  <c r="M5004" i="1"/>
  <c r="G5004" i="1"/>
  <c r="O5004" i="1" s="1"/>
  <c r="Q5004" i="1" s="1"/>
  <c r="Q8032" i="1"/>
  <c r="M4408" i="1"/>
  <c r="I4409" i="1"/>
  <c r="G4408" i="1"/>
  <c r="O4408" i="1" s="1"/>
  <c r="I4405" i="1"/>
  <c r="M4404" i="1"/>
  <c r="G4404" i="1"/>
  <c r="O4404" i="1" s="1"/>
  <c r="Q4404" i="1" s="1"/>
  <c r="I8518" i="1"/>
  <c r="G8517" i="1"/>
  <c r="O8517" i="1" s="1"/>
  <c r="M8517" i="1"/>
  <c r="Q3441" i="1"/>
  <c r="M8037" i="1"/>
  <c r="I8038" i="1"/>
  <c r="G8037" i="1"/>
  <c r="O8037" i="1" s="1"/>
  <c r="G7797" i="1"/>
  <c r="O7797" i="1" s="1"/>
  <c r="M7797" i="1"/>
  <c r="I7798" i="1"/>
  <c r="I8034" i="1"/>
  <c r="G8033" i="1"/>
  <c r="O8033" i="1" s="1"/>
  <c r="Q8033" i="1" s="1"/>
  <c r="M8033" i="1"/>
  <c r="Q7552" i="1"/>
  <c r="I8514" i="1"/>
  <c r="G8513" i="1"/>
  <c r="O8513" i="1" s="1"/>
  <c r="M8513" i="1"/>
  <c r="Q4768" i="1"/>
  <c r="M4288" i="1"/>
  <c r="I4289" i="1"/>
  <c r="G4288" i="1"/>
  <c r="O4288" i="1" s="1"/>
  <c r="I3686" i="1"/>
  <c r="I3683" i="1"/>
  <c r="G3682" i="1"/>
  <c r="O3682" i="1" s="1"/>
  <c r="Q3682" i="1" s="1"/>
  <c r="M3682" i="1"/>
  <c r="I7075" i="1"/>
  <c r="I7072" i="1"/>
  <c r="G7071" i="1"/>
  <c r="O7071" i="1" s="1"/>
  <c r="Q7071" i="1" s="1"/>
  <c r="M7071" i="1"/>
  <c r="I5249" i="1"/>
  <c r="G5248" i="1"/>
  <c r="O5248" i="1" s="1"/>
  <c r="M5248" i="1"/>
  <c r="I3926" i="1"/>
  <c r="I3923" i="1"/>
  <c r="M3922" i="1"/>
  <c r="G3922" i="1"/>
  <c r="O3922" i="1" s="1"/>
  <c r="Q3922" i="1" s="1"/>
  <c r="Q3801" i="1"/>
  <c r="Q8157" i="1"/>
  <c r="I5125" i="1"/>
  <c r="M5124" i="1"/>
  <c r="G5124" i="1"/>
  <c r="O5124" i="1" s="1"/>
  <c r="Q5124" i="1" s="1"/>
  <c r="I7674" i="1"/>
  <c r="G7673" i="1"/>
  <c r="O7673" i="1" s="1"/>
  <c r="M7673" i="1"/>
  <c r="I4529" i="1"/>
  <c r="G4528" i="1"/>
  <c r="O4528" i="1" s="1"/>
  <c r="M4528" i="1"/>
  <c r="G7557" i="1"/>
  <c r="O7557" i="1" s="1"/>
  <c r="M7557" i="1"/>
  <c r="I7558" i="1"/>
  <c r="I7794" i="1"/>
  <c r="G7793" i="1"/>
  <c r="O7793" i="1" s="1"/>
  <c r="Q7793" i="1" s="1"/>
  <c r="M7793" i="1"/>
  <c r="I8278" i="1"/>
  <c r="G8277" i="1"/>
  <c r="O8277" i="1" s="1"/>
  <c r="M8277" i="1"/>
  <c r="I4770" i="1"/>
  <c r="G4769" i="1"/>
  <c r="O4769" i="1" s="1"/>
  <c r="Q4769" i="1" s="1"/>
  <c r="M4769" i="1"/>
  <c r="I3565" i="1"/>
  <c r="M3564" i="1"/>
  <c r="G3564" i="1"/>
  <c r="O3564" i="1" s="1"/>
  <c r="G8154" i="1"/>
  <c r="O8154" i="1" s="1"/>
  <c r="M8154" i="1"/>
  <c r="Q5243" i="1"/>
  <c r="I3803" i="1"/>
  <c r="I3806" i="1"/>
  <c r="M3802" i="1"/>
  <c r="G3802" i="1"/>
  <c r="O3802" i="1" s="1"/>
  <c r="Q3802" i="1" s="1"/>
  <c r="I3446" i="1"/>
  <c r="I3443" i="1"/>
  <c r="G3442" i="1"/>
  <c r="O3442" i="1" s="1"/>
  <c r="Q3442" i="1" s="1"/>
  <c r="M3442" i="1"/>
  <c r="Q7190" i="1"/>
  <c r="I7554" i="1"/>
  <c r="M7553" i="1"/>
  <c r="G7553" i="1"/>
  <c r="O7553" i="1" s="1"/>
  <c r="Q7553" i="1" s="1"/>
  <c r="Q7430" i="1"/>
  <c r="I8754" i="1"/>
  <c r="G8753" i="1"/>
  <c r="O8753" i="1" s="1"/>
  <c r="M8753" i="1"/>
  <c r="I4889" i="1"/>
  <c r="G4888" i="1"/>
  <c r="O4888" i="1" s="1"/>
  <c r="M4888" i="1"/>
  <c r="M4648" i="1"/>
  <c r="I4649" i="1"/>
  <c r="G4648" i="1"/>
  <c r="O4648" i="1" s="1"/>
  <c r="G4765" i="1"/>
  <c r="O4765" i="1" s="1"/>
  <c r="Q4765" i="1" s="1"/>
  <c r="M4765" i="1"/>
  <c r="I7192" i="1"/>
  <c r="I7195" i="1"/>
  <c r="G7191" i="1"/>
  <c r="O7191" i="1" s="1"/>
  <c r="Q7191" i="1" s="1"/>
  <c r="M7191" i="1"/>
  <c r="I5365" i="1"/>
  <c r="M5364" i="1"/>
  <c r="G5364" i="1"/>
  <c r="O5364" i="1" s="1"/>
  <c r="Q6830" i="1"/>
  <c r="I5245" i="1"/>
  <c r="M5244" i="1"/>
  <c r="G5244" i="1"/>
  <c r="O5244" i="1" s="1"/>
  <c r="Q5244" i="1" s="1"/>
  <c r="G4168" i="1"/>
  <c r="O4168" i="1" s="1"/>
  <c r="M4168" i="1"/>
  <c r="I4169" i="1"/>
  <c r="Q7310" i="1"/>
  <c r="I4165" i="1"/>
  <c r="M4164" i="1"/>
  <c r="G4164" i="1"/>
  <c r="O4164" i="1" s="1"/>
  <c r="I7918" i="1"/>
  <c r="G7917" i="1"/>
  <c r="O7917" i="1" s="1"/>
  <c r="M7917" i="1"/>
  <c r="Q8272" i="1"/>
  <c r="M8637" i="1"/>
  <c r="I8638" i="1"/>
  <c r="G8637" i="1"/>
  <c r="O8637" i="1" s="1"/>
  <c r="M5368" i="1"/>
  <c r="I5369" i="1"/>
  <c r="G5368" i="1"/>
  <c r="O5368" i="1" s="1"/>
  <c r="I8758" i="1"/>
  <c r="M8757" i="1"/>
  <c r="G8757" i="1"/>
  <c r="O8757" i="1" s="1"/>
  <c r="I7435" i="1"/>
  <c r="I7432" i="1"/>
  <c r="G7431" i="1"/>
  <c r="O7431" i="1" s="1"/>
  <c r="Q7431" i="1" s="1"/>
  <c r="M7431" i="1"/>
  <c r="I6958" i="1"/>
  <c r="G6957" i="1"/>
  <c r="O6957" i="1" s="1"/>
  <c r="M6957" i="1"/>
  <c r="Q4041" i="1"/>
  <c r="I4885" i="1"/>
  <c r="M4884" i="1"/>
  <c r="G4884" i="1"/>
  <c r="O4884" i="1" s="1"/>
  <c r="I8398" i="1"/>
  <c r="G8397" i="1"/>
  <c r="O8397" i="1" s="1"/>
  <c r="M8397" i="1"/>
  <c r="I7315" i="1"/>
  <c r="I7312" i="1"/>
  <c r="G7311" i="1"/>
  <c r="O7311" i="1" s="1"/>
  <c r="Q7311" i="1" s="1"/>
  <c r="M7311" i="1"/>
  <c r="I8394" i="1"/>
  <c r="G8393" i="1"/>
  <c r="O8393" i="1" s="1"/>
  <c r="Q8393" i="1" s="1"/>
  <c r="M8393" i="1"/>
  <c r="Q295" i="1"/>
  <c r="Q1258" i="1"/>
  <c r="Q1501" i="1"/>
  <c r="Q415" i="1"/>
  <c r="Q1498" i="1"/>
  <c r="Q1375" i="1"/>
  <c r="G538" i="1"/>
  <c r="O538" i="1" s="1"/>
  <c r="Q538" i="1" s="1"/>
  <c r="M538" i="1"/>
  <c r="I540" i="1"/>
  <c r="G535" i="1"/>
  <c r="O535" i="1" s="1"/>
  <c r="Q535" i="1" s="1"/>
  <c r="I536" i="1"/>
  <c r="M535" i="1"/>
  <c r="I55" i="1"/>
  <c r="I58" i="1"/>
  <c r="M54" i="1"/>
  <c r="G54" i="1"/>
  <c r="O54" i="1" s="1"/>
  <c r="M1982" i="1"/>
  <c r="M1981" i="1"/>
  <c r="G1020" i="1"/>
  <c r="O1020" i="1" s="1"/>
  <c r="Q1020" i="1" s="1"/>
  <c r="M1020" i="1"/>
  <c r="G1860" i="1"/>
  <c r="O1860" i="1" s="1"/>
  <c r="Q1860" i="1" s="1"/>
  <c r="M1860" i="1"/>
  <c r="G420" i="1"/>
  <c r="O420" i="1" s="1"/>
  <c r="Q420" i="1" s="1"/>
  <c r="M420" i="1"/>
  <c r="G300" i="1"/>
  <c r="O300" i="1" s="1"/>
  <c r="Q300" i="1" s="1"/>
  <c r="M300" i="1"/>
  <c r="G900" i="1"/>
  <c r="O900" i="1" s="1"/>
  <c r="Q900" i="1" s="1"/>
  <c r="M900" i="1"/>
  <c r="G1260" i="1"/>
  <c r="O1260" i="1" s="1"/>
  <c r="Q1260" i="1" s="1"/>
  <c r="M1260" i="1"/>
  <c r="G1380" i="1"/>
  <c r="O1380" i="1" s="1"/>
  <c r="G897" i="1"/>
  <c r="G896" i="1"/>
  <c r="O896" i="1" s="1"/>
  <c r="M896" i="1"/>
  <c r="M1856" i="1"/>
  <c r="G1856" i="1"/>
  <c r="O1856" i="1" s="1"/>
  <c r="Q1856" i="1" s="1"/>
  <c r="G1617" i="1"/>
  <c r="M1616" i="1"/>
  <c r="G1616" i="1"/>
  <c r="O1616" i="1" s="1"/>
  <c r="Q1616" i="1" s="1"/>
  <c r="M777" i="1"/>
  <c r="O777" i="1"/>
  <c r="Q777" i="1" s="1"/>
  <c r="I297" i="1"/>
  <c r="G297" i="1" s="1"/>
  <c r="M296" i="1"/>
  <c r="G296" i="1"/>
  <c r="O296" i="1" s="1"/>
  <c r="G1377" i="1"/>
  <c r="G1376" i="1"/>
  <c r="O1376" i="1" s="1"/>
  <c r="Q1376" i="1" s="1"/>
  <c r="M1376" i="1"/>
  <c r="O177" i="1"/>
  <c r="Q177" i="1" s="1"/>
  <c r="M177" i="1"/>
  <c r="M657" i="1"/>
  <c r="O657" i="1"/>
  <c r="Q657" i="1" s="1"/>
  <c r="I417" i="1"/>
  <c r="G417" i="1" s="1"/>
  <c r="M416" i="1"/>
  <c r="G416" i="1"/>
  <c r="O416" i="1" s="1"/>
  <c r="G1497" i="1"/>
  <c r="G1496" i="1"/>
  <c r="O1496" i="1" s="1"/>
  <c r="M1496" i="1"/>
  <c r="O1979" i="1"/>
  <c r="Q1979" i="1" s="1"/>
  <c r="G1620" i="1"/>
  <c r="O1620" i="1" s="1"/>
  <c r="Q1620" i="1" s="1"/>
  <c r="G1257" i="1"/>
  <c r="M1256" i="1"/>
  <c r="G1256" i="1"/>
  <c r="O1256" i="1" s="1"/>
  <c r="Q1256" i="1" s="1"/>
  <c r="M1736" i="1"/>
  <c r="G1736" i="1"/>
  <c r="O1736" i="1" s="1"/>
  <c r="Q1736" i="1" s="1"/>
  <c r="G1740" i="1"/>
  <c r="O1740" i="1" s="1"/>
  <c r="Q1740" i="1" s="1"/>
  <c r="O1137" i="1"/>
  <c r="Q1137" i="1" s="1"/>
  <c r="M1137" i="1"/>
  <c r="G1017" i="1"/>
  <c r="M1016" i="1"/>
  <c r="G1016" i="1"/>
  <c r="O1016" i="1" s="1"/>
  <c r="Q1016" i="1" s="1"/>
  <c r="G1861" i="1"/>
  <c r="O1861" i="1" s="1"/>
  <c r="Q1861" i="1" s="1"/>
  <c r="I302" i="1"/>
  <c r="I303" i="1" s="1"/>
  <c r="I304" i="1" s="1"/>
  <c r="G901" i="1"/>
  <c r="O901" i="1" s="1"/>
  <c r="Q901" i="1" s="1"/>
  <c r="M301" i="1"/>
  <c r="G1021" i="1"/>
  <c r="O1021" i="1" s="1"/>
  <c r="Q1021" i="1" s="1"/>
  <c r="M1501" i="1"/>
  <c r="G1261" i="1"/>
  <c r="O1261" i="1" s="1"/>
  <c r="Q1261" i="1" s="1"/>
  <c r="I422" i="1"/>
  <c r="M421" i="1"/>
  <c r="M1502" i="1"/>
  <c r="M1141" i="1"/>
  <c r="G660" i="1"/>
  <c r="O660" i="1" s="1"/>
  <c r="Q660" i="1" s="1"/>
  <c r="I661" i="1"/>
  <c r="G780" i="1"/>
  <c r="O780" i="1" s="1"/>
  <c r="Q780" i="1" s="1"/>
  <c r="I781" i="1"/>
  <c r="G180" i="1"/>
  <c r="O180" i="1" s="1"/>
  <c r="Q180" i="1" s="1"/>
  <c r="I181" i="1"/>
  <c r="K62" i="1"/>
  <c r="K63" i="1" s="1"/>
  <c r="K64" i="1" s="1"/>
  <c r="K578" i="1"/>
  <c r="K579" i="1" s="1"/>
  <c r="K574" i="1"/>
  <c r="K576" i="1"/>
  <c r="M5369" i="1" l="1"/>
  <c r="I5370" i="1"/>
  <c r="G5369" i="1"/>
  <c r="O5369" i="1" s="1"/>
  <c r="Q5369" i="1" s="1"/>
  <c r="Q7917" i="1"/>
  <c r="M4169" i="1"/>
  <c r="I4170" i="1"/>
  <c r="G4169" i="1"/>
  <c r="O4169" i="1" s="1"/>
  <c r="Q4169" i="1" s="1"/>
  <c r="Q5364" i="1"/>
  <c r="Q7673" i="1"/>
  <c r="Q5248" i="1"/>
  <c r="I3684" i="1"/>
  <c r="M3683" i="1"/>
  <c r="G3683" i="1"/>
  <c r="O3683" i="1" s="1"/>
  <c r="Q8513" i="1"/>
  <c r="M4885" i="1"/>
  <c r="G4885" i="1"/>
  <c r="O4885" i="1" s="1"/>
  <c r="Q4885" i="1" s="1"/>
  <c r="I7919" i="1"/>
  <c r="G7918" i="1"/>
  <c r="O7918" i="1" s="1"/>
  <c r="Q7918" i="1" s="1"/>
  <c r="M7918" i="1"/>
  <c r="Q8753" i="1"/>
  <c r="Q8277" i="1"/>
  <c r="M7558" i="1"/>
  <c r="I7559" i="1"/>
  <c r="G7558" i="1"/>
  <c r="O7558" i="1" s="1"/>
  <c r="Q7558" i="1" s="1"/>
  <c r="G7674" i="1"/>
  <c r="O7674" i="1" s="1"/>
  <c r="Q7674" i="1" s="1"/>
  <c r="M7674" i="1"/>
  <c r="M5249" i="1"/>
  <c r="I5250" i="1"/>
  <c r="G5249" i="1"/>
  <c r="O5249" i="1" s="1"/>
  <c r="Q5249" i="1" s="1"/>
  <c r="I3688" i="1"/>
  <c r="G3686" i="1"/>
  <c r="O3686" i="1" s="1"/>
  <c r="Q3686" i="1" s="1"/>
  <c r="M3686" i="1"/>
  <c r="G8514" i="1"/>
  <c r="O8514" i="1" s="1"/>
  <c r="Q8514" i="1" s="1"/>
  <c r="M8514" i="1"/>
  <c r="Q7797" i="1"/>
  <c r="Q8517" i="1"/>
  <c r="G5005" i="1"/>
  <c r="O5005" i="1" s="1"/>
  <c r="M5005" i="1"/>
  <c r="I7313" i="1"/>
  <c r="G7312" i="1"/>
  <c r="O7312" i="1" s="1"/>
  <c r="Q7312" i="1" s="1"/>
  <c r="M7312" i="1"/>
  <c r="I7433" i="1"/>
  <c r="G7432" i="1"/>
  <c r="O7432" i="1" s="1"/>
  <c r="Q7432" i="1" s="1"/>
  <c r="M7432" i="1"/>
  <c r="Q8637" i="1"/>
  <c r="Q4164" i="1"/>
  <c r="Q4168" i="1"/>
  <c r="M5365" i="1"/>
  <c r="G5365" i="1"/>
  <c r="O5365" i="1" s="1"/>
  <c r="Q5365" i="1" s="1"/>
  <c r="Q4648" i="1"/>
  <c r="G8754" i="1"/>
  <c r="O8754" i="1" s="1"/>
  <c r="Q8754" i="1" s="1"/>
  <c r="M8754" i="1"/>
  <c r="I3808" i="1"/>
  <c r="M3806" i="1"/>
  <c r="G3806" i="1"/>
  <c r="O3806" i="1" s="1"/>
  <c r="Q3806" i="1" s="1"/>
  <c r="Q3564" i="1"/>
  <c r="I8279" i="1"/>
  <c r="G8278" i="1"/>
  <c r="O8278" i="1" s="1"/>
  <c r="Q8278" i="1" s="1"/>
  <c r="M8278" i="1"/>
  <c r="Q4288" i="1"/>
  <c r="M8518" i="1"/>
  <c r="I8519" i="1"/>
  <c r="G8518" i="1"/>
  <c r="O8518" i="1" s="1"/>
  <c r="Q8518" i="1" s="1"/>
  <c r="Q7677" i="1"/>
  <c r="I6837" i="1"/>
  <c r="M6835" i="1"/>
  <c r="G6835" i="1"/>
  <c r="O6835" i="1" s="1"/>
  <c r="Q6835" i="1" s="1"/>
  <c r="G7914" i="1"/>
  <c r="O7914" i="1" s="1"/>
  <c r="Q7914" i="1" s="1"/>
  <c r="M7914" i="1"/>
  <c r="Q8633" i="1"/>
  <c r="I7317" i="1"/>
  <c r="M7315" i="1"/>
  <c r="G7315" i="1"/>
  <c r="O7315" i="1" s="1"/>
  <c r="Q7315" i="1" s="1"/>
  <c r="I7437" i="1"/>
  <c r="G7435" i="1"/>
  <c r="O7435" i="1" s="1"/>
  <c r="Q7435" i="1" s="1"/>
  <c r="M7435" i="1"/>
  <c r="M8638" i="1"/>
  <c r="I8639" i="1"/>
  <c r="G8638" i="1"/>
  <c r="O8638" i="1" s="1"/>
  <c r="Q8638" i="1" s="1"/>
  <c r="M4649" i="1"/>
  <c r="I4650" i="1"/>
  <c r="G4649" i="1"/>
  <c r="O4649" i="1" s="1"/>
  <c r="Q4649" i="1" s="1"/>
  <c r="I3804" i="1"/>
  <c r="G3803" i="1"/>
  <c r="O3803" i="1" s="1"/>
  <c r="Q3803" i="1" s="1"/>
  <c r="M3803" i="1"/>
  <c r="Q7557" i="1"/>
  <c r="M4289" i="1"/>
  <c r="I4290" i="1"/>
  <c r="G4289" i="1"/>
  <c r="O4289" i="1" s="1"/>
  <c r="Q4289" i="1" s="1"/>
  <c r="Q8037" i="1"/>
  <c r="G7678" i="1"/>
  <c r="O7678" i="1" s="1"/>
  <c r="Q7678" i="1" s="1"/>
  <c r="M7678" i="1"/>
  <c r="I7679" i="1"/>
  <c r="I6833" i="1"/>
  <c r="G6832" i="1"/>
  <c r="O6832" i="1" s="1"/>
  <c r="M6832" i="1"/>
  <c r="Q3568" i="1"/>
  <c r="Q8757" i="1"/>
  <c r="M4165" i="1"/>
  <c r="G4165" i="1"/>
  <c r="O4165" i="1" s="1"/>
  <c r="Q4165" i="1" s="1"/>
  <c r="M3565" i="1"/>
  <c r="G3565" i="1"/>
  <c r="O3565" i="1" s="1"/>
  <c r="Q3565" i="1" s="1"/>
  <c r="I7073" i="1"/>
  <c r="M7072" i="1"/>
  <c r="G7072" i="1"/>
  <c r="O7072" i="1" s="1"/>
  <c r="Q7072" i="1" s="1"/>
  <c r="G8038" i="1"/>
  <c r="O8038" i="1" s="1"/>
  <c r="Q8038" i="1" s="1"/>
  <c r="M8038" i="1"/>
  <c r="I8039" i="1"/>
  <c r="G4525" i="1"/>
  <c r="O4525" i="1" s="1"/>
  <c r="Q4525" i="1" s="1"/>
  <c r="M4525" i="1"/>
  <c r="I8160" i="1"/>
  <c r="G8159" i="1"/>
  <c r="O8159" i="1" s="1"/>
  <c r="I4044" i="1"/>
  <c r="G4043" i="1"/>
  <c r="O4043" i="1" s="1"/>
  <c r="M4043" i="1"/>
  <c r="O4767" i="1"/>
  <c r="M3569" i="1"/>
  <c r="I3570" i="1"/>
  <c r="G3569" i="1"/>
  <c r="O3569" i="1" s="1"/>
  <c r="Q3569" i="1" s="1"/>
  <c r="M8634" i="1"/>
  <c r="G8634" i="1"/>
  <c r="O8634" i="1" s="1"/>
  <c r="Q8634" i="1" s="1"/>
  <c r="Q8397" i="1"/>
  <c r="Q6957" i="1"/>
  <c r="M5245" i="1"/>
  <c r="G5245" i="1"/>
  <c r="O5245" i="1" s="1"/>
  <c r="I7197" i="1"/>
  <c r="M7195" i="1"/>
  <c r="G7195" i="1"/>
  <c r="O7195" i="1" s="1"/>
  <c r="Q7195" i="1" s="1"/>
  <c r="G7794" i="1"/>
  <c r="O7794" i="1" s="1"/>
  <c r="Q7794" i="1" s="1"/>
  <c r="M7794" i="1"/>
  <c r="Q4528" i="1"/>
  <c r="I3924" i="1"/>
  <c r="G3923" i="1"/>
  <c r="O3923" i="1" s="1"/>
  <c r="Q3923" i="1" s="1"/>
  <c r="M3923" i="1"/>
  <c r="I7077" i="1"/>
  <c r="M7075" i="1"/>
  <c r="G7075" i="1"/>
  <c r="O7075" i="1" s="1"/>
  <c r="Q7075" i="1" s="1"/>
  <c r="M4405" i="1"/>
  <c r="G4405" i="1"/>
  <c r="O4405" i="1" s="1"/>
  <c r="Q4405" i="1" s="1"/>
  <c r="I5010" i="1"/>
  <c r="G5009" i="1"/>
  <c r="O5009" i="1" s="1"/>
  <c r="Q5009" i="1" s="1"/>
  <c r="M5009" i="1"/>
  <c r="I4048" i="1"/>
  <c r="M4046" i="1"/>
  <c r="G4046" i="1"/>
  <c r="O4046" i="1" s="1"/>
  <c r="Q4046" i="1" s="1"/>
  <c r="G8274" i="1"/>
  <c r="O8274" i="1" s="1"/>
  <c r="M8274" i="1"/>
  <c r="Q5128" i="1"/>
  <c r="I8399" i="1"/>
  <c r="G8398" i="1"/>
  <c r="O8398" i="1" s="1"/>
  <c r="Q8398" i="1" s="1"/>
  <c r="M8398" i="1"/>
  <c r="I6959" i="1"/>
  <c r="G6958" i="1"/>
  <c r="O6958" i="1" s="1"/>
  <c r="Q6958" i="1" s="1"/>
  <c r="M6958" i="1"/>
  <c r="G8758" i="1"/>
  <c r="O8758" i="1" s="1"/>
  <c r="Q8758" i="1" s="1"/>
  <c r="M8758" i="1"/>
  <c r="I8759" i="1"/>
  <c r="I7193" i="1"/>
  <c r="G7192" i="1"/>
  <c r="O7192" i="1" s="1"/>
  <c r="Q7192" i="1" s="1"/>
  <c r="M7192" i="1"/>
  <c r="Q4888" i="1"/>
  <c r="I3444" i="1"/>
  <c r="G3443" i="1"/>
  <c r="O3443" i="1" s="1"/>
  <c r="Q3443" i="1" s="1"/>
  <c r="M3443" i="1"/>
  <c r="I4530" i="1"/>
  <c r="G4529" i="1"/>
  <c r="O4529" i="1" s="1"/>
  <c r="Q4529" i="1" s="1"/>
  <c r="M4529" i="1"/>
  <c r="M5125" i="1"/>
  <c r="G5125" i="1"/>
  <c r="O5125" i="1" s="1"/>
  <c r="Q5125" i="1" s="1"/>
  <c r="I3928" i="1"/>
  <c r="M3926" i="1"/>
  <c r="G3926" i="1"/>
  <c r="O3926" i="1" s="1"/>
  <c r="Q3926" i="1" s="1"/>
  <c r="G8034" i="1"/>
  <c r="O8034" i="1" s="1"/>
  <c r="Q8034" i="1" s="1"/>
  <c r="M8034" i="1"/>
  <c r="Q4408" i="1"/>
  <c r="Q6953" i="1"/>
  <c r="G5129" i="1"/>
  <c r="O5129" i="1" s="1"/>
  <c r="Q5129" i="1" s="1"/>
  <c r="M5129" i="1"/>
  <c r="I5130" i="1"/>
  <c r="M4285" i="1"/>
  <c r="G4285" i="1"/>
  <c r="O4285" i="1" s="1"/>
  <c r="G8394" i="1"/>
  <c r="O8394" i="1" s="1"/>
  <c r="Q8394" i="1" s="1"/>
  <c r="M8394" i="1"/>
  <c r="Q4884" i="1"/>
  <c r="Q5368" i="1"/>
  <c r="I4890" i="1"/>
  <c r="G4889" i="1"/>
  <c r="O4889" i="1" s="1"/>
  <c r="Q4889" i="1" s="1"/>
  <c r="M4889" i="1"/>
  <c r="M7554" i="1"/>
  <c r="G7554" i="1"/>
  <c r="O7554" i="1" s="1"/>
  <c r="Q7554" i="1" s="1"/>
  <c r="I3448" i="1"/>
  <c r="G3446" i="1"/>
  <c r="O3446" i="1" s="1"/>
  <c r="Q3446" i="1" s="1"/>
  <c r="M3446" i="1"/>
  <c r="Q8154" i="1"/>
  <c r="O8156" i="1"/>
  <c r="I4771" i="1"/>
  <c r="M4770" i="1"/>
  <c r="G4770" i="1"/>
  <c r="O4770" i="1" s="1"/>
  <c r="I7799" i="1"/>
  <c r="G7798" i="1"/>
  <c r="O7798" i="1" s="1"/>
  <c r="Q7798" i="1" s="1"/>
  <c r="M7798" i="1"/>
  <c r="M4409" i="1"/>
  <c r="I4410" i="1"/>
  <c r="G4409" i="1"/>
  <c r="O4409" i="1" s="1"/>
  <c r="Q4409" i="1" s="1"/>
  <c r="Q5008" i="1"/>
  <c r="G6954" i="1"/>
  <c r="O6954" i="1" s="1"/>
  <c r="Q6954" i="1" s="1"/>
  <c r="M6954" i="1"/>
  <c r="M4645" i="1"/>
  <c r="G4645" i="1"/>
  <c r="O4645" i="1" s="1"/>
  <c r="Q296" i="1"/>
  <c r="Q896" i="1"/>
  <c r="Q1496" i="1"/>
  <c r="Q1380" i="1"/>
  <c r="Q416" i="1"/>
  <c r="I537" i="1"/>
  <c r="G536" i="1"/>
  <c r="O536" i="1" s="1"/>
  <c r="M536" i="1"/>
  <c r="M540" i="1"/>
  <c r="G540" i="1"/>
  <c r="O540" i="1" s="1"/>
  <c r="I541" i="1"/>
  <c r="M422" i="1"/>
  <c r="I423" i="1"/>
  <c r="I424" i="1" s="1"/>
  <c r="Q54" i="1"/>
  <c r="I60" i="1"/>
  <c r="G58" i="1"/>
  <c r="O58" i="1" s="1"/>
  <c r="Q58" i="1" s="1"/>
  <c r="M58" i="1"/>
  <c r="I56" i="1"/>
  <c r="G55" i="1"/>
  <c r="O55" i="1" s="1"/>
  <c r="Q55" i="1" s="1"/>
  <c r="M55" i="1"/>
  <c r="G1982" i="1"/>
  <c r="O1982" i="1" s="1"/>
  <c r="Q1982" i="1" s="1"/>
  <c r="M302" i="1"/>
  <c r="G1143" i="1"/>
  <c r="M1142" i="1"/>
  <c r="O179" i="1"/>
  <c r="O659" i="1"/>
  <c r="O1139" i="1"/>
  <c r="G1741" i="1"/>
  <c r="O1741" i="1" s="1"/>
  <c r="Q1741" i="1" s="1"/>
  <c r="M1742" i="1"/>
  <c r="M1741" i="1"/>
  <c r="O1257" i="1"/>
  <c r="Q1257" i="1" s="1"/>
  <c r="M1257" i="1"/>
  <c r="O297" i="1"/>
  <c r="Q297" i="1" s="1"/>
  <c r="M297" i="1"/>
  <c r="G1857" i="1"/>
  <c r="O1857" i="1" s="1"/>
  <c r="Q1857" i="1" s="1"/>
  <c r="M1857" i="1"/>
  <c r="O779" i="1"/>
  <c r="G1621" i="1"/>
  <c r="O1621" i="1" s="1"/>
  <c r="M1622" i="1"/>
  <c r="M1621" i="1"/>
  <c r="O1497" i="1"/>
  <c r="M1497" i="1"/>
  <c r="O897" i="1"/>
  <c r="Q897" i="1" s="1"/>
  <c r="M897" i="1"/>
  <c r="O1017" i="1"/>
  <c r="Q1017" i="1" s="1"/>
  <c r="M1017" i="1"/>
  <c r="G1737" i="1"/>
  <c r="O1737" i="1" s="1"/>
  <c r="Q1737" i="1" s="1"/>
  <c r="M1737" i="1"/>
  <c r="O1377" i="1"/>
  <c r="M1377" i="1"/>
  <c r="O1617" i="1"/>
  <c r="M1617" i="1"/>
  <c r="G1381" i="1"/>
  <c r="O1381" i="1" s="1"/>
  <c r="Q1381" i="1" s="1"/>
  <c r="M1382" i="1"/>
  <c r="M1381" i="1"/>
  <c r="O417" i="1"/>
  <c r="Q417" i="1" s="1"/>
  <c r="M417" i="1"/>
  <c r="M1861" i="1"/>
  <c r="G302" i="1"/>
  <c r="O302" i="1" s="1"/>
  <c r="Q302" i="1" s="1"/>
  <c r="M901" i="1"/>
  <c r="M1021" i="1"/>
  <c r="G422" i="1"/>
  <c r="O422" i="1" s="1"/>
  <c r="Q422" i="1" s="1"/>
  <c r="G1502" i="1"/>
  <c r="O1502" i="1" s="1"/>
  <c r="M1261" i="1"/>
  <c r="G1142" i="1"/>
  <c r="O1142" i="1" s="1"/>
  <c r="Q1142" i="1" s="1"/>
  <c r="G661" i="1"/>
  <c r="O661" i="1" s="1"/>
  <c r="Q661" i="1" s="1"/>
  <c r="M661" i="1"/>
  <c r="I662" i="1"/>
  <c r="G781" i="1"/>
  <c r="O781" i="1" s="1"/>
  <c r="Q781" i="1" s="1"/>
  <c r="I782" i="1"/>
  <c r="M781" i="1"/>
  <c r="G181" i="1"/>
  <c r="O181" i="1" s="1"/>
  <c r="Q181" i="1" s="1"/>
  <c r="M181" i="1"/>
  <c r="I182" i="1"/>
  <c r="G1983" i="1"/>
  <c r="K580" i="1"/>
  <c r="O4527" i="1" l="1"/>
  <c r="O4887" i="1"/>
  <c r="O4407" i="1"/>
  <c r="O7916" i="1"/>
  <c r="O8636" i="1"/>
  <c r="O3567" i="1"/>
  <c r="O7676" i="1"/>
  <c r="O5367" i="1"/>
  <c r="Q5367" i="1" s="1"/>
  <c r="I4411" i="1"/>
  <c r="M4410" i="1"/>
  <c r="G4410" i="1"/>
  <c r="O4410" i="1" s="1"/>
  <c r="Q4410" i="1" s="1"/>
  <c r="I4772" i="1"/>
  <c r="M4771" i="1"/>
  <c r="G4771" i="1"/>
  <c r="O4771" i="1" s="1"/>
  <c r="Q4771" i="1" s="1"/>
  <c r="I3805" i="1"/>
  <c r="M3804" i="1"/>
  <c r="G3804" i="1"/>
  <c r="O3804" i="1" s="1"/>
  <c r="Q3804" i="1" s="1"/>
  <c r="O4167" i="1"/>
  <c r="O6956" i="1"/>
  <c r="I8760" i="1"/>
  <c r="G8759" i="1"/>
  <c r="O8759" i="1" s="1"/>
  <c r="Q8759" i="1" s="1"/>
  <c r="I8400" i="1"/>
  <c r="G8399" i="1"/>
  <c r="O8399" i="1" s="1"/>
  <c r="Q6832" i="1"/>
  <c r="I4291" i="1"/>
  <c r="M4290" i="1"/>
  <c r="G4290" i="1"/>
  <c r="O4290" i="1" s="1"/>
  <c r="I8280" i="1"/>
  <c r="G8279" i="1"/>
  <c r="O8279" i="1" s="1"/>
  <c r="I7314" i="1"/>
  <c r="G7313" i="1"/>
  <c r="O7313" i="1" s="1"/>
  <c r="M7313" i="1"/>
  <c r="O8756" i="1"/>
  <c r="I4171" i="1"/>
  <c r="M4170" i="1"/>
  <c r="G4170" i="1"/>
  <c r="O4170" i="1" s="1"/>
  <c r="I4891" i="1"/>
  <c r="G4890" i="1"/>
  <c r="O4890" i="1" s="1"/>
  <c r="Q4890" i="1" s="1"/>
  <c r="M4890" i="1"/>
  <c r="I3929" i="1"/>
  <c r="G3928" i="1"/>
  <c r="O3928" i="1" s="1"/>
  <c r="M3928" i="1"/>
  <c r="I3445" i="1"/>
  <c r="M3444" i="1"/>
  <c r="G3444" i="1"/>
  <c r="O3444" i="1" s="1"/>
  <c r="M4048" i="1"/>
  <c r="I4049" i="1"/>
  <c r="G4048" i="1"/>
  <c r="O4048" i="1" s="1"/>
  <c r="I8040" i="1"/>
  <c r="G8039" i="1"/>
  <c r="O8039" i="1" s="1"/>
  <c r="I6834" i="1"/>
  <c r="G6833" i="1"/>
  <c r="O6833" i="1" s="1"/>
  <c r="Q6833" i="1" s="1"/>
  <c r="M6833" i="1"/>
  <c r="G7437" i="1"/>
  <c r="O7437" i="1" s="1"/>
  <c r="M7437" i="1"/>
  <c r="I7438" i="1"/>
  <c r="I8520" i="1"/>
  <c r="G8519" i="1"/>
  <c r="O8519" i="1" s="1"/>
  <c r="Q8519" i="1" s="1"/>
  <c r="O7796" i="1"/>
  <c r="O5127" i="1"/>
  <c r="G7799" i="1"/>
  <c r="O7799" i="1" s="1"/>
  <c r="Q7799" i="1" s="1"/>
  <c r="I7800" i="1"/>
  <c r="I7078" i="1"/>
  <c r="G7077" i="1"/>
  <c r="O7077" i="1" s="1"/>
  <c r="M7077" i="1"/>
  <c r="Q4043" i="1"/>
  <c r="I7680" i="1"/>
  <c r="G7679" i="1"/>
  <c r="O7679" i="1" s="1"/>
  <c r="Q7679" i="1" s="1"/>
  <c r="I4651" i="1"/>
  <c r="G4650" i="1"/>
  <c r="O4650" i="1" s="1"/>
  <c r="Q4650" i="1" s="1"/>
  <c r="M4650" i="1"/>
  <c r="O8516" i="1"/>
  <c r="Q4285" i="1"/>
  <c r="O4287" i="1"/>
  <c r="I4045" i="1"/>
  <c r="G4044" i="1"/>
  <c r="O4044" i="1" s="1"/>
  <c r="Q4044" i="1" s="1"/>
  <c r="M4044" i="1"/>
  <c r="M6837" i="1"/>
  <c r="I6838" i="1"/>
  <c r="G6837" i="1"/>
  <c r="O6837" i="1" s="1"/>
  <c r="O7556" i="1"/>
  <c r="Q5005" i="1"/>
  <c r="O5007" i="1"/>
  <c r="Q4645" i="1"/>
  <c r="O4647" i="1"/>
  <c r="I3449" i="1"/>
  <c r="G3448" i="1"/>
  <c r="O3448" i="1" s="1"/>
  <c r="M3448" i="1"/>
  <c r="I5011" i="1"/>
  <c r="G5010" i="1"/>
  <c r="O5010" i="1" s="1"/>
  <c r="M5010" i="1"/>
  <c r="M7197" i="1"/>
  <c r="G7197" i="1"/>
  <c r="O7197" i="1" s="1"/>
  <c r="I7198" i="1"/>
  <c r="Q8159" i="1"/>
  <c r="I7318" i="1"/>
  <c r="G7317" i="1"/>
  <c r="O7317" i="1" s="1"/>
  <c r="M7317" i="1"/>
  <c r="I3689" i="1"/>
  <c r="G3688" i="1"/>
  <c r="O3688" i="1" s="1"/>
  <c r="M3688" i="1"/>
  <c r="I7560" i="1"/>
  <c r="G7559" i="1"/>
  <c r="O7559" i="1" s="1"/>
  <c r="I7920" i="1"/>
  <c r="G7919" i="1"/>
  <c r="O7919" i="1" s="1"/>
  <c r="Q3683" i="1"/>
  <c r="Q4770" i="1"/>
  <c r="I5131" i="1"/>
  <c r="G5130" i="1"/>
  <c r="O5130" i="1" s="1"/>
  <c r="Q5130" i="1" s="1"/>
  <c r="M5130" i="1"/>
  <c r="I6960" i="1"/>
  <c r="G6959" i="1"/>
  <c r="O6959" i="1" s="1"/>
  <c r="Q6959" i="1" s="1"/>
  <c r="O8036" i="1"/>
  <c r="I3925" i="1"/>
  <c r="G3924" i="1"/>
  <c r="O3924" i="1" s="1"/>
  <c r="Q3924" i="1" s="1"/>
  <c r="M3924" i="1"/>
  <c r="Q5245" i="1"/>
  <c r="O5247" i="1"/>
  <c r="I8161" i="1"/>
  <c r="G8160" i="1"/>
  <c r="O8160" i="1" s="1"/>
  <c r="Q8160" i="1" s="1"/>
  <c r="M8160" i="1"/>
  <c r="I8640" i="1"/>
  <c r="G8639" i="1"/>
  <c r="O8639" i="1" s="1"/>
  <c r="Q8639" i="1" s="1"/>
  <c r="G3808" i="1"/>
  <c r="O3808" i="1" s="1"/>
  <c r="M3808" i="1"/>
  <c r="I3809" i="1"/>
  <c r="I7434" i="1"/>
  <c r="G7433" i="1"/>
  <c r="O7433" i="1" s="1"/>
  <c r="M7433" i="1"/>
  <c r="I5371" i="1"/>
  <c r="G5370" i="1"/>
  <c r="O5370" i="1" s="1"/>
  <c r="M5370" i="1"/>
  <c r="I4531" i="1"/>
  <c r="M4530" i="1"/>
  <c r="G4530" i="1"/>
  <c r="O4530" i="1" s="1"/>
  <c r="Q4530" i="1" s="1"/>
  <c r="I7194" i="1"/>
  <c r="G7193" i="1"/>
  <c r="O7193" i="1" s="1"/>
  <c r="Q7193" i="1" s="1"/>
  <c r="M7193" i="1"/>
  <c r="Q8274" i="1"/>
  <c r="O8276" i="1"/>
  <c r="I3571" i="1"/>
  <c r="G3570" i="1"/>
  <c r="O3570" i="1" s="1"/>
  <c r="Q3570" i="1" s="1"/>
  <c r="M3570" i="1"/>
  <c r="I7074" i="1"/>
  <c r="M7073" i="1"/>
  <c r="G7073" i="1"/>
  <c r="O7073" i="1" s="1"/>
  <c r="O8396" i="1"/>
  <c r="I5251" i="1"/>
  <c r="M5250" i="1"/>
  <c r="G5250" i="1"/>
  <c r="O5250" i="1" s="1"/>
  <c r="Q5250" i="1" s="1"/>
  <c r="I3685" i="1"/>
  <c r="G3684" i="1"/>
  <c r="O3684" i="1" s="1"/>
  <c r="Q3684" i="1" s="1"/>
  <c r="M3684" i="1"/>
  <c r="Q1617" i="1"/>
  <c r="Q540" i="1"/>
  <c r="Q1377" i="1"/>
  <c r="Q1497" i="1"/>
  <c r="Q1502" i="1"/>
  <c r="Q1621" i="1"/>
  <c r="M541" i="1"/>
  <c r="G541" i="1"/>
  <c r="O541" i="1" s="1"/>
  <c r="Q541" i="1" s="1"/>
  <c r="I542" i="1"/>
  <c r="M662" i="1"/>
  <c r="I663" i="1"/>
  <c r="I664" i="1"/>
  <c r="Q536" i="1"/>
  <c r="M782" i="1"/>
  <c r="I783" i="1"/>
  <c r="I784" i="1" s="1"/>
  <c r="G537" i="1"/>
  <c r="O537" i="1" s="1"/>
  <c r="Q537" i="1" s="1"/>
  <c r="M537" i="1"/>
  <c r="M182" i="1"/>
  <c r="I183" i="1"/>
  <c r="I184" i="1" s="1"/>
  <c r="I185" i="1" s="1"/>
  <c r="I186" i="1" s="1"/>
  <c r="I187" i="1" s="1"/>
  <c r="I188" i="1" s="1"/>
  <c r="I189" i="1" s="1"/>
  <c r="I190" i="1" s="1"/>
  <c r="I191" i="1" s="1"/>
  <c r="I192" i="1" s="1"/>
  <c r="I193" i="1" s="1"/>
  <c r="I194" i="1" s="1"/>
  <c r="I195" i="1" s="1"/>
  <c r="I57" i="1"/>
  <c r="G56" i="1"/>
  <c r="O56" i="1" s="1"/>
  <c r="Q56" i="1" s="1"/>
  <c r="M56" i="1"/>
  <c r="I61" i="1"/>
  <c r="G60" i="1"/>
  <c r="O60" i="1" s="1"/>
  <c r="Q60" i="1" s="1"/>
  <c r="M60" i="1"/>
  <c r="G303" i="1"/>
  <c r="O303" i="1" s="1"/>
  <c r="M1862" i="1"/>
  <c r="G1022" i="1"/>
  <c r="O1022" i="1" s="1"/>
  <c r="Q1022" i="1" s="1"/>
  <c r="M1022" i="1"/>
  <c r="M902" i="1"/>
  <c r="G1262" i="1"/>
  <c r="O1262" i="1" s="1"/>
  <c r="Q1262" i="1" s="1"/>
  <c r="M1262" i="1"/>
  <c r="O1259" i="1"/>
  <c r="G902" i="1"/>
  <c r="O902" i="1" s="1"/>
  <c r="Q902" i="1" s="1"/>
  <c r="G1862" i="1"/>
  <c r="O1862" i="1" s="1"/>
  <c r="Q1862" i="1" s="1"/>
  <c r="O1379" i="1"/>
  <c r="O1739" i="1"/>
  <c r="O1859" i="1"/>
  <c r="G1622" i="1"/>
  <c r="O1622" i="1" s="1"/>
  <c r="Q1622" i="1" s="1"/>
  <c r="G1382" i="1"/>
  <c r="O1382" i="1" s="1"/>
  <c r="Q1382" i="1" s="1"/>
  <c r="O1019" i="1"/>
  <c r="O299" i="1"/>
  <c r="O899" i="1"/>
  <c r="O1619" i="1"/>
  <c r="O419" i="1"/>
  <c r="O1499" i="1"/>
  <c r="G1742" i="1"/>
  <c r="O1742" i="1" s="1"/>
  <c r="Q1742" i="1" s="1"/>
  <c r="G423" i="1"/>
  <c r="O423" i="1" s="1"/>
  <c r="Q423" i="1" s="1"/>
  <c r="G1023" i="1"/>
  <c r="O1023" i="1" s="1"/>
  <c r="Q1023" i="1" s="1"/>
  <c r="G1503" i="1"/>
  <c r="O1503" i="1" s="1"/>
  <c r="Q1503" i="1" s="1"/>
  <c r="G662" i="1"/>
  <c r="O662" i="1" s="1"/>
  <c r="Q662" i="1" s="1"/>
  <c r="G782" i="1"/>
  <c r="O782" i="1" s="1"/>
  <c r="Q782" i="1" s="1"/>
  <c r="G182" i="1"/>
  <c r="O182" i="1" s="1"/>
  <c r="M1143" i="1"/>
  <c r="O1143" i="1"/>
  <c r="O1983" i="1"/>
  <c r="Q1983" i="1" s="1"/>
  <c r="M1983" i="1"/>
  <c r="K581" i="1"/>
  <c r="Q3808" i="1" l="1"/>
  <c r="Q7919" i="1"/>
  <c r="M3685" i="1"/>
  <c r="G3685" i="1"/>
  <c r="O3685" i="1" s="1"/>
  <c r="M7074" i="1"/>
  <c r="G7074" i="1"/>
  <c r="O7074" i="1" s="1"/>
  <c r="Q7074" i="1" s="1"/>
  <c r="I5132" i="1"/>
  <c r="G5131" i="1"/>
  <c r="O5131" i="1" s="1"/>
  <c r="Q5131" i="1" s="1"/>
  <c r="M5131" i="1"/>
  <c r="I7921" i="1"/>
  <c r="G7920" i="1"/>
  <c r="O7920" i="1" s="1"/>
  <c r="Q7920" i="1" s="1"/>
  <c r="M7920" i="1"/>
  <c r="I6839" i="1"/>
  <c r="G6838" i="1"/>
  <c r="O6838" i="1" s="1"/>
  <c r="Q6838" i="1" s="1"/>
  <c r="M6838" i="1"/>
  <c r="I7681" i="1"/>
  <c r="M7680" i="1"/>
  <c r="G7680" i="1"/>
  <c r="O7680" i="1" s="1"/>
  <c r="Q8039" i="1"/>
  <c r="Q8279" i="1"/>
  <c r="Q8399" i="1"/>
  <c r="I4773" i="1"/>
  <c r="G4772" i="1"/>
  <c r="O4772" i="1" s="1"/>
  <c r="M4772" i="1"/>
  <c r="Q7317" i="1"/>
  <c r="Q5010" i="1"/>
  <c r="I7801" i="1"/>
  <c r="G7800" i="1"/>
  <c r="O7800" i="1" s="1"/>
  <c r="M7800" i="1"/>
  <c r="I8521" i="1"/>
  <c r="M8520" i="1"/>
  <c r="G8520" i="1"/>
  <c r="O8520" i="1" s="1"/>
  <c r="I8041" i="1"/>
  <c r="G8040" i="1"/>
  <c r="O8040" i="1" s="1"/>
  <c r="Q8040" i="1" s="1"/>
  <c r="M8040" i="1"/>
  <c r="Q3928" i="1"/>
  <c r="I4172" i="1"/>
  <c r="G4171" i="1"/>
  <c r="O4171" i="1" s="1"/>
  <c r="Q4171" i="1" s="1"/>
  <c r="M4171" i="1"/>
  <c r="I8281" i="1"/>
  <c r="G8280" i="1"/>
  <c r="O8280" i="1" s="1"/>
  <c r="Q8280" i="1" s="1"/>
  <c r="M8280" i="1"/>
  <c r="I8401" i="1"/>
  <c r="G8400" i="1"/>
  <c r="O8400" i="1" s="1"/>
  <c r="Q8400" i="1" s="1"/>
  <c r="M8400" i="1"/>
  <c r="G7194" i="1"/>
  <c r="O7194" i="1" s="1"/>
  <c r="Q7194" i="1" s="1"/>
  <c r="M7194" i="1"/>
  <c r="I8641" i="1"/>
  <c r="G8640" i="1"/>
  <c r="O8640" i="1" s="1"/>
  <c r="M8640" i="1"/>
  <c r="Q7559" i="1"/>
  <c r="G3925" i="1"/>
  <c r="O3925" i="1" s="1"/>
  <c r="Q3925" i="1" s="1"/>
  <c r="M3925" i="1"/>
  <c r="I7561" i="1"/>
  <c r="G7560" i="1"/>
  <c r="O7560" i="1" s="1"/>
  <c r="Q7560" i="1" s="1"/>
  <c r="M7560" i="1"/>
  <c r="G7318" i="1"/>
  <c r="O7318" i="1" s="1"/>
  <c r="Q7318" i="1" s="1"/>
  <c r="I7319" i="1"/>
  <c r="M7318" i="1"/>
  <c r="I5012" i="1"/>
  <c r="M5011" i="1"/>
  <c r="G5011" i="1"/>
  <c r="O5011" i="1" s="1"/>
  <c r="Q5011" i="1" s="1"/>
  <c r="M7438" i="1"/>
  <c r="I7439" i="1"/>
  <c r="G7438" i="1"/>
  <c r="O7438" i="1" s="1"/>
  <c r="Q7438" i="1" s="1"/>
  <c r="Q4048" i="1"/>
  <c r="I3930" i="1"/>
  <c r="G3929" i="1"/>
  <c r="O3929" i="1" s="1"/>
  <c r="Q3929" i="1" s="1"/>
  <c r="M3929" i="1"/>
  <c r="Q4290" i="1"/>
  <c r="I5252" i="1"/>
  <c r="M5251" i="1"/>
  <c r="G5251" i="1"/>
  <c r="O5251" i="1" s="1"/>
  <c r="Q5251" i="1" s="1"/>
  <c r="I3572" i="1"/>
  <c r="G3571" i="1"/>
  <c r="O3571" i="1" s="1"/>
  <c r="Q3571" i="1" s="1"/>
  <c r="M3571" i="1"/>
  <c r="Q7433" i="1"/>
  <c r="M4049" i="1"/>
  <c r="I4050" i="1"/>
  <c r="G4049" i="1"/>
  <c r="O4049" i="1" s="1"/>
  <c r="Q4049" i="1" s="1"/>
  <c r="Q8756" i="1"/>
  <c r="I8761" i="1"/>
  <c r="G8760" i="1"/>
  <c r="O8760" i="1" s="1"/>
  <c r="M8760" i="1"/>
  <c r="I4532" i="1"/>
  <c r="G4531" i="1"/>
  <c r="O4531" i="1" s="1"/>
  <c r="Q4531" i="1" s="1"/>
  <c r="M4531" i="1"/>
  <c r="G7434" i="1"/>
  <c r="O7434" i="1" s="1"/>
  <c r="Q7434" i="1" s="1"/>
  <c r="M7434" i="1"/>
  <c r="Q3688" i="1"/>
  <c r="Q7077" i="1"/>
  <c r="Q7437" i="1"/>
  <c r="I4292" i="1"/>
  <c r="G4291" i="1"/>
  <c r="O4291" i="1" s="1"/>
  <c r="Q4291" i="1" s="1"/>
  <c r="M4291" i="1"/>
  <c r="G3805" i="1"/>
  <c r="O3805" i="1" s="1"/>
  <c r="Q3805" i="1" s="1"/>
  <c r="M3805" i="1"/>
  <c r="G7198" i="1"/>
  <c r="O7198" i="1" s="1"/>
  <c r="Q7198" i="1" s="1"/>
  <c r="M7198" i="1"/>
  <c r="I7199" i="1"/>
  <c r="Q3444" i="1"/>
  <c r="M3809" i="1"/>
  <c r="I3810" i="1"/>
  <c r="G3809" i="1"/>
  <c r="O3809" i="1" s="1"/>
  <c r="Q3809" i="1" s="1"/>
  <c r="I8162" i="1"/>
  <c r="G8161" i="1"/>
  <c r="O8161" i="1" s="1"/>
  <c r="M8161" i="1"/>
  <c r="I3690" i="1"/>
  <c r="G3689" i="1"/>
  <c r="O3689" i="1" s="1"/>
  <c r="Q3689" i="1" s="1"/>
  <c r="M3689" i="1"/>
  <c r="Q3448" i="1"/>
  <c r="M4045" i="1"/>
  <c r="G4045" i="1"/>
  <c r="O4045" i="1" s="1"/>
  <c r="M7078" i="1"/>
  <c r="I7079" i="1"/>
  <c r="G7078" i="1"/>
  <c r="O7078" i="1" s="1"/>
  <c r="Q7078" i="1" s="1"/>
  <c r="Q7073" i="1"/>
  <c r="Q5370" i="1"/>
  <c r="Q7197" i="1"/>
  <c r="I3450" i="1"/>
  <c r="M3449" i="1"/>
  <c r="G3449" i="1"/>
  <c r="O3449" i="1" s="1"/>
  <c r="Q3449" i="1" s="1"/>
  <c r="I4652" i="1"/>
  <c r="M4651" i="1"/>
  <c r="G4651" i="1"/>
  <c r="O4651" i="1" s="1"/>
  <c r="Q4651" i="1" s="1"/>
  <c r="I4892" i="1"/>
  <c r="G4891" i="1"/>
  <c r="O4891" i="1" s="1"/>
  <c r="Q4891" i="1" s="1"/>
  <c r="M4891" i="1"/>
  <c r="Q7313" i="1"/>
  <c r="I4412" i="1"/>
  <c r="G4411" i="1"/>
  <c r="O4411" i="1" s="1"/>
  <c r="M4411" i="1"/>
  <c r="I6961" i="1"/>
  <c r="M6960" i="1"/>
  <c r="G6960" i="1"/>
  <c r="O6960" i="1" s="1"/>
  <c r="I5372" i="1"/>
  <c r="G5371" i="1"/>
  <c r="O5371" i="1" s="1"/>
  <c r="Q5371" i="1" s="1"/>
  <c r="M5371" i="1"/>
  <c r="Q6837" i="1"/>
  <c r="G6834" i="1"/>
  <c r="O6834" i="1" s="1"/>
  <c r="M6834" i="1"/>
  <c r="M3445" i="1"/>
  <c r="G3445" i="1"/>
  <c r="O3445" i="1" s="1"/>
  <c r="Q3445" i="1" s="1"/>
  <c r="Q4170" i="1"/>
  <c r="G7314" i="1"/>
  <c r="O7314" i="1" s="1"/>
  <c r="Q7314" i="1" s="1"/>
  <c r="M7314" i="1"/>
  <c r="Q1143" i="1"/>
  <c r="Q182" i="1"/>
  <c r="Q303" i="1"/>
  <c r="O539" i="1"/>
  <c r="M542" i="1"/>
  <c r="I543" i="1"/>
  <c r="I544" i="1" s="1"/>
  <c r="G542" i="1"/>
  <c r="O542" i="1" s="1"/>
  <c r="I62" i="1"/>
  <c r="I63" i="1" s="1"/>
  <c r="M63" i="1" s="1"/>
  <c r="M61" i="1"/>
  <c r="G61" i="1"/>
  <c r="O61" i="1" s="1"/>
  <c r="Q61" i="1" s="1"/>
  <c r="M57" i="1"/>
  <c r="G57" i="1"/>
  <c r="O57" i="1" s="1"/>
  <c r="M303" i="1"/>
  <c r="M1023" i="1"/>
  <c r="M423" i="1"/>
  <c r="M1503" i="1"/>
  <c r="M1263" i="1"/>
  <c r="K582" i="1"/>
  <c r="K583" i="1" s="1"/>
  <c r="K585" i="1" s="1"/>
  <c r="K587" i="1" s="1"/>
  <c r="K589" i="1" s="1"/>
  <c r="K591" i="1" s="1"/>
  <c r="K593" i="1" s="1"/>
  <c r="O7076" i="1" l="1"/>
  <c r="O7436" i="1"/>
  <c r="O7196" i="1"/>
  <c r="O3927" i="1"/>
  <c r="O3447" i="1"/>
  <c r="O3807" i="1"/>
  <c r="Q8760" i="1"/>
  <c r="I4173" i="1"/>
  <c r="G4172" i="1"/>
  <c r="O4172" i="1" s="1"/>
  <c r="M4172" i="1"/>
  <c r="I8522" i="1"/>
  <c r="G8521" i="1"/>
  <c r="O8521" i="1" s="1"/>
  <c r="Q8521" i="1" s="1"/>
  <c r="M8521" i="1"/>
  <c r="I5373" i="1"/>
  <c r="M5372" i="1"/>
  <c r="G5372" i="1"/>
  <c r="O5372" i="1" s="1"/>
  <c r="I4413" i="1"/>
  <c r="G4412" i="1"/>
  <c r="O4412" i="1" s="1"/>
  <c r="Q4412" i="1" s="1"/>
  <c r="M4412" i="1"/>
  <c r="I7440" i="1"/>
  <c r="I7441" i="1"/>
  <c r="G7439" i="1"/>
  <c r="O7439" i="1" s="1"/>
  <c r="I8402" i="1"/>
  <c r="M8401" i="1"/>
  <c r="G8401" i="1"/>
  <c r="O8401" i="1" s="1"/>
  <c r="Q7800" i="1"/>
  <c r="I4774" i="1"/>
  <c r="G4773" i="1"/>
  <c r="O4773" i="1" s="1"/>
  <c r="Q4773" i="1" s="1"/>
  <c r="M4773" i="1"/>
  <c r="Q7680" i="1"/>
  <c r="I3451" i="1"/>
  <c r="M3450" i="1"/>
  <c r="G3450" i="1"/>
  <c r="O3450" i="1" s="1"/>
  <c r="I3573" i="1"/>
  <c r="M3572" i="1"/>
  <c r="G3572" i="1"/>
  <c r="O3572" i="1" s="1"/>
  <c r="I7802" i="1"/>
  <c r="G7801" i="1"/>
  <c r="O7801" i="1" s="1"/>
  <c r="Q7801" i="1" s="1"/>
  <c r="M7801" i="1"/>
  <c r="I7922" i="1"/>
  <c r="G7921" i="1"/>
  <c r="O7921" i="1" s="1"/>
  <c r="Q7921" i="1" s="1"/>
  <c r="M7921" i="1"/>
  <c r="I7080" i="1"/>
  <c r="G7079" i="1"/>
  <c r="O7079" i="1" s="1"/>
  <c r="Q7079" i="1" s="1"/>
  <c r="I7682" i="1"/>
  <c r="M7681" i="1"/>
  <c r="G7681" i="1"/>
  <c r="O7681" i="1" s="1"/>
  <c r="Q7681" i="1" s="1"/>
  <c r="I4533" i="1"/>
  <c r="G4532" i="1"/>
  <c r="O4532" i="1" s="1"/>
  <c r="Q4532" i="1" s="1"/>
  <c r="M4532" i="1"/>
  <c r="Q8640" i="1"/>
  <c r="Q6834" i="1"/>
  <c r="O6836" i="1"/>
  <c r="Q6960" i="1"/>
  <c r="O7316" i="1"/>
  <c r="I4052" i="1"/>
  <c r="I4051" i="1"/>
  <c r="G4050" i="1"/>
  <c r="O4050" i="1" s="1"/>
  <c r="Q4050" i="1" s="1"/>
  <c r="M4050" i="1"/>
  <c r="I7562" i="1"/>
  <c r="G7561" i="1"/>
  <c r="O7561" i="1" s="1"/>
  <c r="Q7561" i="1" s="1"/>
  <c r="M7561" i="1"/>
  <c r="I8642" i="1"/>
  <c r="M8641" i="1"/>
  <c r="G8641" i="1"/>
  <c r="O8641" i="1" s="1"/>
  <c r="Q8641" i="1" s="1"/>
  <c r="I8282" i="1"/>
  <c r="M8281" i="1"/>
  <c r="G8281" i="1"/>
  <c r="O8281" i="1" s="1"/>
  <c r="Q8281" i="1" s="1"/>
  <c r="I8042" i="1"/>
  <c r="M8041" i="1"/>
  <c r="G8041" i="1"/>
  <c r="O8041" i="1" s="1"/>
  <c r="Q8041" i="1" s="1"/>
  <c r="I4653" i="1"/>
  <c r="M4652" i="1"/>
  <c r="G4652" i="1"/>
  <c r="O4652" i="1" s="1"/>
  <c r="Q4652" i="1" s="1"/>
  <c r="Q4045" i="1"/>
  <c r="O4047" i="1"/>
  <c r="Q8161" i="1"/>
  <c r="I7200" i="1"/>
  <c r="G7199" i="1"/>
  <c r="O7199" i="1" s="1"/>
  <c r="Q7199" i="1" s="1"/>
  <c r="I4293" i="1"/>
  <c r="M4292" i="1"/>
  <c r="G4292" i="1"/>
  <c r="O4292" i="1" s="1"/>
  <c r="Q4292" i="1" s="1"/>
  <c r="I5253" i="1"/>
  <c r="M5252" i="1"/>
  <c r="G5252" i="1"/>
  <c r="O5252" i="1" s="1"/>
  <c r="Q5252" i="1" s="1"/>
  <c r="I3931" i="1"/>
  <c r="M3930" i="1"/>
  <c r="G3930" i="1"/>
  <c r="O3930" i="1" s="1"/>
  <c r="Q3930" i="1" s="1"/>
  <c r="Q8520" i="1"/>
  <c r="I5133" i="1"/>
  <c r="M5132" i="1"/>
  <c r="G5132" i="1"/>
  <c r="O5132" i="1" s="1"/>
  <c r="I3691" i="1"/>
  <c r="M3690" i="1"/>
  <c r="G3690" i="1"/>
  <c r="O3690" i="1" s="1"/>
  <c r="Q3690" i="1" s="1"/>
  <c r="I6962" i="1"/>
  <c r="G6961" i="1"/>
  <c r="O6961" i="1" s="1"/>
  <c r="Q6961" i="1" s="1"/>
  <c r="M6961" i="1"/>
  <c r="I8163" i="1"/>
  <c r="M8162" i="1"/>
  <c r="G8162" i="1"/>
  <c r="O8162" i="1" s="1"/>
  <c r="Q8162" i="1" s="1"/>
  <c r="I5013" i="1"/>
  <c r="M5012" i="1"/>
  <c r="G5012" i="1"/>
  <c r="O5012" i="1" s="1"/>
  <c r="I6840" i="1"/>
  <c r="G6839" i="1"/>
  <c r="O6839" i="1" s="1"/>
  <c r="Q4411" i="1"/>
  <c r="I4893" i="1"/>
  <c r="M4892" i="1"/>
  <c r="G4892" i="1"/>
  <c r="O4892" i="1" s="1"/>
  <c r="Q4892" i="1" s="1"/>
  <c r="I3811" i="1"/>
  <c r="G3810" i="1"/>
  <c r="O3810" i="1" s="1"/>
  <c r="Q3810" i="1" s="1"/>
  <c r="M3810" i="1"/>
  <c r="I8762" i="1"/>
  <c r="G8761" i="1"/>
  <c r="O8761" i="1" s="1"/>
  <c r="Q8761" i="1" s="1"/>
  <c r="M8761" i="1"/>
  <c r="I7320" i="1"/>
  <c r="G7319" i="1"/>
  <c r="O7319" i="1" s="1"/>
  <c r="Q7319" i="1" s="1"/>
  <c r="Q4772" i="1"/>
  <c r="Q3685" i="1"/>
  <c r="O3687" i="1"/>
  <c r="Q542" i="1"/>
  <c r="G543" i="1"/>
  <c r="O543" i="1" s="1"/>
  <c r="Q543" i="1" s="1"/>
  <c r="M543" i="1"/>
  <c r="G63" i="1"/>
  <c r="O63" i="1" s="1"/>
  <c r="Q63" i="1" s="1"/>
  <c r="I64" i="1"/>
  <c r="I65" i="1" s="1"/>
  <c r="I66" i="1" s="1"/>
  <c r="Q57" i="1"/>
  <c r="O59" i="1"/>
  <c r="G62" i="1"/>
  <c r="O62" i="1" s="1"/>
  <c r="Q62" i="1" s="1"/>
  <c r="M62" i="1"/>
  <c r="M304" i="1"/>
  <c r="G903" i="1"/>
  <c r="O903" i="1" s="1"/>
  <c r="Q903" i="1" s="1"/>
  <c r="M903" i="1"/>
  <c r="I425" i="1"/>
  <c r="G425" i="1" s="1"/>
  <c r="G1144" i="1"/>
  <c r="O1144" i="1" s="1"/>
  <c r="Q1144" i="1" s="1"/>
  <c r="M1144" i="1"/>
  <c r="G1984" i="1"/>
  <c r="O1984" i="1" s="1"/>
  <c r="Q1984" i="1" s="1"/>
  <c r="M1984" i="1"/>
  <c r="G1863" i="1"/>
  <c r="O1863" i="1" s="1"/>
  <c r="Q1863" i="1" s="1"/>
  <c r="M1863" i="1"/>
  <c r="G1025" i="1"/>
  <c r="G1743" i="1"/>
  <c r="O1743" i="1" s="1"/>
  <c r="Q1743" i="1" s="1"/>
  <c r="M1743" i="1"/>
  <c r="G1623" i="1"/>
  <c r="O1623" i="1" s="1"/>
  <c r="M1623" i="1"/>
  <c r="G1383" i="1"/>
  <c r="O1383" i="1" s="1"/>
  <c r="Q1383" i="1" s="1"/>
  <c r="M1383" i="1"/>
  <c r="G1263" i="1"/>
  <c r="O1263" i="1" s="1"/>
  <c r="Q1263" i="1" s="1"/>
  <c r="G663" i="1"/>
  <c r="O663" i="1" s="1"/>
  <c r="Q663" i="1" s="1"/>
  <c r="M663" i="1"/>
  <c r="M544" i="1"/>
  <c r="G183" i="1"/>
  <c r="O183" i="1" s="1"/>
  <c r="Q183" i="1" s="1"/>
  <c r="M183" i="1"/>
  <c r="G783" i="1"/>
  <c r="O783" i="1" s="1"/>
  <c r="Q783" i="1" s="1"/>
  <c r="M783" i="1"/>
  <c r="G1145" i="1"/>
  <c r="G1985" i="1"/>
  <c r="K584" i="1"/>
  <c r="K586" i="1" s="1"/>
  <c r="K588" i="1" s="1"/>
  <c r="K590" i="1" s="1"/>
  <c r="K592" i="1" s="1"/>
  <c r="K594" i="1" s="1"/>
  <c r="I3932" i="1" l="1"/>
  <c r="G3931" i="1"/>
  <c r="O3931" i="1" s="1"/>
  <c r="Q3931" i="1" s="1"/>
  <c r="M3931" i="1"/>
  <c r="I3812" i="1"/>
  <c r="G3811" i="1"/>
  <c r="O3811" i="1" s="1"/>
  <c r="Q3811" i="1" s="1"/>
  <c r="M3811" i="1"/>
  <c r="Q6839" i="1"/>
  <c r="I5254" i="1"/>
  <c r="M5253" i="1"/>
  <c r="G5253" i="1"/>
  <c r="O5253" i="1" s="1"/>
  <c r="Q5253" i="1" s="1"/>
  <c r="I8043" i="1"/>
  <c r="G8042" i="1"/>
  <c r="O8042" i="1" s="1"/>
  <c r="Q8042" i="1" s="1"/>
  <c r="M8042" i="1"/>
  <c r="Q8401" i="1"/>
  <c r="I3692" i="1"/>
  <c r="G3691" i="1"/>
  <c r="O3691" i="1" s="1"/>
  <c r="Q3691" i="1" s="1"/>
  <c r="M3691" i="1"/>
  <c r="I8523" i="1"/>
  <c r="M8522" i="1"/>
  <c r="G8522" i="1"/>
  <c r="O8522" i="1" s="1"/>
  <c r="I7081" i="1"/>
  <c r="G7080" i="1"/>
  <c r="O7080" i="1" s="1"/>
  <c r="M7080" i="1"/>
  <c r="Q5012" i="1"/>
  <c r="I8403" i="1"/>
  <c r="M8402" i="1"/>
  <c r="G8402" i="1"/>
  <c r="O8402" i="1" s="1"/>
  <c r="Q8402" i="1" s="1"/>
  <c r="I4414" i="1"/>
  <c r="G4413" i="1"/>
  <c r="O4413" i="1" s="1"/>
  <c r="M4413" i="1"/>
  <c r="I6841" i="1"/>
  <c r="M6840" i="1"/>
  <c r="G6840" i="1"/>
  <c r="O6840" i="1" s="1"/>
  <c r="Q6840" i="1" s="1"/>
  <c r="Q3572" i="1"/>
  <c r="I7563" i="1"/>
  <c r="G7562" i="1"/>
  <c r="O7562" i="1" s="1"/>
  <c r="M7562" i="1"/>
  <c r="I4534" i="1"/>
  <c r="G4533" i="1"/>
  <c r="O4533" i="1" s="1"/>
  <c r="M4533" i="1"/>
  <c r="I8164" i="1"/>
  <c r="G8163" i="1"/>
  <c r="O8163" i="1" s="1"/>
  <c r="Q8163" i="1" s="1"/>
  <c r="M8163" i="1"/>
  <c r="I4294" i="1"/>
  <c r="M4293" i="1"/>
  <c r="G4293" i="1"/>
  <c r="O4293" i="1" s="1"/>
  <c r="Q4293" i="1" s="1"/>
  <c r="I8283" i="1"/>
  <c r="G8282" i="1"/>
  <c r="O8282" i="1" s="1"/>
  <c r="Q8282" i="1" s="1"/>
  <c r="M8282" i="1"/>
  <c r="I3574" i="1"/>
  <c r="M3573" i="1"/>
  <c r="G3573" i="1"/>
  <c r="O3573" i="1" s="1"/>
  <c r="Q3573" i="1" s="1"/>
  <c r="Q7439" i="1"/>
  <c r="Q5372" i="1"/>
  <c r="Q4172" i="1"/>
  <c r="I4894" i="1"/>
  <c r="M4893" i="1"/>
  <c r="G4893" i="1"/>
  <c r="O4893" i="1" s="1"/>
  <c r="Q4893" i="1" s="1"/>
  <c r="I5014" i="1"/>
  <c r="M5013" i="1"/>
  <c r="G5013" i="1"/>
  <c r="O5013" i="1" s="1"/>
  <c r="Q5013" i="1" s="1"/>
  <c r="Q5132" i="1"/>
  <c r="I4654" i="1"/>
  <c r="M4653" i="1"/>
  <c r="G4653" i="1"/>
  <c r="O4653" i="1" s="1"/>
  <c r="G4051" i="1"/>
  <c r="O4051" i="1" s="1"/>
  <c r="M4051" i="1"/>
  <c r="I7923" i="1"/>
  <c r="G7922" i="1"/>
  <c r="O7922" i="1" s="1"/>
  <c r="M7922" i="1"/>
  <c r="I7442" i="1"/>
  <c r="G7441" i="1"/>
  <c r="O7441" i="1" s="1"/>
  <c r="Q7441" i="1" s="1"/>
  <c r="M7441" i="1"/>
  <c r="I4174" i="1"/>
  <c r="M4173" i="1"/>
  <c r="G4173" i="1"/>
  <c r="O4173" i="1" s="1"/>
  <c r="Q4173" i="1" s="1"/>
  <c r="G7440" i="1"/>
  <c r="O7440" i="1" s="1"/>
  <c r="Q7440" i="1" s="1"/>
  <c r="M7440" i="1"/>
  <c r="I8763" i="1"/>
  <c r="G8762" i="1"/>
  <c r="O8762" i="1" s="1"/>
  <c r="Q8762" i="1" s="1"/>
  <c r="M8762" i="1"/>
  <c r="I4053" i="1"/>
  <c r="M4052" i="1"/>
  <c r="G4052" i="1"/>
  <c r="O4052" i="1" s="1"/>
  <c r="Q4052" i="1" s="1"/>
  <c r="Q3450" i="1"/>
  <c r="I4775" i="1"/>
  <c r="M4774" i="1"/>
  <c r="G4774" i="1"/>
  <c r="O4774" i="1" s="1"/>
  <c r="I5374" i="1"/>
  <c r="G5373" i="1"/>
  <c r="O5373" i="1" s="1"/>
  <c r="Q5373" i="1" s="1"/>
  <c r="M5373" i="1"/>
  <c r="I6963" i="1"/>
  <c r="G6962" i="1"/>
  <c r="O6962" i="1" s="1"/>
  <c r="M6962" i="1"/>
  <c r="I5134" i="1"/>
  <c r="M5133" i="1"/>
  <c r="G5133" i="1"/>
  <c r="O5133" i="1" s="1"/>
  <c r="Q5133" i="1" s="1"/>
  <c r="I8643" i="1"/>
  <c r="G8642" i="1"/>
  <c r="O8642" i="1" s="1"/>
  <c r="M8642" i="1"/>
  <c r="I7321" i="1"/>
  <c r="G7320" i="1"/>
  <c r="O7320" i="1" s="1"/>
  <c r="Q7320" i="1" s="1"/>
  <c r="M7320" i="1"/>
  <c r="I7201" i="1"/>
  <c r="G7200" i="1"/>
  <c r="O7200" i="1" s="1"/>
  <c r="M7200" i="1"/>
  <c r="I7683" i="1"/>
  <c r="M7682" i="1"/>
  <c r="G7682" i="1"/>
  <c r="O7682" i="1" s="1"/>
  <c r="I7803" i="1"/>
  <c r="G7802" i="1"/>
  <c r="O7802" i="1" s="1"/>
  <c r="Q7802" i="1" s="1"/>
  <c r="M7802" i="1"/>
  <c r="I3452" i="1"/>
  <c r="M3451" i="1"/>
  <c r="G3451" i="1"/>
  <c r="O3451" i="1" s="1"/>
  <c r="Q3451" i="1" s="1"/>
  <c r="Q1623" i="1"/>
  <c r="I305" i="1"/>
  <c r="G305" i="1" s="1"/>
  <c r="O305" i="1" s="1"/>
  <c r="G304" i="1"/>
  <c r="O304" i="1" s="1"/>
  <c r="Q304" i="1" s="1"/>
  <c r="M424" i="1"/>
  <c r="G424" i="1"/>
  <c r="O424" i="1" s="1"/>
  <c r="G1024" i="1"/>
  <c r="O1024" i="1" s="1"/>
  <c r="Q1024" i="1" s="1"/>
  <c r="M1024" i="1"/>
  <c r="G1504" i="1"/>
  <c r="O1504" i="1" s="1"/>
  <c r="Q1504" i="1" s="1"/>
  <c r="M1504" i="1"/>
  <c r="G64" i="1"/>
  <c r="O64" i="1" s="1"/>
  <c r="Q64" i="1" s="1"/>
  <c r="M64" i="1"/>
  <c r="M1864" i="1"/>
  <c r="M1624" i="1"/>
  <c r="M1744" i="1"/>
  <c r="M1384" i="1"/>
  <c r="G1505" i="1"/>
  <c r="O1505" i="1" s="1"/>
  <c r="Q1505" i="1" s="1"/>
  <c r="M1264" i="1"/>
  <c r="M664" i="1"/>
  <c r="M784" i="1"/>
  <c r="G544" i="1"/>
  <c r="O544" i="1" s="1"/>
  <c r="Q544" i="1" s="1"/>
  <c r="I545" i="1"/>
  <c r="M184" i="1"/>
  <c r="K65" i="1"/>
  <c r="G65" i="1" s="1"/>
  <c r="M425" i="1"/>
  <c r="O425" i="1"/>
  <c r="I426" i="1"/>
  <c r="M426" i="1" s="1"/>
  <c r="I67" i="1"/>
  <c r="O1145" i="1"/>
  <c r="M1145" i="1"/>
  <c r="M1146" i="1"/>
  <c r="O1985" i="1"/>
  <c r="Q1985" i="1" s="1"/>
  <c r="M1986" i="1"/>
  <c r="M1985" i="1"/>
  <c r="O1025" i="1"/>
  <c r="Q1025" i="1" s="1"/>
  <c r="M1026" i="1"/>
  <c r="M1025" i="1"/>
  <c r="K595" i="1"/>
  <c r="Q7682" i="1" l="1"/>
  <c r="Q7922" i="1"/>
  <c r="I7564" i="1"/>
  <c r="G7563" i="1"/>
  <c r="O7563" i="1" s="1"/>
  <c r="Q7563" i="1" s="1"/>
  <c r="M7563" i="1"/>
  <c r="I3693" i="1"/>
  <c r="G3692" i="1"/>
  <c r="O3692" i="1" s="1"/>
  <c r="M3692" i="1"/>
  <c r="I3933" i="1"/>
  <c r="M3932" i="1"/>
  <c r="G3932" i="1"/>
  <c r="O3932" i="1" s="1"/>
  <c r="I7322" i="1"/>
  <c r="G7321" i="1"/>
  <c r="O7321" i="1" s="1"/>
  <c r="Q7321" i="1" s="1"/>
  <c r="M7321" i="1"/>
  <c r="I7924" i="1"/>
  <c r="G7923" i="1"/>
  <c r="O7923" i="1" s="1"/>
  <c r="Q7923" i="1" s="1"/>
  <c r="M7923" i="1"/>
  <c r="Q7080" i="1"/>
  <c r="I3813" i="1"/>
  <c r="G3812" i="1"/>
  <c r="O3812" i="1" s="1"/>
  <c r="Q3812" i="1" s="1"/>
  <c r="M3812" i="1"/>
  <c r="I7684" i="1"/>
  <c r="M7683" i="1"/>
  <c r="G7683" i="1"/>
  <c r="O7683" i="1" s="1"/>
  <c r="Q7683" i="1" s="1"/>
  <c r="I5375" i="1"/>
  <c r="G5374" i="1"/>
  <c r="O5374" i="1" s="1"/>
  <c r="M5374" i="1"/>
  <c r="I4054" i="1"/>
  <c r="G4053" i="1"/>
  <c r="O4053" i="1" s="1"/>
  <c r="Q4053" i="1" s="1"/>
  <c r="M4053" i="1"/>
  <c r="I4175" i="1"/>
  <c r="G4174" i="1"/>
  <c r="O4174" i="1" s="1"/>
  <c r="Q4174" i="1" s="1"/>
  <c r="M4174" i="1"/>
  <c r="M8164" i="1"/>
  <c r="G8164" i="1"/>
  <c r="O8164" i="1" s="1"/>
  <c r="I8165" i="1"/>
  <c r="I7082" i="1"/>
  <c r="G7081" i="1"/>
  <c r="O7081" i="1" s="1"/>
  <c r="Q7081" i="1" s="1"/>
  <c r="M7081" i="1"/>
  <c r="I5135" i="1"/>
  <c r="G5134" i="1"/>
  <c r="O5134" i="1" s="1"/>
  <c r="M5134" i="1"/>
  <c r="Q4774" i="1"/>
  <c r="I8404" i="1"/>
  <c r="M8403" i="1"/>
  <c r="G8403" i="1"/>
  <c r="O8403" i="1" s="1"/>
  <c r="Q8403" i="1" s="1"/>
  <c r="Q8522" i="1"/>
  <c r="I5255" i="1"/>
  <c r="M5254" i="1"/>
  <c r="G5254" i="1"/>
  <c r="O5254" i="1" s="1"/>
  <c r="Q5254" i="1" s="1"/>
  <c r="I3453" i="1"/>
  <c r="M3452" i="1"/>
  <c r="G3452" i="1"/>
  <c r="O3452" i="1" s="1"/>
  <c r="Q4051" i="1"/>
  <c r="I5015" i="1"/>
  <c r="M5014" i="1"/>
  <c r="G5014" i="1"/>
  <c r="O5014" i="1" s="1"/>
  <c r="I8284" i="1"/>
  <c r="G8283" i="1"/>
  <c r="O8283" i="1" s="1"/>
  <c r="M8283" i="1"/>
  <c r="Q4533" i="1"/>
  <c r="Q7200" i="1"/>
  <c r="Q6962" i="1"/>
  <c r="I4776" i="1"/>
  <c r="G4775" i="1"/>
  <c r="O4775" i="1" s="1"/>
  <c r="Q4775" i="1" s="1"/>
  <c r="M4775" i="1"/>
  <c r="I8764" i="1"/>
  <c r="G8763" i="1"/>
  <c r="O8763" i="1" s="1"/>
  <c r="Q8763" i="1" s="1"/>
  <c r="M8763" i="1"/>
  <c r="I7443" i="1"/>
  <c r="G7442" i="1"/>
  <c r="O7442" i="1" s="1"/>
  <c r="Q7442" i="1" s="1"/>
  <c r="M7442" i="1"/>
  <c r="Q4653" i="1"/>
  <c r="I4535" i="1"/>
  <c r="G4534" i="1"/>
  <c r="O4534" i="1" s="1"/>
  <c r="Q4534" i="1" s="1"/>
  <c r="M4534" i="1"/>
  <c r="I6842" i="1"/>
  <c r="G6841" i="1"/>
  <c r="O6841" i="1" s="1"/>
  <c r="Q6841" i="1" s="1"/>
  <c r="M6841" i="1"/>
  <c r="I8524" i="1"/>
  <c r="M8523" i="1"/>
  <c r="G8523" i="1"/>
  <c r="O8523" i="1" s="1"/>
  <c r="Q8523" i="1" s="1"/>
  <c r="I7202" i="1"/>
  <c r="G7201" i="1"/>
  <c r="O7201" i="1" s="1"/>
  <c r="Q7201" i="1" s="1"/>
  <c r="M7201" i="1"/>
  <c r="Q8642" i="1"/>
  <c r="I6964" i="1"/>
  <c r="M6963" i="1"/>
  <c r="G6963" i="1"/>
  <c r="O6963" i="1" s="1"/>
  <c r="Q6963" i="1" s="1"/>
  <c r="I7804" i="1"/>
  <c r="G7803" i="1"/>
  <c r="O7803" i="1" s="1"/>
  <c r="M7803" i="1"/>
  <c r="I8644" i="1"/>
  <c r="G8643" i="1"/>
  <c r="O8643" i="1" s="1"/>
  <c r="Q8643" i="1" s="1"/>
  <c r="M8643" i="1"/>
  <c r="I4655" i="1"/>
  <c r="M4654" i="1"/>
  <c r="G4654" i="1"/>
  <c r="O4654" i="1" s="1"/>
  <c r="Q4654" i="1" s="1"/>
  <c r="I4895" i="1"/>
  <c r="M4894" i="1"/>
  <c r="G4894" i="1"/>
  <c r="O4894" i="1" s="1"/>
  <c r="Q4894" i="1" s="1"/>
  <c r="I4295" i="1"/>
  <c r="G4294" i="1"/>
  <c r="O4294" i="1" s="1"/>
  <c r="M4294" i="1"/>
  <c r="Q7562" i="1"/>
  <c r="Q4413" i="1"/>
  <c r="I8044" i="1"/>
  <c r="G8043" i="1"/>
  <c r="O8043" i="1" s="1"/>
  <c r="M8043" i="1"/>
  <c r="I3575" i="1"/>
  <c r="M3574" i="1"/>
  <c r="G3574" i="1"/>
  <c r="O3574" i="1" s="1"/>
  <c r="Q3574" i="1" s="1"/>
  <c r="I4415" i="1"/>
  <c r="M4414" i="1"/>
  <c r="G4414" i="1"/>
  <c r="O4414" i="1" s="1"/>
  <c r="Q4414" i="1" s="1"/>
  <c r="Q305" i="1"/>
  <c r="Q425" i="1"/>
  <c r="Q1145" i="1"/>
  <c r="Q424" i="1"/>
  <c r="M305" i="1"/>
  <c r="I306" i="1"/>
  <c r="M306" i="1" s="1"/>
  <c r="M1506" i="1"/>
  <c r="M904" i="1"/>
  <c r="G904" i="1"/>
  <c r="O904" i="1" s="1"/>
  <c r="Q904" i="1" s="1"/>
  <c r="G1864" i="1"/>
  <c r="O1864" i="1" s="1"/>
  <c r="Q1864" i="1" s="1"/>
  <c r="G1384" i="1"/>
  <c r="O1384" i="1" s="1"/>
  <c r="Q1384" i="1" s="1"/>
  <c r="G1744" i="1"/>
  <c r="O1744" i="1" s="1"/>
  <c r="Q1744" i="1" s="1"/>
  <c r="G1624" i="1"/>
  <c r="O1624" i="1" s="1"/>
  <c r="Q1624" i="1" s="1"/>
  <c r="M1505" i="1"/>
  <c r="G1264" i="1"/>
  <c r="O1264" i="1" s="1"/>
  <c r="Q1264" i="1" s="1"/>
  <c r="G664" i="1"/>
  <c r="O664" i="1" s="1"/>
  <c r="Q664" i="1" s="1"/>
  <c r="I665" i="1"/>
  <c r="G784" i="1"/>
  <c r="O784" i="1" s="1"/>
  <c r="Q784" i="1" s="1"/>
  <c r="I785" i="1"/>
  <c r="G184" i="1"/>
  <c r="O184" i="1" s="1"/>
  <c r="Q184" i="1" s="1"/>
  <c r="G545" i="1"/>
  <c r="O545" i="1" s="1"/>
  <c r="M545" i="1"/>
  <c r="I546" i="1"/>
  <c r="M546" i="1" s="1"/>
  <c r="K66" i="1"/>
  <c r="M65" i="1"/>
  <c r="O65" i="1"/>
  <c r="Q65" i="1" s="1"/>
  <c r="G426" i="1"/>
  <c r="O426" i="1" s="1"/>
  <c r="I427" i="1"/>
  <c r="G427" i="1" s="1"/>
  <c r="G1147" i="1"/>
  <c r="G1146" i="1"/>
  <c r="O1146" i="1" s="1"/>
  <c r="Q1146" i="1" s="1"/>
  <c r="G1507" i="1"/>
  <c r="G1506" i="1"/>
  <c r="O1506" i="1" s="1"/>
  <c r="Q1506" i="1" s="1"/>
  <c r="I68" i="1"/>
  <c r="G1027" i="1"/>
  <c r="G1026" i="1"/>
  <c r="O1026" i="1" s="1"/>
  <c r="G1986" i="1"/>
  <c r="O1986" i="1" s="1"/>
  <c r="Q1986" i="1" s="1"/>
  <c r="G1987" i="1"/>
  <c r="K596" i="1"/>
  <c r="I4777" i="1" l="1"/>
  <c r="I4778" i="1"/>
  <c r="G4776" i="1"/>
  <c r="O4776" i="1" s="1"/>
  <c r="Q4776" i="1" s="1"/>
  <c r="M4776" i="1"/>
  <c r="I5136" i="1"/>
  <c r="G5135" i="1"/>
  <c r="O5135" i="1" s="1"/>
  <c r="Q5135" i="1" s="1"/>
  <c r="M5135" i="1"/>
  <c r="Q5374" i="1"/>
  <c r="I3814" i="1"/>
  <c r="G3813" i="1"/>
  <c r="O3813" i="1" s="1"/>
  <c r="M3813" i="1"/>
  <c r="I3694" i="1"/>
  <c r="G3693" i="1"/>
  <c r="O3693" i="1" s="1"/>
  <c r="Q3693" i="1" s="1"/>
  <c r="M3693" i="1"/>
  <c r="I3576" i="1"/>
  <c r="G3575" i="1"/>
  <c r="O3575" i="1" s="1"/>
  <c r="Q3575" i="1" s="1"/>
  <c r="M3575" i="1"/>
  <c r="I4656" i="1"/>
  <c r="G4655" i="1"/>
  <c r="O4655" i="1" s="1"/>
  <c r="Q4655" i="1" s="1"/>
  <c r="M4655" i="1"/>
  <c r="I7203" i="1"/>
  <c r="M7202" i="1"/>
  <c r="G7202" i="1"/>
  <c r="O7202" i="1" s="1"/>
  <c r="Q8283" i="1"/>
  <c r="Q3452" i="1"/>
  <c r="I5376" i="1"/>
  <c r="G5375" i="1"/>
  <c r="O5375" i="1" s="1"/>
  <c r="Q5375" i="1" s="1"/>
  <c r="M5375" i="1"/>
  <c r="Q8164" i="1"/>
  <c r="Q4294" i="1"/>
  <c r="I6843" i="1"/>
  <c r="G6842" i="1"/>
  <c r="O6842" i="1" s="1"/>
  <c r="M6842" i="1"/>
  <c r="I7444" i="1"/>
  <c r="G7443" i="1"/>
  <c r="O7443" i="1" s="1"/>
  <c r="M7443" i="1"/>
  <c r="I8285" i="1"/>
  <c r="G8284" i="1"/>
  <c r="O8284" i="1" s="1"/>
  <c r="Q8284" i="1" s="1"/>
  <c r="M8284" i="1"/>
  <c r="I7323" i="1"/>
  <c r="G7322" i="1"/>
  <c r="O7322" i="1" s="1"/>
  <c r="M7322" i="1"/>
  <c r="I4296" i="1"/>
  <c r="G4295" i="1"/>
  <c r="O4295" i="1" s="1"/>
  <c r="Q4295" i="1" s="1"/>
  <c r="M4295" i="1"/>
  <c r="Q3932" i="1"/>
  <c r="I7565" i="1"/>
  <c r="M7564" i="1"/>
  <c r="G7564" i="1"/>
  <c r="O7564" i="1" s="1"/>
  <c r="Q8043" i="1"/>
  <c r="I8405" i="1"/>
  <c r="M8404" i="1"/>
  <c r="G8404" i="1"/>
  <c r="O8404" i="1" s="1"/>
  <c r="Q8404" i="1" s="1"/>
  <c r="I4176" i="1"/>
  <c r="G4175" i="1"/>
  <c r="O4175" i="1" s="1"/>
  <c r="M4175" i="1"/>
  <c r="G8044" i="1"/>
  <c r="O8044" i="1" s="1"/>
  <c r="Q8044" i="1" s="1"/>
  <c r="M8044" i="1"/>
  <c r="I8045" i="1"/>
  <c r="I8645" i="1"/>
  <c r="M8644" i="1"/>
  <c r="G8644" i="1"/>
  <c r="O8644" i="1" s="1"/>
  <c r="Q8644" i="1" s="1"/>
  <c r="I4536" i="1"/>
  <c r="G4535" i="1"/>
  <c r="O4535" i="1" s="1"/>
  <c r="Q4535" i="1" s="1"/>
  <c r="M4535" i="1"/>
  <c r="M8764" i="1"/>
  <c r="I8765" i="1"/>
  <c r="G8764" i="1"/>
  <c r="O8764" i="1" s="1"/>
  <c r="Q8764" i="1" s="1"/>
  <c r="I7083" i="1"/>
  <c r="G7082" i="1"/>
  <c r="O7082" i="1" s="1"/>
  <c r="Q7082" i="1" s="1"/>
  <c r="M7082" i="1"/>
  <c r="G7684" i="1"/>
  <c r="O7684" i="1" s="1"/>
  <c r="Q7684" i="1" s="1"/>
  <c r="I7685" i="1"/>
  <c r="M7684" i="1"/>
  <c r="I3934" i="1"/>
  <c r="G3933" i="1"/>
  <c r="O3933" i="1" s="1"/>
  <c r="Q3933" i="1" s="1"/>
  <c r="M3933" i="1"/>
  <c r="I3454" i="1"/>
  <c r="G3453" i="1"/>
  <c r="O3453" i="1" s="1"/>
  <c r="Q3453" i="1" s="1"/>
  <c r="M3453" i="1"/>
  <c r="I6965" i="1"/>
  <c r="G6964" i="1"/>
  <c r="O6964" i="1" s="1"/>
  <c r="Q6964" i="1" s="1"/>
  <c r="M6964" i="1"/>
  <c r="Q5014" i="1"/>
  <c r="I4416" i="1"/>
  <c r="G4415" i="1"/>
  <c r="O4415" i="1" s="1"/>
  <c r="Q4415" i="1" s="1"/>
  <c r="M4415" i="1"/>
  <c r="I4896" i="1"/>
  <c r="M4895" i="1"/>
  <c r="G4895" i="1"/>
  <c r="O4895" i="1" s="1"/>
  <c r="Q4895" i="1" s="1"/>
  <c r="Q7803" i="1"/>
  <c r="I5016" i="1"/>
  <c r="M5015" i="1"/>
  <c r="G5015" i="1"/>
  <c r="O5015" i="1" s="1"/>
  <c r="Q5015" i="1" s="1"/>
  <c r="I5256" i="1"/>
  <c r="M5255" i="1"/>
  <c r="G5255" i="1"/>
  <c r="O5255" i="1" s="1"/>
  <c r="Q5255" i="1" s="1"/>
  <c r="I8167" i="1"/>
  <c r="M8165" i="1"/>
  <c r="I8166" i="1"/>
  <c r="G8165" i="1"/>
  <c r="O8165" i="1" s="1"/>
  <c r="Q8165" i="1" s="1"/>
  <c r="I4055" i="1"/>
  <c r="M4054" i="1"/>
  <c r="G4054" i="1"/>
  <c r="O4054" i="1" s="1"/>
  <c r="G7924" i="1"/>
  <c r="O7924" i="1" s="1"/>
  <c r="Q7924" i="1" s="1"/>
  <c r="I7925" i="1"/>
  <c r="M7924" i="1"/>
  <c r="Q3692" i="1"/>
  <c r="I7805" i="1"/>
  <c r="G7804" i="1"/>
  <c r="O7804" i="1" s="1"/>
  <c r="Q7804" i="1" s="1"/>
  <c r="M7804" i="1"/>
  <c r="I8525" i="1"/>
  <c r="M8524" i="1"/>
  <c r="G8524" i="1"/>
  <c r="O8524" i="1" s="1"/>
  <c r="Q5134" i="1"/>
  <c r="Q545" i="1"/>
  <c r="Q426" i="1"/>
  <c r="Q1026" i="1"/>
  <c r="G306" i="1"/>
  <c r="O306" i="1" s="1"/>
  <c r="Q306" i="1" s="1"/>
  <c r="I307" i="1"/>
  <c r="G307" i="1" s="1"/>
  <c r="O307" i="1" s="1"/>
  <c r="Q307" i="1" s="1"/>
  <c r="G905" i="1"/>
  <c r="O905" i="1" s="1"/>
  <c r="Q905" i="1" s="1"/>
  <c r="M905" i="1"/>
  <c r="G66" i="1"/>
  <c r="O66" i="1" s="1"/>
  <c r="Q66" i="1" s="1"/>
  <c r="M66" i="1"/>
  <c r="G1865" i="1"/>
  <c r="O1865" i="1" s="1"/>
  <c r="Q1865" i="1" s="1"/>
  <c r="M1865" i="1"/>
  <c r="M1866" i="1"/>
  <c r="G1625" i="1"/>
  <c r="O1625" i="1" s="1"/>
  <c r="Q1625" i="1" s="1"/>
  <c r="M1625" i="1"/>
  <c r="M1626" i="1"/>
  <c r="G1745" i="1"/>
  <c r="O1745" i="1" s="1"/>
  <c r="Q1745" i="1" s="1"/>
  <c r="M1745" i="1"/>
  <c r="M1746" i="1"/>
  <c r="G1385" i="1"/>
  <c r="O1385" i="1" s="1"/>
  <c r="Q1385" i="1" s="1"/>
  <c r="M1386" i="1"/>
  <c r="M1385" i="1"/>
  <c r="G1265" i="1"/>
  <c r="O1265" i="1" s="1"/>
  <c r="Q1265" i="1" s="1"/>
  <c r="M1265" i="1"/>
  <c r="M1266" i="1"/>
  <c r="G665" i="1"/>
  <c r="O665" i="1" s="1"/>
  <c r="Q665" i="1" s="1"/>
  <c r="M665" i="1"/>
  <c r="I666" i="1"/>
  <c r="M666" i="1" s="1"/>
  <c r="G785" i="1"/>
  <c r="O785" i="1" s="1"/>
  <c r="Q785" i="1" s="1"/>
  <c r="M785" i="1"/>
  <c r="I786" i="1"/>
  <c r="M786" i="1" s="1"/>
  <c r="G185" i="1"/>
  <c r="O185" i="1" s="1"/>
  <c r="Q185" i="1" s="1"/>
  <c r="M185" i="1"/>
  <c r="M186" i="1"/>
  <c r="I547" i="1"/>
  <c r="G547" i="1" s="1"/>
  <c r="G546" i="1"/>
  <c r="O546" i="1" s="1"/>
  <c r="Q546" i="1" s="1"/>
  <c r="K67" i="1"/>
  <c r="G67" i="1" s="1"/>
  <c r="M1987" i="1"/>
  <c r="O1987" i="1"/>
  <c r="Q1987" i="1" s="1"/>
  <c r="G1988" i="1"/>
  <c r="I70" i="1"/>
  <c r="I69" i="1"/>
  <c r="O427" i="1"/>
  <c r="Q427" i="1" s="1"/>
  <c r="I428" i="1"/>
  <c r="G428" i="1" s="1"/>
  <c r="M427" i="1"/>
  <c r="G1148" i="1"/>
  <c r="M1147" i="1"/>
  <c r="O1147" i="1"/>
  <c r="Q1147" i="1" s="1"/>
  <c r="G1028" i="1"/>
  <c r="M1027" i="1"/>
  <c r="O1027" i="1"/>
  <c r="Q1027" i="1" s="1"/>
  <c r="O1507" i="1"/>
  <c r="Q1507" i="1" s="1"/>
  <c r="G1508" i="1"/>
  <c r="M1507" i="1"/>
  <c r="K597" i="1"/>
  <c r="G7323" i="1" l="1"/>
  <c r="O7323" i="1" s="1"/>
  <c r="Q7323" i="1" s="1"/>
  <c r="I7324" i="1"/>
  <c r="M7323" i="1"/>
  <c r="Q8524" i="1"/>
  <c r="M8166" i="1"/>
  <c r="G8166" i="1"/>
  <c r="O8166" i="1" s="1"/>
  <c r="Q8166" i="1" s="1"/>
  <c r="I5018" i="1"/>
  <c r="I5017" i="1"/>
  <c r="M5016" i="1"/>
  <c r="G5016" i="1"/>
  <c r="O5016" i="1" s="1"/>
  <c r="I4418" i="1"/>
  <c r="I4417" i="1"/>
  <c r="G4416" i="1"/>
  <c r="O4416" i="1" s="1"/>
  <c r="Q4416" i="1" s="1"/>
  <c r="M4416" i="1"/>
  <c r="I8047" i="1"/>
  <c r="I8046" i="1"/>
  <c r="M8045" i="1"/>
  <c r="G8045" i="1"/>
  <c r="O8045" i="1" s="1"/>
  <c r="Q8045" i="1" s="1"/>
  <c r="I8406" i="1"/>
  <c r="M8405" i="1"/>
  <c r="I8407" i="1"/>
  <c r="G8405" i="1"/>
  <c r="O8405" i="1" s="1"/>
  <c r="Q8405" i="1" s="1"/>
  <c r="I3577" i="1"/>
  <c r="G3576" i="1"/>
  <c r="O3576" i="1" s="1"/>
  <c r="Q3576" i="1" s="1"/>
  <c r="M3576" i="1"/>
  <c r="I8287" i="1"/>
  <c r="I8286" i="1"/>
  <c r="G8285" i="1"/>
  <c r="O8285" i="1" s="1"/>
  <c r="Q8285" i="1" s="1"/>
  <c r="M8285" i="1"/>
  <c r="I4538" i="1"/>
  <c r="I4537" i="1"/>
  <c r="M4536" i="1"/>
  <c r="G4536" i="1"/>
  <c r="O4536" i="1" s="1"/>
  <c r="Q4536" i="1" s="1"/>
  <c r="M8525" i="1"/>
  <c r="I8527" i="1"/>
  <c r="I8526" i="1"/>
  <c r="G8525" i="1"/>
  <c r="O8525" i="1" s="1"/>
  <c r="Q8525" i="1" s="1"/>
  <c r="I7927" i="1"/>
  <c r="I7926" i="1"/>
  <c r="G7925" i="1"/>
  <c r="O7925" i="1" s="1"/>
  <c r="Q7925" i="1" s="1"/>
  <c r="M7925" i="1"/>
  <c r="I8168" i="1"/>
  <c r="M8167" i="1"/>
  <c r="G8167" i="1"/>
  <c r="O8167" i="1" s="1"/>
  <c r="Q8167" i="1" s="1"/>
  <c r="I4297" i="1"/>
  <c r="I4298" i="1"/>
  <c r="G4296" i="1"/>
  <c r="O4296" i="1" s="1"/>
  <c r="Q4296" i="1" s="1"/>
  <c r="M4296" i="1"/>
  <c r="I5378" i="1"/>
  <c r="I5377" i="1"/>
  <c r="G5376" i="1"/>
  <c r="O5376" i="1" s="1"/>
  <c r="M5376" i="1"/>
  <c r="I7084" i="1"/>
  <c r="G7083" i="1"/>
  <c r="O7083" i="1" s="1"/>
  <c r="Q7083" i="1" s="1"/>
  <c r="M7083" i="1"/>
  <c r="Q7564" i="1"/>
  <c r="Q7443" i="1"/>
  <c r="I3695" i="1"/>
  <c r="M3694" i="1"/>
  <c r="G3694" i="1"/>
  <c r="O3694" i="1" s="1"/>
  <c r="I5137" i="1"/>
  <c r="I5138" i="1"/>
  <c r="M5136" i="1"/>
  <c r="G5136" i="1"/>
  <c r="O5136" i="1" s="1"/>
  <c r="Q5136" i="1" s="1"/>
  <c r="I3455" i="1"/>
  <c r="G3454" i="1"/>
  <c r="O3454" i="1" s="1"/>
  <c r="Q3454" i="1" s="1"/>
  <c r="M3454" i="1"/>
  <c r="G7203" i="1"/>
  <c r="O7203" i="1" s="1"/>
  <c r="Q7203" i="1" s="1"/>
  <c r="I7204" i="1"/>
  <c r="M7203" i="1"/>
  <c r="Q4054" i="1"/>
  <c r="Q4175" i="1"/>
  <c r="Q7322" i="1"/>
  <c r="I7445" i="1"/>
  <c r="G7444" i="1"/>
  <c r="O7444" i="1" s="1"/>
  <c r="Q7444" i="1" s="1"/>
  <c r="M7444" i="1"/>
  <c r="I5258" i="1"/>
  <c r="I5257" i="1"/>
  <c r="M5256" i="1"/>
  <c r="G5256" i="1"/>
  <c r="O5256" i="1" s="1"/>
  <c r="Q5256" i="1" s="1"/>
  <c r="I4658" i="1"/>
  <c r="I4657" i="1"/>
  <c r="M4656" i="1"/>
  <c r="G4656" i="1"/>
  <c r="O4656" i="1" s="1"/>
  <c r="Q4656" i="1" s="1"/>
  <c r="Q3813" i="1"/>
  <c r="I4897" i="1"/>
  <c r="I4898" i="1"/>
  <c r="M4896" i="1"/>
  <c r="G4896" i="1"/>
  <c r="O4896" i="1" s="1"/>
  <c r="Q4896" i="1" s="1"/>
  <c r="I4178" i="1"/>
  <c r="I4177" i="1"/>
  <c r="G4176" i="1"/>
  <c r="O4176" i="1" s="1"/>
  <c r="Q4176" i="1" s="1"/>
  <c r="M4176" i="1"/>
  <c r="I4056" i="1"/>
  <c r="M4055" i="1"/>
  <c r="G4055" i="1"/>
  <c r="O4055" i="1" s="1"/>
  <c r="Q4055" i="1" s="1"/>
  <c r="Q6842" i="1"/>
  <c r="I3815" i="1"/>
  <c r="G3814" i="1"/>
  <c r="O3814" i="1" s="1"/>
  <c r="Q3814" i="1" s="1"/>
  <c r="M3814" i="1"/>
  <c r="I4779" i="1"/>
  <c r="M4778" i="1"/>
  <c r="G4778" i="1"/>
  <c r="O4778" i="1" s="1"/>
  <c r="Q4778" i="1" s="1"/>
  <c r="G7805" i="1"/>
  <c r="O7805" i="1" s="1"/>
  <c r="Q7805" i="1" s="1"/>
  <c r="M7805" i="1"/>
  <c r="I7807" i="1"/>
  <c r="I7806" i="1"/>
  <c r="I6966" i="1"/>
  <c r="M6965" i="1"/>
  <c r="G6965" i="1"/>
  <c r="O6965" i="1" s="1"/>
  <c r="Q6965" i="1" s="1"/>
  <c r="I3935" i="1"/>
  <c r="M3934" i="1"/>
  <c r="G3934" i="1"/>
  <c r="O3934" i="1" s="1"/>
  <c r="I8767" i="1"/>
  <c r="I8766" i="1"/>
  <c r="M8765" i="1"/>
  <c r="G8765" i="1"/>
  <c r="O8765" i="1" s="1"/>
  <c r="Q8765" i="1" s="1"/>
  <c r="G7565" i="1"/>
  <c r="O7565" i="1" s="1"/>
  <c r="Q7565" i="1" s="1"/>
  <c r="M7565" i="1"/>
  <c r="I7567" i="1"/>
  <c r="I7566" i="1"/>
  <c r="M7685" i="1"/>
  <c r="I7687" i="1"/>
  <c r="I7686" i="1"/>
  <c r="G7685" i="1"/>
  <c r="O7685" i="1" s="1"/>
  <c r="Q7685" i="1" s="1"/>
  <c r="I8646" i="1"/>
  <c r="I8647" i="1"/>
  <c r="G8645" i="1"/>
  <c r="O8645" i="1" s="1"/>
  <c r="Q8645" i="1" s="1"/>
  <c r="M8645" i="1"/>
  <c r="M6843" i="1"/>
  <c r="I6844" i="1"/>
  <c r="G6843" i="1"/>
  <c r="O6843" i="1" s="1"/>
  <c r="Q6843" i="1" s="1"/>
  <c r="Q7202" i="1"/>
  <c r="G4777" i="1"/>
  <c r="O4777" i="1" s="1"/>
  <c r="Q4777" i="1" s="1"/>
  <c r="M4777" i="1"/>
  <c r="I308" i="1"/>
  <c r="G308" i="1" s="1"/>
  <c r="O308" i="1" s="1"/>
  <c r="M307" i="1"/>
  <c r="M906" i="1"/>
  <c r="G906" i="1"/>
  <c r="O906" i="1" s="1"/>
  <c r="Q906" i="1" s="1"/>
  <c r="G1866" i="1"/>
  <c r="O1866" i="1" s="1"/>
  <c r="Q1866" i="1" s="1"/>
  <c r="G1867" i="1"/>
  <c r="G1386" i="1"/>
  <c r="O1386" i="1" s="1"/>
  <c r="Q1386" i="1" s="1"/>
  <c r="G1387" i="1"/>
  <c r="G1626" i="1"/>
  <c r="O1626" i="1" s="1"/>
  <c r="Q1626" i="1" s="1"/>
  <c r="G1627" i="1"/>
  <c r="G1746" i="1"/>
  <c r="O1746" i="1" s="1"/>
  <c r="G1747" i="1"/>
  <c r="G1267" i="1"/>
  <c r="G1266" i="1"/>
  <c r="O1266" i="1" s="1"/>
  <c r="Q1266" i="1" s="1"/>
  <c r="I667" i="1"/>
  <c r="G667" i="1" s="1"/>
  <c r="G666" i="1"/>
  <c r="O666" i="1" s="1"/>
  <c r="Q666" i="1" s="1"/>
  <c r="M547" i="1"/>
  <c r="O547" i="1"/>
  <c r="Q547" i="1" s="1"/>
  <c r="I548" i="1"/>
  <c r="G548" i="1" s="1"/>
  <c r="I787" i="1"/>
  <c r="G787" i="1" s="1"/>
  <c r="G786" i="1"/>
  <c r="O786" i="1" s="1"/>
  <c r="Q786" i="1" s="1"/>
  <c r="G186" i="1"/>
  <c r="O186" i="1" s="1"/>
  <c r="G187" i="1"/>
  <c r="K68" i="1"/>
  <c r="G68" i="1" s="1"/>
  <c r="O67" i="1"/>
  <c r="Q67" i="1" s="1"/>
  <c r="M67" i="1"/>
  <c r="G1029" i="1"/>
  <c r="O1029" i="1" s="1"/>
  <c r="Q1029" i="1" s="1"/>
  <c r="G1030" i="1"/>
  <c r="O1030" i="1" s="1"/>
  <c r="M1028" i="1"/>
  <c r="O1028" i="1"/>
  <c r="I429" i="1"/>
  <c r="G429" i="1" s="1"/>
  <c r="O429" i="1" s="1"/>
  <c r="I430" i="1"/>
  <c r="G430" i="1" s="1"/>
  <c r="O430" i="1" s="1"/>
  <c r="O428" i="1"/>
  <c r="Q428" i="1" s="1"/>
  <c r="M428" i="1"/>
  <c r="G1989" i="1"/>
  <c r="O1989" i="1" s="1"/>
  <c r="Q1989" i="1" s="1"/>
  <c r="G1990" i="1"/>
  <c r="O1990" i="1" s="1"/>
  <c r="Q1990" i="1" s="1"/>
  <c r="O1988" i="1"/>
  <c r="Q1988" i="1" s="1"/>
  <c r="M1988" i="1"/>
  <c r="M1508" i="1"/>
  <c r="O1508" i="1"/>
  <c r="Q1508" i="1" s="1"/>
  <c r="G1509" i="1"/>
  <c r="O1509" i="1" s="1"/>
  <c r="G1510" i="1"/>
  <c r="O1510" i="1" s="1"/>
  <c r="Q1510" i="1" s="1"/>
  <c r="G1149" i="1"/>
  <c r="O1149" i="1" s="1"/>
  <c r="Q1149" i="1" s="1"/>
  <c r="O1148" i="1"/>
  <c r="Q1148" i="1" s="1"/>
  <c r="G1150" i="1"/>
  <c r="O1150" i="1" s="1"/>
  <c r="Q1150" i="1" s="1"/>
  <c r="M1148" i="1"/>
  <c r="I71" i="1"/>
  <c r="K598" i="1"/>
  <c r="I4659" i="1" l="1"/>
  <c r="G4658" i="1"/>
  <c r="O4658" i="1" s="1"/>
  <c r="Q4658" i="1" s="1"/>
  <c r="M4658" i="1"/>
  <c r="Q3694" i="1"/>
  <c r="M8046" i="1"/>
  <c r="G8046" i="1"/>
  <c r="O8046" i="1" s="1"/>
  <c r="Q8046" i="1" s="1"/>
  <c r="M5017" i="1"/>
  <c r="G5017" i="1"/>
  <c r="O5017" i="1" s="1"/>
  <c r="Q5017" i="1" s="1"/>
  <c r="M7686" i="1"/>
  <c r="G7686" i="1"/>
  <c r="O7686" i="1" s="1"/>
  <c r="Q7686" i="1" s="1"/>
  <c r="I6967" i="1"/>
  <c r="M6966" i="1"/>
  <c r="G6966" i="1"/>
  <c r="O6966" i="1" s="1"/>
  <c r="Q6966" i="1" s="1"/>
  <c r="I4899" i="1"/>
  <c r="M4898" i="1"/>
  <c r="G4898" i="1"/>
  <c r="O4898" i="1" s="1"/>
  <c r="Q4898" i="1" s="1"/>
  <c r="M7926" i="1"/>
  <c r="G7926" i="1"/>
  <c r="O7926" i="1" s="1"/>
  <c r="Q7926" i="1" s="1"/>
  <c r="M4537" i="1"/>
  <c r="G4537" i="1"/>
  <c r="O4537" i="1" s="1"/>
  <c r="Q4537" i="1" s="1"/>
  <c r="I3578" i="1"/>
  <c r="G3577" i="1"/>
  <c r="O3577" i="1" s="1"/>
  <c r="Q3577" i="1" s="1"/>
  <c r="M3577" i="1"/>
  <c r="I8048" i="1"/>
  <c r="G8047" i="1"/>
  <c r="O8047" i="1" s="1"/>
  <c r="Q8047" i="1" s="1"/>
  <c r="M8047" i="1"/>
  <c r="I5019" i="1"/>
  <c r="M5018" i="1"/>
  <c r="G5018" i="1"/>
  <c r="O5018" i="1" s="1"/>
  <c r="Q5018" i="1" s="1"/>
  <c r="I4780" i="1"/>
  <c r="M4779" i="1"/>
  <c r="G4779" i="1"/>
  <c r="O4779" i="1" s="1"/>
  <c r="Q4779" i="1" s="1"/>
  <c r="M6844" i="1"/>
  <c r="I6845" i="1"/>
  <c r="G6844" i="1"/>
  <c r="O6844" i="1" s="1"/>
  <c r="I7688" i="1"/>
  <c r="G7687" i="1"/>
  <c r="O7687" i="1" s="1"/>
  <c r="Q7687" i="1" s="1"/>
  <c r="M7687" i="1"/>
  <c r="G8766" i="1"/>
  <c r="O8766" i="1" s="1"/>
  <c r="Q8766" i="1" s="1"/>
  <c r="M8766" i="1"/>
  <c r="M7806" i="1"/>
  <c r="G7806" i="1"/>
  <c r="O7806" i="1" s="1"/>
  <c r="Q7806" i="1" s="1"/>
  <c r="I4058" i="1"/>
  <c r="I4057" i="1"/>
  <c r="M4056" i="1"/>
  <c r="G4056" i="1"/>
  <c r="O4056" i="1" s="1"/>
  <c r="Q4056" i="1" s="1"/>
  <c r="G4897" i="1"/>
  <c r="O4897" i="1" s="1"/>
  <c r="Q4897" i="1" s="1"/>
  <c r="M4897" i="1"/>
  <c r="I3696" i="1"/>
  <c r="G3695" i="1"/>
  <c r="O3695" i="1" s="1"/>
  <c r="Q3695" i="1" s="1"/>
  <c r="M3695" i="1"/>
  <c r="I7085" i="1"/>
  <c r="M7084" i="1"/>
  <c r="G7084" i="1"/>
  <c r="O7084" i="1" s="1"/>
  <c r="Q7084" i="1" s="1"/>
  <c r="I4299" i="1"/>
  <c r="M4298" i="1"/>
  <c r="G4298" i="1"/>
  <c r="O4298" i="1" s="1"/>
  <c r="Q4298" i="1" s="1"/>
  <c r="I7928" i="1"/>
  <c r="M7927" i="1"/>
  <c r="G7927" i="1"/>
  <c r="O7927" i="1" s="1"/>
  <c r="Q7927" i="1" s="1"/>
  <c r="I4539" i="1"/>
  <c r="M4538" i="1"/>
  <c r="G4538" i="1"/>
  <c r="O4538" i="1" s="1"/>
  <c r="Q4538" i="1" s="1"/>
  <c r="I8768" i="1"/>
  <c r="G8767" i="1"/>
  <c r="O8767" i="1" s="1"/>
  <c r="Q8767" i="1" s="1"/>
  <c r="M8767" i="1"/>
  <c r="I7808" i="1"/>
  <c r="G7807" i="1"/>
  <c r="O7807" i="1" s="1"/>
  <c r="Q7807" i="1" s="1"/>
  <c r="M7807" i="1"/>
  <c r="I3816" i="1"/>
  <c r="G3815" i="1"/>
  <c r="O3815" i="1" s="1"/>
  <c r="Q3815" i="1" s="1"/>
  <c r="M3815" i="1"/>
  <c r="G5257" i="1"/>
  <c r="O5257" i="1" s="1"/>
  <c r="Q5257" i="1" s="1"/>
  <c r="M5257" i="1"/>
  <c r="I3456" i="1"/>
  <c r="G3455" i="1"/>
  <c r="O3455" i="1" s="1"/>
  <c r="Q3455" i="1" s="1"/>
  <c r="M3455" i="1"/>
  <c r="M4297" i="1"/>
  <c r="G4297" i="1"/>
  <c r="O4297" i="1" s="1"/>
  <c r="Q4297" i="1" s="1"/>
  <c r="I8408" i="1"/>
  <c r="M8407" i="1"/>
  <c r="G8407" i="1"/>
  <c r="O8407" i="1" s="1"/>
  <c r="Q8407" i="1" s="1"/>
  <c r="Q3934" i="1"/>
  <c r="I5259" i="1"/>
  <c r="M5258" i="1"/>
  <c r="G5258" i="1"/>
  <c r="O5258" i="1" s="1"/>
  <c r="Q5258" i="1" s="1"/>
  <c r="Q5376" i="1"/>
  <c r="M8526" i="1"/>
  <c r="G8526" i="1"/>
  <c r="O8526" i="1" s="1"/>
  <c r="Q8526" i="1" s="1"/>
  <c r="M4417" i="1"/>
  <c r="G4417" i="1"/>
  <c r="O4417" i="1" s="1"/>
  <c r="Q4417" i="1" s="1"/>
  <c r="M308" i="1"/>
  <c r="I7568" i="1"/>
  <c r="G7567" i="1"/>
  <c r="O7567" i="1" s="1"/>
  <c r="Q7567" i="1" s="1"/>
  <c r="M7567" i="1"/>
  <c r="M4177" i="1"/>
  <c r="G4177" i="1"/>
  <c r="O4177" i="1" s="1"/>
  <c r="Q4177" i="1" s="1"/>
  <c r="G5377" i="1"/>
  <c r="O5377" i="1" s="1"/>
  <c r="Q5377" i="1" s="1"/>
  <c r="M5377" i="1"/>
  <c r="I8528" i="1"/>
  <c r="M8527" i="1"/>
  <c r="G8527" i="1"/>
  <c r="O8527" i="1" s="1"/>
  <c r="Q8527" i="1" s="1"/>
  <c r="M8286" i="1"/>
  <c r="G8286" i="1"/>
  <c r="O8286" i="1" s="1"/>
  <c r="Q8286" i="1" s="1"/>
  <c r="M8406" i="1"/>
  <c r="G8406" i="1"/>
  <c r="O8406" i="1" s="1"/>
  <c r="Q8406" i="1" s="1"/>
  <c r="I4419" i="1"/>
  <c r="M4418" i="1"/>
  <c r="G4418" i="1"/>
  <c r="O4418" i="1" s="1"/>
  <c r="Q4418" i="1" s="1"/>
  <c r="G7566" i="1"/>
  <c r="O7566" i="1" s="1"/>
  <c r="Q7566" i="1" s="1"/>
  <c r="M7566" i="1"/>
  <c r="I8648" i="1"/>
  <c r="G8647" i="1"/>
  <c r="O8647" i="1" s="1"/>
  <c r="Q8647" i="1" s="1"/>
  <c r="M8647" i="1"/>
  <c r="I3936" i="1"/>
  <c r="M3935" i="1"/>
  <c r="G3935" i="1"/>
  <c r="O3935" i="1" s="1"/>
  <c r="Q3935" i="1" s="1"/>
  <c r="I4179" i="1"/>
  <c r="G4178" i="1"/>
  <c r="O4178" i="1" s="1"/>
  <c r="Q4178" i="1" s="1"/>
  <c r="M4178" i="1"/>
  <c r="I5139" i="1"/>
  <c r="G5138" i="1"/>
  <c r="O5138" i="1" s="1"/>
  <c r="Q5138" i="1" s="1"/>
  <c r="M5138" i="1"/>
  <c r="I5379" i="1"/>
  <c r="G5378" i="1"/>
  <c r="O5378" i="1" s="1"/>
  <c r="Q5378" i="1" s="1"/>
  <c r="M5378" i="1"/>
  <c r="I8169" i="1"/>
  <c r="M8168" i="1"/>
  <c r="G8168" i="1"/>
  <c r="O8168" i="1" s="1"/>
  <c r="Q8168" i="1" s="1"/>
  <c r="I8288" i="1"/>
  <c r="M8287" i="1"/>
  <c r="G8287" i="1"/>
  <c r="O8287" i="1" s="1"/>
  <c r="Q8287" i="1" s="1"/>
  <c r="Q5016" i="1"/>
  <c r="M8646" i="1"/>
  <c r="G8646" i="1"/>
  <c r="O8646" i="1" s="1"/>
  <c r="Q8646" i="1" s="1"/>
  <c r="M4657" i="1"/>
  <c r="G4657" i="1"/>
  <c r="O4657" i="1" s="1"/>
  <c r="Q4657" i="1" s="1"/>
  <c r="G7445" i="1"/>
  <c r="O7445" i="1" s="1"/>
  <c r="M7445" i="1"/>
  <c r="I7447" i="1"/>
  <c r="I7446" i="1"/>
  <c r="M7204" i="1"/>
  <c r="I7205" i="1"/>
  <c r="G7204" i="1"/>
  <c r="O7204" i="1" s="1"/>
  <c r="Q7204" i="1" s="1"/>
  <c r="M5137" i="1"/>
  <c r="G5137" i="1"/>
  <c r="O5137" i="1" s="1"/>
  <c r="Q5137" i="1" s="1"/>
  <c r="I7325" i="1"/>
  <c r="G7324" i="1"/>
  <c r="O7324" i="1" s="1"/>
  <c r="Q7324" i="1" s="1"/>
  <c r="M7324" i="1"/>
  <c r="Q1030" i="1"/>
  <c r="Q1746" i="1"/>
  <c r="Q308" i="1"/>
  <c r="Q430" i="1"/>
  <c r="Q429" i="1"/>
  <c r="Q1028" i="1"/>
  <c r="Q186" i="1"/>
  <c r="Q1509" i="1"/>
  <c r="I309" i="1"/>
  <c r="G309" i="1" s="1"/>
  <c r="O309" i="1" s="1"/>
  <c r="Q309" i="1" s="1"/>
  <c r="I310" i="1"/>
  <c r="G310" i="1" s="1"/>
  <c r="O310" i="1" s="1"/>
  <c r="Q310" i="1" s="1"/>
  <c r="G907" i="1"/>
  <c r="O907" i="1" s="1"/>
  <c r="Q907" i="1" s="1"/>
  <c r="M907" i="1"/>
  <c r="M1867" i="1"/>
  <c r="G1868" i="1"/>
  <c r="O1867" i="1"/>
  <c r="Q1867" i="1" s="1"/>
  <c r="G1748" i="1"/>
  <c r="M1747" i="1"/>
  <c r="O1747" i="1"/>
  <c r="Q1747" i="1" s="1"/>
  <c r="G1628" i="1"/>
  <c r="M1627" i="1"/>
  <c r="O1627" i="1"/>
  <c r="Q1627" i="1" s="1"/>
  <c r="M1387" i="1"/>
  <c r="O1387" i="1"/>
  <c r="G1388" i="1"/>
  <c r="O1267" i="1"/>
  <c r="Q1267" i="1" s="1"/>
  <c r="M1267" i="1"/>
  <c r="G1268" i="1"/>
  <c r="M667" i="1"/>
  <c r="I668" i="1"/>
  <c r="G668" i="1" s="1"/>
  <c r="O667" i="1"/>
  <c r="Q667" i="1" s="1"/>
  <c r="O187" i="1"/>
  <c r="Q187" i="1" s="1"/>
  <c r="G188" i="1"/>
  <c r="M187" i="1"/>
  <c r="I550" i="1"/>
  <c r="I549" i="1"/>
  <c r="O548" i="1"/>
  <c r="Q548" i="1" s="1"/>
  <c r="M548" i="1"/>
  <c r="M787" i="1"/>
  <c r="I788" i="1"/>
  <c r="G788" i="1" s="1"/>
  <c r="O787" i="1"/>
  <c r="Q787" i="1" s="1"/>
  <c r="K69" i="1"/>
  <c r="K70" i="1"/>
  <c r="O68" i="1"/>
  <c r="Q68" i="1" s="1"/>
  <c r="M68" i="1"/>
  <c r="I72" i="1"/>
  <c r="M1149" i="1"/>
  <c r="M429" i="1"/>
  <c r="G1511" i="1"/>
  <c r="M1510" i="1"/>
  <c r="M310" i="1"/>
  <c r="M1990" i="1"/>
  <c r="G1991" i="1"/>
  <c r="G1151" i="1"/>
  <c r="M1150" i="1"/>
  <c r="M1509" i="1"/>
  <c r="M1989" i="1"/>
  <c r="G1031" i="1"/>
  <c r="M1030" i="1"/>
  <c r="I431" i="1"/>
  <c r="G431" i="1" s="1"/>
  <c r="M430" i="1"/>
  <c r="M1029" i="1"/>
  <c r="K599" i="1"/>
  <c r="I7448" i="1" l="1"/>
  <c r="G7447" i="1"/>
  <c r="O7447" i="1" s="1"/>
  <c r="Q7447" i="1" s="1"/>
  <c r="M7447" i="1"/>
  <c r="Q7445" i="1"/>
  <c r="I4300" i="1"/>
  <c r="G4299" i="1"/>
  <c r="O4299" i="1" s="1"/>
  <c r="Q4299" i="1" s="1"/>
  <c r="M4299" i="1"/>
  <c r="I4781" i="1"/>
  <c r="G4780" i="1"/>
  <c r="O4780" i="1" s="1"/>
  <c r="Q4780" i="1" s="1"/>
  <c r="M4780" i="1"/>
  <c r="I4900" i="1"/>
  <c r="M4899" i="1"/>
  <c r="G4899" i="1"/>
  <c r="O4899" i="1" s="1"/>
  <c r="Q4899" i="1" s="1"/>
  <c r="I5380" i="1"/>
  <c r="M5379" i="1"/>
  <c r="G5379" i="1"/>
  <c r="O5379" i="1" s="1"/>
  <c r="Q5379" i="1" s="1"/>
  <c r="I3458" i="1"/>
  <c r="I3457" i="1"/>
  <c r="G3456" i="1"/>
  <c r="O3456" i="1" s="1"/>
  <c r="Q3456" i="1" s="1"/>
  <c r="M3456" i="1"/>
  <c r="I7809" i="1"/>
  <c r="G7808" i="1"/>
  <c r="O7808" i="1" s="1"/>
  <c r="Q7808" i="1" s="1"/>
  <c r="M7808" i="1"/>
  <c r="I4540" i="1"/>
  <c r="M4539" i="1"/>
  <c r="G4539" i="1"/>
  <c r="O4539" i="1" s="1"/>
  <c r="Q4539" i="1" s="1"/>
  <c r="I3579" i="1"/>
  <c r="G3578" i="1"/>
  <c r="O3578" i="1" s="1"/>
  <c r="Q3578" i="1" s="1"/>
  <c r="M3578" i="1"/>
  <c r="I7207" i="1"/>
  <c r="I7206" i="1"/>
  <c r="M7205" i="1"/>
  <c r="G7205" i="1"/>
  <c r="O7205" i="1" s="1"/>
  <c r="Q7205" i="1" s="1"/>
  <c r="I8289" i="1"/>
  <c r="G8288" i="1"/>
  <c r="O8288" i="1" s="1"/>
  <c r="Q8288" i="1" s="1"/>
  <c r="M8288" i="1"/>
  <c r="I8529" i="1"/>
  <c r="M8528" i="1"/>
  <c r="G8528" i="1"/>
  <c r="O8528" i="1" s="1"/>
  <c r="Q8528" i="1" s="1"/>
  <c r="M7085" i="1"/>
  <c r="I7086" i="1"/>
  <c r="I7087" i="1"/>
  <c r="G7085" i="1"/>
  <c r="O7085" i="1" s="1"/>
  <c r="Q7085" i="1" s="1"/>
  <c r="M4057" i="1"/>
  <c r="G4057" i="1"/>
  <c r="O4057" i="1" s="1"/>
  <c r="Q4057" i="1" s="1"/>
  <c r="I7689" i="1"/>
  <c r="G7688" i="1"/>
  <c r="O7688" i="1" s="1"/>
  <c r="Q7688" i="1" s="1"/>
  <c r="M7688" i="1"/>
  <c r="I3938" i="1"/>
  <c r="I3937" i="1"/>
  <c r="M3936" i="1"/>
  <c r="G3936" i="1"/>
  <c r="O3936" i="1" s="1"/>
  <c r="Q3936" i="1" s="1"/>
  <c r="I7569" i="1"/>
  <c r="G7568" i="1"/>
  <c r="O7568" i="1" s="1"/>
  <c r="Q7568" i="1" s="1"/>
  <c r="M7568" i="1"/>
  <c r="I5140" i="1"/>
  <c r="M5139" i="1"/>
  <c r="G5139" i="1"/>
  <c r="O5139" i="1" s="1"/>
  <c r="Q5139" i="1" s="1"/>
  <c r="I4420" i="1"/>
  <c r="M4419" i="1"/>
  <c r="G4419" i="1"/>
  <c r="O4419" i="1" s="1"/>
  <c r="Q4419" i="1" s="1"/>
  <c r="I4059" i="1"/>
  <c r="M4058" i="1"/>
  <c r="G4058" i="1"/>
  <c r="O4058" i="1" s="1"/>
  <c r="Q4058" i="1" s="1"/>
  <c r="Q6844" i="1"/>
  <c r="I5020" i="1"/>
  <c r="M5019" i="1"/>
  <c r="G5019" i="1"/>
  <c r="O5019" i="1" s="1"/>
  <c r="Q5019" i="1" s="1"/>
  <c r="I6968" i="1"/>
  <c r="M6967" i="1"/>
  <c r="G6967" i="1"/>
  <c r="O6967" i="1" s="1"/>
  <c r="Q6967" i="1" s="1"/>
  <c r="G7446" i="1"/>
  <c r="O7446" i="1" s="1"/>
  <c r="Q7446" i="1" s="1"/>
  <c r="M7446" i="1"/>
  <c r="I8649" i="1"/>
  <c r="M8648" i="1"/>
  <c r="G8648" i="1"/>
  <c r="O8648" i="1" s="1"/>
  <c r="Q8648" i="1" s="1"/>
  <c r="I8409" i="1"/>
  <c r="M8408" i="1"/>
  <c r="G8408" i="1"/>
  <c r="O8408" i="1" s="1"/>
  <c r="Q8408" i="1" s="1"/>
  <c r="I8769" i="1"/>
  <c r="G8768" i="1"/>
  <c r="O8768" i="1" s="1"/>
  <c r="Q8768" i="1" s="1"/>
  <c r="M8768" i="1"/>
  <c r="I7929" i="1"/>
  <c r="G7928" i="1"/>
  <c r="O7928" i="1" s="1"/>
  <c r="Q7928" i="1" s="1"/>
  <c r="M7928" i="1"/>
  <c r="I6846" i="1"/>
  <c r="G6845" i="1"/>
  <c r="O6845" i="1" s="1"/>
  <c r="Q6845" i="1" s="1"/>
  <c r="M6845" i="1"/>
  <c r="I6847" i="1"/>
  <c r="I8170" i="1"/>
  <c r="M8169" i="1"/>
  <c r="G8169" i="1"/>
  <c r="O8169" i="1" s="1"/>
  <c r="Q8169" i="1" s="1"/>
  <c r="I3698" i="1"/>
  <c r="I3697" i="1"/>
  <c r="M3696" i="1"/>
  <c r="G3696" i="1"/>
  <c r="O3696" i="1" s="1"/>
  <c r="Q3696" i="1" s="1"/>
  <c r="I7327" i="1"/>
  <c r="I7326" i="1"/>
  <c r="G7325" i="1"/>
  <c r="O7325" i="1" s="1"/>
  <c r="Q7325" i="1" s="1"/>
  <c r="M7325" i="1"/>
  <c r="I4180" i="1"/>
  <c r="G4179" i="1"/>
  <c r="O4179" i="1" s="1"/>
  <c r="Q4179" i="1" s="1"/>
  <c r="M4179" i="1"/>
  <c r="I5260" i="1"/>
  <c r="G5259" i="1"/>
  <c r="O5259" i="1" s="1"/>
  <c r="Q5259" i="1" s="1"/>
  <c r="M5259" i="1"/>
  <c r="I3817" i="1"/>
  <c r="I3818" i="1"/>
  <c r="G3816" i="1"/>
  <c r="O3816" i="1" s="1"/>
  <c r="Q3816" i="1" s="1"/>
  <c r="M3816" i="1"/>
  <c r="I8049" i="1"/>
  <c r="M8048" i="1"/>
  <c r="G8048" i="1"/>
  <c r="O8048" i="1" s="1"/>
  <c r="Q8048" i="1" s="1"/>
  <c r="I4660" i="1"/>
  <c r="G4659" i="1"/>
  <c r="O4659" i="1" s="1"/>
  <c r="Q4659" i="1" s="1"/>
  <c r="M4659" i="1"/>
  <c r="Q1387" i="1"/>
  <c r="M309" i="1"/>
  <c r="I311" i="1"/>
  <c r="G311" i="1" s="1"/>
  <c r="O311" i="1" s="1"/>
  <c r="Q311" i="1" s="1"/>
  <c r="G908" i="1"/>
  <c r="O908" i="1" s="1"/>
  <c r="Q908" i="1" s="1"/>
  <c r="M908" i="1"/>
  <c r="M1868" i="1"/>
  <c r="O1868" i="1"/>
  <c r="Q1868" i="1" s="1"/>
  <c r="O1628" i="1"/>
  <c r="Q1628" i="1" s="1"/>
  <c r="M1628" i="1"/>
  <c r="O1388" i="1"/>
  <c r="Q1388" i="1" s="1"/>
  <c r="M1388" i="1"/>
  <c r="M1748" i="1"/>
  <c r="O1748" i="1"/>
  <c r="O1268" i="1"/>
  <c r="Q1268" i="1" s="1"/>
  <c r="M1268" i="1"/>
  <c r="O668" i="1"/>
  <c r="Q668" i="1" s="1"/>
  <c r="I670" i="1"/>
  <c r="I669" i="1"/>
  <c r="M668" i="1"/>
  <c r="G550" i="1"/>
  <c r="O550" i="1" s="1"/>
  <c r="Q550" i="1" s="1"/>
  <c r="M550" i="1"/>
  <c r="I551" i="1"/>
  <c r="O188" i="1"/>
  <c r="Q188" i="1" s="1"/>
  <c r="M188" i="1"/>
  <c r="O788" i="1"/>
  <c r="Q788" i="1" s="1"/>
  <c r="M788" i="1"/>
  <c r="I790" i="1"/>
  <c r="I789" i="1"/>
  <c r="G549" i="1"/>
  <c r="O549" i="1" s="1"/>
  <c r="M549" i="1"/>
  <c r="G70" i="1"/>
  <c r="O70" i="1" s="1"/>
  <c r="Q70" i="1" s="1"/>
  <c r="G69" i="1"/>
  <c r="O69" i="1" s="1"/>
  <c r="Q69" i="1" s="1"/>
  <c r="K71" i="1"/>
  <c r="G71" i="1" s="1"/>
  <c r="M70" i="1"/>
  <c r="M69" i="1"/>
  <c r="M1031" i="1"/>
  <c r="G1032" i="1"/>
  <c r="O1031" i="1"/>
  <c r="Q1031" i="1" s="1"/>
  <c r="I73" i="1"/>
  <c r="M1991" i="1"/>
  <c r="G1992" i="1"/>
  <c r="O1991" i="1"/>
  <c r="Q1991" i="1" s="1"/>
  <c r="M311" i="1"/>
  <c r="M1511" i="1"/>
  <c r="G1512" i="1"/>
  <c r="O1511" i="1"/>
  <c r="M431" i="1"/>
  <c r="O431" i="1"/>
  <c r="I432" i="1"/>
  <c r="G432" i="1" s="1"/>
  <c r="M1151" i="1"/>
  <c r="O1151" i="1"/>
  <c r="Q1151" i="1" s="1"/>
  <c r="G1152" i="1"/>
  <c r="K600" i="1"/>
  <c r="I8410" i="1" l="1"/>
  <c r="M8409" i="1"/>
  <c r="G8409" i="1"/>
  <c r="O8409" i="1" s="1"/>
  <c r="Q8409" i="1" s="1"/>
  <c r="I4060" i="1"/>
  <c r="G4059" i="1"/>
  <c r="O4059" i="1" s="1"/>
  <c r="Q4059" i="1" s="1"/>
  <c r="M4059" i="1"/>
  <c r="I5261" i="1"/>
  <c r="M5260" i="1"/>
  <c r="G5260" i="1"/>
  <c r="O5260" i="1" s="1"/>
  <c r="Q5260" i="1" s="1"/>
  <c r="M7326" i="1"/>
  <c r="G7326" i="1"/>
  <c r="O7326" i="1" s="1"/>
  <c r="Q7326" i="1" s="1"/>
  <c r="I8171" i="1"/>
  <c r="G8170" i="1"/>
  <c r="O8170" i="1" s="1"/>
  <c r="Q8170" i="1" s="1"/>
  <c r="M8170" i="1"/>
  <c r="I7690" i="1"/>
  <c r="G7689" i="1"/>
  <c r="O7689" i="1" s="1"/>
  <c r="Q7689" i="1" s="1"/>
  <c r="M7689" i="1"/>
  <c r="I4541" i="1"/>
  <c r="M4540" i="1"/>
  <c r="G4540" i="1"/>
  <c r="O4540" i="1" s="1"/>
  <c r="Q4540" i="1" s="1"/>
  <c r="I312" i="1"/>
  <c r="G312" i="1" s="1"/>
  <c r="O312" i="1" s="1"/>
  <c r="Q312" i="1" s="1"/>
  <c r="I7328" i="1"/>
  <c r="G7327" i="1"/>
  <c r="O7327" i="1" s="1"/>
  <c r="Q7327" i="1" s="1"/>
  <c r="M7327" i="1"/>
  <c r="I7930" i="1"/>
  <c r="M7929" i="1"/>
  <c r="G7929" i="1"/>
  <c r="O7929" i="1" s="1"/>
  <c r="Q7929" i="1" s="1"/>
  <c r="I7570" i="1"/>
  <c r="M7569" i="1"/>
  <c r="G7569" i="1"/>
  <c r="O7569" i="1" s="1"/>
  <c r="Q7569" i="1" s="1"/>
  <c r="I8530" i="1"/>
  <c r="G8529" i="1"/>
  <c r="O8529" i="1" s="1"/>
  <c r="Q8529" i="1" s="1"/>
  <c r="M8529" i="1"/>
  <c r="G7206" i="1"/>
  <c r="O7206" i="1" s="1"/>
  <c r="Q7206" i="1" s="1"/>
  <c r="M7206" i="1"/>
  <c r="I8650" i="1"/>
  <c r="G8649" i="1"/>
  <c r="O8649" i="1" s="1"/>
  <c r="Q8649" i="1" s="1"/>
  <c r="M8649" i="1"/>
  <c r="I5021" i="1"/>
  <c r="G5020" i="1"/>
  <c r="O5020" i="1" s="1"/>
  <c r="Q5020" i="1" s="1"/>
  <c r="M5020" i="1"/>
  <c r="I7208" i="1"/>
  <c r="G7207" i="1"/>
  <c r="O7207" i="1" s="1"/>
  <c r="Q7207" i="1" s="1"/>
  <c r="M7207" i="1"/>
  <c r="I5381" i="1"/>
  <c r="G5380" i="1"/>
  <c r="O5380" i="1" s="1"/>
  <c r="Q5380" i="1" s="1"/>
  <c r="M5380" i="1"/>
  <c r="I7810" i="1"/>
  <c r="G7809" i="1"/>
  <c r="O7809" i="1" s="1"/>
  <c r="Q7809" i="1" s="1"/>
  <c r="M7809" i="1"/>
  <c r="I4301" i="1"/>
  <c r="M4300" i="1"/>
  <c r="G4300" i="1"/>
  <c r="O4300" i="1" s="1"/>
  <c r="Q4300" i="1" s="1"/>
  <c r="G3697" i="1"/>
  <c r="O3697" i="1" s="1"/>
  <c r="Q3697" i="1" s="1"/>
  <c r="M3697" i="1"/>
  <c r="I6848" i="1"/>
  <c r="M6847" i="1"/>
  <c r="G6847" i="1"/>
  <c r="O6847" i="1" s="1"/>
  <c r="Q6847" i="1" s="1"/>
  <c r="I4421" i="1"/>
  <c r="G4420" i="1"/>
  <c r="O4420" i="1" s="1"/>
  <c r="Q4420" i="1" s="1"/>
  <c r="M4420" i="1"/>
  <c r="I4661" i="1"/>
  <c r="M4660" i="1"/>
  <c r="G4660" i="1"/>
  <c r="O4660" i="1" s="1"/>
  <c r="Q4660" i="1" s="1"/>
  <c r="I3819" i="1"/>
  <c r="G3818" i="1"/>
  <c r="O3818" i="1" s="1"/>
  <c r="Q3818" i="1" s="1"/>
  <c r="M3818" i="1"/>
  <c r="I8770" i="1"/>
  <c r="M8769" i="1"/>
  <c r="G8769" i="1"/>
  <c r="O8769" i="1" s="1"/>
  <c r="Q8769" i="1" s="1"/>
  <c r="M3937" i="1"/>
  <c r="G3937" i="1"/>
  <c r="O3937" i="1" s="1"/>
  <c r="Q3937" i="1" s="1"/>
  <c r="I7088" i="1"/>
  <c r="G7087" i="1"/>
  <c r="O7087" i="1" s="1"/>
  <c r="Q7087" i="1" s="1"/>
  <c r="M7087" i="1"/>
  <c r="I8290" i="1"/>
  <c r="G8289" i="1"/>
  <c r="O8289" i="1" s="1"/>
  <c r="Q8289" i="1" s="1"/>
  <c r="M8289" i="1"/>
  <c r="M3817" i="1"/>
  <c r="G3817" i="1"/>
  <c r="O3817" i="1" s="1"/>
  <c r="Q3817" i="1" s="1"/>
  <c r="I4181" i="1"/>
  <c r="G4180" i="1"/>
  <c r="O4180" i="1" s="1"/>
  <c r="Q4180" i="1" s="1"/>
  <c r="M4180" i="1"/>
  <c r="I3699" i="1"/>
  <c r="M3698" i="1"/>
  <c r="G3698" i="1"/>
  <c r="O3698" i="1" s="1"/>
  <c r="Q3698" i="1" s="1"/>
  <c r="I3939" i="1"/>
  <c r="M3938" i="1"/>
  <c r="G3938" i="1"/>
  <c r="O3938" i="1" s="1"/>
  <c r="Q3938" i="1" s="1"/>
  <c r="G7086" i="1"/>
  <c r="O7086" i="1" s="1"/>
  <c r="Q7086" i="1" s="1"/>
  <c r="M7086" i="1"/>
  <c r="I3580" i="1"/>
  <c r="M3579" i="1"/>
  <c r="G3579" i="1"/>
  <c r="O3579" i="1" s="1"/>
  <c r="Q3579" i="1" s="1"/>
  <c r="I4901" i="1"/>
  <c r="M4900" i="1"/>
  <c r="G4900" i="1"/>
  <c r="O4900" i="1" s="1"/>
  <c r="Q4900" i="1" s="1"/>
  <c r="I5141" i="1"/>
  <c r="M5140" i="1"/>
  <c r="G5140" i="1"/>
  <c r="O5140" i="1" s="1"/>
  <c r="Q5140" i="1" s="1"/>
  <c r="G3457" i="1"/>
  <c r="O3457" i="1" s="1"/>
  <c r="Q3457" i="1" s="1"/>
  <c r="M3457" i="1"/>
  <c r="M6846" i="1"/>
  <c r="G6846" i="1"/>
  <c r="O6846" i="1" s="1"/>
  <c r="Q6846" i="1" s="1"/>
  <c r="I8050" i="1"/>
  <c r="G8049" i="1"/>
  <c r="O8049" i="1" s="1"/>
  <c r="Q8049" i="1" s="1"/>
  <c r="M8049" i="1"/>
  <c r="I3459" i="1"/>
  <c r="M3458" i="1"/>
  <c r="G3458" i="1"/>
  <c r="O3458" i="1" s="1"/>
  <c r="Q3458" i="1" s="1"/>
  <c r="I6969" i="1"/>
  <c r="M6968" i="1"/>
  <c r="G6968" i="1"/>
  <c r="O6968" i="1" s="1"/>
  <c r="Q6968" i="1" s="1"/>
  <c r="I4782" i="1"/>
  <c r="M4781" i="1"/>
  <c r="G4781" i="1"/>
  <c r="O4781" i="1" s="1"/>
  <c r="Q4781" i="1" s="1"/>
  <c r="I7449" i="1"/>
  <c r="G7448" i="1"/>
  <c r="O7448" i="1" s="1"/>
  <c r="Q7448" i="1" s="1"/>
  <c r="M7448" i="1"/>
  <c r="Q549" i="1"/>
  <c r="Q1748" i="1"/>
  <c r="Q431" i="1"/>
  <c r="Q1511" i="1"/>
  <c r="G910" i="1"/>
  <c r="O910" i="1" s="1"/>
  <c r="Q910" i="1" s="1"/>
  <c r="M910" i="1"/>
  <c r="G909" i="1"/>
  <c r="O909" i="1" s="1"/>
  <c r="Q909" i="1" s="1"/>
  <c r="M909" i="1"/>
  <c r="G1869" i="1"/>
  <c r="O1869" i="1" s="1"/>
  <c r="Q1869" i="1" s="1"/>
  <c r="M1869" i="1"/>
  <c r="G1870" i="1"/>
  <c r="O1870" i="1" s="1"/>
  <c r="Q1870" i="1" s="1"/>
  <c r="M1870" i="1"/>
  <c r="G1389" i="1"/>
  <c r="O1389" i="1" s="1"/>
  <c r="Q1389" i="1" s="1"/>
  <c r="M1389" i="1"/>
  <c r="G1750" i="1"/>
  <c r="O1750" i="1" s="1"/>
  <c r="Q1750" i="1" s="1"/>
  <c r="M1750" i="1"/>
  <c r="G1390" i="1"/>
  <c r="O1390" i="1" s="1"/>
  <c r="Q1390" i="1" s="1"/>
  <c r="M1390" i="1"/>
  <c r="G1630" i="1"/>
  <c r="O1630" i="1" s="1"/>
  <c r="M1630" i="1"/>
  <c r="G1749" i="1"/>
  <c r="O1749" i="1" s="1"/>
  <c r="Q1749" i="1" s="1"/>
  <c r="M1749" i="1"/>
  <c r="G1629" i="1"/>
  <c r="O1629" i="1" s="1"/>
  <c r="Q1629" i="1" s="1"/>
  <c r="M1629" i="1"/>
  <c r="G1270" i="1"/>
  <c r="O1270" i="1" s="1"/>
  <c r="Q1270" i="1" s="1"/>
  <c r="M1270" i="1"/>
  <c r="G1269" i="1"/>
  <c r="O1269" i="1" s="1"/>
  <c r="Q1269" i="1" s="1"/>
  <c r="M1269" i="1"/>
  <c r="G669" i="1"/>
  <c r="O669" i="1" s="1"/>
  <c r="Q669" i="1" s="1"/>
  <c r="M669" i="1"/>
  <c r="G670" i="1"/>
  <c r="O670" i="1" s="1"/>
  <c r="Q670" i="1" s="1"/>
  <c r="M670" i="1"/>
  <c r="I671" i="1"/>
  <c r="G789" i="1"/>
  <c r="O789" i="1" s="1"/>
  <c r="Q789" i="1" s="1"/>
  <c r="M789" i="1"/>
  <c r="G190" i="1"/>
  <c r="O190" i="1" s="1"/>
  <c r="Q190" i="1" s="1"/>
  <c r="M190" i="1"/>
  <c r="G551" i="1"/>
  <c r="O551" i="1" s="1"/>
  <c r="I552" i="1"/>
  <c r="M551" i="1"/>
  <c r="G790" i="1"/>
  <c r="O790" i="1" s="1"/>
  <c r="Q790" i="1" s="1"/>
  <c r="M790" i="1"/>
  <c r="I791" i="1"/>
  <c r="G189" i="1"/>
  <c r="O189" i="1" s="1"/>
  <c r="Q189" i="1" s="1"/>
  <c r="M189" i="1"/>
  <c r="K72" i="1"/>
  <c r="G72" i="1" s="1"/>
  <c r="M71" i="1"/>
  <c r="O71" i="1"/>
  <c r="O1152" i="1"/>
  <c r="Q1152" i="1" s="1"/>
  <c r="G1153" i="1"/>
  <c r="M1152" i="1"/>
  <c r="I74" i="1"/>
  <c r="M1032" i="1"/>
  <c r="O1032" i="1"/>
  <c r="Q1032" i="1" s="1"/>
  <c r="G1033" i="1"/>
  <c r="M432" i="1"/>
  <c r="O432" i="1"/>
  <c r="Q432" i="1" s="1"/>
  <c r="I433" i="1"/>
  <c r="G433" i="1" s="1"/>
  <c r="M1512" i="1"/>
  <c r="O1512" i="1"/>
  <c r="Q1512" i="1" s="1"/>
  <c r="G1513" i="1"/>
  <c r="M1992" i="1"/>
  <c r="G1993" i="1"/>
  <c r="O1992" i="1"/>
  <c r="Q1992" i="1" s="1"/>
  <c r="K601" i="1"/>
  <c r="K603" i="1" s="1"/>
  <c r="K605" i="1" s="1"/>
  <c r="M312" i="1" l="1"/>
  <c r="I313" i="1"/>
  <c r="G313" i="1" s="1"/>
  <c r="O313" i="1" s="1"/>
  <c r="Q313" i="1" s="1"/>
  <c r="I3581" i="1"/>
  <c r="M3580" i="1"/>
  <c r="G3580" i="1"/>
  <c r="O3580" i="1" s="1"/>
  <c r="Q3580" i="1" s="1"/>
  <c r="I8771" i="1"/>
  <c r="G8770" i="1"/>
  <c r="O8770" i="1" s="1"/>
  <c r="Q8770" i="1" s="1"/>
  <c r="M8770" i="1"/>
  <c r="G8050" i="1"/>
  <c r="O8050" i="1" s="1"/>
  <c r="Q8050" i="1" s="1"/>
  <c r="M8050" i="1"/>
  <c r="I8051" i="1"/>
  <c r="I5142" i="1"/>
  <c r="G5141" i="1"/>
  <c r="O5141" i="1" s="1"/>
  <c r="Q5141" i="1" s="1"/>
  <c r="M5141" i="1"/>
  <c r="I4182" i="1"/>
  <c r="G4181" i="1"/>
  <c r="O4181" i="1" s="1"/>
  <c r="Q4181" i="1" s="1"/>
  <c r="M4181" i="1"/>
  <c r="I5382" i="1"/>
  <c r="G5381" i="1"/>
  <c r="O5381" i="1" s="1"/>
  <c r="Q5381" i="1" s="1"/>
  <c r="M5381" i="1"/>
  <c r="I6970" i="1"/>
  <c r="G6969" i="1"/>
  <c r="O6969" i="1" s="1"/>
  <c r="Q6969" i="1" s="1"/>
  <c r="M6969" i="1"/>
  <c r="I7089" i="1"/>
  <c r="G7088" i="1"/>
  <c r="O7088" i="1" s="1"/>
  <c r="Q7088" i="1" s="1"/>
  <c r="M7088" i="1"/>
  <c r="I3820" i="1"/>
  <c r="G3819" i="1"/>
  <c r="O3819" i="1" s="1"/>
  <c r="Q3819" i="1" s="1"/>
  <c r="M3819" i="1"/>
  <c r="I8651" i="1"/>
  <c r="G8650" i="1"/>
  <c r="O8650" i="1" s="1"/>
  <c r="Q8650" i="1" s="1"/>
  <c r="M8650" i="1"/>
  <c r="I7571" i="1"/>
  <c r="G7570" i="1"/>
  <c r="O7570" i="1" s="1"/>
  <c r="Q7570" i="1" s="1"/>
  <c r="M7570" i="1"/>
  <c r="I6849" i="1"/>
  <c r="M6848" i="1"/>
  <c r="G6848" i="1"/>
  <c r="O6848" i="1" s="1"/>
  <c r="Q6848" i="1" s="1"/>
  <c r="I4302" i="1"/>
  <c r="M4301" i="1"/>
  <c r="G4301" i="1"/>
  <c r="O4301" i="1" s="1"/>
  <c r="Q4301" i="1" s="1"/>
  <c r="I8172" i="1"/>
  <c r="G8171" i="1"/>
  <c r="O8171" i="1" s="1"/>
  <c r="Q8171" i="1" s="1"/>
  <c r="M8171" i="1"/>
  <c r="I3940" i="1"/>
  <c r="M3939" i="1"/>
  <c r="G3939" i="1"/>
  <c r="O3939" i="1" s="1"/>
  <c r="Q3939" i="1" s="1"/>
  <c r="I4902" i="1"/>
  <c r="M4901" i="1"/>
  <c r="G4901" i="1"/>
  <c r="O4901" i="1" s="1"/>
  <c r="Q4901" i="1" s="1"/>
  <c r="I7450" i="1"/>
  <c r="G7449" i="1"/>
  <c r="O7449" i="1" s="1"/>
  <c r="Q7449" i="1" s="1"/>
  <c r="M7449" i="1"/>
  <c r="I7209" i="1"/>
  <c r="G7208" i="1"/>
  <c r="O7208" i="1" s="1"/>
  <c r="Q7208" i="1" s="1"/>
  <c r="M7208" i="1"/>
  <c r="I3460" i="1"/>
  <c r="G3459" i="1"/>
  <c r="O3459" i="1" s="1"/>
  <c r="Q3459" i="1" s="1"/>
  <c r="M3459" i="1"/>
  <c r="I4662" i="1"/>
  <c r="G4661" i="1"/>
  <c r="O4661" i="1" s="1"/>
  <c r="Q4661" i="1" s="1"/>
  <c r="M4661" i="1"/>
  <c r="I7931" i="1"/>
  <c r="M7930" i="1"/>
  <c r="G7930" i="1"/>
  <c r="O7930" i="1" s="1"/>
  <c r="Q7930" i="1" s="1"/>
  <c r="I4542" i="1"/>
  <c r="G4541" i="1"/>
  <c r="O4541" i="1" s="1"/>
  <c r="Q4541" i="1" s="1"/>
  <c r="M4541" i="1"/>
  <c r="I4061" i="1"/>
  <c r="G4060" i="1"/>
  <c r="O4060" i="1" s="1"/>
  <c r="Q4060" i="1" s="1"/>
  <c r="M4060" i="1"/>
  <c r="M7810" i="1"/>
  <c r="G7810" i="1"/>
  <c r="O7810" i="1" s="1"/>
  <c r="Q7810" i="1" s="1"/>
  <c r="I7811" i="1"/>
  <c r="G8290" i="1"/>
  <c r="O8290" i="1" s="1"/>
  <c r="Q8290" i="1" s="1"/>
  <c r="I8291" i="1"/>
  <c r="M8290" i="1"/>
  <c r="I5022" i="1"/>
  <c r="M5021" i="1"/>
  <c r="G5021" i="1"/>
  <c r="O5021" i="1" s="1"/>
  <c r="Q5021" i="1" s="1"/>
  <c r="I8531" i="1"/>
  <c r="M8530" i="1"/>
  <c r="G8530" i="1"/>
  <c r="O8530" i="1" s="1"/>
  <c r="Q8530" i="1" s="1"/>
  <c r="I3700" i="1"/>
  <c r="M3699" i="1"/>
  <c r="G3699" i="1"/>
  <c r="O3699" i="1" s="1"/>
  <c r="Q3699" i="1" s="1"/>
  <c r="I4783" i="1"/>
  <c r="G4782" i="1"/>
  <c r="O4782" i="1" s="1"/>
  <c r="Q4782" i="1" s="1"/>
  <c r="M4782" i="1"/>
  <c r="I4422" i="1"/>
  <c r="M4421" i="1"/>
  <c r="G4421" i="1"/>
  <c r="O4421" i="1" s="1"/>
  <c r="Q4421" i="1" s="1"/>
  <c r="I7329" i="1"/>
  <c r="G7328" i="1"/>
  <c r="O7328" i="1" s="1"/>
  <c r="Q7328" i="1" s="1"/>
  <c r="M7328" i="1"/>
  <c r="I7691" i="1"/>
  <c r="M7690" i="1"/>
  <c r="G7690" i="1"/>
  <c r="O7690" i="1" s="1"/>
  <c r="Q7690" i="1" s="1"/>
  <c r="I5262" i="1"/>
  <c r="G5261" i="1"/>
  <c r="O5261" i="1" s="1"/>
  <c r="Q5261" i="1" s="1"/>
  <c r="M5261" i="1"/>
  <c r="G8410" i="1"/>
  <c r="O8410" i="1" s="1"/>
  <c r="Q8410" i="1" s="1"/>
  <c r="M8410" i="1"/>
  <c r="I8411" i="1"/>
  <c r="Q1630" i="1"/>
  <c r="Q71" i="1"/>
  <c r="Q551" i="1"/>
  <c r="G911" i="1"/>
  <c r="O911" i="1" s="1"/>
  <c r="Q911" i="1" s="1"/>
  <c r="M911" i="1"/>
  <c r="G1871" i="1"/>
  <c r="O1871" i="1" s="1"/>
  <c r="Q1871" i="1" s="1"/>
  <c r="M1871" i="1"/>
  <c r="G1391" i="1"/>
  <c r="O1391" i="1" s="1"/>
  <c r="Q1391" i="1" s="1"/>
  <c r="M1391" i="1"/>
  <c r="G1751" i="1"/>
  <c r="O1751" i="1" s="1"/>
  <c r="M1751" i="1"/>
  <c r="G1631" i="1"/>
  <c r="O1631" i="1" s="1"/>
  <c r="M1631" i="1"/>
  <c r="G1271" i="1"/>
  <c r="O1271" i="1" s="1"/>
  <c r="Q1271" i="1" s="1"/>
  <c r="M1271" i="1"/>
  <c r="G671" i="1"/>
  <c r="O671" i="1" s="1"/>
  <c r="Q671" i="1" s="1"/>
  <c r="M671" i="1"/>
  <c r="I672" i="1"/>
  <c r="G791" i="1"/>
  <c r="O791" i="1" s="1"/>
  <c r="Q791" i="1" s="1"/>
  <c r="I792" i="1"/>
  <c r="M791" i="1"/>
  <c r="G552" i="1"/>
  <c r="O552" i="1" s="1"/>
  <c r="Q552" i="1" s="1"/>
  <c r="M552" i="1"/>
  <c r="I553" i="1"/>
  <c r="G191" i="1"/>
  <c r="O191" i="1" s="1"/>
  <c r="Q191" i="1" s="1"/>
  <c r="M191" i="1"/>
  <c r="K73" i="1"/>
  <c r="G73" i="1" s="1"/>
  <c r="M72" i="1"/>
  <c r="O72" i="1"/>
  <c r="Q72" i="1" s="1"/>
  <c r="G1994" i="1"/>
  <c r="O1993" i="1"/>
  <c r="Q1993" i="1" s="1"/>
  <c r="M1993" i="1"/>
  <c r="O1513" i="1"/>
  <c r="Q1513" i="1" s="1"/>
  <c r="G1514" i="1"/>
  <c r="M1513" i="1"/>
  <c r="M313" i="1"/>
  <c r="I434" i="1"/>
  <c r="O433" i="1"/>
  <c r="Q433" i="1" s="1"/>
  <c r="M433" i="1"/>
  <c r="G1034" i="1"/>
  <c r="M1033" i="1"/>
  <c r="O1033" i="1"/>
  <c r="Q1033" i="1" s="1"/>
  <c r="I75" i="1"/>
  <c r="G1154" i="1"/>
  <c r="O1153" i="1"/>
  <c r="Q1153" i="1" s="1"/>
  <c r="M1153" i="1"/>
  <c r="I314" i="1" l="1"/>
  <c r="G314" i="1" s="1"/>
  <c r="O314" i="1" s="1"/>
  <c r="Q314" i="1" s="1"/>
  <c r="I4062" i="1"/>
  <c r="M4061" i="1"/>
  <c r="G4061" i="1"/>
  <c r="O4061" i="1" s="1"/>
  <c r="Q4061" i="1" s="1"/>
  <c r="I3701" i="1"/>
  <c r="G3700" i="1"/>
  <c r="O3700" i="1" s="1"/>
  <c r="Q3700" i="1" s="1"/>
  <c r="M3700" i="1"/>
  <c r="I4663" i="1"/>
  <c r="G4662" i="1"/>
  <c r="O4662" i="1" s="1"/>
  <c r="Q4662" i="1" s="1"/>
  <c r="M4662" i="1"/>
  <c r="I4423" i="1"/>
  <c r="M4422" i="1"/>
  <c r="G4422" i="1"/>
  <c r="O4422" i="1" s="1"/>
  <c r="Q4422" i="1" s="1"/>
  <c r="I7812" i="1"/>
  <c r="G7811" i="1"/>
  <c r="O7811" i="1" s="1"/>
  <c r="Q7811" i="1" s="1"/>
  <c r="M7811" i="1"/>
  <c r="I4543" i="1"/>
  <c r="G4542" i="1"/>
  <c r="O4542" i="1" s="1"/>
  <c r="Q4542" i="1" s="1"/>
  <c r="M4542" i="1"/>
  <c r="G7450" i="1"/>
  <c r="O7450" i="1" s="1"/>
  <c r="Q7450" i="1" s="1"/>
  <c r="M7450" i="1"/>
  <c r="I7451" i="1"/>
  <c r="I3941" i="1"/>
  <c r="M3940" i="1"/>
  <c r="G3940" i="1"/>
  <c r="O3940" i="1" s="1"/>
  <c r="Q3940" i="1" s="1"/>
  <c r="I8652" i="1"/>
  <c r="M8651" i="1"/>
  <c r="G8651" i="1"/>
  <c r="O8651" i="1" s="1"/>
  <c r="Q8651" i="1" s="1"/>
  <c r="I6850" i="1"/>
  <c r="M6849" i="1"/>
  <c r="G6849" i="1"/>
  <c r="O6849" i="1" s="1"/>
  <c r="Q6849" i="1" s="1"/>
  <c r="I6971" i="1"/>
  <c r="G6970" i="1"/>
  <c r="O6970" i="1" s="1"/>
  <c r="Q6970" i="1" s="1"/>
  <c r="M6970" i="1"/>
  <c r="I4183" i="1"/>
  <c r="M4182" i="1"/>
  <c r="G4182" i="1"/>
  <c r="O4182" i="1" s="1"/>
  <c r="Q4182" i="1" s="1"/>
  <c r="G8531" i="1"/>
  <c r="O8531" i="1" s="1"/>
  <c r="Q8531" i="1" s="1"/>
  <c r="M8531" i="1"/>
  <c r="I8532" i="1"/>
  <c r="M7691" i="1"/>
  <c r="G7691" i="1"/>
  <c r="O7691" i="1" s="1"/>
  <c r="Q7691" i="1" s="1"/>
  <c r="I7692" i="1"/>
  <c r="I3461" i="1"/>
  <c r="M3460" i="1"/>
  <c r="G3460" i="1"/>
  <c r="O3460" i="1" s="1"/>
  <c r="Q3460" i="1" s="1"/>
  <c r="M8771" i="1"/>
  <c r="G8771" i="1"/>
  <c r="O8771" i="1" s="1"/>
  <c r="Q8771" i="1" s="1"/>
  <c r="I8772" i="1"/>
  <c r="M8411" i="1"/>
  <c r="I8412" i="1"/>
  <c r="G8411" i="1"/>
  <c r="O8411" i="1" s="1"/>
  <c r="Q8411" i="1" s="1"/>
  <c r="I8174" i="1"/>
  <c r="M8172" i="1"/>
  <c r="G8172" i="1"/>
  <c r="O8172" i="1" s="1"/>
  <c r="I3821" i="1"/>
  <c r="M3820" i="1"/>
  <c r="G3820" i="1"/>
  <c r="O3820" i="1" s="1"/>
  <c r="Q3820" i="1" s="1"/>
  <c r="I4785" i="1"/>
  <c r="M4783" i="1"/>
  <c r="G4783" i="1"/>
  <c r="O4783" i="1" s="1"/>
  <c r="M7931" i="1"/>
  <c r="I7932" i="1"/>
  <c r="G7931" i="1"/>
  <c r="O7931" i="1" s="1"/>
  <c r="Q7931" i="1" s="1"/>
  <c r="I5023" i="1"/>
  <c r="G5022" i="1"/>
  <c r="O5022" i="1" s="1"/>
  <c r="Q5022" i="1" s="1"/>
  <c r="M5022" i="1"/>
  <c r="I5143" i="1"/>
  <c r="M5142" i="1"/>
  <c r="G5142" i="1"/>
  <c r="O5142" i="1" s="1"/>
  <c r="Q5142" i="1" s="1"/>
  <c r="I7210" i="1"/>
  <c r="G7209" i="1"/>
  <c r="O7209" i="1" s="1"/>
  <c r="Q7209" i="1" s="1"/>
  <c r="M7209" i="1"/>
  <c r="I4903" i="1"/>
  <c r="G4902" i="1"/>
  <c r="O4902" i="1" s="1"/>
  <c r="Q4902" i="1" s="1"/>
  <c r="M4902" i="1"/>
  <c r="I7572" i="1"/>
  <c r="G7571" i="1"/>
  <c r="O7571" i="1" s="1"/>
  <c r="Q7571" i="1" s="1"/>
  <c r="M7571" i="1"/>
  <c r="M8051" i="1"/>
  <c r="I8052" i="1"/>
  <c r="G8051" i="1"/>
  <c r="O8051" i="1" s="1"/>
  <c r="Q8051" i="1" s="1"/>
  <c r="I3582" i="1"/>
  <c r="G3581" i="1"/>
  <c r="O3581" i="1" s="1"/>
  <c r="Q3581" i="1" s="1"/>
  <c r="M3581" i="1"/>
  <c r="I7330" i="1"/>
  <c r="G7329" i="1"/>
  <c r="O7329" i="1" s="1"/>
  <c r="Q7329" i="1" s="1"/>
  <c r="M7329" i="1"/>
  <c r="I4303" i="1"/>
  <c r="M4302" i="1"/>
  <c r="G4302" i="1"/>
  <c r="O4302" i="1" s="1"/>
  <c r="Q4302" i="1" s="1"/>
  <c r="I7090" i="1"/>
  <c r="G7089" i="1"/>
  <c r="O7089" i="1" s="1"/>
  <c r="Q7089" i="1" s="1"/>
  <c r="M7089" i="1"/>
  <c r="I5383" i="1"/>
  <c r="M5382" i="1"/>
  <c r="G5382" i="1"/>
  <c r="O5382" i="1" s="1"/>
  <c r="Q5382" i="1" s="1"/>
  <c r="I8292" i="1"/>
  <c r="G8291" i="1"/>
  <c r="O8291" i="1" s="1"/>
  <c r="Q8291" i="1" s="1"/>
  <c r="M8291" i="1"/>
  <c r="I5263" i="1"/>
  <c r="G5262" i="1"/>
  <c r="O5262" i="1" s="1"/>
  <c r="Q5262" i="1" s="1"/>
  <c r="M5262" i="1"/>
  <c r="Q1631" i="1"/>
  <c r="Q1751" i="1"/>
  <c r="G912" i="1"/>
  <c r="O912" i="1" s="1"/>
  <c r="Q912" i="1" s="1"/>
  <c r="M912" i="1"/>
  <c r="G1872" i="1"/>
  <c r="O1872" i="1" s="1"/>
  <c r="Q1872" i="1" s="1"/>
  <c r="M1872" i="1"/>
  <c r="G1632" i="1"/>
  <c r="O1632" i="1" s="1"/>
  <c r="M1632" i="1"/>
  <c r="G1752" i="1"/>
  <c r="O1752" i="1" s="1"/>
  <c r="Q1752" i="1" s="1"/>
  <c r="M1752" i="1"/>
  <c r="G1392" i="1"/>
  <c r="O1392" i="1" s="1"/>
  <c r="M1392" i="1"/>
  <c r="G1272" i="1"/>
  <c r="O1272" i="1" s="1"/>
  <c r="Q1272" i="1" s="1"/>
  <c r="M1272" i="1"/>
  <c r="G672" i="1"/>
  <c r="O672" i="1" s="1"/>
  <c r="Q672" i="1" s="1"/>
  <c r="I673" i="1"/>
  <c r="M672" i="1"/>
  <c r="G553" i="1"/>
  <c r="O553" i="1" s="1"/>
  <c r="Q553" i="1" s="1"/>
  <c r="M553" i="1"/>
  <c r="I554" i="1"/>
  <c r="G554" i="1" s="1"/>
  <c r="G792" i="1"/>
  <c r="O792" i="1" s="1"/>
  <c r="Q792" i="1" s="1"/>
  <c r="M792" i="1"/>
  <c r="I793" i="1"/>
  <c r="G192" i="1"/>
  <c r="O192" i="1" s="1"/>
  <c r="Q192" i="1" s="1"/>
  <c r="M192" i="1"/>
  <c r="K74" i="1"/>
  <c r="G74" i="1" s="1"/>
  <c r="M73" i="1"/>
  <c r="O73" i="1"/>
  <c r="O1034" i="1"/>
  <c r="Q1034" i="1" s="1"/>
  <c r="M1034" i="1"/>
  <c r="G1035" i="1"/>
  <c r="M434" i="1"/>
  <c r="G434" i="1"/>
  <c r="O434" i="1" s="1"/>
  <c r="Q434" i="1" s="1"/>
  <c r="I435" i="1"/>
  <c r="G435" i="1" s="1"/>
  <c r="G1995" i="1"/>
  <c r="O1994" i="1"/>
  <c r="Q1994" i="1" s="1"/>
  <c r="M1994" i="1"/>
  <c r="I77" i="1"/>
  <c r="O1514" i="1"/>
  <c r="G1515" i="1"/>
  <c r="M1514" i="1"/>
  <c r="M1154" i="1"/>
  <c r="O1154" i="1"/>
  <c r="Q1154" i="1" s="1"/>
  <c r="G1155" i="1"/>
  <c r="M314" i="1" l="1"/>
  <c r="I315" i="1"/>
  <c r="G315" i="1" s="1"/>
  <c r="O315" i="1" s="1"/>
  <c r="Q315" i="1" s="1"/>
  <c r="I5265" i="1"/>
  <c r="M5263" i="1"/>
  <c r="G5263" i="1"/>
  <c r="O5263" i="1" s="1"/>
  <c r="I7574" i="1"/>
  <c r="G7572" i="1"/>
  <c r="O7572" i="1" s="1"/>
  <c r="M7572" i="1"/>
  <c r="I5145" i="1"/>
  <c r="G5143" i="1"/>
  <c r="O5143" i="1" s="1"/>
  <c r="M5143" i="1"/>
  <c r="Q4783" i="1"/>
  <c r="O4784" i="1"/>
  <c r="I8176" i="1"/>
  <c r="G8174" i="1"/>
  <c r="O8174" i="1" s="1"/>
  <c r="M8174" i="1"/>
  <c r="I4545" i="1"/>
  <c r="G4543" i="1"/>
  <c r="O4543" i="1" s="1"/>
  <c r="M4543" i="1"/>
  <c r="I4063" i="1"/>
  <c r="G4062" i="1"/>
  <c r="O4062" i="1" s="1"/>
  <c r="Q4062" i="1" s="1"/>
  <c r="M4062" i="1"/>
  <c r="I3583" i="1"/>
  <c r="G3582" i="1"/>
  <c r="O3582" i="1" s="1"/>
  <c r="Q3582" i="1" s="1"/>
  <c r="M3582" i="1"/>
  <c r="I8534" i="1"/>
  <c r="M8532" i="1"/>
  <c r="G8532" i="1"/>
  <c r="O8532" i="1" s="1"/>
  <c r="I6972" i="1"/>
  <c r="M6971" i="1"/>
  <c r="G6971" i="1"/>
  <c r="O6971" i="1" s="1"/>
  <c r="Q6971" i="1" s="1"/>
  <c r="I8294" i="1"/>
  <c r="M8292" i="1"/>
  <c r="G8292" i="1"/>
  <c r="O8292" i="1" s="1"/>
  <c r="I4905" i="1"/>
  <c r="M4903" i="1"/>
  <c r="G4903" i="1"/>
  <c r="O4903" i="1" s="1"/>
  <c r="I4787" i="1"/>
  <c r="M4785" i="1"/>
  <c r="G4785" i="1"/>
  <c r="O4785" i="1" s="1"/>
  <c r="I8414" i="1"/>
  <c r="M8412" i="1"/>
  <c r="G8412" i="1"/>
  <c r="O8412" i="1" s="1"/>
  <c r="I3942" i="1"/>
  <c r="G3941" i="1"/>
  <c r="O3941" i="1" s="1"/>
  <c r="Q3941" i="1" s="1"/>
  <c r="M3941" i="1"/>
  <c r="I4665" i="1"/>
  <c r="M4663" i="1"/>
  <c r="G4663" i="1"/>
  <c r="O4663" i="1" s="1"/>
  <c r="I8054" i="1"/>
  <c r="M8052" i="1"/>
  <c r="G8052" i="1"/>
  <c r="O8052" i="1" s="1"/>
  <c r="M7451" i="1"/>
  <c r="I7452" i="1"/>
  <c r="G7451" i="1"/>
  <c r="O7451" i="1" s="1"/>
  <c r="Q7451" i="1" s="1"/>
  <c r="I7814" i="1"/>
  <c r="G7812" i="1"/>
  <c r="O7812" i="1" s="1"/>
  <c r="M7812" i="1"/>
  <c r="I4305" i="1"/>
  <c r="G4303" i="1"/>
  <c r="O4303" i="1" s="1"/>
  <c r="M4303" i="1"/>
  <c r="I5025" i="1"/>
  <c r="M5023" i="1"/>
  <c r="G5023" i="1"/>
  <c r="O5023" i="1" s="1"/>
  <c r="I8774" i="1"/>
  <c r="M8772" i="1"/>
  <c r="G8772" i="1"/>
  <c r="O8772" i="1" s="1"/>
  <c r="M6850" i="1"/>
  <c r="I6851" i="1"/>
  <c r="G6850" i="1"/>
  <c r="O6850" i="1" s="1"/>
  <c r="Q6850" i="1" s="1"/>
  <c r="I5385" i="1"/>
  <c r="M5383" i="1"/>
  <c r="G5383" i="1"/>
  <c r="O5383" i="1" s="1"/>
  <c r="M7210" i="1"/>
  <c r="I7211" i="1"/>
  <c r="G7210" i="1"/>
  <c r="O7210" i="1" s="1"/>
  <c r="Q7210" i="1" s="1"/>
  <c r="I3822" i="1"/>
  <c r="G3821" i="1"/>
  <c r="O3821" i="1" s="1"/>
  <c r="Q3821" i="1" s="1"/>
  <c r="M3821" i="1"/>
  <c r="I3462" i="1"/>
  <c r="G3461" i="1"/>
  <c r="O3461" i="1" s="1"/>
  <c r="Q3461" i="1" s="1"/>
  <c r="M3461" i="1"/>
  <c r="I3702" i="1"/>
  <c r="G3701" i="1"/>
  <c r="O3701" i="1" s="1"/>
  <c r="Q3701" i="1" s="1"/>
  <c r="M3701" i="1"/>
  <c r="I7934" i="1"/>
  <c r="G7932" i="1"/>
  <c r="O7932" i="1" s="1"/>
  <c r="M7932" i="1"/>
  <c r="I7694" i="1"/>
  <c r="G7692" i="1"/>
  <c r="O7692" i="1" s="1"/>
  <c r="M7692" i="1"/>
  <c r="I4185" i="1"/>
  <c r="G4183" i="1"/>
  <c r="O4183" i="1" s="1"/>
  <c r="M4183" i="1"/>
  <c r="I4425" i="1"/>
  <c r="G4423" i="1"/>
  <c r="O4423" i="1" s="1"/>
  <c r="M4423" i="1"/>
  <c r="I7331" i="1"/>
  <c r="G7330" i="1"/>
  <c r="O7330" i="1" s="1"/>
  <c r="Q7330" i="1" s="1"/>
  <c r="M7330" i="1"/>
  <c r="Q8172" i="1"/>
  <c r="O8173" i="1"/>
  <c r="I8654" i="1"/>
  <c r="M8652" i="1"/>
  <c r="G8652" i="1"/>
  <c r="O8652" i="1" s="1"/>
  <c r="I7091" i="1"/>
  <c r="G7090" i="1"/>
  <c r="O7090" i="1" s="1"/>
  <c r="Q7090" i="1" s="1"/>
  <c r="M7090" i="1"/>
  <c r="Q1392" i="1"/>
  <c r="Q73" i="1"/>
  <c r="Q1514" i="1"/>
  <c r="Q1632" i="1"/>
  <c r="G913" i="1"/>
  <c r="O913" i="1" s="1"/>
  <c r="Q913" i="1" s="1"/>
  <c r="M913" i="1"/>
  <c r="G1873" i="1"/>
  <c r="O1873" i="1" s="1"/>
  <c r="Q1873" i="1" s="1"/>
  <c r="M1873" i="1"/>
  <c r="G1874" i="1"/>
  <c r="G1753" i="1"/>
  <c r="O1753" i="1" s="1"/>
  <c r="Q1753" i="1" s="1"/>
  <c r="G1754" i="1"/>
  <c r="M1753" i="1"/>
  <c r="G1633" i="1"/>
  <c r="O1633" i="1" s="1"/>
  <c r="Q1633" i="1" s="1"/>
  <c r="M1633" i="1"/>
  <c r="G1393" i="1"/>
  <c r="O1393" i="1" s="1"/>
  <c r="Q1393" i="1" s="1"/>
  <c r="M1393" i="1"/>
  <c r="G1394" i="1"/>
  <c r="G1273" i="1"/>
  <c r="O1273" i="1" s="1"/>
  <c r="Q1273" i="1" s="1"/>
  <c r="G1274" i="1"/>
  <c r="M1273" i="1"/>
  <c r="G673" i="1"/>
  <c r="O673" i="1" s="1"/>
  <c r="Q673" i="1" s="1"/>
  <c r="I674" i="1"/>
  <c r="G674" i="1" s="1"/>
  <c r="M673" i="1"/>
  <c r="O554" i="1"/>
  <c r="Q554" i="1" s="1"/>
  <c r="I555" i="1"/>
  <c r="M554" i="1"/>
  <c r="G793" i="1"/>
  <c r="O793" i="1" s="1"/>
  <c r="Q793" i="1" s="1"/>
  <c r="I794" i="1"/>
  <c r="G794" i="1" s="1"/>
  <c r="M793" i="1"/>
  <c r="G193" i="1"/>
  <c r="O193" i="1" s="1"/>
  <c r="Q193" i="1" s="1"/>
  <c r="M193" i="1"/>
  <c r="K75" i="1"/>
  <c r="G75" i="1" s="1"/>
  <c r="M74" i="1"/>
  <c r="O74" i="1"/>
  <c r="Q74" i="1" s="1"/>
  <c r="I79" i="1"/>
  <c r="M1995" i="1"/>
  <c r="I1997" i="1"/>
  <c r="G1997" i="1" s="1"/>
  <c r="O1995" i="1"/>
  <c r="Q1995" i="1" s="1"/>
  <c r="M435" i="1"/>
  <c r="I437" i="1"/>
  <c r="G437" i="1" s="1"/>
  <c r="O435" i="1"/>
  <c r="Q435" i="1" s="1"/>
  <c r="I317" i="1"/>
  <c r="G317" i="1" s="1"/>
  <c r="M315" i="1"/>
  <c r="M1155" i="1"/>
  <c r="I1157" i="1"/>
  <c r="G1157" i="1" s="1"/>
  <c r="O1155" i="1"/>
  <c r="Q1155" i="1" s="1"/>
  <c r="M1515" i="1"/>
  <c r="O1515" i="1"/>
  <c r="Q1515" i="1" s="1"/>
  <c r="I1517" i="1"/>
  <c r="G1517" i="1" s="1"/>
  <c r="I1037" i="1"/>
  <c r="G1037" i="1" s="1"/>
  <c r="O1035" i="1"/>
  <c r="Q1035" i="1" s="1"/>
  <c r="M1035" i="1"/>
  <c r="I8296" i="1" l="1"/>
  <c r="G8294" i="1"/>
  <c r="O8294" i="1" s="1"/>
  <c r="M8294" i="1"/>
  <c r="I3703" i="1"/>
  <c r="M3702" i="1"/>
  <c r="G3702" i="1"/>
  <c r="O3702" i="1" s="1"/>
  <c r="Q3702" i="1" s="1"/>
  <c r="M7211" i="1"/>
  <c r="I7212" i="1"/>
  <c r="G7211" i="1"/>
  <c r="O7211" i="1" s="1"/>
  <c r="Q7211" i="1" s="1"/>
  <c r="I4667" i="1"/>
  <c r="G4665" i="1"/>
  <c r="O4665" i="1" s="1"/>
  <c r="M4665" i="1"/>
  <c r="I5267" i="1"/>
  <c r="M5265" i="1"/>
  <c r="G5265" i="1"/>
  <c r="O5265" i="1" s="1"/>
  <c r="I7092" i="1"/>
  <c r="G7091" i="1"/>
  <c r="O7091" i="1" s="1"/>
  <c r="Q7091" i="1" s="1"/>
  <c r="M7091" i="1"/>
  <c r="I7332" i="1"/>
  <c r="G7331" i="1"/>
  <c r="O7331" i="1" s="1"/>
  <c r="Q7331" i="1" s="1"/>
  <c r="M7331" i="1"/>
  <c r="Q7692" i="1"/>
  <c r="O7693" i="1"/>
  <c r="Q4303" i="1"/>
  <c r="O4304" i="1"/>
  <c r="I7454" i="1"/>
  <c r="G7452" i="1"/>
  <c r="O7452" i="1" s="1"/>
  <c r="M7452" i="1"/>
  <c r="I4788" i="1"/>
  <c r="G4787" i="1"/>
  <c r="O4787" i="1" s="1"/>
  <c r="M4787" i="1"/>
  <c r="I3585" i="1"/>
  <c r="M3583" i="1"/>
  <c r="G3583" i="1"/>
  <c r="O3583" i="1" s="1"/>
  <c r="O8175" i="1"/>
  <c r="Q8174" i="1"/>
  <c r="Q8652" i="1"/>
  <c r="O8653" i="1"/>
  <c r="Q5383" i="1"/>
  <c r="O5384" i="1"/>
  <c r="I8776" i="1"/>
  <c r="M8774" i="1"/>
  <c r="G8774" i="1"/>
  <c r="O8774" i="1" s="1"/>
  <c r="I4307" i="1"/>
  <c r="M4305" i="1"/>
  <c r="G4305" i="1"/>
  <c r="O4305" i="1" s="1"/>
  <c r="Q4903" i="1"/>
  <c r="O4904" i="1"/>
  <c r="I6974" i="1"/>
  <c r="M6972" i="1"/>
  <c r="G6972" i="1"/>
  <c r="O6972" i="1" s="1"/>
  <c r="I8177" i="1"/>
  <c r="G8176" i="1"/>
  <c r="O8176" i="1" s="1"/>
  <c r="M8176" i="1"/>
  <c r="I3943" i="1"/>
  <c r="M3942" i="1"/>
  <c r="G3942" i="1"/>
  <c r="O3942" i="1" s="1"/>
  <c r="Q3942" i="1" s="1"/>
  <c r="Q8052" i="1"/>
  <c r="O8053" i="1"/>
  <c r="I4427" i="1"/>
  <c r="G4425" i="1"/>
  <c r="O4425" i="1" s="1"/>
  <c r="M4425" i="1"/>
  <c r="I4907" i="1"/>
  <c r="G4905" i="1"/>
  <c r="O4905" i="1" s="1"/>
  <c r="M4905" i="1"/>
  <c r="I4065" i="1"/>
  <c r="G4063" i="1"/>
  <c r="O4063" i="1" s="1"/>
  <c r="M4063" i="1"/>
  <c r="Q7572" i="1"/>
  <c r="O7573" i="1"/>
  <c r="I7696" i="1"/>
  <c r="G7694" i="1"/>
  <c r="O7694" i="1" s="1"/>
  <c r="M7694" i="1"/>
  <c r="Q4423" i="1"/>
  <c r="O4424" i="1"/>
  <c r="I3463" i="1"/>
  <c r="G3462" i="1"/>
  <c r="O3462" i="1" s="1"/>
  <c r="Q3462" i="1" s="1"/>
  <c r="M3462" i="1"/>
  <c r="Q8532" i="1"/>
  <c r="O8533" i="1"/>
  <c r="I8656" i="1"/>
  <c r="G8654" i="1"/>
  <c r="O8654" i="1" s="1"/>
  <c r="M8654" i="1"/>
  <c r="Q7932" i="1"/>
  <c r="O7933" i="1"/>
  <c r="I5387" i="1"/>
  <c r="G5385" i="1"/>
  <c r="O5385" i="1" s="1"/>
  <c r="M5385" i="1"/>
  <c r="Q8412" i="1"/>
  <c r="O8413" i="1"/>
  <c r="I7936" i="1"/>
  <c r="G7934" i="1"/>
  <c r="O7934" i="1" s="1"/>
  <c r="M7934" i="1"/>
  <c r="Q5023" i="1"/>
  <c r="O5024" i="1"/>
  <c r="I8056" i="1"/>
  <c r="M8054" i="1"/>
  <c r="G8054" i="1"/>
  <c r="O8054" i="1" s="1"/>
  <c r="Q8292" i="1"/>
  <c r="O8293" i="1"/>
  <c r="I8536" i="1"/>
  <c r="G8534" i="1"/>
  <c r="O8534" i="1" s="1"/>
  <c r="M8534" i="1"/>
  <c r="I7576" i="1"/>
  <c r="G7574" i="1"/>
  <c r="O7574" i="1" s="1"/>
  <c r="M7574" i="1"/>
  <c r="I3823" i="1"/>
  <c r="M3822" i="1"/>
  <c r="G3822" i="1"/>
  <c r="O3822" i="1" s="1"/>
  <c r="Q3822" i="1" s="1"/>
  <c r="I6852" i="1"/>
  <c r="G6851" i="1"/>
  <c r="O6851" i="1" s="1"/>
  <c r="Q6851" i="1" s="1"/>
  <c r="M6851" i="1"/>
  <c r="Q7812" i="1"/>
  <c r="O7813" i="1"/>
  <c r="Q4663" i="1"/>
  <c r="O4664" i="1"/>
  <c r="I8416" i="1"/>
  <c r="M8414" i="1"/>
  <c r="G8414" i="1"/>
  <c r="O8414" i="1" s="1"/>
  <c r="Q4543" i="1"/>
  <c r="O4544" i="1"/>
  <c r="Q5143" i="1"/>
  <c r="O5144" i="1"/>
  <c r="Q5263" i="1"/>
  <c r="O5264" i="1"/>
  <c r="I7816" i="1"/>
  <c r="G7814" i="1"/>
  <c r="O7814" i="1" s="1"/>
  <c r="M7814" i="1"/>
  <c r="I4547" i="1"/>
  <c r="G4545" i="1"/>
  <c r="O4545" i="1" s="1"/>
  <c r="M4545" i="1"/>
  <c r="I5147" i="1"/>
  <c r="M5145" i="1"/>
  <c r="G5145" i="1"/>
  <c r="O5145" i="1" s="1"/>
  <c r="Q4183" i="1"/>
  <c r="O4184" i="1"/>
  <c r="I4187" i="1"/>
  <c r="G4185" i="1"/>
  <c r="O4185" i="1" s="1"/>
  <c r="M4185" i="1"/>
  <c r="I5027" i="1"/>
  <c r="M5025" i="1"/>
  <c r="G5025" i="1"/>
  <c r="O5025" i="1" s="1"/>
  <c r="O4786" i="1"/>
  <c r="Q4785" i="1"/>
  <c r="Q8772" i="1"/>
  <c r="O8773" i="1"/>
  <c r="G914" i="1"/>
  <c r="O914" i="1" s="1"/>
  <c r="Q914" i="1" s="1"/>
  <c r="M914" i="1"/>
  <c r="M1874" i="1"/>
  <c r="O1874" i="1"/>
  <c r="Q1874" i="1" s="1"/>
  <c r="M1634" i="1"/>
  <c r="G1634" i="1"/>
  <c r="O1634" i="1" s="1"/>
  <c r="O1754" i="1"/>
  <c r="M1754" i="1"/>
  <c r="O1394" i="1"/>
  <c r="Q1394" i="1" s="1"/>
  <c r="M1394" i="1"/>
  <c r="M1274" i="1"/>
  <c r="O1274" i="1"/>
  <c r="Q1274" i="1" s="1"/>
  <c r="I675" i="1"/>
  <c r="M674" i="1"/>
  <c r="O674" i="1"/>
  <c r="G555" i="1"/>
  <c r="O555" i="1" s="1"/>
  <c r="Q555" i="1" s="1"/>
  <c r="I557" i="1"/>
  <c r="M555" i="1"/>
  <c r="G194" i="1"/>
  <c r="O194" i="1" s="1"/>
  <c r="Q194" i="1" s="1"/>
  <c r="M194" i="1"/>
  <c r="M794" i="1"/>
  <c r="I795" i="1"/>
  <c r="O794" i="1"/>
  <c r="Q794" i="1" s="1"/>
  <c r="O1036" i="1"/>
  <c r="O316" i="1"/>
  <c r="O1516" i="1"/>
  <c r="O1996" i="1"/>
  <c r="Q1996" i="1" s="1"/>
  <c r="O1156" i="1"/>
  <c r="O436" i="1"/>
  <c r="K77" i="1"/>
  <c r="G77" i="1" s="1"/>
  <c r="O75" i="1"/>
  <c r="Q75" i="1" s="1"/>
  <c r="M75" i="1"/>
  <c r="I1159" i="1"/>
  <c r="G1159" i="1" s="1"/>
  <c r="M1157" i="1"/>
  <c r="O1157" i="1"/>
  <c r="Q1157" i="1" s="1"/>
  <c r="M437" i="1"/>
  <c r="O437" i="1"/>
  <c r="I439" i="1"/>
  <c r="G439" i="1" s="1"/>
  <c r="M1517" i="1"/>
  <c r="O1517" i="1"/>
  <c r="Q1517" i="1" s="1"/>
  <c r="I1519" i="1"/>
  <c r="G1519" i="1" s="1"/>
  <c r="M1037" i="1"/>
  <c r="I1039" i="1"/>
  <c r="G1039" i="1" s="1"/>
  <c r="O1037" i="1"/>
  <c r="Q1037" i="1" s="1"/>
  <c r="M317" i="1"/>
  <c r="O317" i="1"/>
  <c r="Q317" i="1" s="1"/>
  <c r="I319" i="1"/>
  <c r="G319" i="1" s="1"/>
  <c r="O1997" i="1"/>
  <c r="Q1997" i="1" s="1"/>
  <c r="M1997" i="1"/>
  <c r="I1999" i="1"/>
  <c r="G1999" i="1" s="1"/>
  <c r="I80" i="1"/>
  <c r="O5146" i="1" l="1"/>
  <c r="Q5145" i="1"/>
  <c r="Q8534" i="1"/>
  <c r="O8535" i="1"/>
  <c r="I8417" i="1"/>
  <c r="M8416" i="1"/>
  <c r="G8416" i="1"/>
  <c r="O8416" i="1" s="1"/>
  <c r="I8537" i="1"/>
  <c r="G8536" i="1"/>
  <c r="O8536" i="1" s="1"/>
  <c r="M8536" i="1"/>
  <c r="O5386" i="1"/>
  <c r="Q5386" i="1" s="1"/>
  <c r="Q5385" i="1"/>
  <c r="I7697" i="1"/>
  <c r="M7696" i="1"/>
  <c r="G7696" i="1"/>
  <c r="O7696" i="1" s="1"/>
  <c r="I4908" i="1"/>
  <c r="M4907" i="1"/>
  <c r="G4907" i="1"/>
  <c r="O4907" i="1" s="1"/>
  <c r="Q5384" i="1"/>
  <c r="I3587" i="1"/>
  <c r="M3585" i="1"/>
  <c r="G3585" i="1"/>
  <c r="O3585" i="1" s="1"/>
  <c r="I7094" i="1"/>
  <c r="M7092" i="1"/>
  <c r="G7092" i="1"/>
  <c r="O7092" i="1" s="1"/>
  <c r="I7214" i="1"/>
  <c r="G7212" i="1"/>
  <c r="O7212" i="1" s="1"/>
  <c r="M7212" i="1"/>
  <c r="O5026" i="1"/>
  <c r="Q5025" i="1"/>
  <c r="I5028" i="1"/>
  <c r="M5027" i="1"/>
  <c r="G5027" i="1"/>
  <c r="O5027" i="1" s="1"/>
  <c r="I5148" i="1"/>
  <c r="M5147" i="1"/>
  <c r="G5147" i="1"/>
  <c r="O5147" i="1" s="1"/>
  <c r="O7935" i="1"/>
  <c r="Q7934" i="1"/>
  <c r="I5388" i="1"/>
  <c r="G5387" i="1"/>
  <c r="O5387" i="1" s="1"/>
  <c r="M5387" i="1"/>
  <c r="I3945" i="1"/>
  <c r="G3943" i="1"/>
  <c r="O3943" i="1" s="1"/>
  <c r="M3943" i="1"/>
  <c r="O5266" i="1"/>
  <c r="Q5265" i="1"/>
  <c r="I7817" i="1"/>
  <c r="M7816" i="1"/>
  <c r="G7816" i="1"/>
  <c r="O7816" i="1" s="1"/>
  <c r="Q1634" i="1"/>
  <c r="I3825" i="1"/>
  <c r="M3823" i="1"/>
  <c r="G3823" i="1"/>
  <c r="O3823" i="1" s="1"/>
  <c r="I7937" i="1"/>
  <c r="G7936" i="1"/>
  <c r="O7936" i="1" s="1"/>
  <c r="M7936" i="1"/>
  <c r="Q4425" i="1"/>
  <c r="O4426" i="1"/>
  <c r="O4306" i="1"/>
  <c r="Q4305" i="1"/>
  <c r="Q4787" i="1"/>
  <c r="Q4185" i="1"/>
  <c r="O4186" i="1"/>
  <c r="I3465" i="1"/>
  <c r="G3463" i="1"/>
  <c r="O3463" i="1" s="1"/>
  <c r="M3463" i="1"/>
  <c r="I4428" i="1"/>
  <c r="M4427" i="1"/>
  <c r="G4427" i="1"/>
  <c r="O4427" i="1" s="1"/>
  <c r="Q8176" i="1"/>
  <c r="I4790" i="1"/>
  <c r="I4789" i="1"/>
  <c r="G4788" i="1"/>
  <c r="O4788" i="1" s="1"/>
  <c r="Q4788" i="1" s="1"/>
  <c r="M4788" i="1"/>
  <c r="I5268" i="1"/>
  <c r="G5267" i="1"/>
  <c r="O5267" i="1" s="1"/>
  <c r="M5267" i="1"/>
  <c r="Q8773" i="1"/>
  <c r="I4188" i="1"/>
  <c r="M4187" i="1"/>
  <c r="G4187" i="1"/>
  <c r="O4187" i="1" s="1"/>
  <c r="I4548" i="1"/>
  <c r="M4547" i="1"/>
  <c r="G4547" i="1"/>
  <c r="O4547" i="1" s="1"/>
  <c r="Q7574" i="1"/>
  <c r="O7575" i="1"/>
  <c r="Q4063" i="1"/>
  <c r="O4064" i="1"/>
  <c r="I8179" i="1"/>
  <c r="I8178" i="1"/>
  <c r="G8177" i="1"/>
  <c r="O8177" i="1" s="1"/>
  <c r="Q8177" i="1" s="1"/>
  <c r="M8177" i="1"/>
  <c r="I4308" i="1"/>
  <c r="G4307" i="1"/>
  <c r="O4307" i="1" s="1"/>
  <c r="M4307" i="1"/>
  <c r="I3705" i="1"/>
  <c r="G3703" i="1"/>
  <c r="O3703" i="1" s="1"/>
  <c r="M3703" i="1"/>
  <c r="O4546" i="1"/>
  <c r="Q4545" i="1"/>
  <c r="O8055" i="1"/>
  <c r="Q8054" i="1"/>
  <c r="I7577" i="1"/>
  <c r="G7576" i="1"/>
  <c r="O7576" i="1" s="1"/>
  <c r="M7576" i="1"/>
  <c r="I8057" i="1"/>
  <c r="M8056" i="1"/>
  <c r="G8056" i="1"/>
  <c r="O8056" i="1" s="1"/>
  <c r="O8655" i="1"/>
  <c r="Q8654" i="1"/>
  <c r="I4067" i="1"/>
  <c r="M4065" i="1"/>
  <c r="G4065" i="1"/>
  <c r="O4065" i="1" s="1"/>
  <c r="Q6972" i="1"/>
  <c r="O6973" i="1"/>
  <c r="Q8774" i="1"/>
  <c r="O8775" i="1"/>
  <c r="Q8775" i="1" s="1"/>
  <c r="Q7452" i="1"/>
  <c r="O7453" i="1"/>
  <c r="I7334" i="1"/>
  <c r="M7332" i="1"/>
  <c r="G7332" i="1"/>
  <c r="O7332" i="1" s="1"/>
  <c r="O4666" i="1"/>
  <c r="Q4665" i="1"/>
  <c r="O7815" i="1"/>
  <c r="Q7814" i="1"/>
  <c r="O8415" i="1"/>
  <c r="Q8414" i="1"/>
  <c r="I8657" i="1"/>
  <c r="G8656" i="1"/>
  <c r="O8656" i="1" s="1"/>
  <c r="M8656" i="1"/>
  <c r="Q3583" i="1"/>
  <c r="O3584" i="1"/>
  <c r="I7456" i="1"/>
  <c r="G7454" i="1"/>
  <c r="O7454" i="1" s="1"/>
  <c r="M7454" i="1"/>
  <c r="I4668" i="1"/>
  <c r="M4667" i="1"/>
  <c r="G4667" i="1"/>
  <c r="O4667" i="1" s="1"/>
  <c r="O8295" i="1"/>
  <c r="Q8294" i="1"/>
  <c r="I6854" i="1"/>
  <c r="M6852" i="1"/>
  <c r="G6852" i="1"/>
  <c r="O6852" i="1" s="1"/>
  <c r="O7695" i="1"/>
  <c r="Q7694" i="1"/>
  <c r="O4906" i="1"/>
  <c r="Q4905" i="1"/>
  <c r="I6976" i="1"/>
  <c r="G6974" i="1"/>
  <c r="O6974" i="1" s="1"/>
  <c r="M6974" i="1"/>
  <c r="I8777" i="1"/>
  <c r="G8776" i="1"/>
  <c r="O8776" i="1" s="1"/>
  <c r="M8776" i="1"/>
  <c r="I8297" i="1"/>
  <c r="G8296" i="1"/>
  <c r="O8296" i="1" s="1"/>
  <c r="M8296" i="1"/>
  <c r="Q674" i="1"/>
  <c r="Q1754" i="1"/>
  <c r="Q437" i="1"/>
  <c r="G915" i="1"/>
  <c r="O915" i="1" s="1"/>
  <c r="Q915" i="1" s="1"/>
  <c r="M915" i="1"/>
  <c r="I917" i="1"/>
  <c r="G1875" i="1"/>
  <c r="O1875" i="1" s="1"/>
  <c r="Q1875" i="1" s="1"/>
  <c r="I1877" i="1"/>
  <c r="M1875" i="1"/>
  <c r="G1755" i="1"/>
  <c r="O1755" i="1" s="1"/>
  <c r="Q1755" i="1" s="1"/>
  <c r="I1757" i="1"/>
  <c r="M1755" i="1"/>
  <c r="G1635" i="1"/>
  <c r="O1635" i="1" s="1"/>
  <c r="M1635" i="1"/>
  <c r="I1637" i="1"/>
  <c r="G1395" i="1"/>
  <c r="O1395" i="1" s="1"/>
  <c r="Q1395" i="1" s="1"/>
  <c r="I1397" i="1"/>
  <c r="M1395" i="1"/>
  <c r="G1275" i="1"/>
  <c r="O1275" i="1" s="1"/>
  <c r="Q1275" i="1" s="1"/>
  <c r="I1277" i="1"/>
  <c r="M1275" i="1"/>
  <c r="G675" i="1"/>
  <c r="O675" i="1" s="1"/>
  <c r="Q675" i="1" s="1"/>
  <c r="M675" i="1"/>
  <c r="I677" i="1"/>
  <c r="O556" i="1"/>
  <c r="G795" i="1"/>
  <c r="O795" i="1" s="1"/>
  <c r="Q795" i="1" s="1"/>
  <c r="I797" i="1"/>
  <c r="M795" i="1"/>
  <c r="G557" i="1"/>
  <c r="O557" i="1" s="1"/>
  <c r="Q557" i="1" s="1"/>
  <c r="M557" i="1"/>
  <c r="I559" i="1"/>
  <c r="G559" i="1" s="1"/>
  <c r="G195" i="1"/>
  <c r="O195" i="1" s="1"/>
  <c r="Q195" i="1" s="1"/>
  <c r="I197" i="1"/>
  <c r="M195" i="1"/>
  <c r="O76" i="1"/>
  <c r="K79" i="1"/>
  <c r="G79" i="1" s="1"/>
  <c r="O77" i="1"/>
  <c r="Q77" i="1" s="1"/>
  <c r="M77" i="1"/>
  <c r="O318" i="1"/>
  <c r="O438" i="1"/>
  <c r="O1158" i="1"/>
  <c r="O1998" i="1"/>
  <c r="Q1998" i="1" s="1"/>
  <c r="O1518" i="1"/>
  <c r="O1038" i="1"/>
  <c r="M319" i="1"/>
  <c r="I320" i="1"/>
  <c r="O319" i="1"/>
  <c r="Q319" i="1" s="1"/>
  <c r="I440" i="1"/>
  <c r="M439" i="1"/>
  <c r="O439" i="1"/>
  <c r="O1999" i="1"/>
  <c r="Q1999" i="1" s="1"/>
  <c r="I2000" i="1"/>
  <c r="M1999" i="1"/>
  <c r="I81" i="1"/>
  <c r="I82" i="1"/>
  <c r="O1039" i="1"/>
  <c r="Q1039" i="1" s="1"/>
  <c r="M1039" i="1"/>
  <c r="I1040" i="1"/>
  <c r="M1519" i="1"/>
  <c r="O1519" i="1"/>
  <c r="Q1519" i="1" s="1"/>
  <c r="I1520" i="1"/>
  <c r="I1160" i="1"/>
  <c r="M1159" i="1"/>
  <c r="O1159" i="1"/>
  <c r="Q1159" i="1" s="1"/>
  <c r="I8779" i="1" l="1"/>
  <c r="G8777" i="1"/>
  <c r="O8777" i="1" s="1"/>
  <c r="Q8777" i="1" s="1"/>
  <c r="I8778" i="1"/>
  <c r="M8777" i="1"/>
  <c r="Q6852" i="1"/>
  <c r="O6853" i="1"/>
  <c r="Q8056" i="1"/>
  <c r="I4310" i="1"/>
  <c r="I4309" i="1"/>
  <c r="M4308" i="1"/>
  <c r="G4308" i="1"/>
  <c r="O4308" i="1" s="1"/>
  <c r="Q4308" i="1" s="1"/>
  <c r="I4190" i="1"/>
  <c r="I4189" i="1"/>
  <c r="M4188" i="1"/>
  <c r="G4188" i="1"/>
  <c r="O4188" i="1" s="1"/>
  <c r="Q4188" i="1" s="1"/>
  <c r="M4789" i="1"/>
  <c r="G4789" i="1"/>
  <c r="O4789" i="1" s="1"/>
  <c r="Q3463" i="1"/>
  <c r="O3464" i="1"/>
  <c r="I3588" i="1"/>
  <c r="M3587" i="1"/>
  <c r="G3587" i="1"/>
  <c r="O3587" i="1" s="1"/>
  <c r="Q7454" i="1"/>
  <c r="O7455" i="1"/>
  <c r="Q7332" i="1"/>
  <c r="O7333" i="1"/>
  <c r="I4791" i="1"/>
  <c r="M4790" i="1"/>
  <c r="G4790" i="1"/>
  <c r="O4790" i="1" s="1"/>
  <c r="Q4790" i="1" s="1"/>
  <c r="I3467" i="1"/>
  <c r="M3465" i="1"/>
  <c r="G3465" i="1"/>
  <c r="O3465" i="1" s="1"/>
  <c r="Q3943" i="1"/>
  <c r="O3944" i="1"/>
  <c r="Q7212" i="1"/>
  <c r="O7213" i="1"/>
  <c r="I7699" i="1"/>
  <c r="I7698" i="1"/>
  <c r="M7697" i="1"/>
  <c r="G7697" i="1"/>
  <c r="O7697" i="1" s="1"/>
  <c r="Q7697" i="1" s="1"/>
  <c r="G8417" i="1"/>
  <c r="O8417" i="1" s="1"/>
  <c r="Q8417" i="1" s="1"/>
  <c r="I8419" i="1"/>
  <c r="I8418" i="1"/>
  <c r="M8417" i="1"/>
  <c r="Q6974" i="1"/>
  <c r="O6975" i="1"/>
  <c r="I6856" i="1"/>
  <c r="G6854" i="1"/>
  <c r="O6854" i="1" s="1"/>
  <c r="M6854" i="1"/>
  <c r="I7457" i="1"/>
  <c r="G7456" i="1"/>
  <c r="O7456" i="1" s="1"/>
  <c r="M7456" i="1"/>
  <c r="O4066" i="1"/>
  <c r="Q4065" i="1"/>
  <c r="G8057" i="1"/>
  <c r="O8057" i="1" s="1"/>
  <c r="Q8057" i="1" s="1"/>
  <c r="I8059" i="1"/>
  <c r="I8058" i="1"/>
  <c r="M8057" i="1"/>
  <c r="I3947" i="1"/>
  <c r="M3945" i="1"/>
  <c r="G3945" i="1"/>
  <c r="O3945" i="1" s="1"/>
  <c r="Q5147" i="1"/>
  <c r="I7216" i="1"/>
  <c r="G7214" i="1"/>
  <c r="O7214" i="1" s="1"/>
  <c r="M7214" i="1"/>
  <c r="Q8296" i="1"/>
  <c r="I6977" i="1"/>
  <c r="G6976" i="1"/>
  <c r="O6976" i="1" s="1"/>
  <c r="M6976" i="1"/>
  <c r="I7336" i="1"/>
  <c r="M7334" i="1"/>
  <c r="G7334" i="1"/>
  <c r="O7334" i="1" s="1"/>
  <c r="G8178" i="1"/>
  <c r="O8178" i="1" s="1"/>
  <c r="Q8178" i="1" s="1"/>
  <c r="M8178" i="1"/>
  <c r="Q4547" i="1"/>
  <c r="Q7936" i="1"/>
  <c r="Q7816" i="1"/>
  <c r="Q7092" i="1"/>
  <c r="O7093" i="1"/>
  <c r="M8297" i="1"/>
  <c r="I8299" i="1"/>
  <c r="I8298" i="1"/>
  <c r="G8297" i="1"/>
  <c r="O8297" i="1" s="1"/>
  <c r="Q8297" i="1" s="1"/>
  <c r="I4068" i="1"/>
  <c r="M4067" i="1"/>
  <c r="G4067" i="1"/>
  <c r="O4067" i="1" s="1"/>
  <c r="Q7576" i="1"/>
  <c r="Q3703" i="1"/>
  <c r="O3704" i="1"/>
  <c r="G8179" i="1"/>
  <c r="O8179" i="1" s="1"/>
  <c r="Q8179" i="1" s="1"/>
  <c r="I8180" i="1"/>
  <c r="M8179" i="1"/>
  <c r="Q5267" i="1"/>
  <c r="Q4427" i="1"/>
  <c r="I7939" i="1"/>
  <c r="I7938" i="1"/>
  <c r="G7937" i="1"/>
  <c r="O7937" i="1" s="1"/>
  <c r="Q7937" i="1" s="1"/>
  <c r="M7937" i="1"/>
  <c r="I5150" i="1"/>
  <c r="I5149" i="1"/>
  <c r="G5148" i="1"/>
  <c r="O5148" i="1" s="1"/>
  <c r="Q5148" i="1" s="1"/>
  <c r="M5148" i="1"/>
  <c r="Q4907" i="1"/>
  <c r="Q4667" i="1"/>
  <c r="I7579" i="1"/>
  <c r="I7578" i="1"/>
  <c r="G7577" i="1"/>
  <c r="O7577" i="1" s="1"/>
  <c r="Q7577" i="1" s="1"/>
  <c r="M7577" i="1"/>
  <c r="I3707" i="1"/>
  <c r="M3705" i="1"/>
  <c r="G3705" i="1"/>
  <c r="O3705" i="1" s="1"/>
  <c r="I4549" i="1"/>
  <c r="G4548" i="1"/>
  <c r="O4548" i="1" s="1"/>
  <c r="Q4548" i="1" s="1"/>
  <c r="M4548" i="1"/>
  <c r="I4550" i="1"/>
  <c r="I5269" i="1"/>
  <c r="I5270" i="1"/>
  <c r="G5268" i="1"/>
  <c r="O5268" i="1" s="1"/>
  <c r="Q5268" i="1" s="1"/>
  <c r="M5268" i="1"/>
  <c r="Q3823" i="1"/>
  <c r="O3824" i="1"/>
  <c r="I7819" i="1"/>
  <c r="M7817" i="1"/>
  <c r="I7818" i="1"/>
  <c r="G7817" i="1"/>
  <c r="O7817" i="1" s="1"/>
  <c r="Q7817" i="1" s="1"/>
  <c r="Q5387" i="1"/>
  <c r="Q5027" i="1"/>
  <c r="I7096" i="1"/>
  <c r="M7094" i="1"/>
  <c r="G7094" i="1"/>
  <c r="O7094" i="1" s="1"/>
  <c r="Q8536" i="1"/>
  <c r="Q8656" i="1"/>
  <c r="Q4187" i="1"/>
  <c r="G4428" i="1"/>
  <c r="O4428" i="1" s="1"/>
  <c r="Q4428" i="1" s="1"/>
  <c r="M4428" i="1"/>
  <c r="I4430" i="1"/>
  <c r="I4429" i="1"/>
  <c r="M5388" i="1"/>
  <c r="I5390" i="1"/>
  <c r="I5389" i="1"/>
  <c r="G5388" i="1"/>
  <c r="O5388" i="1" s="1"/>
  <c r="Q5388" i="1" s="1"/>
  <c r="O3586" i="1"/>
  <c r="Q3585" i="1"/>
  <c r="I4910" i="1"/>
  <c r="I4909" i="1"/>
  <c r="G4908" i="1"/>
  <c r="O4908" i="1" s="1"/>
  <c r="Q4908" i="1" s="1"/>
  <c r="M4908" i="1"/>
  <c r="I8539" i="1"/>
  <c r="I8538" i="1"/>
  <c r="G8537" i="1"/>
  <c r="O8537" i="1" s="1"/>
  <c r="Q8537" i="1" s="1"/>
  <c r="M8537" i="1"/>
  <c r="Q8776" i="1"/>
  <c r="I4670" i="1"/>
  <c r="I4669" i="1"/>
  <c r="M4668" i="1"/>
  <c r="G4668" i="1"/>
  <c r="O4668" i="1" s="1"/>
  <c r="Q4668" i="1" s="1"/>
  <c r="I8659" i="1"/>
  <c r="I8658" i="1"/>
  <c r="M8657" i="1"/>
  <c r="G8657" i="1"/>
  <c r="O8657" i="1" s="1"/>
  <c r="Q8657" i="1" s="1"/>
  <c r="Q4307" i="1"/>
  <c r="I3827" i="1"/>
  <c r="M3825" i="1"/>
  <c r="G3825" i="1"/>
  <c r="O3825" i="1" s="1"/>
  <c r="I5030" i="1"/>
  <c r="I5029" i="1"/>
  <c r="M5028" i="1"/>
  <c r="G5028" i="1"/>
  <c r="O5028" i="1" s="1"/>
  <c r="Q5028" i="1" s="1"/>
  <c r="Q7696" i="1"/>
  <c r="Q8416" i="1"/>
  <c r="Q1635" i="1"/>
  <c r="Q439" i="1"/>
  <c r="G917" i="1"/>
  <c r="O917" i="1" s="1"/>
  <c r="Q917" i="1" s="1"/>
  <c r="M917" i="1"/>
  <c r="I919" i="1"/>
  <c r="O916" i="1"/>
  <c r="G1877" i="1"/>
  <c r="O1877" i="1" s="1"/>
  <c r="Q1877" i="1" s="1"/>
  <c r="M1877" i="1"/>
  <c r="I1879" i="1"/>
  <c r="G1879" i="1" s="1"/>
  <c r="O1876" i="1"/>
  <c r="G1397" i="1"/>
  <c r="O1397" i="1" s="1"/>
  <c r="Q1397" i="1" s="1"/>
  <c r="M1397" i="1"/>
  <c r="I1399" i="1"/>
  <c r="G1399" i="1" s="1"/>
  <c r="O1396" i="1"/>
  <c r="G1637" i="1"/>
  <c r="O1637" i="1" s="1"/>
  <c r="Q1637" i="1" s="1"/>
  <c r="I1639" i="1"/>
  <c r="G1639" i="1" s="1"/>
  <c r="M1637" i="1"/>
  <c r="O1636" i="1"/>
  <c r="G1757" i="1"/>
  <c r="O1757" i="1" s="1"/>
  <c r="M1757" i="1"/>
  <c r="I1759" i="1"/>
  <c r="G1759" i="1" s="1"/>
  <c r="O1756" i="1"/>
  <c r="G1277" i="1"/>
  <c r="O1277" i="1" s="1"/>
  <c r="I1279" i="1"/>
  <c r="G1279" i="1" s="1"/>
  <c r="M1277" i="1"/>
  <c r="O1276" i="1"/>
  <c r="G677" i="1"/>
  <c r="O677" i="1" s="1"/>
  <c r="Q677" i="1" s="1"/>
  <c r="I679" i="1"/>
  <c r="G679" i="1" s="1"/>
  <c r="M677" i="1"/>
  <c r="O676" i="1"/>
  <c r="O558" i="1"/>
  <c r="O196" i="1"/>
  <c r="O796" i="1"/>
  <c r="G197" i="1"/>
  <c r="O197" i="1" s="1"/>
  <c r="Q197" i="1" s="1"/>
  <c r="I199" i="1"/>
  <c r="G199" i="1" s="1"/>
  <c r="M197" i="1"/>
  <c r="M559" i="1"/>
  <c r="O559" i="1"/>
  <c r="I560" i="1"/>
  <c r="G797" i="1"/>
  <c r="O797" i="1" s="1"/>
  <c r="Q797" i="1" s="1"/>
  <c r="I799" i="1"/>
  <c r="G799" i="1" s="1"/>
  <c r="M797" i="1"/>
  <c r="O78" i="1"/>
  <c r="K80" i="1"/>
  <c r="O79" i="1"/>
  <c r="Q79" i="1" s="1"/>
  <c r="M79" i="1"/>
  <c r="I83" i="1"/>
  <c r="I2002" i="1"/>
  <c r="G2002" i="1" s="1"/>
  <c r="I2001" i="1"/>
  <c r="G2001" i="1" s="1"/>
  <c r="M2000" i="1"/>
  <c r="G2000" i="1"/>
  <c r="O2000" i="1" s="1"/>
  <c r="Q2000" i="1" s="1"/>
  <c r="G440" i="1"/>
  <c r="O440" i="1" s="1"/>
  <c r="Q440" i="1" s="1"/>
  <c r="I441" i="1"/>
  <c r="G441" i="1" s="1"/>
  <c r="I442" i="1"/>
  <c r="G442" i="1" s="1"/>
  <c r="M440" i="1"/>
  <c r="M1520" i="1"/>
  <c r="I1521" i="1"/>
  <c r="G1521" i="1" s="1"/>
  <c r="G1520" i="1"/>
  <c r="O1520" i="1" s="1"/>
  <c r="Q1520" i="1" s="1"/>
  <c r="I1522" i="1"/>
  <c r="G1522" i="1" s="1"/>
  <c r="G1040" i="1"/>
  <c r="O1040" i="1" s="1"/>
  <c r="Q1040" i="1" s="1"/>
  <c r="I1042" i="1"/>
  <c r="G1042" i="1" s="1"/>
  <c r="M1040" i="1"/>
  <c r="I1041" i="1"/>
  <c r="G1041" i="1" s="1"/>
  <c r="I322" i="1"/>
  <c r="G322" i="1" s="1"/>
  <c r="G320" i="1"/>
  <c r="O320" i="1" s="1"/>
  <c r="I321" i="1"/>
  <c r="G321" i="1" s="1"/>
  <c r="M320" i="1"/>
  <c r="I1161" i="1"/>
  <c r="G1161" i="1" s="1"/>
  <c r="I1162" i="1"/>
  <c r="G1162" i="1" s="1"/>
  <c r="M1160" i="1"/>
  <c r="G1160" i="1"/>
  <c r="O1160" i="1" s="1"/>
  <c r="G5029" i="1" l="1"/>
  <c r="O5029" i="1" s="1"/>
  <c r="Q5029" i="1" s="1"/>
  <c r="M5029" i="1"/>
  <c r="G4910" i="1"/>
  <c r="O4910" i="1" s="1"/>
  <c r="Q4910" i="1" s="1"/>
  <c r="M4910" i="1"/>
  <c r="I4911" i="1"/>
  <c r="M4549" i="1"/>
  <c r="G4549" i="1"/>
  <c r="O4549" i="1" s="1"/>
  <c r="Q4549" i="1" s="1"/>
  <c r="I7580" i="1"/>
  <c r="M7579" i="1"/>
  <c r="G7579" i="1"/>
  <c r="O7579" i="1" s="1"/>
  <c r="Q7579" i="1" s="1"/>
  <c r="I5151" i="1"/>
  <c r="G5150" i="1"/>
  <c r="O5150" i="1" s="1"/>
  <c r="Q5150" i="1" s="1"/>
  <c r="M5150" i="1"/>
  <c r="Q4067" i="1"/>
  <c r="I8060" i="1"/>
  <c r="M8059" i="1"/>
  <c r="G8059" i="1"/>
  <c r="O8059" i="1" s="1"/>
  <c r="Q8059" i="1" s="1"/>
  <c r="O6855" i="1"/>
  <c r="Q6854" i="1"/>
  <c r="O3466" i="1"/>
  <c r="Q3465" i="1"/>
  <c r="Q4789" i="1"/>
  <c r="M4309" i="1"/>
  <c r="G4309" i="1"/>
  <c r="O4309" i="1" s="1"/>
  <c r="M8778" i="1"/>
  <c r="G8778" i="1"/>
  <c r="O8778" i="1" s="1"/>
  <c r="I5031" i="1"/>
  <c r="M5030" i="1"/>
  <c r="G5030" i="1"/>
  <c r="O5030" i="1" s="1"/>
  <c r="Q5030" i="1" s="1"/>
  <c r="G8658" i="1"/>
  <c r="O8658" i="1" s="1"/>
  <c r="Q8658" i="1" s="1"/>
  <c r="M8658" i="1"/>
  <c r="G4429" i="1"/>
  <c r="O4429" i="1" s="1"/>
  <c r="Q4429" i="1" s="1"/>
  <c r="M4429" i="1"/>
  <c r="Q6976" i="1"/>
  <c r="I6857" i="1"/>
  <c r="M6856" i="1"/>
  <c r="G6856" i="1"/>
  <c r="O6856" i="1" s="1"/>
  <c r="I4311" i="1"/>
  <c r="G4310" i="1"/>
  <c r="O4310" i="1" s="1"/>
  <c r="Q4310" i="1" s="1"/>
  <c r="M4310" i="1"/>
  <c r="O3826" i="1"/>
  <c r="Q3825" i="1"/>
  <c r="M8659" i="1"/>
  <c r="I8660" i="1"/>
  <c r="G8659" i="1"/>
  <c r="O8659" i="1" s="1"/>
  <c r="Q8659" i="1" s="1"/>
  <c r="I4431" i="1"/>
  <c r="M4430" i="1"/>
  <c r="G4430" i="1"/>
  <c r="O4430" i="1" s="1"/>
  <c r="Q4430" i="1" s="1"/>
  <c r="O3706" i="1"/>
  <c r="Q3705" i="1"/>
  <c r="I8181" i="1"/>
  <c r="G8180" i="1"/>
  <c r="O8180" i="1" s="1"/>
  <c r="Q8180" i="1" s="1"/>
  <c r="M8180" i="1"/>
  <c r="I4070" i="1"/>
  <c r="I4069" i="1"/>
  <c r="M4068" i="1"/>
  <c r="G4068" i="1"/>
  <c r="O4068" i="1" s="1"/>
  <c r="Q4068" i="1" s="1"/>
  <c r="I6979" i="1"/>
  <c r="I6978" i="1"/>
  <c r="G6977" i="1"/>
  <c r="O6977" i="1" s="1"/>
  <c r="Q6977" i="1" s="1"/>
  <c r="M6977" i="1"/>
  <c r="O3946" i="1"/>
  <c r="Q3945" i="1"/>
  <c r="G7698" i="1"/>
  <c r="O7698" i="1" s="1"/>
  <c r="M7698" i="1"/>
  <c r="I3468" i="1"/>
  <c r="G3467" i="1"/>
  <c r="O3467" i="1" s="1"/>
  <c r="M3467" i="1"/>
  <c r="M8779" i="1"/>
  <c r="I8780" i="1"/>
  <c r="G8779" i="1"/>
  <c r="O8779" i="1" s="1"/>
  <c r="Q8779" i="1" s="1"/>
  <c r="M8538" i="1"/>
  <c r="G8538" i="1"/>
  <c r="O8538" i="1" s="1"/>
  <c r="Q8538" i="1" s="1"/>
  <c r="G5270" i="1"/>
  <c r="O5270" i="1" s="1"/>
  <c r="Q5270" i="1" s="1"/>
  <c r="M5270" i="1"/>
  <c r="I5271" i="1"/>
  <c r="G7938" i="1"/>
  <c r="O7938" i="1" s="1"/>
  <c r="Q7938" i="1" s="1"/>
  <c r="M7938" i="1"/>
  <c r="M7699" i="1"/>
  <c r="I7700" i="1"/>
  <c r="G7699" i="1"/>
  <c r="O7699" i="1" s="1"/>
  <c r="Q7699" i="1" s="1"/>
  <c r="Q3587" i="1"/>
  <c r="I3828" i="1"/>
  <c r="G3827" i="1"/>
  <c r="O3827" i="1" s="1"/>
  <c r="M3827" i="1"/>
  <c r="I8540" i="1"/>
  <c r="M8539" i="1"/>
  <c r="G8539" i="1"/>
  <c r="O8539" i="1" s="1"/>
  <c r="Q8539" i="1" s="1"/>
  <c r="Q7094" i="1"/>
  <c r="O7095" i="1"/>
  <c r="M7818" i="1"/>
  <c r="G7818" i="1"/>
  <c r="O7818" i="1" s="1"/>
  <c r="Q7818" i="1" s="1"/>
  <c r="M5269" i="1"/>
  <c r="G5269" i="1"/>
  <c r="O5269" i="1" s="1"/>
  <c r="Q5269" i="1" s="1"/>
  <c r="I3708" i="1"/>
  <c r="M3707" i="1"/>
  <c r="G3707" i="1"/>
  <c r="O3707" i="1" s="1"/>
  <c r="I7940" i="1"/>
  <c r="G7939" i="1"/>
  <c r="O7939" i="1" s="1"/>
  <c r="Q7939" i="1" s="1"/>
  <c r="M7939" i="1"/>
  <c r="O7335" i="1"/>
  <c r="Q7334" i="1"/>
  <c r="I3948" i="1"/>
  <c r="G3947" i="1"/>
  <c r="O3947" i="1" s="1"/>
  <c r="M3947" i="1"/>
  <c r="G4189" i="1"/>
  <c r="O4189" i="1" s="1"/>
  <c r="M4189" i="1"/>
  <c r="G4669" i="1"/>
  <c r="O4669" i="1" s="1"/>
  <c r="Q4669" i="1" s="1"/>
  <c r="M4669" i="1"/>
  <c r="M4550" i="1"/>
  <c r="I4551" i="1"/>
  <c r="G4550" i="1"/>
  <c r="O4550" i="1" s="1"/>
  <c r="Q4550" i="1" s="1"/>
  <c r="G8298" i="1"/>
  <c r="O8298" i="1" s="1"/>
  <c r="Q8298" i="1" s="1"/>
  <c r="M8298" i="1"/>
  <c r="Q7456" i="1"/>
  <c r="G8418" i="1"/>
  <c r="O8418" i="1" s="1"/>
  <c r="M8418" i="1"/>
  <c r="I4792" i="1"/>
  <c r="G4791" i="1"/>
  <c r="O4791" i="1" s="1"/>
  <c r="Q4791" i="1" s="1"/>
  <c r="M4791" i="1"/>
  <c r="I3590" i="1"/>
  <c r="I3589" i="1"/>
  <c r="M3588" i="1"/>
  <c r="G3588" i="1"/>
  <c r="O3588" i="1" s="1"/>
  <c r="Q3588" i="1" s="1"/>
  <c r="I4191" i="1"/>
  <c r="M4190" i="1"/>
  <c r="G4190" i="1"/>
  <c r="O4190" i="1" s="1"/>
  <c r="Q4190" i="1" s="1"/>
  <c r="G4670" i="1"/>
  <c r="O4670" i="1" s="1"/>
  <c r="Q4670" i="1" s="1"/>
  <c r="I4671" i="1"/>
  <c r="M4670" i="1"/>
  <c r="M5389" i="1"/>
  <c r="G5389" i="1"/>
  <c r="O5389" i="1" s="1"/>
  <c r="I7097" i="1"/>
  <c r="M7096" i="1"/>
  <c r="G7096" i="1"/>
  <c r="O7096" i="1" s="1"/>
  <c r="G7819" i="1"/>
  <c r="O7819" i="1" s="1"/>
  <c r="Q7819" i="1" s="1"/>
  <c r="M7819" i="1"/>
  <c r="I7820" i="1"/>
  <c r="I8300" i="1"/>
  <c r="M8299" i="1"/>
  <c r="G8299" i="1"/>
  <c r="O8299" i="1" s="1"/>
  <c r="Q8299" i="1" s="1"/>
  <c r="I7337" i="1"/>
  <c r="G7336" i="1"/>
  <c r="O7336" i="1" s="1"/>
  <c r="M7336" i="1"/>
  <c r="O7215" i="1"/>
  <c r="Q7214" i="1"/>
  <c r="I7459" i="1"/>
  <c r="I7458" i="1"/>
  <c r="G7457" i="1"/>
  <c r="O7457" i="1" s="1"/>
  <c r="Q7457" i="1" s="1"/>
  <c r="M7457" i="1"/>
  <c r="I8420" i="1"/>
  <c r="M8419" i="1"/>
  <c r="G8419" i="1"/>
  <c r="O8419" i="1" s="1"/>
  <c r="Q8419" i="1" s="1"/>
  <c r="G4909" i="1"/>
  <c r="O4909" i="1" s="1"/>
  <c r="Q4909" i="1" s="1"/>
  <c r="M4909" i="1"/>
  <c r="I5391" i="1"/>
  <c r="G5390" i="1"/>
  <c r="O5390" i="1" s="1"/>
  <c r="Q5390" i="1" s="1"/>
  <c r="M5390" i="1"/>
  <c r="G7578" i="1"/>
  <c r="O7578" i="1" s="1"/>
  <c r="Q7578" i="1" s="1"/>
  <c r="M7578" i="1"/>
  <c r="G5149" i="1"/>
  <c r="O5149" i="1" s="1"/>
  <c r="Q5149" i="1" s="1"/>
  <c r="M5149" i="1"/>
  <c r="I7217" i="1"/>
  <c r="G7216" i="1"/>
  <c r="O7216" i="1" s="1"/>
  <c r="M7216" i="1"/>
  <c r="M8058" i="1"/>
  <c r="G8058" i="1"/>
  <c r="O8058" i="1" s="1"/>
  <c r="Q8058" i="1" s="1"/>
  <c r="Q1277" i="1"/>
  <c r="Q1160" i="1"/>
  <c r="Q1757" i="1"/>
  <c r="Q320" i="1"/>
  <c r="Q559" i="1"/>
  <c r="G919" i="1"/>
  <c r="O919" i="1" s="1"/>
  <c r="Q919" i="1" s="1"/>
  <c r="M919" i="1"/>
  <c r="I920" i="1"/>
  <c r="O918" i="1"/>
  <c r="M1879" i="1"/>
  <c r="I1880" i="1"/>
  <c r="O1879" i="1"/>
  <c r="Q1879" i="1" s="1"/>
  <c r="O1878" i="1"/>
  <c r="I1640" i="1"/>
  <c r="M1639" i="1"/>
  <c r="O1639" i="1"/>
  <c r="Q1639" i="1" s="1"/>
  <c r="O1638" i="1"/>
  <c r="I1760" i="1"/>
  <c r="O1759" i="1"/>
  <c r="Q1759" i="1" s="1"/>
  <c r="M1759" i="1"/>
  <c r="O1758" i="1"/>
  <c r="I1400" i="1"/>
  <c r="M1399" i="1"/>
  <c r="O1399" i="1"/>
  <c r="Q1399" i="1" s="1"/>
  <c r="O1398" i="1"/>
  <c r="O1279" i="1"/>
  <c r="I1280" i="1"/>
  <c r="M1279" i="1"/>
  <c r="O1278" i="1"/>
  <c r="I680" i="1"/>
  <c r="M679" i="1"/>
  <c r="O679" i="1"/>
  <c r="O678" i="1"/>
  <c r="O198" i="1"/>
  <c r="O798" i="1"/>
  <c r="I800" i="1"/>
  <c r="M799" i="1"/>
  <c r="O799" i="1"/>
  <c r="Q799" i="1" s="1"/>
  <c r="M560" i="1"/>
  <c r="I562" i="1"/>
  <c r="G562" i="1" s="1"/>
  <c r="I561" i="1"/>
  <c r="G560" i="1"/>
  <c r="O560" i="1" s="1"/>
  <c r="I200" i="1"/>
  <c r="M199" i="1"/>
  <c r="O199" i="1"/>
  <c r="Q199" i="1" s="1"/>
  <c r="K81" i="1"/>
  <c r="K82" i="1"/>
  <c r="G82" i="1" s="1"/>
  <c r="M80" i="1"/>
  <c r="G80" i="1"/>
  <c r="O80" i="1" s="1"/>
  <c r="Q80" i="1" s="1"/>
  <c r="M1521" i="1"/>
  <c r="O1521" i="1"/>
  <c r="O321" i="1"/>
  <c r="Q321" i="1" s="1"/>
  <c r="M321" i="1"/>
  <c r="I1043" i="1"/>
  <c r="G1043" i="1" s="1"/>
  <c r="O1042" i="1"/>
  <c r="Q1042" i="1" s="1"/>
  <c r="M1042" i="1"/>
  <c r="O442" i="1"/>
  <c r="I443" i="1"/>
  <c r="G443" i="1" s="1"/>
  <c r="M442" i="1"/>
  <c r="I1163" i="1"/>
  <c r="G1163" i="1" s="1"/>
  <c r="O1162" i="1"/>
  <c r="M1162" i="1"/>
  <c r="O1522" i="1"/>
  <c r="Q1522" i="1" s="1"/>
  <c r="M1522" i="1"/>
  <c r="I1523" i="1"/>
  <c r="G1523" i="1" s="1"/>
  <c r="O441" i="1"/>
  <c r="Q441" i="1" s="1"/>
  <c r="M441" i="1"/>
  <c r="O2001" i="1"/>
  <c r="Q2001" i="1" s="1"/>
  <c r="M2001" i="1"/>
  <c r="M1161" i="1"/>
  <c r="O1161" i="1"/>
  <c r="Q1161" i="1" s="1"/>
  <c r="O322" i="1"/>
  <c r="Q322" i="1" s="1"/>
  <c r="M322" i="1"/>
  <c r="I323" i="1"/>
  <c r="G323" i="1" s="1"/>
  <c r="M1041" i="1"/>
  <c r="O1041" i="1"/>
  <c r="Q1041" i="1" s="1"/>
  <c r="M2002" i="1"/>
  <c r="I2003" i="1"/>
  <c r="G2003" i="1" s="1"/>
  <c r="O2002" i="1"/>
  <c r="Q2002" i="1" s="1"/>
  <c r="I84" i="1"/>
  <c r="G8420" i="1" l="1"/>
  <c r="O8420" i="1" s="1"/>
  <c r="Q8420" i="1" s="1"/>
  <c r="M8420" i="1"/>
  <c r="I8421" i="1"/>
  <c r="Q7336" i="1"/>
  <c r="I4672" i="1"/>
  <c r="M4671" i="1"/>
  <c r="G4671" i="1"/>
  <c r="O4671" i="1" s="1"/>
  <c r="Q4671" i="1" s="1"/>
  <c r="M3589" i="1"/>
  <c r="G3589" i="1"/>
  <c r="O3589" i="1" s="1"/>
  <c r="Q3589" i="1" s="1"/>
  <c r="Q3947" i="1"/>
  <c r="I7941" i="1"/>
  <c r="G7940" i="1"/>
  <c r="O7940" i="1" s="1"/>
  <c r="M7940" i="1"/>
  <c r="I3830" i="1"/>
  <c r="I3829" i="1"/>
  <c r="G3828" i="1"/>
  <c r="O3828" i="1" s="1"/>
  <c r="Q3828" i="1" s="1"/>
  <c r="M3828" i="1"/>
  <c r="G7337" i="1"/>
  <c r="O7337" i="1" s="1"/>
  <c r="Q7337" i="1" s="1"/>
  <c r="I7339" i="1"/>
  <c r="I7338" i="1"/>
  <c r="M7337" i="1"/>
  <c r="I3591" i="1"/>
  <c r="M3590" i="1"/>
  <c r="G3590" i="1"/>
  <c r="O3590" i="1" s="1"/>
  <c r="Q3590" i="1" s="1"/>
  <c r="I3949" i="1"/>
  <c r="G3948" i="1"/>
  <c r="O3948" i="1" s="1"/>
  <c r="Q3948" i="1" s="1"/>
  <c r="M3948" i="1"/>
  <c r="I3950" i="1"/>
  <c r="Q3707" i="1"/>
  <c r="Q7698" i="1"/>
  <c r="I7581" i="1"/>
  <c r="M7580" i="1"/>
  <c r="G7580" i="1"/>
  <c r="O7580" i="1" s="1"/>
  <c r="Q7580" i="1" s="1"/>
  <c r="Q7096" i="1"/>
  <c r="M5271" i="1"/>
  <c r="I5272" i="1"/>
  <c r="G5271" i="1"/>
  <c r="O5271" i="1" s="1"/>
  <c r="I8781" i="1"/>
  <c r="M8780" i="1"/>
  <c r="G8780" i="1"/>
  <c r="O8780" i="1" s="1"/>
  <c r="Q8780" i="1" s="1"/>
  <c r="M4069" i="1"/>
  <c r="G4069" i="1"/>
  <c r="O4069" i="1" s="1"/>
  <c r="Q4069" i="1" s="1"/>
  <c r="I5032" i="1"/>
  <c r="M5031" i="1"/>
  <c r="G5031" i="1"/>
  <c r="O5031" i="1" s="1"/>
  <c r="G7458" i="1"/>
  <c r="O7458" i="1" s="1"/>
  <c r="Q7458" i="1" s="1"/>
  <c r="M7458" i="1"/>
  <c r="I3710" i="1"/>
  <c r="I3709" i="1"/>
  <c r="M3708" i="1"/>
  <c r="G3708" i="1"/>
  <c r="O3708" i="1" s="1"/>
  <c r="Q3708" i="1" s="1"/>
  <c r="I4071" i="1"/>
  <c r="M4070" i="1"/>
  <c r="G4070" i="1"/>
  <c r="O4070" i="1" s="1"/>
  <c r="Q4070" i="1" s="1"/>
  <c r="Q8778" i="1"/>
  <c r="Q7216" i="1"/>
  <c r="I7460" i="1"/>
  <c r="G7459" i="1"/>
  <c r="O7459" i="1" s="1"/>
  <c r="Q7459" i="1" s="1"/>
  <c r="M7459" i="1"/>
  <c r="I7099" i="1"/>
  <c r="I7098" i="1"/>
  <c r="M7097" i="1"/>
  <c r="G7097" i="1"/>
  <c r="O7097" i="1" s="1"/>
  <c r="Q7097" i="1" s="1"/>
  <c r="I4793" i="1"/>
  <c r="M4792" i="1"/>
  <c r="G4792" i="1"/>
  <c r="O4792" i="1" s="1"/>
  <c r="Q4792" i="1" s="1"/>
  <c r="I7701" i="1"/>
  <c r="M7700" i="1"/>
  <c r="G7700" i="1"/>
  <c r="O7700" i="1" s="1"/>
  <c r="Q7700" i="1" s="1"/>
  <c r="I4432" i="1"/>
  <c r="G4431" i="1"/>
  <c r="O4431" i="1" s="1"/>
  <c r="M4431" i="1"/>
  <c r="I4312" i="1"/>
  <c r="M4311" i="1"/>
  <c r="G4311" i="1"/>
  <c r="O4311" i="1" s="1"/>
  <c r="Q4311" i="1" s="1"/>
  <c r="I7219" i="1"/>
  <c r="I7218" i="1"/>
  <c r="M7217" i="1"/>
  <c r="G7217" i="1"/>
  <c r="O7217" i="1" s="1"/>
  <c r="Q7217" i="1" s="1"/>
  <c r="G8300" i="1"/>
  <c r="O8300" i="1" s="1"/>
  <c r="Q8300" i="1" s="1"/>
  <c r="I8301" i="1"/>
  <c r="M8300" i="1"/>
  <c r="Q5389" i="1"/>
  <c r="I4192" i="1"/>
  <c r="M4191" i="1"/>
  <c r="G4191" i="1"/>
  <c r="O4191" i="1" s="1"/>
  <c r="Q4191" i="1" s="1"/>
  <c r="Q4189" i="1"/>
  <c r="M8540" i="1"/>
  <c r="I8541" i="1"/>
  <c r="G8540" i="1"/>
  <c r="O8540" i="1" s="1"/>
  <c r="Q8540" i="1" s="1"/>
  <c r="Q6856" i="1"/>
  <c r="Q4309" i="1"/>
  <c r="G4911" i="1"/>
  <c r="O4911" i="1" s="1"/>
  <c r="Q4911" i="1" s="1"/>
  <c r="M4911" i="1"/>
  <c r="I4912" i="1"/>
  <c r="Q8418" i="1"/>
  <c r="G4551" i="1"/>
  <c r="O4551" i="1" s="1"/>
  <c r="Q4551" i="1" s="1"/>
  <c r="M4551" i="1"/>
  <c r="I4552" i="1"/>
  <c r="Q3467" i="1"/>
  <c r="M6978" i="1"/>
  <c r="G6978" i="1"/>
  <c r="O6978" i="1" s="1"/>
  <c r="Q6978" i="1" s="1"/>
  <c r="I8182" i="1"/>
  <c r="G8181" i="1"/>
  <c r="O8181" i="1" s="1"/>
  <c r="M8181" i="1"/>
  <c r="I8661" i="1"/>
  <c r="M8660" i="1"/>
  <c r="G8660" i="1"/>
  <c r="O8660" i="1" s="1"/>
  <c r="Q8660" i="1" s="1"/>
  <c r="I5152" i="1"/>
  <c r="G5151" i="1"/>
  <c r="O5151" i="1" s="1"/>
  <c r="Q5151" i="1" s="1"/>
  <c r="M5151" i="1"/>
  <c r="I5392" i="1"/>
  <c r="G5391" i="1"/>
  <c r="O5391" i="1" s="1"/>
  <c r="Q5391" i="1" s="1"/>
  <c r="M5391" i="1"/>
  <c r="I7821" i="1"/>
  <c r="M7820" i="1"/>
  <c r="G7820" i="1"/>
  <c r="O7820" i="1" s="1"/>
  <c r="Q7820" i="1" s="1"/>
  <c r="Q3827" i="1"/>
  <c r="M3468" i="1"/>
  <c r="I3470" i="1"/>
  <c r="I3469" i="1"/>
  <c r="G3468" i="1"/>
  <c r="O3468" i="1" s="1"/>
  <c r="Q3468" i="1" s="1"/>
  <c r="I6980" i="1"/>
  <c r="M6979" i="1"/>
  <c r="G6979" i="1"/>
  <c r="O6979" i="1" s="1"/>
  <c r="Q6979" i="1" s="1"/>
  <c r="I6859" i="1"/>
  <c r="I6858" i="1"/>
  <c r="M6857" i="1"/>
  <c r="G6857" i="1"/>
  <c r="O6857" i="1" s="1"/>
  <c r="Q6857" i="1" s="1"/>
  <c r="I8061" i="1"/>
  <c r="M8060" i="1"/>
  <c r="G8060" i="1"/>
  <c r="O8060" i="1" s="1"/>
  <c r="Q8060" i="1" s="1"/>
  <c r="Q1521" i="1"/>
  <c r="Q1162" i="1"/>
  <c r="Q560" i="1"/>
  <c r="Q1279" i="1"/>
  <c r="Q442" i="1"/>
  <c r="Q679" i="1"/>
  <c r="G920" i="1"/>
  <c r="O920" i="1" s="1"/>
  <c r="Q920" i="1" s="1"/>
  <c r="I921" i="1"/>
  <c r="I922" i="1"/>
  <c r="M920" i="1"/>
  <c r="I1881" i="1"/>
  <c r="I1882" i="1"/>
  <c r="G1882" i="1" s="1"/>
  <c r="G1880" i="1"/>
  <c r="O1880" i="1" s="1"/>
  <c r="M1880" i="1"/>
  <c r="M1760" i="1"/>
  <c r="I1762" i="1"/>
  <c r="G1762" i="1" s="1"/>
  <c r="I1761" i="1"/>
  <c r="G1760" i="1"/>
  <c r="O1760" i="1" s="1"/>
  <c r="Q1760" i="1" s="1"/>
  <c r="I1401" i="1"/>
  <c r="G1400" i="1"/>
  <c r="O1400" i="1" s="1"/>
  <c r="Q1400" i="1" s="1"/>
  <c r="I1402" i="1"/>
  <c r="G1402" i="1" s="1"/>
  <c r="M1400" i="1"/>
  <c r="I1642" i="1"/>
  <c r="G1642" i="1" s="1"/>
  <c r="M1640" i="1"/>
  <c r="G1640" i="1"/>
  <c r="O1640" i="1" s="1"/>
  <c r="Q1640" i="1" s="1"/>
  <c r="I1641" i="1"/>
  <c r="G81" i="1"/>
  <c r="O81" i="1" s="1"/>
  <c r="Q81" i="1" s="1"/>
  <c r="M81" i="1"/>
  <c r="I1281" i="1"/>
  <c r="M1280" i="1"/>
  <c r="G1280" i="1"/>
  <c r="O1280" i="1" s="1"/>
  <c r="Q1280" i="1" s="1"/>
  <c r="I1282" i="1"/>
  <c r="G1282" i="1" s="1"/>
  <c r="G680" i="1"/>
  <c r="O680" i="1" s="1"/>
  <c r="Q680" i="1" s="1"/>
  <c r="I681" i="1"/>
  <c r="M680" i="1"/>
  <c r="I682" i="1"/>
  <c r="G682" i="1" s="1"/>
  <c r="M200" i="1"/>
  <c r="I202" i="1"/>
  <c r="G202" i="1" s="1"/>
  <c r="I201" i="1"/>
  <c r="G200" i="1"/>
  <c r="O200" i="1" s="1"/>
  <c r="Q200" i="1" s="1"/>
  <c r="G561" i="1"/>
  <c r="O561" i="1" s="1"/>
  <c r="Q561" i="1" s="1"/>
  <c r="M561" i="1"/>
  <c r="I563" i="1"/>
  <c r="M562" i="1"/>
  <c r="O562" i="1"/>
  <c r="Q562" i="1" s="1"/>
  <c r="M800" i="1"/>
  <c r="G800" i="1"/>
  <c r="O800" i="1" s="1"/>
  <c r="Q800" i="1" s="1"/>
  <c r="I802" i="1"/>
  <c r="G802" i="1" s="1"/>
  <c r="I801" i="1"/>
  <c r="K83" i="1"/>
  <c r="G83" i="1" s="1"/>
  <c r="M82" i="1"/>
  <c r="O82" i="1"/>
  <c r="Q82" i="1" s="1"/>
  <c r="M323" i="1"/>
  <c r="I324" i="1"/>
  <c r="G324" i="1" s="1"/>
  <c r="O323" i="1"/>
  <c r="Q323" i="1" s="1"/>
  <c r="O1523" i="1"/>
  <c r="Q1523" i="1" s="1"/>
  <c r="I1524" i="1"/>
  <c r="G1524" i="1" s="1"/>
  <c r="M1523" i="1"/>
  <c r="M1163" i="1"/>
  <c r="O1163" i="1"/>
  <c r="Q1163" i="1" s="1"/>
  <c r="I1164" i="1"/>
  <c r="G1164" i="1" s="1"/>
  <c r="I1044" i="1"/>
  <c r="G1044" i="1" s="1"/>
  <c r="O1043" i="1"/>
  <c r="Q1043" i="1" s="1"/>
  <c r="M1043" i="1"/>
  <c r="I2004" i="1"/>
  <c r="G2004" i="1" s="1"/>
  <c r="O2003" i="1"/>
  <c r="Q2003" i="1" s="1"/>
  <c r="M2003" i="1"/>
  <c r="I444" i="1"/>
  <c r="G444" i="1" s="1"/>
  <c r="M443" i="1"/>
  <c r="O443" i="1"/>
  <c r="Q443" i="1" s="1"/>
  <c r="I85" i="1"/>
  <c r="M6858" i="1" l="1"/>
  <c r="G6858" i="1"/>
  <c r="O6858" i="1" s="1"/>
  <c r="Q6858" i="1" s="1"/>
  <c r="I7822" i="1"/>
  <c r="M7821" i="1"/>
  <c r="G7821" i="1"/>
  <c r="O7821" i="1" s="1"/>
  <c r="Q7821" i="1" s="1"/>
  <c r="G3591" i="1"/>
  <c r="O3591" i="1" s="1"/>
  <c r="M3591" i="1"/>
  <c r="I3592" i="1"/>
  <c r="G6859" i="1"/>
  <c r="O6859" i="1" s="1"/>
  <c r="Q6859" i="1" s="1"/>
  <c r="M6859" i="1"/>
  <c r="I6860" i="1"/>
  <c r="Q4431" i="1"/>
  <c r="I7461" i="1"/>
  <c r="G7460" i="1"/>
  <c r="O7460" i="1" s="1"/>
  <c r="M7460" i="1"/>
  <c r="M4071" i="1"/>
  <c r="G4071" i="1"/>
  <c r="O4071" i="1" s="1"/>
  <c r="Q4071" i="1" s="1"/>
  <c r="I4072" i="1"/>
  <c r="I8782" i="1"/>
  <c r="M8781" i="1"/>
  <c r="G8781" i="1"/>
  <c r="O8781" i="1" s="1"/>
  <c r="G8421" i="1"/>
  <c r="O8421" i="1" s="1"/>
  <c r="M8421" i="1"/>
  <c r="I8422" i="1"/>
  <c r="I8662" i="1"/>
  <c r="G8661" i="1"/>
  <c r="O8661" i="1" s="1"/>
  <c r="Q8661" i="1" s="1"/>
  <c r="M8661" i="1"/>
  <c r="I4193" i="1"/>
  <c r="M4192" i="1"/>
  <c r="G4192" i="1"/>
  <c r="O4192" i="1" s="1"/>
  <c r="M7218" i="1"/>
  <c r="G7218" i="1"/>
  <c r="O7218" i="1" s="1"/>
  <c r="I4433" i="1"/>
  <c r="M4432" i="1"/>
  <c r="G4432" i="1"/>
  <c r="O4432" i="1" s="1"/>
  <c r="Q4432" i="1" s="1"/>
  <c r="I4794" i="1"/>
  <c r="M4793" i="1"/>
  <c r="G4793" i="1"/>
  <c r="O4793" i="1" s="1"/>
  <c r="Q5031" i="1"/>
  <c r="Q5271" i="1"/>
  <c r="I7582" i="1"/>
  <c r="M7581" i="1"/>
  <c r="G7581" i="1"/>
  <c r="O7581" i="1" s="1"/>
  <c r="G3950" i="1"/>
  <c r="O3950" i="1" s="1"/>
  <c r="Q3950" i="1" s="1"/>
  <c r="M3950" i="1"/>
  <c r="I3951" i="1"/>
  <c r="M7338" i="1"/>
  <c r="G7338" i="1"/>
  <c r="O7338" i="1" s="1"/>
  <c r="Q7338" i="1" s="1"/>
  <c r="M5392" i="1"/>
  <c r="I5393" i="1"/>
  <c r="G5392" i="1"/>
  <c r="O5392" i="1" s="1"/>
  <c r="Q5392" i="1" s="1"/>
  <c r="I4553" i="1"/>
  <c r="M4552" i="1"/>
  <c r="G4552" i="1"/>
  <c r="O4552" i="1" s="1"/>
  <c r="Q4552" i="1" s="1"/>
  <c r="I7220" i="1"/>
  <c r="G7219" i="1"/>
  <c r="O7219" i="1" s="1"/>
  <c r="Q7219" i="1" s="1"/>
  <c r="M7219" i="1"/>
  <c r="I5273" i="1"/>
  <c r="G5272" i="1"/>
  <c r="O5272" i="1" s="1"/>
  <c r="Q5272" i="1" s="1"/>
  <c r="M5272" i="1"/>
  <c r="G7339" i="1"/>
  <c r="O7339" i="1" s="1"/>
  <c r="Q7339" i="1" s="1"/>
  <c r="M7339" i="1"/>
  <c r="I7340" i="1"/>
  <c r="G3829" i="1"/>
  <c r="O3829" i="1" s="1"/>
  <c r="M3829" i="1"/>
  <c r="I8062" i="1"/>
  <c r="M8061" i="1"/>
  <c r="G8061" i="1"/>
  <c r="O8061" i="1" s="1"/>
  <c r="Q8061" i="1" s="1"/>
  <c r="I6981" i="1"/>
  <c r="G6980" i="1"/>
  <c r="O6980" i="1" s="1"/>
  <c r="Q6980" i="1" s="1"/>
  <c r="M6980" i="1"/>
  <c r="Q8181" i="1"/>
  <c r="I4913" i="1"/>
  <c r="G4912" i="1"/>
  <c r="O4912" i="1" s="1"/>
  <c r="Q4912" i="1" s="1"/>
  <c r="M4912" i="1"/>
  <c r="I8542" i="1"/>
  <c r="G8541" i="1"/>
  <c r="O8541" i="1" s="1"/>
  <c r="Q8541" i="1" s="1"/>
  <c r="M8541" i="1"/>
  <c r="M3709" i="1"/>
  <c r="G3709" i="1"/>
  <c r="O3709" i="1" s="1"/>
  <c r="Q3709" i="1" s="1"/>
  <c r="M5032" i="1"/>
  <c r="G5032" i="1"/>
  <c r="O5032" i="1" s="1"/>
  <c r="Q5032" i="1" s="1"/>
  <c r="I5033" i="1"/>
  <c r="M3830" i="1"/>
  <c r="I3831" i="1"/>
  <c r="G3830" i="1"/>
  <c r="O3830" i="1" s="1"/>
  <c r="Q3830" i="1" s="1"/>
  <c r="I8183" i="1"/>
  <c r="G8182" i="1"/>
  <c r="O8182" i="1" s="1"/>
  <c r="Q8182" i="1" s="1"/>
  <c r="M8182" i="1"/>
  <c r="G7098" i="1"/>
  <c r="O7098" i="1" s="1"/>
  <c r="M7098" i="1"/>
  <c r="M3710" i="1"/>
  <c r="I3711" i="1"/>
  <c r="G3710" i="1"/>
  <c r="O3710" i="1" s="1"/>
  <c r="Q3710" i="1" s="1"/>
  <c r="G3949" i="1"/>
  <c r="O3949" i="1" s="1"/>
  <c r="Q3949" i="1" s="1"/>
  <c r="M3949" i="1"/>
  <c r="I8302" i="1"/>
  <c r="G8301" i="1"/>
  <c r="O8301" i="1" s="1"/>
  <c r="M8301" i="1"/>
  <c r="I7702" i="1"/>
  <c r="M7701" i="1"/>
  <c r="G7701" i="1"/>
  <c r="O7701" i="1" s="1"/>
  <c r="M7099" i="1"/>
  <c r="G7099" i="1"/>
  <c r="O7099" i="1" s="1"/>
  <c r="Q7099" i="1" s="1"/>
  <c r="I7100" i="1"/>
  <c r="Q7940" i="1"/>
  <c r="M4672" i="1"/>
  <c r="G4672" i="1"/>
  <c r="O4672" i="1" s="1"/>
  <c r="I4673" i="1"/>
  <c r="M3469" i="1"/>
  <c r="G3469" i="1"/>
  <c r="O3469" i="1" s="1"/>
  <c r="Q3469" i="1" s="1"/>
  <c r="I3471" i="1"/>
  <c r="G3470" i="1"/>
  <c r="O3470" i="1" s="1"/>
  <c r="Q3470" i="1" s="1"/>
  <c r="M3470" i="1"/>
  <c r="I5153" i="1"/>
  <c r="G5152" i="1"/>
  <c r="O5152" i="1" s="1"/>
  <c r="Q5152" i="1" s="1"/>
  <c r="M5152" i="1"/>
  <c r="I4313" i="1"/>
  <c r="M4312" i="1"/>
  <c r="G4312" i="1"/>
  <c r="O4312" i="1" s="1"/>
  <c r="Q4312" i="1" s="1"/>
  <c r="I7942" i="1"/>
  <c r="G7941" i="1"/>
  <c r="O7941" i="1" s="1"/>
  <c r="Q7941" i="1" s="1"/>
  <c r="M7941" i="1"/>
  <c r="Q1880" i="1"/>
  <c r="G922" i="1"/>
  <c r="O922" i="1" s="1"/>
  <c r="Q922" i="1" s="1"/>
  <c r="M922" i="1"/>
  <c r="I923" i="1"/>
  <c r="G921" i="1"/>
  <c r="O921" i="1" s="1"/>
  <c r="Q921" i="1" s="1"/>
  <c r="M921" i="1"/>
  <c r="M1882" i="1"/>
  <c r="O1882" i="1"/>
  <c r="I1883" i="1"/>
  <c r="G1881" i="1"/>
  <c r="O1881" i="1" s="1"/>
  <c r="Q1881" i="1" s="1"/>
  <c r="M1881" i="1"/>
  <c r="O1402" i="1"/>
  <c r="Q1402" i="1" s="1"/>
  <c r="M1402" i="1"/>
  <c r="I1403" i="1"/>
  <c r="G1401" i="1"/>
  <c r="O1401" i="1" s="1"/>
  <c r="Q1401" i="1" s="1"/>
  <c r="M1401" i="1"/>
  <c r="G1641" i="1"/>
  <c r="O1641" i="1" s="1"/>
  <c r="Q1641" i="1" s="1"/>
  <c r="M1641" i="1"/>
  <c r="G1761" i="1"/>
  <c r="O1761" i="1" s="1"/>
  <c r="Q1761" i="1" s="1"/>
  <c r="M1761" i="1"/>
  <c r="M1762" i="1"/>
  <c r="O1762" i="1"/>
  <c r="Q1762" i="1" s="1"/>
  <c r="I1763" i="1"/>
  <c r="M1642" i="1"/>
  <c r="O1642" i="1"/>
  <c r="Q1642" i="1" s="1"/>
  <c r="I1643" i="1"/>
  <c r="M1282" i="1"/>
  <c r="I1283" i="1"/>
  <c r="O1282" i="1"/>
  <c r="Q1282" i="1" s="1"/>
  <c r="G1281" i="1"/>
  <c r="O1281" i="1" s="1"/>
  <c r="Q1281" i="1" s="1"/>
  <c r="M1281" i="1"/>
  <c r="I683" i="1"/>
  <c r="M682" i="1"/>
  <c r="O682" i="1"/>
  <c r="Q682" i="1" s="1"/>
  <c r="G681" i="1"/>
  <c r="O681" i="1" s="1"/>
  <c r="Q681" i="1" s="1"/>
  <c r="M681" i="1"/>
  <c r="M802" i="1"/>
  <c r="I803" i="1"/>
  <c r="O802" i="1"/>
  <c r="Q802" i="1" s="1"/>
  <c r="G563" i="1"/>
  <c r="O563" i="1" s="1"/>
  <c r="I564" i="1"/>
  <c r="G564" i="1" s="1"/>
  <c r="M563" i="1"/>
  <c r="G201" i="1"/>
  <c r="O201" i="1" s="1"/>
  <c r="Q201" i="1" s="1"/>
  <c r="M201" i="1"/>
  <c r="I203" i="1"/>
  <c r="O202" i="1"/>
  <c r="Q202" i="1" s="1"/>
  <c r="M202" i="1"/>
  <c r="G801" i="1"/>
  <c r="O801" i="1" s="1"/>
  <c r="Q801" i="1" s="1"/>
  <c r="M801" i="1"/>
  <c r="K84" i="1"/>
  <c r="G84" i="1" s="1"/>
  <c r="M83" i="1"/>
  <c r="O83" i="1"/>
  <c r="Q83" i="1" s="1"/>
  <c r="M1164" i="1"/>
  <c r="O1164" i="1"/>
  <c r="I1165" i="1"/>
  <c r="G1165" i="1" s="1"/>
  <c r="I1525" i="1"/>
  <c r="G1525" i="1" s="1"/>
  <c r="O1524" i="1"/>
  <c r="Q1524" i="1" s="1"/>
  <c r="M1524" i="1"/>
  <c r="I325" i="1"/>
  <c r="G325" i="1" s="1"/>
  <c r="O324" i="1"/>
  <c r="Q324" i="1" s="1"/>
  <c r="M324" i="1"/>
  <c r="M444" i="1"/>
  <c r="O444" i="1"/>
  <c r="Q444" i="1" s="1"/>
  <c r="I445" i="1"/>
  <c r="G445" i="1" s="1"/>
  <c r="I86" i="1"/>
  <c r="I2005" i="1"/>
  <c r="G2005" i="1" s="1"/>
  <c r="O2004" i="1"/>
  <c r="Q2004" i="1" s="1"/>
  <c r="M2004" i="1"/>
  <c r="O1044" i="1"/>
  <c r="Q1044" i="1" s="1"/>
  <c r="I1045" i="1"/>
  <c r="G1045" i="1" s="1"/>
  <c r="M1044" i="1"/>
  <c r="I4194" i="1" l="1"/>
  <c r="M4193" i="1"/>
  <c r="G4193" i="1"/>
  <c r="O4193" i="1" s="1"/>
  <c r="Q4193" i="1" s="1"/>
  <c r="Q4672" i="1"/>
  <c r="Q7701" i="1"/>
  <c r="I4434" i="1"/>
  <c r="G4433" i="1"/>
  <c r="O4433" i="1" s="1"/>
  <c r="Q4433" i="1" s="1"/>
  <c r="M4433" i="1"/>
  <c r="I8663" i="1"/>
  <c r="M8662" i="1"/>
  <c r="G8662" i="1"/>
  <c r="O8662" i="1" s="1"/>
  <c r="I4073" i="1"/>
  <c r="G4072" i="1"/>
  <c r="O4072" i="1" s="1"/>
  <c r="Q4072" i="1" s="1"/>
  <c r="M4072" i="1"/>
  <c r="Q3591" i="1"/>
  <c r="Q7098" i="1"/>
  <c r="I8543" i="1"/>
  <c r="G8542" i="1"/>
  <c r="O8542" i="1" s="1"/>
  <c r="Q8542" i="1" s="1"/>
  <c r="M8542" i="1"/>
  <c r="I5154" i="1"/>
  <c r="M5153" i="1"/>
  <c r="G5153" i="1"/>
  <c r="O5153" i="1" s="1"/>
  <c r="I8184" i="1"/>
  <c r="G8183" i="1"/>
  <c r="O8183" i="1" s="1"/>
  <c r="M8183" i="1"/>
  <c r="I4914" i="1"/>
  <c r="G4913" i="1"/>
  <c r="O4913" i="1" s="1"/>
  <c r="M4913" i="1"/>
  <c r="I3952" i="1"/>
  <c r="M3951" i="1"/>
  <c r="G3951" i="1"/>
  <c r="O3951" i="1" s="1"/>
  <c r="Q7218" i="1"/>
  <c r="I8423" i="1"/>
  <c r="G8422" i="1"/>
  <c r="O8422" i="1" s="1"/>
  <c r="Q8422" i="1" s="1"/>
  <c r="M8422" i="1"/>
  <c r="I6861" i="1"/>
  <c r="M6860" i="1"/>
  <c r="G6860" i="1"/>
  <c r="O6860" i="1" s="1"/>
  <c r="Q6860" i="1" s="1"/>
  <c r="I7703" i="1"/>
  <c r="M7702" i="1"/>
  <c r="G7702" i="1"/>
  <c r="O7702" i="1" s="1"/>
  <c r="Q7702" i="1" s="1"/>
  <c r="I8063" i="1"/>
  <c r="M8062" i="1"/>
  <c r="G8062" i="1"/>
  <c r="O8062" i="1" s="1"/>
  <c r="I3712" i="1"/>
  <c r="M3711" i="1"/>
  <c r="G3711" i="1"/>
  <c r="O3711" i="1" s="1"/>
  <c r="Q3711" i="1" s="1"/>
  <c r="I3832" i="1"/>
  <c r="G3831" i="1"/>
  <c r="O3831" i="1" s="1"/>
  <c r="Q3831" i="1" s="1"/>
  <c r="M3831" i="1"/>
  <c r="I5274" i="1"/>
  <c r="G5273" i="1"/>
  <c r="O5273" i="1" s="1"/>
  <c r="Q5273" i="1" s="1"/>
  <c r="M5273" i="1"/>
  <c r="I4554" i="1"/>
  <c r="M4553" i="1"/>
  <c r="G4553" i="1"/>
  <c r="O4553" i="1" s="1"/>
  <c r="Q4793" i="1"/>
  <c r="Q4192" i="1"/>
  <c r="Q8421" i="1"/>
  <c r="M3471" i="1"/>
  <c r="I3472" i="1"/>
  <c r="G3471" i="1"/>
  <c r="O3471" i="1" s="1"/>
  <c r="Q3471" i="1" s="1"/>
  <c r="Q3829" i="1"/>
  <c r="Q7581" i="1"/>
  <c r="Q8781" i="1"/>
  <c r="Q7460" i="1"/>
  <c r="I7462" i="1"/>
  <c r="M7461" i="1"/>
  <c r="G7461" i="1"/>
  <c r="O7461" i="1" s="1"/>
  <c r="Q7461" i="1" s="1"/>
  <c r="I7823" i="1"/>
  <c r="G7822" i="1"/>
  <c r="O7822" i="1" s="1"/>
  <c r="M7822" i="1"/>
  <c r="I7583" i="1"/>
  <c r="M7582" i="1"/>
  <c r="G7582" i="1"/>
  <c r="O7582" i="1" s="1"/>
  <c r="Q7582" i="1" s="1"/>
  <c r="I8783" i="1"/>
  <c r="M8782" i="1"/>
  <c r="G8782" i="1"/>
  <c r="O8782" i="1" s="1"/>
  <c r="Q8782" i="1" s="1"/>
  <c r="I3593" i="1"/>
  <c r="M3592" i="1"/>
  <c r="G3592" i="1"/>
  <c r="O3592" i="1" s="1"/>
  <c r="Q3592" i="1" s="1"/>
  <c r="Q8301" i="1"/>
  <c r="I4314" i="1"/>
  <c r="M4313" i="1"/>
  <c r="G4313" i="1"/>
  <c r="O4313" i="1" s="1"/>
  <c r="I7101" i="1"/>
  <c r="M7100" i="1"/>
  <c r="G7100" i="1"/>
  <c r="O7100" i="1" s="1"/>
  <c r="Q7100" i="1" s="1"/>
  <c r="I8303" i="1"/>
  <c r="G8302" i="1"/>
  <c r="O8302" i="1" s="1"/>
  <c r="Q8302" i="1" s="1"/>
  <c r="M8302" i="1"/>
  <c r="I7341" i="1"/>
  <c r="G7340" i="1"/>
  <c r="O7340" i="1" s="1"/>
  <c r="M7340" i="1"/>
  <c r="I5394" i="1"/>
  <c r="G5393" i="1"/>
  <c r="O5393" i="1" s="1"/>
  <c r="Q5393" i="1" s="1"/>
  <c r="M5393" i="1"/>
  <c r="I4795" i="1"/>
  <c r="M4794" i="1"/>
  <c r="G4794" i="1"/>
  <c r="O4794" i="1" s="1"/>
  <c r="Q4794" i="1" s="1"/>
  <c r="I5034" i="1"/>
  <c r="G5033" i="1"/>
  <c r="O5033" i="1" s="1"/>
  <c r="Q5033" i="1" s="1"/>
  <c r="M5033" i="1"/>
  <c r="I7943" i="1"/>
  <c r="M7942" i="1"/>
  <c r="G7942" i="1"/>
  <c r="O7942" i="1" s="1"/>
  <c r="I4674" i="1"/>
  <c r="M4673" i="1"/>
  <c r="G4673" i="1"/>
  <c r="O4673" i="1" s="1"/>
  <c r="Q4673" i="1" s="1"/>
  <c r="I6982" i="1"/>
  <c r="G6981" i="1"/>
  <c r="O6981" i="1" s="1"/>
  <c r="M6981" i="1"/>
  <c r="I7221" i="1"/>
  <c r="M7220" i="1"/>
  <c r="G7220" i="1"/>
  <c r="O7220" i="1" s="1"/>
  <c r="Q7220" i="1" s="1"/>
  <c r="Q563" i="1"/>
  <c r="Q1882" i="1"/>
  <c r="Q1164" i="1"/>
  <c r="G923" i="1"/>
  <c r="O923" i="1" s="1"/>
  <c r="Q923" i="1" s="1"/>
  <c r="M923" i="1"/>
  <c r="I924" i="1"/>
  <c r="G1883" i="1"/>
  <c r="O1883" i="1" s="1"/>
  <c r="Q1883" i="1" s="1"/>
  <c r="I1884" i="1"/>
  <c r="G1884" i="1" s="1"/>
  <c r="M1883" i="1"/>
  <c r="G1643" i="1"/>
  <c r="O1643" i="1" s="1"/>
  <c r="I1644" i="1"/>
  <c r="G1644" i="1" s="1"/>
  <c r="M1643" i="1"/>
  <c r="G1763" i="1"/>
  <c r="O1763" i="1" s="1"/>
  <c r="Q1763" i="1" s="1"/>
  <c r="I1764" i="1"/>
  <c r="G1764" i="1" s="1"/>
  <c r="M1763" i="1"/>
  <c r="G1403" i="1"/>
  <c r="O1403" i="1" s="1"/>
  <c r="Q1403" i="1" s="1"/>
  <c r="M1403" i="1"/>
  <c r="I1404" i="1"/>
  <c r="G1404" i="1" s="1"/>
  <c r="G1283" i="1"/>
  <c r="O1283" i="1" s="1"/>
  <c r="Q1283" i="1" s="1"/>
  <c r="I1284" i="1"/>
  <c r="G1284" i="1" s="1"/>
  <c r="M1283" i="1"/>
  <c r="G683" i="1"/>
  <c r="O683" i="1" s="1"/>
  <c r="M683" i="1"/>
  <c r="I684" i="1"/>
  <c r="G684" i="1" s="1"/>
  <c r="G803" i="1"/>
  <c r="O803" i="1" s="1"/>
  <c r="Q803" i="1" s="1"/>
  <c r="I804" i="1"/>
  <c r="G804" i="1" s="1"/>
  <c r="M803" i="1"/>
  <c r="G203" i="1"/>
  <c r="O203" i="1" s="1"/>
  <c r="Q203" i="1" s="1"/>
  <c r="M203" i="1"/>
  <c r="I204" i="1"/>
  <c r="G204" i="1" s="1"/>
  <c r="M564" i="1"/>
  <c r="I565" i="1"/>
  <c r="O564" i="1"/>
  <c r="K85" i="1"/>
  <c r="G85" i="1" s="1"/>
  <c r="M84" i="1"/>
  <c r="O84" i="1"/>
  <c r="Q84" i="1" s="1"/>
  <c r="I1526" i="1"/>
  <c r="O1525" i="1"/>
  <c r="Q1525" i="1" s="1"/>
  <c r="M1525" i="1"/>
  <c r="I2006" i="1"/>
  <c r="O2005" i="1"/>
  <c r="Q2005" i="1" s="1"/>
  <c r="M2005" i="1"/>
  <c r="M1165" i="1"/>
  <c r="O1165" i="1"/>
  <c r="Q1165" i="1" s="1"/>
  <c r="I1166" i="1"/>
  <c r="M1045" i="1"/>
  <c r="O1045" i="1"/>
  <c r="Q1045" i="1" s="1"/>
  <c r="I1046" i="1"/>
  <c r="I87" i="1"/>
  <c r="M445" i="1"/>
  <c r="O445" i="1"/>
  <c r="Q445" i="1" s="1"/>
  <c r="I446" i="1"/>
  <c r="M325" i="1"/>
  <c r="I326" i="1"/>
  <c r="O325" i="1"/>
  <c r="Q325" i="1" s="1"/>
  <c r="Q6981" i="1" l="1"/>
  <c r="I7944" i="1"/>
  <c r="M7943" i="1"/>
  <c r="G7943" i="1"/>
  <c r="O7943" i="1" s="1"/>
  <c r="Q7943" i="1" s="1"/>
  <c r="I8784" i="1"/>
  <c r="M8783" i="1"/>
  <c r="G8783" i="1"/>
  <c r="O8783" i="1" s="1"/>
  <c r="Q8783" i="1" s="1"/>
  <c r="M3712" i="1"/>
  <c r="G3712" i="1"/>
  <c r="O3712" i="1" s="1"/>
  <c r="Q3712" i="1" s="1"/>
  <c r="I3713" i="1"/>
  <c r="I8544" i="1"/>
  <c r="G8543" i="1"/>
  <c r="O8543" i="1" s="1"/>
  <c r="Q8543" i="1" s="1"/>
  <c r="M8543" i="1"/>
  <c r="Q7942" i="1"/>
  <c r="I6983" i="1"/>
  <c r="G6982" i="1"/>
  <c r="O6982" i="1" s="1"/>
  <c r="Q6982" i="1" s="1"/>
  <c r="M6982" i="1"/>
  <c r="I5395" i="1"/>
  <c r="M5394" i="1"/>
  <c r="G5394" i="1"/>
  <c r="O5394" i="1" s="1"/>
  <c r="Q5394" i="1" s="1"/>
  <c r="I7463" i="1"/>
  <c r="M7462" i="1"/>
  <c r="G7462" i="1"/>
  <c r="O7462" i="1" s="1"/>
  <c r="Q8183" i="1"/>
  <c r="I4074" i="1"/>
  <c r="G4073" i="1"/>
  <c r="O4073" i="1" s="1"/>
  <c r="M4073" i="1"/>
  <c r="G7101" i="1"/>
  <c r="O7101" i="1" s="1"/>
  <c r="Q7101" i="1" s="1"/>
  <c r="I7102" i="1"/>
  <c r="M7101" i="1"/>
  <c r="I5275" i="1"/>
  <c r="G5274" i="1"/>
  <c r="O5274" i="1" s="1"/>
  <c r="M5274" i="1"/>
  <c r="Q8062" i="1"/>
  <c r="Q3951" i="1"/>
  <c r="I8185" i="1"/>
  <c r="M8184" i="1"/>
  <c r="G8184" i="1"/>
  <c r="O8184" i="1" s="1"/>
  <c r="Q8184" i="1" s="1"/>
  <c r="Q8662" i="1"/>
  <c r="I5035" i="1"/>
  <c r="G5034" i="1"/>
  <c r="O5034" i="1" s="1"/>
  <c r="Q5034" i="1" s="1"/>
  <c r="M5034" i="1"/>
  <c r="Q7340" i="1"/>
  <c r="Q4313" i="1"/>
  <c r="I7584" i="1"/>
  <c r="M7583" i="1"/>
  <c r="G7583" i="1"/>
  <c r="O7583" i="1" s="1"/>
  <c r="I6862" i="1"/>
  <c r="G6861" i="1"/>
  <c r="O6861" i="1" s="1"/>
  <c r="M6861" i="1"/>
  <c r="Q5153" i="1"/>
  <c r="I7342" i="1"/>
  <c r="G7341" i="1"/>
  <c r="O7341" i="1" s="1"/>
  <c r="Q7341" i="1" s="1"/>
  <c r="M7341" i="1"/>
  <c r="I3594" i="1"/>
  <c r="M3593" i="1"/>
  <c r="G3593" i="1"/>
  <c r="O3593" i="1" s="1"/>
  <c r="Q3593" i="1" s="1"/>
  <c r="I8064" i="1"/>
  <c r="M8063" i="1"/>
  <c r="G8063" i="1"/>
  <c r="O8063" i="1" s="1"/>
  <c r="Q8063" i="1" s="1"/>
  <c r="I3953" i="1"/>
  <c r="G3952" i="1"/>
  <c r="O3952" i="1" s="1"/>
  <c r="Q3952" i="1" s="1"/>
  <c r="M3952" i="1"/>
  <c r="I8664" i="1"/>
  <c r="M8663" i="1"/>
  <c r="G8663" i="1"/>
  <c r="O8663" i="1" s="1"/>
  <c r="Q8663" i="1" s="1"/>
  <c r="I4675" i="1"/>
  <c r="M4674" i="1"/>
  <c r="G4674" i="1"/>
  <c r="O4674" i="1" s="1"/>
  <c r="Q4674" i="1" s="1"/>
  <c r="I4315" i="1"/>
  <c r="G4314" i="1"/>
  <c r="O4314" i="1" s="1"/>
  <c r="Q4314" i="1" s="1"/>
  <c r="M4314" i="1"/>
  <c r="Q7822" i="1"/>
  <c r="M3472" i="1"/>
  <c r="I3473" i="1"/>
  <c r="G3472" i="1"/>
  <c r="O3472" i="1" s="1"/>
  <c r="Q3472" i="1" s="1"/>
  <c r="Q4553" i="1"/>
  <c r="I3833" i="1"/>
  <c r="G3832" i="1"/>
  <c r="O3832" i="1" s="1"/>
  <c r="Q3832" i="1" s="1"/>
  <c r="M3832" i="1"/>
  <c r="I5155" i="1"/>
  <c r="G5154" i="1"/>
  <c r="O5154" i="1" s="1"/>
  <c r="Q5154" i="1" s="1"/>
  <c r="M5154" i="1"/>
  <c r="I7222" i="1"/>
  <c r="M7221" i="1"/>
  <c r="G7221" i="1"/>
  <c r="O7221" i="1" s="1"/>
  <c r="Q7221" i="1" s="1"/>
  <c r="I8424" i="1"/>
  <c r="M8423" i="1"/>
  <c r="G8423" i="1"/>
  <c r="O8423" i="1" s="1"/>
  <c r="Q8423" i="1" s="1"/>
  <c r="Q4913" i="1"/>
  <c r="I4796" i="1"/>
  <c r="G4795" i="1"/>
  <c r="O4795" i="1" s="1"/>
  <c r="Q4795" i="1" s="1"/>
  <c r="M4795" i="1"/>
  <c r="I7824" i="1"/>
  <c r="G7823" i="1"/>
  <c r="O7823" i="1" s="1"/>
  <c r="Q7823" i="1" s="1"/>
  <c r="M7823" i="1"/>
  <c r="I8304" i="1"/>
  <c r="G8303" i="1"/>
  <c r="O8303" i="1" s="1"/>
  <c r="Q8303" i="1" s="1"/>
  <c r="M8303" i="1"/>
  <c r="I4555" i="1"/>
  <c r="G4554" i="1"/>
  <c r="O4554" i="1" s="1"/>
  <c r="Q4554" i="1" s="1"/>
  <c r="M4554" i="1"/>
  <c r="I7704" i="1"/>
  <c r="G7703" i="1"/>
  <c r="O7703" i="1" s="1"/>
  <c r="Q7703" i="1" s="1"/>
  <c r="M7703" i="1"/>
  <c r="I4915" i="1"/>
  <c r="M4914" i="1"/>
  <c r="G4914" i="1"/>
  <c r="O4914" i="1" s="1"/>
  <c r="Q4914" i="1" s="1"/>
  <c r="I4435" i="1"/>
  <c r="G4434" i="1"/>
  <c r="O4434" i="1" s="1"/>
  <c r="M4434" i="1"/>
  <c r="I4195" i="1"/>
  <c r="M4194" i="1"/>
  <c r="G4194" i="1"/>
  <c r="O4194" i="1" s="1"/>
  <c r="Q564" i="1"/>
  <c r="Q683" i="1"/>
  <c r="Q1643" i="1"/>
  <c r="G924" i="1"/>
  <c r="O924" i="1" s="1"/>
  <c r="Q924" i="1" s="1"/>
  <c r="M924" i="1"/>
  <c r="I925" i="1"/>
  <c r="O1884" i="1"/>
  <c r="Q1884" i="1" s="1"/>
  <c r="I1885" i="1"/>
  <c r="M1884" i="1"/>
  <c r="M1764" i="1"/>
  <c r="I1765" i="1"/>
  <c r="O1764" i="1"/>
  <c r="I1645" i="1"/>
  <c r="O1644" i="1"/>
  <c r="Q1644" i="1" s="1"/>
  <c r="M1644" i="1"/>
  <c r="M1404" i="1"/>
  <c r="I1405" i="1"/>
  <c r="O1404" i="1"/>
  <c r="Q1404" i="1" s="1"/>
  <c r="M1284" i="1"/>
  <c r="O1284" i="1"/>
  <c r="Q1284" i="1" s="1"/>
  <c r="I1285" i="1"/>
  <c r="M684" i="1"/>
  <c r="I685" i="1"/>
  <c r="O684" i="1"/>
  <c r="Q684" i="1" s="1"/>
  <c r="G565" i="1"/>
  <c r="O565" i="1" s="1"/>
  <c r="Q565" i="1" s="1"/>
  <c r="I566" i="1"/>
  <c r="M565" i="1"/>
  <c r="O204" i="1"/>
  <c r="Q204" i="1" s="1"/>
  <c r="I205" i="1"/>
  <c r="M204" i="1"/>
  <c r="I805" i="1"/>
  <c r="O804" i="1"/>
  <c r="Q804" i="1" s="1"/>
  <c r="M804" i="1"/>
  <c r="K86" i="1"/>
  <c r="M86" i="1" s="1"/>
  <c r="O85" i="1"/>
  <c r="Q85" i="1" s="1"/>
  <c r="M85" i="1"/>
  <c r="G1166" i="1"/>
  <c r="O1166" i="1" s="1"/>
  <c r="Q1166" i="1" s="1"/>
  <c r="I1167" i="1"/>
  <c r="G1167" i="1" s="1"/>
  <c r="M1166" i="1"/>
  <c r="G2006" i="1"/>
  <c r="O2006" i="1" s="1"/>
  <c r="Q2006" i="1" s="1"/>
  <c r="I2007" i="1"/>
  <c r="G2007" i="1" s="1"/>
  <c r="M2006" i="1"/>
  <c r="I88" i="1"/>
  <c r="M1046" i="1"/>
  <c r="I1047" i="1"/>
  <c r="G1047" i="1" s="1"/>
  <c r="G1046" i="1"/>
  <c r="O1046" i="1" s="1"/>
  <c r="Q1046" i="1" s="1"/>
  <c r="M1526" i="1"/>
  <c r="G1526" i="1"/>
  <c r="O1526" i="1" s="1"/>
  <c r="I1527" i="1"/>
  <c r="G1527" i="1" s="1"/>
  <c r="G326" i="1"/>
  <c r="O326" i="1" s="1"/>
  <c r="Q326" i="1" s="1"/>
  <c r="M326" i="1"/>
  <c r="I327" i="1"/>
  <c r="G327" i="1" s="1"/>
  <c r="M446" i="1"/>
  <c r="G446" i="1"/>
  <c r="O446" i="1" s="1"/>
  <c r="Q446" i="1" s="1"/>
  <c r="I447" i="1"/>
  <c r="G447" i="1" s="1"/>
  <c r="I3954" i="1" l="1"/>
  <c r="G3953" i="1"/>
  <c r="O3953" i="1" s="1"/>
  <c r="Q3953" i="1" s="1"/>
  <c r="M3953" i="1"/>
  <c r="I5276" i="1"/>
  <c r="M5275" i="1"/>
  <c r="G5275" i="1"/>
  <c r="O5275" i="1" s="1"/>
  <c r="Q5275" i="1" s="1"/>
  <c r="I4556" i="1"/>
  <c r="M4555" i="1"/>
  <c r="G4555" i="1"/>
  <c r="O4555" i="1" s="1"/>
  <c r="Q4555" i="1" s="1"/>
  <c r="I7825" i="1"/>
  <c r="G7824" i="1"/>
  <c r="O7824" i="1" s="1"/>
  <c r="Q7824" i="1" s="1"/>
  <c r="M7824" i="1"/>
  <c r="I8425" i="1"/>
  <c r="M8424" i="1"/>
  <c r="G8424" i="1"/>
  <c r="O8424" i="1" s="1"/>
  <c r="Q8424" i="1" s="1"/>
  <c r="I8065" i="1"/>
  <c r="M8064" i="1"/>
  <c r="G8064" i="1"/>
  <c r="O8064" i="1" s="1"/>
  <c r="Q8064" i="1" s="1"/>
  <c r="Q7583" i="1"/>
  <c r="I4436" i="1"/>
  <c r="G4435" i="1"/>
  <c r="O4435" i="1" s="1"/>
  <c r="Q4435" i="1" s="1"/>
  <c r="M4435" i="1"/>
  <c r="I4196" i="1"/>
  <c r="M4195" i="1"/>
  <c r="G4195" i="1"/>
  <c r="O4195" i="1" s="1"/>
  <c r="Q4195" i="1" s="1"/>
  <c r="I3834" i="1"/>
  <c r="M3833" i="1"/>
  <c r="G3833" i="1"/>
  <c r="O3833" i="1" s="1"/>
  <c r="I8665" i="1"/>
  <c r="M8664" i="1"/>
  <c r="G8664" i="1"/>
  <c r="O8664" i="1" s="1"/>
  <c r="Q8664" i="1" s="1"/>
  <c r="I5036" i="1"/>
  <c r="M5035" i="1"/>
  <c r="G5035" i="1"/>
  <c r="O5035" i="1" s="1"/>
  <c r="Q5035" i="1" s="1"/>
  <c r="I8545" i="1"/>
  <c r="G8544" i="1"/>
  <c r="O8544" i="1" s="1"/>
  <c r="Q8544" i="1" s="1"/>
  <c r="M8544" i="1"/>
  <c r="I8785" i="1"/>
  <c r="G8784" i="1"/>
  <c r="O8784" i="1" s="1"/>
  <c r="M8784" i="1"/>
  <c r="I7585" i="1"/>
  <c r="G7584" i="1"/>
  <c r="O7584" i="1" s="1"/>
  <c r="Q7584" i="1" s="1"/>
  <c r="M7584" i="1"/>
  <c r="Q7462" i="1"/>
  <c r="I6984" i="1"/>
  <c r="G6983" i="1"/>
  <c r="O6983" i="1" s="1"/>
  <c r="M6983" i="1"/>
  <c r="Q4434" i="1"/>
  <c r="I7705" i="1"/>
  <c r="M7704" i="1"/>
  <c r="G7704" i="1"/>
  <c r="O7704" i="1" s="1"/>
  <c r="Q7704" i="1" s="1"/>
  <c r="I8305" i="1"/>
  <c r="M8304" i="1"/>
  <c r="G8304" i="1"/>
  <c r="O8304" i="1" s="1"/>
  <c r="Q8304" i="1" s="1"/>
  <c r="I4797" i="1"/>
  <c r="M4796" i="1"/>
  <c r="G4796" i="1"/>
  <c r="O4796" i="1" s="1"/>
  <c r="Q4796" i="1" s="1"/>
  <c r="I7223" i="1"/>
  <c r="M7222" i="1"/>
  <c r="G7222" i="1"/>
  <c r="O7222" i="1" s="1"/>
  <c r="I4316" i="1"/>
  <c r="G4315" i="1"/>
  <c r="O4315" i="1" s="1"/>
  <c r="Q4315" i="1" s="1"/>
  <c r="M4315" i="1"/>
  <c r="Q4073" i="1"/>
  <c r="I3714" i="1"/>
  <c r="G3713" i="1"/>
  <c r="O3713" i="1" s="1"/>
  <c r="Q3713" i="1" s="1"/>
  <c r="M3713" i="1"/>
  <c r="I3595" i="1"/>
  <c r="M3594" i="1"/>
  <c r="G3594" i="1"/>
  <c r="O3594" i="1" s="1"/>
  <c r="Q6861" i="1"/>
  <c r="Q5274" i="1"/>
  <c r="I4075" i="1"/>
  <c r="M4074" i="1"/>
  <c r="G4074" i="1"/>
  <c r="O4074" i="1" s="1"/>
  <c r="Q4074" i="1" s="1"/>
  <c r="I7464" i="1"/>
  <c r="M7463" i="1"/>
  <c r="G7463" i="1"/>
  <c r="O7463" i="1" s="1"/>
  <c r="Q7463" i="1" s="1"/>
  <c r="I7945" i="1"/>
  <c r="G7944" i="1"/>
  <c r="O7944" i="1" s="1"/>
  <c r="M7944" i="1"/>
  <c r="I3474" i="1"/>
  <c r="G3473" i="1"/>
  <c r="O3473" i="1" s="1"/>
  <c r="Q3473" i="1" s="1"/>
  <c r="M3473" i="1"/>
  <c r="I6863" i="1"/>
  <c r="G6862" i="1"/>
  <c r="O6862" i="1" s="1"/>
  <c r="Q6862" i="1" s="1"/>
  <c r="M6862" i="1"/>
  <c r="I5156" i="1"/>
  <c r="G5155" i="1"/>
  <c r="O5155" i="1" s="1"/>
  <c r="Q5155" i="1" s="1"/>
  <c r="M5155" i="1"/>
  <c r="I4676" i="1"/>
  <c r="M4675" i="1"/>
  <c r="G4675" i="1"/>
  <c r="O4675" i="1" s="1"/>
  <c r="Q4675" i="1" s="1"/>
  <c r="I8186" i="1"/>
  <c r="G8185" i="1"/>
  <c r="O8185" i="1" s="1"/>
  <c r="Q8185" i="1" s="1"/>
  <c r="M8185" i="1"/>
  <c r="Q4194" i="1"/>
  <c r="I4916" i="1"/>
  <c r="M4915" i="1"/>
  <c r="G4915" i="1"/>
  <c r="O4915" i="1" s="1"/>
  <c r="Q4915" i="1" s="1"/>
  <c r="I7343" i="1"/>
  <c r="M7342" i="1"/>
  <c r="G7342" i="1"/>
  <c r="O7342" i="1" s="1"/>
  <c r="I7103" i="1"/>
  <c r="G7102" i="1"/>
  <c r="O7102" i="1" s="1"/>
  <c r="M7102" i="1"/>
  <c r="I5396" i="1"/>
  <c r="G5395" i="1"/>
  <c r="O5395" i="1" s="1"/>
  <c r="Q5395" i="1" s="1"/>
  <c r="M5395" i="1"/>
  <c r="Q1526" i="1"/>
  <c r="Q1764" i="1"/>
  <c r="G925" i="1"/>
  <c r="O925" i="1" s="1"/>
  <c r="Q925" i="1" s="1"/>
  <c r="M925" i="1"/>
  <c r="I926" i="1"/>
  <c r="G1885" i="1"/>
  <c r="O1885" i="1" s="1"/>
  <c r="M1885" i="1"/>
  <c r="I1886" i="1"/>
  <c r="G1405" i="1"/>
  <c r="O1405" i="1" s="1"/>
  <c r="Q1405" i="1" s="1"/>
  <c r="I1406" i="1"/>
  <c r="M1405" i="1"/>
  <c r="G1645" i="1"/>
  <c r="O1645" i="1" s="1"/>
  <c r="M1645" i="1"/>
  <c r="I1646" i="1"/>
  <c r="G1765" i="1"/>
  <c r="O1765" i="1" s="1"/>
  <c r="M1765" i="1"/>
  <c r="I1766" i="1"/>
  <c r="G1285" i="1"/>
  <c r="O1285" i="1" s="1"/>
  <c r="Q1285" i="1" s="1"/>
  <c r="M1285" i="1"/>
  <c r="I1286" i="1"/>
  <c r="G685" i="1"/>
  <c r="O685" i="1" s="1"/>
  <c r="I686" i="1"/>
  <c r="M685" i="1"/>
  <c r="G805" i="1"/>
  <c r="O805" i="1" s="1"/>
  <c r="Q805" i="1" s="1"/>
  <c r="M805" i="1"/>
  <c r="I806" i="1"/>
  <c r="G566" i="1"/>
  <c r="O566" i="1" s="1"/>
  <c r="Q566" i="1" s="1"/>
  <c r="I567" i="1"/>
  <c r="M566" i="1"/>
  <c r="G205" i="1"/>
  <c r="O205" i="1" s="1"/>
  <c r="M205" i="1"/>
  <c r="I206" i="1"/>
  <c r="K87" i="1"/>
  <c r="G87" i="1" s="1"/>
  <c r="G86" i="1"/>
  <c r="O86" i="1" s="1"/>
  <c r="Q86" i="1" s="1"/>
  <c r="M327" i="1"/>
  <c r="I328" i="1"/>
  <c r="O327" i="1"/>
  <c r="Q327" i="1" s="1"/>
  <c r="O2007" i="1"/>
  <c r="Q2007" i="1" s="1"/>
  <c r="M2007" i="1"/>
  <c r="I2008" i="1"/>
  <c r="I448" i="1"/>
  <c r="M447" i="1"/>
  <c r="O447" i="1"/>
  <c r="Q447" i="1" s="1"/>
  <c r="I1168" i="1"/>
  <c r="M1167" i="1"/>
  <c r="O1167" i="1"/>
  <c r="Q1167" i="1" s="1"/>
  <c r="I1528" i="1"/>
  <c r="M1527" i="1"/>
  <c r="O1527" i="1"/>
  <c r="Q1527" i="1" s="1"/>
  <c r="O1047" i="1"/>
  <c r="Q1047" i="1" s="1"/>
  <c r="I1048" i="1"/>
  <c r="M1047" i="1"/>
  <c r="I89" i="1"/>
  <c r="Q3594" i="1" l="1"/>
  <c r="Q8784" i="1"/>
  <c r="Q7342" i="1"/>
  <c r="I4076" i="1"/>
  <c r="G4075" i="1"/>
  <c r="O4075" i="1" s="1"/>
  <c r="Q4075" i="1" s="1"/>
  <c r="M4075" i="1"/>
  <c r="I4800" i="1"/>
  <c r="I4799" i="1"/>
  <c r="I4798" i="1"/>
  <c r="M4797" i="1"/>
  <c r="G4797" i="1"/>
  <c r="O4797" i="1" s="1"/>
  <c r="Q4797" i="1" s="1"/>
  <c r="I4557" i="1"/>
  <c r="G4556" i="1"/>
  <c r="O4556" i="1" s="1"/>
  <c r="Q4556" i="1" s="1"/>
  <c r="M4556" i="1"/>
  <c r="I5157" i="1"/>
  <c r="M5156" i="1"/>
  <c r="G5156" i="1"/>
  <c r="O5156" i="1" s="1"/>
  <c r="Q5156" i="1" s="1"/>
  <c r="I8546" i="1"/>
  <c r="M8545" i="1"/>
  <c r="G8545" i="1"/>
  <c r="O8545" i="1" s="1"/>
  <c r="Q8545" i="1" s="1"/>
  <c r="I8666" i="1"/>
  <c r="M8665" i="1"/>
  <c r="G8665" i="1"/>
  <c r="O8665" i="1" s="1"/>
  <c r="Q8665" i="1" s="1"/>
  <c r="I7946" i="1"/>
  <c r="M7945" i="1"/>
  <c r="G7945" i="1"/>
  <c r="O7945" i="1" s="1"/>
  <c r="Q7945" i="1" s="1"/>
  <c r="I4317" i="1"/>
  <c r="M4316" i="1"/>
  <c r="G4316" i="1"/>
  <c r="O4316" i="1" s="1"/>
  <c r="Q4316" i="1" s="1"/>
  <c r="Q3833" i="1"/>
  <c r="I4437" i="1"/>
  <c r="M4436" i="1"/>
  <c r="G4436" i="1"/>
  <c r="O4436" i="1" s="1"/>
  <c r="Q4436" i="1" s="1"/>
  <c r="I8426" i="1"/>
  <c r="M8425" i="1"/>
  <c r="G8425" i="1"/>
  <c r="O8425" i="1" s="1"/>
  <c r="Q8425" i="1" s="1"/>
  <c r="I7344" i="1"/>
  <c r="G7343" i="1"/>
  <c r="O7343" i="1" s="1"/>
  <c r="Q7343" i="1" s="1"/>
  <c r="M7343" i="1"/>
  <c r="I5397" i="1"/>
  <c r="G5396" i="1"/>
  <c r="O5396" i="1" s="1"/>
  <c r="Q5396" i="1" s="1"/>
  <c r="M5396" i="1"/>
  <c r="I8189" i="1"/>
  <c r="I8188" i="1"/>
  <c r="I8187" i="1"/>
  <c r="G8186" i="1"/>
  <c r="O8186" i="1" s="1"/>
  <c r="Q8186" i="1" s="1"/>
  <c r="M8186" i="1"/>
  <c r="Q7222" i="1"/>
  <c r="I8306" i="1"/>
  <c r="M8305" i="1"/>
  <c r="G8305" i="1"/>
  <c r="O8305" i="1" s="1"/>
  <c r="Q8305" i="1" s="1"/>
  <c r="I7586" i="1"/>
  <c r="G7585" i="1"/>
  <c r="O7585" i="1" s="1"/>
  <c r="Q7585" i="1" s="1"/>
  <c r="M7585" i="1"/>
  <c r="Q7944" i="1"/>
  <c r="I6864" i="1"/>
  <c r="G6863" i="1"/>
  <c r="O6863" i="1" s="1"/>
  <c r="Q6863" i="1" s="1"/>
  <c r="M6863" i="1"/>
  <c r="I3715" i="1"/>
  <c r="G3714" i="1"/>
  <c r="O3714" i="1" s="1"/>
  <c r="Q3714" i="1" s="1"/>
  <c r="M3714" i="1"/>
  <c r="I3835" i="1"/>
  <c r="G3834" i="1"/>
  <c r="O3834" i="1" s="1"/>
  <c r="Q3834" i="1" s="1"/>
  <c r="M3834" i="1"/>
  <c r="I5277" i="1"/>
  <c r="M5276" i="1"/>
  <c r="G5276" i="1"/>
  <c r="O5276" i="1" s="1"/>
  <c r="Q5276" i="1" s="1"/>
  <c r="I7826" i="1"/>
  <c r="G7825" i="1"/>
  <c r="O7825" i="1" s="1"/>
  <c r="Q7825" i="1" s="1"/>
  <c r="M7825" i="1"/>
  <c r="I4917" i="1"/>
  <c r="M4916" i="1"/>
  <c r="G4916" i="1"/>
  <c r="O4916" i="1" s="1"/>
  <c r="Q4916" i="1" s="1"/>
  <c r="I4677" i="1"/>
  <c r="G4676" i="1"/>
  <c r="O4676" i="1" s="1"/>
  <c r="Q4676" i="1" s="1"/>
  <c r="M4676" i="1"/>
  <c r="I7706" i="1"/>
  <c r="M7705" i="1"/>
  <c r="G7705" i="1"/>
  <c r="O7705" i="1" s="1"/>
  <c r="Q7705" i="1" s="1"/>
  <c r="I6985" i="1"/>
  <c r="G6984" i="1"/>
  <c r="O6984" i="1" s="1"/>
  <c r="Q6984" i="1" s="1"/>
  <c r="M6984" i="1"/>
  <c r="I8786" i="1"/>
  <c r="M8785" i="1"/>
  <c r="G8785" i="1"/>
  <c r="O8785" i="1" s="1"/>
  <c r="Q8785" i="1" s="1"/>
  <c r="I5037" i="1"/>
  <c r="M5036" i="1"/>
  <c r="G5036" i="1"/>
  <c r="O5036" i="1" s="1"/>
  <c r="Q5036" i="1" s="1"/>
  <c r="Q7102" i="1"/>
  <c r="I7465" i="1"/>
  <c r="M7464" i="1"/>
  <c r="G7464" i="1"/>
  <c r="O7464" i="1" s="1"/>
  <c r="Q7464" i="1" s="1"/>
  <c r="I7224" i="1"/>
  <c r="M7223" i="1"/>
  <c r="G7223" i="1"/>
  <c r="O7223" i="1" s="1"/>
  <c r="Q7223" i="1" s="1"/>
  <c r="Q6983" i="1"/>
  <c r="I7104" i="1"/>
  <c r="M7103" i="1"/>
  <c r="G7103" i="1"/>
  <c r="O7103" i="1" s="1"/>
  <c r="Q7103" i="1" s="1"/>
  <c r="I3475" i="1"/>
  <c r="M3474" i="1"/>
  <c r="G3474" i="1"/>
  <c r="O3474" i="1" s="1"/>
  <c r="Q3474" i="1" s="1"/>
  <c r="I3596" i="1"/>
  <c r="G3595" i="1"/>
  <c r="O3595" i="1" s="1"/>
  <c r="Q3595" i="1" s="1"/>
  <c r="M3595" i="1"/>
  <c r="I4197" i="1"/>
  <c r="M4196" i="1"/>
  <c r="G4196" i="1"/>
  <c r="O4196" i="1" s="1"/>
  <c r="Q4196" i="1" s="1"/>
  <c r="I8066" i="1"/>
  <c r="M8065" i="1"/>
  <c r="G8065" i="1"/>
  <c r="O8065" i="1" s="1"/>
  <c r="Q8065" i="1" s="1"/>
  <c r="I3955" i="1"/>
  <c r="G3954" i="1"/>
  <c r="O3954" i="1" s="1"/>
  <c r="M3954" i="1"/>
  <c r="Q1765" i="1"/>
  <c r="Q205" i="1"/>
  <c r="Q1885" i="1"/>
  <c r="Q685" i="1"/>
  <c r="Q1645" i="1"/>
  <c r="G926" i="1"/>
  <c r="O926" i="1" s="1"/>
  <c r="Q926" i="1" s="1"/>
  <c r="M926" i="1"/>
  <c r="I927" i="1"/>
  <c r="I1887" i="1"/>
  <c r="G1886" i="1"/>
  <c r="O1886" i="1" s="1"/>
  <c r="Q1886" i="1" s="1"/>
  <c r="M1886" i="1"/>
  <c r="G1646" i="1"/>
  <c r="O1646" i="1" s="1"/>
  <c r="Q1646" i="1" s="1"/>
  <c r="I1647" i="1"/>
  <c r="M1646" i="1"/>
  <c r="M1406" i="1"/>
  <c r="I1407" i="1"/>
  <c r="G1406" i="1"/>
  <c r="O1406" i="1" s="1"/>
  <c r="Q1406" i="1" s="1"/>
  <c r="G1766" i="1"/>
  <c r="O1766" i="1" s="1"/>
  <c r="M1766" i="1"/>
  <c r="I1767" i="1"/>
  <c r="M1286" i="1"/>
  <c r="I1287" i="1"/>
  <c r="G1286" i="1"/>
  <c r="O1286" i="1" s="1"/>
  <c r="Q1286" i="1" s="1"/>
  <c r="M686" i="1"/>
  <c r="G686" i="1"/>
  <c r="O686" i="1" s="1"/>
  <c r="Q686" i="1" s="1"/>
  <c r="I687" i="1"/>
  <c r="G806" i="1"/>
  <c r="O806" i="1" s="1"/>
  <c r="Q806" i="1" s="1"/>
  <c r="M806" i="1"/>
  <c r="I807" i="1"/>
  <c r="G206" i="1"/>
  <c r="O206" i="1" s="1"/>
  <c r="Q206" i="1" s="1"/>
  <c r="I207" i="1"/>
  <c r="M206" i="1"/>
  <c r="G567" i="1"/>
  <c r="O567" i="1" s="1"/>
  <c r="Q567" i="1" s="1"/>
  <c r="M567" i="1"/>
  <c r="I568" i="1"/>
  <c r="K88" i="1"/>
  <c r="O87" i="1"/>
  <c r="Q87" i="1" s="1"/>
  <c r="M87" i="1"/>
  <c r="I91" i="1"/>
  <c r="I90" i="1"/>
  <c r="M448" i="1"/>
  <c r="G448" i="1"/>
  <c r="O448" i="1" s="1"/>
  <c r="Q448" i="1" s="1"/>
  <c r="I449" i="1"/>
  <c r="M2008" i="1"/>
  <c r="I2009" i="1"/>
  <c r="G2008" i="1"/>
  <c r="O2008" i="1" s="1"/>
  <c r="Q2008" i="1" s="1"/>
  <c r="M1048" i="1"/>
  <c r="I1049" i="1"/>
  <c r="G1048" i="1"/>
  <c r="O1048" i="1" s="1"/>
  <c r="Q1048" i="1" s="1"/>
  <c r="M1528" i="1"/>
  <c r="G1528" i="1"/>
  <c r="O1528" i="1" s="1"/>
  <c r="Q1528" i="1" s="1"/>
  <c r="I1529" i="1"/>
  <c r="M1168" i="1"/>
  <c r="G1168" i="1"/>
  <c r="O1168" i="1" s="1"/>
  <c r="Q1168" i="1" s="1"/>
  <c r="I1169" i="1"/>
  <c r="I329" i="1"/>
  <c r="G328" i="1"/>
  <c r="O328" i="1" s="1"/>
  <c r="Q328" i="1" s="1"/>
  <c r="M328" i="1"/>
  <c r="I8069" i="1" l="1"/>
  <c r="I8068" i="1"/>
  <c r="I8067" i="1"/>
  <c r="G8066" i="1"/>
  <c r="O8066" i="1" s="1"/>
  <c r="Q8066" i="1" s="1"/>
  <c r="M8066" i="1"/>
  <c r="I7105" i="1"/>
  <c r="M7104" i="1"/>
  <c r="G7104" i="1"/>
  <c r="O7104" i="1" s="1"/>
  <c r="Q7104" i="1" s="1"/>
  <c r="I7466" i="1"/>
  <c r="M7465" i="1"/>
  <c r="G7465" i="1"/>
  <c r="O7465" i="1" s="1"/>
  <c r="Q7465" i="1" s="1"/>
  <c r="I8789" i="1"/>
  <c r="I8788" i="1"/>
  <c r="I8787" i="1"/>
  <c r="M8786" i="1"/>
  <c r="G8786" i="1"/>
  <c r="O8786" i="1" s="1"/>
  <c r="Q8786" i="1" s="1"/>
  <c r="I3716" i="1"/>
  <c r="M3715" i="1"/>
  <c r="G3715" i="1"/>
  <c r="O3715" i="1" s="1"/>
  <c r="Q3715" i="1" s="1"/>
  <c r="I8549" i="1"/>
  <c r="I8548" i="1"/>
  <c r="I8547" i="1"/>
  <c r="G8546" i="1"/>
  <c r="O8546" i="1" s="1"/>
  <c r="Q8546" i="1" s="1"/>
  <c r="M8546" i="1"/>
  <c r="I4680" i="1"/>
  <c r="I4679" i="1"/>
  <c r="I4678" i="1"/>
  <c r="G4677" i="1"/>
  <c r="O4677" i="1" s="1"/>
  <c r="Q4677" i="1" s="1"/>
  <c r="M4677" i="1"/>
  <c r="I7589" i="1"/>
  <c r="I7588" i="1"/>
  <c r="I7587" i="1"/>
  <c r="M7586" i="1"/>
  <c r="G7586" i="1"/>
  <c r="O7586" i="1" s="1"/>
  <c r="Q7586" i="1" s="1"/>
  <c r="I5280" i="1"/>
  <c r="I5279" i="1"/>
  <c r="I5278" i="1"/>
  <c r="G5277" i="1"/>
  <c r="O5277" i="1" s="1"/>
  <c r="Q5277" i="1" s="1"/>
  <c r="M5277" i="1"/>
  <c r="G8187" i="1"/>
  <c r="O8187" i="1" s="1"/>
  <c r="Q8187" i="1" s="1"/>
  <c r="M8187" i="1"/>
  <c r="I7345" i="1"/>
  <c r="G7344" i="1"/>
  <c r="O7344" i="1" s="1"/>
  <c r="Q7344" i="1" s="1"/>
  <c r="M7344" i="1"/>
  <c r="I4440" i="1"/>
  <c r="I4439" i="1"/>
  <c r="I4438" i="1"/>
  <c r="G4437" i="1"/>
  <c r="O4437" i="1" s="1"/>
  <c r="Q4437" i="1" s="1"/>
  <c r="M4437" i="1"/>
  <c r="I7949" i="1"/>
  <c r="I7948" i="1"/>
  <c r="I7947" i="1"/>
  <c r="M7946" i="1"/>
  <c r="G7946" i="1"/>
  <c r="O7946" i="1" s="1"/>
  <c r="Q7946" i="1" s="1"/>
  <c r="G4798" i="1"/>
  <c r="O4798" i="1" s="1"/>
  <c r="Q4798" i="1" s="1"/>
  <c r="M4798" i="1"/>
  <c r="I3476" i="1"/>
  <c r="M3475" i="1"/>
  <c r="G3475" i="1"/>
  <c r="O3475" i="1" s="1"/>
  <c r="Q3475" i="1" s="1"/>
  <c r="I4199" i="1"/>
  <c r="I4198" i="1"/>
  <c r="I4200" i="1"/>
  <c r="G4197" i="1"/>
  <c r="O4197" i="1" s="1"/>
  <c r="Q4197" i="1" s="1"/>
  <c r="M4197" i="1"/>
  <c r="I6986" i="1"/>
  <c r="G6985" i="1"/>
  <c r="O6985" i="1" s="1"/>
  <c r="Q6985" i="1" s="1"/>
  <c r="M6985" i="1"/>
  <c r="I6865" i="1"/>
  <c r="G6864" i="1"/>
  <c r="O6864" i="1" s="1"/>
  <c r="Q6864" i="1" s="1"/>
  <c r="M6864" i="1"/>
  <c r="M8188" i="1"/>
  <c r="G8188" i="1"/>
  <c r="O8188" i="1" s="1"/>
  <c r="Q8188" i="1" s="1"/>
  <c r="I5159" i="1"/>
  <c r="I5158" i="1"/>
  <c r="I5160" i="1"/>
  <c r="M5157" i="1"/>
  <c r="G5157" i="1"/>
  <c r="O5157" i="1" s="1"/>
  <c r="Q5157" i="1" s="1"/>
  <c r="G4799" i="1"/>
  <c r="O4799" i="1" s="1"/>
  <c r="Q4799" i="1" s="1"/>
  <c r="M4799" i="1"/>
  <c r="Q3954" i="1"/>
  <c r="I4920" i="1"/>
  <c r="I4919" i="1"/>
  <c r="I4918" i="1"/>
  <c r="G4917" i="1"/>
  <c r="O4917" i="1" s="1"/>
  <c r="Q4917" i="1" s="1"/>
  <c r="M4917" i="1"/>
  <c r="I8309" i="1"/>
  <c r="I8308" i="1"/>
  <c r="I8307" i="1"/>
  <c r="M8306" i="1"/>
  <c r="G8306" i="1"/>
  <c r="O8306" i="1" s="1"/>
  <c r="Q8306" i="1" s="1"/>
  <c r="I8193" i="1"/>
  <c r="G8193" i="1" s="1"/>
  <c r="O8193" i="1" s="1"/>
  <c r="I8191" i="1"/>
  <c r="I8195" i="1"/>
  <c r="G8189" i="1"/>
  <c r="O8189" i="1" s="1"/>
  <c r="I4804" i="1"/>
  <c r="G4804" i="1" s="1"/>
  <c r="O4804" i="1" s="1"/>
  <c r="I4802" i="1"/>
  <c r="I4806" i="1"/>
  <c r="G4800" i="1"/>
  <c r="O4800" i="1" s="1"/>
  <c r="I3956" i="1"/>
  <c r="M3955" i="1"/>
  <c r="G3955" i="1"/>
  <c r="O3955" i="1" s="1"/>
  <c r="Q3955" i="1" s="1"/>
  <c r="I7225" i="1"/>
  <c r="G7224" i="1"/>
  <c r="O7224" i="1" s="1"/>
  <c r="Q7224" i="1" s="1"/>
  <c r="M7224" i="1"/>
  <c r="I5039" i="1"/>
  <c r="I5038" i="1"/>
  <c r="I5040" i="1"/>
  <c r="G5037" i="1"/>
  <c r="O5037" i="1" s="1"/>
  <c r="Q5037" i="1" s="1"/>
  <c r="M5037" i="1"/>
  <c r="I3836" i="1"/>
  <c r="G3835" i="1"/>
  <c r="O3835" i="1" s="1"/>
  <c r="Q3835" i="1" s="1"/>
  <c r="M3835" i="1"/>
  <c r="I8669" i="1"/>
  <c r="I8668" i="1"/>
  <c r="I8667" i="1"/>
  <c r="M8666" i="1"/>
  <c r="G8666" i="1"/>
  <c r="O8666" i="1" s="1"/>
  <c r="Q8666" i="1" s="1"/>
  <c r="I7708" i="1"/>
  <c r="I7707" i="1"/>
  <c r="I7709" i="1"/>
  <c r="G7706" i="1"/>
  <c r="O7706" i="1" s="1"/>
  <c r="Q7706" i="1" s="1"/>
  <c r="M7706" i="1"/>
  <c r="I3597" i="1"/>
  <c r="G3596" i="1"/>
  <c r="O3596" i="1" s="1"/>
  <c r="Q3596" i="1" s="1"/>
  <c r="M3596" i="1"/>
  <c r="I7828" i="1"/>
  <c r="I7827" i="1"/>
  <c r="I7829" i="1"/>
  <c r="M7826" i="1"/>
  <c r="G7826" i="1"/>
  <c r="O7826" i="1" s="1"/>
  <c r="Q7826" i="1" s="1"/>
  <c r="I5398" i="1"/>
  <c r="I5400" i="1"/>
  <c r="I5399" i="1"/>
  <c r="M5397" i="1"/>
  <c r="G5397" i="1"/>
  <c r="O5397" i="1" s="1"/>
  <c r="Q5397" i="1" s="1"/>
  <c r="I8428" i="1"/>
  <c r="I8427" i="1"/>
  <c r="I8429" i="1"/>
  <c r="G8426" i="1"/>
  <c r="O8426" i="1" s="1"/>
  <c r="Q8426" i="1" s="1"/>
  <c r="M8426" i="1"/>
  <c r="I4320" i="1"/>
  <c r="I4319" i="1"/>
  <c r="I4318" i="1"/>
  <c r="M4317" i="1"/>
  <c r="G4317" i="1"/>
  <c r="O4317" i="1" s="1"/>
  <c r="Q4317" i="1" s="1"/>
  <c r="I4560" i="1"/>
  <c r="I4559" i="1"/>
  <c r="I4558" i="1"/>
  <c r="M4557" i="1"/>
  <c r="G4557" i="1"/>
  <c r="O4557" i="1" s="1"/>
  <c r="Q4557" i="1" s="1"/>
  <c r="I4077" i="1"/>
  <c r="M4076" i="1"/>
  <c r="G4076" i="1"/>
  <c r="O4076" i="1" s="1"/>
  <c r="Q4076" i="1" s="1"/>
  <c r="Q1766" i="1"/>
  <c r="G927" i="1"/>
  <c r="O927" i="1" s="1"/>
  <c r="Q927" i="1" s="1"/>
  <c r="M927" i="1"/>
  <c r="I928" i="1"/>
  <c r="I2011" i="1"/>
  <c r="G2011" i="1" s="1"/>
  <c r="O2011" i="1" s="1"/>
  <c r="Q2011" i="1" s="1"/>
  <c r="G2009" i="1"/>
  <c r="O2009" i="1" s="1"/>
  <c r="Q2009" i="1" s="1"/>
  <c r="I331" i="1"/>
  <c r="G331" i="1" s="1"/>
  <c r="O331" i="1" s="1"/>
  <c r="Q331" i="1" s="1"/>
  <c r="G329" i="1"/>
  <c r="O329" i="1" s="1"/>
  <c r="Q329" i="1" s="1"/>
  <c r="I1051" i="1"/>
  <c r="G1051" i="1" s="1"/>
  <c r="O1051" i="1" s="1"/>
  <c r="Q1051" i="1" s="1"/>
  <c r="G1049" i="1"/>
  <c r="O1049" i="1" s="1"/>
  <c r="Q1049" i="1" s="1"/>
  <c r="I451" i="1"/>
  <c r="G451" i="1" s="1"/>
  <c r="O451" i="1" s="1"/>
  <c r="Q451" i="1" s="1"/>
  <c r="G449" i="1"/>
  <c r="O449" i="1" s="1"/>
  <c r="Q449" i="1" s="1"/>
  <c r="I1531" i="1"/>
  <c r="M1531" i="1" s="1"/>
  <c r="G1529" i="1"/>
  <c r="O1529" i="1" s="1"/>
  <c r="Q1529" i="1" s="1"/>
  <c r="I1171" i="1"/>
  <c r="G1171" i="1" s="1"/>
  <c r="O1171" i="1" s="1"/>
  <c r="Q1171" i="1" s="1"/>
  <c r="G1169" i="1"/>
  <c r="O1169" i="1" s="1"/>
  <c r="Q1169" i="1" s="1"/>
  <c r="G1887" i="1"/>
  <c r="O1887" i="1" s="1"/>
  <c r="Q1887" i="1" s="1"/>
  <c r="M1887" i="1"/>
  <c r="I1888" i="1"/>
  <c r="G1407" i="1"/>
  <c r="O1407" i="1" s="1"/>
  <c r="Q1407" i="1" s="1"/>
  <c r="M1407" i="1"/>
  <c r="I1408" i="1"/>
  <c r="G1647" i="1"/>
  <c r="O1647" i="1" s="1"/>
  <c r="Q1647" i="1" s="1"/>
  <c r="I1648" i="1"/>
  <c r="M1647" i="1"/>
  <c r="G1767" i="1"/>
  <c r="O1767" i="1" s="1"/>
  <c r="Q1767" i="1" s="1"/>
  <c r="M1767" i="1"/>
  <c r="I1768" i="1"/>
  <c r="I92" i="1"/>
  <c r="G1287" i="1"/>
  <c r="O1287" i="1" s="1"/>
  <c r="Q1287" i="1" s="1"/>
  <c r="M1287" i="1"/>
  <c r="I1288" i="1"/>
  <c r="G687" i="1"/>
  <c r="O687" i="1" s="1"/>
  <c r="Q687" i="1" s="1"/>
  <c r="I688" i="1"/>
  <c r="M687" i="1"/>
  <c r="G807" i="1"/>
  <c r="O807" i="1" s="1"/>
  <c r="Q807" i="1" s="1"/>
  <c r="I808" i="1"/>
  <c r="M807" i="1"/>
  <c r="I569" i="1"/>
  <c r="G569" i="1" s="1"/>
  <c r="G568" i="1"/>
  <c r="O568" i="1" s="1"/>
  <c r="Q568" i="1" s="1"/>
  <c r="M568" i="1"/>
  <c r="G207" i="1"/>
  <c r="O207" i="1" s="1"/>
  <c r="M207" i="1"/>
  <c r="I208" i="1"/>
  <c r="M2011" i="1"/>
  <c r="K89" i="1"/>
  <c r="G89" i="1" s="1"/>
  <c r="G88" i="1"/>
  <c r="O88" i="1" s="1"/>
  <c r="M88" i="1"/>
  <c r="I1170" i="1"/>
  <c r="I1172" i="1"/>
  <c r="G1172" i="1" s="1"/>
  <c r="O1172" i="1" s="1"/>
  <c r="Q1172" i="1" s="1"/>
  <c r="M1169" i="1"/>
  <c r="I330" i="1"/>
  <c r="M329" i="1"/>
  <c r="I332" i="1"/>
  <c r="G332" i="1" s="1"/>
  <c r="O332" i="1" s="1"/>
  <c r="Q332" i="1" s="1"/>
  <c r="I1530" i="1"/>
  <c r="M1529" i="1"/>
  <c r="I1532" i="1"/>
  <c r="G1532" i="1" s="1"/>
  <c r="O1532" i="1" s="1"/>
  <c r="Q1532" i="1" s="1"/>
  <c r="I1050" i="1"/>
  <c r="M1049" i="1"/>
  <c r="I1052" i="1"/>
  <c r="G1052" i="1" s="1"/>
  <c r="O1052" i="1" s="1"/>
  <c r="Q1052" i="1" s="1"/>
  <c r="I2010" i="1"/>
  <c r="M2009" i="1"/>
  <c r="I2012" i="1"/>
  <c r="G2012" i="1" s="1"/>
  <c r="O2012" i="1" s="1"/>
  <c r="Q2012" i="1" s="1"/>
  <c r="I450" i="1"/>
  <c r="I452" i="1"/>
  <c r="G452" i="1" s="1"/>
  <c r="O452" i="1" s="1"/>
  <c r="Q452" i="1" s="1"/>
  <c r="M449" i="1"/>
  <c r="I94" i="1"/>
  <c r="I98" i="1"/>
  <c r="I99" i="1" s="1"/>
  <c r="I96" i="1"/>
  <c r="G1531" i="1" l="1"/>
  <c r="O1531" i="1" s="1"/>
  <c r="Q1531" i="1" s="1"/>
  <c r="G4559" i="1"/>
  <c r="O4559" i="1" s="1"/>
  <c r="Q4559" i="1" s="1"/>
  <c r="M4559" i="1"/>
  <c r="G5398" i="1"/>
  <c r="O5398" i="1" s="1"/>
  <c r="Q5398" i="1" s="1"/>
  <c r="M5398" i="1"/>
  <c r="I3599" i="1"/>
  <c r="I3598" i="1"/>
  <c r="M3597" i="1"/>
  <c r="G3597" i="1"/>
  <c r="O3597" i="1" s="1"/>
  <c r="Q3597" i="1" s="1"/>
  <c r="M8667" i="1"/>
  <c r="G8667" i="1"/>
  <c r="O8667" i="1" s="1"/>
  <c r="Q8667" i="1" s="1"/>
  <c r="G8308" i="1"/>
  <c r="O8308" i="1" s="1"/>
  <c r="Q8308" i="1" s="1"/>
  <c r="M8308" i="1"/>
  <c r="M5158" i="1"/>
  <c r="G5158" i="1"/>
  <c r="O5158" i="1" s="1"/>
  <c r="Q5158" i="1" s="1"/>
  <c r="I4444" i="1"/>
  <c r="G4444" i="1" s="1"/>
  <c r="O4444" i="1" s="1"/>
  <c r="I4442" i="1"/>
  <c r="I4446" i="1"/>
  <c r="G4440" i="1"/>
  <c r="O4440" i="1" s="1"/>
  <c r="M5278" i="1"/>
  <c r="G5278" i="1"/>
  <c r="O5278" i="1" s="1"/>
  <c r="Q5278" i="1" s="1"/>
  <c r="I7595" i="1"/>
  <c r="G7589" i="1"/>
  <c r="O7589" i="1" s="1"/>
  <c r="I7593" i="1"/>
  <c r="G7593" i="1" s="1"/>
  <c r="O7593" i="1" s="1"/>
  <c r="I7591" i="1"/>
  <c r="G4560" i="1"/>
  <c r="O4560" i="1" s="1"/>
  <c r="I4564" i="1"/>
  <c r="G4564" i="1" s="1"/>
  <c r="O4564" i="1" s="1"/>
  <c r="I4562" i="1"/>
  <c r="I4566" i="1"/>
  <c r="I8435" i="1"/>
  <c r="I8433" i="1"/>
  <c r="G8433" i="1" s="1"/>
  <c r="O8433" i="1" s="1"/>
  <c r="I8431" i="1"/>
  <c r="G8429" i="1"/>
  <c r="O8429" i="1" s="1"/>
  <c r="M8668" i="1"/>
  <c r="G8668" i="1"/>
  <c r="O8668" i="1" s="1"/>
  <c r="Q8668" i="1" s="1"/>
  <c r="G5040" i="1"/>
  <c r="O5040" i="1" s="1"/>
  <c r="I5044" i="1"/>
  <c r="G5044" i="1" s="1"/>
  <c r="O5044" i="1" s="1"/>
  <c r="I5042" i="1"/>
  <c r="I5046" i="1"/>
  <c r="Q8189" i="1"/>
  <c r="O8190" i="1"/>
  <c r="I8315" i="1"/>
  <c r="I8313" i="1"/>
  <c r="G8313" i="1" s="1"/>
  <c r="O8313" i="1" s="1"/>
  <c r="I8311" i="1"/>
  <c r="G8309" i="1"/>
  <c r="O8309" i="1" s="1"/>
  <c r="M5159" i="1"/>
  <c r="G5159" i="1"/>
  <c r="O5159" i="1" s="1"/>
  <c r="Q5159" i="1" s="1"/>
  <c r="M7947" i="1"/>
  <c r="G7947" i="1"/>
  <c r="O7947" i="1" s="1"/>
  <c r="Q7947" i="1" s="1"/>
  <c r="G5279" i="1"/>
  <c r="O5279" i="1" s="1"/>
  <c r="Q5279" i="1" s="1"/>
  <c r="M5279" i="1"/>
  <c r="G8427" i="1"/>
  <c r="O8427" i="1" s="1"/>
  <c r="Q8427" i="1" s="1"/>
  <c r="M8427" i="1"/>
  <c r="I8673" i="1"/>
  <c r="G8673" i="1" s="1"/>
  <c r="O8673" i="1" s="1"/>
  <c r="I8671" i="1"/>
  <c r="I8675" i="1"/>
  <c r="G8669" i="1"/>
  <c r="O8669" i="1" s="1"/>
  <c r="M5038" i="1"/>
  <c r="G5038" i="1"/>
  <c r="O5038" i="1" s="1"/>
  <c r="Q5038" i="1" s="1"/>
  <c r="G8195" i="1"/>
  <c r="O8195" i="1" s="1"/>
  <c r="I8196" i="1"/>
  <c r="G8196" i="1" s="1"/>
  <c r="O8196" i="1" s="1"/>
  <c r="Q8196" i="1" s="1"/>
  <c r="I8197" i="1"/>
  <c r="I6988" i="1"/>
  <c r="I6987" i="1"/>
  <c r="G6986" i="1"/>
  <c r="O6986" i="1" s="1"/>
  <c r="Q6986" i="1" s="1"/>
  <c r="M6986" i="1"/>
  <c r="I3477" i="1"/>
  <c r="G3476" i="1"/>
  <c r="O3476" i="1" s="1"/>
  <c r="Q3476" i="1" s="1"/>
  <c r="M3476" i="1"/>
  <c r="G7948" i="1"/>
  <c r="O7948" i="1" s="1"/>
  <c r="Q7948" i="1" s="1"/>
  <c r="M7948" i="1"/>
  <c r="I5284" i="1"/>
  <c r="G5284" i="1" s="1"/>
  <c r="O5284" i="1" s="1"/>
  <c r="I5282" i="1"/>
  <c r="I5286" i="1"/>
  <c r="G5280" i="1"/>
  <c r="O5280" i="1" s="1"/>
  <c r="G8547" i="1"/>
  <c r="O8547" i="1" s="1"/>
  <c r="Q8547" i="1" s="1"/>
  <c r="M8547" i="1"/>
  <c r="M8787" i="1"/>
  <c r="G8787" i="1"/>
  <c r="O8787" i="1" s="1"/>
  <c r="Q8787" i="1" s="1"/>
  <c r="I7106" i="1"/>
  <c r="M7105" i="1"/>
  <c r="G7105" i="1"/>
  <c r="O7105" i="1" s="1"/>
  <c r="Q7105" i="1" s="1"/>
  <c r="M8428" i="1"/>
  <c r="G8428" i="1"/>
  <c r="O8428" i="1" s="1"/>
  <c r="Q8428" i="1" s="1"/>
  <c r="I7835" i="1"/>
  <c r="G7829" i="1"/>
  <c r="O7829" i="1" s="1"/>
  <c r="I7833" i="1"/>
  <c r="G7833" i="1" s="1"/>
  <c r="O7833" i="1" s="1"/>
  <c r="I7831" i="1"/>
  <c r="I7713" i="1"/>
  <c r="G7713" i="1" s="1"/>
  <c r="O7713" i="1" s="1"/>
  <c r="I7711" i="1"/>
  <c r="I7715" i="1"/>
  <c r="G7709" i="1"/>
  <c r="O7709" i="1" s="1"/>
  <c r="M5039" i="1"/>
  <c r="G5039" i="1"/>
  <c r="O5039" i="1" s="1"/>
  <c r="Q5039" i="1" s="1"/>
  <c r="I3957" i="1"/>
  <c r="G3956" i="1"/>
  <c r="O3956" i="1" s="1"/>
  <c r="Q3956" i="1" s="1"/>
  <c r="M3956" i="1"/>
  <c r="M8191" i="1"/>
  <c r="G8191" i="1"/>
  <c r="O8191" i="1" s="1"/>
  <c r="I7953" i="1"/>
  <c r="G7953" i="1" s="1"/>
  <c r="O7953" i="1" s="1"/>
  <c r="I7951" i="1"/>
  <c r="I7955" i="1"/>
  <c r="G7949" i="1"/>
  <c r="O7949" i="1" s="1"/>
  <c r="I7346" i="1"/>
  <c r="M7345" i="1"/>
  <c r="G7345" i="1"/>
  <c r="O7345" i="1" s="1"/>
  <c r="Q7345" i="1" s="1"/>
  <c r="M4678" i="1"/>
  <c r="G4678" i="1"/>
  <c r="O4678" i="1" s="1"/>
  <c r="Q4678" i="1" s="1"/>
  <c r="G8548" i="1"/>
  <c r="O8548" i="1" s="1"/>
  <c r="Q8548" i="1" s="1"/>
  <c r="M8548" i="1"/>
  <c r="M8788" i="1"/>
  <c r="G8788" i="1"/>
  <c r="O8788" i="1" s="1"/>
  <c r="Q8788" i="1" s="1"/>
  <c r="I4079" i="1"/>
  <c r="I4078" i="1"/>
  <c r="I4080" i="1"/>
  <c r="M4077" i="1"/>
  <c r="G4077" i="1"/>
  <c r="O4077" i="1" s="1"/>
  <c r="Q4077" i="1" s="1"/>
  <c r="M4318" i="1"/>
  <c r="G4318" i="1"/>
  <c r="O4318" i="1" s="1"/>
  <c r="Q4318" i="1" s="1"/>
  <c r="G7827" i="1"/>
  <c r="O7827" i="1" s="1"/>
  <c r="Q7827" i="1" s="1"/>
  <c r="M7827" i="1"/>
  <c r="M7707" i="1"/>
  <c r="G7707" i="1"/>
  <c r="O7707" i="1" s="1"/>
  <c r="Q7707" i="1" s="1"/>
  <c r="Q4800" i="1"/>
  <c r="O4801" i="1"/>
  <c r="O8194" i="1"/>
  <c r="Q8193" i="1"/>
  <c r="G4918" i="1"/>
  <c r="O4918" i="1" s="1"/>
  <c r="Q4918" i="1" s="1"/>
  <c r="M4918" i="1"/>
  <c r="M4679" i="1"/>
  <c r="G4679" i="1"/>
  <c r="O4679" i="1" s="1"/>
  <c r="Q4679" i="1" s="1"/>
  <c r="I8553" i="1"/>
  <c r="G8553" i="1" s="1"/>
  <c r="O8553" i="1" s="1"/>
  <c r="I8551" i="1"/>
  <c r="G8549" i="1"/>
  <c r="O8549" i="1" s="1"/>
  <c r="I8555" i="1"/>
  <c r="I8793" i="1"/>
  <c r="G8793" i="1" s="1"/>
  <c r="O8793" i="1" s="1"/>
  <c r="I8795" i="1"/>
  <c r="I8791" i="1"/>
  <c r="G8789" i="1"/>
  <c r="O8789" i="1" s="1"/>
  <c r="G4319" i="1"/>
  <c r="O4319" i="1" s="1"/>
  <c r="Q4319" i="1" s="1"/>
  <c r="M4319" i="1"/>
  <c r="M7828" i="1"/>
  <c r="G7828" i="1"/>
  <c r="O7828" i="1" s="1"/>
  <c r="Q7828" i="1" s="1"/>
  <c r="M7708" i="1"/>
  <c r="G7708" i="1"/>
  <c r="O7708" i="1" s="1"/>
  <c r="Q7708" i="1" s="1"/>
  <c r="I4808" i="1"/>
  <c r="I4807" i="1"/>
  <c r="G4807" i="1" s="1"/>
  <c r="O4807" i="1" s="1"/>
  <c r="Q4807" i="1" s="1"/>
  <c r="G4806" i="1"/>
  <c r="O4806" i="1" s="1"/>
  <c r="G4919" i="1"/>
  <c r="O4919" i="1" s="1"/>
  <c r="Q4919" i="1" s="1"/>
  <c r="M4919" i="1"/>
  <c r="I4202" i="1"/>
  <c r="G4200" i="1"/>
  <c r="O4200" i="1" s="1"/>
  <c r="I4206" i="1"/>
  <c r="I4204" i="1"/>
  <c r="G4204" i="1" s="1"/>
  <c r="O4204" i="1" s="1"/>
  <c r="I4684" i="1"/>
  <c r="G4684" i="1" s="1"/>
  <c r="O4684" i="1" s="1"/>
  <c r="I4682" i="1"/>
  <c r="I4686" i="1"/>
  <c r="G4680" i="1"/>
  <c r="O4680" i="1" s="1"/>
  <c r="M8067" i="1"/>
  <c r="G8067" i="1"/>
  <c r="O8067" i="1" s="1"/>
  <c r="Q8067" i="1" s="1"/>
  <c r="I4324" i="1"/>
  <c r="G4324" i="1" s="1"/>
  <c r="O4324" i="1" s="1"/>
  <c r="I4322" i="1"/>
  <c r="I4326" i="1"/>
  <c r="G4320" i="1"/>
  <c r="O4320" i="1" s="1"/>
  <c r="G5399" i="1"/>
  <c r="O5399" i="1" s="1"/>
  <c r="Q5399" i="1" s="1"/>
  <c r="M5399" i="1"/>
  <c r="I3837" i="1"/>
  <c r="G3836" i="1"/>
  <c r="O3836" i="1" s="1"/>
  <c r="Q3836" i="1" s="1"/>
  <c r="M3836" i="1"/>
  <c r="I7226" i="1"/>
  <c r="G7225" i="1"/>
  <c r="O7225" i="1" s="1"/>
  <c r="Q7225" i="1" s="1"/>
  <c r="M7225" i="1"/>
  <c r="G4802" i="1"/>
  <c r="O4802" i="1" s="1"/>
  <c r="M4802" i="1"/>
  <c r="I4926" i="1"/>
  <c r="I4924" i="1"/>
  <c r="G4924" i="1" s="1"/>
  <c r="O4924" i="1" s="1"/>
  <c r="I4922" i="1"/>
  <c r="G4920" i="1"/>
  <c r="O4920" i="1" s="1"/>
  <c r="G4198" i="1"/>
  <c r="O4198" i="1" s="1"/>
  <c r="Q4198" i="1" s="1"/>
  <c r="M4198" i="1"/>
  <c r="M4438" i="1"/>
  <c r="G4438" i="1"/>
  <c r="O4438" i="1" s="1"/>
  <c r="Q4438" i="1" s="1"/>
  <c r="G7587" i="1"/>
  <c r="O7587" i="1" s="1"/>
  <c r="Q7587" i="1" s="1"/>
  <c r="M7587" i="1"/>
  <c r="G8068" i="1"/>
  <c r="O8068" i="1" s="1"/>
  <c r="Q8068" i="1" s="1"/>
  <c r="M8068" i="1"/>
  <c r="G4558" i="1"/>
  <c r="O4558" i="1" s="1"/>
  <c r="Q4558" i="1" s="1"/>
  <c r="M4558" i="1"/>
  <c r="G5400" i="1"/>
  <c r="O5400" i="1" s="1"/>
  <c r="I5406" i="1"/>
  <c r="I5404" i="1"/>
  <c r="G5404" i="1" s="1"/>
  <c r="O5404" i="1" s="1"/>
  <c r="I5402" i="1"/>
  <c r="Q4804" i="1"/>
  <c r="O4805" i="1"/>
  <c r="M8307" i="1"/>
  <c r="G8307" i="1"/>
  <c r="O8307" i="1" s="1"/>
  <c r="Q8307" i="1" s="1"/>
  <c r="I5162" i="1"/>
  <c r="I5166" i="1"/>
  <c r="G5160" i="1"/>
  <c r="O5160" i="1" s="1"/>
  <c r="I5164" i="1"/>
  <c r="G5164" i="1" s="1"/>
  <c r="O5164" i="1" s="1"/>
  <c r="I6866" i="1"/>
  <c r="M6865" i="1"/>
  <c r="G6865" i="1"/>
  <c r="O6865" i="1" s="1"/>
  <c r="Q6865" i="1" s="1"/>
  <c r="M4199" i="1"/>
  <c r="G4199" i="1"/>
  <c r="O4199" i="1" s="1"/>
  <c r="Q4199" i="1" s="1"/>
  <c r="G4439" i="1"/>
  <c r="O4439" i="1" s="1"/>
  <c r="Q4439" i="1" s="1"/>
  <c r="M4439" i="1"/>
  <c r="M7588" i="1"/>
  <c r="G7588" i="1"/>
  <c r="O7588" i="1" s="1"/>
  <c r="Q7588" i="1" s="1"/>
  <c r="I3717" i="1"/>
  <c r="M3716" i="1"/>
  <c r="G3716" i="1"/>
  <c r="O3716" i="1" s="1"/>
  <c r="Q3716" i="1" s="1"/>
  <c r="I7469" i="1"/>
  <c r="I7468" i="1"/>
  <c r="I7467" i="1"/>
  <c r="G7466" i="1"/>
  <c r="O7466" i="1" s="1"/>
  <c r="Q7466" i="1" s="1"/>
  <c r="M7466" i="1"/>
  <c r="I8073" i="1"/>
  <c r="G8073" i="1" s="1"/>
  <c r="O8073" i="1" s="1"/>
  <c r="I8071" i="1"/>
  <c r="I8075" i="1"/>
  <c r="G8069" i="1"/>
  <c r="O8069" i="1" s="1"/>
  <c r="Q207" i="1"/>
  <c r="Q88" i="1"/>
  <c r="M1051" i="1"/>
  <c r="M331" i="1"/>
  <c r="M451" i="1"/>
  <c r="M1171" i="1"/>
  <c r="G928" i="1"/>
  <c r="O928" i="1" s="1"/>
  <c r="Q928" i="1" s="1"/>
  <c r="M928" i="1"/>
  <c r="I929" i="1"/>
  <c r="M450" i="1"/>
  <c r="G450" i="1"/>
  <c r="O450" i="1" s="1"/>
  <c r="M1530" i="1"/>
  <c r="G1530" i="1"/>
  <c r="O1530" i="1" s="1"/>
  <c r="Q1530" i="1" s="1"/>
  <c r="M1170" i="1"/>
  <c r="G1170" i="1"/>
  <c r="O1170" i="1" s="1"/>
  <c r="Q1170" i="1" s="1"/>
  <c r="M2010" i="1"/>
  <c r="G2010" i="1"/>
  <c r="O2010" i="1" s="1"/>
  <c r="Q2010" i="1" s="1"/>
  <c r="M1050" i="1"/>
  <c r="G1050" i="1"/>
  <c r="O1050" i="1" s="1"/>
  <c r="Q1050" i="1" s="1"/>
  <c r="M330" i="1"/>
  <c r="G330" i="1"/>
  <c r="O330" i="1" s="1"/>
  <c r="Q330" i="1" s="1"/>
  <c r="M1888" i="1"/>
  <c r="I1889" i="1"/>
  <c r="G1889" i="1" s="1"/>
  <c r="G1888" i="1"/>
  <c r="O1888" i="1" s="1"/>
  <c r="Q1888" i="1" s="1"/>
  <c r="M1648" i="1"/>
  <c r="G1648" i="1"/>
  <c r="O1648" i="1" s="1"/>
  <c r="I1649" i="1"/>
  <c r="G1649" i="1" s="1"/>
  <c r="M1408" i="1"/>
  <c r="I1409" i="1"/>
  <c r="G1409" i="1" s="1"/>
  <c r="G1408" i="1"/>
  <c r="O1408" i="1" s="1"/>
  <c r="Q1408" i="1" s="1"/>
  <c r="G1768" i="1"/>
  <c r="O1768" i="1" s="1"/>
  <c r="Q1768" i="1" s="1"/>
  <c r="M1768" i="1"/>
  <c r="I1769" i="1"/>
  <c r="G1769" i="1" s="1"/>
  <c r="I1289" i="1"/>
  <c r="G1289" i="1" s="1"/>
  <c r="G1288" i="1"/>
  <c r="O1288" i="1" s="1"/>
  <c r="Q1288" i="1" s="1"/>
  <c r="M1288" i="1"/>
  <c r="M688" i="1"/>
  <c r="I689" i="1"/>
  <c r="G689" i="1" s="1"/>
  <c r="G688" i="1"/>
  <c r="O688" i="1" s="1"/>
  <c r="Q688" i="1" s="1"/>
  <c r="I571" i="1"/>
  <c r="I572" i="1"/>
  <c r="M569" i="1"/>
  <c r="O569" i="1"/>
  <c r="Q569" i="1" s="1"/>
  <c r="I570" i="1"/>
  <c r="M808" i="1"/>
  <c r="I809" i="1"/>
  <c r="G809" i="1" s="1"/>
  <c r="G808" i="1"/>
  <c r="O808" i="1" s="1"/>
  <c r="G208" i="1"/>
  <c r="O208" i="1" s="1"/>
  <c r="Q208" i="1" s="1"/>
  <c r="M208" i="1"/>
  <c r="I209" i="1"/>
  <c r="G209" i="1" s="1"/>
  <c r="K90" i="1"/>
  <c r="G90" i="1" s="1"/>
  <c r="K91" i="1"/>
  <c r="G91" i="1" s="1"/>
  <c r="O91" i="1" s="1"/>
  <c r="Q91" i="1" s="1"/>
  <c r="M89" i="1"/>
  <c r="O89" i="1"/>
  <c r="Q89" i="1" s="1"/>
  <c r="I100" i="1"/>
  <c r="I458" i="1"/>
  <c r="I456" i="1"/>
  <c r="I454" i="1"/>
  <c r="G454" i="1" s="1"/>
  <c r="I1538" i="1"/>
  <c r="I1536" i="1"/>
  <c r="I1534" i="1"/>
  <c r="G1534" i="1" s="1"/>
  <c r="I338" i="1"/>
  <c r="I334" i="1"/>
  <c r="G334" i="1" s="1"/>
  <c r="I336" i="1"/>
  <c r="I2014" i="1"/>
  <c r="G2014" i="1" s="1"/>
  <c r="I2018" i="1"/>
  <c r="I2019" i="1" s="1"/>
  <c r="I2016" i="1"/>
  <c r="I1056" i="1"/>
  <c r="I1058" i="1"/>
  <c r="I1054" i="1"/>
  <c r="G1054" i="1" s="1"/>
  <c r="I1174" i="1"/>
  <c r="G1174" i="1" s="1"/>
  <c r="I1178" i="1"/>
  <c r="I1176" i="1"/>
  <c r="G8071" i="1" l="1"/>
  <c r="O8071" i="1" s="1"/>
  <c r="M8071" i="1"/>
  <c r="O8074" i="1"/>
  <c r="Q8073" i="1"/>
  <c r="I3720" i="1"/>
  <c r="I3719" i="1"/>
  <c r="I3718" i="1"/>
  <c r="M3717" i="1"/>
  <c r="G3717" i="1"/>
  <c r="O3717" i="1" s="1"/>
  <c r="Q3717" i="1" s="1"/>
  <c r="O4205" i="1"/>
  <c r="Q4204" i="1"/>
  <c r="I6867" i="1"/>
  <c r="I6868" i="1"/>
  <c r="G6866" i="1"/>
  <c r="O6866" i="1" s="1"/>
  <c r="Q6866" i="1" s="1"/>
  <c r="M6866" i="1"/>
  <c r="G4922" i="1"/>
  <c r="O4922" i="1" s="1"/>
  <c r="M4922" i="1"/>
  <c r="O4325" i="1"/>
  <c r="Q4324" i="1"/>
  <c r="I4207" i="1"/>
  <c r="G4207" i="1" s="1"/>
  <c r="O4207" i="1" s="1"/>
  <c r="Q4207" i="1" s="1"/>
  <c r="G4206" i="1"/>
  <c r="O4206" i="1" s="1"/>
  <c r="I4208" i="1"/>
  <c r="G8795" i="1"/>
  <c r="O8795" i="1" s="1"/>
  <c r="I8796" i="1"/>
  <c r="G8796" i="1" s="1"/>
  <c r="O8796" i="1" s="1"/>
  <c r="Q8796" i="1" s="1"/>
  <c r="I8797" i="1"/>
  <c r="G4079" i="1"/>
  <c r="O4079" i="1" s="1"/>
  <c r="Q4079" i="1" s="1"/>
  <c r="M4079" i="1"/>
  <c r="O7954" i="1"/>
  <c r="Q7953" i="1"/>
  <c r="Q7709" i="1"/>
  <c r="O7710" i="1"/>
  <c r="Q8309" i="1"/>
  <c r="O8310" i="1"/>
  <c r="O5045" i="1"/>
  <c r="Q5044" i="1"/>
  <c r="I4568" i="1"/>
  <c r="I4567" i="1"/>
  <c r="G4567" i="1" s="1"/>
  <c r="O4567" i="1" s="1"/>
  <c r="Q4567" i="1" s="1"/>
  <c r="G4566" i="1"/>
  <c r="O4566" i="1" s="1"/>
  <c r="I3604" i="1"/>
  <c r="G3604" i="1" s="1"/>
  <c r="O3604" i="1" s="1"/>
  <c r="I3602" i="1"/>
  <c r="I3606" i="1"/>
  <c r="G3599" i="1"/>
  <c r="O3599" i="1" s="1"/>
  <c r="Q3599" i="1" s="1"/>
  <c r="O5165" i="1"/>
  <c r="Q5164" i="1"/>
  <c r="M5402" i="1"/>
  <c r="G5402" i="1"/>
  <c r="O5402" i="1" s="1"/>
  <c r="O4925" i="1"/>
  <c r="Q4924" i="1"/>
  <c r="Q4200" i="1"/>
  <c r="O4201" i="1"/>
  <c r="O8794" i="1"/>
  <c r="Q8794" i="1" s="1"/>
  <c r="Q8793" i="1"/>
  <c r="Q8191" i="1"/>
  <c r="O8192" i="1"/>
  <c r="I7716" i="1"/>
  <c r="G7716" i="1" s="1"/>
  <c r="O7716" i="1" s="1"/>
  <c r="Q7716" i="1" s="1"/>
  <c r="I7717" i="1"/>
  <c r="G7715" i="1"/>
  <c r="O7715" i="1" s="1"/>
  <c r="Q5280" i="1"/>
  <c r="O5281" i="1"/>
  <c r="I3478" i="1"/>
  <c r="I3479" i="1"/>
  <c r="M3477" i="1"/>
  <c r="G3477" i="1"/>
  <c r="O3477" i="1" s="1"/>
  <c r="Q3477" i="1" s="1"/>
  <c r="Q8195" i="1"/>
  <c r="G8311" i="1"/>
  <c r="O8311" i="1" s="1"/>
  <c r="M8311" i="1"/>
  <c r="Q5040" i="1"/>
  <c r="O5041" i="1"/>
  <c r="G4562" i="1"/>
  <c r="O4562" i="1" s="1"/>
  <c r="M4562" i="1"/>
  <c r="I3838" i="1"/>
  <c r="I3840" i="1"/>
  <c r="I3839" i="1"/>
  <c r="M3837" i="1"/>
  <c r="G3837" i="1"/>
  <c r="O3837" i="1" s="1"/>
  <c r="Q3837" i="1" s="1"/>
  <c r="G4202" i="1"/>
  <c r="O4202" i="1" s="1"/>
  <c r="M4202" i="1"/>
  <c r="G8555" i="1"/>
  <c r="O8555" i="1" s="1"/>
  <c r="I8556" i="1"/>
  <c r="G8556" i="1" s="1"/>
  <c r="O8556" i="1" s="1"/>
  <c r="Q8556" i="1" s="1"/>
  <c r="I8557" i="1"/>
  <c r="M7711" i="1"/>
  <c r="G7711" i="1"/>
  <c r="O7711" i="1" s="1"/>
  <c r="I5288" i="1"/>
  <c r="I5287" i="1"/>
  <c r="G5287" i="1" s="1"/>
  <c r="O5287" i="1" s="1"/>
  <c r="Q5287" i="1" s="1"/>
  <c r="G5286" i="1"/>
  <c r="O5286" i="1" s="1"/>
  <c r="O8314" i="1"/>
  <c r="Q8313" i="1"/>
  <c r="O4565" i="1"/>
  <c r="Q4564" i="1"/>
  <c r="Q4440" i="1"/>
  <c r="O4441" i="1"/>
  <c r="O5405" i="1"/>
  <c r="Q5405" i="1" s="1"/>
  <c r="Q5404" i="1"/>
  <c r="M7468" i="1"/>
  <c r="G7468" i="1"/>
  <c r="O7468" i="1" s="1"/>
  <c r="Q7468" i="1" s="1"/>
  <c r="I5168" i="1"/>
  <c r="I5167" i="1"/>
  <c r="G5167" i="1" s="1"/>
  <c r="O5167" i="1" s="1"/>
  <c r="Q5167" i="1" s="1"/>
  <c r="G5166" i="1"/>
  <c r="O5166" i="1" s="1"/>
  <c r="Q8549" i="1"/>
  <c r="O8550" i="1"/>
  <c r="O7714" i="1"/>
  <c r="Q7713" i="1"/>
  <c r="M5282" i="1"/>
  <c r="G5282" i="1"/>
  <c r="O5282" i="1" s="1"/>
  <c r="G8315" i="1"/>
  <c r="O8315" i="1" s="1"/>
  <c r="I8316" i="1"/>
  <c r="G8316" i="1" s="1"/>
  <c r="O8316" i="1" s="1"/>
  <c r="Q8316" i="1" s="1"/>
  <c r="I8317" i="1"/>
  <c r="Q4560" i="1"/>
  <c r="O4561" i="1"/>
  <c r="I4448" i="1"/>
  <c r="I4447" i="1"/>
  <c r="G4447" i="1" s="1"/>
  <c r="O4447" i="1" s="1"/>
  <c r="Q4447" i="1" s="1"/>
  <c r="G4446" i="1"/>
  <c r="O4446" i="1" s="1"/>
  <c r="M7467" i="1"/>
  <c r="G7467" i="1"/>
  <c r="O7467" i="1" s="1"/>
  <c r="Q7467" i="1" s="1"/>
  <c r="Q5160" i="1"/>
  <c r="O5161" i="1"/>
  <c r="I4928" i="1"/>
  <c r="I4927" i="1"/>
  <c r="G4927" i="1" s="1"/>
  <c r="O4927" i="1" s="1"/>
  <c r="Q4927" i="1" s="1"/>
  <c r="G4926" i="1"/>
  <c r="O4926" i="1" s="1"/>
  <c r="I5408" i="1"/>
  <c r="I5407" i="1"/>
  <c r="G5407" i="1" s="1"/>
  <c r="O5407" i="1" s="1"/>
  <c r="Q5407" i="1" s="1"/>
  <c r="G5406" i="1"/>
  <c r="O5406" i="1" s="1"/>
  <c r="Q4680" i="1"/>
  <c r="O4681" i="1"/>
  <c r="Q8069" i="1"/>
  <c r="O8070" i="1"/>
  <c r="I7475" i="1"/>
  <c r="G7469" i="1"/>
  <c r="O7469" i="1" s="1"/>
  <c r="I7473" i="1"/>
  <c r="G7473" i="1" s="1"/>
  <c r="O7473" i="1" s="1"/>
  <c r="I7471" i="1"/>
  <c r="G5162" i="1"/>
  <c r="O5162" i="1" s="1"/>
  <c r="M5162" i="1"/>
  <c r="Q5400" i="1"/>
  <c r="O5401" i="1"/>
  <c r="Q4802" i="1"/>
  <c r="O4803" i="1"/>
  <c r="I4688" i="1"/>
  <c r="I4687" i="1"/>
  <c r="G4687" i="1" s="1"/>
  <c r="O4687" i="1" s="1"/>
  <c r="Q4687" i="1" s="1"/>
  <c r="G4686" i="1"/>
  <c r="O4686" i="1" s="1"/>
  <c r="G8551" i="1"/>
  <c r="O8551" i="1" s="1"/>
  <c r="M8551" i="1"/>
  <c r="I7349" i="1"/>
  <c r="I7348" i="1"/>
  <c r="I7347" i="1"/>
  <c r="G7346" i="1"/>
  <c r="O7346" i="1" s="1"/>
  <c r="Q7346" i="1" s="1"/>
  <c r="M7346" i="1"/>
  <c r="M7831" i="1"/>
  <c r="G7831" i="1"/>
  <c r="O7831" i="1" s="1"/>
  <c r="I7108" i="1"/>
  <c r="I7107" i="1"/>
  <c r="I7109" i="1"/>
  <c r="M7106" i="1"/>
  <c r="G7106" i="1"/>
  <c r="O7106" i="1" s="1"/>
  <c r="Q7106" i="1" s="1"/>
  <c r="O5285" i="1"/>
  <c r="Q5284" i="1"/>
  <c r="I6989" i="1"/>
  <c r="G6987" i="1"/>
  <c r="O6987" i="1" s="1"/>
  <c r="Q6987" i="1" s="1"/>
  <c r="M6987" i="1"/>
  <c r="Q8669" i="1"/>
  <c r="O8670" i="1"/>
  <c r="Q8429" i="1"/>
  <c r="O8430" i="1"/>
  <c r="M7591" i="1"/>
  <c r="G7591" i="1"/>
  <c r="O7591" i="1" s="1"/>
  <c r="M4442" i="1"/>
  <c r="G4442" i="1"/>
  <c r="O4442" i="1" s="1"/>
  <c r="Q4320" i="1"/>
  <c r="O4321" i="1"/>
  <c r="M4682" i="1"/>
  <c r="G4682" i="1"/>
  <c r="O4682" i="1" s="1"/>
  <c r="Q4806" i="1"/>
  <c r="O8554" i="1"/>
  <c r="Q8553" i="1"/>
  <c r="Q7949" i="1"/>
  <c r="O7950" i="1"/>
  <c r="I3960" i="1"/>
  <c r="I3959" i="1"/>
  <c r="I3958" i="1"/>
  <c r="G3957" i="1"/>
  <c r="O3957" i="1" s="1"/>
  <c r="Q3957" i="1" s="1"/>
  <c r="M3957" i="1"/>
  <c r="O7834" i="1"/>
  <c r="Q7833" i="1"/>
  <c r="I6995" i="1"/>
  <c r="I6993" i="1"/>
  <c r="G6993" i="1" s="1"/>
  <c r="O6993" i="1" s="1"/>
  <c r="I6991" i="1"/>
  <c r="G6988" i="1"/>
  <c r="O6988" i="1" s="1"/>
  <c r="Q6988" i="1" s="1"/>
  <c r="I8676" i="1"/>
  <c r="G8676" i="1" s="1"/>
  <c r="O8676" i="1" s="1"/>
  <c r="Q8676" i="1" s="1"/>
  <c r="I8677" i="1"/>
  <c r="G8675" i="1"/>
  <c r="O8675" i="1" s="1"/>
  <c r="G8431" i="1"/>
  <c r="O8431" i="1" s="1"/>
  <c r="M8431" i="1"/>
  <c r="Q7593" i="1"/>
  <c r="O7594" i="1"/>
  <c r="Q4444" i="1"/>
  <c r="O4445" i="1"/>
  <c r="Q4684" i="1"/>
  <c r="O4685" i="1"/>
  <c r="Q8789" i="1"/>
  <c r="O8790" i="1"/>
  <c r="I4082" i="1"/>
  <c r="I4086" i="1"/>
  <c r="G4080" i="1"/>
  <c r="O4080" i="1" s="1"/>
  <c r="I4084" i="1"/>
  <c r="G4084" i="1" s="1"/>
  <c r="O4084" i="1" s="1"/>
  <c r="I7957" i="1"/>
  <c r="G7955" i="1"/>
  <c r="O7955" i="1" s="1"/>
  <c r="I7956" i="1"/>
  <c r="G7956" i="1" s="1"/>
  <c r="O7956" i="1" s="1"/>
  <c r="Q7956" i="1" s="1"/>
  <c r="Q7829" i="1"/>
  <c r="O7830" i="1"/>
  <c r="G8671" i="1"/>
  <c r="O8671" i="1" s="1"/>
  <c r="M8671" i="1"/>
  <c r="I5048" i="1"/>
  <c r="I5047" i="1"/>
  <c r="G5047" i="1" s="1"/>
  <c r="O5047" i="1" s="1"/>
  <c r="Q5047" i="1" s="1"/>
  <c r="G5046" i="1"/>
  <c r="O5046" i="1" s="1"/>
  <c r="O8434" i="1"/>
  <c r="Q8433" i="1"/>
  <c r="Q7589" i="1"/>
  <c r="O7590" i="1"/>
  <c r="I8077" i="1"/>
  <c r="G8075" i="1"/>
  <c r="O8075" i="1" s="1"/>
  <c r="I8076" i="1"/>
  <c r="G8076" i="1" s="1"/>
  <c r="O8076" i="1" s="1"/>
  <c r="Q8076" i="1" s="1"/>
  <c r="I4327" i="1"/>
  <c r="G4327" i="1" s="1"/>
  <c r="O4327" i="1" s="1"/>
  <c r="Q4327" i="1" s="1"/>
  <c r="G4326" i="1"/>
  <c r="O4326" i="1" s="1"/>
  <c r="I4328" i="1"/>
  <c r="Q4920" i="1"/>
  <c r="O4921" i="1"/>
  <c r="I7229" i="1"/>
  <c r="I7228" i="1"/>
  <c r="I7227" i="1"/>
  <c r="M7226" i="1"/>
  <c r="G7226" i="1"/>
  <c r="O7226" i="1" s="1"/>
  <c r="Q7226" i="1" s="1"/>
  <c r="G4322" i="1"/>
  <c r="O4322" i="1" s="1"/>
  <c r="M4322" i="1"/>
  <c r="I4809" i="1"/>
  <c r="G4808" i="1"/>
  <c r="O4808" i="1" s="1"/>
  <c r="Q4808" i="1" s="1"/>
  <c r="M8791" i="1"/>
  <c r="G8791" i="1"/>
  <c r="O8791" i="1" s="1"/>
  <c r="M4078" i="1"/>
  <c r="G4078" i="1"/>
  <c r="O4078" i="1" s="1"/>
  <c r="Q4078" i="1" s="1"/>
  <c r="M7951" i="1"/>
  <c r="G7951" i="1"/>
  <c r="O7951" i="1" s="1"/>
  <c r="G7835" i="1"/>
  <c r="O7835" i="1" s="1"/>
  <c r="I7836" i="1"/>
  <c r="G7836" i="1" s="1"/>
  <c r="O7836" i="1" s="1"/>
  <c r="Q7836" i="1" s="1"/>
  <c r="I7837" i="1"/>
  <c r="I8198" i="1"/>
  <c r="G8197" i="1"/>
  <c r="O8197" i="1" s="1"/>
  <c r="Q8197" i="1" s="1"/>
  <c r="Q8673" i="1"/>
  <c r="O8674" i="1"/>
  <c r="G5042" i="1"/>
  <c r="O5042" i="1" s="1"/>
  <c r="M5042" i="1"/>
  <c r="I8436" i="1"/>
  <c r="G8436" i="1" s="1"/>
  <c r="O8436" i="1" s="1"/>
  <c r="Q8436" i="1" s="1"/>
  <c r="G8435" i="1"/>
  <c r="O8435" i="1" s="1"/>
  <c r="I8437" i="1"/>
  <c r="I7596" i="1"/>
  <c r="G7596" i="1" s="1"/>
  <c r="O7596" i="1" s="1"/>
  <c r="Q7596" i="1" s="1"/>
  <c r="I7597" i="1"/>
  <c r="G7595" i="1"/>
  <c r="O7595" i="1" s="1"/>
  <c r="I3600" i="1"/>
  <c r="G3598" i="1"/>
  <c r="O3598" i="1" s="1"/>
  <c r="Q3598" i="1" s="1"/>
  <c r="M3598" i="1"/>
  <c r="Q450" i="1"/>
  <c r="Q1648" i="1"/>
  <c r="Q808" i="1"/>
  <c r="G2019" i="1"/>
  <c r="O2019" i="1" s="1"/>
  <c r="M2019" i="1"/>
  <c r="G2018" i="1"/>
  <c r="O2018" i="1" s="1"/>
  <c r="Q2018" i="1" s="1"/>
  <c r="G1538" i="1"/>
  <c r="O1538" i="1" s="1"/>
  <c r="Q1538" i="1" s="1"/>
  <c r="I1539" i="1"/>
  <c r="G1178" i="1"/>
  <c r="O1178" i="1" s="1"/>
  <c r="Q1178" i="1" s="1"/>
  <c r="I1179" i="1"/>
  <c r="G1058" i="1"/>
  <c r="O1058" i="1" s="1"/>
  <c r="Q1058" i="1" s="1"/>
  <c r="I1059" i="1"/>
  <c r="G458" i="1"/>
  <c r="O458" i="1" s="1"/>
  <c r="Q458" i="1" s="1"/>
  <c r="I459" i="1"/>
  <c r="G338" i="1"/>
  <c r="O338" i="1" s="1"/>
  <c r="Q338" i="1" s="1"/>
  <c r="I339" i="1"/>
  <c r="G929" i="1"/>
  <c r="O929" i="1" s="1"/>
  <c r="Q929" i="1" s="1"/>
  <c r="M929" i="1"/>
  <c r="I930" i="1"/>
  <c r="I932" i="1"/>
  <c r="I931" i="1"/>
  <c r="M570" i="1"/>
  <c r="G570" i="1"/>
  <c r="O570" i="1" s="1"/>
  <c r="Q570" i="1" s="1"/>
  <c r="I1891" i="1"/>
  <c r="M1889" i="1"/>
  <c r="I1892" i="1"/>
  <c r="O1889" i="1"/>
  <c r="I1890" i="1"/>
  <c r="G1890" i="1" s="1"/>
  <c r="I1411" i="1"/>
  <c r="I1412" i="1"/>
  <c r="O1409" i="1"/>
  <c r="Q1409" i="1" s="1"/>
  <c r="I1410" i="1"/>
  <c r="G1410" i="1" s="1"/>
  <c r="M1409" i="1"/>
  <c r="I1651" i="1"/>
  <c r="I1650" i="1"/>
  <c r="G1650" i="1" s="1"/>
  <c r="O1649" i="1"/>
  <c r="Q1649" i="1" s="1"/>
  <c r="I1652" i="1"/>
  <c r="M1649" i="1"/>
  <c r="I1771" i="1"/>
  <c r="O1769" i="1"/>
  <c r="M1769" i="1"/>
  <c r="I1770" i="1"/>
  <c r="G1770" i="1" s="1"/>
  <c r="I1772" i="1"/>
  <c r="K92" i="1"/>
  <c r="G92" i="1" s="1"/>
  <c r="O92" i="1" s="1"/>
  <c r="M90" i="1"/>
  <c r="I1291" i="1"/>
  <c r="M1289" i="1"/>
  <c r="O1289" i="1"/>
  <c r="Q1289" i="1" s="1"/>
  <c r="I1290" i="1"/>
  <c r="I1292" i="1"/>
  <c r="I691" i="1"/>
  <c r="I690" i="1"/>
  <c r="M689" i="1"/>
  <c r="I692" i="1"/>
  <c r="O689" i="1"/>
  <c r="Q689" i="1" s="1"/>
  <c r="O333" i="1"/>
  <c r="O209" i="1"/>
  <c r="Q209" i="1" s="1"/>
  <c r="M209" i="1"/>
  <c r="I211" i="1"/>
  <c r="I210" i="1"/>
  <c r="I811" i="1"/>
  <c r="I812" i="1"/>
  <c r="I810" i="1"/>
  <c r="M809" i="1"/>
  <c r="O809" i="1"/>
  <c r="Q809" i="1" s="1"/>
  <c r="G572" i="1"/>
  <c r="O572" i="1" s="1"/>
  <c r="Q572" i="1" s="1"/>
  <c r="I576" i="1"/>
  <c r="I578" i="1"/>
  <c r="I579" i="1" s="1"/>
  <c r="I574" i="1"/>
  <c r="G571" i="1"/>
  <c r="O571" i="1" s="1"/>
  <c r="M571" i="1"/>
  <c r="O2013" i="1"/>
  <c r="Q2013" i="1" s="1"/>
  <c r="K94" i="1"/>
  <c r="G94" i="1" s="1"/>
  <c r="K98" i="1"/>
  <c r="K96" i="1"/>
  <c r="O90" i="1"/>
  <c r="O1173" i="1"/>
  <c r="O1533" i="1"/>
  <c r="O1053" i="1"/>
  <c r="O453" i="1"/>
  <c r="G1176" i="1"/>
  <c r="O1176" i="1" s="1"/>
  <c r="Q1176" i="1" s="1"/>
  <c r="M1174" i="1"/>
  <c r="O1174" i="1"/>
  <c r="Q1174" i="1" s="1"/>
  <c r="M1534" i="1"/>
  <c r="O1534" i="1"/>
  <c r="Q1534" i="1" s="1"/>
  <c r="M454" i="1"/>
  <c r="O454" i="1"/>
  <c r="M458" i="1"/>
  <c r="I460" i="1"/>
  <c r="G460" i="1" s="1"/>
  <c r="M334" i="1"/>
  <c r="O334" i="1"/>
  <c r="Q334" i="1" s="1"/>
  <c r="I101" i="1"/>
  <c r="M1178" i="1"/>
  <c r="I1180" i="1"/>
  <c r="G1180" i="1" s="1"/>
  <c r="M1058" i="1"/>
  <c r="I1060" i="1"/>
  <c r="G1060" i="1" s="1"/>
  <c r="G2016" i="1"/>
  <c r="O2016" i="1" s="1"/>
  <c r="O2014" i="1"/>
  <c r="M2014" i="1"/>
  <c r="G336" i="1"/>
  <c r="O336" i="1" s="1"/>
  <c r="Q336" i="1" s="1"/>
  <c r="I340" i="1"/>
  <c r="G340" i="1" s="1"/>
  <c r="M338" i="1"/>
  <c r="G1536" i="1"/>
  <c r="O1536" i="1" s="1"/>
  <c r="Q1536" i="1" s="1"/>
  <c r="O1054" i="1"/>
  <c r="Q1054" i="1" s="1"/>
  <c r="M1054" i="1"/>
  <c r="G1056" i="1"/>
  <c r="O1056" i="1" s="1"/>
  <c r="Q1056" i="1" s="1"/>
  <c r="M2018" i="1"/>
  <c r="I2020" i="1"/>
  <c r="G2020" i="1" s="1"/>
  <c r="I1540" i="1"/>
  <c r="G1540" i="1" s="1"/>
  <c r="M1538" i="1"/>
  <c r="G456" i="1"/>
  <c r="O456" i="1" s="1"/>
  <c r="Q456" i="1" s="1"/>
  <c r="Q2016" i="1" l="1"/>
  <c r="Q8435" i="1"/>
  <c r="I7838" i="1"/>
  <c r="G7837" i="1"/>
  <c r="O7837" i="1" s="1"/>
  <c r="Q7837" i="1" s="1"/>
  <c r="M7228" i="1"/>
  <c r="G7228" i="1"/>
  <c r="O7228" i="1" s="1"/>
  <c r="Q7228" i="1" s="1"/>
  <c r="Q8075" i="1"/>
  <c r="I5049" i="1"/>
  <c r="G5048" i="1"/>
  <c r="O5048" i="1" s="1"/>
  <c r="Q5048" i="1" s="1"/>
  <c r="O4085" i="1"/>
  <c r="Q4084" i="1"/>
  <c r="Q7591" i="1"/>
  <c r="O7592" i="1"/>
  <c r="M7108" i="1"/>
  <c r="G7108" i="1"/>
  <c r="O7108" i="1" s="1"/>
  <c r="Q7108" i="1" s="1"/>
  <c r="Q5401" i="1"/>
  <c r="I5409" i="1"/>
  <c r="G5408" i="1"/>
  <c r="O5408" i="1" s="1"/>
  <c r="Q5408" i="1" s="1"/>
  <c r="Q4446" i="1"/>
  <c r="O5283" i="1"/>
  <c r="Q5282" i="1"/>
  <c r="I5169" i="1"/>
  <c r="G5168" i="1"/>
  <c r="O5168" i="1" s="1"/>
  <c r="Q5168" i="1" s="1"/>
  <c r="O7712" i="1"/>
  <c r="Q7711" i="1"/>
  <c r="O4203" i="1"/>
  <c r="Q4202" i="1"/>
  <c r="I3486" i="1"/>
  <c r="G3479" i="1"/>
  <c r="O3479" i="1" s="1"/>
  <c r="Q3479" i="1" s="1"/>
  <c r="I3484" i="1"/>
  <c r="G3484" i="1" s="1"/>
  <c r="O3484" i="1" s="1"/>
  <c r="I3482" i="1"/>
  <c r="Q5402" i="1"/>
  <c r="O5403" i="1"/>
  <c r="Q5403" i="1" s="1"/>
  <c r="Q4566" i="1"/>
  <c r="I4209" i="1"/>
  <c r="G4208" i="1"/>
  <c r="O4208" i="1" s="1"/>
  <c r="Q4208" i="1" s="1"/>
  <c r="G3719" i="1"/>
  <c r="O3719" i="1" s="1"/>
  <c r="Q3719" i="1" s="1"/>
  <c r="M3719" i="1"/>
  <c r="I7233" i="1"/>
  <c r="G7233" i="1" s="1"/>
  <c r="O7233" i="1" s="1"/>
  <c r="I7231" i="1"/>
  <c r="I7235" i="1"/>
  <c r="G7229" i="1"/>
  <c r="O7229" i="1" s="1"/>
  <c r="G8077" i="1"/>
  <c r="O8077" i="1" s="1"/>
  <c r="Q8077" i="1" s="1"/>
  <c r="I8078" i="1"/>
  <c r="Q4080" i="1"/>
  <c r="O4081" i="1"/>
  <c r="M3958" i="1"/>
  <c r="G3958" i="1"/>
  <c r="O3958" i="1" s="1"/>
  <c r="Q3958" i="1" s="1"/>
  <c r="M6989" i="1"/>
  <c r="G6989" i="1"/>
  <c r="O6989" i="1" s="1"/>
  <c r="Q7831" i="1"/>
  <c r="O7832" i="1"/>
  <c r="Q4926" i="1"/>
  <c r="M3478" i="1"/>
  <c r="G3478" i="1"/>
  <c r="O3478" i="1" s="1"/>
  <c r="Q3478" i="1" s="1"/>
  <c r="I3480" i="1"/>
  <c r="Q4206" i="1"/>
  <c r="I6871" i="1"/>
  <c r="G6868" i="1"/>
  <c r="O6868" i="1" s="1"/>
  <c r="Q6868" i="1" s="1"/>
  <c r="I6875" i="1"/>
  <c r="I6873" i="1"/>
  <c r="G6873" i="1" s="1"/>
  <c r="O6873" i="1" s="1"/>
  <c r="I3724" i="1"/>
  <c r="G3724" i="1" s="1"/>
  <c r="O3724" i="1" s="1"/>
  <c r="I3722" i="1"/>
  <c r="I3726" i="1"/>
  <c r="G3720" i="1"/>
  <c r="O3720" i="1" s="1"/>
  <c r="Q7835" i="1"/>
  <c r="I4810" i="1"/>
  <c r="G4809" i="1"/>
  <c r="O4809" i="1" s="1"/>
  <c r="Q4809" i="1" s="1"/>
  <c r="Q8671" i="1"/>
  <c r="O8672" i="1"/>
  <c r="I4088" i="1"/>
  <c r="I4087" i="1"/>
  <c r="G4087" i="1" s="1"/>
  <c r="O4087" i="1" s="1"/>
  <c r="Q4087" i="1" s="1"/>
  <c r="G4086" i="1"/>
  <c r="O4086" i="1" s="1"/>
  <c r="G6991" i="1"/>
  <c r="O6991" i="1" s="1"/>
  <c r="M6991" i="1"/>
  <c r="M3959" i="1"/>
  <c r="G3959" i="1"/>
  <c r="O3959" i="1" s="1"/>
  <c r="Q3959" i="1" s="1"/>
  <c r="O4683" i="1"/>
  <c r="Q4682" i="1"/>
  <c r="O8552" i="1"/>
  <c r="Q8551" i="1"/>
  <c r="I4449" i="1"/>
  <c r="G4448" i="1"/>
  <c r="O4448" i="1" s="1"/>
  <c r="Q4448" i="1" s="1"/>
  <c r="I4569" i="1"/>
  <c r="G4568" i="1"/>
  <c r="O4568" i="1" s="1"/>
  <c r="Q4568" i="1" s="1"/>
  <c r="G6867" i="1"/>
  <c r="O6867" i="1" s="1"/>
  <c r="Q6867" i="1" s="1"/>
  <c r="M6867" i="1"/>
  <c r="I6869" i="1"/>
  <c r="G3600" i="1"/>
  <c r="O3600" i="1" s="1"/>
  <c r="M3600" i="1"/>
  <c r="O5043" i="1"/>
  <c r="Q5042" i="1"/>
  <c r="Q7951" i="1"/>
  <c r="O7952" i="1"/>
  <c r="M4082" i="1"/>
  <c r="G4082" i="1"/>
  <c r="O4082" i="1" s="1"/>
  <c r="O6994" i="1"/>
  <c r="Q6993" i="1"/>
  <c r="I3964" i="1"/>
  <c r="G3964" i="1" s="1"/>
  <c r="O3964" i="1" s="1"/>
  <c r="I3962" i="1"/>
  <c r="G3960" i="1"/>
  <c r="O3960" i="1" s="1"/>
  <c r="I3966" i="1"/>
  <c r="Q4686" i="1"/>
  <c r="O5163" i="1"/>
  <c r="Q5162" i="1"/>
  <c r="I4929" i="1"/>
  <c r="G4928" i="1"/>
  <c r="O4928" i="1" s="1"/>
  <c r="Q4928" i="1" s="1"/>
  <c r="G3839" i="1"/>
  <c r="O3839" i="1" s="1"/>
  <c r="Q3839" i="1" s="1"/>
  <c r="M3839" i="1"/>
  <c r="Q8311" i="1"/>
  <c r="O8312" i="1"/>
  <c r="Q7595" i="1"/>
  <c r="O4323" i="1"/>
  <c r="Q4322" i="1"/>
  <c r="I4329" i="1"/>
  <c r="G4328" i="1"/>
  <c r="O4328" i="1" s="1"/>
  <c r="Q4328" i="1" s="1"/>
  <c r="Q8790" i="1"/>
  <c r="I6996" i="1"/>
  <c r="G6996" i="1" s="1"/>
  <c r="O6996" i="1" s="1"/>
  <c r="Q6996" i="1" s="1"/>
  <c r="I6997" i="1"/>
  <c r="G6995" i="1"/>
  <c r="O6995" i="1" s="1"/>
  <c r="G7471" i="1"/>
  <c r="O7471" i="1" s="1"/>
  <c r="M7471" i="1"/>
  <c r="G8557" i="1"/>
  <c r="O8557" i="1" s="1"/>
  <c r="Q8557" i="1" s="1"/>
  <c r="I8558" i="1"/>
  <c r="I3844" i="1"/>
  <c r="G3844" i="1" s="1"/>
  <c r="O3844" i="1" s="1"/>
  <c r="I3842" i="1"/>
  <c r="I3846" i="1"/>
  <c r="G3840" i="1"/>
  <c r="O3840" i="1" s="1"/>
  <c r="Q7715" i="1"/>
  <c r="G7597" i="1"/>
  <c r="O7597" i="1" s="1"/>
  <c r="Q7597" i="1" s="1"/>
  <c r="I7598" i="1"/>
  <c r="Q4326" i="1"/>
  <c r="Q8431" i="1"/>
  <c r="O8432" i="1"/>
  <c r="M7347" i="1"/>
  <c r="G7347" i="1"/>
  <c r="O7347" i="1" s="1"/>
  <c r="Q7347" i="1" s="1"/>
  <c r="I4689" i="1"/>
  <c r="G4688" i="1"/>
  <c r="O4688" i="1" s="1"/>
  <c r="Q4688" i="1" s="1"/>
  <c r="O7474" i="1"/>
  <c r="Q7473" i="1"/>
  <c r="I8318" i="1"/>
  <c r="G8317" i="1"/>
  <c r="O8317" i="1" s="1"/>
  <c r="Q8317" i="1" s="1"/>
  <c r="Q5286" i="1"/>
  <c r="M3838" i="1"/>
  <c r="G3838" i="1"/>
  <c r="O3838" i="1" s="1"/>
  <c r="Q3838" i="1" s="1"/>
  <c r="G7717" i="1"/>
  <c r="O7717" i="1" s="1"/>
  <c r="Q7717" i="1" s="1"/>
  <c r="I7718" i="1"/>
  <c r="I3608" i="1"/>
  <c r="I3607" i="1"/>
  <c r="G3607" i="1" s="1"/>
  <c r="O3607" i="1" s="1"/>
  <c r="Q3607" i="1" s="1"/>
  <c r="G3606" i="1"/>
  <c r="O3606" i="1" s="1"/>
  <c r="I8798" i="1"/>
  <c r="G8797" i="1"/>
  <c r="O8797" i="1" s="1"/>
  <c r="Q8797" i="1" s="1"/>
  <c r="Q5046" i="1"/>
  <c r="Q7955" i="1"/>
  <c r="Q8675" i="1"/>
  <c r="O4443" i="1"/>
  <c r="Q4442" i="1"/>
  <c r="I7111" i="1"/>
  <c r="I7115" i="1"/>
  <c r="G7109" i="1"/>
  <c r="O7109" i="1" s="1"/>
  <c r="I7113" i="1"/>
  <c r="G7113" i="1" s="1"/>
  <c r="O7113" i="1" s="1"/>
  <c r="G7348" i="1"/>
  <c r="O7348" i="1" s="1"/>
  <c r="Q7348" i="1" s="1"/>
  <c r="M7348" i="1"/>
  <c r="Q7469" i="1"/>
  <c r="O7470" i="1"/>
  <c r="Q5406" i="1"/>
  <c r="Q5166" i="1"/>
  <c r="Q8555" i="1"/>
  <c r="M3602" i="1"/>
  <c r="G3602" i="1"/>
  <c r="O3602" i="1" s="1"/>
  <c r="O4923" i="1"/>
  <c r="Q4922" i="1"/>
  <c r="I8438" i="1"/>
  <c r="G8437" i="1"/>
  <c r="O8437" i="1" s="1"/>
  <c r="Q8437" i="1" s="1"/>
  <c r="G8198" i="1"/>
  <c r="O8198" i="1" s="1"/>
  <c r="Q8198" i="1" s="1"/>
  <c r="I8199" i="1"/>
  <c r="Q8791" i="1"/>
  <c r="O8792" i="1"/>
  <c r="Q8792" i="1" s="1"/>
  <c r="M7227" i="1"/>
  <c r="G7227" i="1"/>
  <c r="O7227" i="1" s="1"/>
  <c r="Q7227" i="1" s="1"/>
  <c r="G7957" i="1"/>
  <c r="O7957" i="1" s="1"/>
  <c r="Q7957" i="1" s="1"/>
  <c r="I7958" i="1"/>
  <c r="G8677" i="1"/>
  <c r="O8677" i="1" s="1"/>
  <c r="Q8677" i="1" s="1"/>
  <c r="I8678" i="1"/>
  <c r="M7107" i="1"/>
  <c r="G7107" i="1"/>
  <c r="O7107" i="1" s="1"/>
  <c r="Q7107" i="1" s="1"/>
  <c r="I7353" i="1"/>
  <c r="G7353" i="1" s="1"/>
  <c r="O7353" i="1" s="1"/>
  <c r="I7351" i="1"/>
  <c r="I7355" i="1"/>
  <c r="G7349" i="1"/>
  <c r="O7349" i="1" s="1"/>
  <c r="I7477" i="1"/>
  <c r="G7475" i="1"/>
  <c r="O7475" i="1" s="1"/>
  <c r="I7476" i="1"/>
  <c r="G7476" i="1" s="1"/>
  <c r="O7476" i="1" s="1"/>
  <c r="Q7476" i="1" s="1"/>
  <c r="Q8315" i="1"/>
  <c r="I5289" i="1"/>
  <c r="G5288" i="1"/>
  <c r="O5288" i="1" s="1"/>
  <c r="Q5288" i="1" s="1"/>
  <c r="O4563" i="1"/>
  <c r="Q4562" i="1"/>
  <c r="O3605" i="1"/>
  <c r="Q3604" i="1"/>
  <c r="Q8795" i="1"/>
  <c r="M3718" i="1"/>
  <c r="G3718" i="1"/>
  <c r="O3718" i="1" s="1"/>
  <c r="Q3718" i="1" s="1"/>
  <c r="O8072" i="1"/>
  <c r="Q8071" i="1"/>
  <c r="Q571" i="1"/>
  <c r="Q90" i="1"/>
  <c r="Q92" i="1"/>
  <c r="Q2019" i="1"/>
  <c r="Q1889" i="1"/>
  <c r="Q1769" i="1"/>
  <c r="Q2014" i="1"/>
  <c r="Q454" i="1"/>
  <c r="G98" i="1"/>
  <c r="O98" i="1" s="1"/>
  <c r="Q98" i="1" s="1"/>
  <c r="K99" i="1"/>
  <c r="G1539" i="1"/>
  <c r="O1539" i="1" s="1"/>
  <c r="Q1539" i="1" s="1"/>
  <c r="M1539" i="1"/>
  <c r="M1179" i="1"/>
  <c r="G1179" i="1"/>
  <c r="O1179" i="1" s="1"/>
  <c r="Q1179" i="1" s="1"/>
  <c r="M1059" i="1"/>
  <c r="G1059" i="1"/>
  <c r="O1059" i="1" s="1"/>
  <c r="Q1059" i="1" s="1"/>
  <c r="M579" i="1"/>
  <c r="G579" i="1"/>
  <c r="O579" i="1" s="1"/>
  <c r="Q579" i="1" s="1"/>
  <c r="M459" i="1"/>
  <c r="G459" i="1"/>
  <c r="O459" i="1" s="1"/>
  <c r="Q459" i="1" s="1"/>
  <c r="M339" i="1"/>
  <c r="G339" i="1"/>
  <c r="O339" i="1" s="1"/>
  <c r="M931" i="1"/>
  <c r="G931" i="1"/>
  <c r="O931" i="1" s="1"/>
  <c r="Q931" i="1" s="1"/>
  <c r="G932" i="1"/>
  <c r="O932" i="1" s="1"/>
  <c r="Q932" i="1" s="1"/>
  <c r="I936" i="1"/>
  <c r="I934" i="1"/>
  <c r="I938" i="1"/>
  <c r="I939" i="1" s="1"/>
  <c r="M930" i="1"/>
  <c r="G930" i="1"/>
  <c r="O930" i="1" s="1"/>
  <c r="Q930" i="1" s="1"/>
  <c r="M210" i="1"/>
  <c r="G210" i="1"/>
  <c r="O210" i="1" s="1"/>
  <c r="Q210" i="1" s="1"/>
  <c r="M690" i="1"/>
  <c r="G690" i="1"/>
  <c r="O690" i="1" s="1"/>
  <c r="Q690" i="1" s="1"/>
  <c r="M1290" i="1"/>
  <c r="G1290" i="1"/>
  <c r="O1290" i="1" s="1"/>
  <c r="Q1290" i="1" s="1"/>
  <c r="M810" i="1"/>
  <c r="G810" i="1"/>
  <c r="O810" i="1" s="1"/>
  <c r="M1890" i="1"/>
  <c r="O1890" i="1"/>
  <c r="Q1890" i="1" s="1"/>
  <c r="G1892" i="1"/>
  <c r="O1892" i="1" s="1"/>
  <c r="Q1892" i="1" s="1"/>
  <c r="I1896" i="1"/>
  <c r="I1898" i="1"/>
  <c r="I1899" i="1" s="1"/>
  <c r="I1894" i="1"/>
  <c r="G1891" i="1"/>
  <c r="O1891" i="1" s="1"/>
  <c r="M1891" i="1"/>
  <c r="M92" i="1"/>
  <c r="G1772" i="1"/>
  <c r="O1772" i="1" s="1"/>
  <c r="Q1772" i="1" s="1"/>
  <c r="I1774" i="1"/>
  <c r="I1776" i="1"/>
  <c r="I1778" i="1"/>
  <c r="I1779" i="1" s="1"/>
  <c r="M1650" i="1"/>
  <c r="O1650" i="1"/>
  <c r="Q1650" i="1" s="1"/>
  <c r="M1770" i="1"/>
  <c r="O1770" i="1"/>
  <c r="G1651" i="1"/>
  <c r="O1651" i="1" s="1"/>
  <c r="Q1651" i="1" s="1"/>
  <c r="M1651" i="1"/>
  <c r="M1410" i="1"/>
  <c r="O1410" i="1"/>
  <c r="Q1410" i="1" s="1"/>
  <c r="G1771" i="1"/>
  <c r="O1771" i="1" s="1"/>
  <c r="Q1771" i="1" s="1"/>
  <c r="M1771" i="1"/>
  <c r="G1412" i="1"/>
  <c r="O1412" i="1" s="1"/>
  <c r="Q1412" i="1" s="1"/>
  <c r="I1414" i="1"/>
  <c r="I1418" i="1"/>
  <c r="I1419" i="1" s="1"/>
  <c r="I1416" i="1"/>
  <c r="G1652" i="1"/>
  <c r="O1652" i="1" s="1"/>
  <c r="Q1652" i="1" s="1"/>
  <c r="I1656" i="1"/>
  <c r="I1658" i="1"/>
  <c r="I1659" i="1" s="1"/>
  <c r="I1654" i="1"/>
  <c r="G1411" i="1"/>
  <c r="O1411" i="1" s="1"/>
  <c r="M1411" i="1"/>
  <c r="G1292" i="1"/>
  <c r="O1292" i="1" s="1"/>
  <c r="Q1292" i="1" s="1"/>
  <c r="I1294" i="1"/>
  <c r="I1296" i="1"/>
  <c r="I1298" i="1"/>
  <c r="I1299" i="1" s="1"/>
  <c r="M1291" i="1"/>
  <c r="G1291" i="1"/>
  <c r="O1291" i="1" s="1"/>
  <c r="Q1291" i="1" s="1"/>
  <c r="G692" i="1"/>
  <c r="O692" i="1" s="1"/>
  <c r="I698" i="1"/>
  <c r="I699" i="1" s="1"/>
  <c r="I694" i="1"/>
  <c r="I696" i="1"/>
  <c r="G691" i="1"/>
  <c r="O691" i="1" s="1"/>
  <c r="Q691" i="1" s="1"/>
  <c r="M691" i="1"/>
  <c r="O573" i="1"/>
  <c r="G578" i="1"/>
  <c r="O578" i="1" s="1"/>
  <c r="Q578" i="1" s="1"/>
  <c r="M578" i="1"/>
  <c r="I580" i="1"/>
  <c r="G576" i="1"/>
  <c r="O576" i="1" s="1"/>
  <c r="G211" i="1"/>
  <c r="O211" i="1" s="1"/>
  <c r="Q211" i="1" s="1"/>
  <c r="I216" i="1"/>
  <c r="I214" i="1"/>
  <c r="I218" i="1"/>
  <c r="G812" i="1"/>
  <c r="O812" i="1" s="1"/>
  <c r="Q812" i="1" s="1"/>
  <c r="I814" i="1"/>
  <c r="I816" i="1"/>
  <c r="I818" i="1"/>
  <c r="I819" i="1" s="1"/>
  <c r="I212" i="1"/>
  <c r="G574" i="1"/>
  <c r="O574" i="1" s="1"/>
  <c r="Q574" i="1" s="1"/>
  <c r="M574" i="1"/>
  <c r="M811" i="1"/>
  <c r="G811" i="1"/>
  <c r="O811" i="1" s="1"/>
  <c r="Q811" i="1" s="1"/>
  <c r="O93" i="1"/>
  <c r="O2015" i="1"/>
  <c r="Q2015" i="1" s="1"/>
  <c r="O455" i="1"/>
  <c r="O337" i="1"/>
  <c r="O335" i="1"/>
  <c r="G96" i="1"/>
  <c r="O96" i="1" s="1"/>
  <c r="Q96" i="1" s="1"/>
  <c r="O1055" i="1"/>
  <c r="O2017" i="1"/>
  <c r="Q2017" i="1" s="1"/>
  <c r="K100" i="1"/>
  <c r="G100" i="1" s="1"/>
  <c r="M98" i="1"/>
  <c r="O1535" i="1"/>
  <c r="O94" i="1"/>
  <c r="Q94" i="1" s="1"/>
  <c r="M94" i="1"/>
  <c r="O1057" i="1"/>
  <c r="O1537" i="1"/>
  <c r="O1177" i="1"/>
  <c r="O457" i="1"/>
  <c r="O1175" i="1"/>
  <c r="I1181" i="1"/>
  <c r="G1181" i="1" s="1"/>
  <c r="M1180" i="1"/>
  <c r="O1180" i="1"/>
  <c r="Q1180" i="1" s="1"/>
  <c r="I102" i="1"/>
  <c r="I1541" i="1"/>
  <c r="G1541" i="1" s="1"/>
  <c r="O1540" i="1"/>
  <c r="Q1540" i="1" s="1"/>
  <c r="M1540" i="1"/>
  <c r="M340" i="1"/>
  <c r="O340" i="1"/>
  <c r="Q340" i="1" s="1"/>
  <c r="I341" i="1"/>
  <c r="G341" i="1" s="1"/>
  <c r="I461" i="1"/>
  <c r="G461" i="1" s="1"/>
  <c r="M460" i="1"/>
  <c r="O460" i="1"/>
  <c r="Q460" i="1" s="1"/>
  <c r="O2020" i="1"/>
  <c r="Q2020" i="1" s="1"/>
  <c r="M2020" i="1"/>
  <c r="I2021" i="1"/>
  <c r="G2021" i="1" s="1"/>
  <c r="O1060" i="1"/>
  <c r="Q1060" i="1" s="1"/>
  <c r="M1060" i="1"/>
  <c r="I1061" i="1"/>
  <c r="G1061" i="1" s="1"/>
  <c r="G7477" i="1" l="1"/>
  <c r="O7477" i="1" s="1"/>
  <c r="Q7477" i="1" s="1"/>
  <c r="I7478" i="1"/>
  <c r="G8558" i="1"/>
  <c r="O8558" i="1" s="1"/>
  <c r="I8559" i="1"/>
  <c r="Q7349" i="1"/>
  <c r="O7350" i="1"/>
  <c r="I7959" i="1"/>
  <c r="G7958" i="1"/>
  <c r="O7958" i="1" s="1"/>
  <c r="Q7958" i="1" s="1"/>
  <c r="I4330" i="1"/>
  <c r="G4329" i="1"/>
  <c r="O4329" i="1" s="1"/>
  <c r="Q4082" i="1"/>
  <c r="O4083" i="1"/>
  <c r="Q3600" i="1"/>
  <c r="O3601" i="1"/>
  <c r="M6871" i="1"/>
  <c r="G6871" i="1"/>
  <c r="O6871" i="1" s="1"/>
  <c r="G8078" i="1"/>
  <c r="O8078" i="1" s="1"/>
  <c r="Q8078" i="1" s="1"/>
  <c r="I8079" i="1"/>
  <c r="I5170" i="1"/>
  <c r="G5169" i="1"/>
  <c r="O5169" i="1" s="1"/>
  <c r="G7838" i="1"/>
  <c r="O7838" i="1" s="1"/>
  <c r="I7839" i="1"/>
  <c r="Q576" i="1"/>
  <c r="I5290" i="1"/>
  <c r="G5289" i="1"/>
  <c r="O5289" i="1" s="1"/>
  <c r="G7355" i="1"/>
  <c r="O7355" i="1" s="1"/>
  <c r="I7356" i="1"/>
  <c r="G7356" i="1" s="1"/>
  <c r="O7356" i="1" s="1"/>
  <c r="Q7356" i="1" s="1"/>
  <c r="I7357" i="1"/>
  <c r="G8438" i="1"/>
  <c r="O8438" i="1" s="1"/>
  <c r="I8439" i="1"/>
  <c r="Q7113" i="1"/>
  <c r="O7114" i="1"/>
  <c r="G8798" i="1"/>
  <c r="O8798" i="1" s="1"/>
  <c r="I8799" i="1"/>
  <c r="I4690" i="1"/>
  <c r="G4689" i="1"/>
  <c r="O4689" i="1" s="1"/>
  <c r="Q4689" i="1" s="1"/>
  <c r="I7599" i="1"/>
  <c r="G7598" i="1"/>
  <c r="O7598" i="1" s="1"/>
  <c r="Q7598" i="1" s="1"/>
  <c r="Q3720" i="1"/>
  <c r="O3721" i="1"/>
  <c r="I4210" i="1"/>
  <c r="G4209" i="1"/>
  <c r="O4209" i="1" s="1"/>
  <c r="G3486" i="1"/>
  <c r="O3486" i="1" s="1"/>
  <c r="I3488" i="1"/>
  <c r="I3487" i="1"/>
  <c r="G3487" i="1" s="1"/>
  <c r="O3487" i="1" s="1"/>
  <c r="Q3487" i="1" s="1"/>
  <c r="M7351" i="1"/>
  <c r="G7351" i="1"/>
  <c r="O7351" i="1" s="1"/>
  <c r="Q7109" i="1"/>
  <c r="O7110" i="1"/>
  <c r="Q6995" i="1"/>
  <c r="I3968" i="1"/>
  <c r="I3967" i="1"/>
  <c r="G3967" i="1" s="1"/>
  <c r="O3967" i="1" s="1"/>
  <c r="Q3967" i="1" s="1"/>
  <c r="G3966" i="1"/>
  <c r="O3966" i="1" s="1"/>
  <c r="I4450" i="1"/>
  <c r="G4449" i="1"/>
  <c r="O4449" i="1" s="1"/>
  <c r="Q4449" i="1" s="1"/>
  <c r="I3728" i="1"/>
  <c r="I3727" i="1"/>
  <c r="G3727" i="1" s="1"/>
  <c r="O3727" i="1" s="1"/>
  <c r="Q3727" i="1" s="1"/>
  <c r="G3726" i="1"/>
  <c r="O3726" i="1" s="1"/>
  <c r="Q6989" i="1"/>
  <c r="O6990" i="1"/>
  <c r="Q7229" i="1"/>
  <c r="O7230" i="1"/>
  <c r="I5050" i="1"/>
  <c r="G5049" i="1"/>
  <c r="O5049" i="1" s="1"/>
  <c r="Q7353" i="1"/>
  <c r="O7354" i="1"/>
  <c r="I7117" i="1"/>
  <c r="G7115" i="1"/>
  <c r="O7115" i="1" s="1"/>
  <c r="I7116" i="1"/>
  <c r="G7116" i="1" s="1"/>
  <c r="O7116" i="1" s="1"/>
  <c r="Q7116" i="1" s="1"/>
  <c r="Q3960" i="1"/>
  <c r="O3961" i="1"/>
  <c r="G6869" i="1"/>
  <c r="O6869" i="1" s="1"/>
  <c r="M6869" i="1"/>
  <c r="O6992" i="1"/>
  <c r="Q6991" i="1"/>
  <c r="M3722" i="1"/>
  <c r="G3722" i="1"/>
  <c r="O3722" i="1" s="1"/>
  <c r="G3480" i="1"/>
  <c r="O3480" i="1" s="1"/>
  <c r="M3480" i="1"/>
  <c r="I7237" i="1"/>
  <c r="G7235" i="1"/>
  <c r="O7235" i="1" s="1"/>
  <c r="I7236" i="1"/>
  <c r="G7236" i="1" s="1"/>
  <c r="O7236" i="1" s="1"/>
  <c r="Q7236" i="1" s="1"/>
  <c r="Q3606" i="1"/>
  <c r="Q3840" i="1"/>
  <c r="O3841" i="1"/>
  <c r="I6998" i="1"/>
  <c r="G6997" i="1"/>
  <c r="O6997" i="1" s="1"/>
  <c r="Q6997" i="1" s="1"/>
  <c r="M7111" i="1"/>
  <c r="G7111" i="1"/>
  <c r="O7111" i="1" s="1"/>
  <c r="I3847" i="1"/>
  <c r="G3847" i="1" s="1"/>
  <c r="O3847" i="1" s="1"/>
  <c r="Q3847" i="1" s="1"/>
  <c r="G3846" i="1"/>
  <c r="O3846" i="1" s="1"/>
  <c r="I3848" i="1"/>
  <c r="G3962" i="1"/>
  <c r="O3962" i="1" s="1"/>
  <c r="M3962" i="1"/>
  <c r="Q4086" i="1"/>
  <c r="I4812" i="1"/>
  <c r="I4811" i="1"/>
  <c r="G4810" i="1"/>
  <c r="O4810" i="1" s="1"/>
  <c r="Q4810" i="1" s="1"/>
  <c r="Q3724" i="1"/>
  <c r="O3725" i="1"/>
  <c r="G7231" i="1"/>
  <c r="O7231" i="1" s="1"/>
  <c r="M7231" i="1"/>
  <c r="O3603" i="1"/>
  <c r="Q3602" i="1"/>
  <c r="I3609" i="1"/>
  <c r="G3608" i="1"/>
  <c r="O3608" i="1" s="1"/>
  <c r="Q3608" i="1" s="1"/>
  <c r="I8319" i="1"/>
  <c r="G8318" i="1"/>
  <c r="O8318" i="1" s="1"/>
  <c r="M3842" i="1"/>
  <c r="G3842" i="1"/>
  <c r="O3842" i="1" s="1"/>
  <c r="I4930" i="1"/>
  <c r="G4929" i="1"/>
  <c r="O4929" i="1" s="1"/>
  <c r="O3965" i="1"/>
  <c r="Q3964" i="1"/>
  <c r="Q6873" i="1"/>
  <c r="O6874" i="1"/>
  <c r="O7234" i="1"/>
  <c r="Q7233" i="1"/>
  <c r="Q7475" i="1"/>
  <c r="G8678" i="1"/>
  <c r="O8678" i="1" s="1"/>
  <c r="Q8678" i="1" s="1"/>
  <c r="I8679" i="1"/>
  <c r="I8201" i="1"/>
  <c r="G8199" i="1"/>
  <c r="O8199" i="1" s="1"/>
  <c r="I8200" i="1"/>
  <c r="I7719" i="1"/>
  <c r="G7718" i="1"/>
  <c r="O7718" i="1" s="1"/>
  <c r="Q7718" i="1" s="1"/>
  <c r="O3845" i="1"/>
  <c r="Q3844" i="1"/>
  <c r="I4089" i="1"/>
  <c r="G4088" i="1"/>
  <c r="O4088" i="1" s="1"/>
  <c r="Q4088" i="1" s="1"/>
  <c r="G6875" i="1"/>
  <c r="O6875" i="1" s="1"/>
  <c r="I6876" i="1"/>
  <c r="G6876" i="1" s="1"/>
  <c r="O6876" i="1" s="1"/>
  <c r="Q6876" i="1" s="1"/>
  <c r="I6877" i="1"/>
  <c r="M3482" i="1"/>
  <c r="G3482" i="1"/>
  <c r="O3482" i="1" s="1"/>
  <c r="I5410" i="1"/>
  <c r="G5409" i="1"/>
  <c r="O5409" i="1" s="1"/>
  <c r="Q7471" i="1"/>
  <c r="O7472" i="1"/>
  <c r="I4570" i="1"/>
  <c r="G4569" i="1"/>
  <c r="O4569" i="1" s="1"/>
  <c r="Q4569" i="1" s="1"/>
  <c r="O3485" i="1"/>
  <c r="Q3484" i="1"/>
  <c r="Q1770" i="1"/>
  <c r="Q692" i="1"/>
  <c r="Q1411" i="1"/>
  <c r="Q810" i="1"/>
  <c r="Q339" i="1"/>
  <c r="Q1891" i="1"/>
  <c r="G99" i="1"/>
  <c r="O99" i="1" s="1"/>
  <c r="Q99" i="1" s="1"/>
  <c r="M99" i="1"/>
  <c r="M1899" i="1"/>
  <c r="G1899" i="1"/>
  <c r="O1899" i="1" s="1"/>
  <c r="M1779" i="1"/>
  <c r="G1779" i="1"/>
  <c r="O1779" i="1" s="1"/>
  <c r="M1659" i="1"/>
  <c r="G1659" i="1"/>
  <c r="O1659" i="1" s="1"/>
  <c r="Q1659" i="1" s="1"/>
  <c r="G1419" i="1"/>
  <c r="O1419" i="1" s="1"/>
  <c r="Q1419" i="1" s="1"/>
  <c r="M1419" i="1"/>
  <c r="M1299" i="1"/>
  <c r="G1299" i="1"/>
  <c r="O1299" i="1" s="1"/>
  <c r="Q1299" i="1" s="1"/>
  <c r="M939" i="1"/>
  <c r="G939" i="1"/>
  <c r="O939" i="1" s="1"/>
  <c r="Q939" i="1" s="1"/>
  <c r="M819" i="1"/>
  <c r="G819" i="1"/>
  <c r="O819" i="1" s="1"/>
  <c r="M699" i="1"/>
  <c r="G699" i="1"/>
  <c r="O699" i="1" s="1"/>
  <c r="Q699" i="1" s="1"/>
  <c r="I219" i="1"/>
  <c r="I220" i="1"/>
  <c r="G938" i="1"/>
  <c r="O938" i="1" s="1"/>
  <c r="Q938" i="1" s="1"/>
  <c r="I940" i="1"/>
  <c r="M938" i="1"/>
  <c r="G934" i="1"/>
  <c r="O934" i="1" s="1"/>
  <c r="Q934" i="1" s="1"/>
  <c r="M934" i="1"/>
  <c r="G936" i="1"/>
  <c r="O936" i="1" s="1"/>
  <c r="Q936" i="1" s="1"/>
  <c r="O933" i="1"/>
  <c r="G1894" i="1"/>
  <c r="O1894" i="1" s="1"/>
  <c r="Q1894" i="1" s="1"/>
  <c r="M1894" i="1"/>
  <c r="G1898" i="1"/>
  <c r="O1898" i="1" s="1"/>
  <c r="M1898" i="1"/>
  <c r="I1900" i="1"/>
  <c r="G1896" i="1"/>
  <c r="O1896" i="1" s="1"/>
  <c r="Q1896" i="1" s="1"/>
  <c r="O1893" i="1"/>
  <c r="G1658" i="1"/>
  <c r="O1658" i="1" s="1"/>
  <c r="Q1658" i="1" s="1"/>
  <c r="I1660" i="1"/>
  <c r="M1658" i="1"/>
  <c r="O1653" i="1"/>
  <c r="G1656" i="1"/>
  <c r="O1656" i="1" s="1"/>
  <c r="Q1656" i="1" s="1"/>
  <c r="O1413" i="1"/>
  <c r="G1778" i="1"/>
  <c r="O1778" i="1" s="1"/>
  <c r="Q1778" i="1" s="1"/>
  <c r="I1780" i="1"/>
  <c r="M1778" i="1"/>
  <c r="G1776" i="1"/>
  <c r="O1776" i="1" s="1"/>
  <c r="Q1776" i="1" s="1"/>
  <c r="G1416" i="1"/>
  <c r="O1416" i="1" s="1"/>
  <c r="Q1416" i="1" s="1"/>
  <c r="G1418" i="1"/>
  <c r="O1418" i="1" s="1"/>
  <c r="Q1418" i="1" s="1"/>
  <c r="M1418" i="1"/>
  <c r="I1420" i="1"/>
  <c r="G1774" i="1"/>
  <c r="O1774" i="1" s="1"/>
  <c r="Q1774" i="1" s="1"/>
  <c r="M1774" i="1"/>
  <c r="G1654" i="1"/>
  <c r="O1654" i="1" s="1"/>
  <c r="Q1654" i="1" s="1"/>
  <c r="M1654" i="1"/>
  <c r="G1414" i="1"/>
  <c r="O1414" i="1" s="1"/>
  <c r="Q1414" i="1" s="1"/>
  <c r="M1414" i="1"/>
  <c r="O1773" i="1"/>
  <c r="G1294" i="1"/>
  <c r="O1294" i="1" s="1"/>
  <c r="M1294" i="1"/>
  <c r="G1298" i="1"/>
  <c r="O1298" i="1" s="1"/>
  <c r="I1300" i="1"/>
  <c r="M1298" i="1"/>
  <c r="G1296" i="1"/>
  <c r="O1296" i="1" s="1"/>
  <c r="O1293" i="1"/>
  <c r="O693" i="1"/>
  <c r="G694" i="1"/>
  <c r="O694" i="1" s="1"/>
  <c r="M694" i="1"/>
  <c r="G698" i="1"/>
  <c r="O698" i="1" s="1"/>
  <c r="M698" i="1"/>
  <c r="I700" i="1"/>
  <c r="G696" i="1"/>
  <c r="O696" i="1" s="1"/>
  <c r="Q696" i="1" s="1"/>
  <c r="O575" i="1"/>
  <c r="O577" i="1"/>
  <c r="G816" i="1"/>
  <c r="O816" i="1" s="1"/>
  <c r="Q816" i="1" s="1"/>
  <c r="G218" i="1"/>
  <c r="O218" i="1" s="1"/>
  <c r="Q218" i="1" s="1"/>
  <c r="M218" i="1"/>
  <c r="G214" i="1"/>
  <c r="O214" i="1" s="1"/>
  <c r="Q214" i="1" s="1"/>
  <c r="M214" i="1"/>
  <c r="O813" i="1"/>
  <c r="G580" i="1"/>
  <c r="O580" i="1" s="1"/>
  <c r="Q580" i="1" s="1"/>
  <c r="I581" i="1"/>
  <c r="M580" i="1"/>
  <c r="M212" i="1"/>
  <c r="G212" i="1"/>
  <c r="O212" i="1" s="1"/>
  <c r="Q212" i="1" s="1"/>
  <c r="G814" i="1"/>
  <c r="O814" i="1" s="1"/>
  <c r="Q814" i="1" s="1"/>
  <c r="M814" i="1"/>
  <c r="G818" i="1"/>
  <c r="O818" i="1" s="1"/>
  <c r="Q818" i="1" s="1"/>
  <c r="I820" i="1"/>
  <c r="M818" i="1"/>
  <c r="G216" i="1"/>
  <c r="O216" i="1" s="1"/>
  <c r="Q216" i="1" s="1"/>
  <c r="I103" i="1"/>
  <c r="I105" i="1" s="1"/>
  <c r="I107" i="1" s="1"/>
  <c r="O95" i="1"/>
  <c r="K101" i="1"/>
  <c r="G101" i="1" s="1"/>
  <c r="M100" i="1"/>
  <c r="O100" i="1"/>
  <c r="Q100" i="1" s="1"/>
  <c r="O97" i="1"/>
  <c r="I1062" i="1"/>
  <c r="O1061" i="1"/>
  <c r="Q1061" i="1" s="1"/>
  <c r="M1061" i="1"/>
  <c r="I104" i="1"/>
  <c r="O1541" i="1"/>
  <c r="Q1541" i="1" s="1"/>
  <c r="M1541" i="1"/>
  <c r="I1542" i="1"/>
  <c r="O341" i="1"/>
  <c r="I342" i="1"/>
  <c r="M341" i="1"/>
  <c r="I2022" i="1"/>
  <c r="O2021" i="1"/>
  <c r="Q2021" i="1" s="1"/>
  <c r="M2021" i="1"/>
  <c r="M461" i="1"/>
  <c r="O461" i="1"/>
  <c r="Q461" i="1" s="1"/>
  <c r="I462" i="1"/>
  <c r="O1181" i="1"/>
  <c r="Q1181" i="1" s="1"/>
  <c r="I1182" i="1"/>
  <c r="M1181" i="1"/>
  <c r="I4572" i="1" l="1"/>
  <c r="I4571" i="1"/>
  <c r="G4570" i="1"/>
  <c r="O4570" i="1" s="1"/>
  <c r="Q4570" i="1" s="1"/>
  <c r="I3849" i="1"/>
  <c r="G3848" i="1"/>
  <c r="O3848" i="1" s="1"/>
  <c r="Q3848" i="1" s="1"/>
  <c r="G6877" i="1"/>
  <c r="O6877" i="1" s="1"/>
  <c r="Q6877" i="1" s="1"/>
  <c r="I6878" i="1"/>
  <c r="G7719" i="1"/>
  <c r="O7719" i="1" s="1"/>
  <c r="Q7719" i="1" s="1"/>
  <c r="I7720" i="1"/>
  <c r="I7721" i="1"/>
  <c r="Q4929" i="1"/>
  <c r="I3610" i="1"/>
  <c r="G3609" i="1"/>
  <c r="O3609" i="1" s="1"/>
  <c r="Q3609" i="1" s="1"/>
  <c r="Q3846" i="1"/>
  <c r="Q7115" i="1"/>
  <c r="Q5289" i="1"/>
  <c r="Q5169" i="1"/>
  <c r="G7959" i="1"/>
  <c r="O7959" i="1" s="1"/>
  <c r="Q7959" i="1" s="1"/>
  <c r="I7960" i="1"/>
  <c r="I7961" i="1"/>
  <c r="I4932" i="1"/>
  <c r="I4931" i="1"/>
  <c r="G4930" i="1"/>
  <c r="O4930" i="1" s="1"/>
  <c r="Q4930" i="1" s="1"/>
  <c r="I4813" i="1"/>
  <c r="G4811" i="1"/>
  <c r="O4811" i="1" s="1"/>
  <c r="Q7235" i="1"/>
  <c r="G7117" i="1"/>
  <c r="O7117" i="1" s="1"/>
  <c r="Q7117" i="1" s="1"/>
  <c r="I7118" i="1"/>
  <c r="Q3966" i="1"/>
  <c r="Q7351" i="1"/>
  <c r="O7352" i="1"/>
  <c r="I5291" i="1"/>
  <c r="I5292" i="1"/>
  <c r="G5290" i="1"/>
  <c r="O5290" i="1" s="1"/>
  <c r="Q5290" i="1" s="1"/>
  <c r="I5172" i="1"/>
  <c r="I5171" i="1"/>
  <c r="G5170" i="1"/>
  <c r="O5170" i="1" s="1"/>
  <c r="Q5170" i="1" s="1"/>
  <c r="Q6875" i="1"/>
  <c r="O3843" i="1"/>
  <c r="Q3842" i="1"/>
  <c r="I4823" i="1"/>
  <c r="I4814" i="1"/>
  <c r="G4812" i="1"/>
  <c r="O4812" i="1" s="1"/>
  <c r="Q4812" i="1" s="1"/>
  <c r="O7112" i="1"/>
  <c r="Q7111" i="1"/>
  <c r="G7237" i="1"/>
  <c r="O7237" i="1" s="1"/>
  <c r="Q7237" i="1" s="1"/>
  <c r="I7238" i="1"/>
  <c r="Q6869" i="1"/>
  <c r="O6870" i="1"/>
  <c r="I8081" i="1"/>
  <c r="G8079" i="1"/>
  <c r="O8079" i="1" s="1"/>
  <c r="I8080" i="1"/>
  <c r="Q3726" i="1"/>
  <c r="I3969" i="1"/>
  <c r="G3968" i="1"/>
  <c r="O3968" i="1" s="1"/>
  <c r="Q3968" i="1" s="1"/>
  <c r="G7599" i="1"/>
  <c r="O7599" i="1" s="1"/>
  <c r="I7600" i="1"/>
  <c r="I7601" i="1"/>
  <c r="I8440" i="1"/>
  <c r="I8441" i="1"/>
  <c r="G8439" i="1"/>
  <c r="O8439" i="1" s="1"/>
  <c r="Q8439" i="1" s="1"/>
  <c r="I8560" i="1"/>
  <c r="I8561" i="1"/>
  <c r="G8559" i="1"/>
  <c r="O8559" i="1" s="1"/>
  <c r="Q8559" i="1" s="1"/>
  <c r="Q5409" i="1"/>
  <c r="I8202" i="1"/>
  <c r="G8200" i="1"/>
  <c r="O8200" i="1" s="1"/>
  <c r="Q8200" i="1" s="1"/>
  <c r="Q1296" i="1"/>
  <c r="I5412" i="1"/>
  <c r="I5411" i="1"/>
  <c r="G5410" i="1"/>
  <c r="O5410" i="1" s="1"/>
  <c r="Q5410" i="1" s="1"/>
  <c r="I4090" i="1"/>
  <c r="G4089" i="1"/>
  <c r="O4089" i="1" s="1"/>
  <c r="Q4089" i="1" s="1"/>
  <c r="Q8199" i="1"/>
  <c r="Q3480" i="1"/>
  <c r="O3481" i="1"/>
  <c r="Q5049" i="1"/>
  <c r="I3489" i="1"/>
  <c r="G3488" i="1"/>
  <c r="O3488" i="1" s="1"/>
  <c r="Q3488" i="1" s="1"/>
  <c r="Q8438" i="1"/>
  <c r="O6872" i="1"/>
  <c r="Q6871" i="1"/>
  <c r="Q4329" i="1"/>
  <c r="Q8558" i="1"/>
  <c r="O3483" i="1"/>
  <c r="Q3482" i="1"/>
  <c r="I8212" i="1"/>
  <c r="G8201" i="1"/>
  <c r="O8201" i="1" s="1"/>
  <c r="Q8201" i="1" s="1"/>
  <c r="I8203" i="1"/>
  <c r="Q8318" i="1"/>
  <c r="O7232" i="1"/>
  <c r="Q7231" i="1"/>
  <c r="I6999" i="1"/>
  <c r="G6998" i="1"/>
  <c r="O6998" i="1" s="1"/>
  <c r="Q6998" i="1" s="1"/>
  <c r="O3723" i="1"/>
  <c r="Q3722" i="1"/>
  <c r="I5052" i="1"/>
  <c r="I5051" i="1"/>
  <c r="G5050" i="1"/>
  <c r="O5050" i="1" s="1"/>
  <c r="Q5050" i="1" s="1"/>
  <c r="I3729" i="1"/>
  <c r="G3728" i="1"/>
  <c r="O3728" i="1" s="1"/>
  <c r="Q3728" i="1" s="1"/>
  <c r="Q3486" i="1"/>
  <c r="I4692" i="1"/>
  <c r="I4691" i="1"/>
  <c r="G4690" i="1"/>
  <c r="O4690" i="1" s="1"/>
  <c r="I7358" i="1"/>
  <c r="G7357" i="1"/>
  <c r="O7357" i="1" s="1"/>
  <c r="Q7357" i="1" s="1"/>
  <c r="I7841" i="1"/>
  <c r="G7839" i="1"/>
  <c r="O7839" i="1" s="1"/>
  <c r="Q7839" i="1" s="1"/>
  <c r="I7840" i="1"/>
  <c r="I4332" i="1"/>
  <c r="I4331" i="1"/>
  <c r="G4330" i="1"/>
  <c r="O4330" i="1" s="1"/>
  <c r="Q4330" i="1" s="1"/>
  <c r="G7478" i="1"/>
  <c r="O7478" i="1" s="1"/>
  <c r="Q7478" i="1" s="1"/>
  <c r="I7479" i="1"/>
  <c r="I8681" i="1"/>
  <c r="G8679" i="1"/>
  <c r="O8679" i="1" s="1"/>
  <c r="I8680" i="1"/>
  <c r="I8321" i="1"/>
  <c r="G8319" i="1"/>
  <c r="O8319" i="1" s="1"/>
  <c r="Q8319" i="1" s="1"/>
  <c r="I8320" i="1"/>
  <c r="Q3962" i="1"/>
  <c r="O3963" i="1"/>
  <c r="Q4209" i="1"/>
  <c r="I8800" i="1"/>
  <c r="I8801" i="1"/>
  <c r="G8799" i="1"/>
  <c r="O8799" i="1" s="1"/>
  <c r="Q8799" i="1" s="1"/>
  <c r="Q7838" i="1"/>
  <c r="I4452" i="1"/>
  <c r="I4451" i="1"/>
  <c r="G4450" i="1"/>
  <c r="O4450" i="1" s="1"/>
  <c r="Q4450" i="1" s="1"/>
  <c r="I4212" i="1"/>
  <c r="I4211" i="1"/>
  <c r="G4210" i="1"/>
  <c r="O4210" i="1" s="1"/>
  <c r="Q4210" i="1" s="1"/>
  <c r="Q8798" i="1"/>
  <c r="Q7355" i="1"/>
  <c r="Q1899" i="1"/>
  <c r="Q698" i="1"/>
  <c r="Q1298" i="1"/>
  <c r="Q694" i="1"/>
  <c r="Q1294" i="1"/>
  <c r="Q819" i="1"/>
  <c r="Q341" i="1"/>
  <c r="Q1898" i="1"/>
  <c r="Q1779" i="1"/>
  <c r="G219" i="1"/>
  <c r="O219" i="1" s="1"/>
  <c r="Q219" i="1" s="1"/>
  <c r="M219" i="1"/>
  <c r="O937" i="1"/>
  <c r="O935" i="1"/>
  <c r="G940" i="1"/>
  <c r="O940" i="1" s="1"/>
  <c r="Q940" i="1" s="1"/>
  <c r="M940" i="1"/>
  <c r="I941" i="1"/>
  <c r="O1897" i="1"/>
  <c r="G1900" i="1"/>
  <c r="O1900" i="1" s="1"/>
  <c r="M1900" i="1"/>
  <c r="I1901" i="1"/>
  <c r="O1895" i="1"/>
  <c r="O1415" i="1"/>
  <c r="O1417" i="1"/>
  <c r="O1657" i="1"/>
  <c r="O1655" i="1"/>
  <c r="O1777" i="1"/>
  <c r="O1775" i="1"/>
  <c r="G1420" i="1"/>
  <c r="O1420" i="1" s="1"/>
  <c r="Q1420" i="1" s="1"/>
  <c r="M1420" i="1"/>
  <c r="I1421" i="1"/>
  <c r="G1780" i="1"/>
  <c r="O1780" i="1" s="1"/>
  <c r="Q1780" i="1" s="1"/>
  <c r="I1781" i="1"/>
  <c r="M1780" i="1"/>
  <c r="G1660" i="1"/>
  <c r="O1660" i="1" s="1"/>
  <c r="M1660" i="1"/>
  <c r="I1661" i="1"/>
  <c r="G1300" i="1"/>
  <c r="O1300" i="1" s="1"/>
  <c r="Q1300" i="1" s="1"/>
  <c r="I1301" i="1"/>
  <c r="M1300" i="1"/>
  <c r="O1297" i="1"/>
  <c r="O1295" i="1"/>
  <c r="O697" i="1"/>
  <c r="G700" i="1"/>
  <c r="O700" i="1" s="1"/>
  <c r="Q700" i="1" s="1"/>
  <c r="I701" i="1"/>
  <c r="M700" i="1"/>
  <c r="O695" i="1"/>
  <c r="O817" i="1"/>
  <c r="O815" i="1"/>
  <c r="O215" i="1"/>
  <c r="O217" i="1"/>
  <c r="G220" i="1"/>
  <c r="O220" i="1" s="1"/>
  <c r="Q220" i="1" s="1"/>
  <c r="M220" i="1"/>
  <c r="I221" i="1"/>
  <c r="G581" i="1"/>
  <c r="O581" i="1" s="1"/>
  <c r="Q581" i="1" s="1"/>
  <c r="I582" i="1"/>
  <c r="M581" i="1"/>
  <c r="G820" i="1"/>
  <c r="O820" i="1" s="1"/>
  <c r="Q820" i="1" s="1"/>
  <c r="I821" i="1"/>
  <c r="M820" i="1"/>
  <c r="O213" i="1"/>
  <c r="I463" i="1"/>
  <c r="I465" i="1" s="1"/>
  <c r="G465" i="1" s="1"/>
  <c r="O465" i="1" s="1"/>
  <c r="Q465" i="1" s="1"/>
  <c r="G462" i="1"/>
  <c r="O462" i="1" s="1"/>
  <c r="Q462" i="1" s="1"/>
  <c r="I1543" i="1"/>
  <c r="I1545" i="1" s="1"/>
  <c r="I1547" i="1" s="1"/>
  <c r="G1542" i="1"/>
  <c r="O1542" i="1" s="1"/>
  <c r="Q1542" i="1" s="1"/>
  <c r="I2023" i="1"/>
  <c r="I2025" i="1" s="1"/>
  <c r="I2027" i="1" s="1"/>
  <c r="G2022" i="1"/>
  <c r="O2022" i="1" s="1"/>
  <c r="Q2022" i="1" s="1"/>
  <c r="I1183" i="1"/>
  <c r="I1185" i="1" s="1"/>
  <c r="I1187" i="1" s="1"/>
  <c r="G1182" i="1"/>
  <c r="O1182" i="1" s="1"/>
  <c r="Q1182" i="1" s="1"/>
  <c r="I343" i="1"/>
  <c r="I345" i="1" s="1"/>
  <c r="G345" i="1" s="1"/>
  <c r="O345" i="1" s="1"/>
  <c r="Q345" i="1" s="1"/>
  <c r="G342" i="1"/>
  <c r="O342" i="1" s="1"/>
  <c r="Q342" i="1" s="1"/>
  <c r="I1063" i="1"/>
  <c r="I1065" i="1" s="1"/>
  <c r="G1065" i="1" s="1"/>
  <c r="O1065" i="1" s="1"/>
  <c r="Q1065" i="1" s="1"/>
  <c r="G1062" i="1"/>
  <c r="O1062" i="1" s="1"/>
  <c r="Q1062" i="1" s="1"/>
  <c r="I106" i="1"/>
  <c r="I108" i="1" s="1"/>
  <c r="I110" i="1" s="1"/>
  <c r="I109" i="1"/>
  <c r="K102" i="1"/>
  <c r="G102" i="1" s="1"/>
  <c r="O101" i="1"/>
  <c r="Q101" i="1" s="1"/>
  <c r="M101" i="1"/>
  <c r="M462" i="1"/>
  <c r="I464" i="1"/>
  <c r="M2022" i="1"/>
  <c r="I2024" i="1"/>
  <c r="M1542" i="1"/>
  <c r="I1544" i="1"/>
  <c r="I115" i="1"/>
  <c r="M1062" i="1"/>
  <c r="I1064" i="1"/>
  <c r="M1182" i="1"/>
  <c r="I1184" i="1"/>
  <c r="I344" i="1"/>
  <c r="M342" i="1"/>
  <c r="I8692" i="1" l="1"/>
  <c r="G8681" i="1"/>
  <c r="O8681" i="1" s="1"/>
  <c r="Q8681" i="1" s="1"/>
  <c r="I8683" i="1"/>
  <c r="I7852" i="1"/>
  <c r="G7841" i="1"/>
  <c r="O7841" i="1" s="1"/>
  <c r="Q7841" i="1" s="1"/>
  <c r="I7843" i="1"/>
  <c r="I7001" i="1"/>
  <c r="I7000" i="1"/>
  <c r="G6999" i="1"/>
  <c r="O6999" i="1" s="1"/>
  <c r="I8082" i="1"/>
  <c r="G8080" i="1"/>
  <c r="O8080" i="1" s="1"/>
  <c r="Q8080" i="1" s="1"/>
  <c r="I7480" i="1"/>
  <c r="I7481" i="1"/>
  <c r="G7479" i="1"/>
  <c r="O7479" i="1" s="1"/>
  <c r="Q7479" i="1" s="1"/>
  <c r="I3730" i="1"/>
  <c r="G3729" i="1"/>
  <c r="O3729" i="1" s="1"/>
  <c r="Q3729" i="1" s="1"/>
  <c r="Q8079" i="1"/>
  <c r="I4815" i="1"/>
  <c r="G4813" i="1"/>
  <c r="O4813" i="1" s="1"/>
  <c r="Q4813" i="1" s="1"/>
  <c r="I7972" i="1"/>
  <c r="G7961" i="1"/>
  <c r="O7961" i="1" s="1"/>
  <c r="Q7961" i="1" s="1"/>
  <c r="I7963" i="1"/>
  <c r="I4453" i="1"/>
  <c r="G4451" i="1"/>
  <c r="O4451" i="1" s="1"/>
  <c r="Q4451" i="1" s="1"/>
  <c r="G7358" i="1"/>
  <c r="O7358" i="1" s="1"/>
  <c r="I7359" i="1"/>
  <c r="I3970" i="1"/>
  <c r="G3969" i="1"/>
  <c r="O3969" i="1" s="1"/>
  <c r="Q3969" i="1" s="1"/>
  <c r="I8092" i="1"/>
  <c r="G8081" i="1"/>
  <c r="O8081" i="1" s="1"/>
  <c r="Q8081" i="1" s="1"/>
  <c r="I8083" i="1"/>
  <c r="I4816" i="1"/>
  <c r="G4814" i="1"/>
  <c r="O4814" i="1" s="1"/>
  <c r="Q4814" i="1" s="1"/>
  <c r="I5173" i="1"/>
  <c r="G5171" i="1"/>
  <c r="O5171" i="1" s="1"/>
  <c r="I7962" i="1"/>
  <c r="G7960" i="1"/>
  <c r="O7960" i="1" s="1"/>
  <c r="I4454" i="1"/>
  <c r="I4463" i="1"/>
  <c r="G4452" i="1"/>
  <c r="O4452" i="1" s="1"/>
  <c r="Q4452" i="1" s="1"/>
  <c r="G8801" i="1"/>
  <c r="O8801" i="1" s="1"/>
  <c r="Q8801" i="1" s="1"/>
  <c r="I8803" i="1"/>
  <c r="I8812" i="1"/>
  <c r="G8320" i="1"/>
  <c r="O8320" i="1" s="1"/>
  <c r="Q8320" i="1" s="1"/>
  <c r="I8322" i="1"/>
  <c r="Q4690" i="1"/>
  <c r="I5053" i="1"/>
  <c r="G5051" i="1"/>
  <c r="O5051" i="1" s="1"/>
  <c r="Q5051" i="1" s="1"/>
  <c r="I3490" i="1"/>
  <c r="G3489" i="1"/>
  <c r="O3489" i="1" s="1"/>
  <c r="I4824" i="1"/>
  <c r="G4823" i="1"/>
  <c r="O4823" i="1" s="1"/>
  <c r="Q4823" i="1" s="1"/>
  <c r="I5174" i="1"/>
  <c r="I5183" i="1"/>
  <c r="G5172" i="1"/>
  <c r="O5172" i="1" s="1"/>
  <c r="Q5172" i="1" s="1"/>
  <c r="I4933" i="1"/>
  <c r="G4931" i="1"/>
  <c r="O4931" i="1" s="1"/>
  <c r="Q4931" i="1" s="1"/>
  <c r="I3850" i="1"/>
  <c r="G3849" i="1"/>
  <c r="O3849" i="1" s="1"/>
  <c r="Q3849" i="1" s="1"/>
  <c r="I8802" i="1"/>
  <c r="G8800" i="1"/>
  <c r="O8800" i="1" s="1"/>
  <c r="Q8800" i="1" s="1"/>
  <c r="I4333" i="1"/>
  <c r="G4331" i="1"/>
  <c r="O4331" i="1" s="1"/>
  <c r="I4092" i="1"/>
  <c r="I4091" i="1"/>
  <c r="G4090" i="1"/>
  <c r="O4090" i="1" s="1"/>
  <c r="Q4090" i="1" s="1"/>
  <c r="I8443" i="1"/>
  <c r="I8452" i="1"/>
  <c r="G8441" i="1"/>
  <c r="O8441" i="1" s="1"/>
  <c r="Q8441" i="1" s="1"/>
  <c r="I7119" i="1"/>
  <c r="G7118" i="1"/>
  <c r="O7118" i="1" s="1"/>
  <c r="I4943" i="1"/>
  <c r="I4934" i="1"/>
  <c r="G4932" i="1"/>
  <c r="O4932" i="1" s="1"/>
  <c r="Q4932" i="1" s="1"/>
  <c r="I7732" i="1"/>
  <c r="G7721" i="1"/>
  <c r="O7721" i="1" s="1"/>
  <c r="Q7721" i="1" s="1"/>
  <c r="I7723" i="1"/>
  <c r="I4693" i="1"/>
  <c r="G4691" i="1"/>
  <c r="O4691" i="1" s="1"/>
  <c r="Q4691" i="1" s="1"/>
  <c r="I5063" i="1"/>
  <c r="I5054" i="1"/>
  <c r="G5052" i="1"/>
  <c r="O5052" i="1" s="1"/>
  <c r="Q5052" i="1" s="1"/>
  <c r="I8323" i="1"/>
  <c r="I8332" i="1"/>
  <c r="G8321" i="1"/>
  <c r="O8321" i="1" s="1"/>
  <c r="Q8321" i="1" s="1"/>
  <c r="I4343" i="1"/>
  <c r="I4334" i="1"/>
  <c r="G4332" i="1"/>
  <c r="O4332" i="1" s="1"/>
  <c r="Q4332" i="1" s="1"/>
  <c r="I4703" i="1"/>
  <c r="I4694" i="1"/>
  <c r="G4692" i="1"/>
  <c r="O4692" i="1" s="1"/>
  <c r="Q4692" i="1" s="1"/>
  <c r="G8203" i="1"/>
  <c r="O8203" i="1" s="1"/>
  <c r="Q8203" i="1" s="1"/>
  <c r="I8205" i="1"/>
  <c r="G8440" i="1"/>
  <c r="O8440" i="1" s="1"/>
  <c r="I8442" i="1"/>
  <c r="G7238" i="1"/>
  <c r="O7238" i="1" s="1"/>
  <c r="Q7238" i="1" s="1"/>
  <c r="I7239" i="1"/>
  <c r="I5303" i="1"/>
  <c r="I5294" i="1"/>
  <c r="G5292" i="1"/>
  <c r="O5292" i="1" s="1"/>
  <c r="Q5292" i="1" s="1"/>
  <c r="I7722" i="1"/>
  <c r="G7720" i="1"/>
  <c r="O7720" i="1" s="1"/>
  <c r="I4213" i="1"/>
  <c r="G4211" i="1"/>
  <c r="O4211" i="1" s="1"/>
  <c r="Q4211" i="1" s="1"/>
  <c r="I8682" i="1"/>
  <c r="G8680" i="1"/>
  <c r="O8680" i="1" s="1"/>
  <c r="Q8680" i="1" s="1"/>
  <c r="I7842" i="1"/>
  <c r="G7840" i="1"/>
  <c r="O7840" i="1" s="1"/>
  <c r="I5413" i="1"/>
  <c r="G5411" i="1"/>
  <c r="O5411" i="1" s="1"/>
  <c r="I8204" i="1"/>
  <c r="G8202" i="1"/>
  <c r="O8202" i="1" s="1"/>
  <c r="Q8202" i="1" s="1"/>
  <c r="I7612" i="1"/>
  <c r="G7601" i="1"/>
  <c r="O7601" i="1" s="1"/>
  <c r="Q7601" i="1" s="1"/>
  <c r="I7603" i="1"/>
  <c r="I5293" i="1"/>
  <c r="G5291" i="1"/>
  <c r="O5291" i="1" s="1"/>
  <c r="Q5291" i="1" s="1"/>
  <c r="I4223" i="1"/>
  <c r="I4214" i="1"/>
  <c r="G4212" i="1"/>
  <c r="O4212" i="1" s="1"/>
  <c r="Q4212" i="1" s="1"/>
  <c r="Q8679" i="1"/>
  <c r="G8212" i="1"/>
  <c r="O8212" i="1" s="1"/>
  <c r="Q8212" i="1" s="1"/>
  <c r="I8213" i="1"/>
  <c r="I5423" i="1"/>
  <c r="I5414" i="1"/>
  <c r="G5412" i="1"/>
  <c r="O5412" i="1" s="1"/>
  <c r="Q5412" i="1" s="1"/>
  <c r="G8561" i="1"/>
  <c r="O8561" i="1" s="1"/>
  <c r="Q8561" i="1" s="1"/>
  <c r="I8563" i="1"/>
  <c r="I8572" i="1"/>
  <c r="I7602" i="1"/>
  <c r="G7600" i="1"/>
  <c r="O7600" i="1" s="1"/>
  <c r="Q7600" i="1" s="1"/>
  <c r="G6878" i="1"/>
  <c r="O6878" i="1" s="1"/>
  <c r="I6879" i="1"/>
  <c r="I4573" i="1"/>
  <c r="G4571" i="1"/>
  <c r="O4571" i="1" s="1"/>
  <c r="G8560" i="1"/>
  <c r="O8560" i="1" s="1"/>
  <c r="I8562" i="1"/>
  <c r="Q7599" i="1"/>
  <c r="Q4811" i="1"/>
  <c r="I3611" i="1"/>
  <c r="G3610" i="1"/>
  <c r="O3610" i="1" s="1"/>
  <c r="I3612" i="1"/>
  <c r="I4574" i="1"/>
  <c r="I4583" i="1"/>
  <c r="G4572" i="1"/>
  <c r="O4572" i="1" s="1"/>
  <c r="Q4572" i="1" s="1"/>
  <c r="Q1660" i="1"/>
  <c r="Q1900" i="1"/>
  <c r="G941" i="1"/>
  <c r="O941" i="1" s="1"/>
  <c r="Q941" i="1" s="1"/>
  <c r="I942" i="1"/>
  <c r="M941" i="1"/>
  <c r="G1901" i="1"/>
  <c r="O1901" i="1" s="1"/>
  <c r="Q1901" i="1" s="1"/>
  <c r="I1902" i="1"/>
  <c r="M1901" i="1"/>
  <c r="G1421" i="1"/>
  <c r="O1421" i="1" s="1"/>
  <c r="Q1421" i="1" s="1"/>
  <c r="I1422" i="1"/>
  <c r="M1421" i="1"/>
  <c r="G1661" i="1"/>
  <c r="O1661" i="1" s="1"/>
  <c r="Q1661" i="1" s="1"/>
  <c r="I1662" i="1"/>
  <c r="M1661" i="1"/>
  <c r="G1781" i="1"/>
  <c r="O1781" i="1" s="1"/>
  <c r="Q1781" i="1" s="1"/>
  <c r="M1781" i="1"/>
  <c r="I1782" i="1"/>
  <c r="G1301" i="1"/>
  <c r="O1301" i="1" s="1"/>
  <c r="Q1301" i="1" s="1"/>
  <c r="M1301" i="1"/>
  <c r="I1302" i="1"/>
  <c r="G701" i="1"/>
  <c r="O701" i="1" s="1"/>
  <c r="Q701" i="1" s="1"/>
  <c r="M701" i="1"/>
  <c r="I702" i="1"/>
  <c r="G221" i="1"/>
  <c r="O221" i="1" s="1"/>
  <c r="Q221" i="1" s="1"/>
  <c r="M221" i="1"/>
  <c r="I222" i="1"/>
  <c r="G821" i="1"/>
  <c r="O821" i="1" s="1"/>
  <c r="Q821" i="1" s="1"/>
  <c r="I822" i="1"/>
  <c r="M821" i="1"/>
  <c r="M582" i="1"/>
  <c r="G582" i="1"/>
  <c r="O582" i="1" s="1"/>
  <c r="Q582" i="1" s="1"/>
  <c r="I584" i="1"/>
  <c r="I583" i="1"/>
  <c r="M2023" i="1"/>
  <c r="M1183" i="1"/>
  <c r="M463" i="1"/>
  <c r="G463" i="1"/>
  <c r="O463" i="1" s="1"/>
  <c r="Q463" i="1" s="1"/>
  <c r="G2023" i="1"/>
  <c r="O2023" i="1" s="1"/>
  <c r="G1183" i="1"/>
  <c r="O1183" i="1" s="1"/>
  <c r="Q1183" i="1" s="1"/>
  <c r="M343" i="1"/>
  <c r="M1543" i="1"/>
  <c r="M1063" i="1"/>
  <c r="G1543" i="1"/>
  <c r="O1543" i="1" s="1"/>
  <c r="Q1543" i="1" s="1"/>
  <c r="G343" i="1"/>
  <c r="O343" i="1" s="1"/>
  <c r="Q343" i="1" s="1"/>
  <c r="G1063" i="1"/>
  <c r="O1063" i="1" s="1"/>
  <c r="Q1063" i="1" s="1"/>
  <c r="I346" i="1"/>
  <c r="I348" i="1" s="1"/>
  <c r="G348" i="1" s="1"/>
  <c r="O348" i="1" s="1"/>
  <c r="Q348" i="1" s="1"/>
  <c r="G344" i="1"/>
  <c r="O344" i="1" s="1"/>
  <c r="Q344" i="1" s="1"/>
  <c r="I466" i="1"/>
  <c r="G466" i="1" s="1"/>
  <c r="O466" i="1" s="1"/>
  <c r="Q466" i="1" s="1"/>
  <c r="G464" i="1"/>
  <c r="O464" i="1" s="1"/>
  <c r="Q464" i="1" s="1"/>
  <c r="I1186" i="1"/>
  <c r="M1186" i="1" s="1"/>
  <c r="G1184" i="1"/>
  <c r="O1184" i="1" s="1"/>
  <c r="Q1184" i="1" s="1"/>
  <c r="I2026" i="1"/>
  <c r="I2028" i="1" s="1"/>
  <c r="G2028" i="1" s="1"/>
  <c r="O2028" i="1" s="1"/>
  <c r="Q2028" i="1" s="1"/>
  <c r="G2024" i="1"/>
  <c r="O2024" i="1" s="1"/>
  <c r="Q2024" i="1" s="1"/>
  <c r="I1066" i="1"/>
  <c r="G1066" i="1" s="1"/>
  <c r="O1066" i="1" s="1"/>
  <c r="Q1066" i="1" s="1"/>
  <c r="G1064" i="1"/>
  <c r="O1064" i="1" s="1"/>
  <c r="Q1064" i="1" s="1"/>
  <c r="I1546" i="1"/>
  <c r="G1546" i="1" s="1"/>
  <c r="O1546" i="1" s="1"/>
  <c r="Q1546" i="1" s="1"/>
  <c r="G1544" i="1"/>
  <c r="O1544" i="1" s="1"/>
  <c r="Q1544" i="1" s="1"/>
  <c r="I467" i="1"/>
  <c r="M467" i="1" s="1"/>
  <c r="M465" i="1"/>
  <c r="M1185" i="1"/>
  <c r="I1067" i="1"/>
  <c r="I1069" i="1" s="1"/>
  <c r="I112" i="1"/>
  <c r="I111" i="1"/>
  <c r="G1185" i="1"/>
  <c r="O1185" i="1" s="1"/>
  <c r="Q1185" i="1" s="1"/>
  <c r="M1065" i="1"/>
  <c r="I347" i="1"/>
  <c r="I349" i="1" s="1"/>
  <c r="M345" i="1"/>
  <c r="M1545" i="1"/>
  <c r="G1545" i="1"/>
  <c r="O1545" i="1" s="1"/>
  <c r="G2025" i="1"/>
  <c r="O2025" i="1" s="1"/>
  <c r="M2025" i="1"/>
  <c r="I2029" i="1"/>
  <c r="G2027" i="1"/>
  <c r="O2027" i="1" s="1"/>
  <c r="Q2027" i="1" s="1"/>
  <c r="G1187" i="1"/>
  <c r="O1187" i="1" s="1"/>
  <c r="Q1187" i="1" s="1"/>
  <c r="G1547" i="1"/>
  <c r="O1547" i="1" s="1"/>
  <c r="M1547" i="1"/>
  <c r="M1187" i="1"/>
  <c r="I1189" i="1"/>
  <c r="I1549" i="1"/>
  <c r="M2027" i="1"/>
  <c r="K103" i="1"/>
  <c r="G103" i="1" s="1"/>
  <c r="K104" i="1"/>
  <c r="G104" i="1" s="1"/>
  <c r="M102" i="1"/>
  <c r="O102" i="1"/>
  <c r="Q102" i="1" s="1"/>
  <c r="I1555" i="1"/>
  <c r="G1555" i="1" s="1"/>
  <c r="M1544" i="1"/>
  <c r="I1195" i="1"/>
  <c r="G1195" i="1" s="1"/>
  <c r="M1184" i="1"/>
  <c r="I475" i="1"/>
  <c r="G475" i="1" s="1"/>
  <c r="M464" i="1"/>
  <c r="I1075" i="1"/>
  <c r="G1075" i="1" s="1"/>
  <c r="M1064" i="1"/>
  <c r="I116" i="1"/>
  <c r="I355" i="1"/>
  <c r="G355" i="1" s="1"/>
  <c r="M344" i="1"/>
  <c r="I2035" i="1"/>
  <c r="G2035" i="1" s="1"/>
  <c r="M2024" i="1"/>
  <c r="I4216" i="1" l="1"/>
  <c r="G4214" i="1"/>
  <c r="O4214" i="1" s="1"/>
  <c r="Q4214" i="1" s="1"/>
  <c r="I5176" i="1"/>
  <c r="G5174" i="1"/>
  <c r="O5174" i="1" s="1"/>
  <c r="Q5174" i="1" s="1"/>
  <c r="Q7358" i="1"/>
  <c r="I4576" i="1"/>
  <c r="G4574" i="1"/>
  <c r="O4574" i="1" s="1"/>
  <c r="Q4574" i="1" s="1"/>
  <c r="I8564" i="1"/>
  <c r="G8562" i="1"/>
  <c r="O8562" i="1" s="1"/>
  <c r="Q8562" i="1" s="1"/>
  <c r="I5424" i="1"/>
  <c r="G5423" i="1"/>
  <c r="O5423" i="1" s="1"/>
  <c r="Q5423" i="1" s="1"/>
  <c r="I4224" i="1"/>
  <c r="G4223" i="1"/>
  <c r="O4223" i="1" s="1"/>
  <c r="Q4223" i="1" s="1"/>
  <c r="G7612" i="1"/>
  <c r="O7612" i="1" s="1"/>
  <c r="Q7612" i="1" s="1"/>
  <c r="I7613" i="1"/>
  <c r="I8684" i="1"/>
  <c r="G8682" i="1"/>
  <c r="O8682" i="1" s="1"/>
  <c r="Q8682" i="1" s="1"/>
  <c r="I5296" i="1"/>
  <c r="G5294" i="1"/>
  <c r="O5294" i="1" s="1"/>
  <c r="Q5294" i="1" s="1"/>
  <c r="I8207" i="1"/>
  <c r="G8205" i="1"/>
  <c r="O8205" i="1" s="1"/>
  <c r="Q8205" i="1" s="1"/>
  <c r="I5056" i="1"/>
  <c r="G5054" i="1"/>
  <c r="O5054" i="1" s="1"/>
  <c r="Q5054" i="1" s="1"/>
  <c r="I4936" i="1"/>
  <c r="G4934" i="1"/>
  <c r="O4934" i="1" s="1"/>
  <c r="Q4934" i="1" s="1"/>
  <c r="I4093" i="1"/>
  <c r="G4091" i="1"/>
  <c r="O4091" i="1" s="1"/>
  <c r="Q4091" i="1" s="1"/>
  <c r="Q3489" i="1"/>
  <c r="Q7960" i="1"/>
  <c r="I8093" i="1"/>
  <c r="G8092" i="1"/>
  <c r="O8092" i="1" s="1"/>
  <c r="Q8092" i="1" s="1"/>
  <c r="G7972" i="1"/>
  <c r="O7972" i="1" s="1"/>
  <c r="Q7972" i="1" s="1"/>
  <c r="I7973" i="1"/>
  <c r="I3732" i="1"/>
  <c r="I3731" i="1"/>
  <c r="G3730" i="1"/>
  <c r="O3730" i="1" s="1"/>
  <c r="Q3730" i="1" s="1"/>
  <c r="G7852" i="1"/>
  <c r="O7852" i="1" s="1"/>
  <c r="Q7852" i="1" s="1"/>
  <c r="I7853" i="1"/>
  <c r="I4584" i="1"/>
  <c r="G4583" i="1"/>
  <c r="O4583" i="1" s="1"/>
  <c r="Q4583" i="1" s="1"/>
  <c r="I5416" i="1"/>
  <c r="G5414" i="1"/>
  <c r="O5414" i="1" s="1"/>
  <c r="Q5414" i="1" s="1"/>
  <c r="I3623" i="1"/>
  <c r="I3614" i="1"/>
  <c r="G3612" i="1"/>
  <c r="O3612" i="1" s="1"/>
  <c r="Q3612" i="1" s="1"/>
  <c r="Q8560" i="1"/>
  <c r="I5304" i="1"/>
  <c r="G5303" i="1"/>
  <c r="O5303" i="1" s="1"/>
  <c r="Q5303" i="1" s="1"/>
  <c r="G8332" i="1"/>
  <c r="O8332" i="1" s="1"/>
  <c r="Q8332" i="1" s="1"/>
  <c r="I8333" i="1"/>
  <c r="I5064" i="1"/>
  <c r="G5063" i="1"/>
  <c r="O5063" i="1" s="1"/>
  <c r="Q5063" i="1" s="1"/>
  <c r="G4943" i="1"/>
  <c r="O4943" i="1" s="1"/>
  <c r="Q4943" i="1" s="1"/>
  <c r="I4944" i="1"/>
  <c r="I4103" i="1"/>
  <c r="I4094" i="1"/>
  <c r="G4092" i="1"/>
  <c r="O4092" i="1" s="1"/>
  <c r="Q4092" i="1" s="1"/>
  <c r="I3852" i="1"/>
  <c r="I3851" i="1"/>
  <c r="G3850" i="1"/>
  <c r="O3850" i="1" s="1"/>
  <c r="I4825" i="1"/>
  <c r="G4824" i="1"/>
  <c r="O4824" i="1" s="1"/>
  <c r="Q4824" i="1" s="1"/>
  <c r="I3491" i="1"/>
  <c r="I3492" i="1"/>
  <c r="G3490" i="1"/>
  <c r="O3490" i="1" s="1"/>
  <c r="Q3490" i="1" s="1"/>
  <c r="G8812" i="1"/>
  <c r="O8812" i="1" s="1"/>
  <c r="Q8812" i="1" s="1"/>
  <c r="I8813" i="1"/>
  <c r="I7964" i="1"/>
  <c r="G7962" i="1"/>
  <c r="O7962" i="1" s="1"/>
  <c r="Q7962" i="1" s="1"/>
  <c r="I4455" i="1"/>
  <c r="G4453" i="1"/>
  <c r="O4453" i="1" s="1"/>
  <c r="Q4453" i="1" s="1"/>
  <c r="I8685" i="1"/>
  <c r="G8683" i="1"/>
  <c r="O8683" i="1" s="1"/>
  <c r="Q8683" i="1" s="1"/>
  <c r="I4344" i="1"/>
  <c r="G4343" i="1"/>
  <c r="O4343" i="1" s="1"/>
  <c r="Q4343" i="1" s="1"/>
  <c r="I8324" i="1"/>
  <c r="G8322" i="1"/>
  <c r="O8322" i="1" s="1"/>
  <c r="Q8322" i="1" s="1"/>
  <c r="Q3610" i="1"/>
  <c r="Q4571" i="1"/>
  <c r="I7604" i="1"/>
  <c r="G7602" i="1"/>
  <c r="O7602" i="1" s="1"/>
  <c r="Q7602" i="1" s="1"/>
  <c r="I8214" i="1"/>
  <c r="G8213" i="1"/>
  <c r="O8213" i="1" s="1"/>
  <c r="Q8213" i="1" s="1"/>
  <c r="I8206" i="1"/>
  <c r="G8204" i="1"/>
  <c r="O8204" i="1" s="1"/>
  <c r="Q8204" i="1" s="1"/>
  <c r="I4215" i="1"/>
  <c r="G4213" i="1"/>
  <c r="O4213" i="1" s="1"/>
  <c r="Q4213" i="1" s="1"/>
  <c r="I7240" i="1"/>
  <c r="I7241" i="1"/>
  <c r="G7239" i="1"/>
  <c r="O7239" i="1" s="1"/>
  <c r="G8323" i="1"/>
  <c r="O8323" i="1" s="1"/>
  <c r="Q8323" i="1" s="1"/>
  <c r="I8325" i="1"/>
  <c r="Q7118" i="1"/>
  <c r="Q4331" i="1"/>
  <c r="G8803" i="1"/>
  <c r="O8803" i="1" s="1"/>
  <c r="Q8803" i="1" s="1"/>
  <c r="I8805" i="1"/>
  <c r="Q5171" i="1"/>
  <c r="I3972" i="1"/>
  <c r="I3971" i="1"/>
  <c r="G3970" i="1"/>
  <c r="O3970" i="1" s="1"/>
  <c r="Q3970" i="1" s="1"/>
  <c r="I4817" i="1"/>
  <c r="G4815" i="1"/>
  <c r="O4815" i="1" s="1"/>
  <c r="I7483" i="1"/>
  <c r="G7481" i="1"/>
  <c r="O7481" i="1" s="1"/>
  <c r="Q7481" i="1" s="1"/>
  <c r="I7492" i="1"/>
  <c r="I8084" i="1"/>
  <c r="G8082" i="1"/>
  <c r="O8082" i="1" s="1"/>
  <c r="Q8082" i="1" s="1"/>
  <c r="I3613" i="1"/>
  <c r="G3611" i="1"/>
  <c r="O3611" i="1" s="1"/>
  <c r="Q3611" i="1" s="1"/>
  <c r="I4575" i="1"/>
  <c r="G4573" i="1"/>
  <c r="O4573" i="1" s="1"/>
  <c r="Q4573" i="1" s="1"/>
  <c r="G8572" i="1"/>
  <c r="O8572" i="1" s="1"/>
  <c r="Q8572" i="1" s="1"/>
  <c r="I8573" i="1"/>
  <c r="Q5411" i="1"/>
  <c r="I4696" i="1"/>
  <c r="G4694" i="1"/>
  <c r="O4694" i="1" s="1"/>
  <c r="Q4694" i="1" s="1"/>
  <c r="I4695" i="1"/>
  <c r="G4693" i="1"/>
  <c r="O4693" i="1" s="1"/>
  <c r="G7119" i="1"/>
  <c r="O7119" i="1" s="1"/>
  <c r="Q7119" i="1" s="1"/>
  <c r="I7120" i="1"/>
  <c r="I7121" i="1"/>
  <c r="I4335" i="1"/>
  <c r="G4333" i="1"/>
  <c r="O4333" i="1" s="1"/>
  <c r="Q4333" i="1" s="1"/>
  <c r="I5175" i="1"/>
  <c r="G5173" i="1"/>
  <c r="O5173" i="1" s="1"/>
  <c r="Q5173" i="1" s="1"/>
  <c r="I7482" i="1"/>
  <c r="G7480" i="1"/>
  <c r="O7480" i="1" s="1"/>
  <c r="Q7480" i="1" s="1"/>
  <c r="Q6999" i="1"/>
  <c r="G8692" i="1"/>
  <c r="O8692" i="1" s="1"/>
  <c r="Q8692" i="1" s="1"/>
  <c r="I8693" i="1"/>
  <c r="I6881" i="1"/>
  <c r="G6879" i="1"/>
  <c r="O6879" i="1" s="1"/>
  <c r="Q6879" i="1" s="1"/>
  <c r="I6880" i="1"/>
  <c r="G8563" i="1"/>
  <c r="O8563" i="1" s="1"/>
  <c r="Q8563" i="1" s="1"/>
  <c r="I8565" i="1"/>
  <c r="I5415" i="1"/>
  <c r="G5413" i="1"/>
  <c r="O5413" i="1" s="1"/>
  <c r="Q5413" i="1" s="1"/>
  <c r="Q7720" i="1"/>
  <c r="G8442" i="1"/>
  <c r="O8442" i="1" s="1"/>
  <c r="Q8442" i="1" s="1"/>
  <c r="I8444" i="1"/>
  <c r="I4704" i="1"/>
  <c r="G4703" i="1"/>
  <c r="O4703" i="1" s="1"/>
  <c r="Q4703" i="1" s="1"/>
  <c r="I7725" i="1"/>
  <c r="G7723" i="1"/>
  <c r="O7723" i="1" s="1"/>
  <c r="Q7723" i="1" s="1"/>
  <c r="I4935" i="1"/>
  <c r="G4933" i="1"/>
  <c r="O4933" i="1" s="1"/>
  <c r="Q4933" i="1" s="1"/>
  <c r="I5055" i="1"/>
  <c r="G5053" i="1"/>
  <c r="O5053" i="1" s="1"/>
  <c r="Q5053" i="1" s="1"/>
  <c r="I7002" i="1"/>
  <c r="G7000" i="1"/>
  <c r="O7000" i="1" s="1"/>
  <c r="Q7000" i="1" s="1"/>
  <c r="Q6878" i="1"/>
  <c r="I5295" i="1"/>
  <c r="G5293" i="1"/>
  <c r="O5293" i="1" s="1"/>
  <c r="Q5293" i="1" s="1"/>
  <c r="Q7840" i="1"/>
  <c r="G7722" i="1"/>
  <c r="O7722" i="1" s="1"/>
  <c r="Q7722" i="1" s="1"/>
  <c r="I7724" i="1"/>
  <c r="Q8440" i="1"/>
  <c r="G8452" i="1"/>
  <c r="O8452" i="1" s="1"/>
  <c r="Q8452" i="1" s="1"/>
  <c r="I8453" i="1"/>
  <c r="I8804" i="1"/>
  <c r="G8802" i="1"/>
  <c r="O8802" i="1" s="1"/>
  <c r="I4464" i="1"/>
  <c r="G4463" i="1"/>
  <c r="O4463" i="1" s="1"/>
  <c r="Q4463" i="1" s="1"/>
  <c r="I4818" i="1"/>
  <c r="G4816" i="1"/>
  <c r="O4816" i="1" s="1"/>
  <c r="Q4816" i="1" s="1"/>
  <c r="I7003" i="1"/>
  <c r="I7012" i="1"/>
  <c r="G7001" i="1"/>
  <c r="O7001" i="1" s="1"/>
  <c r="Q7001" i="1" s="1"/>
  <c r="I7605" i="1"/>
  <c r="G7603" i="1"/>
  <c r="O7603" i="1" s="1"/>
  <c r="Q7603" i="1" s="1"/>
  <c r="I7844" i="1"/>
  <c r="G7842" i="1"/>
  <c r="O7842" i="1" s="1"/>
  <c r="Q7842" i="1" s="1"/>
  <c r="I4336" i="1"/>
  <c r="G4334" i="1"/>
  <c r="O4334" i="1" s="1"/>
  <c r="Q4334" i="1" s="1"/>
  <c r="G7732" i="1"/>
  <c r="O7732" i="1" s="1"/>
  <c r="Q7732" i="1" s="1"/>
  <c r="I7733" i="1"/>
  <c r="G8443" i="1"/>
  <c r="O8443" i="1" s="1"/>
  <c r="Q8443" i="1" s="1"/>
  <c r="I8445" i="1"/>
  <c r="I5184" i="1"/>
  <c r="G5183" i="1"/>
  <c r="O5183" i="1" s="1"/>
  <c r="Q5183" i="1" s="1"/>
  <c r="I4456" i="1"/>
  <c r="G4454" i="1"/>
  <c r="O4454" i="1" s="1"/>
  <c r="Q4454" i="1" s="1"/>
  <c r="I8085" i="1"/>
  <c r="G8083" i="1"/>
  <c r="O8083" i="1" s="1"/>
  <c r="Q8083" i="1" s="1"/>
  <c r="G7359" i="1"/>
  <c r="O7359" i="1" s="1"/>
  <c r="Q7359" i="1" s="1"/>
  <c r="I7360" i="1"/>
  <c r="I7361" i="1"/>
  <c r="I7965" i="1"/>
  <c r="G7963" i="1"/>
  <c r="O7963" i="1" s="1"/>
  <c r="Q7963" i="1" s="1"/>
  <c r="G7843" i="1"/>
  <c r="O7843" i="1" s="1"/>
  <c r="Q7843" i="1" s="1"/>
  <c r="I7845" i="1"/>
  <c r="Q1545" i="1"/>
  <c r="Q1547" i="1"/>
  <c r="Q2025" i="1"/>
  <c r="Q2023" i="1"/>
  <c r="G942" i="1"/>
  <c r="O942" i="1" s="1"/>
  <c r="I943" i="1"/>
  <c r="M942" i="1"/>
  <c r="I944" i="1"/>
  <c r="M1902" i="1"/>
  <c r="I1903" i="1"/>
  <c r="G1902" i="1"/>
  <c r="O1902" i="1" s="1"/>
  <c r="Q1902" i="1" s="1"/>
  <c r="I1904" i="1"/>
  <c r="I1664" i="1"/>
  <c r="M1662" i="1"/>
  <c r="I1663" i="1"/>
  <c r="G1662" i="1"/>
  <c r="O1662" i="1" s="1"/>
  <c r="Q1662" i="1" s="1"/>
  <c r="M1422" i="1"/>
  <c r="I1423" i="1"/>
  <c r="I1424" i="1"/>
  <c r="G1422" i="1"/>
  <c r="O1422" i="1" s="1"/>
  <c r="Q1422" i="1" s="1"/>
  <c r="I1784" i="1"/>
  <c r="M1782" i="1"/>
  <c r="I1783" i="1"/>
  <c r="G1782" i="1"/>
  <c r="O1782" i="1" s="1"/>
  <c r="I1303" i="1"/>
  <c r="G1302" i="1"/>
  <c r="O1302" i="1" s="1"/>
  <c r="Q1302" i="1" s="1"/>
  <c r="M1302" i="1"/>
  <c r="I1304" i="1"/>
  <c r="G702" i="1"/>
  <c r="O702" i="1" s="1"/>
  <c r="Q702" i="1" s="1"/>
  <c r="M702" i="1"/>
  <c r="I703" i="1"/>
  <c r="I704" i="1"/>
  <c r="I585" i="1"/>
  <c r="G583" i="1"/>
  <c r="O583" i="1" s="1"/>
  <c r="Q583" i="1" s="1"/>
  <c r="M583" i="1"/>
  <c r="G222" i="1"/>
  <c r="O222" i="1" s="1"/>
  <c r="I223" i="1"/>
  <c r="I224" i="1"/>
  <c r="M222" i="1"/>
  <c r="I586" i="1"/>
  <c r="I595" i="1"/>
  <c r="G584" i="1"/>
  <c r="O584" i="1" s="1"/>
  <c r="M584" i="1"/>
  <c r="I823" i="1"/>
  <c r="G822" i="1"/>
  <c r="O822" i="1" s="1"/>
  <c r="Q822" i="1" s="1"/>
  <c r="I824" i="1"/>
  <c r="M822" i="1"/>
  <c r="G467" i="1"/>
  <c r="O467" i="1" s="1"/>
  <c r="Q467" i="1" s="1"/>
  <c r="G1186" i="1"/>
  <c r="O1186" i="1" s="1"/>
  <c r="Q1186" i="1" s="1"/>
  <c r="I114" i="1"/>
  <c r="I1548" i="1"/>
  <c r="G1548" i="1" s="1"/>
  <c r="O1548" i="1" s="1"/>
  <c r="Q1548" i="1" s="1"/>
  <c r="I469" i="1"/>
  <c r="I471" i="1" s="1"/>
  <c r="M466" i="1"/>
  <c r="M2026" i="1"/>
  <c r="G347" i="1"/>
  <c r="O347" i="1" s="1"/>
  <c r="Q347" i="1" s="1"/>
  <c r="I468" i="1"/>
  <c r="G468" i="1" s="1"/>
  <c r="O468" i="1" s="1"/>
  <c r="Q468" i="1" s="1"/>
  <c r="M1546" i="1"/>
  <c r="I113" i="1"/>
  <c r="G2026" i="1"/>
  <c r="O2026" i="1" s="1"/>
  <c r="Q2026" i="1" s="1"/>
  <c r="G346" i="1"/>
  <c r="O346" i="1" s="1"/>
  <c r="Q346" i="1" s="1"/>
  <c r="M346" i="1"/>
  <c r="I1068" i="1"/>
  <c r="G1068" i="1" s="1"/>
  <c r="O1068" i="1" s="1"/>
  <c r="Q1068" i="1" s="1"/>
  <c r="M1066" i="1"/>
  <c r="I1188" i="1"/>
  <c r="G1188" i="1" s="1"/>
  <c r="O1188" i="1" s="1"/>
  <c r="Q1188" i="1" s="1"/>
  <c r="M348" i="1"/>
  <c r="M347" i="1"/>
  <c r="M2028" i="1"/>
  <c r="G1067" i="1"/>
  <c r="O1067" i="1" s="1"/>
  <c r="Q1067" i="1" s="1"/>
  <c r="I350" i="1"/>
  <c r="G350" i="1" s="1"/>
  <c r="O350" i="1" s="1"/>
  <c r="Q350" i="1" s="1"/>
  <c r="I2030" i="1"/>
  <c r="G2030" i="1" s="1"/>
  <c r="O2030" i="1" s="1"/>
  <c r="Q2030" i="1" s="1"/>
  <c r="M1067" i="1"/>
  <c r="I1551" i="1"/>
  <c r="G1549" i="1"/>
  <c r="O1549" i="1" s="1"/>
  <c r="Q1549" i="1" s="1"/>
  <c r="M2029" i="1"/>
  <c r="G2029" i="1"/>
  <c r="O2029" i="1" s="1"/>
  <c r="Q2029" i="1" s="1"/>
  <c r="G1189" i="1"/>
  <c r="O1189" i="1" s="1"/>
  <c r="Q1189" i="1" s="1"/>
  <c r="M1069" i="1"/>
  <c r="G1069" i="1"/>
  <c r="O1069" i="1" s="1"/>
  <c r="Q1069" i="1" s="1"/>
  <c r="I351" i="1"/>
  <c r="G349" i="1"/>
  <c r="O349" i="1" s="1"/>
  <c r="Q349" i="1" s="1"/>
  <c r="I2031" i="1"/>
  <c r="M349" i="1"/>
  <c r="I1071" i="1"/>
  <c r="I1191" i="1"/>
  <c r="M1189" i="1"/>
  <c r="M1549" i="1"/>
  <c r="K106" i="1"/>
  <c r="G106" i="1" s="1"/>
  <c r="K115" i="1"/>
  <c r="G115" i="1" s="1"/>
  <c r="M104" i="1"/>
  <c r="O104" i="1"/>
  <c r="Q104" i="1" s="1"/>
  <c r="K105" i="1"/>
  <c r="G105" i="1" s="1"/>
  <c r="O103" i="1"/>
  <c r="Q103" i="1" s="1"/>
  <c r="M103" i="1"/>
  <c r="I2036" i="1"/>
  <c r="G2036" i="1" s="1"/>
  <c r="O2035" i="1"/>
  <c r="Q2035" i="1" s="1"/>
  <c r="M2035" i="1"/>
  <c r="O1195" i="1"/>
  <c r="Q1195" i="1" s="1"/>
  <c r="I1196" i="1"/>
  <c r="G1196" i="1" s="1"/>
  <c r="M1195" i="1"/>
  <c r="I1076" i="1"/>
  <c r="G1076" i="1" s="1"/>
  <c r="O1075" i="1"/>
  <c r="Q1075" i="1" s="1"/>
  <c r="M1075" i="1"/>
  <c r="O1555" i="1"/>
  <c r="Q1555" i="1" s="1"/>
  <c r="I1556" i="1"/>
  <c r="G1556" i="1" s="1"/>
  <c r="M1555" i="1"/>
  <c r="O355" i="1"/>
  <c r="Q355" i="1" s="1"/>
  <c r="M355" i="1"/>
  <c r="I356" i="1"/>
  <c r="G356" i="1" s="1"/>
  <c r="I117" i="1"/>
  <c r="O475" i="1"/>
  <c r="I476" i="1"/>
  <c r="G476" i="1" s="1"/>
  <c r="M475" i="1"/>
  <c r="I5057" i="1" l="1"/>
  <c r="G5055" i="1"/>
  <c r="O5055" i="1" s="1"/>
  <c r="Q5055" i="1" s="1"/>
  <c r="I6882" i="1"/>
  <c r="G6880" i="1"/>
  <c r="O6880" i="1" s="1"/>
  <c r="I7122" i="1"/>
  <c r="G7120" i="1"/>
  <c r="O7120" i="1" s="1"/>
  <c r="Q7239" i="1"/>
  <c r="G8214" i="1"/>
  <c r="O8214" i="1" s="1"/>
  <c r="Q8214" i="1" s="1"/>
  <c r="I8215" i="1"/>
  <c r="I5418" i="1"/>
  <c r="G5416" i="1"/>
  <c r="O5416" i="1" s="1"/>
  <c r="Q5416" i="1" s="1"/>
  <c r="I3733" i="1"/>
  <c r="G3731" i="1"/>
  <c r="O3731" i="1" s="1"/>
  <c r="Q3731" i="1" s="1"/>
  <c r="I4578" i="1"/>
  <c r="G4576" i="1"/>
  <c r="O4576" i="1" s="1"/>
  <c r="Q4576" i="1" s="1"/>
  <c r="I7362" i="1"/>
  <c r="G7360" i="1"/>
  <c r="O7360" i="1" s="1"/>
  <c r="Q7360" i="1" s="1"/>
  <c r="I8447" i="1"/>
  <c r="G8445" i="1"/>
  <c r="O8445" i="1" s="1"/>
  <c r="Q8445" i="1" s="1"/>
  <c r="I7013" i="1"/>
  <c r="G7012" i="1"/>
  <c r="O7012" i="1" s="1"/>
  <c r="Q7012" i="1" s="1"/>
  <c r="Q8802" i="1"/>
  <c r="G8573" i="1"/>
  <c r="O8573" i="1" s="1"/>
  <c r="Q8573" i="1" s="1"/>
  <c r="I8574" i="1"/>
  <c r="G8084" i="1"/>
  <c r="O8084" i="1" s="1"/>
  <c r="Q8084" i="1" s="1"/>
  <c r="I8086" i="1"/>
  <c r="I7252" i="1"/>
  <c r="G7241" i="1"/>
  <c r="O7241" i="1" s="1"/>
  <c r="Q7241" i="1" s="1"/>
  <c r="I7243" i="1"/>
  <c r="I8326" i="1"/>
  <c r="G8324" i="1"/>
  <c r="O8324" i="1" s="1"/>
  <c r="I7966" i="1"/>
  <c r="G7964" i="1"/>
  <c r="O7964" i="1" s="1"/>
  <c r="Q7964" i="1" s="1"/>
  <c r="Q3850" i="1"/>
  <c r="I3743" i="1"/>
  <c r="I3734" i="1"/>
  <c r="G3732" i="1"/>
  <c r="O3732" i="1" s="1"/>
  <c r="Q3732" i="1" s="1"/>
  <c r="I8209" i="1"/>
  <c r="G8207" i="1"/>
  <c r="O8207" i="1" s="1"/>
  <c r="Q8207" i="1" s="1"/>
  <c r="I4225" i="1"/>
  <c r="G4224" i="1"/>
  <c r="O4224" i="1" s="1"/>
  <c r="Q4224" i="1" s="1"/>
  <c r="I7372" i="1"/>
  <c r="G7361" i="1"/>
  <c r="O7361" i="1" s="1"/>
  <c r="Q7361" i="1" s="1"/>
  <c r="I7363" i="1"/>
  <c r="I7846" i="1"/>
  <c r="G7844" i="1"/>
  <c r="O7844" i="1" s="1"/>
  <c r="Q7844" i="1" s="1"/>
  <c r="I7005" i="1"/>
  <c r="G7003" i="1"/>
  <c r="O7003" i="1" s="1"/>
  <c r="Q7003" i="1" s="1"/>
  <c r="I8806" i="1"/>
  <c r="G8804" i="1"/>
  <c r="O8804" i="1" s="1"/>
  <c r="Q8804" i="1" s="1"/>
  <c r="I7004" i="1"/>
  <c r="G7002" i="1"/>
  <c r="O7002" i="1" s="1"/>
  <c r="Q7002" i="1" s="1"/>
  <c r="I4937" i="1"/>
  <c r="G4935" i="1"/>
  <c r="O4935" i="1" s="1"/>
  <c r="I6892" i="1"/>
  <c r="G6881" i="1"/>
  <c r="O6881" i="1" s="1"/>
  <c r="Q6881" i="1" s="1"/>
  <c r="I6883" i="1"/>
  <c r="Q4693" i="1"/>
  <c r="I7493" i="1"/>
  <c r="G7492" i="1"/>
  <c r="O7492" i="1" s="1"/>
  <c r="Q7492" i="1" s="1"/>
  <c r="I3973" i="1"/>
  <c r="G3971" i="1"/>
  <c r="O3971" i="1" s="1"/>
  <c r="I7242" i="1"/>
  <c r="G7240" i="1"/>
  <c r="O7240" i="1" s="1"/>
  <c r="Q7240" i="1" s="1"/>
  <c r="G7604" i="1"/>
  <c r="O7604" i="1" s="1"/>
  <c r="I7606" i="1"/>
  <c r="G8813" i="1"/>
  <c r="O8813" i="1" s="1"/>
  <c r="Q8813" i="1" s="1"/>
  <c r="I8814" i="1"/>
  <c r="I3853" i="1"/>
  <c r="G3851" i="1"/>
  <c r="O3851" i="1" s="1"/>
  <c r="Q3851" i="1" s="1"/>
  <c r="I5065" i="1"/>
  <c r="G5064" i="1"/>
  <c r="O5064" i="1" s="1"/>
  <c r="Q5064" i="1" s="1"/>
  <c r="I4585" i="1"/>
  <c r="G4584" i="1"/>
  <c r="O4584" i="1" s="1"/>
  <c r="Q4584" i="1" s="1"/>
  <c r="G7973" i="1"/>
  <c r="O7973" i="1" s="1"/>
  <c r="Q7973" i="1" s="1"/>
  <c r="I7974" i="1"/>
  <c r="G7482" i="1"/>
  <c r="O7482" i="1" s="1"/>
  <c r="Q7482" i="1" s="1"/>
  <c r="I7484" i="1"/>
  <c r="I4826" i="1"/>
  <c r="G4825" i="1"/>
  <c r="O4825" i="1" s="1"/>
  <c r="Q4825" i="1" s="1"/>
  <c r="I7847" i="1"/>
  <c r="G7845" i="1"/>
  <c r="O7845" i="1" s="1"/>
  <c r="Q7845" i="1" s="1"/>
  <c r="G7733" i="1"/>
  <c r="O7733" i="1" s="1"/>
  <c r="Q7733" i="1" s="1"/>
  <c r="I7734" i="1"/>
  <c r="I8454" i="1"/>
  <c r="G8453" i="1"/>
  <c r="O8453" i="1" s="1"/>
  <c r="Q8453" i="1" s="1"/>
  <c r="G8693" i="1"/>
  <c r="O8693" i="1" s="1"/>
  <c r="Q8693" i="1" s="1"/>
  <c r="I8694" i="1"/>
  <c r="I5177" i="1"/>
  <c r="G5175" i="1"/>
  <c r="O5175" i="1" s="1"/>
  <c r="Q5175" i="1" s="1"/>
  <c r="I4697" i="1"/>
  <c r="G4695" i="1"/>
  <c r="O4695" i="1" s="1"/>
  <c r="Q4695" i="1" s="1"/>
  <c r="I3983" i="1"/>
  <c r="I3974" i="1"/>
  <c r="G3972" i="1"/>
  <c r="O3972" i="1" s="1"/>
  <c r="Q3972" i="1" s="1"/>
  <c r="I4345" i="1"/>
  <c r="G4344" i="1"/>
  <c r="O4344" i="1" s="1"/>
  <c r="Q4344" i="1" s="1"/>
  <c r="I3863" i="1"/>
  <c r="I3854" i="1"/>
  <c r="G3852" i="1"/>
  <c r="O3852" i="1" s="1"/>
  <c r="Q3852" i="1" s="1"/>
  <c r="I8334" i="1"/>
  <c r="G8333" i="1"/>
  <c r="O8333" i="1" s="1"/>
  <c r="Q8333" i="1" s="1"/>
  <c r="I3616" i="1"/>
  <c r="G3614" i="1"/>
  <c r="O3614" i="1" s="1"/>
  <c r="Q3614" i="1" s="1"/>
  <c r="I7854" i="1"/>
  <c r="G7853" i="1"/>
  <c r="O7853" i="1" s="1"/>
  <c r="Q7853" i="1" s="1"/>
  <c r="I4095" i="1"/>
  <c r="G4093" i="1"/>
  <c r="O4093" i="1" s="1"/>
  <c r="Q4093" i="1" s="1"/>
  <c r="G5296" i="1"/>
  <c r="O5296" i="1" s="1"/>
  <c r="Q5296" i="1" s="1"/>
  <c r="I5298" i="1"/>
  <c r="I5425" i="1"/>
  <c r="G5424" i="1"/>
  <c r="O5424" i="1" s="1"/>
  <c r="Q5424" i="1" s="1"/>
  <c r="I5185" i="1"/>
  <c r="G5184" i="1"/>
  <c r="O5184" i="1" s="1"/>
  <c r="Q5184" i="1" s="1"/>
  <c r="I8087" i="1"/>
  <c r="G8085" i="1"/>
  <c r="O8085" i="1" s="1"/>
  <c r="Q8085" i="1" s="1"/>
  <c r="I7607" i="1"/>
  <c r="G7605" i="1"/>
  <c r="O7605" i="1" s="1"/>
  <c r="Q7605" i="1" s="1"/>
  <c r="I5297" i="1"/>
  <c r="G5295" i="1"/>
  <c r="O5295" i="1" s="1"/>
  <c r="I7727" i="1"/>
  <c r="G7725" i="1"/>
  <c r="O7725" i="1" s="1"/>
  <c r="Q7725" i="1" s="1"/>
  <c r="I5417" i="1"/>
  <c r="G5415" i="1"/>
  <c r="O5415" i="1" s="1"/>
  <c r="I4577" i="1"/>
  <c r="G4575" i="1"/>
  <c r="O4575" i="1" s="1"/>
  <c r="Q4575" i="1" s="1"/>
  <c r="I7485" i="1"/>
  <c r="G7483" i="1"/>
  <c r="O7483" i="1" s="1"/>
  <c r="Q7483" i="1" s="1"/>
  <c r="I4217" i="1"/>
  <c r="G4215" i="1"/>
  <c r="O4215" i="1" s="1"/>
  <c r="Q4215" i="1" s="1"/>
  <c r="I3624" i="1"/>
  <c r="G3623" i="1"/>
  <c r="O3623" i="1" s="1"/>
  <c r="Q3623" i="1" s="1"/>
  <c r="I5178" i="1"/>
  <c r="G5176" i="1"/>
  <c r="O5176" i="1" s="1"/>
  <c r="Q5176" i="1" s="1"/>
  <c r="I4820" i="1"/>
  <c r="G4818" i="1"/>
  <c r="O4818" i="1" s="1"/>
  <c r="Q4818" i="1" s="1"/>
  <c r="Q4815" i="1"/>
  <c r="I8687" i="1"/>
  <c r="G8685" i="1"/>
  <c r="O8685" i="1" s="1"/>
  <c r="Q8685" i="1" s="1"/>
  <c r="I3494" i="1"/>
  <c r="I3503" i="1"/>
  <c r="G3492" i="1"/>
  <c r="O3492" i="1" s="1"/>
  <c r="Q3492" i="1" s="1"/>
  <c r="I4096" i="1"/>
  <c r="G4094" i="1"/>
  <c r="O4094" i="1" s="1"/>
  <c r="Q4094" i="1" s="1"/>
  <c r="G8093" i="1"/>
  <c r="O8093" i="1" s="1"/>
  <c r="Q8093" i="1" s="1"/>
  <c r="I8094" i="1"/>
  <c r="I4938" i="1"/>
  <c r="G4936" i="1"/>
  <c r="O4936" i="1" s="1"/>
  <c r="Q4936" i="1" s="1"/>
  <c r="G8684" i="1"/>
  <c r="O8684" i="1" s="1"/>
  <c r="I8686" i="1"/>
  <c r="I4458" i="1"/>
  <c r="G4456" i="1"/>
  <c r="O4456" i="1" s="1"/>
  <c r="Q4456" i="1" s="1"/>
  <c r="I4338" i="1"/>
  <c r="G4336" i="1"/>
  <c r="O4336" i="1" s="1"/>
  <c r="Q4336" i="1" s="1"/>
  <c r="I4705" i="1"/>
  <c r="G4704" i="1"/>
  <c r="O4704" i="1" s="1"/>
  <c r="Q4704" i="1" s="1"/>
  <c r="G8565" i="1"/>
  <c r="O8565" i="1" s="1"/>
  <c r="Q8565" i="1" s="1"/>
  <c r="I8567" i="1"/>
  <c r="I4337" i="1"/>
  <c r="G4335" i="1"/>
  <c r="O4335" i="1" s="1"/>
  <c r="Q4335" i="1" s="1"/>
  <c r="I4698" i="1"/>
  <c r="G4696" i="1"/>
  <c r="O4696" i="1" s="1"/>
  <c r="Q4696" i="1" s="1"/>
  <c r="I3615" i="1"/>
  <c r="G3613" i="1"/>
  <c r="O3613" i="1" s="1"/>
  <c r="Q3613" i="1" s="1"/>
  <c r="I4819" i="1"/>
  <c r="G4817" i="1"/>
  <c r="O4817" i="1" s="1"/>
  <c r="Q4817" i="1" s="1"/>
  <c r="G8805" i="1"/>
  <c r="O8805" i="1" s="1"/>
  <c r="Q8805" i="1" s="1"/>
  <c r="I8807" i="1"/>
  <c r="I8327" i="1"/>
  <c r="G8325" i="1"/>
  <c r="O8325" i="1" s="1"/>
  <c r="Q8325" i="1" s="1"/>
  <c r="G8206" i="1"/>
  <c r="O8206" i="1" s="1"/>
  <c r="Q8206" i="1" s="1"/>
  <c r="I8208" i="1"/>
  <c r="I3493" i="1"/>
  <c r="G3491" i="1"/>
  <c r="O3491" i="1" s="1"/>
  <c r="I4104" i="1"/>
  <c r="G4103" i="1"/>
  <c r="O4103" i="1" s="1"/>
  <c r="Q4103" i="1" s="1"/>
  <c r="I5305" i="1"/>
  <c r="G5304" i="1"/>
  <c r="O5304" i="1" s="1"/>
  <c r="Q5304" i="1" s="1"/>
  <c r="G7613" i="1"/>
  <c r="O7613" i="1" s="1"/>
  <c r="Q7613" i="1" s="1"/>
  <c r="I7614" i="1"/>
  <c r="I8566" i="1"/>
  <c r="G8564" i="1"/>
  <c r="O8564" i="1" s="1"/>
  <c r="I7967" i="1"/>
  <c r="G7965" i="1"/>
  <c r="O7965" i="1" s="1"/>
  <c r="Q7965" i="1" s="1"/>
  <c r="I4465" i="1"/>
  <c r="G4464" i="1"/>
  <c r="O4464" i="1" s="1"/>
  <c r="Q4464" i="1" s="1"/>
  <c r="G7724" i="1"/>
  <c r="O7724" i="1" s="1"/>
  <c r="Q7724" i="1" s="1"/>
  <c r="I7726" i="1"/>
  <c r="I8446" i="1"/>
  <c r="G8444" i="1"/>
  <c r="O8444" i="1" s="1"/>
  <c r="Q8444" i="1" s="1"/>
  <c r="I7123" i="1"/>
  <c r="I7132" i="1"/>
  <c r="G7121" i="1"/>
  <c r="O7121" i="1" s="1"/>
  <c r="Q7121" i="1" s="1"/>
  <c r="I4457" i="1"/>
  <c r="G4455" i="1"/>
  <c r="O4455" i="1" s="1"/>
  <c r="Q4455" i="1" s="1"/>
  <c r="I4945" i="1"/>
  <c r="G4944" i="1"/>
  <c r="O4944" i="1" s="1"/>
  <c r="Q4944" i="1" s="1"/>
  <c r="G5056" i="1"/>
  <c r="O5056" i="1" s="1"/>
  <c r="Q5056" i="1" s="1"/>
  <c r="I5058" i="1"/>
  <c r="I4218" i="1"/>
  <c r="G4216" i="1"/>
  <c r="O4216" i="1" s="1"/>
  <c r="Q4216" i="1" s="1"/>
  <c r="Q1782" i="1"/>
  <c r="Q942" i="1"/>
  <c r="Q222" i="1"/>
  <c r="Q475" i="1"/>
  <c r="Q584" i="1"/>
  <c r="M944" i="1"/>
  <c r="I946" i="1"/>
  <c r="G944" i="1"/>
  <c r="O944" i="1" s="1"/>
  <c r="I955" i="1"/>
  <c r="I945" i="1"/>
  <c r="M943" i="1"/>
  <c r="G943" i="1"/>
  <c r="O943" i="1" s="1"/>
  <c r="Q943" i="1" s="1"/>
  <c r="I1906" i="1"/>
  <c r="M1904" i="1"/>
  <c r="G1904" i="1"/>
  <c r="O1904" i="1" s="1"/>
  <c r="I1915" i="1"/>
  <c r="I1905" i="1"/>
  <c r="M1903" i="1"/>
  <c r="G1903" i="1"/>
  <c r="O1903" i="1" s="1"/>
  <c r="M1424" i="1"/>
  <c r="I1435" i="1"/>
  <c r="I1426" i="1"/>
  <c r="G1424" i="1"/>
  <c r="O1424" i="1" s="1"/>
  <c r="Q1424" i="1" s="1"/>
  <c r="I1425" i="1"/>
  <c r="G1423" i="1"/>
  <c r="O1423" i="1" s="1"/>
  <c r="Q1423" i="1" s="1"/>
  <c r="M1423" i="1"/>
  <c r="I1785" i="1"/>
  <c r="M1783" i="1"/>
  <c r="G1783" i="1"/>
  <c r="O1783" i="1" s="1"/>
  <c r="Q1783" i="1" s="1"/>
  <c r="I1665" i="1"/>
  <c r="G1663" i="1"/>
  <c r="O1663" i="1" s="1"/>
  <c r="Q1663" i="1" s="1"/>
  <c r="M1663" i="1"/>
  <c r="I1786" i="1"/>
  <c r="G1784" i="1"/>
  <c r="O1784" i="1" s="1"/>
  <c r="Q1784" i="1" s="1"/>
  <c r="I1795" i="1"/>
  <c r="M1784" i="1"/>
  <c r="I1666" i="1"/>
  <c r="I1675" i="1"/>
  <c r="G1664" i="1"/>
  <c r="O1664" i="1" s="1"/>
  <c r="Q1664" i="1" s="1"/>
  <c r="M1664" i="1"/>
  <c r="I1306" i="1"/>
  <c r="G1304" i="1"/>
  <c r="O1304" i="1" s="1"/>
  <c r="Q1304" i="1" s="1"/>
  <c r="I1315" i="1"/>
  <c r="M1304" i="1"/>
  <c r="I1305" i="1"/>
  <c r="M1303" i="1"/>
  <c r="G1303" i="1"/>
  <c r="O1303" i="1" s="1"/>
  <c r="Q1303" i="1" s="1"/>
  <c r="G704" i="1"/>
  <c r="O704" i="1" s="1"/>
  <c r="Q704" i="1" s="1"/>
  <c r="I715" i="1"/>
  <c r="M704" i="1"/>
  <c r="I706" i="1"/>
  <c r="I705" i="1"/>
  <c r="G703" i="1"/>
  <c r="O703" i="1" s="1"/>
  <c r="Q703" i="1" s="1"/>
  <c r="M703" i="1"/>
  <c r="I588" i="1"/>
  <c r="G586" i="1"/>
  <c r="O586" i="1" s="1"/>
  <c r="Q586" i="1" s="1"/>
  <c r="M586" i="1"/>
  <c r="I826" i="1"/>
  <c r="I835" i="1"/>
  <c r="G824" i="1"/>
  <c r="O824" i="1" s="1"/>
  <c r="Q824" i="1" s="1"/>
  <c r="M824" i="1"/>
  <c r="G224" i="1"/>
  <c r="O224" i="1" s="1"/>
  <c r="M224" i="1"/>
  <c r="I235" i="1"/>
  <c r="I226" i="1"/>
  <c r="I825" i="1"/>
  <c r="G823" i="1"/>
  <c r="O823" i="1" s="1"/>
  <c r="Q823" i="1" s="1"/>
  <c r="M823" i="1"/>
  <c r="G595" i="1"/>
  <c r="O595" i="1" s="1"/>
  <c r="Q595" i="1" s="1"/>
  <c r="I596" i="1"/>
  <c r="M595" i="1"/>
  <c r="G223" i="1"/>
  <c r="O223" i="1" s="1"/>
  <c r="Q223" i="1" s="1"/>
  <c r="I225" i="1"/>
  <c r="M223" i="1"/>
  <c r="I587" i="1"/>
  <c r="M585" i="1"/>
  <c r="G585" i="1"/>
  <c r="O585" i="1" s="1"/>
  <c r="Q585" i="1" s="1"/>
  <c r="I1190" i="1"/>
  <c r="G1190" i="1" s="1"/>
  <c r="O1190" i="1" s="1"/>
  <c r="Q1190" i="1" s="1"/>
  <c r="I470" i="1"/>
  <c r="G470" i="1" s="1"/>
  <c r="O470" i="1" s="1"/>
  <c r="Q470" i="1" s="1"/>
  <c r="I1550" i="1"/>
  <c r="M1550" i="1" s="1"/>
  <c r="M468" i="1"/>
  <c r="M1548" i="1"/>
  <c r="I1070" i="1"/>
  <c r="G1070" i="1" s="1"/>
  <c r="O1070" i="1" s="1"/>
  <c r="Q1070" i="1" s="1"/>
  <c r="M1068" i="1"/>
  <c r="M469" i="1"/>
  <c r="G469" i="1"/>
  <c r="O469" i="1" s="1"/>
  <c r="Q469" i="1" s="1"/>
  <c r="I1193" i="1"/>
  <c r="G1193" i="1" s="1"/>
  <c r="O1193" i="1" s="1"/>
  <c r="Q1193" i="1" s="1"/>
  <c r="G1191" i="1"/>
  <c r="O1191" i="1" s="1"/>
  <c r="Q1191" i="1" s="1"/>
  <c r="M351" i="1"/>
  <c r="G351" i="1"/>
  <c r="O351" i="1" s="1"/>
  <c r="Q351" i="1" s="1"/>
  <c r="I1553" i="1"/>
  <c r="G1553" i="1" s="1"/>
  <c r="O1553" i="1" s="1"/>
  <c r="Q1553" i="1" s="1"/>
  <c r="G1551" i="1"/>
  <c r="O1551" i="1" s="1"/>
  <c r="Q1551" i="1" s="1"/>
  <c r="G1071" i="1"/>
  <c r="O1071" i="1" s="1"/>
  <c r="Q1071" i="1" s="1"/>
  <c r="G2031" i="1"/>
  <c r="O2031" i="1" s="1"/>
  <c r="Q2031" i="1" s="1"/>
  <c r="I473" i="1"/>
  <c r="G473" i="1" s="1"/>
  <c r="O473" i="1" s="1"/>
  <c r="G471" i="1"/>
  <c r="O471" i="1" s="1"/>
  <c r="Q471" i="1" s="1"/>
  <c r="M1188" i="1"/>
  <c r="M2030" i="1"/>
  <c r="M1071" i="1"/>
  <c r="I353" i="1"/>
  <c r="G353" i="1" s="1"/>
  <c r="O353" i="1" s="1"/>
  <c r="Q353" i="1" s="1"/>
  <c r="M350" i="1"/>
  <c r="M471" i="1"/>
  <c r="I352" i="1"/>
  <c r="I2032" i="1"/>
  <c r="I2033" i="1"/>
  <c r="G2033" i="1" s="1"/>
  <c r="O2033" i="1" s="1"/>
  <c r="M1551" i="1"/>
  <c r="M2031" i="1"/>
  <c r="I1073" i="1"/>
  <c r="G1073" i="1" s="1"/>
  <c r="O1073" i="1" s="1"/>
  <c r="Q1073" i="1" s="1"/>
  <c r="M1191" i="1"/>
  <c r="K116" i="1"/>
  <c r="G116" i="1" s="1"/>
  <c r="M115" i="1"/>
  <c r="O115" i="1"/>
  <c r="Q115" i="1" s="1"/>
  <c r="K107" i="1"/>
  <c r="G107" i="1" s="1"/>
  <c r="O105" i="1"/>
  <c r="Q105" i="1" s="1"/>
  <c r="M105" i="1"/>
  <c r="K108" i="1"/>
  <c r="G108" i="1" s="1"/>
  <c r="M106" i="1"/>
  <c r="O106" i="1"/>
  <c r="Q106" i="1" s="1"/>
  <c r="I357" i="1"/>
  <c r="G357" i="1" s="1"/>
  <c r="O356" i="1"/>
  <c r="M356" i="1"/>
  <c r="I1077" i="1"/>
  <c r="G1077" i="1" s="1"/>
  <c r="M1076" i="1"/>
  <c r="O1076" i="1"/>
  <c r="M1196" i="1"/>
  <c r="O1196" i="1"/>
  <c r="Q1196" i="1" s="1"/>
  <c r="I1197" i="1"/>
  <c r="G1197" i="1" s="1"/>
  <c r="M476" i="1"/>
  <c r="O476" i="1"/>
  <c r="Q476" i="1" s="1"/>
  <c r="I477" i="1"/>
  <c r="G477" i="1" s="1"/>
  <c r="I118" i="1"/>
  <c r="M1556" i="1"/>
  <c r="I1557" i="1"/>
  <c r="G1557" i="1" s="1"/>
  <c r="O1556" i="1"/>
  <c r="Q1556" i="1" s="1"/>
  <c r="M2036" i="1"/>
  <c r="I2037" i="1"/>
  <c r="G2037" i="1" s="1"/>
  <c r="O2036" i="1"/>
  <c r="Q2036" i="1" s="1"/>
  <c r="I4220" i="1" l="1"/>
  <c r="G4218" i="1"/>
  <c r="O4218" i="1" s="1"/>
  <c r="Q4218" i="1" s="1"/>
  <c r="G7132" i="1"/>
  <c r="O7132" i="1" s="1"/>
  <c r="Q7132" i="1" s="1"/>
  <c r="I7133" i="1"/>
  <c r="I7615" i="1"/>
  <c r="G7614" i="1"/>
  <c r="O7614" i="1" s="1"/>
  <c r="Q7614" i="1" s="1"/>
  <c r="I8809" i="1"/>
  <c r="G8807" i="1"/>
  <c r="O8807" i="1" s="1"/>
  <c r="Q8807" i="1" s="1"/>
  <c r="I4822" i="1"/>
  <c r="G4822" i="1" s="1"/>
  <c r="O4822" i="1" s="1"/>
  <c r="Q4822" i="1" s="1"/>
  <c r="G4820" i="1"/>
  <c r="O4820" i="1" s="1"/>
  <c r="Q4820" i="1" s="1"/>
  <c r="I4346" i="1"/>
  <c r="G4345" i="1"/>
  <c r="O4345" i="1" s="1"/>
  <c r="Q4345" i="1" s="1"/>
  <c r="I5179" i="1"/>
  <c r="G5177" i="1"/>
  <c r="O5177" i="1" s="1"/>
  <c r="I7975" i="1"/>
  <c r="G7974" i="1"/>
  <c r="O7974" i="1" s="1"/>
  <c r="Q7974" i="1" s="1"/>
  <c r="G8814" i="1"/>
  <c r="O8814" i="1" s="1"/>
  <c r="Q8814" i="1" s="1"/>
  <c r="I8815" i="1"/>
  <c r="I3975" i="1"/>
  <c r="G3973" i="1"/>
  <c r="O3973" i="1" s="1"/>
  <c r="Q3973" i="1" s="1"/>
  <c r="Q4935" i="1"/>
  <c r="I7968" i="1"/>
  <c r="G7966" i="1"/>
  <c r="O7966" i="1" s="1"/>
  <c r="Q7966" i="1" s="1"/>
  <c r="I7014" i="1"/>
  <c r="G7013" i="1"/>
  <c r="O7013" i="1" s="1"/>
  <c r="Q7013" i="1" s="1"/>
  <c r="I4580" i="1"/>
  <c r="G4578" i="1"/>
  <c r="O4578" i="1" s="1"/>
  <c r="Q4578" i="1" s="1"/>
  <c r="I5060" i="1"/>
  <c r="G5058" i="1"/>
  <c r="O5058" i="1" s="1"/>
  <c r="Q5058" i="1" s="1"/>
  <c r="I7125" i="1"/>
  <c r="G7123" i="1"/>
  <c r="O7123" i="1" s="1"/>
  <c r="Q7123" i="1" s="1"/>
  <c r="I4466" i="1"/>
  <c r="G4465" i="1"/>
  <c r="O4465" i="1" s="1"/>
  <c r="Q4465" i="1" s="1"/>
  <c r="I4105" i="1"/>
  <c r="G4104" i="1"/>
  <c r="O4104" i="1" s="1"/>
  <c r="Q4104" i="1" s="1"/>
  <c r="I4339" i="1"/>
  <c r="G4337" i="1"/>
  <c r="O4337" i="1" s="1"/>
  <c r="Q4337" i="1" s="1"/>
  <c r="I4460" i="1"/>
  <c r="G4458" i="1"/>
  <c r="O4458" i="1" s="1"/>
  <c r="Q4458" i="1" s="1"/>
  <c r="G8687" i="1"/>
  <c r="O8687" i="1" s="1"/>
  <c r="Q8687" i="1" s="1"/>
  <c r="I8689" i="1"/>
  <c r="I4219" i="1"/>
  <c r="G4217" i="1"/>
  <c r="O4217" i="1" s="1"/>
  <c r="Q4217" i="1" s="1"/>
  <c r="Q5415" i="1"/>
  <c r="G7607" i="1"/>
  <c r="O7607" i="1" s="1"/>
  <c r="Q7607" i="1" s="1"/>
  <c r="I7609" i="1"/>
  <c r="I5426" i="1"/>
  <c r="G5425" i="1"/>
  <c r="O5425" i="1" s="1"/>
  <c r="Q5425" i="1" s="1"/>
  <c r="I3618" i="1"/>
  <c r="G3616" i="1"/>
  <c r="O3616" i="1" s="1"/>
  <c r="Q3616" i="1" s="1"/>
  <c r="G8694" i="1"/>
  <c r="O8694" i="1" s="1"/>
  <c r="Q8694" i="1" s="1"/>
  <c r="I8695" i="1"/>
  <c r="I7849" i="1"/>
  <c r="G7847" i="1"/>
  <c r="O7847" i="1" s="1"/>
  <c r="Q7847" i="1" s="1"/>
  <c r="I4939" i="1"/>
  <c r="G4937" i="1"/>
  <c r="O4937" i="1" s="1"/>
  <c r="Q4937" i="1" s="1"/>
  <c r="G7846" i="1"/>
  <c r="O7846" i="1" s="1"/>
  <c r="Q7846" i="1" s="1"/>
  <c r="I7848" i="1"/>
  <c r="G8209" i="1"/>
  <c r="O8209" i="1" s="1"/>
  <c r="Q8209" i="1" s="1"/>
  <c r="I8211" i="1"/>
  <c r="G8211" i="1" s="1"/>
  <c r="O8211" i="1" s="1"/>
  <c r="Q8211" i="1" s="1"/>
  <c r="Q8324" i="1"/>
  <c r="G8574" i="1"/>
  <c r="O8574" i="1" s="1"/>
  <c r="Q8574" i="1" s="1"/>
  <c r="I8575" i="1"/>
  <c r="Q7120" i="1"/>
  <c r="Q3491" i="1"/>
  <c r="I8569" i="1"/>
  <c r="G8567" i="1"/>
  <c r="O8567" i="1" s="1"/>
  <c r="Q8567" i="1" s="1"/>
  <c r="I5419" i="1"/>
  <c r="G5417" i="1"/>
  <c r="O5417" i="1" s="1"/>
  <c r="Q5417" i="1" s="1"/>
  <c r="I5300" i="1"/>
  <c r="G5298" i="1"/>
  <c r="O5298" i="1" s="1"/>
  <c r="Q5298" i="1" s="1"/>
  <c r="I7608" i="1"/>
  <c r="G7606" i="1"/>
  <c r="O7606" i="1" s="1"/>
  <c r="Q7606" i="1" s="1"/>
  <c r="G7493" i="1"/>
  <c r="O7493" i="1" s="1"/>
  <c r="Q7493" i="1" s="1"/>
  <c r="I7494" i="1"/>
  <c r="G7363" i="1"/>
  <c r="O7363" i="1" s="1"/>
  <c r="Q7363" i="1" s="1"/>
  <c r="I7365" i="1"/>
  <c r="G8326" i="1"/>
  <c r="O8326" i="1" s="1"/>
  <c r="Q8326" i="1" s="1"/>
  <c r="I8328" i="1"/>
  <c r="I8449" i="1"/>
  <c r="G8447" i="1"/>
  <c r="O8447" i="1" s="1"/>
  <c r="Q8447" i="1" s="1"/>
  <c r="I3735" i="1"/>
  <c r="G3733" i="1"/>
  <c r="O3733" i="1" s="1"/>
  <c r="I7124" i="1"/>
  <c r="G7122" i="1"/>
  <c r="O7122" i="1" s="1"/>
  <c r="Q7122" i="1" s="1"/>
  <c r="G8446" i="1"/>
  <c r="O8446" i="1" s="1"/>
  <c r="Q8446" i="1" s="1"/>
  <c r="I8448" i="1"/>
  <c r="G7967" i="1"/>
  <c r="O7967" i="1" s="1"/>
  <c r="Q7967" i="1" s="1"/>
  <c r="I7969" i="1"/>
  <c r="I3495" i="1"/>
  <c r="G3493" i="1"/>
  <c r="O3493" i="1" s="1"/>
  <c r="Q3493" i="1" s="1"/>
  <c r="I4821" i="1"/>
  <c r="G4821" i="1" s="1"/>
  <c r="O4821" i="1" s="1"/>
  <c r="Q4821" i="1" s="1"/>
  <c r="G4819" i="1"/>
  <c r="O4819" i="1" s="1"/>
  <c r="Q4819" i="1" s="1"/>
  <c r="G8686" i="1"/>
  <c r="O8686" i="1" s="1"/>
  <c r="Q8686" i="1" s="1"/>
  <c r="I8688" i="1"/>
  <c r="G8087" i="1"/>
  <c r="O8087" i="1" s="1"/>
  <c r="Q8087" i="1" s="1"/>
  <c r="I8089" i="1"/>
  <c r="G8334" i="1"/>
  <c r="O8334" i="1" s="1"/>
  <c r="Q8334" i="1" s="1"/>
  <c r="I8335" i="1"/>
  <c r="I3976" i="1"/>
  <c r="G3974" i="1"/>
  <c r="O3974" i="1" s="1"/>
  <c r="Q3974" i="1" s="1"/>
  <c r="I4586" i="1"/>
  <c r="G4585" i="1"/>
  <c r="O4585" i="1" s="1"/>
  <c r="Q4585" i="1" s="1"/>
  <c r="Q7604" i="1"/>
  <c r="I7006" i="1"/>
  <c r="G7004" i="1"/>
  <c r="O7004" i="1" s="1"/>
  <c r="Q7004" i="1" s="1"/>
  <c r="I3736" i="1"/>
  <c r="G3734" i="1"/>
  <c r="O3734" i="1" s="1"/>
  <c r="Q3734" i="1" s="1"/>
  <c r="I7245" i="1"/>
  <c r="G7243" i="1"/>
  <c r="O7243" i="1" s="1"/>
  <c r="Q7243" i="1" s="1"/>
  <c r="Q6880" i="1"/>
  <c r="I4946" i="1"/>
  <c r="G4945" i="1"/>
  <c r="O4945" i="1" s="1"/>
  <c r="Q4945" i="1" s="1"/>
  <c r="I8210" i="1"/>
  <c r="G8210" i="1" s="1"/>
  <c r="O8210" i="1" s="1"/>
  <c r="Q8210" i="1" s="1"/>
  <c r="G8208" i="1"/>
  <c r="O8208" i="1" s="1"/>
  <c r="Q8208" i="1" s="1"/>
  <c r="Q8684" i="1"/>
  <c r="I4098" i="1"/>
  <c r="G4096" i="1"/>
  <c r="O4096" i="1" s="1"/>
  <c r="Q4096" i="1" s="1"/>
  <c r="I5180" i="1"/>
  <c r="G5178" i="1"/>
  <c r="O5178" i="1" s="1"/>
  <c r="Q5178" i="1" s="1"/>
  <c r="I7487" i="1"/>
  <c r="G7485" i="1"/>
  <c r="O7485" i="1" s="1"/>
  <c r="Q7485" i="1" s="1"/>
  <c r="I7729" i="1"/>
  <c r="G7727" i="1"/>
  <c r="O7727" i="1" s="1"/>
  <c r="Q7727" i="1" s="1"/>
  <c r="I3984" i="1"/>
  <c r="G3983" i="1"/>
  <c r="O3983" i="1" s="1"/>
  <c r="Q3983" i="1" s="1"/>
  <c r="G7372" i="1"/>
  <c r="O7372" i="1" s="1"/>
  <c r="Q7372" i="1" s="1"/>
  <c r="I7373" i="1"/>
  <c r="I3744" i="1"/>
  <c r="G3743" i="1"/>
  <c r="O3743" i="1" s="1"/>
  <c r="Q3743" i="1" s="1"/>
  <c r="I7364" i="1"/>
  <c r="G7362" i="1"/>
  <c r="O7362" i="1" s="1"/>
  <c r="Q7362" i="1" s="1"/>
  <c r="I5420" i="1"/>
  <c r="G5418" i="1"/>
  <c r="O5418" i="1" s="1"/>
  <c r="Q5418" i="1" s="1"/>
  <c r="I6884" i="1"/>
  <c r="G6882" i="1"/>
  <c r="O6882" i="1" s="1"/>
  <c r="Q6882" i="1" s="1"/>
  <c r="I3617" i="1"/>
  <c r="G3615" i="1"/>
  <c r="O3615" i="1" s="1"/>
  <c r="I4706" i="1"/>
  <c r="G4705" i="1"/>
  <c r="O4705" i="1" s="1"/>
  <c r="Q4705" i="1" s="1"/>
  <c r="I4097" i="1"/>
  <c r="G4095" i="1"/>
  <c r="O4095" i="1" s="1"/>
  <c r="Q4095" i="1" s="1"/>
  <c r="I3856" i="1"/>
  <c r="G3854" i="1"/>
  <c r="O3854" i="1" s="1"/>
  <c r="Q3854" i="1" s="1"/>
  <c r="G8454" i="1"/>
  <c r="O8454" i="1" s="1"/>
  <c r="Q8454" i="1" s="1"/>
  <c r="I8455" i="1"/>
  <c r="I4827" i="1"/>
  <c r="G4826" i="1"/>
  <c r="O4826" i="1" s="1"/>
  <c r="Q4826" i="1" s="1"/>
  <c r="I5066" i="1"/>
  <c r="G5065" i="1"/>
  <c r="O5065" i="1" s="1"/>
  <c r="Q5065" i="1" s="1"/>
  <c r="I7244" i="1"/>
  <c r="G7242" i="1"/>
  <c r="O7242" i="1" s="1"/>
  <c r="I6885" i="1"/>
  <c r="G6883" i="1"/>
  <c r="O6883" i="1" s="1"/>
  <c r="Q6883" i="1" s="1"/>
  <c r="I8808" i="1"/>
  <c r="G8806" i="1"/>
  <c r="O8806" i="1" s="1"/>
  <c r="Q8806" i="1" s="1"/>
  <c r="G7252" i="1"/>
  <c r="O7252" i="1" s="1"/>
  <c r="Q7252" i="1" s="1"/>
  <c r="I7253" i="1"/>
  <c r="G8215" i="1"/>
  <c r="O8215" i="1" s="1"/>
  <c r="Q8215" i="1" s="1"/>
  <c r="I8216" i="1"/>
  <c r="I4459" i="1"/>
  <c r="G4457" i="1"/>
  <c r="O4457" i="1" s="1"/>
  <c r="Q4457" i="1" s="1"/>
  <c r="G7726" i="1"/>
  <c r="O7726" i="1" s="1"/>
  <c r="Q7726" i="1" s="1"/>
  <c r="I7728" i="1"/>
  <c r="Q8564" i="1"/>
  <c r="I4940" i="1"/>
  <c r="G4938" i="1"/>
  <c r="O4938" i="1" s="1"/>
  <c r="Q4938" i="1" s="1"/>
  <c r="I3504" i="1"/>
  <c r="G3503" i="1"/>
  <c r="O3503" i="1" s="1"/>
  <c r="Q3503" i="1" s="1"/>
  <c r="I4579" i="1"/>
  <c r="G4577" i="1"/>
  <c r="O4577" i="1" s="1"/>
  <c r="Q4577" i="1" s="1"/>
  <c r="Q5295" i="1"/>
  <c r="I3864" i="1"/>
  <c r="G3863" i="1"/>
  <c r="O3863" i="1" s="1"/>
  <c r="Q3863" i="1" s="1"/>
  <c r="I4699" i="1"/>
  <c r="G4697" i="1"/>
  <c r="O4697" i="1" s="1"/>
  <c r="Q4697" i="1" s="1"/>
  <c r="I7735" i="1"/>
  <c r="G7734" i="1"/>
  <c r="O7734" i="1" s="1"/>
  <c r="Q7734" i="1" s="1"/>
  <c r="G7484" i="1"/>
  <c r="O7484" i="1" s="1"/>
  <c r="Q7484" i="1" s="1"/>
  <c r="I7486" i="1"/>
  <c r="I5059" i="1"/>
  <c r="G5057" i="1"/>
  <c r="O5057" i="1" s="1"/>
  <c r="Q5057" i="1" s="1"/>
  <c r="I8568" i="1"/>
  <c r="G8566" i="1"/>
  <c r="O8566" i="1" s="1"/>
  <c r="Q8566" i="1" s="1"/>
  <c r="I5306" i="1"/>
  <c r="G5305" i="1"/>
  <c r="O5305" i="1" s="1"/>
  <c r="Q5305" i="1" s="1"/>
  <c r="I8329" i="1"/>
  <c r="G8327" i="1"/>
  <c r="O8327" i="1" s="1"/>
  <c r="Q8327" i="1" s="1"/>
  <c r="I4700" i="1"/>
  <c r="G4698" i="1"/>
  <c r="O4698" i="1" s="1"/>
  <c r="Q4698" i="1" s="1"/>
  <c r="I4340" i="1"/>
  <c r="G4338" i="1"/>
  <c r="O4338" i="1" s="1"/>
  <c r="Q4338" i="1" s="1"/>
  <c r="G8094" i="1"/>
  <c r="O8094" i="1" s="1"/>
  <c r="Q8094" i="1" s="1"/>
  <c r="I8095" i="1"/>
  <c r="I3496" i="1"/>
  <c r="G3494" i="1"/>
  <c r="O3494" i="1" s="1"/>
  <c r="Q3494" i="1" s="1"/>
  <c r="I3625" i="1"/>
  <c r="G3624" i="1"/>
  <c r="O3624" i="1" s="1"/>
  <c r="Q3624" i="1" s="1"/>
  <c r="I5299" i="1"/>
  <c r="G5297" i="1"/>
  <c r="O5297" i="1" s="1"/>
  <c r="Q5297" i="1" s="1"/>
  <c r="I5186" i="1"/>
  <c r="G5185" i="1"/>
  <c r="O5185" i="1" s="1"/>
  <c r="Q5185" i="1" s="1"/>
  <c r="G7854" i="1"/>
  <c r="O7854" i="1" s="1"/>
  <c r="Q7854" i="1" s="1"/>
  <c r="I7855" i="1"/>
  <c r="I3855" i="1"/>
  <c r="G3853" i="1"/>
  <c r="O3853" i="1" s="1"/>
  <c r="Q3853" i="1" s="1"/>
  <c r="Q3971" i="1"/>
  <c r="G6892" i="1"/>
  <c r="O6892" i="1" s="1"/>
  <c r="Q6892" i="1" s="1"/>
  <c r="I6893" i="1"/>
  <c r="I7007" i="1"/>
  <c r="G7005" i="1"/>
  <c r="O7005" i="1" s="1"/>
  <c r="Q7005" i="1" s="1"/>
  <c r="I4226" i="1"/>
  <c r="G4225" i="1"/>
  <c r="O4225" i="1" s="1"/>
  <c r="Q4225" i="1" s="1"/>
  <c r="I8088" i="1"/>
  <c r="G8086" i="1"/>
  <c r="O8086" i="1" s="1"/>
  <c r="Q8086" i="1" s="1"/>
  <c r="Q1076" i="1"/>
  <c r="Q1903" i="1"/>
  <c r="Q2033" i="1"/>
  <c r="Q356" i="1"/>
  <c r="Q944" i="1"/>
  <c r="Q473" i="1"/>
  <c r="Q1904" i="1"/>
  <c r="Q224" i="1"/>
  <c r="G945" i="1"/>
  <c r="O945" i="1" s="1"/>
  <c r="Q945" i="1" s="1"/>
  <c r="M945" i="1"/>
  <c r="I947" i="1"/>
  <c r="G955" i="1"/>
  <c r="O955" i="1" s="1"/>
  <c r="Q955" i="1" s="1"/>
  <c r="I956" i="1"/>
  <c r="M955" i="1"/>
  <c r="I948" i="1"/>
  <c r="M946" i="1"/>
  <c r="G946" i="1"/>
  <c r="O946" i="1" s="1"/>
  <c r="Q946" i="1" s="1"/>
  <c r="I1907" i="1"/>
  <c r="M1905" i="1"/>
  <c r="G1905" i="1"/>
  <c r="O1905" i="1" s="1"/>
  <c r="Q1905" i="1" s="1"/>
  <c r="G1915" i="1"/>
  <c r="O1915" i="1" s="1"/>
  <c r="Q1915" i="1" s="1"/>
  <c r="I1916" i="1"/>
  <c r="M1915" i="1"/>
  <c r="M1906" i="1"/>
  <c r="G1906" i="1"/>
  <c r="O1906" i="1" s="1"/>
  <c r="Q1906" i="1" s="1"/>
  <c r="I1908" i="1"/>
  <c r="G1795" i="1"/>
  <c r="O1795" i="1" s="1"/>
  <c r="Q1795" i="1" s="1"/>
  <c r="M1795" i="1"/>
  <c r="I1796" i="1"/>
  <c r="G1785" i="1"/>
  <c r="O1785" i="1" s="1"/>
  <c r="Q1785" i="1" s="1"/>
  <c r="M1785" i="1"/>
  <c r="I1787" i="1"/>
  <c r="I1788" i="1"/>
  <c r="G1786" i="1"/>
  <c r="O1786" i="1" s="1"/>
  <c r="Q1786" i="1" s="1"/>
  <c r="M1786" i="1"/>
  <c r="G1425" i="1"/>
  <c r="O1425" i="1" s="1"/>
  <c r="Q1425" i="1" s="1"/>
  <c r="M1425" i="1"/>
  <c r="I1427" i="1"/>
  <c r="G1675" i="1"/>
  <c r="O1675" i="1" s="1"/>
  <c r="Q1675" i="1" s="1"/>
  <c r="M1675" i="1"/>
  <c r="I1676" i="1"/>
  <c r="G1665" i="1"/>
  <c r="O1665" i="1" s="1"/>
  <c r="Q1665" i="1" s="1"/>
  <c r="M1665" i="1"/>
  <c r="I1667" i="1"/>
  <c r="I1428" i="1"/>
  <c r="M1426" i="1"/>
  <c r="G1426" i="1"/>
  <c r="O1426" i="1" s="1"/>
  <c r="Q1426" i="1" s="1"/>
  <c r="M1666" i="1"/>
  <c r="G1666" i="1"/>
  <c r="O1666" i="1" s="1"/>
  <c r="Q1666" i="1" s="1"/>
  <c r="I1668" i="1"/>
  <c r="G1435" i="1"/>
  <c r="O1435" i="1" s="1"/>
  <c r="Q1435" i="1" s="1"/>
  <c r="M1435" i="1"/>
  <c r="I1436" i="1"/>
  <c r="G1315" i="1"/>
  <c r="O1315" i="1" s="1"/>
  <c r="Q1315" i="1" s="1"/>
  <c r="M1315" i="1"/>
  <c r="I1316" i="1"/>
  <c r="I1307" i="1"/>
  <c r="M1305" i="1"/>
  <c r="G1305" i="1"/>
  <c r="O1305" i="1" s="1"/>
  <c r="Q1305" i="1" s="1"/>
  <c r="M1306" i="1"/>
  <c r="G1306" i="1"/>
  <c r="O1306" i="1" s="1"/>
  <c r="Q1306" i="1" s="1"/>
  <c r="I1308" i="1"/>
  <c r="M706" i="1"/>
  <c r="G706" i="1"/>
  <c r="O706" i="1" s="1"/>
  <c r="Q706" i="1" s="1"/>
  <c r="I708" i="1"/>
  <c r="G715" i="1"/>
  <c r="O715" i="1" s="1"/>
  <c r="Q715" i="1" s="1"/>
  <c r="I716" i="1"/>
  <c r="M715" i="1"/>
  <c r="G705" i="1"/>
  <c r="O705" i="1" s="1"/>
  <c r="M705" i="1"/>
  <c r="I707" i="1"/>
  <c r="M225" i="1"/>
  <c r="I227" i="1"/>
  <c r="G225" i="1"/>
  <c r="O225" i="1" s="1"/>
  <c r="Q225" i="1" s="1"/>
  <c r="G235" i="1"/>
  <c r="O235" i="1" s="1"/>
  <c r="Q235" i="1" s="1"/>
  <c r="M235" i="1"/>
  <c r="I236" i="1"/>
  <c r="G596" i="1"/>
  <c r="O596" i="1" s="1"/>
  <c r="Q596" i="1" s="1"/>
  <c r="M596" i="1"/>
  <c r="I597" i="1"/>
  <c r="I827" i="1"/>
  <c r="M825" i="1"/>
  <c r="G825" i="1"/>
  <c r="O825" i="1" s="1"/>
  <c r="Q825" i="1" s="1"/>
  <c r="G826" i="1"/>
  <c r="O826" i="1" s="1"/>
  <c r="I828" i="1"/>
  <c r="M826" i="1"/>
  <c r="G226" i="1"/>
  <c r="O226" i="1" s="1"/>
  <c r="M226" i="1"/>
  <c r="I228" i="1"/>
  <c r="I589" i="1"/>
  <c r="M587" i="1"/>
  <c r="G587" i="1"/>
  <c r="O587" i="1" s="1"/>
  <c r="Q587" i="1" s="1"/>
  <c r="G835" i="1"/>
  <c r="O835" i="1" s="1"/>
  <c r="Q835" i="1" s="1"/>
  <c r="M835" i="1"/>
  <c r="I836" i="1"/>
  <c r="G588" i="1"/>
  <c r="O588" i="1" s="1"/>
  <c r="I590" i="1"/>
  <c r="M588" i="1"/>
  <c r="I472" i="1"/>
  <c r="M472" i="1" s="1"/>
  <c r="I1192" i="1"/>
  <c r="G1192" i="1" s="1"/>
  <c r="O1192" i="1" s="1"/>
  <c r="Q1192" i="1" s="1"/>
  <c r="M1190" i="1"/>
  <c r="M470" i="1"/>
  <c r="I1072" i="1"/>
  <c r="M1072" i="1" s="1"/>
  <c r="M1070" i="1"/>
  <c r="G1550" i="1"/>
  <c r="O1550" i="1" s="1"/>
  <c r="Q1550" i="1" s="1"/>
  <c r="I1552" i="1"/>
  <c r="M1553" i="1"/>
  <c r="M353" i="1"/>
  <c r="M1193" i="1"/>
  <c r="M352" i="1"/>
  <c r="G352" i="1"/>
  <c r="O352" i="1" s="1"/>
  <c r="Q352" i="1" s="1"/>
  <c r="G2032" i="1"/>
  <c r="O2032" i="1" s="1"/>
  <c r="M473" i="1"/>
  <c r="I354" i="1"/>
  <c r="G354" i="1" s="1"/>
  <c r="O354" i="1" s="1"/>
  <c r="Q354" i="1" s="1"/>
  <c r="M2032" i="1"/>
  <c r="I2034" i="1"/>
  <c r="M2033" i="1"/>
  <c r="M1073" i="1"/>
  <c r="K109" i="1"/>
  <c r="G109" i="1" s="1"/>
  <c r="M107" i="1"/>
  <c r="O107" i="1"/>
  <c r="Q107" i="1" s="1"/>
  <c r="K110" i="1"/>
  <c r="G110" i="1" s="1"/>
  <c r="M108" i="1"/>
  <c r="O108" i="1"/>
  <c r="Q108" i="1" s="1"/>
  <c r="K117" i="1"/>
  <c r="G117" i="1" s="1"/>
  <c r="M116" i="1"/>
  <c r="O116" i="1"/>
  <c r="Q116" i="1" s="1"/>
  <c r="M1197" i="1"/>
  <c r="O1197" i="1"/>
  <c r="Q1197" i="1" s="1"/>
  <c r="I1198" i="1"/>
  <c r="G1198" i="1" s="1"/>
  <c r="I2038" i="1"/>
  <c r="G2038" i="1" s="1"/>
  <c r="O2037" i="1"/>
  <c r="M2037" i="1"/>
  <c r="O1557" i="1"/>
  <c r="Q1557" i="1" s="1"/>
  <c r="I1558" i="1"/>
  <c r="G1558" i="1" s="1"/>
  <c r="M1557" i="1"/>
  <c r="I119" i="1"/>
  <c r="I1078" i="1"/>
  <c r="G1078" i="1" s="1"/>
  <c r="O1077" i="1"/>
  <c r="Q1077" i="1" s="1"/>
  <c r="M1077" i="1"/>
  <c r="I358" i="1"/>
  <c r="G358" i="1" s="1"/>
  <c r="O357" i="1"/>
  <c r="Q357" i="1" s="1"/>
  <c r="M357" i="1"/>
  <c r="O477" i="1"/>
  <c r="Q477" i="1" s="1"/>
  <c r="M477" i="1"/>
  <c r="I478" i="1"/>
  <c r="G478" i="1" s="1"/>
  <c r="I5187" i="1" l="1"/>
  <c r="G5186" i="1"/>
  <c r="O5186" i="1" s="1"/>
  <c r="Q5186" i="1" s="1"/>
  <c r="I5307" i="1"/>
  <c r="G5306" i="1"/>
  <c r="O5306" i="1" s="1"/>
  <c r="Q5306" i="1" s="1"/>
  <c r="I3865" i="1"/>
  <c r="G3864" i="1"/>
  <c r="O3864" i="1" s="1"/>
  <c r="Q3864" i="1" s="1"/>
  <c r="I8217" i="1"/>
  <c r="G8216" i="1"/>
  <c r="O8216" i="1" s="1"/>
  <c r="Q8216" i="1" s="1"/>
  <c r="G8808" i="1"/>
  <c r="O8808" i="1" s="1"/>
  <c r="Q8808" i="1" s="1"/>
  <c r="I8810" i="1"/>
  <c r="G8810" i="1" s="1"/>
  <c r="O8810" i="1" s="1"/>
  <c r="Q8810" i="1" s="1"/>
  <c r="I4828" i="1"/>
  <c r="G4827" i="1"/>
  <c r="O4827" i="1" s="1"/>
  <c r="Q4827" i="1" s="1"/>
  <c r="G6884" i="1"/>
  <c r="O6884" i="1" s="1"/>
  <c r="Q6884" i="1" s="1"/>
  <c r="I6886" i="1"/>
  <c r="I7374" i="1"/>
  <c r="G7373" i="1"/>
  <c r="O7373" i="1" s="1"/>
  <c r="Q7373" i="1" s="1"/>
  <c r="G7487" i="1"/>
  <c r="O7487" i="1" s="1"/>
  <c r="Q7487" i="1" s="1"/>
  <c r="I7489" i="1"/>
  <c r="I3738" i="1"/>
  <c r="G3736" i="1"/>
  <c r="O3736" i="1" s="1"/>
  <c r="Q3736" i="1" s="1"/>
  <c r="I5302" i="1"/>
  <c r="G5302" i="1" s="1"/>
  <c r="O5302" i="1" s="1"/>
  <c r="Q5302" i="1" s="1"/>
  <c r="G5300" i="1"/>
  <c r="O5300" i="1" s="1"/>
  <c r="Q5300" i="1" s="1"/>
  <c r="I7488" i="1"/>
  <c r="G7486" i="1"/>
  <c r="O7486" i="1" s="1"/>
  <c r="Q7486" i="1" s="1"/>
  <c r="I4942" i="1"/>
  <c r="G4942" i="1" s="1"/>
  <c r="O4942" i="1" s="1"/>
  <c r="Q4942" i="1" s="1"/>
  <c r="G4940" i="1"/>
  <c r="O4940" i="1" s="1"/>
  <c r="Q4940" i="1" s="1"/>
  <c r="G8455" i="1"/>
  <c r="O8455" i="1" s="1"/>
  <c r="Q8455" i="1" s="1"/>
  <c r="I8456" i="1"/>
  <c r="I7367" i="1"/>
  <c r="G7365" i="1"/>
  <c r="O7365" i="1" s="1"/>
  <c r="Q7365" i="1" s="1"/>
  <c r="I7850" i="1"/>
  <c r="G7850" i="1" s="1"/>
  <c r="O7850" i="1" s="1"/>
  <c r="Q7850" i="1" s="1"/>
  <c r="G7848" i="1"/>
  <c r="O7848" i="1" s="1"/>
  <c r="Q7848" i="1" s="1"/>
  <c r="I4341" i="1"/>
  <c r="G4341" i="1" s="1"/>
  <c r="O4341" i="1" s="1"/>
  <c r="Q4341" i="1" s="1"/>
  <c r="G4339" i="1"/>
  <c r="O4339" i="1" s="1"/>
  <c r="Q4339" i="1" s="1"/>
  <c r="I5062" i="1"/>
  <c r="G5062" i="1" s="1"/>
  <c r="O5062" i="1" s="1"/>
  <c r="Q5062" i="1" s="1"/>
  <c r="G5060" i="1"/>
  <c r="O5060" i="1" s="1"/>
  <c r="Q5060" i="1" s="1"/>
  <c r="I7970" i="1"/>
  <c r="G7970" i="1" s="1"/>
  <c r="O7970" i="1" s="1"/>
  <c r="Q7970" i="1" s="1"/>
  <c r="G7968" i="1"/>
  <c r="O7968" i="1" s="1"/>
  <c r="Q7968" i="1" s="1"/>
  <c r="G7975" i="1"/>
  <c r="O7975" i="1" s="1"/>
  <c r="Q7975" i="1" s="1"/>
  <c r="I7976" i="1"/>
  <c r="I8811" i="1"/>
  <c r="G8811" i="1" s="1"/>
  <c r="O8811" i="1" s="1"/>
  <c r="Q8811" i="1" s="1"/>
  <c r="G8809" i="1"/>
  <c r="O8809" i="1" s="1"/>
  <c r="Q8809" i="1" s="1"/>
  <c r="I8090" i="1"/>
  <c r="G8090" i="1" s="1"/>
  <c r="O8090" i="1" s="1"/>
  <c r="Q8090" i="1" s="1"/>
  <c r="G8088" i="1"/>
  <c r="O8088" i="1" s="1"/>
  <c r="Q8088" i="1" s="1"/>
  <c r="I5301" i="1"/>
  <c r="G5301" i="1" s="1"/>
  <c r="O5301" i="1" s="1"/>
  <c r="Q5301" i="1" s="1"/>
  <c r="G5299" i="1"/>
  <c r="O5299" i="1" s="1"/>
  <c r="Q5299" i="1" s="1"/>
  <c r="I4342" i="1"/>
  <c r="G4342" i="1" s="1"/>
  <c r="O4342" i="1" s="1"/>
  <c r="Q4342" i="1" s="1"/>
  <c r="G4340" i="1"/>
  <c r="O4340" i="1" s="1"/>
  <c r="Q4340" i="1" s="1"/>
  <c r="G8568" i="1"/>
  <c r="O8568" i="1" s="1"/>
  <c r="Q8568" i="1" s="1"/>
  <c r="I8570" i="1"/>
  <c r="G8570" i="1" s="1"/>
  <c r="O8570" i="1" s="1"/>
  <c r="Q8570" i="1" s="1"/>
  <c r="I6887" i="1"/>
  <c r="G6885" i="1"/>
  <c r="O6885" i="1" s="1"/>
  <c r="Q6885" i="1" s="1"/>
  <c r="I4707" i="1"/>
  <c r="G4706" i="1"/>
  <c r="O4706" i="1" s="1"/>
  <c r="Q4706" i="1" s="1"/>
  <c r="I5422" i="1"/>
  <c r="G5422" i="1" s="1"/>
  <c r="O5422" i="1" s="1"/>
  <c r="Q5422" i="1" s="1"/>
  <c r="G5420" i="1"/>
  <c r="O5420" i="1" s="1"/>
  <c r="Q5420" i="1" s="1"/>
  <c r="I5182" i="1"/>
  <c r="G5182" i="1" s="1"/>
  <c r="O5182" i="1" s="1"/>
  <c r="Q5182" i="1" s="1"/>
  <c r="G5180" i="1"/>
  <c r="O5180" i="1" s="1"/>
  <c r="Q5180" i="1" s="1"/>
  <c r="I4947" i="1"/>
  <c r="G4946" i="1"/>
  <c r="O4946" i="1" s="1"/>
  <c r="Q4946" i="1" s="1"/>
  <c r="I7008" i="1"/>
  <c r="G7006" i="1"/>
  <c r="O7006" i="1" s="1"/>
  <c r="Q7006" i="1" s="1"/>
  <c r="G3976" i="1"/>
  <c r="O3976" i="1" s="1"/>
  <c r="Q3976" i="1" s="1"/>
  <c r="I3978" i="1"/>
  <c r="G7124" i="1"/>
  <c r="O7124" i="1" s="1"/>
  <c r="Q7124" i="1" s="1"/>
  <c r="I7126" i="1"/>
  <c r="I5421" i="1"/>
  <c r="G5421" i="1" s="1"/>
  <c r="O5421" i="1" s="1"/>
  <c r="Q5421" i="1" s="1"/>
  <c r="G5419" i="1"/>
  <c r="O5419" i="1" s="1"/>
  <c r="Q5419" i="1" s="1"/>
  <c r="I3620" i="1"/>
  <c r="G3618" i="1"/>
  <c r="O3618" i="1" s="1"/>
  <c r="Q3618" i="1" s="1"/>
  <c r="G4219" i="1"/>
  <c r="O4219" i="1" s="1"/>
  <c r="Q4219" i="1" s="1"/>
  <c r="I4221" i="1"/>
  <c r="G4221" i="1" s="1"/>
  <c r="O4221" i="1" s="1"/>
  <c r="Q4221" i="1" s="1"/>
  <c r="Q5177" i="1"/>
  <c r="G7253" i="1"/>
  <c r="O7253" i="1" s="1"/>
  <c r="Q7253" i="1" s="1"/>
  <c r="I7254" i="1"/>
  <c r="Q7242" i="1"/>
  <c r="Q3615" i="1"/>
  <c r="I3985" i="1"/>
  <c r="G3984" i="1"/>
  <c r="O3984" i="1" s="1"/>
  <c r="Q3984" i="1" s="1"/>
  <c r="G8335" i="1"/>
  <c r="O8335" i="1" s="1"/>
  <c r="Q8335" i="1" s="1"/>
  <c r="I8336" i="1"/>
  <c r="Q3733" i="1"/>
  <c r="I7495" i="1"/>
  <c r="G7494" i="1"/>
  <c r="O7494" i="1" s="1"/>
  <c r="Q7494" i="1" s="1"/>
  <c r="G8575" i="1"/>
  <c r="O8575" i="1" s="1"/>
  <c r="Q8575" i="1" s="1"/>
  <c r="I8576" i="1"/>
  <c r="I4106" i="1"/>
  <c r="G4105" i="1"/>
  <c r="O4105" i="1" s="1"/>
  <c r="Q4105" i="1" s="1"/>
  <c r="I5181" i="1"/>
  <c r="G5181" i="1" s="1"/>
  <c r="O5181" i="1" s="1"/>
  <c r="Q5181" i="1" s="1"/>
  <c r="G5179" i="1"/>
  <c r="O5179" i="1" s="1"/>
  <c r="Q5179" i="1" s="1"/>
  <c r="G7615" i="1"/>
  <c r="O7615" i="1" s="1"/>
  <c r="Q7615" i="1" s="1"/>
  <c r="I7616" i="1"/>
  <c r="G4226" i="1"/>
  <c r="O4226" i="1" s="1"/>
  <c r="Q4226" i="1" s="1"/>
  <c r="I4227" i="1"/>
  <c r="I3857" i="1"/>
  <c r="G3855" i="1"/>
  <c r="O3855" i="1" s="1"/>
  <c r="Q3855" i="1" s="1"/>
  <c r="I3626" i="1"/>
  <c r="G3625" i="1"/>
  <c r="O3625" i="1" s="1"/>
  <c r="Q3625" i="1" s="1"/>
  <c r="I4702" i="1"/>
  <c r="G4702" i="1" s="1"/>
  <c r="O4702" i="1" s="1"/>
  <c r="Q4702" i="1" s="1"/>
  <c r="G4700" i="1"/>
  <c r="O4700" i="1" s="1"/>
  <c r="Q4700" i="1" s="1"/>
  <c r="G7735" i="1"/>
  <c r="O7735" i="1" s="1"/>
  <c r="Q7735" i="1" s="1"/>
  <c r="I7736" i="1"/>
  <c r="I4581" i="1"/>
  <c r="G4581" i="1" s="1"/>
  <c r="O4581" i="1" s="1"/>
  <c r="Q4581" i="1" s="1"/>
  <c r="G4579" i="1"/>
  <c r="O4579" i="1" s="1"/>
  <c r="Q4579" i="1" s="1"/>
  <c r="I7730" i="1"/>
  <c r="G7730" i="1" s="1"/>
  <c r="O7730" i="1" s="1"/>
  <c r="Q7730" i="1" s="1"/>
  <c r="G7728" i="1"/>
  <c r="O7728" i="1" s="1"/>
  <c r="Q7728" i="1" s="1"/>
  <c r="G7244" i="1"/>
  <c r="O7244" i="1" s="1"/>
  <c r="Q7244" i="1" s="1"/>
  <c r="I7246" i="1"/>
  <c r="G3856" i="1"/>
  <c r="O3856" i="1" s="1"/>
  <c r="Q3856" i="1" s="1"/>
  <c r="I3858" i="1"/>
  <c r="I3619" i="1"/>
  <c r="G3617" i="1"/>
  <c r="O3617" i="1" s="1"/>
  <c r="Q3617" i="1" s="1"/>
  <c r="I7366" i="1"/>
  <c r="G7364" i="1"/>
  <c r="O7364" i="1" s="1"/>
  <c r="Q7364" i="1" s="1"/>
  <c r="I4100" i="1"/>
  <c r="G4098" i="1"/>
  <c r="O4098" i="1" s="1"/>
  <c r="Q4098" i="1" s="1"/>
  <c r="G3495" i="1"/>
  <c r="O3495" i="1" s="1"/>
  <c r="Q3495" i="1" s="1"/>
  <c r="I3497" i="1"/>
  <c r="I3737" i="1"/>
  <c r="G3735" i="1"/>
  <c r="O3735" i="1" s="1"/>
  <c r="Q3735" i="1" s="1"/>
  <c r="I4941" i="1"/>
  <c r="G4941" i="1" s="1"/>
  <c r="O4941" i="1" s="1"/>
  <c r="Q4941" i="1" s="1"/>
  <c r="G4939" i="1"/>
  <c r="O4939" i="1" s="1"/>
  <c r="Q4939" i="1" s="1"/>
  <c r="I5427" i="1"/>
  <c r="G5426" i="1"/>
  <c r="O5426" i="1" s="1"/>
  <c r="Q5426" i="1" s="1"/>
  <c r="G8689" i="1"/>
  <c r="O8689" i="1" s="1"/>
  <c r="Q8689" i="1" s="1"/>
  <c r="I8691" i="1"/>
  <c r="G8691" i="1" s="1"/>
  <c r="O8691" i="1" s="1"/>
  <c r="Q8691" i="1" s="1"/>
  <c r="G7133" i="1"/>
  <c r="O7133" i="1" s="1"/>
  <c r="Q7133" i="1" s="1"/>
  <c r="I7134" i="1"/>
  <c r="G7855" i="1"/>
  <c r="O7855" i="1" s="1"/>
  <c r="Q7855" i="1" s="1"/>
  <c r="I7856" i="1"/>
  <c r="G8089" i="1"/>
  <c r="O8089" i="1" s="1"/>
  <c r="Q8089" i="1" s="1"/>
  <c r="I8091" i="1"/>
  <c r="G8091" i="1" s="1"/>
  <c r="O8091" i="1" s="1"/>
  <c r="Q8091" i="1" s="1"/>
  <c r="G7969" i="1"/>
  <c r="O7969" i="1" s="1"/>
  <c r="Q7969" i="1" s="1"/>
  <c r="I7971" i="1"/>
  <c r="G7971" i="1" s="1"/>
  <c r="O7971" i="1" s="1"/>
  <c r="Q7971" i="1" s="1"/>
  <c r="G7609" i="1"/>
  <c r="O7609" i="1" s="1"/>
  <c r="Q7609" i="1" s="1"/>
  <c r="I7611" i="1"/>
  <c r="G7611" i="1" s="1"/>
  <c r="O7611" i="1" s="1"/>
  <c r="Q7611" i="1" s="1"/>
  <c r="I4467" i="1"/>
  <c r="G4466" i="1"/>
  <c r="O4466" i="1" s="1"/>
  <c r="Q4466" i="1" s="1"/>
  <c r="I4582" i="1"/>
  <c r="G4582" i="1" s="1"/>
  <c r="O4582" i="1" s="1"/>
  <c r="Q4582" i="1" s="1"/>
  <c r="G4580" i="1"/>
  <c r="O4580" i="1" s="1"/>
  <c r="Q4580" i="1" s="1"/>
  <c r="I3977" i="1"/>
  <c r="G3975" i="1"/>
  <c r="O3975" i="1" s="1"/>
  <c r="I4347" i="1"/>
  <c r="G4346" i="1"/>
  <c r="O4346" i="1" s="1"/>
  <c r="Q4346" i="1" s="1"/>
  <c r="I7009" i="1"/>
  <c r="G7007" i="1"/>
  <c r="O7007" i="1" s="1"/>
  <c r="Q7007" i="1" s="1"/>
  <c r="I3498" i="1"/>
  <c r="G3496" i="1"/>
  <c r="O3496" i="1" s="1"/>
  <c r="Q3496" i="1" s="1"/>
  <c r="I8331" i="1"/>
  <c r="G8331" i="1" s="1"/>
  <c r="O8331" i="1" s="1"/>
  <c r="Q8331" i="1" s="1"/>
  <c r="G8329" i="1"/>
  <c r="O8329" i="1" s="1"/>
  <c r="Q8329" i="1" s="1"/>
  <c r="I4701" i="1"/>
  <c r="G4701" i="1" s="1"/>
  <c r="O4701" i="1" s="1"/>
  <c r="Q4701" i="1" s="1"/>
  <c r="G4699" i="1"/>
  <c r="O4699" i="1" s="1"/>
  <c r="Q4699" i="1" s="1"/>
  <c r="I5067" i="1"/>
  <c r="G5066" i="1"/>
  <c r="O5066" i="1" s="1"/>
  <c r="Q5066" i="1" s="1"/>
  <c r="I4099" i="1"/>
  <c r="G4097" i="1"/>
  <c r="O4097" i="1" s="1"/>
  <c r="Q4097" i="1" s="1"/>
  <c r="G7729" i="1"/>
  <c r="O7729" i="1" s="1"/>
  <c r="Q7729" i="1" s="1"/>
  <c r="I7731" i="1"/>
  <c r="G7731" i="1" s="1"/>
  <c r="O7731" i="1" s="1"/>
  <c r="Q7731" i="1" s="1"/>
  <c r="I7247" i="1"/>
  <c r="G7245" i="1"/>
  <c r="O7245" i="1" s="1"/>
  <c r="Q7245" i="1" s="1"/>
  <c r="I8451" i="1"/>
  <c r="G8451" i="1" s="1"/>
  <c r="O8451" i="1" s="1"/>
  <c r="Q8451" i="1" s="1"/>
  <c r="G8449" i="1"/>
  <c r="O8449" i="1" s="1"/>
  <c r="Q8449" i="1" s="1"/>
  <c r="I7610" i="1"/>
  <c r="G7610" i="1" s="1"/>
  <c r="O7610" i="1" s="1"/>
  <c r="Q7610" i="1" s="1"/>
  <c r="G7608" i="1"/>
  <c r="O7608" i="1" s="1"/>
  <c r="Q7608" i="1" s="1"/>
  <c r="I8571" i="1"/>
  <c r="G8571" i="1" s="1"/>
  <c r="O8571" i="1" s="1"/>
  <c r="Q8571" i="1" s="1"/>
  <c r="G8569" i="1"/>
  <c r="O8569" i="1" s="1"/>
  <c r="Q8569" i="1" s="1"/>
  <c r="G7849" i="1"/>
  <c r="O7849" i="1" s="1"/>
  <c r="Q7849" i="1" s="1"/>
  <c r="I7851" i="1"/>
  <c r="G7851" i="1" s="1"/>
  <c r="O7851" i="1" s="1"/>
  <c r="Q7851" i="1" s="1"/>
  <c r="I8816" i="1"/>
  <c r="G8815" i="1"/>
  <c r="O8815" i="1" s="1"/>
  <c r="Q8815" i="1" s="1"/>
  <c r="G6893" i="1"/>
  <c r="O6893" i="1" s="1"/>
  <c r="Q6893" i="1" s="1"/>
  <c r="I6894" i="1"/>
  <c r="G8095" i="1"/>
  <c r="O8095" i="1" s="1"/>
  <c r="Q8095" i="1" s="1"/>
  <c r="I8096" i="1"/>
  <c r="G5059" i="1"/>
  <c r="O5059" i="1" s="1"/>
  <c r="Q5059" i="1" s="1"/>
  <c r="I5061" i="1"/>
  <c r="G5061" i="1" s="1"/>
  <c r="O5061" i="1" s="1"/>
  <c r="Q5061" i="1" s="1"/>
  <c r="I3505" i="1"/>
  <c r="G3504" i="1"/>
  <c r="O3504" i="1" s="1"/>
  <c r="Q3504" i="1" s="1"/>
  <c r="I4461" i="1"/>
  <c r="G4461" i="1" s="1"/>
  <c r="O4461" i="1" s="1"/>
  <c r="Q4461" i="1" s="1"/>
  <c r="G4459" i="1"/>
  <c r="O4459" i="1" s="1"/>
  <c r="Q4459" i="1" s="1"/>
  <c r="I3745" i="1"/>
  <c r="G3744" i="1"/>
  <c r="O3744" i="1" s="1"/>
  <c r="Q3744" i="1" s="1"/>
  <c r="I4587" i="1"/>
  <c r="G4586" i="1"/>
  <c r="O4586" i="1" s="1"/>
  <c r="Q4586" i="1" s="1"/>
  <c r="I8690" i="1"/>
  <c r="G8690" i="1" s="1"/>
  <c r="O8690" i="1" s="1"/>
  <c r="Q8690" i="1" s="1"/>
  <c r="G8688" i="1"/>
  <c r="O8688" i="1" s="1"/>
  <c r="Q8688" i="1" s="1"/>
  <c r="G8448" i="1"/>
  <c r="O8448" i="1" s="1"/>
  <c r="Q8448" i="1" s="1"/>
  <c r="I8450" i="1"/>
  <c r="G8450" i="1" s="1"/>
  <c r="O8450" i="1" s="1"/>
  <c r="Q8450" i="1" s="1"/>
  <c r="G8328" i="1"/>
  <c r="O8328" i="1" s="1"/>
  <c r="Q8328" i="1" s="1"/>
  <c r="I8330" i="1"/>
  <c r="G8330" i="1" s="1"/>
  <c r="O8330" i="1" s="1"/>
  <c r="Q8330" i="1" s="1"/>
  <c r="G8695" i="1"/>
  <c r="O8695" i="1" s="1"/>
  <c r="Q8695" i="1" s="1"/>
  <c r="I8696" i="1"/>
  <c r="I4462" i="1"/>
  <c r="G4462" i="1" s="1"/>
  <c r="O4462" i="1" s="1"/>
  <c r="Q4462" i="1" s="1"/>
  <c r="G4460" i="1"/>
  <c r="O4460" i="1" s="1"/>
  <c r="Q4460" i="1" s="1"/>
  <c r="I7127" i="1"/>
  <c r="G7125" i="1"/>
  <c r="O7125" i="1" s="1"/>
  <c r="Q7125" i="1" s="1"/>
  <c r="I7015" i="1"/>
  <c r="G7014" i="1"/>
  <c r="O7014" i="1" s="1"/>
  <c r="Q7014" i="1" s="1"/>
  <c r="I4222" i="1"/>
  <c r="G4222" i="1" s="1"/>
  <c r="O4222" i="1" s="1"/>
  <c r="Q4222" i="1" s="1"/>
  <c r="G4220" i="1"/>
  <c r="O4220" i="1" s="1"/>
  <c r="Q4220" i="1" s="1"/>
  <c r="Q826" i="1"/>
  <c r="Q588" i="1"/>
  <c r="Q226" i="1"/>
  <c r="Q2037" i="1"/>
  <c r="Q2032" i="1"/>
  <c r="Q705" i="1"/>
  <c r="G948" i="1"/>
  <c r="O948" i="1" s="1"/>
  <c r="Q948" i="1" s="1"/>
  <c r="I950" i="1"/>
  <c r="M948" i="1"/>
  <c r="G956" i="1"/>
  <c r="O956" i="1" s="1"/>
  <c r="Q956" i="1" s="1"/>
  <c r="M956" i="1"/>
  <c r="I957" i="1"/>
  <c r="M947" i="1"/>
  <c r="I949" i="1"/>
  <c r="G947" i="1"/>
  <c r="O947" i="1" s="1"/>
  <c r="G1916" i="1"/>
  <c r="O1916" i="1" s="1"/>
  <c r="M1916" i="1"/>
  <c r="I1917" i="1"/>
  <c r="G1908" i="1"/>
  <c r="O1908" i="1" s="1"/>
  <c r="Q1908" i="1" s="1"/>
  <c r="M1908" i="1"/>
  <c r="I1910" i="1"/>
  <c r="G1907" i="1"/>
  <c r="O1907" i="1" s="1"/>
  <c r="Q1907" i="1" s="1"/>
  <c r="M1907" i="1"/>
  <c r="I1909" i="1"/>
  <c r="G1668" i="1"/>
  <c r="O1668" i="1" s="1"/>
  <c r="Q1668" i="1" s="1"/>
  <c r="I1670" i="1"/>
  <c r="M1668" i="1"/>
  <c r="G1676" i="1"/>
  <c r="O1676" i="1" s="1"/>
  <c r="Q1676" i="1" s="1"/>
  <c r="M1676" i="1"/>
  <c r="I1677" i="1"/>
  <c r="G1788" i="1"/>
  <c r="O1788" i="1" s="1"/>
  <c r="Q1788" i="1" s="1"/>
  <c r="I1790" i="1"/>
  <c r="M1788" i="1"/>
  <c r="I1789" i="1"/>
  <c r="M1787" i="1"/>
  <c r="G1787" i="1"/>
  <c r="O1787" i="1" s="1"/>
  <c r="Q1787" i="1" s="1"/>
  <c r="I1429" i="1"/>
  <c r="M1427" i="1"/>
  <c r="G1427" i="1"/>
  <c r="O1427" i="1" s="1"/>
  <c r="Q1427" i="1" s="1"/>
  <c r="G1436" i="1"/>
  <c r="O1436" i="1" s="1"/>
  <c r="Q1436" i="1" s="1"/>
  <c r="I1437" i="1"/>
  <c r="M1436" i="1"/>
  <c r="G1428" i="1"/>
  <c r="O1428" i="1" s="1"/>
  <c r="M1428" i="1"/>
  <c r="I1430" i="1"/>
  <c r="G1796" i="1"/>
  <c r="O1796" i="1" s="1"/>
  <c r="Q1796" i="1" s="1"/>
  <c r="M1796" i="1"/>
  <c r="I1797" i="1"/>
  <c r="M1667" i="1"/>
  <c r="G1667" i="1"/>
  <c r="O1667" i="1" s="1"/>
  <c r="Q1667" i="1" s="1"/>
  <c r="I1669" i="1"/>
  <c r="I1309" i="1"/>
  <c r="M1307" i="1"/>
  <c r="G1307" i="1"/>
  <c r="O1307" i="1" s="1"/>
  <c r="Q1307" i="1" s="1"/>
  <c r="G1316" i="1"/>
  <c r="O1316" i="1" s="1"/>
  <c r="Q1316" i="1" s="1"/>
  <c r="I1317" i="1"/>
  <c r="M1316" i="1"/>
  <c r="G1308" i="1"/>
  <c r="O1308" i="1" s="1"/>
  <c r="Q1308" i="1" s="1"/>
  <c r="I1310" i="1"/>
  <c r="M1308" i="1"/>
  <c r="G708" i="1"/>
  <c r="O708" i="1" s="1"/>
  <c r="Q708" i="1" s="1"/>
  <c r="I710" i="1"/>
  <c r="M708" i="1"/>
  <c r="G707" i="1"/>
  <c r="O707" i="1" s="1"/>
  <c r="I709" i="1"/>
  <c r="M707" i="1"/>
  <c r="G716" i="1"/>
  <c r="O716" i="1" s="1"/>
  <c r="Q716" i="1" s="1"/>
  <c r="I717" i="1"/>
  <c r="M716" i="1"/>
  <c r="G589" i="1"/>
  <c r="O589" i="1" s="1"/>
  <c r="Q589" i="1" s="1"/>
  <c r="I591" i="1"/>
  <c r="M589" i="1"/>
  <c r="G590" i="1"/>
  <c r="O590" i="1" s="1"/>
  <c r="Q590" i="1" s="1"/>
  <c r="M590" i="1"/>
  <c r="I592" i="1"/>
  <c r="G228" i="1"/>
  <c r="O228" i="1" s="1"/>
  <c r="Q228" i="1" s="1"/>
  <c r="M228" i="1"/>
  <c r="I230" i="1"/>
  <c r="G828" i="1"/>
  <c r="O828" i="1" s="1"/>
  <c r="I830" i="1"/>
  <c r="M828" i="1"/>
  <c r="G827" i="1"/>
  <c r="O827" i="1" s="1"/>
  <c r="M827" i="1"/>
  <c r="I829" i="1"/>
  <c r="G236" i="1"/>
  <c r="O236" i="1" s="1"/>
  <c r="Q236" i="1" s="1"/>
  <c r="I237" i="1"/>
  <c r="M236" i="1"/>
  <c r="M227" i="1"/>
  <c r="I229" i="1"/>
  <c r="G227" i="1"/>
  <c r="O227" i="1" s="1"/>
  <c r="Q227" i="1" s="1"/>
  <c r="G836" i="1"/>
  <c r="O836" i="1" s="1"/>
  <c r="Q836" i="1" s="1"/>
  <c r="M836" i="1"/>
  <c r="I837" i="1"/>
  <c r="G597" i="1"/>
  <c r="O597" i="1" s="1"/>
  <c r="Q597" i="1" s="1"/>
  <c r="M597" i="1"/>
  <c r="I598" i="1"/>
  <c r="I474" i="1"/>
  <c r="G474" i="1" s="1"/>
  <c r="O474" i="1" s="1"/>
  <c r="Q474" i="1" s="1"/>
  <c r="M1192" i="1"/>
  <c r="G472" i="1"/>
  <c r="O472" i="1" s="1"/>
  <c r="Q472" i="1" s="1"/>
  <c r="G1072" i="1"/>
  <c r="O1072" i="1" s="1"/>
  <c r="Q1072" i="1" s="1"/>
  <c r="I1194" i="1"/>
  <c r="G1194" i="1" s="1"/>
  <c r="O1194" i="1" s="1"/>
  <c r="Q1194" i="1" s="1"/>
  <c r="I1074" i="1"/>
  <c r="G1074" i="1" s="1"/>
  <c r="O1074" i="1" s="1"/>
  <c r="Q1074" i="1" s="1"/>
  <c r="G1552" i="1"/>
  <c r="O1552" i="1" s="1"/>
  <c r="Q1552" i="1" s="1"/>
  <c r="I1554" i="1"/>
  <c r="M1552" i="1"/>
  <c r="M354" i="1"/>
  <c r="G2034" i="1"/>
  <c r="O2034" i="1" s="1"/>
  <c r="M2034" i="1"/>
  <c r="K112" i="1"/>
  <c r="G112" i="1" s="1"/>
  <c r="O110" i="1"/>
  <c r="Q110" i="1" s="1"/>
  <c r="M110" i="1"/>
  <c r="K118" i="1"/>
  <c r="G118" i="1" s="1"/>
  <c r="O117" i="1"/>
  <c r="Q117" i="1" s="1"/>
  <c r="M117" i="1"/>
  <c r="K111" i="1"/>
  <c r="G111" i="1" s="1"/>
  <c r="M109" i="1"/>
  <c r="O109" i="1"/>
  <c r="Q109" i="1" s="1"/>
  <c r="I120" i="1"/>
  <c r="M1198" i="1"/>
  <c r="O1198" i="1"/>
  <c r="Q1198" i="1" s="1"/>
  <c r="I1199" i="1"/>
  <c r="G1199" i="1" s="1"/>
  <c r="M1078" i="1"/>
  <c r="I1079" i="1"/>
  <c r="G1079" i="1" s="1"/>
  <c r="O1078" i="1"/>
  <c r="M2038" i="1"/>
  <c r="I2039" i="1"/>
  <c r="G2039" i="1" s="1"/>
  <c r="O2038" i="1"/>
  <c r="M478" i="1"/>
  <c r="I479" i="1"/>
  <c r="G479" i="1" s="1"/>
  <c r="O478" i="1"/>
  <c r="Q478" i="1" s="1"/>
  <c r="I359" i="1"/>
  <c r="G359" i="1" s="1"/>
  <c r="O358" i="1"/>
  <c r="M358" i="1"/>
  <c r="O1558" i="1"/>
  <c r="Q1558" i="1" s="1"/>
  <c r="I1559" i="1"/>
  <c r="G1559" i="1" s="1"/>
  <c r="M1558" i="1"/>
  <c r="K607" i="1"/>
  <c r="I8697" i="1" l="1"/>
  <c r="G8696" i="1"/>
  <c r="O8696" i="1" s="1"/>
  <c r="Q8696" i="1" s="1"/>
  <c r="I3506" i="1"/>
  <c r="G3505" i="1"/>
  <c r="O3505" i="1" s="1"/>
  <c r="Q3505" i="1" s="1"/>
  <c r="G8816" i="1"/>
  <c r="O8816" i="1" s="1"/>
  <c r="Q8816" i="1" s="1"/>
  <c r="I8817" i="1"/>
  <c r="G3498" i="1"/>
  <c r="O3498" i="1" s="1"/>
  <c r="Q3498" i="1" s="1"/>
  <c r="I3500" i="1"/>
  <c r="I3979" i="1"/>
  <c r="G3977" i="1"/>
  <c r="O3977" i="1" s="1"/>
  <c r="Q3977" i="1" s="1"/>
  <c r="I7135" i="1"/>
  <c r="G7134" i="1"/>
  <c r="O7134" i="1" s="1"/>
  <c r="Q7134" i="1" s="1"/>
  <c r="I8337" i="1"/>
  <c r="G8336" i="1"/>
  <c r="O8336" i="1" s="1"/>
  <c r="Q8336" i="1" s="1"/>
  <c r="I5068" i="1"/>
  <c r="G5067" i="1"/>
  <c r="O5067" i="1" s="1"/>
  <c r="Q5067" i="1" s="1"/>
  <c r="I3739" i="1"/>
  <c r="G3737" i="1"/>
  <c r="O3737" i="1" s="1"/>
  <c r="Q3737" i="1" s="1"/>
  <c r="I3621" i="1"/>
  <c r="G3621" i="1" s="1"/>
  <c r="O3621" i="1" s="1"/>
  <c r="Q3621" i="1" s="1"/>
  <c r="G3619" i="1"/>
  <c r="O3619" i="1" s="1"/>
  <c r="Q3619" i="1" s="1"/>
  <c r="I4107" i="1"/>
  <c r="G4106" i="1"/>
  <c r="O4106" i="1" s="1"/>
  <c r="Q4106" i="1" s="1"/>
  <c r="G7254" i="1"/>
  <c r="O7254" i="1" s="1"/>
  <c r="Q7254" i="1" s="1"/>
  <c r="I7255" i="1"/>
  <c r="I3622" i="1"/>
  <c r="G3622" i="1" s="1"/>
  <c r="O3622" i="1" s="1"/>
  <c r="Q3622" i="1" s="1"/>
  <c r="G3620" i="1"/>
  <c r="O3620" i="1" s="1"/>
  <c r="Q3620" i="1" s="1"/>
  <c r="I7010" i="1"/>
  <c r="G7010" i="1" s="1"/>
  <c r="O7010" i="1" s="1"/>
  <c r="Q7010" i="1" s="1"/>
  <c r="G7008" i="1"/>
  <c r="O7008" i="1" s="1"/>
  <c r="Q7008" i="1" s="1"/>
  <c r="G4707" i="1"/>
  <c r="O4707" i="1" s="1"/>
  <c r="Q4707" i="1" s="1"/>
  <c r="I4708" i="1"/>
  <c r="I7490" i="1"/>
  <c r="G7490" i="1" s="1"/>
  <c r="O7490" i="1" s="1"/>
  <c r="Q7490" i="1" s="1"/>
  <c r="G7488" i="1"/>
  <c r="O7488" i="1" s="1"/>
  <c r="Q7488" i="1" s="1"/>
  <c r="G7374" i="1"/>
  <c r="O7374" i="1" s="1"/>
  <c r="Q7374" i="1" s="1"/>
  <c r="I7375" i="1"/>
  <c r="G8217" i="1"/>
  <c r="O8217" i="1" s="1"/>
  <c r="Q8217" i="1" s="1"/>
  <c r="I8218" i="1"/>
  <c r="I7016" i="1"/>
  <c r="G7015" i="1"/>
  <c r="O7015" i="1" s="1"/>
  <c r="Q7015" i="1" s="1"/>
  <c r="I4588" i="1"/>
  <c r="G4587" i="1"/>
  <c r="O4587" i="1" s="1"/>
  <c r="Q4587" i="1" s="1"/>
  <c r="G7247" i="1"/>
  <c r="O7247" i="1" s="1"/>
  <c r="Q7247" i="1" s="1"/>
  <c r="I7249" i="1"/>
  <c r="I7011" i="1"/>
  <c r="G7011" i="1" s="1"/>
  <c r="O7011" i="1" s="1"/>
  <c r="Q7011" i="1" s="1"/>
  <c r="G7009" i="1"/>
  <c r="O7009" i="1" s="1"/>
  <c r="Q7009" i="1" s="1"/>
  <c r="I3499" i="1"/>
  <c r="G3497" i="1"/>
  <c r="O3497" i="1" s="1"/>
  <c r="I3860" i="1"/>
  <c r="G3858" i="1"/>
  <c r="O3858" i="1" s="1"/>
  <c r="Q3858" i="1" s="1"/>
  <c r="I7737" i="1"/>
  <c r="G7736" i="1"/>
  <c r="O7736" i="1" s="1"/>
  <c r="Q7736" i="1" s="1"/>
  <c r="I3627" i="1"/>
  <c r="G3626" i="1"/>
  <c r="O3626" i="1" s="1"/>
  <c r="Q3626" i="1" s="1"/>
  <c r="G8576" i="1"/>
  <c r="O8576" i="1" s="1"/>
  <c r="Q8576" i="1" s="1"/>
  <c r="I8577" i="1"/>
  <c r="G6886" i="1"/>
  <c r="O6886" i="1" s="1"/>
  <c r="I6888" i="1"/>
  <c r="I8097" i="1"/>
  <c r="G8096" i="1"/>
  <c r="O8096" i="1" s="1"/>
  <c r="Q8096" i="1" s="1"/>
  <c r="G7616" i="1"/>
  <c r="O7616" i="1" s="1"/>
  <c r="Q7616" i="1" s="1"/>
  <c r="I7617" i="1"/>
  <c r="I4948" i="1"/>
  <c r="G4947" i="1"/>
  <c r="O4947" i="1" s="1"/>
  <c r="Q4947" i="1" s="1"/>
  <c r="I6889" i="1"/>
  <c r="G6887" i="1"/>
  <c r="O6887" i="1" s="1"/>
  <c r="Q6887" i="1" s="1"/>
  <c r="I7369" i="1"/>
  <c r="G7367" i="1"/>
  <c r="O7367" i="1" s="1"/>
  <c r="Q7367" i="1" s="1"/>
  <c r="I3866" i="1"/>
  <c r="G3865" i="1"/>
  <c r="O3865" i="1" s="1"/>
  <c r="Q3865" i="1" s="1"/>
  <c r="G7127" i="1"/>
  <c r="O7127" i="1" s="1"/>
  <c r="Q7127" i="1" s="1"/>
  <c r="I7129" i="1"/>
  <c r="I3746" i="1"/>
  <c r="G3745" i="1"/>
  <c r="O3745" i="1" s="1"/>
  <c r="Q3745" i="1" s="1"/>
  <c r="I4468" i="1"/>
  <c r="G4467" i="1"/>
  <c r="O4467" i="1" s="1"/>
  <c r="Q4467" i="1" s="1"/>
  <c r="G7246" i="1"/>
  <c r="O7246" i="1" s="1"/>
  <c r="Q7246" i="1" s="1"/>
  <c r="I7248" i="1"/>
  <c r="I3859" i="1"/>
  <c r="G3857" i="1"/>
  <c r="O3857" i="1" s="1"/>
  <c r="Q3857" i="1" s="1"/>
  <c r="I3986" i="1"/>
  <c r="G3985" i="1"/>
  <c r="O3985" i="1" s="1"/>
  <c r="Q3985" i="1" s="1"/>
  <c r="I7128" i="1"/>
  <c r="G7126" i="1"/>
  <c r="O7126" i="1" s="1"/>
  <c r="Q7126" i="1" s="1"/>
  <c r="G8456" i="1"/>
  <c r="O8456" i="1" s="1"/>
  <c r="Q8456" i="1" s="1"/>
  <c r="I8457" i="1"/>
  <c r="G6894" i="1"/>
  <c r="O6894" i="1" s="1"/>
  <c r="Q6894" i="1" s="1"/>
  <c r="I6895" i="1"/>
  <c r="I5428" i="1"/>
  <c r="G5427" i="1"/>
  <c r="O5427" i="1" s="1"/>
  <c r="Q5427" i="1" s="1"/>
  <c r="I4102" i="1"/>
  <c r="G4102" i="1" s="1"/>
  <c r="O4102" i="1" s="1"/>
  <c r="Q4102" i="1" s="1"/>
  <c r="G4100" i="1"/>
  <c r="O4100" i="1" s="1"/>
  <c r="Q4100" i="1" s="1"/>
  <c r="I4228" i="1"/>
  <c r="G4227" i="1"/>
  <c r="O4227" i="1" s="1"/>
  <c r="Q4227" i="1" s="1"/>
  <c r="G7495" i="1"/>
  <c r="O7495" i="1" s="1"/>
  <c r="Q7495" i="1" s="1"/>
  <c r="I7496" i="1"/>
  <c r="I3740" i="1"/>
  <c r="G3738" i="1"/>
  <c r="O3738" i="1" s="1"/>
  <c r="Q3738" i="1" s="1"/>
  <c r="I4829" i="1"/>
  <c r="G4828" i="1"/>
  <c r="O4828" i="1" s="1"/>
  <c r="Q4828" i="1" s="1"/>
  <c r="I5308" i="1"/>
  <c r="G5307" i="1"/>
  <c r="O5307" i="1" s="1"/>
  <c r="Q5307" i="1" s="1"/>
  <c r="I4348" i="1"/>
  <c r="G4347" i="1"/>
  <c r="O4347" i="1" s="1"/>
  <c r="Q4347" i="1" s="1"/>
  <c r="I7857" i="1"/>
  <c r="G7856" i="1"/>
  <c r="O7856" i="1" s="1"/>
  <c r="Q7856" i="1" s="1"/>
  <c r="I3980" i="1"/>
  <c r="G3978" i="1"/>
  <c r="O3978" i="1" s="1"/>
  <c r="Q3978" i="1" s="1"/>
  <c r="I7491" i="1"/>
  <c r="G7491" i="1" s="1"/>
  <c r="O7491" i="1" s="1"/>
  <c r="Q7491" i="1" s="1"/>
  <c r="G7489" i="1"/>
  <c r="O7489" i="1" s="1"/>
  <c r="Q7489" i="1" s="1"/>
  <c r="I4101" i="1"/>
  <c r="G4101" i="1" s="1"/>
  <c r="O4101" i="1" s="1"/>
  <c r="Q4101" i="1" s="1"/>
  <c r="G4099" i="1"/>
  <c r="O4099" i="1" s="1"/>
  <c r="Q4099" i="1" s="1"/>
  <c r="Q3975" i="1"/>
  <c r="G7366" i="1"/>
  <c r="O7366" i="1" s="1"/>
  <c r="Q7366" i="1" s="1"/>
  <c r="I7368" i="1"/>
  <c r="G7976" i="1"/>
  <c r="O7976" i="1" s="1"/>
  <c r="Q7976" i="1" s="1"/>
  <c r="I7977" i="1"/>
  <c r="G5187" i="1"/>
  <c r="O5187" i="1" s="1"/>
  <c r="Q5187" i="1" s="1"/>
  <c r="I5188" i="1"/>
  <c r="Q707" i="1"/>
  <c r="Q1916" i="1"/>
  <c r="Q828" i="1"/>
  <c r="Q947" i="1"/>
  <c r="Q1078" i="1"/>
  <c r="Q2038" i="1"/>
  <c r="Q358" i="1"/>
  <c r="Q2034" i="1"/>
  <c r="Q1428" i="1"/>
  <c r="Q827" i="1"/>
  <c r="G949" i="1"/>
  <c r="O949" i="1" s="1"/>
  <c r="Q949" i="1" s="1"/>
  <c r="M949" i="1"/>
  <c r="I951" i="1"/>
  <c r="G957" i="1"/>
  <c r="O957" i="1" s="1"/>
  <c r="Q957" i="1" s="1"/>
  <c r="M957" i="1"/>
  <c r="I958" i="1"/>
  <c r="G950" i="1"/>
  <c r="O950" i="1" s="1"/>
  <c r="M950" i="1"/>
  <c r="I952" i="1"/>
  <c r="G1910" i="1"/>
  <c r="O1910" i="1" s="1"/>
  <c r="Q1910" i="1" s="1"/>
  <c r="I1912" i="1"/>
  <c r="M1910" i="1"/>
  <c r="G1917" i="1"/>
  <c r="O1917" i="1" s="1"/>
  <c r="Q1917" i="1" s="1"/>
  <c r="M1917" i="1"/>
  <c r="I1918" i="1"/>
  <c r="I1911" i="1"/>
  <c r="G1909" i="1"/>
  <c r="O1909" i="1" s="1"/>
  <c r="Q1909" i="1" s="1"/>
  <c r="M1909" i="1"/>
  <c r="G1797" i="1"/>
  <c r="O1797" i="1" s="1"/>
  <c r="Q1797" i="1" s="1"/>
  <c r="M1797" i="1"/>
  <c r="I1798" i="1"/>
  <c r="G1790" i="1"/>
  <c r="O1790" i="1" s="1"/>
  <c r="Q1790" i="1" s="1"/>
  <c r="I1792" i="1"/>
  <c r="M1790" i="1"/>
  <c r="G1677" i="1"/>
  <c r="O1677" i="1" s="1"/>
  <c r="Q1677" i="1" s="1"/>
  <c r="I1678" i="1"/>
  <c r="M1677" i="1"/>
  <c r="G1430" i="1"/>
  <c r="O1430" i="1" s="1"/>
  <c r="I1432" i="1"/>
  <c r="M1430" i="1"/>
  <c r="M1429" i="1"/>
  <c r="G1429" i="1"/>
  <c r="O1429" i="1" s="1"/>
  <c r="Q1429" i="1" s="1"/>
  <c r="I1431" i="1"/>
  <c r="M1669" i="1"/>
  <c r="I1671" i="1"/>
  <c r="G1669" i="1"/>
  <c r="O1669" i="1" s="1"/>
  <c r="Q1669" i="1" s="1"/>
  <c r="I1791" i="1"/>
  <c r="G1789" i="1"/>
  <c r="O1789" i="1" s="1"/>
  <c r="M1789" i="1"/>
  <c r="G1670" i="1"/>
  <c r="O1670" i="1" s="1"/>
  <c r="Q1670" i="1" s="1"/>
  <c r="M1670" i="1"/>
  <c r="I1672" i="1"/>
  <c r="G1437" i="1"/>
  <c r="O1437" i="1" s="1"/>
  <c r="Q1437" i="1" s="1"/>
  <c r="M1437" i="1"/>
  <c r="I1438" i="1"/>
  <c r="G1310" i="1"/>
  <c r="O1310" i="1" s="1"/>
  <c r="Q1310" i="1" s="1"/>
  <c r="I1312" i="1"/>
  <c r="M1310" i="1"/>
  <c r="G1317" i="1"/>
  <c r="O1317" i="1" s="1"/>
  <c r="Q1317" i="1" s="1"/>
  <c r="M1317" i="1"/>
  <c r="I1318" i="1"/>
  <c r="G1309" i="1"/>
  <c r="O1309" i="1" s="1"/>
  <c r="Q1309" i="1" s="1"/>
  <c r="I1311" i="1"/>
  <c r="M1309" i="1"/>
  <c r="G717" i="1"/>
  <c r="O717" i="1" s="1"/>
  <c r="M717" i="1"/>
  <c r="I718" i="1"/>
  <c r="G710" i="1"/>
  <c r="O710" i="1" s="1"/>
  <c r="M710" i="1"/>
  <c r="I712" i="1"/>
  <c r="I711" i="1"/>
  <c r="M709" i="1"/>
  <c r="G709" i="1"/>
  <c r="O709" i="1" s="1"/>
  <c r="Q709" i="1" s="1"/>
  <c r="G837" i="1"/>
  <c r="O837" i="1" s="1"/>
  <c r="Q837" i="1" s="1"/>
  <c r="I838" i="1"/>
  <c r="M837" i="1"/>
  <c r="M229" i="1"/>
  <c r="G229" i="1"/>
  <c r="O229" i="1" s="1"/>
  <c r="Q229" i="1" s="1"/>
  <c r="I231" i="1"/>
  <c r="G598" i="1"/>
  <c r="O598" i="1" s="1"/>
  <c r="Q598" i="1" s="1"/>
  <c r="I599" i="1"/>
  <c r="M598" i="1"/>
  <c r="I831" i="1"/>
  <c r="G829" i="1"/>
  <c r="O829" i="1" s="1"/>
  <c r="Q829" i="1" s="1"/>
  <c r="M829" i="1"/>
  <c r="G830" i="1"/>
  <c r="O830" i="1" s="1"/>
  <c r="Q830" i="1" s="1"/>
  <c r="M830" i="1"/>
  <c r="I832" i="1"/>
  <c r="M592" i="1"/>
  <c r="I594" i="1"/>
  <c r="G592" i="1"/>
  <c r="O592" i="1" s="1"/>
  <c r="Q592" i="1" s="1"/>
  <c r="G591" i="1"/>
  <c r="O591" i="1" s="1"/>
  <c r="Q591" i="1" s="1"/>
  <c r="I593" i="1"/>
  <c r="M591" i="1"/>
  <c r="G237" i="1"/>
  <c r="O237" i="1" s="1"/>
  <c r="Q237" i="1" s="1"/>
  <c r="M237" i="1"/>
  <c r="I238" i="1"/>
  <c r="M230" i="1"/>
  <c r="G230" i="1"/>
  <c r="O230" i="1" s="1"/>
  <c r="Q230" i="1" s="1"/>
  <c r="I232" i="1"/>
  <c r="M1194" i="1"/>
  <c r="M474" i="1"/>
  <c r="M1074" i="1"/>
  <c r="G1554" i="1"/>
  <c r="O1554" i="1" s="1"/>
  <c r="Q1554" i="1" s="1"/>
  <c r="M1554" i="1"/>
  <c r="K119" i="1"/>
  <c r="M118" i="1"/>
  <c r="O118" i="1"/>
  <c r="Q118" i="1" s="1"/>
  <c r="K113" i="1"/>
  <c r="G113" i="1" s="1"/>
  <c r="M111" i="1"/>
  <c r="O111" i="1"/>
  <c r="Q111" i="1" s="1"/>
  <c r="K114" i="1"/>
  <c r="G114" i="1" s="1"/>
  <c r="O112" i="1"/>
  <c r="Q112" i="1" s="1"/>
  <c r="M112" i="1"/>
  <c r="M1559" i="1"/>
  <c r="O1559" i="1"/>
  <c r="Q1559" i="1" s="1"/>
  <c r="I1560" i="1"/>
  <c r="G1560" i="1" s="1"/>
  <c r="M359" i="1"/>
  <c r="I360" i="1"/>
  <c r="G360" i="1" s="1"/>
  <c r="O359" i="1"/>
  <c r="Q359" i="1" s="1"/>
  <c r="M1079" i="1"/>
  <c r="O1079" i="1"/>
  <c r="Q1079" i="1" s="1"/>
  <c r="I1080" i="1"/>
  <c r="G1080" i="1" s="1"/>
  <c r="O2039" i="1"/>
  <c r="Q2039" i="1" s="1"/>
  <c r="M2039" i="1"/>
  <c r="I2040" i="1"/>
  <c r="G2040" i="1" s="1"/>
  <c r="I480" i="1"/>
  <c r="G480" i="1" s="1"/>
  <c r="O479" i="1"/>
  <c r="Q479" i="1" s="1"/>
  <c r="M479" i="1"/>
  <c r="I1200" i="1"/>
  <c r="G1200" i="1" s="1"/>
  <c r="M1199" i="1"/>
  <c r="O1199" i="1"/>
  <c r="Q1199" i="1" s="1"/>
  <c r="I121" i="1"/>
  <c r="I123" i="1" s="1"/>
  <c r="K608" i="1"/>
  <c r="I4831" i="1" l="1"/>
  <c r="G4829" i="1"/>
  <c r="O4829" i="1" s="1"/>
  <c r="I6890" i="1"/>
  <c r="G6890" i="1" s="1"/>
  <c r="O6890" i="1" s="1"/>
  <c r="Q6890" i="1" s="1"/>
  <c r="G6888" i="1"/>
  <c r="O6888" i="1" s="1"/>
  <c r="Q6888" i="1" s="1"/>
  <c r="G8337" i="1"/>
  <c r="O8337" i="1" s="1"/>
  <c r="Q8337" i="1" s="1"/>
  <c r="I8338" i="1"/>
  <c r="G4348" i="1"/>
  <c r="O4348" i="1" s="1"/>
  <c r="Q4348" i="1" s="1"/>
  <c r="I4349" i="1"/>
  <c r="I3742" i="1"/>
  <c r="G3742" i="1" s="1"/>
  <c r="O3742" i="1" s="1"/>
  <c r="Q3742" i="1" s="1"/>
  <c r="G3740" i="1"/>
  <c r="O3740" i="1" s="1"/>
  <c r="Q3740" i="1" s="1"/>
  <c r="G5428" i="1"/>
  <c r="O5428" i="1" s="1"/>
  <c r="Q5428" i="1" s="1"/>
  <c r="I5429" i="1"/>
  <c r="I4949" i="1"/>
  <c r="G4948" i="1"/>
  <c r="O4948" i="1" s="1"/>
  <c r="Q4948" i="1" s="1"/>
  <c r="Q6886" i="1"/>
  <c r="G7737" i="1"/>
  <c r="O7737" i="1" s="1"/>
  <c r="Q7737" i="1" s="1"/>
  <c r="I7738" i="1"/>
  <c r="G8817" i="1"/>
  <c r="O8817" i="1" s="1"/>
  <c r="Q8817" i="1" s="1"/>
  <c r="I8818" i="1"/>
  <c r="G7496" i="1"/>
  <c r="O7496" i="1" s="1"/>
  <c r="Q7496" i="1" s="1"/>
  <c r="I7497" i="1"/>
  <c r="G7128" i="1"/>
  <c r="O7128" i="1" s="1"/>
  <c r="Q7128" i="1" s="1"/>
  <c r="I7130" i="1"/>
  <c r="G7130" i="1" s="1"/>
  <c r="O7130" i="1" s="1"/>
  <c r="Q7130" i="1" s="1"/>
  <c r="I4469" i="1"/>
  <c r="G4468" i="1"/>
  <c r="O4468" i="1" s="1"/>
  <c r="Q4468" i="1" s="1"/>
  <c r="I7618" i="1"/>
  <c r="G7617" i="1"/>
  <c r="O7617" i="1" s="1"/>
  <c r="Q7617" i="1" s="1"/>
  <c r="G8577" i="1"/>
  <c r="O8577" i="1" s="1"/>
  <c r="Q8577" i="1" s="1"/>
  <c r="I8578" i="1"/>
  <c r="I3741" i="1"/>
  <c r="G3741" i="1" s="1"/>
  <c r="O3741" i="1" s="1"/>
  <c r="Q3741" i="1" s="1"/>
  <c r="G3739" i="1"/>
  <c r="O3739" i="1" s="1"/>
  <c r="Q3739" i="1" s="1"/>
  <c r="G6895" i="1"/>
  <c r="O6895" i="1" s="1"/>
  <c r="Q6895" i="1" s="1"/>
  <c r="I6896" i="1"/>
  <c r="I3867" i="1"/>
  <c r="G3866" i="1"/>
  <c r="O3866" i="1" s="1"/>
  <c r="Q3866" i="1" s="1"/>
  <c r="I3862" i="1"/>
  <c r="G3862" i="1" s="1"/>
  <c r="O3862" i="1" s="1"/>
  <c r="Q3862" i="1" s="1"/>
  <c r="G3860" i="1"/>
  <c r="O3860" i="1" s="1"/>
  <c r="Q3860" i="1" s="1"/>
  <c r="I4589" i="1"/>
  <c r="G4588" i="1"/>
  <c r="O4588" i="1" s="1"/>
  <c r="Q4588" i="1" s="1"/>
  <c r="G7255" i="1"/>
  <c r="O7255" i="1" s="1"/>
  <c r="Q7255" i="1" s="1"/>
  <c r="I7256" i="1"/>
  <c r="G7368" i="1"/>
  <c r="O7368" i="1" s="1"/>
  <c r="Q7368" i="1" s="1"/>
  <c r="I7370" i="1"/>
  <c r="G7370" i="1" s="1"/>
  <c r="O7370" i="1" s="1"/>
  <c r="Q7370" i="1" s="1"/>
  <c r="I3987" i="1"/>
  <c r="G3986" i="1"/>
  <c r="O3986" i="1" s="1"/>
  <c r="Q3986" i="1" s="1"/>
  <c r="Q3497" i="1"/>
  <c r="I5069" i="1"/>
  <c r="G5068" i="1"/>
  <c r="O5068" i="1" s="1"/>
  <c r="Q5068" i="1" s="1"/>
  <c r="G7135" i="1"/>
  <c r="O7135" i="1" s="1"/>
  <c r="Q7135" i="1" s="1"/>
  <c r="I7136" i="1"/>
  <c r="G3506" i="1"/>
  <c r="O3506" i="1" s="1"/>
  <c r="Q3506" i="1" s="1"/>
  <c r="I3507" i="1"/>
  <c r="I5189" i="1"/>
  <c r="G5188" i="1"/>
  <c r="O5188" i="1" s="1"/>
  <c r="Q5188" i="1" s="1"/>
  <c r="I3982" i="1"/>
  <c r="G3982" i="1" s="1"/>
  <c r="O3982" i="1" s="1"/>
  <c r="Q3982" i="1" s="1"/>
  <c r="G3980" i="1"/>
  <c r="O3980" i="1" s="1"/>
  <c r="Q3980" i="1" s="1"/>
  <c r="I5309" i="1"/>
  <c r="G5308" i="1"/>
  <c r="O5308" i="1" s="1"/>
  <c r="Q5308" i="1" s="1"/>
  <c r="I4229" i="1"/>
  <c r="G4228" i="1"/>
  <c r="O4228" i="1" s="1"/>
  <c r="Q4228" i="1" s="1"/>
  <c r="G3746" i="1"/>
  <c r="O3746" i="1" s="1"/>
  <c r="Q3746" i="1" s="1"/>
  <c r="I3747" i="1"/>
  <c r="G7369" i="1"/>
  <c r="O7369" i="1" s="1"/>
  <c r="Q7369" i="1" s="1"/>
  <c r="I7371" i="1"/>
  <c r="G7371" i="1" s="1"/>
  <c r="O7371" i="1" s="1"/>
  <c r="Q7371" i="1" s="1"/>
  <c r="G8097" i="1"/>
  <c r="O8097" i="1" s="1"/>
  <c r="Q8097" i="1" s="1"/>
  <c r="I8098" i="1"/>
  <c r="I3501" i="1"/>
  <c r="G3501" i="1" s="1"/>
  <c r="O3501" i="1" s="1"/>
  <c r="Q3501" i="1" s="1"/>
  <c r="G3499" i="1"/>
  <c r="O3499" i="1" s="1"/>
  <c r="Q3499" i="1" s="1"/>
  <c r="I7017" i="1"/>
  <c r="G7016" i="1"/>
  <c r="O7016" i="1" s="1"/>
  <c r="Q7016" i="1" s="1"/>
  <c r="I4709" i="1"/>
  <c r="G4708" i="1"/>
  <c r="O4708" i="1" s="1"/>
  <c r="Q4708" i="1" s="1"/>
  <c r="I3861" i="1"/>
  <c r="G3861" i="1" s="1"/>
  <c r="O3861" i="1" s="1"/>
  <c r="Q3861" i="1" s="1"/>
  <c r="G3859" i="1"/>
  <c r="O3859" i="1" s="1"/>
  <c r="Q3859" i="1" s="1"/>
  <c r="G7129" i="1"/>
  <c r="O7129" i="1" s="1"/>
  <c r="Q7129" i="1" s="1"/>
  <c r="I7131" i="1"/>
  <c r="G7131" i="1" s="1"/>
  <c r="O7131" i="1" s="1"/>
  <c r="Q7131" i="1" s="1"/>
  <c r="I8220" i="1"/>
  <c r="G8218" i="1"/>
  <c r="O8218" i="1" s="1"/>
  <c r="I4108" i="1"/>
  <c r="G4107" i="1"/>
  <c r="O4107" i="1" s="1"/>
  <c r="Q4107" i="1" s="1"/>
  <c r="I3981" i="1"/>
  <c r="G3981" i="1" s="1"/>
  <c r="O3981" i="1" s="1"/>
  <c r="Q3981" i="1" s="1"/>
  <c r="G3979" i="1"/>
  <c r="O3979" i="1" s="1"/>
  <c r="Q3979" i="1" s="1"/>
  <c r="I8698" i="1"/>
  <c r="G8697" i="1"/>
  <c r="O8697" i="1" s="1"/>
  <c r="Q8697" i="1" s="1"/>
  <c r="G7977" i="1"/>
  <c r="O7977" i="1" s="1"/>
  <c r="Q7977" i="1" s="1"/>
  <c r="I7978" i="1"/>
  <c r="G8457" i="1"/>
  <c r="O8457" i="1" s="1"/>
  <c r="Q8457" i="1" s="1"/>
  <c r="I8458" i="1"/>
  <c r="I7250" i="1"/>
  <c r="G7250" i="1" s="1"/>
  <c r="O7250" i="1" s="1"/>
  <c r="Q7250" i="1" s="1"/>
  <c r="G7248" i="1"/>
  <c r="O7248" i="1" s="1"/>
  <c r="Q7248" i="1" s="1"/>
  <c r="I6891" i="1"/>
  <c r="G6891" i="1" s="1"/>
  <c r="O6891" i="1" s="1"/>
  <c r="Q6891" i="1" s="1"/>
  <c r="G6889" i="1"/>
  <c r="O6889" i="1" s="1"/>
  <c r="Q6889" i="1" s="1"/>
  <c r="I3628" i="1"/>
  <c r="G3627" i="1"/>
  <c r="O3627" i="1" s="1"/>
  <c r="Q3627" i="1" s="1"/>
  <c r="I3502" i="1"/>
  <c r="G3502" i="1" s="1"/>
  <c r="O3502" i="1" s="1"/>
  <c r="Q3502" i="1" s="1"/>
  <c r="G3500" i="1"/>
  <c r="O3500" i="1" s="1"/>
  <c r="Q3500" i="1" s="1"/>
  <c r="G7857" i="1"/>
  <c r="O7857" i="1" s="1"/>
  <c r="Q7857" i="1" s="1"/>
  <c r="I7858" i="1"/>
  <c r="G7249" i="1"/>
  <c r="O7249" i="1" s="1"/>
  <c r="Q7249" i="1" s="1"/>
  <c r="I7251" i="1"/>
  <c r="G7251" i="1" s="1"/>
  <c r="O7251" i="1" s="1"/>
  <c r="Q7251" i="1" s="1"/>
  <c r="G7375" i="1"/>
  <c r="O7375" i="1" s="1"/>
  <c r="Q7375" i="1" s="1"/>
  <c r="I7376" i="1"/>
  <c r="Q717" i="1"/>
  <c r="Q950" i="1"/>
  <c r="Q1789" i="1"/>
  <c r="Q1430" i="1"/>
  <c r="Q710" i="1"/>
  <c r="I125" i="1"/>
  <c r="G119" i="1"/>
  <c r="O119" i="1" s="1"/>
  <c r="Q119" i="1" s="1"/>
  <c r="G958" i="1"/>
  <c r="O958" i="1" s="1"/>
  <c r="Q958" i="1" s="1"/>
  <c r="I959" i="1"/>
  <c r="M958" i="1"/>
  <c r="I953" i="1"/>
  <c r="G951" i="1"/>
  <c r="O951" i="1" s="1"/>
  <c r="Q951" i="1" s="1"/>
  <c r="M951" i="1"/>
  <c r="G952" i="1"/>
  <c r="O952" i="1" s="1"/>
  <c r="Q952" i="1" s="1"/>
  <c r="M952" i="1"/>
  <c r="I954" i="1"/>
  <c r="I1913" i="1"/>
  <c r="M1911" i="1"/>
  <c r="G1911" i="1"/>
  <c r="O1911" i="1" s="1"/>
  <c r="G1918" i="1"/>
  <c r="O1918" i="1" s="1"/>
  <c r="Q1918" i="1" s="1"/>
  <c r="I1919" i="1"/>
  <c r="M1918" i="1"/>
  <c r="I1914" i="1"/>
  <c r="G1912" i="1"/>
  <c r="O1912" i="1" s="1"/>
  <c r="Q1912" i="1" s="1"/>
  <c r="M1912" i="1"/>
  <c r="I1674" i="1"/>
  <c r="G1672" i="1"/>
  <c r="O1672" i="1" s="1"/>
  <c r="Q1672" i="1" s="1"/>
  <c r="M1672" i="1"/>
  <c r="G1678" i="1"/>
  <c r="O1678" i="1" s="1"/>
  <c r="Q1678" i="1" s="1"/>
  <c r="M1678" i="1"/>
  <c r="I1679" i="1"/>
  <c r="G1431" i="1"/>
  <c r="O1431" i="1" s="1"/>
  <c r="Q1431" i="1" s="1"/>
  <c r="M1431" i="1"/>
  <c r="I1433" i="1"/>
  <c r="G1792" i="1"/>
  <c r="O1792" i="1" s="1"/>
  <c r="Q1792" i="1" s="1"/>
  <c r="M1792" i="1"/>
  <c r="I1794" i="1"/>
  <c r="G1438" i="1"/>
  <c r="O1438" i="1" s="1"/>
  <c r="Q1438" i="1" s="1"/>
  <c r="M1438" i="1"/>
  <c r="I1439" i="1"/>
  <c r="G1791" i="1"/>
  <c r="O1791" i="1" s="1"/>
  <c r="Q1791" i="1" s="1"/>
  <c r="I1793" i="1"/>
  <c r="M1791" i="1"/>
  <c r="G1432" i="1"/>
  <c r="O1432" i="1" s="1"/>
  <c r="I1434" i="1"/>
  <c r="M1432" i="1"/>
  <c r="G1798" i="1"/>
  <c r="O1798" i="1" s="1"/>
  <c r="Q1798" i="1" s="1"/>
  <c r="I1799" i="1"/>
  <c r="M1798" i="1"/>
  <c r="G1671" i="1"/>
  <c r="O1671" i="1" s="1"/>
  <c r="Q1671" i="1" s="1"/>
  <c r="M1671" i="1"/>
  <c r="I1673" i="1"/>
  <c r="G1311" i="1"/>
  <c r="O1311" i="1" s="1"/>
  <c r="Q1311" i="1" s="1"/>
  <c r="I1313" i="1"/>
  <c r="M1311" i="1"/>
  <c r="G1318" i="1"/>
  <c r="O1318" i="1" s="1"/>
  <c r="Q1318" i="1" s="1"/>
  <c r="M1318" i="1"/>
  <c r="I1319" i="1"/>
  <c r="I1314" i="1"/>
  <c r="M1312" i="1"/>
  <c r="G1312" i="1"/>
  <c r="O1312" i="1" s="1"/>
  <c r="Q1312" i="1" s="1"/>
  <c r="M711" i="1"/>
  <c r="G711" i="1"/>
  <c r="O711" i="1" s="1"/>
  <c r="Q711" i="1" s="1"/>
  <c r="I713" i="1"/>
  <c r="G718" i="1"/>
  <c r="O718" i="1" s="1"/>
  <c r="Q718" i="1" s="1"/>
  <c r="I719" i="1"/>
  <c r="M718" i="1"/>
  <c r="G712" i="1"/>
  <c r="O712" i="1" s="1"/>
  <c r="Q712" i="1" s="1"/>
  <c r="I714" i="1"/>
  <c r="M712" i="1"/>
  <c r="G594" i="1"/>
  <c r="O594" i="1" s="1"/>
  <c r="Q594" i="1" s="1"/>
  <c r="M594" i="1"/>
  <c r="G238" i="1"/>
  <c r="O238" i="1" s="1"/>
  <c r="Q238" i="1" s="1"/>
  <c r="M238" i="1"/>
  <c r="I239" i="1"/>
  <c r="G593" i="1"/>
  <c r="O593" i="1" s="1"/>
  <c r="Q593" i="1" s="1"/>
  <c r="M593" i="1"/>
  <c r="G599" i="1"/>
  <c r="O599" i="1" s="1"/>
  <c r="Q599" i="1" s="1"/>
  <c r="M599" i="1"/>
  <c r="I600" i="1"/>
  <c r="M232" i="1"/>
  <c r="G232" i="1"/>
  <c r="O232" i="1" s="1"/>
  <c r="Q232" i="1" s="1"/>
  <c r="I234" i="1"/>
  <c r="G832" i="1"/>
  <c r="O832" i="1" s="1"/>
  <c r="I834" i="1"/>
  <c r="M832" i="1"/>
  <c r="G831" i="1"/>
  <c r="O831" i="1" s="1"/>
  <c r="I833" i="1"/>
  <c r="M831" i="1"/>
  <c r="G231" i="1"/>
  <c r="O231" i="1" s="1"/>
  <c r="Q231" i="1" s="1"/>
  <c r="M231" i="1"/>
  <c r="I233" i="1"/>
  <c r="G838" i="1"/>
  <c r="O838" i="1" s="1"/>
  <c r="Q838" i="1" s="1"/>
  <c r="I839" i="1"/>
  <c r="M838" i="1"/>
  <c r="O113" i="1"/>
  <c r="Q113" i="1" s="1"/>
  <c r="M113" i="1"/>
  <c r="O114" i="1"/>
  <c r="Q114" i="1" s="1"/>
  <c r="M114" i="1"/>
  <c r="K120" i="1"/>
  <c r="G120" i="1" s="1"/>
  <c r="M119" i="1"/>
  <c r="O1560" i="1"/>
  <c r="Q1560" i="1" s="1"/>
  <c r="I1561" i="1"/>
  <c r="I1563" i="1" s="1"/>
  <c r="M1560" i="1"/>
  <c r="I1201" i="1"/>
  <c r="I1203" i="1" s="1"/>
  <c r="M1200" i="1"/>
  <c r="O1200" i="1"/>
  <c r="Q1200" i="1" s="1"/>
  <c r="I2041" i="1"/>
  <c r="O2040" i="1"/>
  <c r="Q2040" i="1" s="1"/>
  <c r="M2040" i="1"/>
  <c r="I481" i="1"/>
  <c r="I483" i="1" s="1"/>
  <c r="M480" i="1"/>
  <c r="O480" i="1"/>
  <c r="Q480" i="1" s="1"/>
  <c r="M1080" i="1"/>
  <c r="O1080" i="1"/>
  <c r="Q1080" i="1" s="1"/>
  <c r="I1081" i="1"/>
  <c r="I1083" i="1" s="1"/>
  <c r="M360" i="1"/>
  <c r="O360" i="1"/>
  <c r="I361" i="1"/>
  <c r="I363" i="1" s="1"/>
  <c r="M363" i="1" s="1"/>
  <c r="I7377" i="1" l="1"/>
  <c r="G7376" i="1"/>
  <c r="O7376" i="1" s="1"/>
  <c r="Q7376" i="1" s="1"/>
  <c r="I8460" i="1"/>
  <c r="G8458" i="1"/>
  <c r="O8458" i="1" s="1"/>
  <c r="G4229" i="1"/>
  <c r="O4229" i="1" s="1"/>
  <c r="I4231" i="1"/>
  <c r="I3868" i="1"/>
  <c r="G3867" i="1"/>
  <c r="O3867" i="1" s="1"/>
  <c r="Q3867" i="1" s="1"/>
  <c r="G4949" i="1"/>
  <c r="O4949" i="1" s="1"/>
  <c r="I4951" i="1"/>
  <c r="I8100" i="1"/>
  <c r="G8098" i="1"/>
  <c r="O8098" i="1" s="1"/>
  <c r="G3507" i="1"/>
  <c r="O3507" i="1" s="1"/>
  <c r="Q3507" i="1" s="1"/>
  <c r="I3508" i="1"/>
  <c r="I7257" i="1"/>
  <c r="G7256" i="1"/>
  <c r="O7256" i="1" s="1"/>
  <c r="Q7256" i="1" s="1"/>
  <c r="I6897" i="1"/>
  <c r="G6896" i="1"/>
  <c r="O6896" i="1" s="1"/>
  <c r="Q6896" i="1" s="1"/>
  <c r="G7618" i="1"/>
  <c r="O7618" i="1" s="1"/>
  <c r="I7620" i="1"/>
  <c r="I8820" i="1"/>
  <c r="G8818" i="1"/>
  <c r="O8818" i="1" s="1"/>
  <c r="I5431" i="1"/>
  <c r="G5429" i="1"/>
  <c r="O5429" i="1" s="1"/>
  <c r="I8340" i="1"/>
  <c r="G8338" i="1"/>
  <c r="O8338" i="1" s="1"/>
  <c r="I3629" i="1"/>
  <c r="G3628" i="1"/>
  <c r="O3628" i="1" s="1"/>
  <c r="Q3628" i="1" s="1"/>
  <c r="I7980" i="1"/>
  <c r="G7978" i="1"/>
  <c r="O7978" i="1" s="1"/>
  <c r="G4108" i="1"/>
  <c r="O4108" i="1" s="1"/>
  <c r="Q4108" i="1" s="1"/>
  <c r="I4109" i="1"/>
  <c r="I5311" i="1"/>
  <c r="G5309" i="1"/>
  <c r="O5309" i="1" s="1"/>
  <c r="I3988" i="1"/>
  <c r="G3987" i="1"/>
  <c r="O3987" i="1" s="1"/>
  <c r="Q3987" i="1" s="1"/>
  <c r="Q8218" i="1"/>
  <c r="O8219" i="1"/>
  <c r="I4711" i="1"/>
  <c r="G4709" i="1"/>
  <c r="O4709" i="1" s="1"/>
  <c r="G7136" i="1"/>
  <c r="O7136" i="1" s="1"/>
  <c r="Q7136" i="1" s="1"/>
  <c r="I7137" i="1"/>
  <c r="I4471" i="1"/>
  <c r="G4469" i="1"/>
  <c r="O4469" i="1" s="1"/>
  <c r="I7740" i="1"/>
  <c r="G7738" i="1"/>
  <c r="O7738" i="1" s="1"/>
  <c r="G7858" i="1"/>
  <c r="O7858" i="1" s="1"/>
  <c r="I7860" i="1"/>
  <c r="I8224" i="1"/>
  <c r="I8222" i="1"/>
  <c r="M8220" i="1"/>
  <c r="G8220" i="1"/>
  <c r="O8220" i="1" s="1"/>
  <c r="G4589" i="1"/>
  <c r="O4589" i="1" s="1"/>
  <c r="I4591" i="1"/>
  <c r="I8700" i="1"/>
  <c r="G8698" i="1"/>
  <c r="O8698" i="1" s="1"/>
  <c r="I7018" i="1"/>
  <c r="G7017" i="1"/>
  <c r="O7017" i="1" s="1"/>
  <c r="Q7017" i="1" s="1"/>
  <c r="G3747" i="1"/>
  <c r="O3747" i="1" s="1"/>
  <c r="Q3747" i="1" s="1"/>
  <c r="I3748" i="1"/>
  <c r="I4351" i="1"/>
  <c r="G4349" i="1"/>
  <c r="O4349" i="1" s="1"/>
  <c r="Q4829" i="1"/>
  <c r="O4830" i="1"/>
  <c r="G5189" i="1"/>
  <c r="O5189" i="1" s="1"/>
  <c r="I5191" i="1"/>
  <c r="I5071" i="1"/>
  <c r="G5069" i="1"/>
  <c r="O5069" i="1" s="1"/>
  <c r="I8580" i="1"/>
  <c r="G8578" i="1"/>
  <c r="O8578" i="1" s="1"/>
  <c r="I7498" i="1"/>
  <c r="G7497" i="1"/>
  <c r="O7497" i="1" s="1"/>
  <c r="Q7497" i="1" s="1"/>
  <c r="G4831" i="1"/>
  <c r="O4831" i="1" s="1"/>
  <c r="I4835" i="1"/>
  <c r="I4833" i="1"/>
  <c r="M4831" i="1"/>
  <c r="Q360" i="1"/>
  <c r="Q831" i="1"/>
  <c r="Q832" i="1"/>
  <c r="Q1432" i="1"/>
  <c r="Q1911" i="1"/>
  <c r="I1205" i="1"/>
  <c r="M1205" i="1" s="1"/>
  <c r="M1203" i="1"/>
  <c r="I485" i="1"/>
  <c r="M485" i="1" s="1"/>
  <c r="M483" i="1"/>
  <c r="I1565" i="1"/>
  <c r="M1565" i="1" s="1"/>
  <c r="M1563" i="1"/>
  <c r="I1085" i="1"/>
  <c r="G1085" i="1" s="1"/>
  <c r="O1085" i="1" s="1"/>
  <c r="M1083" i="1"/>
  <c r="G1205" i="1"/>
  <c r="O1205" i="1" s="1"/>
  <c r="G363" i="1"/>
  <c r="I365" i="1"/>
  <c r="G2041" i="1"/>
  <c r="O2041" i="1" s="1"/>
  <c r="Q2041" i="1" s="1"/>
  <c r="I2043" i="1"/>
  <c r="G361" i="1"/>
  <c r="O361" i="1" s="1"/>
  <c r="Q361" i="1" s="1"/>
  <c r="G481" i="1"/>
  <c r="O481" i="1" s="1"/>
  <c r="Q481" i="1" s="1"/>
  <c r="G1081" i="1"/>
  <c r="O1081" i="1" s="1"/>
  <c r="G1201" i="1"/>
  <c r="O1201" i="1" s="1"/>
  <c r="Q1201" i="1" s="1"/>
  <c r="G1561" i="1"/>
  <c r="O1561" i="1" s="1"/>
  <c r="Q1561" i="1" s="1"/>
  <c r="G953" i="1"/>
  <c r="O953" i="1" s="1"/>
  <c r="M953" i="1"/>
  <c r="G959" i="1"/>
  <c r="O959" i="1" s="1"/>
  <c r="Q959" i="1" s="1"/>
  <c r="I960" i="1"/>
  <c r="M959" i="1"/>
  <c r="G954" i="1"/>
  <c r="O954" i="1" s="1"/>
  <c r="Q954" i="1" s="1"/>
  <c r="M954" i="1"/>
  <c r="G1914" i="1"/>
  <c r="O1914" i="1" s="1"/>
  <c r="Q1914" i="1" s="1"/>
  <c r="M1914" i="1"/>
  <c r="G1919" i="1"/>
  <c r="O1919" i="1" s="1"/>
  <c r="Q1919" i="1" s="1"/>
  <c r="M1919" i="1"/>
  <c r="I1920" i="1"/>
  <c r="G1913" i="1"/>
  <c r="O1913" i="1" s="1"/>
  <c r="M1913" i="1"/>
  <c r="G1799" i="1"/>
  <c r="O1799" i="1" s="1"/>
  <c r="Q1799" i="1" s="1"/>
  <c r="I1800" i="1"/>
  <c r="M1799" i="1"/>
  <c r="G1439" i="1"/>
  <c r="O1439" i="1" s="1"/>
  <c r="Q1439" i="1" s="1"/>
  <c r="M1439" i="1"/>
  <c r="I1440" i="1"/>
  <c r="G1679" i="1"/>
  <c r="O1679" i="1" s="1"/>
  <c r="M1679" i="1"/>
  <c r="I1680" i="1"/>
  <c r="G1434" i="1"/>
  <c r="O1434" i="1" s="1"/>
  <c r="Q1434" i="1" s="1"/>
  <c r="M1434" i="1"/>
  <c r="G1794" i="1"/>
  <c r="O1794" i="1" s="1"/>
  <c r="M1794" i="1"/>
  <c r="G1673" i="1"/>
  <c r="O1673" i="1" s="1"/>
  <c r="Q1673" i="1" s="1"/>
  <c r="M1673" i="1"/>
  <c r="G1793" i="1"/>
  <c r="O1793" i="1" s="1"/>
  <c r="Q1793" i="1" s="1"/>
  <c r="M1793" i="1"/>
  <c r="G1433" i="1"/>
  <c r="O1433" i="1" s="1"/>
  <c r="Q1433" i="1" s="1"/>
  <c r="M1433" i="1"/>
  <c r="G1674" i="1"/>
  <c r="O1674" i="1" s="1"/>
  <c r="Q1674" i="1" s="1"/>
  <c r="M1674" i="1"/>
  <c r="G1314" i="1"/>
  <c r="O1314" i="1" s="1"/>
  <c r="Q1314" i="1" s="1"/>
  <c r="M1314" i="1"/>
  <c r="G1319" i="1"/>
  <c r="O1319" i="1" s="1"/>
  <c r="Q1319" i="1" s="1"/>
  <c r="I1320" i="1"/>
  <c r="M1319" i="1"/>
  <c r="G1313" i="1"/>
  <c r="O1313" i="1" s="1"/>
  <c r="Q1313" i="1" s="1"/>
  <c r="M1313" i="1"/>
  <c r="G713" i="1"/>
  <c r="O713" i="1" s="1"/>
  <c r="Q713" i="1" s="1"/>
  <c r="M713" i="1"/>
  <c r="G714" i="1"/>
  <c r="O714" i="1" s="1"/>
  <c r="Q714" i="1" s="1"/>
  <c r="M714" i="1"/>
  <c r="G719" i="1"/>
  <c r="O719" i="1" s="1"/>
  <c r="Q719" i="1" s="1"/>
  <c r="M719" i="1"/>
  <c r="I720" i="1"/>
  <c r="G839" i="1"/>
  <c r="O839" i="1" s="1"/>
  <c r="M839" i="1"/>
  <c r="I840" i="1"/>
  <c r="G834" i="1"/>
  <c r="O834" i="1" s="1"/>
  <c r="Q834" i="1" s="1"/>
  <c r="M834" i="1"/>
  <c r="G233" i="1"/>
  <c r="O233" i="1" s="1"/>
  <c r="Q233" i="1" s="1"/>
  <c r="M233" i="1"/>
  <c r="G833" i="1"/>
  <c r="O833" i="1" s="1"/>
  <c r="Q833" i="1" s="1"/>
  <c r="M833" i="1"/>
  <c r="G600" i="1"/>
  <c r="O600" i="1" s="1"/>
  <c r="Q600" i="1" s="1"/>
  <c r="I601" i="1"/>
  <c r="I603" i="1" s="1"/>
  <c r="M600" i="1"/>
  <c r="M234" i="1"/>
  <c r="G234" i="1"/>
  <c r="O234" i="1" s="1"/>
  <c r="Q234" i="1" s="1"/>
  <c r="G239" i="1"/>
  <c r="O239" i="1" s="1"/>
  <c r="Q239" i="1" s="1"/>
  <c r="I240" i="1"/>
  <c r="M239" i="1"/>
  <c r="K121" i="1"/>
  <c r="O120" i="1"/>
  <c r="Q120" i="1" s="1"/>
  <c r="M120" i="1"/>
  <c r="M2041" i="1"/>
  <c r="M1561" i="1"/>
  <c r="M481" i="1"/>
  <c r="M1081" i="1"/>
  <c r="M361" i="1"/>
  <c r="M1201" i="1"/>
  <c r="I4836" i="1" l="1"/>
  <c r="M4835" i="1"/>
  <c r="G4835" i="1"/>
  <c r="O4835" i="1" s="1"/>
  <c r="Q5069" i="1"/>
  <c r="O5070" i="1"/>
  <c r="Q4349" i="1"/>
  <c r="O4350" i="1"/>
  <c r="I4595" i="1"/>
  <c r="I4593" i="1"/>
  <c r="M4591" i="1"/>
  <c r="G4591" i="1"/>
  <c r="O4591" i="1" s="1"/>
  <c r="Q7738" i="1"/>
  <c r="O7739" i="1"/>
  <c r="Q5309" i="1"/>
  <c r="O5310" i="1"/>
  <c r="Q8338" i="1"/>
  <c r="O8339" i="1"/>
  <c r="Q4229" i="1"/>
  <c r="O4230" i="1"/>
  <c r="O4832" i="1"/>
  <c r="Q4831" i="1"/>
  <c r="I5073" i="1"/>
  <c r="I5075" i="1"/>
  <c r="G5071" i="1"/>
  <c r="O5071" i="1" s="1"/>
  <c r="M5071" i="1"/>
  <c r="I4353" i="1"/>
  <c r="I4355" i="1"/>
  <c r="G4351" i="1"/>
  <c r="O4351" i="1" s="1"/>
  <c r="M4351" i="1"/>
  <c r="Q4589" i="1"/>
  <c r="O4590" i="1"/>
  <c r="M7740" i="1"/>
  <c r="I7744" i="1"/>
  <c r="I7742" i="1"/>
  <c r="G7740" i="1"/>
  <c r="O7740" i="1" s="1"/>
  <c r="I5315" i="1"/>
  <c r="G5311" i="1"/>
  <c r="O5311" i="1" s="1"/>
  <c r="M5311" i="1"/>
  <c r="I5313" i="1"/>
  <c r="G8340" i="1"/>
  <c r="O8340" i="1" s="1"/>
  <c r="M8340" i="1"/>
  <c r="I8344" i="1"/>
  <c r="I8342" i="1"/>
  <c r="G6897" i="1"/>
  <c r="O6897" i="1" s="1"/>
  <c r="Q6897" i="1" s="1"/>
  <c r="I6898" i="1"/>
  <c r="I4955" i="1"/>
  <c r="I4953" i="1"/>
  <c r="G4951" i="1"/>
  <c r="O4951" i="1" s="1"/>
  <c r="M4951" i="1"/>
  <c r="Q8458" i="1"/>
  <c r="O8459" i="1"/>
  <c r="I5195" i="1"/>
  <c r="I5193" i="1"/>
  <c r="G5191" i="1"/>
  <c r="O5191" i="1" s="1"/>
  <c r="M5191" i="1"/>
  <c r="I3749" i="1"/>
  <c r="G3748" i="1"/>
  <c r="O3748" i="1" s="1"/>
  <c r="Q3748" i="1" s="1"/>
  <c r="O8221" i="1"/>
  <c r="Q8220" i="1"/>
  <c r="Q4469" i="1"/>
  <c r="O4470" i="1"/>
  <c r="I4111" i="1"/>
  <c r="G4109" i="1"/>
  <c r="O4109" i="1" s="1"/>
  <c r="Q5429" i="1"/>
  <c r="O5430" i="1"/>
  <c r="Q4949" i="1"/>
  <c r="O4950" i="1"/>
  <c r="G8460" i="1"/>
  <c r="O8460" i="1" s="1"/>
  <c r="M8460" i="1"/>
  <c r="I8464" i="1"/>
  <c r="I8462" i="1"/>
  <c r="I7500" i="1"/>
  <c r="G7498" i="1"/>
  <c r="O7498" i="1" s="1"/>
  <c r="G5431" i="1"/>
  <c r="O5431" i="1" s="1"/>
  <c r="M5431" i="1"/>
  <c r="I5435" i="1"/>
  <c r="I5433" i="1"/>
  <c r="I7258" i="1"/>
  <c r="G7257" i="1"/>
  <c r="O7257" i="1" s="1"/>
  <c r="Q7257" i="1" s="1"/>
  <c r="Q5189" i="1"/>
  <c r="O5190" i="1"/>
  <c r="I4473" i="1"/>
  <c r="M4471" i="1"/>
  <c r="G4471" i="1"/>
  <c r="O4471" i="1" s="1"/>
  <c r="I4475" i="1"/>
  <c r="Q8578" i="1"/>
  <c r="O8579" i="1"/>
  <c r="G8222" i="1"/>
  <c r="O8222" i="1" s="1"/>
  <c r="M8222" i="1"/>
  <c r="G7137" i="1"/>
  <c r="O7137" i="1" s="1"/>
  <c r="Q7137" i="1" s="1"/>
  <c r="I7138" i="1"/>
  <c r="Q7978" i="1"/>
  <c r="O7979" i="1"/>
  <c r="Q8818" i="1"/>
  <c r="O8819" i="1"/>
  <c r="I3509" i="1"/>
  <c r="G3508" i="1"/>
  <c r="O3508" i="1" s="1"/>
  <c r="Q3508" i="1" s="1"/>
  <c r="G7377" i="1"/>
  <c r="O7377" i="1" s="1"/>
  <c r="Q7377" i="1" s="1"/>
  <c r="I7378" i="1"/>
  <c r="M8580" i="1"/>
  <c r="I8584" i="1"/>
  <c r="I8582" i="1"/>
  <c r="G8580" i="1"/>
  <c r="O8580" i="1" s="1"/>
  <c r="I7020" i="1"/>
  <c r="G7018" i="1"/>
  <c r="O7018" i="1" s="1"/>
  <c r="I8225" i="1"/>
  <c r="M8224" i="1"/>
  <c r="G8224" i="1"/>
  <c r="O8224" i="1" s="1"/>
  <c r="I7984" i="1"/>
  <c r="I7982" i="1"/>
  <c r="M7980" i="1"/>
  <c r="G7980" i="1"/>
  <c r="O7980" i="1" s="1"/>
  <c r="I8824" i="1"/>
  <c r="I8822" i="1"/>
  <c r="G8820" i="1"/>
  <c r="O8820" i="1" s="1"/>
  <c r="M8820" i="1"/>
  <c r="Q8698" i="1"/>
  <c r="O8699" i="1"/>
  <c r="I7864" i="1"/>
  <c r="I7862" i="1"/>
  <c r="M7860" i="1"/>
  <c r="G7860" i="1"/>
  <c r="O7860" i="1" s="1"/>
  <c r="Q4709" i="1"/>
  <c r="O4710" i="1"/>
  <c r="M7620" i="1"/>
  <c r="G7620" i="1"/>
  <c r="O7620" i="1" s="1"/>
  <c r="I7624" i="1"/>
  <c r="I7622" i="1"/>
  <c r="Q8098" i="1"/>
  <c r="O8099" i="1"/>
  <c r="I3869" i="1"/>
  <c r="G3868" i="1"/>
  <c r="O3868" i="1" s="1"/>
  <c r="Q3868" i="1" s="1"/>
  <c r="M4833" i="1"/>
  <c r="G4833" i="1"/>
  <c r="O4833" i="1" s="1"/>
  <c r="M8700" i="1"/>
  <c r="G8700" i="1"/>
  <c r="O8700" i="1" s="1"/>
  <c r="I8704" i="1"/>
  <c r="I8702" i="1"/>
  <c r="Q7858" i="1"/>
  <c r="O7859" i="1"/>
  <c r="I4713" i="1"/>
  <c r="G4711" i="1"/>
  <c r="O4711" i="1" s="1"/>
  <c r="M4711" i="1"/>
  <c r="I4715" i="1"/>
  <c r="G3988" i="1"/>
  <c r="O3988" i="1" s="1"/>
  <c r="Q3988" i="1" s="1"/>
  <c r="I3989" i="1"/>
  <c r="I3631" i="1"/>
  <c r="G3629" i="1"/>
  <c r="O3629" i="1" s="1"/>
  <c r="Q7618" i="1"/>
  <c r="O7619" i="1"/>
  <c r="I8102" i="1"/>
  <c r="M8100" i="1"/>
  <c r="G8100" i="1"/>
  <c r="O8100" i="1" s="1"/>
  <c r="I8104" i="1"/>
  <c r="I4235" i="1"/>
  <c r="M4231" i="1"/>
  <c r="I4233" i="1"/>
  <c r="G4231" i="1"/>
  <c r="O4231" i="1" s="1"/>
  <c r="Q1794" i="1"/>
  <c r="Q839" i="1"/>
  <c r="Q953" i="1"/>
  <c r="Q1081" i="1"/>
  <c r="Q1679" i="1"/>
  <c r="Q1913" i="1"/>
  <c r="G485" i="1"/>
  <c r="O485" i="1" s="1"/>
  <c r="O486" i="1" s="1"/>
  <c r="M1085" i="1"/>
  <c r="G1565" i="1"/>
  <c r="O1565" i="1" s="1"/>
  <c r="O1566" i="1" s="1"/>
  <c r="I605" i="1"/>
  <c r="G605" i="1" s="1"/>
  <c r="O605" i="1" s="1"/>
  <c r="M603" i="1"/>
  <c r="I2045" i="1"/>
  <c r="G2045" i="1" s="1"/>
  <c r="O2045" i="1" s="1"/>
  <c r="M2043" i="1"/>
  <c r="O1086" i="1"/>
  <c r="Q1085" i="1"/>
  <c r="O1206" i="1"/>
  <c r="Q1205" i="1"/>
  <c r="M365" i="1"/>
  <c r="G365" i="1"/>
  <c r="O365" i="1" s="1"/>
  <c r="G121" i="1"/>
  <c r="O121" i="1" s="1"/>
  <c r="Q121" i="1" s="1"/>
  <c r="K123" i="1"/>
  <c r="M123" i="1" s="1"/>
  <c r="G960" i="1"/>
  <c r="O960" i="1" s="1"/>
  <c r="I961" i="1"/>
  <c r="I963" i="1" s="1"/>
  <c r="M960" i="1"/>
  <c r="G1920" i="1"/>
  <c r="O1920" i="1" s="1"/>
  <c r="Q1920" i="1" s="1"/>
  <c r="I1921" i="1"/>
  <c r="I1923" i="1" s="1"/>
  <c r="M1920" i="1"/>
  <c r="G1440" i="1"/>
  <c r="O1440" i="1" s="1"/>
  <c r="Q1440" i="1" s="1"/>
  <c r="M1440" i="1"/>
  <c r="I1441" i="1"/>
  <c r="I1443" i="1" s="1"/>
  <c r="G1800" i="1"/>
  <c r="O1800" i="1" s="1"/>
  <c r="Q1800" i="1" s="1"/>
  <c r="I1801" i="1"/>
  <c r="I1803" i="1" s="1"/>
  <c r="M1800" i="1"/>
  <c r="G1680" i="1"/>
  <c r="O1680" i="1" s="1"/>
  <c r="Q1680" i="1" s="1"/>
  <c r="I1681" i="1"/>
  <c r="I1683" i="1" s="1"/>
  <c r="M1680" i="1"/>
  <c r="G1320" i="1"/>
  <c r="O1320" i="1" s="1"/>
  <c r="Q1320" i="1" s="1"/>
  <c r="M1320" i="1"/>
  <c r="I1321" i="1"/>
  <c r="I1323" i="1" s="1"/>
  <c r="G720" i="1"/>
  <c r="O720" i="1" s="1"/>
  <c r="Q720" i="1" s="1"/>
  <c r="I721" i="1"/>
  <c r="I723" i="1" s="1"/>
  <c r="M720" i="1"/>
  <c r="G240" i="1"/>
  <c r="O240" i="1" s="1"/>
  <c r="Q240" i="1" s="1"/>
  <c r="M240" i="1"/>
  <c r="I241" i="1"/>
  <c r="I243" i="1" s="1"/>
  <c r="G601" i="1"/>
  <c r="O601" i="1" s="1"/>
  <c r="Q601" i="1" s="1"/>
  <c r="M601" i="1"/>
  <c r="G840" i="1"/>
  <c r="O840" i="1" s="1"/>
  <c r="Q840" i="1" s="1"/>
  <c r="M840" i="1"/>
  <c r="I841" i="1"/>
  <c r="I843" i="1" s="1"/>
  <c r="M121" i="1"/>
  <c r="G7624" i="1" l="1"/>
  <c r="O7624" i="1" s="1"/>
  <c r="M7624" i="1"/>
  <c r="I7625" i="1"/>
  <c r="M7864" i="1"/>
  <c r="G7864" i="1"/>
  <c r="O7864" i="1" s="1"/>
  <c r="I7865" i="1"/>
  <c r="O7621" i="1"/>
  <c r="Q7620" i="1"/>
  <c r="I7022" i="1"/>
  <c r="I7024" i="1"/>
  <c r="M7020" i="1"/>
  <c r="G7020" i="1"/>
  <c r="O7020" i="1" s="1"/>
  <c r="Q7498" i="1"/>
  <c r="O7499" i="1"/>
  <c r="M8104" i="1"/>
  <c r="I8105" i="1"/>
  <c r="G8104" i="1"/>
  <c r="O8104" i="1" s="1"/>
  <c r="I3991" i="1"/>
  <c r="G3989" i="1"/>
  <c r="O3989" i="1" s="1"/>
  <c r="G8702" i="1"/>
  <c r="O8702" i="1" s="1"/>
  <c r="M8702" i="1"/>
  <c r="M7982" i="1"/>
  <c r="G7982" i="1"/>
  <c r="O7982" i="1" s="1"/>
  <c r="O8581" i="1"/>
  <c r="Q8580" i="1"/>
  <c r="I3511" i="1"/>
  <c r="G3509" i="1"/>
  <c r="O3509" i="1" s="1"/>
  <c r="O8223" i="1"/>
  <c r="Q8222" i="1"/>
  <c r="I4476" i="1"/>
  <c r="M4475" i="1"/>
  <c r="G4475" i="1"/>
  <c r="O4475" i="1" s="1"/>
  <c r="M7500" i="1"/>
  <c r="G7500" i="1"/>
  <c r="O7500" i="1" s="1"/>
  <c r="I7502" i="1"/>
  <c r="I7504" i="1"/>
  <c r="M8342" i="1"/>
  <c r="G8342" i="1"/>
  <c r="O8342" i="1" s="1"/>
  <c r="O7741" i="1"/>
  <c r="Q7740" i="1"/>
  <c r="I4356" i="1"/>
  <c r="G4355" i="1"/>
  <c r="O4355" i="1" s="1"/>
  <c r="M4355" i="1"/>
  <c r="O8101" i="1"/>
  <c r="Q8100" i="1"/>
  <c r="I8705" i="1"/>
  <c r="G8704" i="1"/>
  <c r="O8704" i="1" s="1"/>
  <c r="M8704" i="1"/>
  <c r="M7984" i="1"/>
  <c r="I7985" i="1"/>
  <c r="G7984" i="1"/>
  <c r="O7984" i="1" s="1"/>
  <c r="M8582" i="1"/>
  <c r="G8582" i="1"/>
  <c r="O8582" i="1" s="1"/>
  <c r="Q8819" i="1"/>
  <c r="O4472" i="1"/>
  <c r="Q4471" i="1"/>
  <c r="I7260" i="1"/>
  <c r="G7258" i="1"/>
  <c r="O7258" i="1" s="1"/>
  <c r="Q5430" i="1"/>
  <c r="I8345" i="1"/>
  <c r="M8344" i="1"/>
  <c r="G8344" i="1"/>
  <c r="O8344" i="1" s="1"/>
  <c r="M7742" i="1"/>
  <c r="G7742" i="1"/>
  <c r="O7742" i="1" s="1"/>
  <c r="G4353" i="1"/>
  <c r="O4353" i="1" s="1"/>
  <c r="M4353" i="1"/>
  <c r="O8701" i="1"/>
  <c r="Q8700" i="1"/>
  <c r="G3869" i="1"/>
  <c r="O3869" i="1" s="1"/>
  <c r="I3871" i="1"/>
  <c r="M8584" i="1"/>
  <c r="G8584" i="1"/>
  <c r="O8584" i="1" s="1"/>
  <c r="I8585" i="1"/>
  <c r="G5433" i="1"/>
  <c r="O5433" i="1" s="1"/>
  <c r="M5433" i="1"/>
  <c r="M7744" i="1"/>
  <c r="I7745" i="1"/>
  <c r="G7744" i="1"/>
  <c r="O7744" i="1" s="1"/>
  <c r="Q4591" i="1"/>
  <c r="O4592" i="1"/>
  <c r="Q4835" i="1"/>
  <c r="I4716" i="1"/>
  <c r="G4715" i="1"/>
  <c r="O4715" i="1" s="1"/>
  <c r="M4715" i="1"/>
  <c r="O7861" i="1"/>
  <c r="Q7860" i="1"/>
  <c r="Q8224" i="1"/>
  <c r="G4473" i="1"/>
  <c r="O4473" i="1" s="1"/>
  <c r="M4473" i="1"/>
  <c r="I5436" i="1"/>
  <c r="G5435" i="1"/>
  <c r="O5435" i="1" s="1"/>
  <c r="M5435" i="1"/>
  <c r="G8462" i="1"/>
  <c r="O8462" i="1" s="1"/>
  <c r="M8462" i="1"/>
  <c r="I3751" i="1"/>
  <c r="G3749" i="1"/>
  <c r="O3749" i="1" s="1"/>
  <c r="Q5071" i="1"/>
  <c r="O5072" i="1"/>
  <c r="M8102" i="1"/>
  <c r="G8102" i="1"/>
  <c r="O8102" i="1" s="1"/>
  <c r="Q8820" i="1"/>
  <c r="O8821" i="1"/>
  <c r="Q8821" i="1" s="1"/>
  <c r="Q4109" i="1"/>
  <c r="O4110" i="1"/>
  <c r="O4952" i="1"/>
  <c r="Q4951" i="1"/>
  <c r="Q8340" i="1"/>
  <c r="O8341" i="1"/>
  <c r="O4232" i="1"/>
  <c r="Q4231" i="1"/>
  <c r="Q4711" i="1"/>
  <c r="O4712" i="1"/>
  <c r="O4834" i="1"/>
  <c r="Q4833" i="1"/>
  <c r="M8822" i="1"/>
  <c r="G8822" i="1"/>
  <c r="O8822" i="1" s="1"/>
  <c r="I7380" i="1"/>
  <c r="G7378" i="1"/>
  <c r="O7378" i="1" s="1"/>
  <c r="I8465" i="1"/>
  <c r="M8464" i="1"/>
  <c r="G8464" i="1"/>
  <c r="O8464" i="1" s="1"/>
  <c r="I4115" i="1"/>
  <c r="I4113" i="1"/>
  <c r="G4111" i="1"/>
  <c r="O4111" i="1" s="1"/>
  <c r="M4111" i="1"/>
  <c r="M4953" i="1"/>
  <c r="G4953" i="1"/>
  <c r="O4953" i="1" s="1"/>
  <c r="M5313" i="1"/>
  <c r="G5313" i="1"/>
  <c r="O5313" i="1" s="1"/>
  <c r="I5076" i="1"/>
  <c r="G5075" i="1"/>
  <c r="O5075" i="1" s="1"/>
  <c r="M5075" i="1"/>
  <c r="M4593" i="1"/>
  <c r="G4593" i="1"/>
  <c r="O4593" i="1" s="1"/>
  <c r="M4836" i="1"/>
  <c r="G4836" i="1"/>
  <c r="O4836" i="1" s="1"/>
  <c r="Q4836" i="1" s="1"/>
  <c r="M4233" i="1"/>
  <c r="G4233" i="1"/>
  <c r="O4233" i="1" s="1"/>
  <c r="G4713" i="1"/>
  <c r="O4713" i="1" s="1"/>
  <c r="M4713" i="1"/>
  <c r="G7622" i="1"/>
  <c r="O7622" i="1" s="1"/>
  <c r="M7622" i="1"/>
  <c r="M7862" i="1"/>
  <c r="G7862" i="1"/>
  <c r="O7862" i="1" s="1"/>
  <c r="M8824" i="1"/>
  <c r="I8825" i="1"/>
  <c r="G8824" i="1"/>
  <c r="O8824" i="1" s="1"/>
  <c r="M8225" i="1"/>
  <c r="G8225" i="1"/>
  <c r="O8225" i="1" s="1"/>
  <c r="Q8225" i="1" s="1"/>
  <c r="G7138" i="1"/>
  <c r="O7138" i="1" s="1"/>
  <c r="I7140" i="1"/>
  <c r="O5432" i="1"/>
  <c r="Q5432" i="1" s="1"/>
  <c r="Q5431" i="1"/>
  <c r="Q5191" i="1"/>
  <c r="O5192" i="1"/>
  <c r="I4956" i="1"/>
  <c r="M4955" i="1"/>
  <c r="G4955" i="1"/>
  <c r="O4955" i="1" s="1"/>
  <c r="M5073" i="1"/>
  <c r="G5073" i="1"/>
  <c r="O5073" i="1" s="1"/>
  <c r="I4596" i="1"/>
  <c r="G4595" i="1"/>
  <c r="O4595" i="1" s="1"/>
  <c r="M4595" i="1"/>
  <c r="Q7018" i="1"/>
  <c r="O7019" i="1"/>
  <c r="Q8460" i="1"/>
  <c r="O8461" i="1"/>
  <c r="G5193" i="1"/>
  <c r="O5193" i="1" s="1"/>
  <c r="M5193" i="1"/>
  <c r="I6900" i="1"/>
  <c r="G6898" i="1"/>
  <c r="O6898" i="1" s="1"/>
  <c r="O5312" i="1"/>
  <c r="Q5311" i="1"/>
  <c r="Q3629" i="1"/>
  <c r="O3630" i="1"/>
  <c r="O7981" i="1"/>
  <c r="Q7980" i="1"/>
  <c r="I4236" i="1"/>
  <c r="M4235" i="1"/>
  <c r="G4235" i="1"/>
  <c r="O4235" i="1" s="1"/>
  <c r="I3633" i="1"/>
  <c r="I3635" i="1"/>
  <c r="G3631" i="1"/>
  <c r="O3631" i="1" s="1"/>
  <c r="M3631" i="1"/>
  <c r="I5196" i="1"/>
  <c r="M5195" i="1"/>
  <c r="G5195" i="1"/>
  <c r="O5195" i="1" s="1"/>
  <c r="I5316" i="1"/>
  <c r="M5315" i="1"/>
  <c r="G5315" i="1"/>
  <c r="O5315" i="1" s="1"/>
  <c r="O4352" i="1"/>
  <c r="Q4351" i="1"/>
  <c r="Q960" i="1"/>
  <c r="M2045" i="1"/>
  <c r="Q485" i="1"/>
  <c r="Q1565" i="1"/>
  <c r="M605" i="1"/>
  <c r="I725" i="1"/>
  <c r="G725" i="1" s="1"/>
  <c r="O725" i="1" s="1"/>
  <c r="M723" i="1"/>
  <c r="I1805" i="1"/>
  <c r="M1805" i="1" s="1"/>
  <c r="M1803" i="1"/>
  <c r="I1325" i="1"/>
  <c r="G1325" i="1" s="1"/>
  <c r="O1325" i="1" s="1"/>
  <c r="M1323" i="1"/>
  <c r="I965" i="1"/>
  <c r="G965" i="1" s="1"/>
  <c r="O965" i="1" s="1"/>
  <c r="M963" i="1"/>
  <c r="I1445" i="1"/>
  <c r="G1445" i="1" s="1"/>
  <c r="O1445" i="1" s="1"/>
  <c r="M1443" i="1"/>
  <c r="I245" i="1"/>
  <c r="M245" i="1" s="1"/>
  <c r="M243" i="1"/>
  <c r="I1685" i="1"/>
  <c r="M1685" i="1" s="1"/>
  <c r="M1683" i="1"/>
  <c r="I845" i="1"/>
  <c r="G845" i="1" s="1"/>
  <c r="O845" i="1" s="1"/>
  <c r="M843" i="1"/>
  <c r="I1925" i="1"/>
  <c r="G1925" i="1" s="1"/>
  <c r="O1925" i="1" s="1"/>
  <c r="M1923" i="1"/>
  <c r="K125" i="1"/>
  <c r="M125" i="1" s="1"/>
  <c r="G123" i="1"/>
  <c r="O123" i="1" s="1"/>
  <c r="Q123" i="1" s="1"/>
  <c r="O366" i="1"/>
  <c r="Q365" i="1"/>
  <c r="O606" i="1"/>
  <c r="Q605" i="1"/>
  <c r="O2046" i="1"/>
  <c r="Q2046" i="1" s="1"/>
  <c r="Q2045" i="1"/>
  <c r="G961" i="1"/>
  <c r="O961" i="1" s="1"/>
  <c r="M961" i="1"/>
  <c r="G1921" i="1"/>
  <c r="O1921" i="1" s="1"/>
  <c r="Q1921" i="1" s="1"/>
  <c r="M1921" i="1"/>
  <c r="G1681" i="1"/>
  <c r="O1681" i="1" s="1"/>
  <c r="M1681" i="1"/>
  <c r="G1801" i="1"/>
  <c r="O1801" i="1" s="1"/>
  <c r="Q1801" i="1" s="1"/>
  <c r="M1801" i="1"/>
  <c r="G1441" i="1"/>
  <c r="O1441" i="1" s="1"/>
  <c r="Q1441" i="1" s="1"/>
  <c r="M1441" i="1"/>
  <c r="G1321" i="1"/>
  <c r="O1321" i="1" s="1"/>
  <c r="Q1321" i="1" s="1"/>
  <c r="M1321" i="1"/>
  <c r="G721" i="1"/>
  <c r="O721" i="1" s="1"/>
  <c r="Q721" i="1" s="1"/>
  <c r="M721" i="1"/>
  <c r="G241" i="1"/>
  <c r="O241" i="1" s="1"/>
  <c r="Q241" i="1" s="1"/>
  <c r="M241" i="1"/>
  <c r="G841" i="1"/>
  <c r="O841" i="1" s="1"/>
  <c r="M841" i="1"/>
  <c r="Q4235" i="1" l="1"/>
  <c r="M7140" i="1"/>
  <c r="G7140" i="1"/>
  <c r="O7140" i="1" s="1"/>
  <c r="I7144" i="1"/>
  <c r="I7142" i="1"/>
  <c r="Q3749" i="1"/>
  <c r="O3750" i="1"/>
  <c r="Q4473" i="1"/>
  <c r="O4474" i="1"/>
  <c r="O4837" i="1"/>
  <c r="O4758" i="1" s="1"/>
  <c r="O4728" i="1" s="1"/>
  <c r="M8345" i="1"/>
  <c r="G8345" i="1"/>
  <c r="O8345" i="1" s="1"/>
  <c r="Q8345" i="1" s="1"/>
  <c r="Q8704" i="1"/>
  <c r="G5196" i="1"/>
  <c r="O5196" i="1" s="1"/>
  <c r="Q5196" i="1" s="1"/>
  <c r="M5196" i="1"/>
  <c r="Q4955" i="1"/>
  <c r="Q7138" i="1"/>
  <c r="O7139" i="1"/>
  <c r="O4594" i="1"/>
  <c r="Q4593" i="1"/>
  <c r="Q4953" i="1"/>
  <c r="O4954" i="1"/>
  <c r="M8465" i="1"/>
  <c r="G8465" i="1"/>
  <c r="O8465" i="1" s="1"/>
  <c r="Q8465" i="1" s="1"/>
  <c r="O8103" i="1"/>
  <c r="Q8102" i="1"/>
  <c r="G3751" i="1"/>
  <c r="O3751" i="1" s="1"/>
  <c r="I3755" i="1"/>
  <c r="I3753" i="1"/>
  <c r="M3751" i="1"/>
  <c r="O8226" i="1"/>
  <c r="O8147" i="1" s="1"/>
  <c r="O8117" i="1" s="1"/>
  <c r="Q8582" i="1"/>
  <c r="O8583" i="1"/>
  <c r="G8705" i="1"/>
  <c r="O8705" i="1" s="1"/>
  <c r="Q8705" i="1" s="1"/>
  <c r="M8705" i="1"/>
  <c r="G7504" i="1"/>
  <c r="O7504" i="1" s="1"/>
  <c r="I7505" i="1"/>
  <c r="M7504" i="1"/>
  <c r="O8703" i="1"/>
  <c r="Q8702" i="1"/>
  <c r="M7865" i="1"/>
  <c r="G7865" i="1"/>
  <c r="O7865" i="1" s="1"/>
  <c r="Q7865" i="1" s="1"/>
  <c r="G4236" i="1"/>
  <c r="O4236" i="1" s="1"/>
  <c r="Q4236" i="1" s="1"/>
  <c r="M4236" i="1"/>
  <c r="Q6898" i="1"/>
  <c r="O6899" i="1"/>
  <c r="O7623" i="1"/>
  <c r="Q7622" i="1"/>
  <c r="O5434" i="1"/>
  <c r="Q5434" i="1" s="1"/>
  <c r="Q5433" i="1"/>
  <c r="Q4355" i="1"/>
  <c r="G7502" i="1"/>
  <c r="O7502" i="1" s="1"/>
  <c r="M7502" i="1"/>
  <c r="Q3509" i="1"/>
  <c r="O3510" i="1"/>
  <c r="Q3989" i="1"/>
  <c r="O3990" i="1"/>
  <c r="Q7864" i="1"/>
  <c r="G6900" i="1"/>
  <c r="O6900" i="1" s="1"/>
  <c r="I6904" i="1"/>
  <c r="M6900" i="1"/>
  <c r="I6902" i="1"/>
  <c r="M4956" i="1"/>
  <c r="G4956" i="1"/>
  <c r="O4956" i="1" s="1"/>
  <c r="Q4956" i="1" s="1"/>
  <c r="O8463" i="1"/>
  <c r="Q8462" i="1"/>
  <c r="M8585" i="1"/>
  <c r="G8585" i="1"/>
  <c r="O8585" i="1" s="1"/>
  <c r="Q8585" i="1" s="1"/>
  <c r="O4354" i="1"/>
  <c r="Q4353" i="1"/>
  <c r="Q7258" i="1"/>
  <c r="O7259" i="1"/>
  <c r="Q7984" i="1"/>
  <c r="G4356" i="1"/>
  <c r="O4356" i="1" s="1"/>
  <c r="Q4356" i="1" s="1"/>
  <c r="M4356" i="1"/>
  <c r="Q7500" i="1"/>
  <c r="O7501" i="1"/>
  <c r="M3511" i="1"/>
  <c r="G3511" i="1"/>
  <c r="O3511" i="1" s="1"/>
  <c r="I3513" i="1"/>
  <c r="I3515" i="1"/>
  <c r="M3991" i="1"/>
  <c r="I3995" i="1"/>
  <c r="I3993" i="1"/>
  <c r="G3991" i="1"/>
  <c r="O3991" i="1" s="1"/>
  <c r="Q7020" i="1"/>
  <c r="O7021" i="1"/>
  <c r="Q5315" i="1"/>
  <c r="Q4595" i="1"/>
  <c r="Q8824" i="1"/>
  <c r="O4714" i="1"/>
  <c r="Q4713" i="1"/>
  <c r="Q5075" i="1"/>
  <c r="O4112" i="1"/>
  <c r="Q4111" i="1"/>
  <c r="Q7378" i="1"/>
  <c r="O7379" i="1"/>
  <c r="Q8584" i="1"/>
  <c r="O7743" i="1"/>
  <c r="Q7742" i="1"/>
  <c r="I7264" i="1"/>
  <c r="I7262" i="1"/>
  <c r="M7260" i="1"/>
  <c r="G7260" i="1"/>
  <c r="O7260" i="1" s="1"/>
  <c r="G7985" i="1"/>
  <c r="O7985" i="1" s="1"/>
  <c r="Q7985" i="1" s="1"/>
  <c r="M7985" i="1"/>
  <c r="Q8104" i="1"/>
  <c r="G7625" i="1"/>
  <c r="O7625" i="1" s="1"/>
  <c r="Q7625" i="1" s="1"/>
  <c r="M7625" i="1"/>
  <c r="O3632" i="1"/>
  <c r="Q3631" i="1"/>
  <c r="Q5193" i="1"/>
  <c r="O5194" i="1"/>
  <c r="G4596" i="1"/>
  <c r="O4596" i="1" s="1"/>
  <c r="Q4596" i="1" s="1"/>
  <c r="M4596" i="1"/>
  <c r="G8825" i="1"/>
  <c r="O8825" i="1" s="1"/>
  <c r="Q8825" i="1" s="1"/>
  <c r="M8825" i="1"/>
  <c r="O4234" i="1"/>
  <c r="Q4233" i="1"/>
  <c r="G5076" i="1"/>
  <c r="O5076" i="1" s="1"/>
  <c r="Q5076" i="1" s="1"/>
  <c r="M5076" i="1"/>
  <c r="G4113" i="1"/>
  <c r="O4113" i="1" s="1"/>
  <c r="M4113" i="1"/>
  <c r="M7380" i="1"/>
  <c r="G7380" i="1"/>
  <c r="O7380" i="1" s="1"/>
  <c r="I7384" i="1"/>
  <c r="I7382" i="1"/>
  <c r="Q5435" i="1"/>
  <c r="Q4475" i="1"/>
  <c r="M8105" i="1"/>
  <c r="G8105" i="1"/>
  <c r="O8105" i="1" s="1"/>
  <c r="Q8105" i="1" s="1"/>
  <c r="I7025" i="1"/>
  <c r="G7024" i="1"/>
  <c r="O7024" i="1" s="1"/>
  <c r="M7024" i="1"/>
  <c r="G5316" i="1"/>
  <c r="O5316" i="1" s="1"/>
  <c r="Q5316" i="1" s="1"/>
  <c r="M5316" i="1"/>
  <c r="I3636" i="1"/>
  <c r="M3635" i="1"/>
  <c r="G3635" i="1"/>
  <c r="O3635" i="1" s="1"/>
  <c r="I4116" i="1"/>
  <c r="M4115" i="1"/>
  <c r="G4115" i="1"/>
  <c r="O4115" i="1" s="1"/>
  <c r="O8823" i="1"/>
  <c r="Q8823" i="1" s="1"/>
  <c r="Q8822" i="1"/>
  <c r="M5436" i="1"/>
  <c r="G5436" i="1"/>
  <c r="O5436" i="1" s="1"/>
  <c r="Q5436" i="1" s="1"/>
  <c r="Q4715" i="1"/>
  <c r="Q7744" i="1"/>
  <c r="M3871" i="1"/>
  <c r="I3873" i="1"/>
  <c r="I3875" i="1"/>
  <c r="G3871" i="1"/>
  <c r="O3871" i="1" s="1"/>
  <c r="Q8344" i="1"/>
  <c r="O8343" i="1"/>
  <c r="Q8342" i="1"/>
  <c r="O7983" i="1"/>
  <c r="Q7982" i="1"/>
  <c r="G7022" i="1"/>
  <c r="O7022" i="1" s="1"/>
  <c r="M7022" i="1"/>
  <c r="Q7624" i="1"/>
  <c r="Q5195" i="1"/>
  <c r="G3633" i="1"/>
  <c r="O3633" i="1" s="1"/>
  <c r="M3633" i="1"/>
  <c r="Q5073" i="1"/>
  <c r="O5074" i="1"/>
  <c r="O7863" i="1"/>
  <c r="Q7862" i="1"/>
  <c r="Q5313" i="1"/>
  <c r="O5314" i="1"/>
  <c r="Q8464" i="1"/>
  <c r="G4716" i="1"/>
  <c r="O4716" i="1" s="1"/>
  <c r="Q4716" i="1" s="1"/>
  <c r="M4716" i="1"/>
  <c r="G7745" i="1"/>
  <c r="O7745" i="1" s="1"/>
  <c r="Q7745" i="1" s="1"/>
  <c r="M7745" i="1"/>
  <c r="Q3869" i="1"/>
  <c r="O3870" i="1"/>
  <c r="M4476" i="1"/>
  <c r="G4476" i="1"/>
  <c r="O4476" i="1" s="1"/>
  <c r="Q4476" i="1" s="1"/>
  <c r="Q961" i="1"/>
  <c r="Q841" i="1"/>
  <c r="Q1681" i="1"/>
  <c r="G1805" i="1"/>
  <c r="O1805" i="1" s="1"/>
  <c r="O1806" i="1" s="1"/>
  <c r="G1685" i="1"/>
  <c r="O1685" i="1" s="1"/>
  <c r="Q1685" i="1" s="1"/>
  <c r="M725" i="1"/>
  <c r="M1445" i="1"/>
  <c r="G245" i="1"/>
  <c r="O245" i="1" s="1"/>
  <c r="Q245" i="1" s="1"/>
  <c r="M1925" i="1"/>
  <c r="M1325" i="1"/>
  <c r="M845" i="1"/>
  <c r="G125" i="1"/>
  <c r="O125" i="1" s="1"/>
  <c r="Q125" i="1" s="1"/>
  <c r="M965" i="1"/>
  <c r="O1326" i="1"/>
  <c r="Q1325" i="1"/>
  <c r="O1926" i="1"/>
  <c r="Q1925" i="1"/>
  <c r="O726" i="1"/>
  <c r="Q725" i="1"/>
  <c r="O1446" i="1"/>
  <c r="Q1445" i="1"/>
  <c r="O846" i="1"/>
  <c r="Q845" i="1"/>
  <c r="O966" i="1"/>
  <c r="Q965" i="1"/>
  <c r="I127" i="1"/>
  <c r="O4597" i="1" l="1"/>
  <c r="O4518" i="1" s="1"/>
  <c r="O4488" i="1" s="1"/>
  <c r="O8346" i="1"/>
  <c r="O8267" i="1" s="1"/>
  <c r="O8237" i="1" s="1"/>
  <c r="O8586" i="1"/>
  <c r="O8507" i="1" s="1"/>
  <c r="O8477" i="1" s="1"/>
  <c r="O8466" i="1"/>
  <c r="O8387" i="1" s="1"/>
  <c r="O8357" i="1" s="1"/>
  <c r="O7746" i="1"/>
  <c r="O7667" i="1" s="1"/>
  <c r="O7637" i="1" s="1"/>
  <c r="O5197" i="1"/>
  <c r="O5118" i="1" s="1"/>
  <c r="O5088" i="1" s="1"/>
  <c r="O7986" i="1"/>
  <c r="Q1805" i="1"/>
  <c r="O8106" i="1"/>
  <c r="O8027" i="1" s="1"/>
  <c r="O7997" i="1" s="1"/>
  <c r="O5437" i="1"/>
  <c r="Q5437" i="1" s="1"/>
  <c r="O7907" i="1"/>
  <c r="O7877" i="1" s="1"/>
  <c r="M3873" i="1"/>
  <c r="G3873" i="1"/>
  <c r="O3873" i="1" s="1"/>
  <c r="M3636" i="1"/>
  <c r="G3636" i="1"/>
  <c r="O3636" i="1" s="1"/>
  <c r="Q3636" i="1" s="1"/>
  <c r="O4477" i="1"/>
  <c r="O4398" i="1" s="1"/>
  <c r="O4368" i="1" s="1"/>
  <c r="O7866" i="1"/>
  <c r="O7787" i="1" s="1"/>
  <c r="O7757" i="1" s="1"/>
  <c r="O7503" i="1"/>
  <c r="Q7502" i="1"/>
  <c r="G7505" i="1"/>
  <c r="O7505" i="1" s="1"/>
  <c r="Q7505" i="1" s="1"/>
  <c r="M7505" i="1"/>
  <c r="O8706" i="1"/>
  <c r="O8627" i="1" s="1"/>
  <c r="O8597" i="1" s="1"/>
  <c r="O7381" i="1"/>
  <c r="Q7380" i="1"/>
  <c r="O6901" i="1"/>
  <c r="Q6900" i="1"/>
  <c r="O3634" i="1"/>
  <c r="Q3633" i="1"/>
  <c r="O7261" i="1"/>
  <c r="Q7260" i="1"/>
  <c r="O8826" i="1"/>
  <c r="O3992" i="1"/>
  <c r="Q3991" i="1"/>
  <c r="O4357" i="1"/>
  <c r="O4278" i="1" s="1"/>
  <c r="O4248" i="1" s="1"/>
  <c r="Q7504" i="1"/>
  <c r="O7506" i="1"/>
  <c r="M3753" i="1"/>
  <c r="G3753" i="1"/>
  <c r="O3753" i="1" s="1"/>
  <c r="G7142" i="1"/>
  <c r="O7142" i="1" s="1"/>
  <c r="M7142" i="1"/>
  <c r="O3512" i="1"/>
  <c r="Q3511" i="1"/>
  <c r="Q4115" i="1"/>
  <c r="O4114" i="1"/>
  <c r="Q4113" i="1"/>
  <c r="M3993" i="1"/>
  <c r="G3993" i="1"/>
  <c r="O3993" i="1" s="1"/>
  <c r="I3756" i="1"/>
  <c r="G3755" i="1"/>
  <c r="O3755" i="1" s="1"/>
  <c r="M3755" i="1"/>
  <c r="G7144" i="1"/>
  <c r="O7144" i="1" s="1"/>
  <c r="M7144" i="1"/>
  <c r="I7145" i="1"/>
  <c r="O3752" i="1"/>
  <c r="Q3751" i="1"/>
  <c r="O7141" i="1"/>
  <c r="Q7140" i="1"/>
  <c r="I3996" i="1"/>
  <c r="M3995" i="1"/>
  <c r="G3995" i="1"/>
  <c r="O3995" i="1" s="1"/>
  <c r="O7626" i="1"/>
  <c r="O7547" i="1" s="1"/>
  <c r="O7517" i="1" s="1"/>
  <c r="G4116" i="1"/>
  <c r="O4116" i="1" s="1"/>
  <c r="Q4116" i="1" s="1"/>
  <c r="M4116" i="1"/>
  <c r="Q7024" i="1"/>
  <c r="G7264" i="1"/>
  <c r="O7264" i="1" s="1"/>
  <c r="M7264" i="1"/>
  <c r="I7265" i="1"/>
  <c r="M6902" i="1"/>
  <c r="G6902" i="1"/>
  <c r="O6902" i="1" s="1"/>
  <c r="O7023" i="1"/>
  <c r="Q7022" i="1"/>
  <c r="I3876" i="1"/>
  <c r="G3875" i="1"/>
  <c r="O3875" i="1" s="1"/>
  <c r="M3875" i="1"/>
  <c r="M7262" i="1"/>
  <c r="G7262" i="1"/>
  <c r="O7262" i="1" s="1"/>
  <c r="O4717" i="1"/>
  <c r="O4638" i="1" s="1"/>
  <c r="O4608" i="1" s="1"/>
  <c r="G7025" i="1"/>
  <c r="O7025" i="1" s="1"/>
  <c r="Q7025" i="1" s="1"/>
  <c r="M7025" i="1"/>
  <c r="M7382" i="1"/>
  <c r="G7382" i="1"/>
  <c r="O7382" i="1" s="1"/>
  <c r="O5077" i="1"/>
  <c r="O4998" i="1" s="1"/>
  <c r="O4968" i="1" s="1"/>
  <c r="O5317" i="1"/>
  <c r="O5238" i="1" s="1"/>
  <c r="O5208" i="1" s="1"/>
  <c r="I3516" i="1"/>
  <c r="M3515" i="1"/>
  <c r="G3515" i="1"/>
  <c r="O3515" i="1" s="1"/>
  <c r="O4237" i="1"/>
  <c r="O4158" i="1" s="1"/>
  <c r="O4128" i="1" s="1"/>
  <c r="O3872" i="1"/>
  <c r="Q3871" i="1"/>
  <c r="Q3635" i="1"/>
  <c r="G7384" i="1"/>
  <c r="O7384" i="1" s="1"/>
  <c r="M7384" i="1"/>
  <c r="I7385" i="1"/>
  <c r="M3513" i="1"/>
  <c r="G3513" i="1"/>
  <c r="O3513" i="1" s="1"/>
  <c r="M6904" i="1"/>
  <c r="G6904" i="1"/>
  <c r="O6904" i="1" s="1"/>
  <c r="I6905" i="1"/>
  <c r="O5358" i="1"/>
  <c r="O5328" i="1" s="1"/>
  <c r="O4957" i="1"/>
  <c r="O4878" i="1" s="1"/>
  <c r="O4848" i="1" s="1"/>
  <c r="O1686" i="1"/>
  <c r="O246" i="1"/>
  <c r="O126" i="1"/>
  <c r="O482" i="1"/>
  <c r="O362" i="1"/>
  <c r="G2043" i="1"/>
  <c r="O2043" i="1" s="1"/>
  <c r="Q2043" i="1" s="1"/>
  <c r="I2047" i="1"/>
  <c r="G2047" i="1" s="1"/>
  <c r="I1207" i="1"/>
  <c r="G1207" i="1" s="1"/>
  <c r="G1203" i="1"/>
  <c r="O1203" i="1" s="1"/>
  <c r="Q1203" i="1" s="1"/>
  <c r="I1567" i="1"/>
  <c r="G1567" i="1" s="1"/>
  <c r="G1563" i="1"/>
  <c r="O1563" i="1" s="1"/>
  <c r="Q1563" i="1" s="1"/>
  <c r="I128" i="1"/>
  <c r="I487" i="1"/>
  <c r="G487" i="1" s="1"/>
  <c r="G483" i="1"/>
  <c r="O483" i="1" s="1"/>
  <c r="Q483" i="1" s="1"/>
  <c r="I367" i="1"/>
  <c r="G367" i="1" s="1"/>
  <c r="O363" i="1"/>
  <c r="Q363" i="1" s="1"/>
  <c r="I967" i="1"/>
  <c r="G967" i="1" s="1"/>
  <c r="G963" i="1"/>
  <c r="O963" i="1" s="1"/>
  <c r="Q963" i="1" s="1"/>
  <c r="G1083" i="1"/>
  <c r="O1083" i="1" s="1"/>
  <c r="Q1083" i="1" s="1"/>
  <c r="I1087" i="1"/>
  <c r="G1087" i="1" s="1"/>
  <c r="O7026" i="1" l="1"/>
  <c r="O6947" i="1" s="1"/>
  <c r="O6917" i="1" s="1"/>
  <c r="O7427" i="1"/>
  <c r="O7397" i="1" s="1"/>
  <c r="M7385" i="1"/>
  <c r="G7385" i="1"/>
  <c r="O7385" i="1" s="1"/>
  <c r="Q7385" i="1" s="1"/>
  <c r="Q3875" i="1"/>
  <c r="Q3995" i="1"/>
  <c r="Q7384" i="1"/>
  <c r="M6905" i="1"/>
  <c r="G6905" i="1"/>
  <c r="O6905" i="1" s="1"/>
  <c r="Q6905" i="1" s="1"/>
  <c r="O3637" i="1"/>
  <c r="O3558" i="1" s="1"/>
  <c r="O3528" i="1" s="1"/>
  <c r="Q3515" i="1"/>
  <c r="Q7264" i="1"/>
  <c r="M3996" i="1"/>
  <c r="G3996" i="1"/>
  <c r="O3996" i="1" s="1"/>
  <c r="Q3996" i="1" s="1"/>
  <c r="Q7144" i="1"/>
  <c r="O4117" i="1"/>
  <c r="O4038" i="1" s="1"/>
  <c r="O4008" i="1" s="1"/>
  <c r="O3754" i="1"/>
  <c r="Q3753" i="1"/>
  <c r="M3516" i="1"/>
  <c r="G3516" i="1"/>
  <c r="O3516" i="1" s="1"/>
  <c r="Q3516" i="1" s="1"/>
  <c r="Q6904" i="1"/>
  <c r="O7263" i="1"/>
  <c r="Q7262" i="1"/>
  <c r="Q3755" i="1"/>
  <c r="M3756" i="1"/>
  <c r="G3756" i="1"/>
  <c r="O3756" i="1" s="1"/>
  <c r="Q3756" i="1" s="1"/>
  <c r="O3874" i="1"/>
  <c r="Q3873" i="1"/>
  <c r="O3514" i="1"/>
  <c r="Q3513" i="1"/>
  <c r="Q6902" i="1"/>
  <c r="O6903" i="1"/>
  <c r="Q3993" i="1"/>
  <c r="O3994" i="1"/>
  <c r="O7383" i="1"/>
  <c r="Q7382" i="1"/>
  <c r="M3876" i="1"/>
  <c r="G3876" i="1"/>
  <c r="O3876" i="1" s="1"/>
  <c r="Q3876" i="1" s="1"/>
  <c r="G7265" i="1"/>
  <c r="O7265" i="1" s="1"/>
  <c r="Q7265" i="1" s="1"/>
  <c r="M7265" i="1"/>
  <c r="G7145" i="1"/>
  <c r="O7145" i="1" s="1"/>
  <c r="Q7145" i="1" s="1"/>
  <c r="M7145" i="1"/>
  <c r="O7143" i="1"/>
  <c r="Q7142" i="1"/>
  <c r="Q8826" i="1"/>
  <c r="O8747" i="1"/>
  <c r="O8717" i="1" s="1"/>
  <c r="I607" i="1"/>
  <c r="G603" i="1"/>
  <c r="O603" i="1" s="1"/>
  <c r="Q603" i="1" s="1"/>
  <c r="O1204" i="1"/>
  <c r="O964" i="1"/>
  <c r="O484" i="1"/>
  <c r="O2044" i="1"/>
  <c r="Q2044" i="1" s="1"/>
  <c r="O364" i="1"/>
  <c r="O1564" i="1"/>
  <c r="O122" i="1"/>
  <c r="O1084" i="1"/>
  <c r="K127" i="1"/>
  <c r="G127" i="1" s="1"/>
  <c r="M967" i="1"/>
  <c r="I968" i="1"/>
  <c r="G968" i="1" s="1"/>
  <c r="O967" i="1"/>
  <c r="O487" i="1"/>
  <c r="Q487" i="1" s="1"/>
  <c r="I488" i="1"/>
  <c r="G488" i="1" s="1"/>
  <c r="M487" i="1"/>
  <c r="O1207" i="1"/>
  <c r="Q1207" i="1" s="1"/>
  <c r="I1208" i="1"/>
  <c r="G1208" i="1" s="1"/>
  <c r="M1207" i="1"/>
  <c r="O367" i="1"/>
  <c r="Q367" i="1" s="1"/>
  <c r="I368" i="1"/>
  <c r="G368" i="1" s="1"/>
  <c r="M367" i="1"/>
  <c r="I1568" i="1"/>
  <c r="G1568" i="1" s="1"/>
  <c r="M1567" i="1"/>
  <c r="O1567" i="1"/>
  <c r="Q1567" i="1" s="1"/>
  <c r="M2047" i="1"/>
  <c r="I2048" i="1"/>
  <c r="G2048" i="1" s="1"/>
  <c r="O2047" i="1"/>
  <c r="M1087" i="1"/>
  <c r="I1088" i="1"/>
  <c r="G1088" i="1" s="1"/>
  <c r="O1087" i="1"/>
  <c r="R5437" i="1" l="1"/>
  <c r="R8826" i="1"/>
  <c r="O7386" i="1"/>
  <c r="O7307" i="1" s="1"/>
  <c r="O7277" i="1" s="1"/>
  <c r="O6906" i="1"/>
  <c r="O6827" i="1" s="1"/>
  <c r="O6797" i="1" s="1"/>
  <c r="O7266" i="1"/>
  <c r="O7187" i="1" s="1"/>
  <c r="O7157" i="1" s="1"/>
  <c r="O3757" i="1"/>
  <c r="O3678" i="1" s="1"/>
  <c r="O3648" i="1" s="1"/>
  <c r="O3517" i="1"/>
  <c r="O3438" i="1" s="1"/>
  <c r="O3408" i="1" s="1"/>
  <c r="O3997" i="1"/>
  <c r="O3918" i="1" s="1"/>
  <c r="O3888" i="1" s="1"/>
  <c r="O7146" i="1"/>
  <c r="O7067" i="1" s="1"/>
  <c r="O7037" i="1" s="1"/>
  <c r="O3877" i="1"/>
  <c r="O3798" i="1" s="1"/>
  <c r="O3768" i="1" s="1"/>
  <c r="Q967" i="1"/>
  <c r="Q1087" i="1"/>
  <c r="Q2047" i="1"/>
  <c r="G1923" i="1"/>
  <c r="O1923" i="1" s="1"/>
  <c r="I1927" i="1"/>
  <c r="I1447" i="1"/>
  <c r="G1443" i="1"/>
  <c r="O1443" i="1" s="1"/>
  <c r="Q1443" i="1" s="1"/>
  <c r="I1687" i="1"/>
  <c r="G1683" i="1"/>
  <c r="O1683" i="1" s="1"/>
  <c r="Q1683" i="1" s="1"/>
  <c r="G1803" i="1"/>
  <c r="O1803" i="1" s="1"/>
  <c r="Q1803" i="1" s="1"/>
  <c r="I1807" i="1"/>
  <c r="G1323" i="1"/>
  <c r="O1323" i="1" s="1"/>
  <c r="Q1323" i="1" s="1"/>
  <c r="I1327" i="1"/>
  <c r="G723" i="1"/>
  <c r="O723" i="1" s="1"/>
  <c r="Q723" i="1" s="1"/>
  <c r="I727" i="1"/>
  <c r="O242" i="1"/>
  <c r="O604" i="1"/>
  <c r="G607" i="1"/>
  <c r="O607" i="1" s="1"/>
  <c r="M607" i="1"/>
  <c r="I608" i="1"/>
  <c r="I247" i="1"/>
  <c r="G243" i="1"/>
  <c r="O243" i="1" s="1"/>
  <c r="Q243" i="1" s="1"/>
  <c r="G843" i="1"/>
  <c r="O843" i="1" s="1"/>
  <c r="Q843" i="1" s="1"/>
  <c r="I847" i="1"/>
  <c r="O124" i="1"/>
  <c r="K128" i="1"/>
  <c r="G128" i="1" s="1"/>
  <c r="O127" i="1"/>
  <c r="Q127" i="1" s="1"/>
  <c r="M127" i="1"/>
  <c r="M488" i="1"/>
  <c r="O488" i="1"/>
  <c r="Q488" i="1" s="1"/>
  <c r="O1088" i="1"/>
  <c r="Q1088" i="1" s="1"/>
  <c r="M1088" i="1"/>
  <c r="O368" i="1"/>
  <c r="Q368" i="1" s="1"/>
  <c r="M368" i="1"/>
  <c r="M1208" i="1"/>
  <c r="O1208" i="1"/>
  <c r="Q1208" i="1" s="1"/>
  <c r="O2048" i="1"/>
  <c r="Q2048" i="1" s="1"/>
  <c r="M2048" i="1"/>
  <c r="O1568" i="1"/>
  <c r="Q1568" i="1" s="1"/>
  <c r="M1568" i="1"/>
  <c r="O968" i="1"/>
  <c r="Q968" i="1" s="1"/>
  <c r="M968" i="1"/>
  <c r="Q607" i="1" l="1"/>
  <c r="Q1923" i="1"/>
  <c r="O2049" i="1"/>
  <c r="Q2049" i="1" s="1"/>
  <c r="G1927" i="1"/>
  <c r="O1927" i="1" s="1"/>
  <c r="Q1927" i="1" s="1"/>
  <c r="I1928" i="1"/>
  <c r="M1927" i="1"/>
  <c r="O1924" i="1"/>
  <c r="O1804" i="1"/>
  <c r="O1684" i="1"/>
  <c r="G1687" i="1"/>
  <c r="O1687" i="1" s="1"/>
  <c r="Q1687" i="1" s="1"/>
  <c r="I1688" i="1"/>
  <c r="M1687" i="1"/>
  <c r="G1807" i="1"/>
  <c r="O1807" i="1" s="1"/>
  <c r="Q1807" i="1" s="1"/>
  <c r="M1807" i="1"/>
  <c r="I1808" i="1"/>
  <c r="O1444" i="1"/>
  <c r="G1447" i="1"/>
  <c r="O1447" i="1" s="1"/>
  <c r="Q1447" i="1" s="1"/>
  <c r="M1447" i="1"/>
  <c r="I1448" i="1"/>
  <c r="G1327" i="1"/>
  <c r="O1327" i="1" s="1"/>
  <c r="Q1327" i="1" s="1"/>
  <c r="M1327" i="1"/>
  <c r="I1328" i="1"/>
  <c r="O1324" i="1"/>
  <c r="G727" i="1"/>
  <c r="O727" i="1" s="1"/>
  <c r="Q727" i="1" s="1"/>
  <c r="I728" i="1"/>
  <c r="M727" i="1"/>
  <c r="O724" i="1"/>
  <c r="O844" i="1"/>
  <c r="O244" i="1"/>
  <c r="G608" i="1"/>
  <c r="O608" i="1" s="1"/>
  <c r="Q608" i="1" s="1"/>
  <c r="M608" i="1"/>
  <c r="G847" i="1"/>
  <c r="O847" i="1" s="1"/>
  <c r="Q847" i="1" s="1"/>
  <c r="M847" i="1"/>
  <c r="I848" i="1"/>
  <c r="G247" i="1"/>
  <c r="O247" i="1" s="1"/>
  <c r="Q247" i="1" s="1"/>
  <c r="I248" i="1"/>
  <c r="M247" i="1"/>
  <c r="O489" i="1"/>
  <c r="O128" i="1"/>
  <c r="Q128" i="1" s="1"/>
  <c r="M128" i="1"/>
  <c r="O1209" i="1"/>
  <c r="O969" i="1"/>
  <c r="O1569" i="1"/>
  <c r="O369" i="1"/>
  <c r="O1089" i="1"/>
  <c r="O290" i="1" l="1"/>
  <c r="O410" i="1"/>
  <c r="G1928" i="1"/>
  <c r="O1928" i="1" s="1"/>
  <c r="M1928" i="1"/>
  <c r="G1448" i="1"/>
  <c r="O1448" i="1" s="1"/>
  <c r="Q1448" i="1" s="1"/>
  <c r="M1448" i="1"/>
  <c r="G1688" i="1"/>
  <c r="O1688" i="1" s="1"/>
  <c r="Q1688" i="1" s="1"/>
  <c r="M1688" i="1"/>
  <c r="G1808" i="1"/>
  <c r="O1808" i="1" s="1"/>
  <c r="Q1808" i="1" s="1"/>
  <c r="M1808" i="1"/>
  <c r="G1328" i="1"/>
  <c r="O1328" i="1" s="1"/>
  <c r="Q1328" i="1" s="1"/>
  <c r="M1328" i="1"/>
  <c r="O609" i="1"/>
  <c r="G728" i="1"/>
  <c r="O728" i="1" s="1"/>
  <c r="Q728" i="1" s="1"/>
  <c r="M728" i="1"/>
  <c r="G248" i="1"/>
  <c r="O248" i="1" s="1"/>
  <c r="Q248" i="1" s="1"/>
  <c r="M248" i="1"/>
  <c r="G848" i="1"/>
  <c r="O848" i="1" s="1"/>
  <c r="Q848" i="1" s="1"/>
  <c r="M848" i="1"/>
  <c r="O129" i="1"/>
  <c r="Q1928" i="1" l="1"/>
  <c r="O50" i="1"/>
  <c r="O1929" i="1"/>
  <c r="O1809" i="1"/>
  <c r="O1689" i="1"/>
  <c r="O1449" i="1"/>
  <c r="O1329" i="1"/>
  <c r="O729" i="1"/>
  <c r="O249" i="1"/>
  <c r="O849" i="1"/>
  <c r="O260" i="1"/>
  <c r="O380" i="1"/>
  <c r="O170" i="1" l="1"/>
  <c r="O20" i="1"/>
  <c r="O140" i="1" l="1"/>
  <c r="O1562" i="1"/>
  <c r="O1922" i="1"/>
  <c r="O1202" i="1"/>
  <c r="O602" i="1"/>
  <c r="O1682" i="1"/>
  <c r="O962" i="1"/>
  <c r="O1802" i="1"/>
  <c r="O1442" i="1"/>
  <c r="O2042" i="1"/>
  <c r="O1082" i="1"/>
  <c r="O1322" i="1"/>
  <c r="O722" i="1"/>
  <c r="O842" i="1"/>
  <c r="O1730" i="1" l="1"/>
  <c r="O890" i="1"/>
  <c r="O1610" i="1"/>
  <c r="O530" i="1"/>
  <c r="O1250" i="1"/>
  <c r="O1130" i="1"/>
  <c r="O770" i="1"/>
  <c r="O1010" i="1"/>
  <c r="O1850" i="1"/>
  <c r="O1970" i="1"/>
  <c r="Q2042" i="1"/>
  <c r="R2049" i="1" s="1"/>
  <c r="O1490" i="1"/>
  <c r="O650" i="1"/>
  <c r="O1370" i="1"/>
  <c r="O1580" i="1" l="1"/>
  <c r="O1820" i="1"/>
  <c r="O1100" i="1"/>
  <c r="O500" i="1"/>
  <c r="O1460" i="1"/>
  <c r="O860" i="1"/>
  <c r="O980" i="1"/>
  <c r="O1700" i="1"/>
  <c r="O1340" i="1"/>
  <c r="O1940" i="1"/>
  <c r="O1220" i="1"/>
  <c r="O620" i="1"/>
  <c r="O740" i="1"/>
  <c r="K30" i="2" l="1"/>
  <c r="L25" i="2"/>
  <c r="I2976" i="1"/>
  <c r="L28" i="2"/>
  <c r="I3267" i="1"/>
  <c r="G3267" i="1" s="1"/>
  <c r="O3267" i="1" s="1"/>
  <c r="Q3267" i="1" s="1"/>
  <c r="I3170" i="1"/>
  <c r="L26" i="2"/>
  <c r="I3073" i="1"/>
  <c r="G2976" i="1" l="1"/>
  <c r="O2976" i="1" s="1"/>
  <c r="Q2976" i="1" s="1"/>
  <c r="G3073" i="1"/>
  <c r="O3073" i="1" s="1"/>
  <c r="Q3073" i="1" s="1"/>
  <c r="G3170" i="1"/>
  <c r="O3170" i="1" s="1"/>
  <c r="Q3170" i="1" s="1"/>
  <c r="O3269" i="1"/>
  <c r="Q3269" i="1" s="1"/>
  <c r="O3268" i="1"/>
  <c r="M3073" i="1"/>
  <c r="I3075" i="1"/>
  <c r="I3078" i="1" s="1"/>
  <c r="I3084" i="1" s="1"/>
  <c r="M2976" i="1"/>
  <c r="I2978" i="1"/>
  <c r="I2981" i="1" s="1"/>
  <c r="I2987" i="1" s="1"/>
  <c r="M3170" i="1"/>
  <c r="I3172" i="1"/>
  <c r="I3175" i="1" s="1"/>
  <c r="I3181" i="1" s="1"/>
  <c r="L29" i="2"/>
  <c r="M3267" i="1"/>
  <c r="I3269" i="1"/>
  <c r="I3272" i="1" s="1"/>
  <c r="I3278" i="1" s="1"/>
  <c r="O3074" i="1" l="1"/>
  <c r="O2978" i="1"/>
  <c r="O3171" i="1"/>
  <c r="O3075" i="1"/>
  <c r="Q3075" i="1" s="1"/>
  <c r="O3172" i="1"/>
  <c r="Q3172" i="1" s="1"/>
  <c r="O2977" i="1"/>
  <c r="O3270" i="1"/>
  <c r="G3278" i="1"/>
  <c r="G2987" i="1"/>
  <c r="O2987" i="1" s="1"/>
  <c r="G3084" i="1"/>
  <c r="O3084" i="1" s="1"/>
  <c r="G3181" i="1"/>
  <c r="Q2978" i="1" l="1"/>
  <c r="Q2987" i="1"/>
  <c r="Q3084" i="1"/>
  <c r="O3076" i="1"/>
  <c r="O2979" i="1"/>
  <c r="O3173" i="1"/>
  <c r="O3266" i="1"/>
  <c r="O3278" i="1"/>
  <c r="O3181" i="1"/>
  <c r="M3181" i="1"/>
  <c r="I3182" i="1"/>
  <c r="G3182" i="1" s="1"/>
  <c r="G3175" i="1"/>
  <c r="M3175" i="1"/>
  <c r="M3084" i="1"/>
  <c r="I3085" i="1"/>
  <c r="G3085" i="1" s="1"/>
  <c r="M3278" i="1"/>
  <c r="I3279" i="1"/>
  <c r="G3279" i="1" s="1"/>
  <c r="M2987" i="1"/>
  <c r="I2988" i="1"/>
  <c r="G2988" i="1" s="1"/>
  <c r="O2988" i="1" s="1"/>
  <c r="M3078" i="1"/>
  <c r="G3078" i="1"/>
  <c r="O3078" i="1" s="1"/>
  <c r="Q3078" i="1" s="1"/>
  <c r="M2981" i="1"/>
  <c r="G2981" i="1"/>
  <c r="O2981" i="1" s="1"/>
  <c r="Q2981" i="1" s="1"/>
  <c r="G3272" i="1"/>
  <c r="M3272" i="1"/>
  <c r="Q3266" i="1" l="1"/>
  <c r="Q3181" i="1"/>
  <c r="Q3278" i="1"/>
  <c r="Q2988" i="1"/>
  <c r="O3072" i="1"/>
  <c r="O2975" i="1"/>
  <c r="Q2975" i="1" s="1"/>
  <c r="O3169" i="1"/>
  <c r="Q3169" i="1" s="1"/>
  <c r="O2982" i="1"/>
  <c r="O3272" i="1"/>
  <c r="Q3272" i="1" s="1"/>
  <c r="O3279" i="1"/>
  <c r="O3182" i="1"/>
  <c r="O3085" i="1"/>
  <c r="O3175" i="1"/>
  <c r="Q3175" i="1" s="1"/>
  <c r="O3079" i="1"/>
  <c r="O3077" i="1"/>
  <c r="Q3077" i="1" s="1"/>
  <c r="O2980" i="1"/>
  <c r="Q2980" i="1" s="1"/>
  <c r="M2988" i="1"/>
  <c r="I2989" i="1"/>
  <c r="M3085" i="1"/>
  <c r="I3086" i="1"/>
  <c r="M3279" i="1"/>
  <c r="I3280" i="1"/>
  <c r="M3182" i="1"/>
  <c r="I3183" i="1"/>
  <c r="Q3072" i="1" l="1"/>
  <c r="Q3085" i="1"/>
  <c r="Q3182" i="1"/>
  <c r="Q3279" i="1"/>
  <c r="O3273" i="1"/>
  <c r="O3271" i="1"/>
  <c r="Q3271" i="1" s="1"/>
  <c r="O3176" i="1"/>
  <c r="O3174" i="1"/>
  <c r="Q3174" i="1" s="1"/>
  <c r="O3071" i="1"/>
  <c r="Q3071" i="1" s="1"/>
  <c r="O2974" i="1"/>
  <c r="Q2974" i="1" s="1"/>
  <c r="M3183" i="1"/>
  <c r="G3183" i="1"/>
  <c r="I3184" i="1"/>
  <c r="M2989" i="1"/>
  <c r="G2989" i="1"/>
  <c r="O2989" i="1" s="1"/>
  <c r="I2990" i="1"/>
  <c r="M3280" i="1"/>
  <c r="G3280" i="1"/>
  <c r="I3281" i="1"/>
  <c r="M3086" i="1"/>
  <c r="G3086" i="1"/>
  <c r="O3086" i="1" s="1"/>
  <c r="I3087" i="1"/>
  <c r="Q2989" i="1" l="1"/>
  <c r="Q3086" i="1"/>
  <c r="O3280" i="1"/>
  <c r="O3265" i="1"/>
  <c r="Q3265" i="1" s="1"/>
  <c r="O3183" i="1"/>
  <c r="O3168" i="1"/>
  <c r="Q3168" i="1" s="1"/>
  <c r="I3088" i="1"/>
  <c r="I3282" i="1"/>
  <c r="I3185" i="1"/>
  <c r="I2991" i="1"/>
  <c r="G3282" i="1" l="1"/>
  <c r="O3282" i="1" s="1"/>
  <c r="I3288" i="1"/>
  <c r="I3293" i="1" s="1"/>
  <c r="G3293" i="1" s="1"/>
  <c r="I3287" i="1"/>
  <c r="I3291" i="1" s="1"/>
  <c r="I3300" i="1" s="1"/>
  <c r="G3185" i="1"/>
  <c r="O3185" i="1" s="1"/>
  <c r="Q3185" i="1" s="1"/>
  <c r="I3191" i="1"/>
  <c r="I3190" i="1"/>
  <c r="G3088" i="1"/>
  <c r="O3088" i="1" s="1"/>
  <c r="I3093" i="1"/>
  <c r="I3097" i="1" s="1"/>
  <c r="G2991" i="1"/>
  <c r="O2991" i="1" s="1"/>
  <c r="Q2991" i="1" s="1"/>
  <c r="I2996" i="1"/>
  <c r="I2997" i="1"/>
  <c r="Q3183" i="1"/>
  <c r="Q3280" i="1"/>
  <c r="M3282" i="1"/>
  <c r="I3283" i="1"/>
  <c r="M3185" i="1"/>
  <c r="I3186" i="1"/>
  <c r="G3186" i="1" s="1"/>
  <c r="M3088" i="1"/>
  <c r="I3089" i="1"/>
  <c r="G3089" i="1" s="1"/>
  <c r="M2991" i="1"/>
  <c r="I2992" i="1"/>
  <c r="G2992" i="1" s="1"/>
  <c r="O2992" i="1" s="1"/>
  <c r="Q3282" i="1" l="1"/>
  <c r="I3194" i="1"/>
  <c r="I3203" i="1"/>
  <c r="I3214" i="1" s="1"/>
  <c r="I3216" i="1" s="1"/>
  <c r="I3217" i="1" s="1"/>
  <c r="I3195" i="1"/>
  <c r="I3306" i="1"/>
  <c r="I3311" i="1"/>
  <c r="I3313" i="1" s="1"/>
  <c r="I3315" i="1" s="1"/>
  <c r="I3292" i="1"/>
  <c r="G3287" i="1"/>
  <c r="O3287" i="1" s="1"/>
  <c r="I3289" i="1"/>
  <c r="G3288" i="1"/>
  <c r="O3288" i="1" s="1"/>
  <c r="G3283" i="1"/>
  <c r="O3283" i="1" s="1"/>
  <c r="I3192" i="1"/>
  <c r="G3190" i="1"/>
  <c r="O3190" i="1" s="1"/>
  <c r="G3191" i="1"/>
  <c r="O3191" i="1" s="1"/>
  <c r="I3094" i="1"/>
  <c r="I3095" i="1"/>
  <c r="G3093" i="1"/>
  <c r="O3093" i="1" s="1"/>
  <c r="Q3093" i="1" s="1"/>
  <c r="G2997" i="1"/>
  <c r="O2997" i="1" s="1"/>
  <c r="Q2997" i="1" s="1"/>
  <c r="I2998" i="1"/>
  <c r="I3000" i="1" s="1"/>
  <c r="G2996" i="1"/>
  <c r="O2996" i="1" s="1"/>
  <c r="Q2992" i="1"/>
  <c r="Q3088" i="1"/>
  <c r="O3089" i="1"/>
  <c r="O3186" i="1"/>
  <c r="M3089" i="1"/>
  <c r="I3090" i="1"/>
  <c r="G3090" i="1" s="1"/>
  <c r="M3283" i="1"/>
  <c r="I3284" i="1"/>
  <c r="G3284" i="1" s="1"/>
  <c r="M3186" i="1"/>
  <c r="I3187" i="1"/>
  <c r="G3187" i="1" s="1"/>
  <c r="M2992" i="1"/>
  <c r="I2993" i="1"/>
  <c r="G2993" i="1" s="1"/>
  <c r="O2993" i="1" s="1"/>
  <c r="Q2993" i="1" s="1"/>
  <c r="Q3191" i="1" l="1"/>
  <c r="Q3288" i="1"/>
  <c r="I3002" i="1"/>
  <c r="I3001" i="1"/>
  <c r="G3292" i="1"/>
  <c r="O3292" i="1" s="1"/>
  <c r="Q3287" i="1"/>
  <c r="G3289" i="1"/>
  <c r="O3289" i="1" s="1"/>
  <c r="Q3190" i="1"/>
  <c r="G3192" i="1"/>
  <c r="O3192" i="1" s="1"/>
  <c r="Q3192" i="1" s="1"/>
  <c r="G3095" i="1"/>
  <c r="O3095" i="1" s="1"/>
  <c r="G3094" i="1"/>
  <c r="O3094" i="1" s="1"/>
  <c r="Q2996" i="1"/>
  <c r="G2998" i="1"/>
  <c r="O2998" i="1" s="1"/>
  <c r="Q2998" i="1" s="1"/>
  <c r="Q3186" i="1"/>
  <c r="Q3089" i="1"/>
  <c r="Q3283" i="1"/>
  <c r="O3284" i="1"/>
  <c r="O3090" i="1"/>
  <c r="O3187" i="1"/>
  <c r="M2993" i="1"/>
  <c r="M3090" i="1"/>
  <c r="I3098" i="1"/>
  <c r="M3187" i="1"/>
  <c r="M3284" i="1"/>
  <c r="Q3289" i="1" l="1"/>
  <c r="Q3292" i="1"/>
  <c r="Q3090" i="1"/>
  <c r="Q3187" i="1"/>
  <c r="O3290" i="1"/>
  <c r="Q3284" i="1"/>
  <c r="O3193" i="1"/>
  <c r="I3198" i="1"/>
  <c r="O3096" i="1"/>
  <c r="O2999" i="1"/>
  <c r="G3098" i="1"/>
  <c r="O3098" i="1" s="1"/>
  <c r="Q3095" i="1"/>
  <c r="G3002" i="1"/>
  <c r="G3291" i="1"/>
  <c r="O3291" i="1" s="1"/>
  <c r="Q3291" i="1" s="1"/>
  <c r="G3097" i="1"/>
  <c r="O3097" i="1" s="1"/>
  <c r="Q3097" i="1" s="1"/>
  <c r="I3099" i="1"/>
  <c r="G3099" i="1" s="1"/>
  <c r="I3295" i="1"/>
  <c r="I3101" i="1"/>
  <c r="I3106" i="1" s="1"/>
  <c r="I3196" i="1" l="1"/>
  <c r="G3196" i="1" s="1"/>
  <c r="O3196" i="1" s="1"/>
  <c r="I3004" i="1"/>
  <c r="I3009" i="1" s="1"/>
  <c r="G3000" i="1"/>
  <c r="O3000" i="1" s="1"/>
  <c r="Q3000" i="1" s="1"/>
  <c r="G3194" i="1"/>
  <c r="O3194" i="1" s="1"/>
  <c r="Q3194" i="1" s="1"/>
  <c r="G3195" i="1"/>
  <c r="O3195" i="1" s="1"/>
  <c r="Q3195" i="1" s="1"/>
  <c r="G3001" i="1"/>
  <c r="O3001" i="1" s="1"/>
  <c r="Q3001" i="1" s="1"/>
  <c r="O3293" i="1"/>
  <c r="O3099" i="1"/>
  <c r="O3002" i="1"/>
  <c r="Q3002" i="1" s="1"/>
  <c r="G3295" i="1"/>
  <c r="G3101" i="1"/>
  <c r="O3101" i="1" s="1"/>
  <c r="G3198" i="1"/>
  <c r="G3004" i="1" l="1"/>
  <c r="O3004" i="1" s="1"/>
  <c r="Q3004" i="1" s="1"/>
  <c r="Q3293" i="1"/>
  <c r="Q3196" i="1"/>
  <c r="Q3101" i="1"/>
  <c r="O3197" i="1"/>
  <c r="O3003" i="1"/>
  <c r="Q3099" i="1"/>
  <c r="O3100" i="1"/>
  <c r="O3294" i="1"/>
  <c r="O3295" i="1"/>
  <c r="Q3295" i="1" s="1"/>
  <c r="O3198" i="1"/>
  <c r="Q3198" i="1" s="1"/>
  <c r="O3102" i="1"/>
  <c r="G3106" i="1"/>
  <c r="O3106" i="1" s="1"/>
  <c r="G3203" i="1"/>
  <c r="G3009" i="1"/>
  <c r="O3009" i="1" s="1"/>
  <c r="G3300" i="1"/>
  <c r="O3005" i="1" l="1"/>
  <c r="O2995" i="1" s="1"/>
  <c r="Q2995" i="1" s="1"/>
  <c r="O3092" i="1"/>
  <c r="I3312" i="1"/>
  <c r="I3314" i="1" s="1"/>
  <c r="I3316" i="1" s="1"/>
  <c r="M3313" i="1"/>
  <c r="M3214" i="1"/>
  <c r="M3216" i="1"/>
  <c r="Q3009" i="1"/>
  <c r="Q3106" i="1"/>
  <c r="O3199" i="1"/>
  <c r="O3300" i="1"/>
  <c r="O3296" i="1"/>
  <c r="O3286" i="1" s="1"/>
  <c r="O3203" i="1"/>
  <c r="M3009" i="1"/>
  <c r="I3010" i="1"/>
  <c r="M3203" i="1"/>
  <c r="I3204" i="1"/>
  <c r="M3300" i="1"/>
  <c r="I3301" i="1"/>
  <c r="I3107" i="1"/>
  <c r="M3106" i="1"/>
  <c r="Q3092" i="1" l="1"/>
  <c r="M3311" i="1"/>
  <c r="I3215" i="1"/>
  <c r="G3313" i="1"/>
  <c r="O3313" i="1" s="1"/>
  <c r="Q3313" i="1" s="1"/>
  <c r="G3314" i="1"/>
  <c r="O3314" i="1" s="1"/>
  <c r="Q3314" i="1" s="1"/>
  <c r="M3314" i="1"/>
  <c r="G3311" i="1"/>
  <c r="O3311" i="1" s="1"/>
  <c r="Q3311" i="1" s="1"/>
  <c r="G3216" i="1"/>
  <c r="O3216" i="1" s="1"/>
  <c r="Q3216" i="1" s="1"/>
  <c r="G3217" i="1"/>
  <c r="O3217" i="1" s="1"/>
  <c r="Q3217" i="1" s="1"/>
  <c r="M3217" i="1"/>
  <c r="G3214" i="1"/>
  <c r="O3214" i="1" s="1"/>
  <c r="I3218" i="1"/>
  <c r="Q3286" i="1"/>
  <c r="O3189" i="1"/>
  <c r="Q3189" i="1" s="1"/>
  <c r="Q3203" i="1"/>
  <c r="Q3300" i="1"/>
  <c r="G3312" i="1"/>
  <c r="O3312" i="1" s="1"/>
  <c r="Q3312" i="1" s="1"/>
  <c r="I3318" i="1"/>
  <c r="G3301" i="1"/>
  <c r="O3301" i="1" s="1"/>
  <c r="Q3301" i="1" s="1"/>
  <c r="I3303" i="1"/>
  <c r="G3204" i="1"/>
  <c r="O3204" i="1" s="1"/>
  <c r="Q3204" i="1" s="1"/>
  <c r="I3206" i="1"/>
  <c r="G3107" i="1"/>
  <c r="O3107" i="1" s="1"/>
  <c r="I3109" i="1"/>
  <c r="G3010" i="1"/>
  <c r="O3010" i="1" s="1"/>
  <c r="I3012" i="1"/>
  <c r="G3012" i="1" s="1"/>
  <c r="M3312" i="1"/>
  <c r="M3107" i="1"/>
  <c r="I3108" i="1"/>
  <c r="M3204" i="1"/>
  <c r="I3205" i="1"/>
  <c r="M3010" i="1"/>
  <c r="I3011" i="1"/>
  <c r="M3301" i="1"/>
  <c r="I3302" i="1"/>
  <c r="Q3214" i="1" l="1"/>
  <c r="I3117" i="1"/>
  <c r="I3112" i="1"/>
  <c r="M3215" i="1"/>
  <c r="I3219" i="1"/>
  <c r="M3219" i="1" s="1"/>
  <c r="G3215" i="1"/>
  <c r="O3215" i="1" s="1"/>
  <c r="Q3215" i="1" s="1"/>
  <c r="G3315" i="1"/>
  <c r="O3315" i="1" s="1"/>
  <c r="Q3315" i="1" s="1"/>
  <c r="M3315" i="1"/>
  <c r="G3218" i="1"/>
  <c r="O3218" i="1" s="1"/>
  <c r="Q3218" i="1" s="1"/>
  <c r="M3218" i="1"/>
  <c r="Q3010" i="1"/>
  <c r="Q3107" i="1"/>
  <c r="M3316" i="1"/>
  <c r="G3316" i="1"/>
  <c r="O3316" i="1" s="1"/>
  <c r="Q3316" i="1" s="1"/>
  <c r="M3303" i="1"/>
  <c r="G3303" i="1"/>
  <c r="O3303" i="1" s="1"/>
  <c r="Q3303" i="1" s="1"/>
  <c r="M3206" i="1"/>
  <c r="G3206" i="1"/>
  <c r="O3206" i="1" s="1"/>
  <c r="M3109" i="1"/>
  <c r="G3109" i="1"/>
  <c r="O3109" i="1" s="1"/>
  <c r="Q3109" i="1" s="1"/>
  <c r="O3012" i="1"/>
  <c r="M3012" i="1"/>
  <c r="I3110" i="1"/>
  <c r="G3110" i="1" s="1"/>
  <c r="G3108" i="1"/>
  <c r="O3108" i="1" s="1"/>
  <c r="Q3108" i="1" s="1"/>
  <c r="M3108" i="1"/>
  <c r="G3302" i="1"/>
  <c r="M3302" i="1"/>
  <c r="I3304" i="1"/>
  <c r="G3205" i="1"/>
  <c r="I3207" i="1"/>
  <c r="I3209" i="1" s="1"/>
  <c r="M3205" i="1"/>
  <c r="M3011" i="1"/>
  <c r="G3011" i="1"/>
  <c r="O3011" i="1" s="1"/>
  <c r="I3013" i="1"/>
  <c r="G3318" i="1"/>
  <c r="Q3206" i="1" l="1"/>
  <c r="Q3012" i="1"/>
  <c r="Q3011" i="1"/>
  <c r="G3013" i="1"/>
  <c r="O3013" i="1" s="1"/>
  <c r="Q3013" i="1" s="1"/>
  <c r="I3020" i="1"/>
  <c r="I3118" i="1"/>
  <c r="I3119" i="1" s="1"/>
  <c r="G3117" i="1"/>
  <c r="O3117" i="1" s="1"/>
  <c r="M3117" i="1"/>
  <c r="I3121" i="1"/>
  <c r="G3219" i="1"/>
  <c r="O3219" i="1" s="1"/>
  <c r="Q3219" i="1" s="1"/>
  <c r="I3221" i="1"/>
  <c r="G3221" i="1" s="1"/>
  <c r="O3221" i="1" s="1"/>
  <c r="O3317" i="1"/>
  <c r="O3318" i="1"/>
  <c r="O3302" i="1"/>
  <c r="O3205" i="1"/>
  <c r="G3304" i="1"/>
  <c r="M3304" i="1"/>
  <c r="M3013" i="1"/>
  <c r="M3110" i="1"/>
  <c r="M3318" i="1"/>
  <c r="I3319" i="1"/>
  <c r="M3207" i="1"/>
  <c r="G3207" i="1"/>
  <c r="Q3117" i="1" l="1"/>
  <c r="I3120" i="1"/>
  <c r="M3119" i="1"/>
  <c r="G3119" i="1"/>
  <c r="O3119" i="1" s="1"/>
  <c r="Q3119" i="1" s="1"/>
  <c r="I3023" i="1"/>
  <c r="I3022" i="1"/>
  <c r="Q3221" i="1"/>
  <c r="Q3318" i="1"/>
  <c r="G3121" i="1"/>
  <c r="O3121" i="1" s="1"/>
  <c r="Q3121" i="1" s="1"/>
  <c r="M3121" i="1"/>
  <c r="O3220" i="1"/>
  <c r="I3122" i="1"/>
  <c r="G3118" i="1"/>
  <c r="O3118" i="1" s="1"/>
  <c r="M3118" i="1"/>
  <c r="I3024" i="1"/>
  <c r="G3020" i="1"/>
  <c r="O3020" i="1" s="1"/>
  <c r="Q3020" i="1" s="1"/>
  <c r="I3021" i="1"/>
  <c r="M3020" i="1"/>
  <c r="I3222" i="1"/>
  <c r="G3222" i="1" s="1"/>
  <c r="M3221" i="1"/>
  <c r="Q3302" i="1"/>
  <c r="Q3205" i="1"/>
  <c r="O3008" i="1"/>
  <c r="O3304" i="1"/>
  <c r="Q3304" i="1" s="1"/>
  <c r="O3207" i="1"/>
  <c r="O3110" i="1"/>
  <c r="I3223" i="1"/>
  <c r="G3319" i="1"/>
  <c r="I3320" i="1"/>
  <c r="Q3207" i="1" l="1"/>
  <c r="M3022" i="1"/>
  <c r="G3022" i="1"/>
  <c r="O3022" i="1" s="1"/>
  <c r="Q3022" i="1" s="1"/>
  <c r="G3023" i="1"/>
  <c r="O3023" i="1" s="1"/>
  <c r="Q3023" i="1" s="1"/>
  <c r="M3023" i="1"/>
  <c r="G3120" i="1"/>
  <c r="O3120" i="1" s="1"/>
  <c r="M3120" i="1"/>
  <c r="G3024" i="1"/>
  <c r="O3024" i="1" s="1"/>
  <c r="M3024" i="1"/>
  <c r="Q3118" i="1"/>
  <c r="I3124" i="1"/>
  <c r="M3122" i="1"/>
  <c r="G3122" i="1"/>
  <c r="O3122" i="1" s="1"/>
  <c r="Q3122" i="1" s="1"/>
  <c r="G3021" i="1"/>
  <c r="O3021" i="1" s="1"/>
  <c r="I3025" i="1"/>
  <c r="M3021" i="1"/>
  <c r="O3202" i="1"/>
  <c r="O3299" i="1"/>
  <c r="Q3110" i="1"/>
  <c r="O3105" i="1"/>
  <c r="G3320" i="1"/>
  <c r="O3320" i="1" s="1"/>
  <c r="Q3320" i="1" s="1"/>
  <c r="I3321" i="1"/>
  <c r="G3223" i="1"/>
  <c r="O3223" i="1" s="1"/>
  <c r="I3224" i="1"/>
  <c r="Q3008" i="1"/>
  <c r="O3014" i="1"/>
  <c r="O3319" i="1"/>
  <c r="O3222" i="1"/>
  <c r="I3225" i="1"/>
  <c r="I3322" i="1"/>
  <c r="Q3223" i="1" l="1"/>
  <c r="Q3024" i="1"/>
  <c r="Q3202" i="1"/>
  <c r="Q3021" i="1"/>
  <c r="Q3120" i="1"/>
  <c r="Q3319" i="1"/>
  <c r="Q3222" i="1"/>
  <c r="G3124" i="1"/>
  <c r="O3124" i="1" s="1"/>
  <c r="I3125" i="1"/>
  <c r="M3124" i="1"/>
  <c r="O3123" i="1"/>
  <c r="I3027" i="1"/>
  <c r="G3025" i="1"/>
  <c r="O3025" i="1" s="1"/>
  <c r="M3025" i="1"/>
  <c r="G3321" i="1"/>
  <c r="O3321" i="1" s="1"/>
  <c r="Q3321" i="1" s="1"/>
  <c r="G3224" i="1"/>
  <c r="O3224" i="1" s="1"/>
  <c r="Q3224" i="1" s="1"/>
  <c r="O3208" i="1"/>
  <c r="Q3105" i="1"/>
  <c r="O3111" i="1"/>
  <c r="Q3299" i="1"/>
  <c r="O3305" i="1"/>
  <c r="G3322" i="1"/>
  <c r="I3323" i="1"/>
  <c r="G3323" i="1" s="1"/>
  <c r="G3225" i="1"/>
  <c r="I3226" i="1"/>
  <c r="G3226" i="1" s="1"/>
  <c r="Q3124" i="1" l="1"/>
  <c r="Q3025" i="1"/>
  <c r="O3026" i="1"/>
  <c r="G3027" i="1"/>
  <c r="O3027" i="1" s="1"/>
  <c r="M3027" i="1"/>
  <c r="I3028" i="1"/>
  <c r="G3125" i="1"/>
  <c r="O3125" i="1" s="1"/>
  <c r="Q3125" i="1" s="1"/>
  <c r="I3126" i="1"/>
  <c r="O3323" i="1"/>
  <c r="Q3323" i="1" s="1"/>
  <c r="O3322" i="1"/>
  <c r="Q3322" i="1" s="1"/>
  <c r="O3226" i="1"/>
  <c r="Q3226" i="1" s="1"/>
  <c r="O3225" i="1"/>
  <c r="Q3225" i="1" s="1"/>
  <c r="I3325" i="1"/>
  <c r="G3325" i="1" s="1"/>
  <c r="I3228" i="1"/>
  <c r="G3228" i="1" s="1"/>
  <c r="Q3027" i="1" l="1"/>
  <c r="O3324" i="1"/>
  <c r="O3227" i="1"/>
  <c r="G3028" i="1"/>
  <c r="O3028" i="1" s="1"/>
  <c r="Q3028" i="1" s="1"/>
  <c r="I3029" i="1"/>
  <c r="G3126" i="1"/>
  <c r="O3126" i="1" s="1"/>
  <c r="I3128" i="1"/>
  <c r="I3127" i="1"/>
  <c r="O3325" i="1"/>
  <c r="Q3325" i="1" s="1"/>
  <c r="O3228" i="1"/>
  <c r="Q3228" i="1" s="1"/>
  <c r="I3326" i="1"/>
  <c r="M3325" i="1"/>
  <c r="I3329" i="1"/>
  <c r="I3327" i="1"/>
  <c r="I3229" i="1"/>
  <c r="M3228" i="1"/>
  <c r="I3232" i="1"/>
  <c r="I3230" i="1"/>
  <c r="Q3126" i="1" l="1"/>
  <c r="G3127" i="1"/>
  <c r="O3127" i="1" s="1"/>
  <c r="Q3127" i="1" s="1"/>
  <c r="G3128" i="1"/>
  <c r="O3128" i="1" s="1"/>
  <c r="I3129" i="1"/>
  <c r="I3031" i="1"/>
  <c r="G3029" i="1"/>
  <c r="O3029" i="1" s="1"/>
  <c r="I3030" i="1"/>
  <c r="G3030" i="1" s="1"/>
  <c r="O3030" i="1" s="1"/>
  <c r="G3232" i="1"/>
  <c r="I3234" i="1"/>
  <c r="I3236" i="1" s="1"/>
  <c r="G3236" i="1" s="1"/>
  <c r="G3327" i="1"/>
  <c r="M3327" i="1"/>
  <c r="I3330" i="1"/>
  <c r="M3326" i="1"/>
  <c r="G3326" i="1"/>
  <c r="I3331" i="1"/>
  <c r="I3333" i="1" s="1"/>
  <c r="G3333" i="1" s="1"/>
  <c r="G3329" i="1"/>
  <c r="M3230" i="1"/>
  <c r="G3230" i="1"/>
  <c r="O3230" i="1" s="1"/>
  <c r="Q3230" i="1" s="1"/>
  <c r="I3233" i="1"/>
  <c r="M3229" i="1"/>
  <c r="G3229" i="1"/>
  <c r="Q3030" i="1" l="1"/>
  <c r="Q3029" i="1"/>
  <c r="G3031" i="1"/>
  <c r="O3031" i="1" s="1"/>
  <c r="Q3031" i="1" s="1"/>
  <c r="I3032" i="1"/>
  <c r="G3129" i="1"/>
  <c r="O3129" i="1" s="1"/>
  <c r="Q3129" i="1" s="1"/>
  <c r="I3131" i="1"/>
  <c r="Q3128" i="1"/>
  <c r="I3332" i="1"/>
  <c r="G3332" i="1" s="1"/>
  <c r="O3332" i="1" s="1"/>
  <c r="Q3332" i="1" s="1"/>
  <c r="G3330" i="1"/>
  <c r="I3235" i="1"/>
  <c r="G3235" i="1" s="1"/>
  <c r="O3235" i="1" s="1"/>
  <c r="Q3235" i="1" s="1"/>
  <c r="G3233" i="1"/>
  <c r="M3333" i="1"/>
  <c r="O3333" i="1"/>
  <c r="Q3333" i="1" s="1"/>
  <c r="M3236" i="1"/>
  <c r="O3236" i="1"/>
  <c r="Q3236" i="1" s="1"/>
  <c r="O3329" i="1"/>
  <c r="Q3329" i="1" s="1"/>
  <c r="O3326" i="1"/>
  <c r="O3327" i="1"/>
  <c r="Q3327" i="1" s="1"/>
  <c r="O3229" i="1"/>
  <c r="Q3229" i="1" s="1"/>
  <c r="O3232" i="1"/>
  <c r="G3331" i="1"/>
  <c r="M3331" i="1"/>
  <c r="M3330" i="1"/>
  <c r="I3334" i="1"/>
  <c r="G3334" i="1" s="1"/>
  <c r="M3234" i="1"/>
  <c r="G3234" i="1"/>
  <c r="M3233" i="1"/>
  <c r="I3237" i="1"/>
  <c r="G3237" i="1" s="1"/>
  <c r="Q3232" i="1" l="1"/>
  <c r="Q3326" i="1"/>
  <c r="O3130" i="1"/>
  <c r="M3332" i="1"/>
  <c r="G3131" i="1"/>
  <c r="O3131" i="1" s="1"/>
  <c r="Q3131" i="1" s="1"/>
  <c r="I3135" i="1"/>
  <c r="I3133" i="1"/>
  <c r="M3131" i="1"/>
  <c r="I3132" i="1"/>
  <c r="G3032" i="1"/>
  <c r="O3032" i="1" s="1"/>
  <c r="Q3032" i="1" s="1"/>
  <c r="I3034" i="1"/>
  <c r="M3235" i="1"/>
  <c r="O3231" i="1"/>
  <c r="O3330" i="1"/>
  <c r="O3331" i="1"/>
  <c r="Q3331" i="1" s="1"/>
  <c r="O3328" i="1"/>
  <c r="O3233" i="1"/>
  <c r="Q3233" i="1" s="1"/>
  <c r="O3234" i="1"/>
  <c r="Q3234" i="1" s="1"/>
  <c r="M3237" i="1"/>
  <c r="I3238" i="1"/>
  <c r="M3334" i="1"/>
  <c r="I3335" i="1"/>
  <c r="Q3330" i="1" l="1"/>
  <c r="O3033" i="1"/>
  <c r="G3034" i="1"/>
  <c r="O3034" i="1" s="1"/>
  <c r="M3034" i="1"/>
  <c r="I3036" i="1"/>
  <c r="I3038" i="1"/>
  <c r="I3035" i="1"/>
  <c r="M3132" i="1"/>
  <c r="G3132" i="1"/>
  <c r="O3132" i="1" s="1"/>
  <c r="G3133" i="1"/>
  <c r="O3133" i="1" s="1"/>
  <c r="Q3133" i="1" s="1"/>
  <c r="I3136" i="1"/>
  <c r="M3133" i="1"/>
  <c r="I3137" i="1"/>
  <c r="G3135" i="1"/>
  <c r="O3135" i="1" s="1"/>
  <c r="Q3135" i="1" s="1"/>
  <c r="O3334" i="1"/>
  <c r="Q3334" i="1" s="1"/>
  <c r="O3237" i="1"/>
  <c r="Q3237" i="1" s="1"/>
  <c r="G3335" i="1"/>
  <c r="M3335" i="1"/>
  <c r="I3345" i="1"/>
  <c r="I3336" i="1"/>
  <c r="M3238" i="1"/>
  <c r="G3238" i="1"/>
  <c r="I3248" i="1"/>
  <c r="I3239" i="1"/>
  <c r="Q3132" i="1" l="1"/>
  <c r="O3134" i="1"/>
  <c r="M3035" i="1"/>
  <c r="G3035" i="1"/>
  <c r="O3035" i="1" s="1"/>
  <c r="Q3035" i="1" s="1"/>
  <c r="I3040" i="1"/>
  <c r="G3038" i="1"/>
  <c r="O3038" i="1" s="1"/>
  <c r="Q3038" i="1" s="1"/>
  <c r="I3139" i="1"/>
  <c r="M3137" i="1"/>
  <c r="G3137" i="1"/>
  <c r="O3137" i="1" s="1"/>
  <c r="G3036" i="1"/>
  <c r="O3036" i="1" s="1"/>
  <c r="Q3036" i="1" s="1"/>
  <c r="M3036" i="1"/>
  <c r="I3039" i="1"/>
  <c r="M3039" i="1" s="1"/>
  <c r="I3140" i="1"/>
  <c r="M3136" i="1"/>
  <c r="I3138" i="1"/>
  <c r="G3136" i="1"/>
  <c r="O3136" i="1" s="1"/>
  <c r="Q3136" i="1" s="1"/>
  <c r="Q3034" i="1"/>
  <c r="O3335" i="1"/>
  <c r="Q3335" i="1" s="1"/>
  <c r="O3238" i="1"/>
  <c r="Q3238" i="1" s="1"/>
  <c r="I3250" i="1"/>
  <c r="G3248" i="1"/>
  <c r="M3248" i="1"/>
  <c r="G3336" i="1"/>
  <c r="M3336" i="1"/>
  <c r="I3337" i="1"/>
  <c r="G3239" i="1"/>
  <c r="M3239" i="1"/>
  <c r="I3240" i="1"/>
  <c r="G3345" i="1"/>
  <c r="M3345" i="1"/>
  <c r="I3347" i="1"/>
  <c r="Q3137" i="1" l="1"/>
  <c r="G3347" i="1"/>
  <c r="I3351" i="1"/>
  <c r="G3250" i="1"/>
  <c r="O3250" i="1" s="1"/>
  <c r="Q3250" i="1" s="1"/>
  <c r="I3254" i="1"/>
  <c r="G3138" i="1"/>
  <c r="O3138" i="1" s="1"/>
  <c r="Q3138" i="1" s="1"/>
  <c r="M3138" i="1"/>
  <c r="G3139" i="1"/>
  <c r="O3139" i="1" s="1"/>
  <c r="Q3139" i="1" s="1"/>
  <c r="M3139" i="1"/>
  <c r="G3140" i="1"/>
  <c r="O3140" i="1" s="1"/>
  <c r="Q3140" i="1" s="1"/>
  <c r="I3141" i="1"/>
  <c r="M3140" i="1"/>
  <c r="M3040" i="1"/>
  <c r="G3040" i="1"/>
  <c r="O3040" i="1" s="1"/>
  <c r="I3042" i="1"/>
  <c r="G3039" i="1"/>
  <c r="O3039" i="1" s="1"/>
  <c r="Q3039" i="1" s="1"/>
  <c r="I3043" i="1"/>
  <c r="I3041" i="1"/>
  <c r="O3037" i="1"/>
  <c r="O3336" i="1"/>
  <c r="Q3336" i="1" s="1"/>
  <c r="O3345" i="1"/>
  <c r="Q3345" i="1" s="1"/>
  <c r="O3347" i="1"/>
  <c r="Q3347" i="1" s="1"/>
  <c r="O3239" i="1"/>
  <c r="Q3239" i="1" s="1"/>
  <c r="O3248" i="1"/>
  <c r="Q3248" i="1" s="1"/>
  <c r="M3347" i="1"/>
  <c r="I3349" i="1"/>
  <c r="I3355" i="1" s="1"/>
  <c r="M3240" i="1"/>
  <c r="G3240" i="1"/>
  <c r="I3241" i="1"/>
  <c r="G3241" i="1" s="1"/>
  <c r="I3252" i="1"/>
  <c r="M3250" i="1"/>
  <c r="G3337" i="1"/>
  <c r="M3337" i="1"/>
  <c r="I3338" i="1"/>
  <c r="G3338" i="1" s="1"/>
  <c r="Q3040" i="1" l="1"/>
  <c r="M3355" i="1"/>
  <c r="G3355" i="1"/>
  <c r="O3355" i="1" s="1"/>
  <c r="Q3355" i="1" s="1"/>
  <c r="I3352" i="1"/>
  <c r="G3351" i="1"/>
  <c r="O3351" i="1" s="1"/>
  <c r="M3351" i="1"/>
  <c r="M3254" i="1"/>
  <c r="I3255" i="1"/>
  <c r="G3254" i="1"/>
  <c r="O3254" i="1" s="1"/>
  <c r="M3041" i="1"/>
  <c r="G3041" i="1"/>
  <c r="O3041" i="1" s="1"/>
  <c r="Q3041" i="1" s="1"/>
  <c r="I3151" i="1"/>
  <c r="G3141" i="1"/>
  <c r="O3141" i="1" s="1"/>
  <c r="Q3141" i="1" s="1"/>
  <c r="M3141" i="1"/>
  <c r="I3142" i="1"/>
  <c r="I3044" i="1"/>
  <c r="M3043" i="1"/>
  <c r="G3043" i="1"/>
  <c r="O3043" i="1" s="1"/>
  <c r="Q3043" i="1" s="1"/>
  <c r="G3042" i="1"/>
  <c r="O3042" i="1" s="1"/>
  <c r="M3042" i="1"/>
  <c r="O3251" i="1"/>
  <c r="O3348" i="1"/>
  <c r="O3337" i="1"/>
  <c r="Q3337" i="1" s="1"/>
  <c r="O3338" i="1"/>
  <c r="Q3338" i="1" s="1"/>
  <c r="O3241" i="1"/>
  <c r="Q3241" i="1" s="1"/>
  <c r="O3240" i="1"/>
  <c r="M3338" i="1"/>
  <c r="I3339" i="1"/>
  <c r="G3339" i="1" s="1"/>
  <c r="G3252" i="1"/>
  <c r="I3258" i="1"/>
  <c r="G3258" i="1" s="1"/>
  <c r="I3260" i="1"/>
  <c r="G3349" i="1"/>
  <c r="I3357" i="1"/>
  <c r="M3241" i="1"/>
  <c r="I3242" i="1"/>
  <c r="G3242" i="1" s="1"/>
  <c r="Q3240" i="1" l="1"/>
  <c r="Q3042" i="1"/>
  <c r="Q3351" i="1"/>
  <c r="Q3254" i="1"/>
  <c r="M3352" i="1"/>
  <c r="I3353" i="1"/>
  <c r="G3352" i="1"/>
  <c r="O3352" i="1" s="1"/>
  <c r="M3255" i="1"/>
  <c r="I3256" i="1"/>
  <c r="G3255" i="1"/>
  <c r="O3255" i="1" s="1"/>
  <c r="Q3255" i="1" s="1"/>
  <c r="I3054" i="1"/>
  <c r="M3044" i="1"/>
  <c r="I3045" i="1"/>
  <c r="G3044" i="1"/>
  <c r="O3044" i="1" s="1"/>
  <c r="Q3044" i="1" s="1"/>
  <c r="M3142" i="1"/>
  <c r="G3142" i="1"/>
  <c r="O3142" i="1" s="1"/>
  <c r="Q3142" i="1" s="1"/>
  <c r="I3143" i="1"/>
  <c r="M3151" i="1"/>
  <c r="I3153" i="1"/>
  <c r="I3157" i="1" s="1"/>
  <c r="G3151" i="1"/>
  <c r="O3151" i="1" s="1"/>
  <c r="Q3151" i="1" s="1"/>
  <c r="O3349" i="1"/>
  <c r="Q3349" i="1" s="1"/>
  <c r="O3252" i="1"/>
  <c r="Q3252" i="1" s="1"/>
  <c r="M3242" i="1"/>
  <c r="I3243" i="1"/>
  <c r="M3258" i="1"/>
  <c r="I3359" i="1"/>
  <c r="I3262" i="1"/>
  <c r="M3339" i="1"/>
  <c r="I3340" i="1"/>
  <c r="Q3352" i="1" l="1"/>
  <c r="M3353" i="1"/>
  <c r="I3354" i="1"/>
  <c r="G3353" i="1"/>
  <c r="O3353" i="1" s="1"/>
  <c r="M3256" i="1"/>
  <c r="G3256" i="1"/>
  <c r="O3256" i="1" s="1"/>
  <c r="Q3256" i="1" s="1"/>
  <c r="I3257" i="1"/>
  <c r="M3157" i="1"/>
  <c r="I3158" i="1"/>
  <c r="G3157" i="1"/>
  <c r="O3157" i="1" s="1"/>
  <c r="G3143" i="1"/>
  <c r="O3143" i="1" s="1"/>
  <c r="Q3143" i="1" s="1"/>
  <c r="M3143" i="1"/>
  <c r="I3144" i="1"/>
  <c r="M3045" i="1"/>
  <c r="G3045" i="1"/>
  <c r="O3045" i="1" s="1"/>
  <c r="Q3045" i="1" s="1"/>
  <c r="I3046" i="1"/>
  <c r="G3153" i="1"/>
  <c r="O3153" i="1" s="1"/>
  <c r="M3153" i="1"/>
  <c r="I3155" i="1"/>
  <c r="I3161" i="1" s="1"/>
  <c r="M3054" i="1"/>
  <c r="I3056" i="1"/>
  <c r="G3054" i="1"/>
  <c r="O3054" i="1" s="1"/>
  <c r="Q3054" i="1" s="1"/>
  <c r="O3253" i="1"/>
  <c r="O3350" i="1"/>
  <c r="O3339" i="1"/>
  <c r="Q3339" i="1" s="1"/>
  <c r="O3258" i="1"/>
  <c r="Q3258" i="1" s="1"/>
  <c r="O3242" i="1"/>
  <c r="Q3242" i="1" s="1"/>
  <c r="I3245" i="1"/>
  <c r="G3243" i="1"/>
  <c r="M3243" i="1"/>
  <c r="I3244" i="1"/>
  <c r="G3244" i="1" s="1"/>
  <c r="G3340" i="1"/>
  <c r="M3340" i="1"/>
  <c r="I3342" i="1"/>
  <c r="I3341" i="1"/>
  <c r="G3341" i="1" s="1"/>
  <c r="G3359" i="1"/>
  <c r="I3360" i="1"/>
  <c r="G3262" i="1"/>
  <c r="I3263" i="1"/>
  <c r="Q3353" i="1" l="1"/>
  <c r="M3354" i="1"/>
  <c r="G3354" i="1"/>
  <c r="O3354" i="1" s="1"/>
  <c r="Q3354" i="1" s="1"/>
  <c r="Q3157" i="1"/>
  <c r="M3257" i="1"/>
  <c r="G3257" i="1"/>
  <c r="O3257" i="1" s="1"/>
  <c r="Q3257" i="1" s="1"/>
  <c r="M3161" i="1"/>
  <c r="G3161" i="1"/>
  <c r="O3161" i="1" s="1"/>
  <c r="Q3161" i="1" s="1"/>
  <c r="M3158" i="1"/>
  <c r="I3159" i="1"/>
  <c r="G3158" i="1"/>
  <c r="O3158" i="1" s="1"/>
  <c r="I3060" i="1"/>
  <c r="M3060" i="1" s="1"/>
  <c r="Q3153" i="1"/>
  <c r="O3154" i="1"/>
  <c r="G3046" i="1"/>
  <c r="O3046" i="1" s="1"/>
  <c r="Q3046" i="1" s="1"/>
  <c r="M3046" i="1"/>
  <c r="I3047" i="1"/>
  <c r="G3056" i="1"/>
  <c r="O3056" i="1" s="1"/>
  <c r="I3058" i="1"/>
  <c r="M3056" i="1"/>
  <c r="G3144" i="1"/>
  <c r="O3144" i="1" s="1"/>
  <c r="Q3144" i="1" s="1"/>
  <c r="M3144" i="1"/>
  <c r="I3145" i="1"/>
  <c r="G3155" i="1"/>
  <c r="O3155" i="1" s="1"/>
  <c r="I3163" i="1"/>
  <c r="I3165" i="1" s="1"/>
  <c r="O3359" i="1"/>
  <c r="O3340" i="1"/>
  <c r="Q3340" i="1" s="1"/>
  <c r="O3341" i="1"/>
  <c r="Q3341" i="1" s="1"/>
  <c r="O3244" i="1"/>
  <c r="O3262" i="1"/>
  <c r="O3243" i="1"/>
  <c r="Q3243" i="1" s="1"/>
  <c r="M3341" i="1"/>
  <c r="I3343" i="1"/>
  <c r="I3344" i="1" s="1"/>
  <c r="G3263" i="1"/>
  <c r="M3263" i="1"/>
  <c r="M3245" i="1"/>
  <c r="G3245" i="1"/>
  <c r="M3360" i="1"/>
  <c r="G3360" i="1"/>
  <c r="G3342" i="1"/>
  <c r="M3342" i="1"/>
  <c r="M3244" i="1"/>
  <c r="I3246" i="1"/>
  <c r="I3247" i="1" s="1"/>
  <c r="Q3262" i="1" l="1"/>
  <c r="Q3359" i="1"/>
  <c r="Q3158" i="1"/>
  <c r="Q3244" i="1"/>
  <c r="O3356" i="1"/>
  <c r="O3259" i="1"/>
  <c r="I3061" i="1"/>
  <c r="G3060" i="1"/>
  <c r="O3060" i="1" s="1"/>
  <c r="M3159" i="1"/>
  <c r="I3160" i="1"/>
  <c r="G3159" i="1"/>
  <c r="O3159" i="1" s="1"/>
  <c r="Q3159" i="1" s="1"/>
  <c r="G3165" i="1"/>
  <c r="O3165" i="1" s="1"/>
  <c r="Q3165" i="1" s="1"/>
  <c r="I3166" i="1"/>
  <c r="I3066" i="1"/>
  <c r="I3068" i="1" s="1"/>
  <c r="I3064" i="1"/>
  <c r="G3058" i="1"/>
  <c r="O3058" i="1" s="1"/>
  <c r="Q3056" i="1"/>
  <c r="O3057" i="1"/>
  <c r="G3047" i="1"/>
  <c r="O3047" i="1" s="1"/>
  <c r="Q3047" i="1" s="1"/>
  <c r="I3048" i="1"/>
  <c r="M3047" i="1"/>
  <c r="Q3155" i="1"/>
  <c r="O3156" i="1"/>
  <c r="G3145" i="1"/>
  <c r="O3145" i="1" s="1"/>
  <c r="Q3145" i="1" s="1"/>
  <c r="I3146" i="1"/>
  <c r="M3145" i="1"/>
  <c r="M3344" i="1"/>
  <c r="G3344" i="1"/>
  <c r="M3247" i="1"/>
  <c r="G3247" i="1"/>
  <c r="O3360" i="1"/>
  <c r="Q3360" i="1" s="1"/>
  <c r="O3342" i="1"/>
  <c r="Q3342" i="1" s="1"/>
  <c r="O3263" i="1"/>
  <c r="Q3263" i="1" s="1"/>
  <c r="O3245" i="1"/>
  <c r="Q3245" i="1" s="1"/>
  <c r="M3343" i="1"/>
  <c r="G3343" i="1"/>
  <c r="M3246" i="1"/>
  <c r="G3246" i="1"/>
  <c r="M3160" i="1" l="1"/>
  <c r="G3160" i="1"/>
  <c r="O3160" i="1" s="1"/>
  <c r="Q3160" i="1" s="1"/>
  <c r="Q3060" i="1"/>
  <c r="G3061" i="1"/>
  <c r="O3061" i="1" s="1"/>
  <c r="Q3061" i="1" s="1"/>
  <c r="I3062" i="1"/>
  <c r="M3061" i="1"/>
  <c r="Q3058" i="1"/>
  <c r="O3059" i="1"/>
  <c r="G3064" i="1"/>
  <c r="O3064" i="1" s="1"/>
  <c r="M3064" i="1"/>
  <c r="M3048" i="1"/>
  <c r="G3048" i="1"/>
  <c r="O3048" i="1" s="1"/>
  <c r="Q3048" i="1" s="1"/>
  <c r="I3049" i="1"/>
  <c r="G3068" i="1"/>
  <c r="O3068" i="1" s="1"/>
  <c r="I3069" i="1"/>
  <c r="G3166" i="1"/>
  <c r="O3166" i="1" s="1"/>
  <c r="Q3166" i="1" s="1"/>
  <c r="M3166" i="1"/>
  <c r="G3146" i="1"/>
  <c r="O3146" i="1" s="1"/>
  <c r="I3148" i="1"/>
  <c r="M3146" i="1"/>
  <c r="I3147" i="1"/>
  <c r="O3247" i="1"/>
  <c r="Q3247" i="1" s="1"/>
  <c r="O3344" i="1"/>
  <c r="Q3344" i="1" s="1"/>
  <c r="O3264" i="1"/>
  <c r="O3361" i="1"/>
  <c r="O3343" i="1"/>
  <c r="Q3343" i="1" s="1"/>
  <c r="O3246" i="1"/>
  <c r="Q3246" i="1" s="1"/>
  <c r="Q3146" i="1" l="1"/>
  <c r="O3167" i="1"/>
  <c r="O3162" i="1"/>
  <c r="I3063" i="1"/>
  <c r="G3062" i="1"/>
  <c r="O3062" i="1" s="1"/>
  <c r="Q3062" i="1" s="1"/>
  <c r="M3062" i="1"/>
  <c r="I3051" i="1"/>
  <c r="G3049" i="1"/>
  <c r="O3049" i="1" s="1"/>
  <c r="Q3049" i="1" s="1"/>
  <c r="I3050" i="1"/>
  <c r="M3050" i="1" s="1"/>
  <c r="M3049" i="1"/>
  <c r="G3147" i="1"/>
  <c r="O3147" i="1" s="1"/>
  <c r="Q3147" i="1" s="1"/>
  <c r="M3147" i="1"/>
  <c r="I3149" i="1"/>
  <c r="Q3064" i="1"/>
  <c r="G3148" i="1"/>
  <c r="O3148" i="1" s="1"/>
  <c r="Q3148" i="1" s="1"/>
  <c r="M3148" i="1"/>
  <c r="M3069" i="1"/>
  <c r="G3069" i="1"/>
  <c r="O3069" i="1" s="1"/>
  <c r="Q3069" i="1" s="1"/>
  <c r="Q3068" i="1"/>
  <c r="O3249" i="1"/>
  <c r="O3346" i="1"/>
  <c r="M3063" i="1" l="1"/>
  <c r="G3063" i="1"/>
  <c r="O3063" i="1" s="1"/>
  <c r="Q3063" i="1" s="1"/>
  <c r="O3070" i="1"/>
  <c r="I3150" i="1"/>
  <c r="G3149" i="1"/>
  <c r="O3149" i="1" s="1"/>
  <c r="Q3149" i="1" s="1"/>
  <c r="M3149" i="1"/>
  <c r="G3050" i="1"/>
  <c r="O3050" i="1" s="1"/>
  <c r="Q3050" i="1" s="1"/>
  <c r="I3052" i="1"/>
  <c r="M3051" i="1"/>
  <c r="G3051" i="1"/>
  <c r="O3051" i="1" s="1"/>
  <c r="Q3051" i="1" l="1"/>
  <c r="O3065" i="1"/>
  <c r="G3052" i="1"/>
  <c r="O3052" i="1" s="1"/>
  <c r="Q3052" i="1" s="1"/>
  <c r="I3053" i="1"/>
  <c r="M3052" i="1"/>
  <c r="M3150" i="1"/>
  <c r="G3150" i="1"/>
  <c r="O3150" i="1" s="1"/>
  <c r="K41" i="2"/>
  <c r="K37" i="2"/>
  <c r="K35" i="2"/>
  <c r="K33" i="2"/>
  <c r="K39" i="2"/>
  <c r="K40" i="2"/>
  <c r="I8933" i="1" l="1"/>
  <c r="I5544" i="1"/>
  <c r="I9549" i="1"/>
  <c r="I6160" i="1"/>
  <c r="I9447" i="1"/>
  <c r="I6058" i="1"/>
  <c r="I9651" i="1"/>
  <c r="I6262" i="1"/>
  <c r="I9141" i="1"/>
  <c r="I5752" i="1"/>
  <c r="Q3150" i="1"/>
  <c r="O3152" i="1"/>
  <c r="G3053" i="1"/>
  <c r="O3053" i="1" s="1"/>
  <c r="M3053" i="1"/>
  <c r="L41" i="2"/>
  <c r="L40" i="2"/>
  <c r="I2156" i="1"/>
  <c r="L39" i="2"/>
  <c r="I2670" i="1"/>
  <c r="I2364" i="1"/>
  <c r="K36" i="2"/>
  <c r="K38" i="2"/>
  <c r="L38" i="2" s="1"/>
  <c r="I2772" i="1"/>
  <c r="I2874" i="1"/>
  <c r="K34" i="2"/>
  <c r="I9345" i="1" l="1"/>
  <c r="I9346" i="1" s="1"/>
  <c r="I5956" i="1"/>
  <c r="I6059" i="1"/>
  <c r="M6058" i="1"/>
  <c r="G6058" i="1"/>
  <c r="O6058" i="1" s="1"/>
  <c r="I9037" i="1"/>
  <c r="I5648" i="1"/>
  <c r="I9448" i="1"/>
  <c r="M9447" i="1"/>
  <c r="G9447" i="1"/>
  <c r="O9447" i="1" s="1"/>
  <c r="I5753" i="1"/>
  <c r="M5752" i="1"/>
  <c r="G5752" i="1"/>
  <c r="O5752" i="1" s="1"/>
  <c r="I6161" i="1"/>
  <c r="G6160" i="1"/>
  <c r="O6160" i="1" s="1"/>
  <c r="M6160" i="1"/>
  <c r="I9142" i="1"/>
  <c r="G9141" i="1"/>
  <c r="O9141" i="1" s="1"/>
  <c r="M9141" i="1"/>
  <c r="I9550" i="1"/>
  <c r="G9549" i="1"/>
  <c r="O9549" i="1" s="1"/>
  <c r="M9549" i="1"/>
  <c r="I6263" i="1"/>
  <c r="G6262" i="1"/>
  <c r="O6262" i="1" s="1"/>
  <c r="M6262" i="1"/>
  <c r="I5546" i="1"/>
  <c r="I5549" i="1" s="1"/>
  <c r="M5544" i="1"/>
  <c r="G5544" i="1"/>
  <c r="O5544" i="1" s="1"/>
  <c r="I9243" i="1"/>
  <c r="I5854" i="1"/>
  <c r="I9652" i="1"/>
  <c r="G9651" i="1"/>
  <c r="O9651" i="1" s="1"/>
  <c r="M9651" i="1"/>
  <c r="I8935" i="1"/>
  <c r="I8938" i="1" s="1"/>
  <c r="G8933" i="1"/>
  <c r="O8933" i="1" s="1"/>
  <c r="O8935" i="1" s="1"/>
  <c r="M8933" i="1"/>
  <c r="I2158" i="1"/>
  <c r="I2161" i="1" s="1"/>
  <c r="M2161" i="1" s="1"/>
  <c r="G2156" i="1"/>
  <c r="O2156" i="1" s="1"/>
  <c r="I2875" i="1"/>
  <c r="G2874" i="1"/>
  <c r="O2874" i="1" s="1"/>
  <c r="I2773" i="1"/>
  <c r="G2772" i="1"/>
  <c r="O2772" i="1" s="1"/>
  <c r="I2365" i="1"/>
  <c r="G2364" i="1"/>
  <c r="O2364" i="1" s="1"/>
  <c r="I2671" i="1"/>
  <c r="G2670" i="1"/>
  <c r="O2670" i="1" s="1"/>
  <c r="Q3053" i="1"/>
  <c r="O3055" i="1"/>
  <c r="K43" i="2"/>
  <c r="M2156" i="1"/>
  <c r="M2670" i="1"/>
  <c r="I2568" i="1"/>
  <c r="I2260" i="1"/>
  <c r="M2772" i="1"/>
  <c r="I2052" i="1"/>
  <c r="G2052" i="1" s="1"/>
  <c r="O2052" i="1" s="1"/>
  <c r="M2874" i="1"/>
  <c r="M2364" i="1"/>
  <c r="I2466" i="1"/>
  <c r="O9142" i="1" l="1"/>
  <c r="G9345" i="1"/>
  <c r="O9345" i="1" s="1"/>
  <c r="M9345" i="1"/>
  <c r="I9145" i="1"/>
  <c r="I9150" i="1"/>
  <c r="O9652" i="1"/>
  <c r="Q9652" i="1" s="1"/>
  <c r="Q9651" i="1"/>
  <c r="Q6262" i="1"/>
  <c r="O6263" i="1"/>
  <c r="Q6263" i="1" s="1"/>
  <c r="I9456" i="1"/>
  <c r="I9451" i="1"/>
  <c r="I9354" i="1"/>
  <c r="I9349" i="1"/>
  <c r="I9655" i="1"/>
  <c r="I9660" i="1"/>
  <c r="I6266" i="1"/>
  <c r="I6271" i="1"/>
  <c r="O6161" i="1"/>
  <c r="Q6161" i="1" s="1"/>
  <c r="Q6160" i="1"/>
  <c r="I5650" i="1"/>
  <c r="I5653" i="1" s="1"/>
  <c r="M5648" i="1"/>
  <c r="G5648" i="1"/>
  <c r="O5648" i="1" s="1"/>
  <c r="I5957" i="1"/>
  <c r="M5956" i="1"/>
  <c r="G5956" i="1"/>
  <c r="O5956" i="1" s="1"/>
  <c r="I5855" i="1"/>
  <c r="G5854" i="1"/>
  <c r="O5854" i="1" s="1"/>
  <c r="M5854" i="1"/>
  <c r="I6164" i="1"/>
  <c r="I6169" i="1"/>
  <c r="I9039" i="1"/>
  <c r="I9042" i="1" s="1"/>
  <c r="M9037" i="1"/>
  <c r="G9037" i="1"/>
  <c r="O9037" i="1" s="1"/>
  <c r="O5753" i="1"/>
  <c r="Q5753" i="1" s="1"/>
  <c r="Q5752" i="1"/>
  <c r="Q9549" i="1"/>
  <c r="O9550" i="1"/>
  <c r="Q9550" i="1" s="1"/>
  <c r="O6059" i="1"/>
  <c r="Q6059" i="1" s="1"/>
  <c r="Q6058" i="1"/>
  <c r="O6057" i="1"/>
  <c r="I9553" i="1"/>
  <c r="I9558" i="1"/>
  <c r="I9244" i="1"/>
  <c r="G9243" i="1"/>
  <c r="O9243" i="1" s="1"/>
  <c r="M9243" i="1"/>
  <c r="O5545" i="1"/>
  <c r="Q5544" i="1"/>
  <c r="O5546" i="1"/>
  <c r="Q8933" i="1"/>
  <c r="O8932" i="1"/>
  <c r="O8934" i="1"/>
  <c r="I5756" i="1"/>
  <c r="I5761" i="1"/>
  <c r="I6062" i="1"/>
  <c r="I6067" i="1"/>
  <c r="I8944" i="1"/>
  <c r="G8938" i="1"/>
  <c r="O8938" i="1" s="1"/>
  <c r="M8938" i="1"/>
  <c r="I5555" i="1"/>
  <c r="G5549" i="1"/>
  <c r="O5549" i="1" s="1"/>
  <c r="M5549" i="1"/>
  <c r="Q9141" i="1"/>
  <c r="Q9142" i="1"/>
  <c r="Q9447" i="1"/>
  <c r="O9448" i="1"/>
  <c r="Q9448" i="1" s="1"/>
  <c r="I2368" i="1"/>
  <c r="G2368" i="1" s="1"/>
  <c r="I2373" i="1"/>
  <c r="I2781" i="1"/>
  <c r="I2776" i="1"/>
  <c r="G2776" i="1" s="1"/>
  <c r="I2262" i="1"/>
  <c r="I2265" i="1" s="1"/>
  <c r="G2260" i="1"/>
  <c r="O2260" i="1" s="1"/>
  <c r="I2883" i="1"/>
  <c r="I2878" i="1"/>
  <c r="G2878" i="1" s="1"/>
  <c r="I2467" i="1"/>
  <c r="G2466" i="1"/>
  <c r="O2466" i="1" s="1"/>
  <c r="M2568" i="1"/>
  <c r="I2569" i="1"/>
  <c r="G2568" i="1"/>
  <c r="O2568" i="1" s="1"/>
  <c r="I2679" i="1"/>
  <c r="I2674" i="1"/>
  <c r="I2167" i="1"/>
  <c r="G2161" i="1"/>
  <c r="O2161" i="1" s="1"/>
  <c r="Q2161" i="1" s="1"/>
  <c r="Q2874" i="1"/>
  <c r="O2875" i="1"/>
  <c r="Q2670" i="1"/>
  <c r="O2671" i="1"/>
  <c r="Q2772" i="1"/>
  <c r="O2773" i="1"/>
  <c r="Q2156" i="1"/>
  <c r="O2158" i="1"/>
  <c r="Q2158" i="1" s="1"/>
  <c r="Q2364" i="1"/>
  <c r="O2365" i="1"/>
  <c r="O2157" i="1"/>
  <c r="M2466" i="1"/>
  <c r="M2052" i="1"/>
  <c r="I2054" i="1"/>
  <c r="I2057" i="1" s="1"/>
  <c r="O2054" i="1"/>
  <c r="M2260" i="1"/>
  <c r="O9039" i="1" l="1"/>
  <c r="O9244" i="1"/>
  <c r="O9346" i="1"/>
  <c r="Q9345" i="1"/>
  <c r="O9140" i="1"/>
  <c r="Q9140" i="1" s="1"/>
  <c r="O6159" i="1"/>
  <c r="Q6159" i="1" s="1"/>
  <c r="I6068" i="1"/>
  <c r="M6067" i="1"/>
  <c r="G6067" i="1"/>
  <c r="O6067" i="1" s="1"/>
  <c r="O5543" i="1"/>
  <c r="O5547" i="1"/>
  <c r="Q5547" i="1" s="1"/>
  <c r="Q5546" i="1"/>
  <c r="Q6057" i="1"/>
  <c r="I5863" i="1"/>
  <c r="I5858" i="1"/>
  <c r="M9451" i="1"/>
  <c r="G9451" i="1"/>
  <c r="O9451" i="1" s="1"/>
  <c r="I9151" i="1"/>
  <c r="M9150" i="1"/>
  <c r="G9150" i="1"/>
  <c r="O9150" i="1" s="1"/>
  <c r="O9446" i="1"/>
  <c r="I5556" i="1"/>
  <c r="G5555" i="1"/>
  <c r="O5555" i="1" s="1"/>
  <c r="M5555" i="1"/>
  <c r="I5762" i="1"/>
  <c r="G5761" i="1"/>
  <c r="O5761" i="1" s="1"/>
  <c r="M5761" i="1"/>
  <c r="I6272" i="1"/>
  <c r="G6271" i="1"/>
  <c r="O6271" i="1" s="1"/>
  <c r="M6271" i="1"/>
  <c r="O6261" i="1"/>
  <c r="M5756" i="1"/>
  <c r="G5756" i="1"/>
  <c r="O5756" i="1" s="1"/>
  <c r="O9548" i="1"/>
  <c r="I9048" i="1"/>
  <c r="G9042" i="1"/>
  <c r="O9042" i="1" s="1"/>
  <c r="M9042" i="1"/>
  <c r="I5960" i="1"/>
  <c r="I5965" i="1"/>
  <c r="G6266" i="1"/>
  <c r="O6266" i="1" s="1"/>
  <c r="M6266" i="1"/>
  <c r="O8937" i="1"/>
  <c r="Q8938" i="1"/>
  <c r="Q9244" i="1"/>
  <c r="Q9243" i="1"/>
  <c r="O5649" i="1"/>
  <c r="Q5648" i="1"/>
  <c r="O5650" i="1"/>
  <c r="I8945" i="1"/>
  <c r="G8944" i="1"/>
  <c r="O8944" i="1" s="1"/>
  <c r="M8944" i="1"/>
  <c r="I9252" i="1"/>
  <c r="I9247" i="1"/>
  <c r="M6164" i="1"/>
  <c r="G6164" i="1"/>
  <c r="O6164" i="1" s="1"/>
  <c r="G9655" i="1"/>
  <c r="O9655" i="1" s="1"/>
  <c r="M9655" i="1"/>
  <c r="O9650" i="1"/>
  <c r="Q8932" i="1"/>
  <c r="I6170" i="1"/>
  <c r="G6169" i="1"/>
  <c r="O6169" i="1" s="1"/>
  <c r="M6169" i="1"/>
  <c r="I9661" i="1"/>
  <c r="G9660" i="1"/>
  <c r="O9660" i="1" s="1"/>
  <c r="M9660" i="1"/>
  <c r="O8936" i="1"/>
  <c r="Q8936" i="1" s="1"/>
  <c r="Q8935" i="1"/>
  <c r="I9559" i="1"/>
  <c r="M9558" i="1"/>
  <c r="G9558" i="1"/>
  <c r="O9558" i="1" s="1"/>
  <c r="O5751" i="1"/>
  <c r="I5659" i="1"/>
  <c r="G5653" i="1"/>
  <c r="O5653" i="1" s="1"/>
  <c r="M5653" i="1"/>
  <c r="M9349" i="1"/>
  <c r="G9349" i="1"/>
  <c r="O9349" i="1" s="1"/>
  <c r="M9553" i="1"/>
  <c r="G9553" i="1"/>
  <c r="O9553" i="1" s="1"/>
  <c r="Q5854" i="1"/>
  <c r="O5855" i="1"/>
  <c r="Q5855" i="1" s="1"/>
  <c r="I9355" i="1"/>
  <c r="M9354" i="1"/>
  <c r="G9354" i="1"/>
  <c r="O9354" i="1" s="1"/>
  <c r="Q5549" i="1"/>
  <c r="O5548" i="1"/>
  <c r="M6062" i="1"/>
  <c r="G6062" i="1"/>
  <c r="O6062" i="1" s="1"/>
  <c r="O9036" i="1"/>
  <c r="O9038" i="1"/>
  <c r="Q9037" i="1"/>
  <c r="Q5956" i="1"/>
  <c r="O5957" i="1"/>
  <c r="Q5957" i="1" s="1"/>
  <c r="I9457" i="1"/>
  <c r="M9456" i="1"/>
  <c r="G9456" i="1"/>
  <c r="O9456" i="1" s="1"/>
  <c r="G9145" i="1"/>
  <c r="O9145" i="1" s="1"/>
  <c r="M9145" i="1"/>
  <c r="O2160" i="1"/>
  <c r="Q2160" i="1" s="1"/>
  <c r="G2674" i="1"/>
  <c r="O2674" i="1" s="1"/>
  <c r="M2674" i="1"/>
  <c r="I2884" i="1"/>
  <c r="G2883" i="1"/>
  <c r="O2883" i="1" s="1"/>
  <c r="Q2883" i="1" s="1"/>
  <c r="I2680" i="1"/>
  <c r="M2680" i="1" s="1"/>
  <c r="G2679" i="1"/>
  <c r="O2679" i="1" s="1"/>
  <c r="Q2679" i="1" s="1"/>
  <c r="I2168" i="1"/>
  <c r="G2167" i="1"/>
  <c r="O2167" i="1" s="1"/>
  <c r="M2167" i="1"/>
  <c r="M2679" i="1"/>
  <c r="I2271" i="1"/>
  <c r="G2265" i="1"/>
  <c r="I2572" i="1"/>
  <c r="G2572" i="1" s="1"/>
  <c r="O2572" i="1" s="1"/>
  <c r="Q2572" i="1" s="1"/>
  <c r="I2577" i="1"/>
  <c r="I2782" i="1"/>
  <c r="G2781" i="1"/>
  <c r="O2781" i="1" s="1"/>
  <c r="Q2781" i="1" s="1"/>
  <c r="I2374" i="1"/>
  <c r="G2373" i="1"/>
  <c r="O2373" i="1" s="1"/>
  <c r="I2475" i="1"/>
  <c r="I2470" i="1"/>
  <c r="G2470" i="1" s="1"/>
  <c r="Q2568" i="1"/>
  <c r="O2569" i="1"/>
  <c r="Q2466" i="1"/>
  <c r="O2467" i="1"/>
  <c r="Q2260" i="1"/>
  <c r="O2262" i="1"/>
  <c r="Q2262" i="1" s="1"/>
  <c r="I2063" i="1"/>
  <c r="G2063" i="1" s="1"/>
  <c r="G2057" i="1"/>
  <c r="Q2052" i="1"/>
  <c r="Q2054" i="1"/>
  <c r="O2159" i="1"/>
  <c r="O2155" i="1"/>
  <c r="Q2155" i="1" s="1"/>
  <c r="M2776" i="1"/>
  <c r="O2776" i="1"/>
  <c r="Q2776" i="1" s="1"/>
  <c r="O2053" i="1"/>
  <c r="M2883" i="1"/>
  <c r="M2368" i="1"/>
  <c r="O2368" i="1"/>
  <c r="Q2368" i="1" s="1"/>
  <c r="M2878" i="1"/>
  <c r="O2878" i="1"/>
  <c r="Q2878" i="1" s="1"/>
  <c r="M2373" i="1"/>
  <c r="O2261" i="1"/>
  <c r="M2781" i="1"/>
  <c r="Q9346" i="1" l="1"/>
  <c r="O9344" i="1"/>
  <c r="Q9344" i="1" s="1"/>
  <c r="O9242" i="1"/>
  <c r="Q9242" i="1" s="1"/>
  <c r="Q9036" i="1"/>
  <c r="Q9354" i="1"/>
  <c r="Q9553" i="1"/>
  <c r="O9552" i="1"/>
  <c r="Q9552" i="1" s="1"/>
  <c r="M5960" i="1"/>
  <c r="G5960" i="1"/>
  <c r="O5960" i="1" s="1"/>
  <c r="I5557" i="1"/>
  <c r="G5556" i="1"/>
  <c r="O5556" i="1" s="1"/>
  <c r="Q5556" i="1" s="1"/>
  <c r="M5556" i="1"/>
  <c r="I5864" i="1"/>
  <c r="G5863" i="1"/>
  <c r="O5863" i="1" s="1"/>
  <c r="M5863" i="1"/>
  <c r="I6069" i="1"/>
  <c r="G6068" i="1"/>
  <c r="O6068" i="1" s="1"/>
  <c r="Q6068" i="1" s="1"/>
  <c r="M6068" i="1"/>
  <c r="Q9145" i="1"/>
  <c r="O9144" i="1"/>
  <c r="Q5751" i="1"/>
  <c r="Q9650" i="1"/>
  <c r="Q8944" i="1"/>
  <c r="Q6271" i="1"/>
  <c r="Q9446" i="1"/>
  <c r="Q9456" i="1"/>
  <c r="I9356" i="1"/>
  <c r="M9355" i="1"/>
  <c r="G9355" i="1"/>
  <c r="O9355" i="1" s="1"/>
  <c r="Q9558" i="1"/>
  <c r="Q9660" i="1"/>
  <c r="I8946" i="1"/>
  <c r="G8945" i="1"/>
  <c r="O8945" i="1" s="1"/>
  <c r="Q8945" i="1" s="1"/>
  <c r="M8945" i="1"/>
  <c r="O9041" i="1"/>
  <c r="O9035" i="1" s="1"/>
  <c r="Q9035" i="1" s="1"/>
  <c r="Q9042" i="1"/>
  <c r="I6273" i="1"/>
  <c r="M6272" i="1"/>
  <c r="G6272" i="1"/>
  <c r="O6272" i="1" s="1"/>
  <c r="Q6272" i="1" s="1"/>
  <c r="Q9150" i="1"/>
  <c r="O9040" i="1"/>
  <c r="Q9040" i="1" s="1"/>
  <c r="Q9039" i="1"/>
  <c r="I9662" i="1"/>
  <c r="G9661" i="1"/>
  <c r="O9661" i="1" s="1"/>
  <c r="Q9661" i="1" s="1"/>
  <c r="M9661" i="1"/>
  <c r="Q9655" i="1"/>
  <c r="O9654" i="1"/>
  <c r="Q9654" i="1" s="1"/>
  <c r="I9049" i="1"/>
  <c r="G9048" i="1"/>
  <c r="O9048" i="1" s="1"/>
  <c r="M9048" i="1"/>
  <c r="I9560" i="1"/>
  <c r="M9559" i="1"/>
  <c r="G9559" i="1"/>
  <c r="O9559" i="1" s="1"/>
  <c r="Q9559" i="1" s="1"/>
  <c r="I9458" i="1"/>
  <c r="G9457" i="1"/>
  <c r="O9457" i="1" s="1"/>
  <c r="Q9457" i="1" s="1"/>
  <c r="M9457" i="1"/>
  <c r="O6061" i="1"/>
  <c r="Q6062" i="1"/>
  <c r="O9348" i="1"/>
  <c r="Q9349" i="1"/>
  <c r="Q6164" i="1"/>
  <c r="O6163" i="1"/>
  <c r="O8939" i="1"/>
  <c r="Q8937" i="1"/>
  <c r="Q9548" i="1"/>
  <c r="O9547" i="1"/>
  <c r="Q9547" i="1" s="1"/>
  <c r="Q5761" i="1"/>
  <c r="I9152" i="1"/>
  <c r="G9151" i="1"/>
  <c r="O9151" i="1" s="1"/>
  <c r="M9151" i="1"/>
  <c r="O5955" i="1"/>
  <c r="O5853" i="1"/>
  <c r="Q6169" i="1"/>
  <c r="O5647" i="1"/>
  <c r="O5651" i="1"/>
  <c r="Q5651" i="1" s="1"/>
  <c r="Q5650" i="1"/>
  <c r="Q5756" i="1"/>
  <c r="O5755" i="1"/>
  <c r="Q5755" i="1" s="1"/>
  <c r="I5763" i="1"/>
  <c r="G5762" i="1"/>
  <c r="O5762" i="1" s="1"/>
  <c r="Q5762" i="1" s="1"/>
  <c r="M5762" i="1"/>
  <c r="O9450" i="1"/>
  <c r="Q9450" i="1" s="1"/>
  <c r="Q9451" i="1"/>
  <c r="O5542" i="1"/>
  <c r="Q5542" i="1" s="1"/>
  <c r="Q5543" i="1"/>
  <c r="O5550" i="1"/>
  <c r="Q5548" i="1"/>
  <c r="I6171" i="1"/>
  <c r="G6170" i="1"/>
  <c r="O6170" i="1" s="1"/>
  <c r="Q6170" i="1" s="1"/>
  <c r="M6170" i="1"/>
  <c r="G9247" i="1"/>
  <c r="O9247" i="1" s="1"/>
  <c r="M9247" i="1"/>
  <c r="Q6266" i="1"/>
  <c r="O6265" i="1"/>
  <c r="Q6265" i="1" s="1"/>
  <c r="Q6067" i="1"/>
  <c r="O5652" i="1"/>
  <c r="Q5653" i="1"/>
  <c r="O8931" i="1"/>
  <c r="Q8931" i="1" s="1"/>
  <c r="I9253" i="1"/>
  <c r="G9252" i="1"/>
  <c r="O9252" i="1" s="1"/>
  <c r="M9252" i="1"/>
  <c r="I5966" i="1"/>
  <c r="G5965" i="1"/>
  <c r="O5965" i="1" s="1"/>
  <c r="M5965" i="1"/>
  <c r="Q6261" i="1"/>
  <c r="Q5555" i="1"/>
  <c r="M5858" i="1"/>
  <c r="G5858" i="1"/>
  <c r="O5858" i="1" s="1"/>
  <c r="I5660" i="1"/>
  <c r="G5659" i="1"/>
  <c r="O5659" i="1" s="1"/>
  <c r="M5659" i="1"/>
  <c r="Q2373" i="1"/>
  <c r="Q2167" i="1"/>
  <c r="Q2159" i="1"/>
  <c r="M2572" i="1"/>
  <c r="O2162" i="1"/>
  <c r="I2783" i="1"/>
  <c r="G2782" i="1"/>
  <c r="O2782" i="1" s="1"/>
  <c r="I2169" i="1"/>
  <c r="M2169" i="1" s="1"/>
  <c r="G2168" i="1"/>
  <c r="O2168" i="1" s="1"/>
  <c r="M2168" i="1"/>
  <c r="I2578" i="1"/>
  <c r="G2577" i="1"/>
  <c r="O2577" i="1" s="1"/>
  <c r="Q2577" i="1" s="1"/>
  <c r="I2681" i="1"/>
  <c r="G2680" i="1"/>
  <c r="O2680" i="1" s="1"/>
  <c r="Q2680" i="1" s="1"/>
  <c r="I2476" i="1"/>
  <c r="G2475" i="1"/>
  <c r="O2475" i="1" s="1"/>
  <c r="Q2475" i="1" s="1"/>
  <c r="I2272" i="1"/>
  <c r="G2271" i="1"/>
  <c r="O2271" i="1" s="1"/>
  <c r="Q2271" i="1" s="1"/>
  <c r="I2885" i="1"/>
  <c r="G2884" i="1"/>
  <c r="O2884" i="1" s="1"/>
  <c r="Q2884" i="1" s="1"/>
  <c r="I2375" i="1"/>
  <c r="G2374" i="1"/>
  <c r="O2374" i="1" s="1"/>
  <c r="Q2374" i="1" s="1"/>
  <c r="Q2674" i="1"/>
  <c r="O2673" i="1"/>
  <c r="Q2673" i="1" s="1"/>
  <c r="O2154" i="1"/>
  <c r="Q2154" i="1" s="1"/>
  <c r="O2051" i="1"/>
  <c r="Q2051" i="1" s="1"/>
  <c r="O2259" i="1"/>
  <c r="Q2259" i="1" s="1"/>
  <c r="M2577" i="1"/>
  <c r="O2571" i="1"/>
  <c r="Q2571" i="1" s="1"/>
  <c r="M2475" i="1"/>
  <c r="M2265" i="1"/>
  <c r="O2265" i="1"/>
  <c r="Q2265" i="1" s="1"/>
  <c r="O2775" i="1"/>
  <c r="M2470" i="1"/>
  <c r="O2470" i="1"/>
  <c r="Q2470" i="1" s="1"/>
  <c r="O2263" i="1"/>
  <c r="Q2263" i="1" s="1"/>
  <c r="O2877" i="1"/>
  <c r="Q2877" i="1" s="1"/>
  <c r="O2057" i="1"/>
  <c r="M2057" i="1"/>
  <c r="O2055" i="1"/>
  <c r="M2782" i="1"/>
  <c r="M2374" i="1"/>
  <c r="M2063" i="1"/>
  <c r="O2063" i="1"/>
  <c r="I2064" i="1"/>
  <c r="G2064" i="1" s="1"/>
  <c r="M2884" i="1"/>
  <c r="M2271" i="1"/>
  <c r="O2367" i="1"/>
  <c r="Q9151" i="1" l="1"/>
  <c r="Q9355" i="1"/>
  <c r="O9649" i="1"/>
  <c r="Q9649" i="1" s="1"/>
  <c r="I9153" i="1"/>
  <c r="G9152" i="1"/>
  <c r="O9152" i="1" s="1"/>
  <c r="M9152" i="1"/>
  <c r="I9459" i="1"/>
  <c r="G9458" i="1"/>
  <c r="O9458" i="1" s="1"/>
  <c r="M9458" i="1"/>
  <c r="O9445" i="1"/>
  <c r="Q9445" i="1" s="1"/>
  <c r="I6172" i="1"/>
  <c r="M6171" i="1"/>
  <c r="G6171" i="1"/>
  <c r="O6171" i="1" s="1"/>
  <c r="Q6171" i="1" s="1"/>
  <c r="I8947" i="1"/>
  <c r="G8946" i="1"/>
  <c r="O8946" i="1" s="1"/>
  <c r="M8946" i="1"/>
  <c r="I5865" i="1"/>
  <c r="G5864" i="1"/>
  <c r="O5864" i="1" s="1"/>
  <c r="Q5864" i="1" s="1"/>
  <c r="M5864" i="1"/>
  <c r="Q9252" i="1"/>
  <c r="Q5659" i="1"/>
  <c r="O6260" i="1"/>
  <c r="Q6260" i="1" s="1"/>
  <c r="I5764" i="1"/>
  <c r="G5763" i="1"/>
  <c r="O5763" i="1" s="1"/>
  <c r="M5763" i="1"/>
  <c r="Q9348" i="1"/>
  <c r="O9343" i="1"/>
  <c r="Q9343" i="1" s="1"/>
  <c r="I9561" i="1"/>
  <c r="G9560" i="1"/>
  <c r="O9560" i="1" s="1"/>
  <c r="M9560" i="1"/>
  <c r="I9663" i="1"/>
  <c r="M9662" i="1"/>
  <c r="G9662" i="1"/>
  <c r="O9662" i="1" s="1"/>
  <c r="I9357" i="1"/>
  <c r="M9356" i="1"/>
  <c r="G9356" i="1"/>
  <c r="O9356" i="1" s="1"/>
  <c r="Q9144" i="1"/>
  <c r="O9139" i="1"/>
  <c r="Q9139" i="1" s="1"/>
  <c r="I5661" i="1"/>
  <c r="M5660" i="1"/>
  <c r="G5660" i="1"/>
  <c r="O5660" i="1" s="1"/>
  <c r="Q5660" i="1" s="1"/>
  <c r="Q5858" i="1"/>
  <c r="O5857" i="1"/>
  <c r="Q5857" i="1" s="1"/>
  <c r="Q5965" i="1"/>
  <c r="Q5955" i="1"/>
  <c r="Q6061" i="1"/>
  <c r="O6056" i="1"/>
  <c r="Q6056" i="1" s="1"/>
  <c r="Q9048" i="1"/>
  <c r="I6274" i="1"/>
  <c r="M6273" i="1"/>
  <c r="G6273" i="1"/>
  <c r="O6273" i="1" s="1"/>
  <c r="Q6273" i="1" s="1"/>
  <c r="I5558" i="1"/>
  <c r="G5557" i="1"/>
  <c r="O5557" i="1" s="1"/>
  <c r="M5557" i="1"/>
  <c r="Q5853" i="1"/>
  <c r="I5967" i="1"/>
  <c r="G5966" i="1"/>
  <c r="O5966" i="1" s="1"/>
  <c r="Q5966" i="1" s="1"/>
  <c r="M5966" i="1"/>
  <c r="O5654" i="1"/>
  <c r="Q5652" i="1"/>
  <c r="I9050" i="1"/>
  <c r="G9049" i="1"/>
  <c r="O9049" i="1" s="1"/>
  <c r="M9049" i="1"/>
  <c r="Q5960" i="1"/>
  <c r="O5959" i="1"/>
  <c r="Q5959" i="1" s="1"/>
  <c r="Q9247" i="1"/>
  <c r="O9246" i="1"/>
  <c r="Q9041" i="1"/>
  <c r="O9043" i="1"/>
  <c r="I6070" i="1"/>
  <c r="G6069" i="1"/>
  <c r="O6069" i="1" s="1"/>
  <c r="M6069" i="1"/>
  <c r="Q5647" i="1"/>
  <c r="O5646" i="1"/>
  <c r="Q5646" i="1" s="1"/>
  <c r="Q6163" i="1"/>
  <c r="O6158" i="1"/>
  <c r="Q6158" i="1" s="1"/>
  <c r="I9254" i="1"/>
  <c r="G9253" i="1"/>
  <c r="O9253" i="1" s="1"/>
  <c r="M9253" i="1"/>
  <c r="O5750" i="1"/>
  <c r="Q5750" i="1" s="1"/>
  <c r="Q5863" i="1"/>
  <c r="Q2367" i="1"/>
  <c r="Q2775" i="1"/>
  <c r="Q2168" i="1"/>
  <c r="Q2782" i="1"/>
  <c r="Q2057" i="1"/>
  <c r="I2682" i="1"/>
  <c r="I2683" i="1" s="1"/>
  <c r="M2683" i="1" s="1"/>
  <c r="G2681" i="1"/>
  <c r="O2681" i="1" s="1"/>
  <c r="Q2681" i="1" s="1"/>
  <c r="M2681" i="1"/>
  <c r="I2886" i="1"/>
  <c r="I2887" i="1" s="1"/>
  <c r="G2885" i="1"/>
  <c r="O2885" i="1" s="1"/>
  <c r="Q2885" i="1" s="1"/>
  <c r="I2579" i="1"/>
  <c r="M2579" i="1" s="1"/>
  <c r="G2578" i="1"/>
  <c r="O2578" i="1" s="1"/>
  <c r="I2376" i="1"/>
  <c r="I2377" i="1" s="1"/>
  <c r="G2375" i="1"/>
  <c r="I2273" i="1"/>
  <c r="G2272" i="1"/>
  <c r="O2272" i="1" s="1"/>
  <c r="Q2272" i="1" s="1"/>
  <c r="I2170" i="1"/>
  <c r="I2171" i="1" s="1"/>
  <c r="M2171" i="1" s="1"/>
  <c r="G2169" i="1"/>
  <c r="O2169" i="1" s="1"/>
  <c r="Q2169" i="1" s="1"/>
  <c r="I2477" i="1"/>
  <c r="G2476" i="1"/>
  <c r="O2476" i="1" s="1"/>
  <c r="Q2476" i="1" s="1"/>
  <c r="I2784" i="1"/>
  <c r="I2785" i="1" s="1"/>
  <c r="G2783" i="1"/>
  <c r="O2783" i="1" s="1"/>
  <c r="Q2783" i="1" s="1"/>
  <c r="Q2063" i="1"/>
  <c r="M2578" i="1"/>
  <c r="M2272" i="1"/>
  <c r="O2056" i="1"/>
  <c r="Q2056" i="1" s="1"/>
  <c r="O2058" i="1"/>
  <c r="O2264" i="1"/>
  <c r="Q2264" i="1" s="1"/>
  <c r="M2885" i="1"/>
  <c r="M2064" i="1"/>
  <c r="O2064" i="1"/>
  <c r="I2065" i="1"/>
  <c r="G2065" i="1" s="1"/>
  <c r="M2375" i="1"/>
  <c r="O2375" i="1"/>
  <c r="Q2375" i="1" s="1"/>
  <c r="M2783" i="1"/>
  <c r="O2469" i="1"/>
  <c r="M2476" i="1"/>
  <c r="Q9253" i="1" l="1"/>
  <c r="Q9049" i="1"/>
  <c r="Q9356" i="1"/>
  <c r="O5852" i="1"/>
  <c r="Q5852" i="1" s="1"/>
  <c r="O5954" i="1"/>
  <c r="Q5954" i="1" s="1"/>
  <c r="Q9560" i="1"/>
  <c r="I6071" i="1"/>
  <c r="G6070" i="1"/>
  <c r="O6070" i="1" s="1"/>
  <c r="Q6070" i="1" s="1"/>
  <c r="M6070" i="1"/>
  <c r="I9358" i="1"/>
  <c r="G9357" i="1"/>
  <c r="O9357" i="1" s="1"/>
  <c r="M9357" i="1"/>
  <c r="I6173" i="1"/>
  <c r="M6172" i="1"/>
  <c r="G6172" i="1"/>
  <c r="O6172" i="1" s="1"/>
  <c r="Q5763" i="1"/>
  <c r="Q8946" i="1"/>
  <c r="Q9246" i="1"/>
  <c r="O9241" i="1"/>
  <c r="Q9241" i="1" s="1"/>
  <c r="I6275" i="1"/>
  <c r="M6274" i="1"/>
  <c r="G6274" i="1"/>
  <c r="O6274" i="1" s="1"/>
  <c r="Q6274" i="1" s="1"/>
  <c r="I5662" i="1"/>
  <c r="G5661" i="1"/>
  <c r="O5661" i="1" s="1"/>
  <c r="Q5661" i="1" s="1"/>
  <c r="M5661" i="1"/>
  <c r="I9664" i="1"/>
  <c r="G9663" i="1"/>
  <c r="O9663" i="1" s="1"/>
  <c r="Q9663" i="1" s="1"/>
  <c r="M9663" i="1"/>
  <c r="I5765" i="1"/>
  <c r="M5764" i="1"/>
  <c r="G5764" i="1"/>
  <c r="O5764" i="1" s="1"/>
  <c r="Q5764" i="1" s="1"/>
  <c r="I8948" i="1"/>
  <c r="G8947" i="1"/>
  <c r="O8947" i="1" s="1"/>
  <c r="Q8947" i="1" s="1"/>
  <c r="M8947" i="1"/>
  <c r="Q9458" i="1"/>
  <c r="I9051" i="1"/>
  <c r="G9050" i="1"/>
  <c r="O9050" i="1" s="1"/>
  <c r="M9050" i="1"/>
  <c r="I9460" i="1"/>
  <c r="M9459" i="1"/>
  <c r="G9459" i="1"/>
  <c r="O9459" i="1" s="1"/>
  <c r="Q9662" i="1"/>
  <c r="Q5557" i="1"/>
  <c r="I9562" i="1"/>
  <c r="M9561" i="1"/>
  <c r="G9561" i="1"/>
  <c r="O9561" i="1" s="1"/>
  <c r="Q9152" i="1"/>
  <c r="I5968" i="1"/>
  <c r="M5967" i="1"/>
  <c r="G5967" i="1"/>
  <c r="O5967" i="1" s="1"/>
  <c r="I9255" i="1"/>
  <c r="G9254" i="1"/>
  <c r="O9254" i="1" s="1"/>
  <c r="M9254" i="1"/>
  <c r="Q6069" i="1"/>
  <c r="I5559" i="1"/>
  <c r="M5558" i="1"/>
  <c r="G5558" i="1"/>
  <c r="O5558" i="1" s="1"/>
  <c r="I5866" i="1"/>
  <c r="M5865" i="1"/>
  <c r="G5865" i="1"/>
  <c r="O5865" i="1" s="1"/>
  <c r="I9154" i="1"/>
  <c r="G9153" i="1"/>
  <c r="O9153" i="1" s="1"/>
  <c r="M9153" i="1"/>
  <c r="Q2469" i="1"/>
  <c r="Q2578" i="1"/>
  <c r="I2786" i="1"/>
  <c r="I2790" i="1"/>
  <c r="M2790" i="1" s="1"/>
  <c r="G2785" i="1"/>
  <c r="I2382" i="1"/>
  <c r="M2382" i="1" s="1"/>
  <c r="I2378" i="1"/>
  <c r="G2377" i="1"/>
  <c r="I2478" i="1"/>
  <c r="I2479" i="1" s="1"/>
  <c r="G2477" i="1"/>
  <c r="O2477" i="1" s="1"/>
  <c r="Q2477" i="1" s="1"/>
  <c r="I2580" i="1"/>
  <c r="I2581" i="1" s="1"/>
  <c r="G2579" i="1"/>
  <c r="O2579" i="1" s="1"/>
  <c r="Q2579" i="1" s="1"/>
  <c r="I2172" i="1"/>
  <c r="M2172" i="1" s="1"/>
  <c r="I2176" i="1"/>
  <c r="G2171" i="1"/>
  <c r="O2171" i="1" s="1"/>
  <c r="I2892" i="1"/>
  <c r="M2892" i="1" s="1"/>
  <c r="I2888" i="1"/>
  <c r="G2887" i="1"/>
  <c r="I2274" i="1"/>
  <c r="I2275" i="1" s="1"/>
  <c r="G2273" i="1"/>
  <c r="O2273" i="1" s="1"/>
  <c r="Q2273" i="1" s="1"/>
  <c r="I2684" i="1"/>
  <c r="M2684" i="1" s="1"/>
  <c r="I2688" i="1"/>
  <c r="G2683" i="1"/>
  <c r="O2683" i="1" s="1"/>
  <c r="Q2683" i="1" s="1"/>
  <c r="O2266" i="1"/>
  <c r="Q2064" i="1"/>
  <c r="M2065" i="1"/>
  <c r="O2065" i="1"/>
  <c r="I2066" i="1"/>
  <c r="O2050" i="1"/>
  <c r="O2258" i="1"/>
  <c r="Q2258" i="1" s="1"/>
  <c r="M2477" i="1"/>
  <c r="M2273" i="1"/>
  <c r="I5867" i="1" l="1"/>
  <c r="M5866" i="1"/>
  <c r="G5866" i="1"/>
  <c r="O5866" i="1" s="1"/>
  <c r="Q5866" i="1" s="1"/>
  <c r="Q9254" i="1"/>
  <c r="Q9561" i="1"/>
  <c r="Q9050" i="1"/>
  <c r="I5663" i="1"/>
  <c r="M5662" i="1"/>
  <c r="G5662" i="1"/>
  <c r="O5662" i="1" s="1"/>
  <c r="Q5558" i="1"/>
  <c r="I9256" i="1"/>
  <c r="M9255" i="1"/>
  <c r="G9255" i="1"/>
  <c r="O9255" i="1" s="1"/>
  <c r="Q9255" i="1" s="1"/>
  <c r="Q9459" i="1"/>
  <c r="I9052" i="1"/>
  <c r="M9051" i="1"/>
  <c r="G9051" i="1"/>
  <c r="O9051" i="1" s="1"/>
  <c r="Q9051" i="1" s="1"/>
  <c r="Q9357" i="1"/>
  <c r="Q5967" i="1"/>
  <c r="I9567" i="1"/>
  <c r="I9563" i="1"/>
  <c r="G9562" i="1"/>
  <c r="O9562" i="1" s="1"/>
  <c r="Q9562" i="1" s="1"/>
  <c r="M9562" i="1"/>
  <c r="I5770" i="1"/>
  <c r="I5766" i="1"/>
  <c r="G5765" i="1"/>
  <c r="O5765" i="1" s="1"/>
  <c r="Q5765" i="1" s="1"/>
  <c r="M5765" i="1"/>
  <c r="I9363" i="1"/>
  <c r="I9359" i="1"/>
  <c r="G9358" i="1"/>
  <c r="O9358" i="1" s="1"/>
  <c r="M9358" i="1"/>
  <c r="I5564" i="1"/>
  <c r="I5560" i="1"/>
  <c r="G5559" i="1"/>
  <c r="O5559" i="1" s="1"/>
  <c r="M5559" i="1"/>
  <c r="I9461" i="1"/>
  <c r="I9465" i="1"/>
  <c r="M9460" i="1"/>
  <c r="G9460" i="1"/>
  <c r="O9460" i="1" s="1"/>
  <c r="I6280" i="1"/>
  <c r="I6276" i="1"/>
  <c r="M6275" i="1"/>
  <c r="G6275" i="1"/>
  <c r="O6275" i="1" s="1"/>
  <c r="Q6172" i="1"/>
  <c r="Q9153" i="1"/>
  <c r="I5969" i="1"/>
  <c r="G5968" i="1"/>
  <c r="O5968" i="1" s="1"/>
  <c r="Q5968" i="1" s="1"/>
  <c r="M5968" i="1"/>
  <c r="I9155" i="1"/>
  <c r="I9159" i="1"/>
  <c r="G9154" i="1"/>
  <c r="O9154" i="1" s="1"/>
  <c r="Q9154" i="1" s="1"/>
  <c r="M9154" i="1"/>
  <c r="I9665" i="1"/>
  <c r="I9669" i="1"/>
  <c r="G9664" i="1"/>
  <c r="O9664" i="1" s="1"/>
  <c r="Q9664" i="1" s="1"/>
  <c r="M9664" i="1"/>
  <c r="I6174" i="1"/>
  <c r="I6178" i="1"/>
  <c r="G6173" i="1"/>
  <c r="O6173" i="1" s="1"/>
  <c r="Q6173" i="1" s="1"/>
  <c r="M6173" i="1"/>
  <c r="Q5865" i="1"/>
  <c r="I6072" i="1"/>
  <c r="I6076" i="1"/>
  <c r="M6071" i="1"/>
  <c r="G6071" i="1"/>
  <c r="O6071" i="1" s="1"/>
  <c r="I8949" i="1"/>
  <c r="I8953" i="1"/>
  <c r="G8948" i="1"/>
  <c r="O8948" i="1" s="1"/>
  <c r="Q8948" i="1" s="1"/>
  <c r="M8948" i="1"/>
  <c r="Q2171" i="1"/>
  <c r="Q2050" i="1"/>
  <c r="I2889" i="1"/>
  <c r="G2889" i="1" s="1"/>
  <c r="G2888" i="1"/>
  <c r="I2484" i="1"/>
  <c r="M2484" i="1" s="1"/>
  <c r="I2480" i="1"/>
  <c r="G2479" i="1"/>
  <c r="I2893" i="1"/>
  <c r="G2893" i="1" s="1"/>
  <c r="I2894" i="1"/>
  <c r="G2892" i="1"/>
  <c r="O2892" i="1" s="1"/>
  <c r="Q2892" i="1" s="1"/>
  <c r="I2379" i="1"/>
  <c r="G2379" i="1" s="1"/>
  <c r="G2378" i="1"/>
  <c r="I2690" i="1"/>
  <c r="I2689" i="1"/>
  <c r="G2689" i="1" s="1"/>
  <c r="O2689" i="1" s="1"/>
  <c r="G2688" i="1"/>
  <c r="O2688" i="1" s="1"/>
  <c r="M2688" i="1"/>
  <c r="I2177" i="1"/>
  <c r="G2177" i="1" s="1"/>
  <c r="O2177" i="1" s="1"/>
  <c r="Q2177" i="1" s="1"/>
  <c r="I2178" i="1"/>
  <c r="G2176" i="1"/>
  <c r="O2176" i="1" s="1"/>
  <c r="Q2176" i="1" s="1"/>
  <c r="M2176" i="1"/>
  <c r="I2383" i="1"/>
  <c r="G2383" i="1" s="1"/>
  <c r="I2384" i="1"/>
  <c r="G2382" i="1"/>
  <c r="I2685" i="1"/>
  <c r="G2685" i="1" s="1"/>
  <c r="O2685" i="1" s="1"/>
  <c r="Q2685" i="1" s="1"/>
  <c r="G2684" i="1"/>
  <c r="O2684" i="1" s="1"/>
  <c r="Q2684" i="1" s="1"/>
  <c r="I2173" i="1"/>
  <c r="G2173" i="1" s="1"/>
  <c r="O2173" i="1" s="1"/>
  <c r="Q2173" i="1" s="1"/>
  <c r="G2172" i="1"/>
  <c r="O2172" i="1" s="1"/>
  <c r="I2791" i="1"/>
  <c r="G2791" i="1" s="1"/>
  <c r="I2792" i="1"/>
  <c r="G2790" i="1"/>
  <c r="O2790" i="1" s="1"/>
  <c r="Q2790" i="1" s="1"/>
  <c r="I2280" i="1"/>
  <c r="M2280" i="1" s="1"/>
  <c r="I2276" i="1"/>
  <c r="G2275" i="1"/>
  <c r="I2582" i="1"/>
  <c r="I2586" i="1"/>
  <c r="G2581" i="1"/>
  <c r="O2581" i="1" s="1"/>
  <c r="Q2581" i="1" s="1"/>
  <c r="I2787" i="1"/>
  <c r="G2787" i="1" s="1"/>
  <c r="G2786" i="1"/>
  <c r="O2382" i="1"/>
  <c r="Q2382" i="1" s="1"/>
  <c r="Q2065" i="1"/>
  <c r="M2887" i="1"/>
  <c r="O2887" i="1"/>
  <c r="Q2887" i="1" s="1"/>
  <c r="M2581" i="1"/>
  <c r="I2067" i="1"/>
  <c r="M2785" i="1"/>
  <c r="O2785" i="1"/>
  <c r="Q2785" i="1" s="1"/>
  <c r="M2377" i="1"/>
  <c r="O2377" i="1"/>
  <c r="Q2377" i="1" s="1"/>
  <c r="Q2689" i="1" l="1"/>
  <c r="Q6071" i="1"/>
  <c r="I9666" i="1"/>
  <c r="M9665" i="1"/>
  <c r="G9665" i="1"/>
  <c r="O9665" i="1" s="1"/>
  <c r="Q9665" i="1" s="1"/>
  <c r="I9462" i="1"/>
  <c r="M9461" i="1"/>
  <c r="G9461" i="1"/>
  <c r="O9461" i="1" s="1"/>
  <c r="I9365" i="1"/>
  <c r="G9363" i="1"/>
  <c r="O9363" i="1" s="1"/>
  <c r="I9364" i="1"/>
  <c r="G9364" i="1" s="1"/>
  <c r="O9364" i="1" s="1"/>
  <c r="Q9364" i="1" s="1"/>
  <c r="G9567" i="1"/>
  <c r="O9567" i="1" s="1"/>
  <c r="I9568" i="1"/>
  <c r="G9568" i="1" s="1"/>
  <c r="O9568" i="1" s="1"/>
  <c r="Q9568" i="1" s="1"/>
  <c r="I9569" i="1"/>
  <c r="I9261" i="1"/>
  <c r="I9257" i="1"/>
  <c r="M9256" i="1"/>
  <c r="G9256" i="1"/>
  <c r="O9256" i="1" s="1"/>
  <c r="I5868" i="1"/>
  <c r="I5872" i="1"/>
  <c r="M5867" i="1"/>
  <c r="G5867" i="1"/>
  <c r="O5867" i="1" s="1"/>
  <c r="Q6275" i="1"/>
  <c r="I6077" i="1"/>
  <c r="G6077" i="1" s="1"/>
  <c r="O6077" i="1" s="1"/>
  <c r="Q6077" i="1" s="1"/>
  <c r="I6078" i="1"/>
  <c r="G6076" i="1"/>
  <c r="O6076" i="1" s="1"/>
  <c r="I6073" i="1"/>
  <c r="M6072" i="1"/>
  <c r="G6072" i="1"/>
  <c r="O6072" i="1" s="1"/>
  <c r="Q6072" i="1" s="1"/>
  <c r="I6180" i="1"/>
  <c r="G6178" i="1"/>
  <c r="O6178" i="1" s="1"/>
  <c r="I6179" i="1"/>
  <c r="G6179" i="1" s="1"/>
  <c r="O6179" i="1" s="1"/>
  <c r="Q6179" i="1" s="1"/>
  <c r="I5974" i="1"/>
  <c r="I5970" i="1"/>
  <c r="M5969" i="1"/>
  <c r="G5969" i="1"/>
  <c r="O5969" i="1" s="1"/>
  <c r="Q5969" i="1" s="1"/>
  <c r="I6277" i="1"/>
  <c r="G6276" i="1"/>
  <c r="O6276" i="1" s="1"/>
  <c r="Q6276" i="1" s="1"/>
  <c r="M6276" i="1"/>
  <c r="I5561" i="1"/>
  <c r="G5560" i="1"/>
  <c r="O5560" i="1" s="1"/>
  <c r="Q5560" i="1" s="1"/>
  <c r="M5560" i="1"/>
  <c r="I5767" i="1"/>
  <c r="M5766" i="1"/>
  <c r="G5766" i="1"/>
  <c r="O5766" i="1" s="1"/>
  <c r="Q5766" i="1" s="1"/>
  <c r="I9057" i="1"/>
  <c r="I9053" i="1"/>
  <c r="M9052" i="1"/>
  <c r="G9052" i="1"/>
  <c r="O9052" i="1" s="1"/>
  <c r="Q5559" i="1"/>
  <c r="I6175" i="1"/>
  <c r="M6174" i="1"/>
  <c r="G6174" i="1"/>
  <c r="O6174" i="1" s="1"/>
  <c r="Q6174" i="1" s="1"/>
  <c r="I6281" i="1"/>
  <c r="G6281" i="1" s="1"/>
  <c r="O6281" i="1" s="1"/>
  <c r="Q6281" i="1" s="1"/>
  <c r="G6280" i="1"/>
  <c r="O6280" i="1" s="1"/>
  <c r="I6282" i="1"/>
  <c r="G5564" i="1"/>
  <c r="O5564" i="1" s="1"/>
  <c r="I5565" i="1"/>
  <c r="G5565" i="1" s="1"/>
  <c r="O5565" i="1" s="1"/>
  <c r="Q5565" i="1" s="1"/>
  <c r="I5566" i="1"/>
  <c r="G5770" i="1"/>
  <c r="O5770" i="1" s="1"/>
  <c r="I5771" i="1"/>
  <c r="G5771" i="1" s="1"/>
  <c r="O5771" i="1" s="1"/>
  <c r="Q5771" i="1" s="1"/>
  <c r="I5772" i="1"/>
  <c r="I8954" i="1"/>
  <c r="G8954" i="1" s="1"/>
  <c r="O8954" i="1" s="1"/>
  <c r="Q8954" i="1" s="1"/>
  <c r="I8955" i="1"/>
  <c r="G8953" i="1"/>
  <c r="O8953" i="1" s="1"/>
  <c r="Q9460" i="1"/>
  <c r="Q5662" i="1"/>
  <c r="I8950" i="1"/>
  <c r="M8949" i="1"/>
  <c r="G8949" i="1"/>
  <c r="O8949" i="1" s="1"/>
  <c r="I9160" i="1"/>
  <c r="G9160" i="1" s="1"/>
  <c r="O9160" i="1" s="1"/>
  <c r="Q9160" i="1" s="1"/>
  <c r="I9161" i="1"/>
  <c r="G9159" i="1"/>
  <c r="O9159" i="1" s="1"/>
  <c r="Q9358" i="1"/>
  <c r="I9670" i="1"/>
  <c r="G9670" i="1" s="1"/>
  <c r="O9670" i="1" s="1"/>
  <c r="Q9670" i="1" s="1"/>
  <c r="I9671" i="1"/>
  <c r="G9669" i="1"/>
  <c r="O9669" i="1" s="1"/>
  <c r="I9156" i="1"/>
  <c r="M9155" i="1"/>
  <c r="G9155" i="1"/>
  <c r="O9155" i="1" s="1"/>
  <c r="I9466" i="1"/>
  <c r="G9466" i="1" s="1"/>
  <c r="O9466" i="1" s="1"/>
  <c r="Q9466" i="1" s="1"/>
  <c r="I9467" i="1"/>
  <c r="G9465" i="1"/>
  <c r="O9465" i="1" s="1"/>
  <c r="I9360" i="1"/>
  <c r="G9359" i="1"/>
  <c r="O9359" i="1" s="1"/>
  <c r="M9359" i="1"/>
  <c r="I9564" i="1"/>
  <c r="G9563" i="1"/>
  <c r="O9563" i="1" s="1"/>
  <c r="Q9563" i="1" s="1"/>
  <c r="M9563" i="1"/>
  <c r="I5668" i="1"/>
  <c r="I5664" i="1"/>
  <c r="G5663" i="1"/>
  <c r="O5663" i="1" s="1"/>
  <c r="M5663" i="1"/>
  <c r="Q2172" i="1"/>
  <c r="Q2688" i="1"/>
  <c r="M2685" i="1"/>
  <c r="M2173" i="1"/>
  <c r="I2896" i="1"/>
  <c r="G2894" i="1"/>
  <c r="O2894" i="1" s="1"/>
  <c r="Q2894" i="1" s="1"/>
  <c r="I2583" i="1"/>
  <c r="G2583" i="1" s="1"/>
  <c r="G2582" i="1"/>
  <c r="O2582" i="1" s="1"/>
  <c r="Q2582" i="1" s="1"/>
  <c r="I2180" i="1"/>
  <c r="M2180" i="1" s="1"/>
  <c r="G2178" i="1"/>
  <c r="O2178" i="1" s="1"/>
  <c r="I2281" i="1"/>
  <c r="G2281" i="1" s="1"/>
  <c r="I2282" i="1"/>
  <c r="G2280" i="1"/>
  <c r="O2280" i="1" s="1"/>
  <c r="Q2280" i="1" s="1"/>
  <c r="G2384" i="1"/>
  <c r="O2384" i="1" s="1"/>
  <c r="I2386" i="1"/>
  <c r="I2481" i="1"/>
  <c r="G2481" i="1" s="1"/>
  <c r="G2480" i="1"/>
  <c r="I2277" i="1"/>
  <c r="G2277" i="1" s="1"/>
  <c r="G2276" i="1"/>
  <c r="I2794" i="1"/>
  <c r="G2792" i="1"/>
  <c r="O2792" i="1" s="1"/>
  <c r="Q2792" i="1" s="1"/>
  <c r="I2692" i="1"/>
  <c r="M2692" i="1" s="1"/>
  <c r="G2690" i="1"/>
  <c r="O2690" i="1" s="1"/>
  <c r="I2485" i="1"/>
  <c r="G2485" i="1" s="1"/>
  <c r="I2486" i="1"/>
  <c r="G2484" i="1"/>
  <c r="O2484" i="1" s="1"/>
  <c r="Q2484" i="1" s="1"/>
  <c r="I2588" i="1"/>
  <c r="I2587" i="1"/>
  <c r="G2587" i="1" s="1"/>
  <c r="O2587" i="1" s="1"/>
  <c r="Q2587" i="1" s="1"/>
  <c r="G2586" i="1"/>
  <c r="O2586" i="1" s="1"/>
  <c r="Q2586" i="1" s="1"/>
  <c r="M2586" i="1"/>
  <c r="I2072" i="1"/>
  <c r="G2072" i="1" s="1"/>
  <c r="G2067" i="1"/>
  <c r="O2067" i="1" s="1"/>
  <c r="Q2067" i="1" s="1"/>
  <c r="O2893" i="1"/>
  <c r="Q2893" i="1" s="1"/>
  <c r="O2791" i="1"/>
  <c r="Q2791" i="1" s="1"/>
  <c r="O2383" i="1"/>
  <c r="Q2383" i="1" s="1"/>
  <c r="M2378" i="1"/>
  <c r="O2378" i="1"/>
  <c r="Q2378" i="1" s="1"/>
  <c r="M2582" i="1"/>
  <c r="M2479" i="1"/>
  <c r="O2479" i="1"/>
  <c r="M2786" i="1"/>
  <c r="O2786" i="1"/>
  <c r="Q2786" i="1" s="1"/>
  <c r="M2275" i="1"/>
  <c r="O2275" i="1"/>
  <c r="Q2275" i="1" s="1"/>
  <c r="M2888" i="1"/>
  <c r="O2888" i="1"/>
  <c r="Q2888" i="1" s="1"/>
  <c r="M2067" i="1"/>
  <c r="I2068" i="1"/>
  <c r="G2068" i="1" s="1"/>
  <c r="Q9256" i="1" l="1"/>
  <c r="Q9359" i="1"/>
  <c r="Q8953" i="1"/>
  <c r="M9462" i="1"/>
  <c r="G9462" i="1"/>
  <c r="O9462" i="1" s="1"/>
  <c r="G9564" i="1"/>
  <c r="O9564" i="1" s="1"/>
  <c r="O9557" i="1" s="1"/>
  <c r="M9564" i="1"/>
  <c r="Q9155" i="1"/>
  <c r="G8950" i="1"/>
  <c r="O8950" i="1" s="1"/>
  <c r="Q8950" i="1" s="1"/>
  <c r="M8950" i="1"/>
  <c r="I5869" i="1"/>
  <c r="G5868" i="1"/>
  <c r="O5868" i="1" s="1"/>
  <c r="M5868" i="1"/>
  <c r="Q9567" i="1"/>
  <c r="Q5564" i="1"/>
  <c r="G5767" i="1"/>
  <c r="O5767" i="1" s="1"/>
  <c r="Q5767" i="1" s="1"/>
  <c r="M5767" i="1"/>
  <c r="M6073" i="1"/>
  <c r="G6073" i="1"/>
  <c r="O6073" i="1" s="1"/>
  <c r="Q6073" i="1" s="1"/>
  <c r="G6282" i="1"/>
  <c r="O6282" i="1" s="1"/>
  <c r="Q6282" i="1" s="1"/>
  <c r="I6284" i="1"/>
  <c r="I5971" i="1"/>
  <c r="M5970" i="1"/>
  <c r="G5970" i="1"/>
  <c r="O5970" i="1" s="1"/>
  <c r="Q5970" i="1" s="1"/>
  <c r="Q5663" i="1"/>
  <c r="G9360" i="1"/>
  <c r="O9360" i="1" s="1"/>
  <c r="Q9360" i="1" s="1"/>
  <c r="M9360" i="1"/>
  <c r="Q9669" i="1"/>
  <c r="Q9159" i="1"/>
  <c r="Q6280" i="1"/>
  <c r="Q9052" i="1"/>
  <c r="I5976" i="1"/>
  <c r="I5975" i="1"/>
  <c r="G5975" i="1" s="1"/>
  <c r="O5975" i="1" s="1"/>
  <c r="Q5975" i="1" s="1"/>
  <c r="G5974" i="1"/>
  <c r="O5974" i="1" s="1"/>
  <c r="I9258" i="1"/>
  <c r="M9257" i="1"/>
  <c r="G9257" i="1"/>
  <c r="O9257" i="1" s="1"/>
  <c r="I9367" i="1"/>
  <c r="G9365" i="1"/>
  <c r="O9365" i="1" s="1"/>
  <c r="Q9365" i="1" s="1"/>
  <c r="Q2384" i="1"/>
  <c r="G9156" i="1"/>
  <c r="O9156" i="1" s="1"/>
  <c r="Q9156" i="1" s="1"/>
  <c r="M9156" i="1"/>
  <c r="Q9363" i="1"/>
  <c r="M9666" i="1"/>
  <c r="G9666" i="1"/>
  <c r="O9666" i="1" s="1"/>
  <c r="I5665" i="1"/>
  <c r="M5664" i="1"/>
  <c r="G5664" i="1"/>
  <c r="O5664" i="1" s="1"/>
  <c r="Q9465" i="1"/>
  <c r="I9673" i="1"/>
  <c r="G9671" i="1"/>
  <c r="O9671" i="1" s="1"/>
  <c r="Q9671" i="1" s="1"/>
  <c r="I9163" i="1"/>
  <c r="G9161" i="1"/>
  <c r="O9161" i="1" s="1"/>
  <c r="Q9161" i="1" s="1"/>
  <c r="I5774" i="1"/>
  <c r="G5772" i="1"/>
  <c r="O5772" i="1" s="1"/>
  <c r="Q5772" i="1" s="1"/>
  <c r="M5561" i="1"/>
  <c r="G5561" i="1"/>
  <c r="O5561" i="1" s="1"/>
  <c r="O5554" i="1" s="1"/>
  <c r="I9263" i="1"/>
  <c r="I9262" i="1"/>
  <c r="G9262" i="1" s="1"/>
  <c r="O9262" i="1" s="1"/>
  <c r="Q9262" i="1" s="1"/>
  <c r="G9261" i="1"/>
  <c r="O9261" i="1" s="1"/>
  <c r="Q9461" i="1"/>
  <c r="O9455" i="1"/>
  <c r="I5669" i="1"/>
  <c r="G5669" i="1" s="1"/>
  <c r="O5669" i="1" s="1"/>
  <c r="Q5669" i="1" s="1"/>
  <c r="I5670" i="1"/>
  <c r="G5668" i="1"/>
  <c r="O5668" i="1" s="1"/>
  <c r="I9469" i="1"/>
  <c r="G9467" i="1"/>
  <c r="O9467" i="1" s="1"/>
  <c r="Q9467" i="1" s="1"/>
  <c r="I9054" i="1"/>
  <c r="M9053" i="1"/>
  <c r="G9053" i="1"/>
  <c r="O9053" i="1" s="1"/>
  <c r="Q6178" i="1"/>
  <c r="Q6076" i="1"/>
  <c r="Q5867" i="1"/>
  <c r="O5768" i="1"/>
  <c r="Q5770" i="1"/>
  <c r="I9058" i="1"/>
  <c r="G9058" i="1" s="1"/>
  <c r="O9058" i="1" s="1"/>
  <c r="Q9058" i="1" s="1"/>
  <c r="I9059" i="1"/>
  <c r="G9057" i="1"/>
  <c r="O9057" i="1" s="1"/>
  <c r="Q8949" i="1"/>
  <c r="I6182" i="1"/>
  <c r="G6180" i="1"/>
  <c r="O6180" i="1" s="1"/>
  <c r="Q6180" i="1" s="1"/>
  <c r="I6080" i="1"/>
  <c r="G6078" i="1"/>
  <c r="O6078" i="1" s="1"/>
  <c r="Q6078" i="1" s="1"/>
  <c r="G9569" i="1"/>
  <c r="O9569" i="1" s="1"/>
  <c r="Q9569" i="1" s="1"/>
  <c r="I9571" i="1"/>
  <c r="I8957" i="1"/>
  <c r="G8955" i="1"/>
  <c r="O8955" i="1" s="1"/>
  <c r="Q8955" i="1" s="1"/>
  <c r="G5566" i="1"/>
  <c r="O5566" i="1" s="1"/>
  <c r="Q5566" i="1" s="1"/>
  <c r="I5568" i="1"/>
  <c r="M6175" i="1"/>
  <c r="G6175" i="1"/>
  <c r="O6175" i="1" s="1"/>
  <c r="M6277" i="1"/>
  <c r="G6277" i="1"/>
  <c r="O6277" i="1" s="1"/>
  <c r="Q6277" i="1" s="1"/>
  <c r="I5873" i="1"/>
  <c r="G5873" i="1" s="1"/>
  <c r="O5873" i="1" s="1"/>
  <c r="Q5873" i="1" s="1"/>
  <c r="I5874" i="1"/>
  <c r="G5872" i="1"/>
  <c r="O5872" i="1" s="1"/>
  <c r="O5760" i="1"/>
  <c r="Q2479" i="1"/>
  <c r="I2074" i="1"/>
  <c r="I2076" i="1" s="1"/>
  <c r="G2076" i="1" s="1"/>
  <c r="O2076" i="1" s="1"/>
  <c r="G2588" i="1"/>
  <c r="O2588" i="1" s="1"/>
  <c r="Q2588" i="1" s="1"/>
  <c r="I2590" i="1"/>
  <c r="Q2178" i="1"/>
  <c r="O2179" i="1"/>
  <c r="G2282" i="1"/>
  <c r="O2282" i="1" s="1"/>
  <c r="I2284" i="1"/>
  <c r="I2488" i="1"/>
  <c r="G2486" i="1"/>
  <c r="O2486" i="1" s="1"/>
  <c r="Q2486" i="1" s="1"/>
  <c r="I2181" i="1"/>
  <c r="G2181" i="1" s="1"/>
  <c r="O2181" i="1" s="1"/>
  <c r="I2182" i="1"/>
  <c r="M2182" i="1" s="1"/>
  <c r="G2180" i="1"/>
  <c r="O2180" i="1" s="1"/>
  <c r="Q2180" i="1" s="1"/>
  <c r="Q2690" i="1"/>
  <c r="O2691" i="1"/>
  <c r="I2387" i="1"/>
  <c r="G2387" i="1" s="1"/>
  <c r="I2388" i="1"/>
  <c r="G2386" i="1"/>
  <c r="O2386" i="1" s="1"/>
  <c r="I2795" i="1"/>
  <c r="G2795" i="1" s="1"/>
  <c r="I2796" i="1"/>
  <c r="G2794" i="1"/>
  <c r="I2694" i="1"/>
  <c r="M2694" i="1" s="1"/>
  <c r="I2693" i="1"/>
  <c r="G2693" i="1" s="1"/>
  <c r="O2693" i="1" s="1"/>
  <c r="Q2693" i="1" s="1"/>
  <c r="G2692" i="1"/>
  <c r="O2692" i="1" s="1"/>
  <c r="I2898" i="1"/>
  <c r="I2897" i="1"/>
  <c r="G2897" i="1" s="1"/>
  <c r="G2896" i="1"/>
  <c r="O2072" i="1"/>
  <c r="Q2072" i="1" s="1"/>
  <c r="M2072" i="1"/>
  <c r="I2073" i="1"/>
  <c r="G2073" i="1" s="1"/>
  <c r="O2073" i="1" s="1"/>
  <c r="Q2073" i="1" s="1"/>
  <c r="O2895" i="1"/>
  <c r="O2793" i="1"/>
  <c r="O2583" i="1"/>
  <c r="Q2583" i="1" s="1"/>
  <c r="O2485" i="1"/>
  <c r="Q2485" i="1" s="1"/>
  <c r="O2385" i="1"/>
  <c r="O2281" i="1"/>
  <c r="Q2281" i="1" s="1"/>
  <c r="M2276" i="1"/>
  <c r="O2276" i="1"/>
  <c r="Q2276" i="1" s="1"/>
  <c r="M2480" i="1"/>
  <c r="O2480" i="1"/>
  <c r="M2379" i="1"/>
  <c r="O2379" i="1"/>
  <c r="M2068" i="1"/>
  <c r="O2068" i="1"/>
  <c r="I2069" i="1"/>
  <c r="G2069" i="1" s="1"/>
  <c r="M2889" i="1"/>
  <c r="O2889" i="1"/>
  <c r="M2583" i="1"/>
  <c r="M2787" i="1"/>
  <c r="O2787" i="1"/>
  <c r="Q9053" i="1" l="1"/>
  <c r="O9366" i="1"/>
  <c r="O8943" i="1"/>
  <c r="Q8943" i="1" s="1"/>
  <c r="O8956" i="1"/>
  <c r="O5773" i="1"/>
  <c r="O9570" i="1"/>
  <c r="O6079" i="1"/>
  <c r="O6074" i="1"/>
  <c r="O6066" i="1"/>
  <c r="Q6066" i="1" s="1"/>
  <c r="O9361" i="1"/>
  <c r="O8951" i="1"/>
  <c r="G5874" i="1"/>
  <c r="O5874" i="1" s="1"/>
  <c r="Q5874" i="1" s="1"/>
  <c r="I5876" i="1"/>
  <c r="M9054" i="1"/>
  <c r="G9054" i="1"/>
  <c r="O9054" i="1" s="1"/>
  <c r="O9055" i="1" s="1"/>
  <c r="Q5664" i="1"/>
  <c r="M9258" i="1"/>
  <c r="G9258" i="1"/>
  <c r="O9258" i="1" s="1"/>
  <c r="Q9258" i="1" s="1"/>
  <c r="O6283" i="1"/>
  <c r="Q5868" i="1"/>
  <c r="M5869" i="1"/>
  <c r="G5869" i="1"/>
  <c r="O5869" i="1" s="1"/>
  <c r="O5870" i="1" s="1"/>
  <c r="M9571" i="1"/>
  <c r="I9573" i="1"/>
  <c r="I9572" i="1"/>
  <c r="G9571" i="1"/>
  <c r="O9571" i="1" s="1"/>
  <c r="Q9057" i="1"/>
  <c r="I9471" i="1"/>
  <c r="I9470" i="1"/>
  <c r="G9469" i="1"/>
  <c r="O9469" i="1" s="1"/>
  <c r="M9469" i="1"/>
  <c r="M5665" i="1"/>
  <c r="G5665" i="1"/>
  <c r="O5665" i="1" s="1"/>
  <c r="Q5665" i="1" s="1"/>
  <c r="Q5974" i="1"/>
  <c r="O9162" i="1"/>
  <c r="Q9564" i="1"/>
  <c r="O9565" i="1"/>
  <c r="Q9261" i="1"/>
  <c r="G9059" i="1"/>
  <c r="O9059" i="1" s="1"/>
  <c r="Q9059" i="1" s="1"/>
  <c r="I9061" i="1"/>
  <c r="Q5668" i="1"/>
  <c r="I9265" i="1"/>
  <c r="G9263" i="1"/>
  <c r="O9263" i="1" s="1"/>
  <c r="Q9263" i="1" s="1"/>
  <c r="I9165" i="1"/>
  <c r="I9164" i="1"/>
  <c r="M9163" i="1"/>
  <c r="G9163" i="1"/>
  <c r="O9163" i="1" s="1"/>
  <c r="Q9666" i="1"/>
  <c r="O9659" i="1"/>
  <c r="O9667" i="1"/>
  <c r="Q9462" i="1"/>
  <c r="O9463" i="1"/>
  <c r="I8959" i="1"/>
  <c r="I8958" i="1"/>
  <c r="G8957" i="1"/>
  <c r="O8957" i="1" s="1"/>
  <c r="M8957" i="1"/>
  <c r="I5776" i="1"/>
  <c r="I5775" i="1"/>
  <c r="G5774" i="1"/>
  <c r="O5774" i="1" s="1"/>
  <c r="M5774" i="1"/>
  <c r="Q9557" i="1"/>
  <c r="G2074" i="1"/>
  <c r="O2074" i="1" s="1"/>
  <c r="Q2074" i="1" s="1"/>
  <c r="Q2282" i="1"/>
  <c r="Q6175" i="1"/>
  <c r="O6176" i="1"/>
  <c r="O6168" i="1"/>
  <c r="O6181" i="1"/>
  <c r="I5672" i="1"/>
  <c r="G5670" i="1"/>
  <c r="O5670" i="1" s="1"/>
  <c r="Q5670" i="1" s="1"/>
  <c r="I5978" i="1"/>
  <c r="G5976" i="1"/>
  <c r="O5976" i="1" s="1"/>
  <c r="Q5976" i="1" s="1"/>
  <c r="O9672" i="1"/>
  <c r="M5971" i="1"/>
  <c r="G5971" i="1"/>
  <c r="O5971" i="1" s="1"/>
  <c r="O5964" i="1" s="1"/>
  <c r="O5567" i="1"/>
  <c r="I9369" i="1"/>
  <c r="I9368" i="1"/>
  <c r="M9367" i="1"/>
  <c r="G9367" i="1"/>
  <c r="O9367" i="1" s="1"/>
  <c r="I6286" i="1"/>
  <c r="I6285" i="1"/>
  <c r="M6284" i="1"/>
  <c r="G6284" i="1"/>
  <c r="O6284" i="1" s="1"/>
  <c r="Q5554" i="1"/>
  <c r="I6082" i="1"/>
  <c r="I6081" i="1"/>
  <c r="G6080" i="1"/>
  <c r="O6080" i="1" s="1"/>
  <c r="M6080" i="1"/>
  <c r="Q5760" i="1"/>
  <c r="G5568" i="1"/>
  <c r="O5568" i="1" s="1"/>
  <c r="M5568" i="1"/>
  <c r="I5570" i="1"/>
  <c r="I5569" i="1"/>
  <c r="Q5561" i="1"/>
  <c r="O5562" i="1"/>
  <c r="O9468" i="1"/>
  <c r="Q9257" i="1"/>
  <c r="O9259" i="1"/>
  <c r="O9353" i="1"/>
  <c r="O9157" i="1"/>
  <c r="I9675" i="1"/>
  <c r="I9674" i="1"/>
  <c r="M9673" i="1"/>
  <c r="G9673" i="1"/>
  <c r="O9673" i="1" s="1"/>
  <c r="Q5872" i="1"/>
  <c r="O5875" i="1"/>
  <c r="I6184" i="1"/>
  <c r="I6183" i="1"/>
  <c r="M6182" i="1"/>
  <c r="G6182" i="1"/>
  <c r="O6182" i="1" s="1"/>
  <c r="Q9455" i="1"/>
  <c r="O6270" i="1"/>
  <c r="O6278" i="1"/>
  <c r="O9149" i="1"/>
  <c r="Q2787" i="1"/>
  <c r="Q2889" i="1"/>
  <c r="Q2480" i="1"/>
  <c r="Q2181" i="1"/>
  <c r="Q2692" i="1"/>
  <c r="Q2379" i="1"/>
  <c r="M2181" i="1"/>
  <c r="O2589" i="1"/>
  <c r="M2693" i="1"/>
  <c r="I2905" i="1"/>
  <c r="I2900" i="1"/>
  <c r="G2900" i="1" s="1"/>
  <c r="G2898" i="1"/>
  <c r="I2390" i="1"/>
  <c r="G2390" i="1" s="1"/>
  <c r="I2395" i="1"/>
  <c r="G2388" i="1"/>
  <c r="I2490" i="1"/>
  <c r="I2489" i="1"/>
  <c r="G2489" i="1" s="1"/>
  <c r="G2488" i="1"/>
  <c r="I2285" i="1"/>
  <c r="G2285" i="1" s="1"/>
  <c r="I2286" i="1"/>
  <c r="G2284" i="1"/>
  <c r="O2284" i="1" s="1"/>
  <c r="I2701" i="1"/>
  <c r="I2696" i="1"/>
  <c r="G2696" i="1" s="1"/>
  <c r="O2696" i="1" s="1"/>
  <c r="Q2696" i="1" s="1"/>
  <c r="G2694" i="1"/>
  <c r="O2694" i="1" s="1"/>
  <c r="Q2694" i="1" s="1"/>
  <c r="I2798" i="1"/>
  <c r="G2798" i="1" s="1"/>
  <c r="I2803" i="1"/>
  <c r="G2796" i="1"/>
  <c r="I2184" i="1"/>
  <c r="G2182" i="1"/>
  <c r="O2182" i="1" s="1"/>
  <c r="Q2182" i="1" s="1"/>
  <c r="I2591" i="1"/>
  <c r="G2591" i="1" s="1"/>
  <c r="O2591" i="1" s="1"/>
  <c r="Q2591" i="1" s="1"/>
  <c r="I2592" i="1"/>
  <c r="G2590" i="1"/>
  <c r="O2590" i="1" s="1"/>
  <c r="Q2590" i="1" s="1"/>
  <c r="O2487" i="1"/>
  <c r="O2283" i="1"/>
  <c r="Q2068" i="1"/>
  <c r="O2897" i="1"/>
  <c r="Q2897" i="1" s="1"/>
  <c r="O2896" i="1"/>
  <c r="Q2896" i="1" s="1"/>
  <c r="M2387" i="1"/>
  <c r="Q2386" i="1"/>
  <c r="O2795" i="1"/>
  <c r="Q2795" i="1" s="1"/>
  <c r="O2794" i="1"/>
  <c r="Q2794" i="1" s="1"/>
  <c r="M2386" i="1"/>
  <c r="M2794" i="1"/>
  <c r="M2590" i="1"/>
  <c r="M2896" i="1"/>
  <c r="M2481" i="1"/>
  <c r="O2481" i="1"/>
  <c r="Q2481" i="1" s="1"/>
  <c r="M2069" i="1"/>
  <c r="O2069" i="1"/>
  <c r="Q2069" i="1" s="1"/>
  <c r="M2277" i="1"/>
  <c r="O2277" i="1"/>
  <c r="Q2277" i="1" s="1"/>
  <c r="O2075" i="1" l="1"/>
  <c r="O9251" i="1"/>
  <c r="Q9251" i="1" s="1"/>
  <c r="Q5964" i="1"/>
  <c r="Q6182" i="1"/>
  <c r="I9682" i="1"/>
  <c r="I9677" i="1"/>
  <c r="G9677" i="1" s="1"/>
  <c r="O9677" i="1" s="1"/>
  <c r="G9675" i="1"/>
  <c r="O9675" i="1" s="1"/>
  <c r="Q9675" i="1" s="1"/>
  <c r="M9675" i="1"/>
  <c r="Q6080" i="1"/>
  <c r="I6293" i="1"/>
  <c r="I6288" i="1"/>
  <c r="G6288" i="1" s="1"/>
  <c r="O6288" i="1" s="1"/>
  <c r="M6286" i="1"/>
  <c r="G6286" i="1"/>
  <c r="O6286" i="1" s="1"/>
  <c r="Q6286" i="1" s="1"/>
  <c r="Q5774" i="1"/>
  <c r="M9164" i="1"/>
  <c r="G9164" i="1"/>
  <c r="O9164" i="1" s="1"/>
  <c r="Q9164" i="1" s="1"/>
  <c r="O9264" i="1"/>
  <c r="Q9571" i="1"/>
  <c r="O5658" i="1"/>
  <c r="M6183" i="1"/>
  <c r="G6183" i="1"/>
  <c r="O6183" i="1" s="1"/>
  <c r="Q6183" i="1" s="1"/>
  <c r="M5569" i="1"/>
  <c r="G5569" i="1"/>
  <c r="O5569" i="1" s="1"/>
  <c r="Q5569" i="1" s="1"/>
  <c r="M6081" i="1"/>
  <c r="G6081" i="1"/>
  <c r="O6081" i="1" s="1"/>
  <c r="Q6081" i="1" s="1"/>
  <c r="Q9367" i="1"/>
  <c r="G5775" i="1"/>
  <c r="O5775" i="1" s="1"/>
  <c r="Q5775" i="1" s="1"/>
  <c r="M5775" i="1"/>
  <c r="I9172" i="1"/>
  <c r="I9167" i="1"/>
  <c r="G9167" i="1" s="1"/>
  <c r="O9167" i="1" s="1"/>
  <c r="G9165" i="1"/>
  <c r="O9165" i="1" s="1"/>
  <c r="Q9165" i="1" s="1"/>
  <c r="M9165" i="1"/>
  <c r="G9572" i="1"/>
  <c r="O9572" i="1" s="1"/>
  <c r="Q9572" i="1" s="1"/>
  <c r="M9572" i="1"/>
  <c r="G9674" i="1"/>
  <c r="O9674" i="1" s="1"/>
  <c r="Q9674" i="1" s="1"/>
  <c r="M9674" i="1"/>
  <c r="G6285" i="1"/>
  <c r="O6285" i="1" s="1"/>
  <c r="Q6285" i="1" s="1"/>
  <c r="M6285" i="1"/>
  <c r="Q9149" i="1"/>
  <c r="I6186" i="1"/>
  <c r="G6186" i="1" s="1"/>
  <c r="O6186" i="1" s="1"/>
  <c r="I6191" i="1"/>
  <c r="G6184" i="1"/>
  <c r="O6184" i="1" s="1"/>
  <c r="Q6184" i="1" s="1"/>
  <c r="M6184" i="1"/>
  <c r="Q9353" i="1"/>
  <c r="I5572" i="1"/>
  <c r="G5570" i="1"/>
  <c r="O5570" i="1" s="1"/>
  <c r="Q5570" i="1" s="1"/>
  <c r="M5570" i="1"/>
  <c r="M6082" i="1"/>
  <c r="I6084" i="1"/>
  <c r="G6084" i="1" s="1"/>
  <c r="O6084" i="1" s="1"/>
  <c r="I6089" i="1"/>
  <c r="G6082" i="1"/>
  <c r="O6082" i="1" s="1"/>
  <c r="Q6082" i="1" s="1"/>
  <c r="I5980" i="1"/>
  <c r="I5979" i="1"/>
  <c r="G5978" i="1"/>
  <c r="O5978" i="1" s="1"/>
  <c r="M5978" i="1"/>
  <c r="I5778" i="1"/>
  <c r="G5778" i="1" s="1"/>
  <c r="O5778" i="1" s="1"/>
  <c r="I5783" i="1"/>
  <c r="G5776" i="1"/>
  <c r="O5776" i="1" s="1"/>
  <c r="Q5776" i="1" s="1"/>
  <c r="M5776" i="1"/>
  <c r="G9573" i="1"/>
  <c r="O9573" i="1" s="1"/>
  <c r="Q9573" i="1" s="1"/>
  <c r="M9573" i="1"/>
  <c r="I9580" i="1"/>
  <c r="I9575" i="1"/>
  <c r="G9575" i="1" s="1"/>
  <c r="O9575" i="1" s="1"/>
  <c r="I5878" i="1"/>
  <c r="I5877" i="1"/>
  <c r="G5876" i="1"/>
  <c r="O5876" i="1" s="1"/>
  <c r="M5876" i="1"/>
  <c r="M9368" i="1"/>
  <c r="G9368" i="1"/>
  <c r="O9368" i="1" s="1"/>
  <c r="Q9368" i="1" s="1"/>
  <c r="I9267" i="1"/>
  <c r="I9266" i="1"/>
  <c r="M9265" i="1"/>
  <c r="G9265" i="1"/>
  <c r="O9265" i="1" s="1"/>
  <c r="Q9469" i="1"/>
  <c r="Q6270" i="1"/>
  <c r="Q5568" i="1"/>
  <c r="I9371" i="1"/>
  <c r="G9371" i="1" s="1"/>
  <c r="O9371" i="1" s="1"/>
  <c r="G9369" i="1"/>
  <c r="O9369" i="1" s="1"/>
  <c r="Q9369" i="1" s="1"/>
  <c r="M9369" i="1"/>
  <c r="I9376" i="1"/>
  <c r="M5672" i="1"/>
  <c r="G5672" i="1"/>
  <c r="O5672" i="1" s="1"/>
  <c r="I5674" i="1"/>
  <c r="I5673" i="1"/>
  <c r="Q8957" i="1"/>
  <c r="Q9659" i="1"/>
  <c r="O5671" i="1"/>
  <c r="G9470" i="1"/>
  <c r="O9470" i="1" s="1"/>
  <c r="Q9470" i="1" s="1"/>
  <c r="M9470" i="1"/>
  <c r="Q5869" i="1"/>
  <c r="O5862" i="1"/>
  <c r="O5666" i="1"/>
  <c r="Q9673" i="1"/>
  <c r="O9676" i="1"/>
  <c r="O9668" i="1" s="1"/>
  <c r="Q9668" i="1" s="1"/>
  <c r="Q6284" i="1"/>
  <c r="M8958" i="1"/>
  <c r="G8958" i="1"/>
  <c r="O8958" i="1" s="1"/>
  <c r="Q8958" i="1" s="1"/>
  <c r="I9473" i="1"/>
  <c r="G9473" i="1" s="1"/>
  <c r="O9473" i="1" s="1"/>
  <c r="I9478" i="1"/>
  <c r="M9471" i="1"/>
  <c r="G9471" i="1"/>
  <c r="O9471" i="1" s="1"/>
  <c r="Q9471" i="1" s="1"/>
  <c r="Q5971" i="1"/>
  <c r="O5972" i="1"/>
  <c r="Q6168" i="1"/>
  <c r="M8959" i="1"/>
  <c r="G8959" i="1"/>
  <c r="O8959" i="1" s="1"/>
  <c r="Q8959" i="1" s="1"/>
  <c r="I8961" i="1"/>
  <c r="Q9163" i="1"/>
  <c r="I9063" i="1"/>
  <c r="I9062" i="1"/>
  <c r="M9061" i="1"/>
  <c r="G9061" i="1"/>
  <c r="O9061" i="1" s="1"/>
  <c r="O5977" i="1"/>
  <c r="O9060" i="1"/>
  <c r="Q9054" i="1"/>
  <c r="O9047" i="1"/>
  <c r="O2695" i="1"/>
  <c r="O2183" i="1"/>
  <c r="I2492" i="1"/>
  <c r="G2492" i="1" s="1"/>
  <c r="I2497" i="1"/>
  <c r="G2490" i="1"/>
  <c r="I2599" i="1"/>
  <c r="I2594" i="1"/>
  <c r="G2594" i="1" s="1"/>
  <c r="G2592" i="1"/>
  <c r="O2592" i="1" s="1"/>
  <c r="Q2592" i="1" s="1"/>
  <c r="I2702" i="1"/>
  <c r="G2701" i="1"/>
  <c r="I2396" i="1"/>
  <c r="G2395" i="1"/>
  <c r="I2189" i="1"/>
  <c r="G2184" i="1"/>
  <c r="O2184" i="1" s="1"/>
  <c r="I2288" i="1"/>
  <c r="G2286" i="1"/>
  <c r="I2804" i="1"/>
  <c r="G2803" i="1"/>
  <c r="I2906" i="1"/>
  <c r="G2905" i="1"/>
  <c r="O2697" i="1"/>
  <c r="O2387" i="1"/>
  <c r="M2795" i="1"/>
  <c r="M2591" i="1"/>
  <c r="M2897" i="1"/>
  <c r="I2077" i="1"/>
  <c r="Q2076" i="1"/>
  <c r="O2285" i="1"/>
  <c r="Q2285" i="1" s="1"/>
  <c r="Q2284" i="1"/>
  <c r="O2489" i="1"/>
  <c r="O2488" i="1"/>
  <c r="Q2488" i="1" s="1"/>
  <c r="M2488" i="1"/>
  <c r="M2796" i="1"/>
  <c r="O2796" i="1"/>
  <c r="Q2796" i="1" s="1"/>
  <c r="M2284" i="1"/>
  <c r="M2592" i="1"/>
  <c r="M2076" i="1"/>
  <c r="I2078" i="1"/>
  <c r="G2078" i="1" s="1"/>
  <c r="O2078" i="1" s="1"/>
  <c r="M2898" i="1"/>
  <c r="O2898" i="1"/>
  <c r="M2388" i="1"/>
  <c r="O2388" i="1"/>
  <c r="Q2388" i="1" s="1"/>
  <c r="O5571" i="1" l="1"/>
  <c r="O9166" i="1"/>
  <c r="O6287" i="1"/>
  <c r="O6279" i="1" s="1"/>
  <c r="Q6279" i="1" s="1"/>
  <c r="I5676" i="1"/>
  <c r="M5674" i="1"/>
  <c r="G5674" i="1"/>
  <c r="O5674" i="1" s="1"/>
  <c r="Q5674" i="1" s="1"/>
  <c r="G9267" i="1"/>
  <c r="O9267" i="1" s="1"/>
  <c r="Q9267" i="1" s="1"/>
  <c r="I9274" i="1"/>
  <c r="I9269" i="1"/>
  <c r="G9269" i="1" s="1"/>
  <c r="O9269" i="1" s="1"/>
  <c r="M9267" i="1"/>
  <c r="I9581" i="1"/>
  <c r="M9580" i="1"/>
  <c r="G9580" i="1"/>
  <c r="O9580" i="1" s="1"/>
  <c r="Q5978" i="1"/>
  <c r="Q5658" i="1"/>
  <c r="O9678" i="1"/>
  <c r="Q9677" i="1"/>
  <c r="I8966" i="1"/>
  <c r="G8961" i="1"/>
  <c r="O8961" i="1" s="1"/>
  <c r="Q5672" i="1"/>
  <c r="G5979" i="1"/>
  <c r="O5979" i="1" s="1"/>
  <c r="Q5979" i="1" s="1"/>
  <c r="M5979" i="1"/>
  <c r="G5572" i="1"/>
  <c r="O5572" i="1" s="1"/>
  <c r="I5577" i="1"/>
  <c r="O9574" i="1"/>
  <c r="O9566" i="1" s="1"/>
  <c r="I9683" i="1"/>
  <c r="G9682" i="1"/>
  <c r="O9682" i="1" s="1"/>
  <c r="M9682" i="1"/>
  <c r="I5987" i="1"/>
  <c r="G5980" i="1"/>
  <c r="O5980" i="1" s="1"/>
  <c r="Q5980" i="1" s="1"/>
  <c r="M5980" i="1"/>
  <c r="I5982" i="1"/>
  <c r="G5982" i="1" s="1"/>
  <c r="O5982" i="1" s="1"/>
  <c r="O9168" i="1"/>
  <c r="Q9167" i="1"/>
  <c r="Q6288" i="1"/>
  <c r="O6289" i="1"/>
  <c r="Q9061" i="1"/>
  <c r="I9377" i="1"/>
  <c r="M9376" i="1"/>
  <c r="G9376" i="1"/>
  <c r="O9376" i="1" s="1"/>
  <c r="O9472" i="1"/>
  <c r="O9464" i="1" s="1"/>
  <c r="I9173" i="1"/>
  <c r="M9172" i="1"/>
  <c r="G9172" i="1"/>
  <c r="O9172" i="1" s="1"/>
  <c r="I6294" i="1"/>
  <c r="G6293" i="1"/>
  <c r="O6293" i="1" s="1"/>
  <c r="M6293" i="1"/>
  <c r="I9479" i="1"/>
  <c r="G9478" i="1"/>
  <c r="O9478" i="1" s="1"/>
  <c r="M9478" i="1"/>
  <c r="Q5876" i="1"/>
  <c r="I6090" i="1"/>
  <c r="M6089" i="1"/>
  <c r="G6089" i="1"/>
  <c r="O6089" i="1" s="1"/>
  <c r="O6083" i="1"/>
  <c r="O6075" i="1" s="1"/>
  <c r="O6185" i="1"/>
  <c r="O6177" i="1" s="1"/>
  <c r="Q2184" i="1"/>
  <c r="M9062" i="1"/>
  <c r="G9062" i="1"/>
  <c r="O9062" i="1" s="1"/>
  <c r="Q9062" i="1" s="1"/>
  <c r="O9474" i="1"/>
  <c r="Q9473" i="1"/>
  <c r="O8960" i="1"/>
  <c r="Q9265" i="1"/>
  <c r="M5877" i="1"/>
  <c r="G5877" i="1"/>
  <c r="O5877" i="1" s="1"/>
  <c r="Q5877" i="1" s="1"/>
  <c r="I5784" i="1"/>
  <c r="M5783" i="1"/>
  <c r="G5783" i="1"/>
  <c r="O5783" i="1" s="1"/>
  <c r="Q6084" i="1"/>
  <c r="O6085" i="1"/>
  <c r="G9063" i="1"/>
  <c r="O9063" i="1" s="1"/>
  <c r="Q9063" i="1" s="1"/>
  <c r="I9065" i="1"/>
  <c r="M9063" i="1"/>
  <c r="Q5862" i="1"/>
  <c r="O9372" i="1"/>
  <c r="Q9371" i="1"/>
  <c r="I5885" i="1"/>
  <c r="I5880" i="1"/>
  <c r="G5880" i="1" s="1"/>
  <c r="O5880" i="1" s="1"/>
  <c r="M5878" i="1"/>
  <c r="G5878" i="1"/>
  <c r="O5878" i="1" s="1"/>
  <c r="Q5878" i="1" s="1"/>
  <c r="O5779" i="1"/>
  <c r="Q5778" i="1"/>
  <c r="I6192" i="1"/>
  <c r="G6191" i="1"/>
  <c r="O6191" i="1" s="1"/>
  <c r="M6191" i="1"/>
  <c r="O9370" i="1"/>
  <c r="O5777" i="1"/>
  <c r="O5769" i="1" s="1"/>
  <c r="Q9047" i="1"/>
  <c r="M5673" i="1"/>
  <c r="G5673" i="1"/>
  <c r="O5673" i="1" s="1"/>
  <c r="Q5673" i="1" s="1"/>
  <c r="M9266" i="1"/>
  <c r="G9266" i="1"/>
  <c r="O9266" i="1" s="1"/>
  <c r="Q9266" i="1" s="1"/>
  <c r="O9576" i="1"/>
  <c r="Q9575" i="1"/>
  <c r="O6187" i="1"/>
  <c r="Q6186" i="1"/>
  <c r="O2687" i="1"/>
  <c r="Q2687" i="1" s="1"/>
  <c r="Q2489" i="1"/>
  <c r="Q2387" i="1"/>
  <c r="Q2898" i="1"/>
  <c r="O2185" i="1"/>
  <c r="O2175" i="1" s="1"/>
  <c r="Q2175" i="1" s="1"/>
  <c r="I2806" i="1"/>
  <c r="G2806" i="1" s="1"/>
  <c r="I2805" i="1"/>
  <c r="G2804" i="1"/>
  <c r="I2704" i="1"/>
  <c r="G2704" i="1" s="1"/>
  <c r="I2703" i="1"/>
  <c r="G2702" i="1"/>
  <c r="I2293" i="1"/>
  <c r="G2288" i="1"/>
  <c r="I2600" i="1"/>
  <c r="G2599" i="1"/>
  <c r="I2190" i="1"/>
  <c r="G2189" i="1"/>
  <c r="O2189" i="1" s="1"/>
  <c r="Q2189" i="1" s="1"/>
  <c r="I2498" i="1"/>
  <c r="G2497" i="1"/>
  <c r="I2907" i="1"/>
  <c r="I2908" i="1"/>
  <c r="G2908" i="1" s="1"/>
  <c r="G2906" i="1"/>
  <c r="I2397" i="1"/>
  <c r="I2398" i="1"/>
  <c r="G2398" i="1" s="1"/>
  <c r="G2396" i="1"/>
  <c r="G2077" i="1"/>
  <c r="M2285" i="1"/>
  <c r="M2489" i="1"/>
  <c r="M2077" i="1"/>
  <c r="O2899" i="1"/>
  <c r="O2797" i="1"/>
  <c r="O2593" i="1"/>
  <c r="O2389" i="1"/>
  <c r="O2900" i="1"/>
  <c r="Q2900" i="1" s="1"/>
  <c r="M2189" i="1"/>
  <c r="M2286" i="1"/>
  <c r="O2286" i="1"/>
  <c r="Q2286" i="1" s="1"/>
  <c r="O2798" i="1"/>
  <c r="Q2798" i="1" s="1"/>
  <c r="O2594" i="1"/>
  <c r="Q2594" i="1" s="1"/>
  <c r="M2701" i="1"/>
  <c r="O2701" i="1"/>
  <c r="Q2701" i="1" s="1"/>
  <c r="O2390" i="1"/>
  <c r="Q2390" i="1" s="1"/>
  <c r="M2078" i="1"/>
  <c r="Q2078" i="1"/>
  <c r="I2080" i="1"/>
  <c r="M2490" i="1"/>
  <c r="O2490" i="1"/>
  <c r="O9362" i="1" l="1"/>
  <c r="O9158" i="1"/>
  <c r="Q9158" i="1" s="1"/>
  <c r="I5886" i="1"/>
  <c r="M5885" i="1"/>
  <c r="G5885" i="1"/>
  <c r="O5885" i="1" s="1"/>
  <c r="I5988" i="1"/>
  <c r="M5987" i="1"/>
  <c r="G5987" i="1"/>
  <c r="O5987" i="1" s="1"/>
  <c r="O9270" i="1"/>
  <c r="Q9269" i="1"/>
  <c r="Q6191" i="1"/>
  <c r="Q6177" i="1"/>
  <c r="Q9478" i="1"/>
  <c r="I9174" i="1"/>
  <c r="I9175" i="1"/>
  <c r="M9173" i="1"/>
  <c r="G9173" i="1"/>
  <c r="O9173" i="1" s="1"/>
  <c r="Q9173" i="1" s="1"/>
  <c r="I9275" i="1"/>
  <c r="G9274" i="1"/>
  <c r="O9274" i="1" s="1"/>
  <c r="M9274" i="1"/>
  <c r="I6193" i="1"/>
  <c r="I6194" i="1"/>
  <c r="G6192" i="1"/>
  <c r="O6192" i="1" s="1"/>
  <c r="Q6192" i="1" s="1"/>
  <c r="M6192" i="1"/>
  <c r="Q5783" i="1"/>
  <c r="Q6075" i="1"/>
  <c r="I9481" i="1"/>
  <c r="I9480" i="1"/>
  <c r="G9479" i="1"/>
  <c r="O9479" i="1" s="1"/>
  <c r="Q9479" i="1" s="1"/>
  <c r="M9479" i="1"/>
  <c r="Q9464" i="1"/>
  <c r="Q9682" i="1"/>
  <c r="O5675" i="1"/>
  <c r="O5981" i="1"/>
  <c r="O5973" i="1" s="1"/>
  <c r="Q6089" i="1"/>
  <c r="Q9376" i="1"/>
  <c r="I9684" i="1"/>
  <c r="I9685" i="1"/>
  <c r="M9683" i="1"/>
  <c r="G9683" i="1"/>
  <c r="O9683" i="1" s="1"/>
  <c r="Q9683" i="1" s="1"/>
  <c r="I5786" i="1"/>
  <c r="I5785" i="1"/>
  <c r="M5784" i="1"/>
  <c r="G5784" i="1"/>
  <c r="O5784" i="1" s="1"/>
  <c r="Q5784" i="1" s="1"/>
  <c r="Q6293" i="1"/>
  <c r="Q9566" i="1"/>
  <c r="O8962" i="1"/>
  <c r="O8952" i="1" s="1"/>
  <c r="Q8961" i="1"/>
  <c r="Q9580" i="1"/>
  <c r="I6092" i="1"/>
  <c r="I6091" i="1"/>
  <c r="G6090" i="1"/>
  <c r="O6090" i="1" s="1"/>
  <c r="Q6090" i="1" s="1"/>
  <c r="M6090" i="1"/>
  <c r="I6296" i="1"/>
  <c r="I6295" i="1"/>
  <c r="M6294" i="1"/>
  <c r="G6294" i="1"/>
  <c r="O6294" i="1" s="1"/>
  <c r="Q6294" i="1" s="1"/>
  <c r="I9379" i="1"/>
  <c r="I9378" i="1"/>
  <c r="M9377" i="1"/>
  <c r="G9377" i="1"/>
  <c r="O9377" i="1" s="1"/>
  <c r="Q9377" i="1" s="1"/>
  <c r="O5983" i="1"/>
  <c r="Q5982" i="1"/>
  <c r="I5578" i="1"/>
  <c r="G5577" i="1"/>
  <c r="O5577" i="1" s="1"/>
  <c r="M5577" i="1"/>
  <c r="I8967" i="1"/>
  <c r="M8966" i="1"/>
  <c r="G8966" i="1"/>
  <c r="O8966" i="1" s="1"/>
  <c r="G5676" i="1"/>
  <c r="O5676" i="1" s="1"/>
  <c r="I5681" i="1"/>
  <c r="Q5769" i="1"/>
  <c r="I9070" i="1"/>
  <c r="G9065" i="1"/>
  <c r="O9065" i="1" s="1"/>
  <c r="O5879" i="1"/>
  <c r="O5871" i="1" s="1"/>
  <c r="O5573" i="1"/>
  <c r="O5563" i="1" s="1"/>
  <c r="Q5572" i="1"/>
  <c r="I9583" i="1"/>
  <c r="I9582" i="1"/>
  <c r="G9581" i="1"/>
  <c r="O9581" i="1" s="1"/>
  <c r="Q9581" i="1" s="1"/>
  <c r="M9581" i="1"/>
  <c r="Q9362" i="1"/>
  <c r="O5881" i="1"/>
  <c r="Q5880" i="1"/>
  <c r="O9268" i="1"/>
  <c r="Q9172" i="1"/>
  <c r="O9064" i="1"/>
  <c r="Q2490" i="1"/>
  <c r="I2909" i="1"/>
  <c r="G2907" i="1"/>
  <c r="I2294" i="1"/>
  <c r="G2293" i="1"/>
  <c r="I2500" i="1"/>
  <c r="G2500" i="1" s="1"/>
  <c r="I2499" i="1"/>
  <c r="G2498" i="1"/>
  <c r="I2705" i="1"/>
  <c r="G2703" i="1"/>
  <c r="I2191" i="1"/>
  <c r="I2192" i="1"/>
  <c r="G2192" i="1" s="1"/>
  <c r="O2192" i="1" s="1"/>
  <c r="G2190" i="1"/>
  <c r="O2190" i="1" s="1"/>
  <c r="Q2190" i="1" s="1"/>
  <c r="I2399" i="1"/>
  <c r="G2397" i="1"/>
  <c r="I2807" i="1"/>
  <c r="G2805" i="1"/>
  <c r="I2602" i="1"/>
  <c r="G2602" i="1" s="1"/>
  <c r="I2601" i="1"/>
  <c r="G2600" i="1"/>
  <c r="O2077" i="1"/>
  <c r="Q2077" i="1" s="1"/>
  <c r="I2085" i="1"/>
  <c r="G2085" i="1" s="1"/>
  <c r="G2080" i="1"/>
  <c r="O2080" i="1" s="1"/>
  <c r="Q2080" i="1" s="1"/>
  <c r="O2799" i="1"/>
  <c r="O2901" i="1"/>
  <c r="O2391" i="1"/>
  <c r="O2595" i="1"/>
  <c r="O2891" i="1"/>
  <c r="Q2891" i="1" s="1"/>
  <c r="O2789" i="1"/>
  <c r="O2381" i="1"/>
  <c r="Q2381" i="1" s="1"/>
  <c r="O2585" i="1"/>
  <c r="Q2585" i="1" s="1"/>
  <c r="O2704" i="1"/>
  <c r="Q2704" i="1" s="1"/>
  <c r="M2704" i="1"/>
  <c r="O2491" i="1"/>
  <c r="O2287" i="1"/>
  <c r="O2492" i="1"/>
  <c r="Q2492" i="1" s="1"/>
  <c r="O2288" i="1"/>
  <c r="Q2288" i="1" s="1"/>
  <c r="M2190" i="1"/>
  <c r="M2702" i="1"/>
  <c r="O2702" i="1"/>
  <c r="O9260" i="1" l="1"/>
  <c r="Q5871" i="1"/>
  <c r="O5677" i="1"/>
  <c r="Q5676" i="1"/>
  <c r="M6296" i="1"/>
  <c r="G6296" i="1"/>
  <c r="O6296" i="1" s="1"/>
  <c r="Q6296" i="1" s="1"/>
  <c r="Q8952" i="1"/>
  <c r="M5786" i="1"/>
  <c r="G5786" i="1"/>
  <c r="O5786" i="1" s="1"/>
  <c r="Q5786" i="1" s="1"/>
  <c r="G9175" i="1"/>
  <c r="O9175" i="1" s="1"/>
  <c r="Q9175" i="1" s="1"/>
  <c r="M9175" i="1"/>
  <c r="Q8966" i="1"/>
  <c r="Q5973" i="1"/>
  <c r="I9482" i="1"/>
  <c r="M9480" i="1"/>
  <c r="G9480" i="1"/>
  <c r="O9480" i="1" s="1"/>
  <c r="Q9480" i="1" s="1"/>
  <c r="M6194" i="1"/>
  <c r="G6194" i="1"/>
  <c r="O6194" i="1" s="1"/>
  <c r="Q6194" i="1" s="1"/>
  <c r="I9176" i="1"/>
  <c r="M9174" i="1"/>
  <c r="G9174" i="1"/>
  <c r="O9174" i="1" s="1"/>
  <c r="O5667" i="1"/>
  <c r="G9481" i="1"/>
  <c r="O9481" i="1" s="1"/>
  <c r="Q9481" i="1" s="1"/>
  <c r="M9481" i="1"/>
  <c r="I6195" i="1"/>
  <c r="M6193" i="1"/>
  <c r="G6193" i="1"/>
  <c r="O6193" i="1" s="1"/>
  <c r="Q5987" i="1"/>
  <c r="O9066" i="1"/>
  <c r="O9056" i="1" s="1"/>
  <c r="Q9065" i="1"/>
  <c r="I8969" i="1"/>
  <c r="I8968" i="1"/>
  <c r="G8967" i="1"/>
  <c r="O8967" i="1" s="1"/>
  <c r="Q8967" i="1" s="1"/>
  <c r="M8967" i="1"/>
  <c r="I9380" i="1"/>
  <c r="M9378" i="1"/>
  <c r="G9378" i="1"/>
  <c r="O9378" i="1" s="1"/>
  <c r="Q9378" i="1" s="1"/>
  <c r="I6093" i="1"/>
  <c r="G6091" i="1"/>
  <c r="O6091" i="1" s="1"/>
  <c r="Q6091" i="1" s="1"/>
  <c r="M6091" i="1"/>
  <c r="M9685" i="1"/>
  <c r="G9685" i="1"/>
  <c r="O9685" i="1" s="1"/>
  <c r="Q9685" i="1" s="1"/>
  <c r="I9584" i="1"/>
  <c r="M9582" i="1"/>
  <c r="G9582" i="1"/>
  <c r="O9582" i="1" s="1"/>
  <c r="Q9582" i="1" s="1"/>
  <c r="I9071" i="1"/>
  <c r="G9070" i="1"/>
  <c r="O9070" i="1" s="1"/>
  <c r="M9070" i="1"/>
  <c r="M9379" i="1"/>
  <c r="G9379" i="1"/>
  <c r="O9379" i="1" s="1"/>
  <c r="Q9379" i="1" s="1"/>
  <c r="M6092" i="1"/>
  <c r="G6092" i="1"/>
  <c r="O6092" i="1" s="1"/>
  <c r="Q6092" i="1" s="1"/>
  <c r="I9686" i="1"/>
  <c r="M9684" i="1"/>
  <c r="G9684" i="1"/>
  <c r="O9684" i="1" s="1"/>
  <c r="Q9274" i="1"/>
  <c r="I5989" i="1"/>
  <c r="I5990" i="1"/>
  <c r="M5988" i="1"/>
  <c r="G5988" i="1"/>
  <c r="O5988" i="1" s="1"/>
  <c r="Q5988" i="1" s="1"/>
  <c r="Q9260" i="1"/>
  <c r="G9583" i="1"/>
  <c r="O9583" i="1" s="1"/>
  <c r="Q9583" i="1" s="1"/>
  <c r="M9583" i="1"/>
  <c r="Q5577" i="1"/>
  <c r="I9277" i="1"/>
  <c r="I9276" i="1"/>
  <c r="G9275" i="1"/>
  <c r="O9275" i="1" s="1"/>
  <c r="Q9275" i="1" s="1"/>
  <c r="M9275" i="1"/>
  <c r="Q5885" i="1"/>
  <c r="I5580" i="1"/>
  <c r="I5579" i="1"/>
  <c r="M5578" i="1"/>
  <c r="G5578" i="1"/>
  <c r="O5578" i="1" s="1"/>
  <c r="Q5578" i="1" s="1"/>
  <c r="Q5563" i="1"/>
  <c r="I5682" i="1"/>
  <c r="G5681" i="1"/>
  <c r="O5681" i="1" s="1"/>
  <c r="M5681" i="1"/>
  <c r="I6297" i="1"/>
  <c r="M6295" i="1"/>
  <c r="G6295" i="1"/>
  <c r="O6295" i="1" s="1"/>
  <c r="I5787" i="1"/>
  <c r="M5785" i="1"/>
  <c r="G5785" i="1"/>
  <c r="O5785" i="1" s="1"/>
  <c r="Q5785" i="1" s="1"/>
  <c r="I5888" i="1"/>
  <c r="I5887" i="1"/>
  <c r="G5886" i="1"/>
  <c r="O5886" i="1" s="1"/>
  <c r="Q5886" i="1" s="1"/>
  <c r="M5886" i="1"/>
  <c r="Q2702" i="1"/>
  <c r="Q2789" i="1"/>
  <c r="Q2192" i="1"/>
  <c r="M2192" i="1"/>
  <c r="I2708" i="1"/>
  <c r="G2705" i="1"/>
  <c r="I2810" i="1"/>
  <c r="G2807" i="1"/>
  <c r="I2501" i="1"/>
  <c r="G2499" i="1"/>
  <c r="I2402" i="1"/>
  <c r="G2399" i="1"/>
  <c r="I2295" i="1"/>
  <c r="I2296" i="1"/>
  <c r="G2296" i="1" s="1"/>
  <c r="G2294" i="1"/>
  <c r="I2603" i="1"/>
  <c r="G2601" i="1"/>
  <c r="I2193" i="1"/>
  <c r="G2191" i="1"/>
  <c r="O2191" i="1" s="1"/>
  <c r="Q2191" i="1" s="1"/>
  <c r="O2079" i="1"/>
  <c r="G2909" i="1"/>
  <c r="I2912" i="1"/>
  <c r="O2289" i="1"/>
  <c r="O2279" i="1" s="1"/>
  <c r="Q2279" i="1" s="1"/>
  <c r="O2493" i="1"/>
  <c r="O2483" i="1"/>
  <c r="Q2483" i="1" s="1"/>
  <c r="O2081" i="1"/>
  <c r="M2395" i="1"/>
  <c r="O2395" i="1"/>
  <c r="Q2395" i="1" s="1"/>
  <c r="M2905" i="1"/>
  <c r="O2905" i="1"/>
  <c r="Q2905" i="1" s="1"/>
  <c r="M2703" i="1"/>
  <c r="O2703" i="1"/>
  <c r="Q2703" i="1" s="1"/>
  <c r="M2599" i="1"/>
  <c r="O2599" i="1"/>
  <c r="Q2599" i="1" s="1"/>
  <c r="M2803" i="1"/>
  <c r="O2803" i="1"/>
  <c r="Q2803" i="1" s="1"/>
  <c r="M2191" i="1"/>
  <c r="I5684" i="1" l="1"/>
  <c r="I5683" i="1"/>
  <c r="M5682" i="1"/>
  <c r="G5682" i="1"/>
  <c r="O5682" i="1" s="1"/>
  <c r="Q5682" i="1" s="1"/>
  <c r="G5580" i="1"/>
  <c r="O5580" i="1" s="1"/>
  <c r="Q5580" i="1" s="1"/>
  <c r="M5580" i="1"/>
  <c r="Q9684" i="1"/>
  <c r="Q9070" i="1"/>
  <c r="Q6193" i="1"/>
  <c r="M9176" i="1"/>
  <c r="G9176" i="1"/>
  <c r="O9176" i="1" s="1"/>
  <c r="Q9176" i="1" s="1"/>
  <c r="I9179" i="1"/>
  <c r="I9073" i="1"/>
  <c r="I9072" i="1"/>
  <c r="M9071" i="1"/>
  <c r="G9071" i="1"/>
  <c r="O9071" i="1" s="1"/>
  <c r="Q9071" i="1" s="1"/>
  <c r="I8970" i="1"/>
  <c r="M8968" i="1"/>
  <c r="G8968" i="1"/>
  <c r="O8968" i="1" s="1"/>
  <c r="I5790" i="1"/>
  <c r="M5787" i="1"/>
  <c r="G5787" i="1"/>
  <c r="O5787" i="1" s="1"/>
  <c r="Q5787" i="1" s="1"/>
  <c r="I9689" i="1"/>
  <c r="M9686" i="1"/>
  <c r="G9686" i="1"/>
  <c r="O9686" i="1" s="1"/>
  <c r="Q9686" i="1" s="1"/>
  <c r="M8969" i="1"/>
  <c r="G8969" i="1"/>
  <c r="O8969" i="1" s="1"/>
  <c r="Q8969" i="1" s="1"/>
  <c r="I6198" i="1"/>
  <c r="M6195" i="1"/>
  <c r="G6195" i="1"/>
  <c r="O6195" i="1" s="1"/>
  <c r="Q6195" i="1" s="1"/>
  <c r="Q6295" i="1"/>
  <c r="I6096" i="1"/>
  <c r="M6093" i="1"/>
  <c r="G6093" i="1"/>
  <c r="O6093" i="1" s="1"/>
  <c r="M5990" i="1"/>
  <c r="G5990" i="1"/>
  <c r="O5990" i="1" s="1"/>
  <c r="Q5990" i="1" s="1"/>
  <c r="G9584" i="1"/>
  <c r="O9584" i="1" s="1"/>
  <c r="I9587" i="1"/>
  <c r="M9584" i="1"/>
  <c r="Q9056" i="1"/>
  <c r="I5889" i="1"/>
  <c r="M5887" i="1"/>
  <c r="G5887" i="1"/>
  <c r="O5887" i="1" s="1"/>
  <c r="Q5887" i="1" s="1"/>
  <c r="G6297" i="1"/>
  <c r="O6297" i="1" s="1"/>
  <c r="Q6297" i="1" s="1"/>
  <c r="I6300" i="1"/>
  <c r="M6297" i="1"/>
  <c r="I9278" i="1"/>
  <c r="G9276" i="1"/>
  <c r="O9276" i="1" s="1"/>
  <c r="Q9276" i="1" s="1"/>
  <c r="M9276" i="1"/>
  <c r="I5991" i="1"/>
  <c r="M5989" i="1"/>
  <c r="G5989" i="1"/>
  <c r="O5989" i="1" s="1"/>
  <c r="Q5989" i="1" s="1"/>
  <c r="Q5667" i="1"/>
  <c r="G9482" i="1"/>
  <c r="O9482" i="1" s="1"/>
  <c r="Q9482" i="1" s="1"/>
  <c r="M9482" i="1"/>
  <c r="I9485" i="1"/>
  <c r="M5888" i="1"/>
  <c r="G5888" i="1"/>
  <c r="O5888" i="1" s="1"/>
  <c r="Q5888" i="1" s="1"/>
  <c r="G9277" i="1"/>
  <c r="O9277" i="1" s="1"/>
  <c r="Q9277" i="1" s="1"/>
  <c r="M9277" i="1"/>
  <c r="M9380" i="1"/>
  <c r="G9380" i="1"/>
  <c r="O9380" i="1" s="1"/>
  <c r="I9383" i="1"/>
  <c r="Q9174" i="1"/>
  <c r="Q5681" i="1"/>
  <c r="I5581" i="1"/>
  <c r="G5579" i="1"/>
  <c r="O5579" i="1" s="1"/>
  <c r="Q5579" i="1" s="1"/>
  <c r="M5579" i="1"/>
  <c r="I2406" i="1"/>
  <c r="G2402" i="1"/>
  <c r="O2402" i="1" s="1"/>
  <c r="Q2402" i="1" s="1"/>
  <c r="I2196" i="1"/>
  <c r="G2193" i="1"/>
  <c r="O2193" i="1" s="1"/>
  <c r="Q2193" i="1" s="1"/>
  <c r="G2501" i="1"/>
  <c r="I2504" i="1"/>
  <c r="I2606" i="1"/>
  <c r="M2606" i="1" s="1"/>
  <c r="G2603" i="1"/>
  <c r="I2814" i="1"/>
  <c r="G2810" i="1"/>
  <c r="O2810" i="1" s="1"/>
  <c r="I2916" i="1"/>
  <c r="G2912" i="1"/>
  <c r="O2912" i="1" s="1"/>
  <c r="Q2912" i="1" s="1"/>
  <c r="I2297" i="1"/>
  <c r="G2295" i="1"/>
  <c r="I2712" i="1"/>
  <c r="G2708" i="1"/>
  <c r="O2708" i="1" s="1"/>
  <c r="M2708" i="1"/>
  <c r="O2071" i="1"/>
  <c r="Q2071" i="1" s="1"/>
  <c r="M2908" i="1"/>
  <c r="O2908" i="1"/>
  <c r="Q2908" i="1" s="1"/>
  <c r="M2806" i="1"/>
  <c r="O2806" i="1"/>
  <c r="Q2806" i="1" s="1"/>
  <c r="M2602" i="1"/>
  <c r="O2602" i="1"/>
  <c r="Q2602" i="1" s="1"/>
  <c r="M2398" i="1"/>
  <c r="O2398" i="1"/>
  <c r="M2402" i="1"/>
  <c r="M2810" i="1"/>
  <c r="M2912" i="1"/>
  <c r="M2804" i="1"/>
  <c r="O2804" i="1"/>
  <c r="Q2804" i="1" s="1"/>
  <c r="M2906" i="1"/>
  <c r="O2906" i="1"/>
  <c r="Q2906" i="1" s="1"/>
  <c r="M2600" i="1"/>
  <c r="O2600" i="1"/>
  <c r="Q2600" i="1" s="1"/>
  <c r="M2705" i="1"/>
  <c r="O2705" i="1"/>
  <c r="Q2705" i="1" s="1"/>
  <c r="M2396" i="1"/>
  <c r="O2396" i="1"/>
  <c r="M2293" i="1"/>
  <c r="O2293" i="1"/>
  <c r="M2193" i="1"/>
  <c r="M2085" i="1"/>
  <c r="I2086" i="1"/>
  <c r="O2085" i="1"/>
  <c r="Q2085" i="1" s="1"/>
  <c r="M2497" i="1"/>
  <c r="O2497" i="1"/>
  <c r="Q2497" i="1" s="1"/>
  <c r="O5788" i="1" l="1"/>
  <c r="O9483" i="1"/>
  <c r="O6298" i="1"/>
  <c r="O6292" i="1" s="1"/>
  <c r="Q9380" i="1"/>
  <c r="O9381" i="1"/>
  <c r="Q8968" i="1"/>
  <c r="G5684" i="1"/>
  <c r="O5684" i="1" s="1"/>
  <c r="Q5684" i="1" s="1"/>
  <c r="M5684" i="1"/>
  <c r="I5584" i="1"/>
  <c r="M5581" i="1"/>
  <c r="G5581" i="1"/>
  <c r="O5581" i="1" s="1"/>
  <c r="Q5581" i="1" s="1"/>
  <c r="I9281" i="1"/>
  <c r="M9278" i="1"/>
  <c r="G9278" i="1"/>
  <c r="O9278" i="1" s="1"/>
  <c r="I6100" i="1"/>
  <c r="M6096" i="1"/>
  <c r="G6096" i="1"/>
  <c r="O6096" i="1" s="1"/>
  <c r="O9687" i="1"/>
  <c r="Q6298" i="1"/>
  <c r="M8970" i="1"/>
  <c r="G8970" i="1"/>
  <c r="O8970" i="1" s="1"/>
  <c r="Q8970" i="1" s="1"/>
  <c r="I8973" i="1"/>
  <c r="I9183" i="1"/>
  <c r="G9179" i="1"/>
  <c r="O9179" i="1" s="1"/>
  <c r="M9179" i="1"/>
  <c r="I9591" i="1"/>
  <c r="G9587" i="1"/>
  <c r="O9587" i="1" s="1"/>
  <c r="M9587" i="1"/>
  <c r="I6304" i="1"/>
  <c r="G6300" i="1"/>
  <c r="O6300" i="1" s="1"/>
  <c r="M6300" i="1"/>
  <c r="I9693" i="1"/>
  <c r="M9689" i="1"/>
  <c r="G9689" i="1"/>
  <c r="O9689" i="1" s="1"/>
  <c r="O9177" i="1"/>
  <c r="Q9584" i="1"/>
  <c r="O9585" i="1"/>
  <c r="Q9483" i="1"/>
  <c r="O9477" i="1"/>
  <c r="I9074" i="1"/>
  <c r="M9072" i="1"/>
  <c r="G9072" i="1"/>
  <c r="O9072" i="1" s="1"/>
  <c r="Q9072" i="1" s="1"/>
  <c r="O6196" i="1"/>
  <c r="O5782" i="1"/>
  <c r="Q5788" i="1"/>
  <c r="I6202" i="1"/>
  <c r="G6198" i="1"/>
  <c r="O6198" i="1" s="1"/>
  <c r="M6198" i="1"/>
  <c r="I9387" i="1"/>
  <c r="M9383" i="1"/>
  <c r="G9383" i="1"/>
  <c r="O9383" i="1" s="1"/>
  <c r="I9489" i="1"/>
  <c r="M9485" i="1"/>
  <c r="G9485" i="1"/>
  <c r="O9485" i="1" s="1"/>
  <c r="G5889" i="1"/>
  <c r="O5889" i="1" s="1"/>
  <c r="M5889" i="1"/>
  <c r="I5892" i="1"/>
  <c r="Q6093" i="1"/>
  <c r="O6094" i="1"/>
  <c r="I5794" i="1"/>
  <c r="G5790" i="1"/>
  <c r="O5790" i="1" s="1"/>
  <c r="M5790" i="1"/>
  <c r="I5685" i="1"/>
  <c r="M5683" i="1"/>
  <c r="G5683" i="1"/>
  <c r="O5683" i="1" s="1"/>
  <c r="M5991" i="1"/>
  <c r="I5994" i="1"/>
  <c r="G5991" i="1"/>
  <c r="O5991" i="1" s="1"/>
  <c r="M9073" i="1"/>
  <c r="G9073" i="1"/>
  <c r="O9073" i="1" s="1"/>
  <c r="Q9073" i="1" s="1"/>
  <c r="Q2810" i="1"/>
  <c r="Q2293" i="1"/>
  <c r="Q2398" i="1"/>
  <c r="Q2396" i="1"/>
  <c r="Q2708" i="1"/>
  <c r="O2707" i="1"/>
  <c r="I2713" i="1"/>
  <c r="G2712" i="1"/>
  <c r="O2712" i="1" s="1"/>
  <c r="I2610" i="1"/>
  <c r="G2606" i="1"/>
  <c r="O2606" i="1" s="1"/>
  <c r="Q2606" i="1" s="1"/>
  <c r="I2508" i="1"/>
  <c r="G2504" i="1"/>
  <c r="O2504" i="1" s="1"/>
  <c r="Q2504" i="1" s="1"/>
  <c r="I2300" i="1"/>
  <c r="M2300" i="1" s="1"/>
  <c r="G2297" i="1"/>
  <c r="M2712" i="1"/>
  <c r="I2917" i="1"/>
  <c r="G2916" i="1"/>
  <c r="O2916" i="1" s="1"/>
  <c r="I2200" i="1"/>
  <c r="G2196" i="1"/>
  <c r="O2196" i="1" s="1"/>
  <c r="I2815" i="1"/>
  <c r="G2814" i="1"/>
  <c r="O2814" i="1" s="1"/>
  <c r="Q2814" i="1" s="1"/>
  <c r="I2407" i="1"/>
  <c r="G2406" i="1"/>
  <c r="I2088" i="1"/>
  <c r="G2088" i="1" s="1"/>
  <c r="O2088" i="1" s="1"/>
  <c r="Q2088" i="1" s="1"/>
  <c r="G2086" i="1"/>
  <c r="O2086" i="1" s="1"/>
  <c r="Q2086" i="1" s="1"/>
  <c r="M2814" i="1"/>
  <c r="M2916" i="1"/>
  <c r="O2194" i="1"/>
  <c r="Q2194" i="1" s="1"/>
  <c r="O2706" i="1"/>
  <c r="Q2706" i="1" s="1"/>
  <c r="O2500" i="1"/>
  <c r="Q2500" i="1" s="1"/>
  <c r="M2500" i="1"/>
  <c r="M2296" i="1"/>
  <c r="O2296" i="1"/>
  <c r="O2911" i="1"/>
  <c r="Q2911" i="1" s="1"/>
  <c r="O2401" i="1"/>
  <c r="Q2401" i="1" s="1"/>
  <c r="O2809" i="1"/>
  <c r="M2504" i="1"/>
  <c r="M2601" i="1"/>
  <c r="O2601" i="1"/>
  <c r="Q2601" i="1" s="1"/>
  <c r="M2086" i="1"/>
  <c r="I2087" i="1"/>
  <c r="G2087" i="1" s="1"/>
  <c r="M2294" i="1"/>
  <c r="O2294" i="1"/>
  <c r="Q2294" i="1" s="1"/>
  <c r="M2907" i="1"/>
  <c r="O2907" i="1"/>
  <c r="Q2907" i="1" s="1"/>
  <c r="M2805" i="1"/>
  <c r="O2805" i="1"/>
  <c r="Q2805" i="1" s="1"/>
  <c r="O2498" i="1"/>
  <c r="M2498" i="1"/>
  <c r="M2397" i="1"/>
  <c r="O2397" i="1"/>
  <c r="Q2397" i="1" s="1"/>
  <c r="O5582" i="1" l="1"/>
  <c r="Q5582" i="1" s="1"/>
  <c r="M2088" i="1"/>
  <c r="O2605" i="1"/>
  <c r="Q2605" i="1" s="1"/>
  <c r="Q5889" i="1"/>
  <c r="O5890" i="1"/>
  <c r="Q6198" i="1"/>
  <c r="O6197" i="1"/>
  <c r="Q6197" i="1" s="1"/>
  <c r="Q9477" i="1"/>
  <c r="I9694" i="1"/>
  <c r="M9693" i="1"/>
  <c r="G9693" i="1"/>
  <c r="O9693" i="1" s="1"/>
  <c r="Q9179" i="1"/>
  <c r="O9178" i="1"/>
  <c r="Q9178" i="1" s="1"/>
  <c r="Q9485" i="1"/>
  <c r="O9484" i="1"/>
  <c r="Q9484" i="1" s="1"/>
  <c r="I6203" i="1"/>
  <c r="G6202" i="1"/>
  <c r="O6202" i="1" s="1"/>
  <c r="M6202" i="1"/>
  <c r="I9184" i="1"/>
  <c r="M9183" i="1"/>
  <c r="G9183" i="1"/>
  <c r="O9183" i="1" s="1"/>
  <c r="Q5991" i="1"/>
  <c r="O5992" i="1"/>
  <c r="Q5790" i="1"/>
  <c r="O5789" i="1"/>
  <c r="Q5789" i="1" s="1"/>
  <c r="O5576" i="1"/>
  <c r="O6299" i="1"/>
  <c r="Q6299" i="1" s="1"/>
  <c r="Q6300" i="1"/>
  <c r="I8977" i="1"/>
  <c r="G8973" i="1"/>
  <c r="O8973" i="1" s="1"/>
  <c r="M8973" i="1"/>
  <c r="Q6096" i="1"/>
  <c r="O6095" i="1"/>
  <c r="Q6095" i="1" s="1"/>
  <c r="I5588" i="1"/>
  <c r="M5584" i="1"/>
  <c r="G5584" i="1"/>
  <c r="O5584" i="1" s="1"/>
  <c r="I5998" i="1"/>
  <c r="M5994" i="1"/>
  <c r="G5994" i="1"/>
  <c r="O5994" i="1" s="1"/>
  <c r="I5795" i="1"/>
  <c r="M5794" i="1"/>
  <c r="G5794" i="1"/>
  <c r="O5794" i="1" s="1"/>
  <c r="I9490" i="1"/>
  <c r="G9489" i="1"/>
  <c r="O9489" i="1" s="1"/>
  <c r="M9489" i="1"/>
  <c r="Q5782" i="1"/>
  <c r="Q9585" i="1"/>
  <c r="O9579" i="1"/>
  <c r="I6305" i="1"/>
  <c r="G6304" i="1"/>
  <c r="O6304" i="1" s="1"/>
  <c r="M6304" i="1"/>
  <c r="Q6094" i="1"/>
  <c r="O6088" i="1"/>
  <c r="O6190" i="1"/>
  <c r="Q6196" i="1"/>
  <c r="I6101" i="1"/>
  <c r="G6100" i="1"/>
  <c r="O6100" i="1" s="1"/>
  <c r="M6100" i="1"/>
  <c r="Q9383" i="1"/>
  <c r="O9382" i="1"/>
  <c r="Q9382" i="1" s="1"/>
  <c r="Q5683" i="1"/>
  <c r="Q9177" i="1"/>
  <c r="O9171" i="1"/>
  <c r="O9586" i="1"/>
  <c r="Q9586" i="1" s="1"/>
  <c r="Q9587" i="1"/>
  <c r="Q6292" i="1"/>
  <c r="Q9278" i="1"/>
  <c r="O9279" i="1"/>
  <c r="O8971" i="1"/>
  <c r="I5896" i="1"/>
  <c r="M5892" i="1"/>
  <c r="G5892" i="1"/>
  <c r="O5892" i="1" s="1"/>
  <c r="O9688" i="1"/>
  <c r="Q9688" i="1" s="1"/>
  <c r="Q9689" i="1"/>
  <c r="I9592" i="1"/>
  <c r="M9591" i="1"/>
  <c r="G9591" i="1"/>
  <c r="O9591" i="1" s="1"/>
  <c r="I9388" i="1"/>
  <c r="M9387" i="1"/>
  <c r="G9387" i="1"/>
  <c r="O9387" i="1" s="1"/>
  <c r="M5685" i="1"/>
  <c r="G5685" i="1"/>
  <c r="O5685" i="1" s="1"/>
  <c r="Q5685" i="1" s="1"/>
  <c r="I5688" i="1"/>
  <c r="G9074" i="1"/>
  <c r="O9074" i="1" s="1"/>
  <c r="Q9074" i="1" s="1"/>
  <c r="I9077" i="1"/>
  <c r="M9074" i="1"/>
  <c r="Q9687" i="1"/>
  <c r="O9681" i="1"/>
  <c r="I9285" i="1"/>
  <c r="G9281" i="1"/>
  <c r="O9281" i="1" s="1"/>
  <c r="M9281" i="1"/>
  <c r="Q9381" i="1"/>
  <c r="O9375" i="1"/>
  <c r="Q2296" i="1"/>
  <c r="Q2916" i="1"/>
  <c r="Q2809" i="1"/>
  <c r="Q2712" i="1"/>
  <c r="Q2707" i="1"/>
  <c r="Q2498" i="1"/>
  <c r="I2816" i="1"/>
  <c r="I2819" i="1"/>
  <c r="G2819" i="1" s="1"/>
  <c r="O2819" i="1" s="1"/>
  <c r="Q2819" i="1" s="1"/>
  <c r="I2821" i="1"/>
  <c r="G2815" i="1"/>
  <c r="O2815" i="1" s="1"/>
  <c r="Q2815" i="1" s="1"/>
  <c r="Q2196" i="1"/>
  <c r="O2195" i="1"/>
  <c r="Q2195" i="1" s="1"/>
  <c r="I2509" i="1"/>
  <c r="G2508" i="1"/>
  <c r="I2201" i="1"/>
  <c r="G2200" i="1"/>
  <c r="O2200" i="1" s="1"/>
  <c r="Q2200" i="1" s="1"/>
  <c r="M2200" i="1"/>
  <c r="I2611" i="1"/>
  <c r="G2610" i="1"/>
  <c r="O2610" i="1" s="1"/>
  <c r="I2918" i="1"/>
  <c r="I2921" i="1"/>
  <c r="G2921" i="1" s="1"/>
  <c r="O2921" i="1" s="1"/>
  <c r="Q2921" i="1" s="1"/>
  <c r="I2923" i="1"/>
  <c r="G2917" i="1"/>
  <c r="O2917" i="1" s="1"/>
  <c r="Q2917" i="1" s="1"/>
  <c r="I2719" i="1"/>
  <c r="I2717" i="1"/>
  <c r="G2717" i="1" s="1"/>
  <c r="O2717" i="1" s="1"/>
  <c r="Q2717" i="1" s="1"/>
  <c r="I2714" i="1"/>
  <c r="G2713" i="1"/>
  <c r="O2713" i="1" s="1"/>
  <c r="Q2713" i="1" s="1"/>
  <c r="M2713" i="1"/>
  <c r="I2411" i="1"/>
  <c r="G2411" i="1" s="1"/>
  <c r="I2408" i="1"/>
  <c r="I2413" i="1"/>
  <c r="G2407" i="1"/>
  <c r="I2304" i="1"/>
  <c r="G2300" i="1"/>
  <c r="O2300" i="1" s="1"/>
  <c r="Q2300" i="1" s="1"/>
  <c r="M2815" i="1"/>
  <c r="M2917" i="1"/>
  <c r="M2610" i="1"/>
  <c r="O2406" i="1"/>
  <c r="Q2406" i="1" s="1"/>
  <c r="M2406" i="1"/>
  <c r="O2700" i="1"/>
  <c r="Q2700" i="1" s="1"/>
  <c r="O2188" i="1"/>
  <c r="Q2188" i="1" s="1"/>
  <c r="R2976" i="1"/>
  <c r="O2503" i="1"/>
  <c r="Q2503" i="1" s="1"/>
  <c r="M2399" i="1"/>
  <c r="O2399" i="1"/>
  <c r="Q2399" i="1" s="1"/>
  <c r="M2499" i="1"/>
  <c r="O2499" i="1"/>
  <c r="Q2499" i="1" s="1"/>
  <c r="M2807" i="1"/>
  <c r="O2807" i="1"/>
  <c r="Q2807" i="1" s="1"/>
  <c r="M2909" i="1"/>
  <c r="O2909" i="1"/>
  <c r="Q2909" i="1" s="1"/>
  <c r="M2087" i="1"/>
  <c r="I2089" i="1"/>
  <c r="G2089" i="1" s="1"/>
  <c r="O2087" i="1"/>
  <c r="Q2087" i="1" s="1"/>
  <c r="M2295" i="1"/>
  <c r="O2295" i="1"/>
  <c r="Q2295" i="1" s="1"/>
  <c r="M2603" i="1"/>
  <c r="O2603" i="1"/>
  <c r="Q2603" i="1" s="1"/>
  <c r="M2819" i="1" l="1"/>
  <c r="Q5994" i="1"/>
  <c r="O5993" i="1"/>
  <c r="Q5993" i="1" s="1"/>
  <c r="I6209" i="1"/>
  <c r="I6207" i="1"/>
  <c r="I6204" i="1"/>
  <c r="M6203" i="1"/>
  <c r="G6203" i="1"/>
  <c r="O6203" i="1" s="1"/>
  <c r="Q6203" i="1" s="1"/>
  <c r="M2921" i="1"/>
  <c r="I5692" i="1"/>
  <c r="G5688" i="1"/>
  <c r="O5688" i="1" s="1"/>
  <c r="M5688" i="1"/>
  <c r="I9596" i="1"/>
  <c r="I9593" i="1"/>
  <c r="I9598" i="1"/>
  <c r="G9592" i="1"/>
  <c r="O9592" i="1" s="1"/>
  <c r="Q9592" i="1" s="1"/>
  <c r="M9592" i="1"/>
  <c r="Q6088" i="1"/>
  <c r="Q8973" i="1"/>
  <c r="O8972" i="1"/>
  <c r="Q8972" i="1" s="1"/>
  <c r="Q5992" i="1"/>
  <c r="O5986" i="1"/>
  <c r="I8978" i="1"/>
  <c r="M8977" i="1"/>
  <c r="G8977" i="1"/>
  <c r="O8977" i="1" s="1"/>
  <c r="I5999" i="1"/>
  <c r="G5998" i="1"/>
  <c r="O5998" i="1" s="1"/>
  <c r="M5998" i="1"/>
  <c r="I9286" i="1"/>
  <c r="M9285" i="1"/>
  <c r="G9285" i="1"/>
  <c r="O9285" i="1" s="1"/>
  <c r="Q9489" i="1"/>
  <c r="O5583" i="1"/>
  <c r="Q5583" i="1" s="1"/>
  <c r="Q5584" i="1"/>
  <c r="Q9183" i="1"/>
  <c r="Q9281" i="1"/>
  <c r="O9280" i="1"/>
  <c r="Q9280" i="1" s="1"/>
  <c r="Q6304" i="1"/>
  <c r="I9496" i="1"/>
  <c r="I9494" i="1"/>
  <c r="I9491" i="1"/>
  <c r="M9490" i="1"/>
  <c r="G9490" i="1"/>
  <c r="O9490" i="1" s="1"/>
  <c r="Q9490" i="1" s="1"/>
  <c r="Q9681" i="1"/>
  <c r="Q9387" i="1"/>
  <c r="Q5892" i="1"/>
  <c r="O5891" i="1"/>
  <c r="Q5891" i="1" s="1"/>
  <c r="Q5890" i="1"/>
  <c r="O5884" i="1"/>
  <c r="Q6100" i="1"/>
  <c r="I6306" i="1"/>
  <c r="I6311" i="1"/>
  <c r="I6309" i="1"/>
  <c r="G6305" i="1"/>
  <c r="O6305" i="1" s="1"/>
  <c r="Q6305" i="1" s="1"/>
  <c r="M6305" i="1"/>
  <c r="Q5794" i="1"/>
  <c r="I5589" i="1"/>
  <c r="G5588" i="1"/>
  <c r="O5588" i="1" s="1"/>
  <c r="M5588" i="1"/>
  <c r="Q5576" i="1"/>
  <c r="I9190" i="1"/>
  <c r="I9188" i="1"/>
  <c r="I9185" i="1"/>
  <c r="G9184" i="1"/>
  <c r="O9184" i="1" s="1"/>
  <c r="Q9184" i="1" s="1"/>
  <c r="M9184" i="1"/>
  <c r="Q9693" i="1"/>
  <c r="I9394" i="1"/>
  <c r="I9392" i="1"/>
  <c r="I9389" i="1"/>
  <c r="M9388" i="1"/>
  <c r="G9388" i="1"/>
  <c r="O9388" i="1" s="1"/>
  <c r="Q9388" i="1" s="1"/>
  <c r="Q9579" i="1"/>
  <c r="I5897" i="1"/>
  <c r="M5896" i="1"/>
  <c r="G5896" i="1"/>
  <c r="O5896" i="1" s="1"/>
  <c r="Q9171" i="1"/>
  <c r="I6107" i="1"/>
  <c r="I6105" i="1"/>
  <c r="I6102" i="1"/>
  <c r="G6101" i="1"/>
  <c r="O6101" i="1" s="1"/>
  <c r="Q6101" i="1" s="1"/>
  <c r="M6101" i="1"/>
  <c r="O9075" i="1"/>
  <c r="Q9375" i="1"/>
  <c r="I9081" i="1"/>
  <c r="G9077" i="1"/>
  <c r="O9077" i="1" s="1"/>
  <c r="M9077" i="1"/>
  <c r="Q9591" i="1"/>
  <c r="Q8971" i="1"/>
  <c r="O8965" i="1"/>
  <c r="I5801" i="1"/>
  <c r="I5796" i="1"/>
  <c r="I5799" i="1"/>
  <c r="M5795" i="1"/>
  <c r="G5795" i="1"/>
  <c r="O5795" i="1" s="1"/>
  <c r="Q5795" i="1" s="1"/>
  <c r="Q6202" i="1"/>
  <c r="I9700" i="1"/>
  <c r="I9698" i="1"/>
  <c r="I9695" i="1"/>
  <c r="M9694" i="1"/>
  <c r="G9694" i="1"/>
  <c r="O9694" i="1" s="1"/>
  <c r="Q9694" i="1" s="1"/>
  <c r="O9273" i="1"/>
  <c r="Q9279" i="1"/>
  <c r="O5686" i="1"/>
  <c r="Q6190" i="1"/>
  <c r="Q2610" i="1"/>
  <c r="O2299" i="1"/>
  <c r="Q2299" i="1" s="1"/>
  <c r="M2717" i="1"/>
  <c r="I2409" i="1"/>
  <c r="G2408" i="1"/>
  <c r="O2408" i="1" s="1"/>
  <c r="I2924" i="1"/>
  <c r="G2923" i="1"/>
  <c r="O2923" i="1" s="1"/>
  <c r="Q2923" i="1" s="1"/>
  <c r="I2515" i="1"/>
  <c r="I2513" i="1"/>
  <c r="G2513" i="1" s="1"/>
  <c r="I2510" i="1"/>
  <c r="G2509" i="1"/>
  <c r="I2919" i="1"/>
  <c r="G2918" i="1"/>
  <c r="O2918" i="1" s="1"/>
  <c r="Q2918" i="1" s="1"/>
  <c r="M2918" i="1"/>
  <c r="I2715" i="1"/>
  <c r="G2714" i="1"/>
  <c r="O2714" i="1" s="1"/>
  <c r="M2714" i="1"/>
  <c r="I2612" i="1"/>
  <c r="I2615" i="1"/>
  <c r="G2615" i="1" s="1"/>
  <c r="I2617" i="1"/>
  <c r="G2611" i="1"/>
  <c r="O2611" i="1" s="1"/>
  <c r="I2305" i="1"/>
  <c r="G2304" i="1"/>
  <c r="O2304" i="1" s="1"/>
  <c r="Q2304" i="1" s="1"/>
  <c r="I2822" i="1"/>
  <c r="G2821" i="1"/>
  <c r="O2821" i="1" s="1"/>
  <c r="Q2821" i="1" s="1"/>
  <c r="I2720" i="1"/>
  <c r="M2720" i="1" s="1"/>
  <c r="G2719" i="1"/>
  <c r="O2719" i="1" s="1"/>
  <c r="I2414" i="1"/>
  <c r="G2413" i="1"/>
  <c r="I2202" i="1"/>
  <c r="I2205" i="1"/>
  <c r="I2207" i="1"/>
  <c r="G2201" i="1"/>
  <c r="O2201" i="1" s="1"/>
  <c r="M2201" i="1"/>
  <c r="I2817" i="1"/>
  <c r="G2816" i="1"/>
  <c r="O2816" i="1" s="1"/>
  <c r="Q2816" i="1" s="1"/>
  <c r="M2816" i="1"/>
  <c r="I2092" i="1"/>
  <c r="G2092" i="1" s="1"/>
  <c r="M2411" i="1"/>
  <c r="M2508" i="1"/>
  <c r="O2407" i="1"/>
  <c r="M2407" i="1"/>
  <c r="M2408" i="1"/>
  <c r="M2611" i="1"/>
  <c r="M2304" i="1"/>
  <c r="O2508" i="1"/>
  <c r="Q2508" i="1" s="1"/>
  <c r="O2808" i="1"/>
  <c r="Q2808" i="1" s="1"/>
  <c r="O2400" i="1"/>
  <c r="Q2400" i="1" s="1"/>
  <c r="O2604" i="1"/>
  <c r="Q2604" i="1" s="1"/>
  <c r="O2910" i="1"/>
  <c r="Q2910" i="1" s="1"/>
  <c r="O2615" i="1"/>
  <c r="M2297" i="1"/>
  <c r="O2297" i="1"/>
  <c r="Q2297" i="1" s="1"/>
  <c r="M2501" i="1"/>
  <c r="O2501" i="1"/>
  <c r="Q2501" i="1" s="1"/>
  <c r="M2089" i="1"/>
  <c r="O2089" i="1"/>
  <c r="Q2089" i="1" s="1"/>
  <c r="I6103" i="1" l="1"/>
  <c r="M6102" i="1"/>
  <c r="G6102" i="1"/>
  <c r="O6102" i="1" s="1"/>
  <c r="Q6102" i="1" s="1"/>
  <c r="G6311" i="1"/>
  <c r="O6311" i="1" s="1"/>
  <c r="I6312" i="1"/>
  <c r="I6000" i="1"/>
  <c r="I6005" i="1"/>
  <c r="I6003" i="1"/>
  <c r="G5999" i="1"/>
  <c r="O5999" i="1" s="1"/>
  <c r="Q5999" i="1" s="1"/>
  <c r="M5999" i="1"/>
  <c r="Q5688" i="1"/>
  <c r="O5687" i="1"/>
  <c r="Q5687" i="1" s="1"/>
  <c r="M2615" i="1"/>
  <c r="I9696" i="1"/>
  <c r="G9695" i="1"/>
  <c r="O9695" i="1" s="1"/>
  <c r="Q9695" i="1" s="1"/>
  <c r="M9695" i="1"/>
  <c r="I5797" i="1"/>
  <c r="M5796" i="1"/>
  <c r="G5796" i="1"/>
  <c r="O5796" i="1" s="1"/>
  <c r="Q5796" i="1" s="1"/>
  <c r="I9082" i="1"/>
  <c r="M9081" i="1"/>
  <c r="G9081" i="1"/>
  <c r="O9081" i="1" s="1"/>
  <c r="I6108" i="1"/>
  <c r="G6107" i="1"/>
  <c r="O6107" i="1" s="1"/>
  <c r="I5595" i="1"/>
  <c r="I5593" i="1"/>
  <c r="I5590" i="1"/>
  <c r="G5589" i="1"/>
  <c r="O5589" i="1" s="1"/>
  <c r="Q5589" i="1" s="1"/>
  <c r="M5589" i="1"/>
  <c r="Q2719" i="1"/>
  <c r="M9698" i="1"/>
  <c r="G9698" i="1"/>
  <c r="O9698" i="1" s="1"/>
  <c r="Q9698" i="1" s="1"/>
  <c r="G5801" i="1"/>
  <c r="O5801" i="1" s="1"/>
  <c r="I5802" i="1"/>
  <c r="I9186" i="1"/>
  <c r="M9185" i="1"/>
  <c r="G9185" i="1"/>
  <c r="O9185" i="1" s="1"/>
  <c r="Q9185" i="1" s="1"/>
  <c r="Q9285" i="1"/>
  <c r="I8979" i="1"/>
  <c r="I8982" i="1"/>
  <c r="I8984" i="1"/>
  <c r="M8978" i="1"/>
  <c r="G8978" i="1"/>
  <c r="O8978" i="1" s="1"/>
  <c r="Q8978" i="1" s="1"/>
  <c r="Q5986" i="1"/>
  <c r="G9598" i="1"/>
  <c r="O9598" i="1" s="1"/>
  <c r="I9599" i="1"/>
  <c r="Q8965" i="1"/>
  <c r="M9188" i="1"/>
  <c r="G9188" i="1"/>
  <c r="O9188" i="1" s="1"/>
  <c r="Q9188" i="1" s="1"/>
  <c r="Q5884" i="1"/>
  <c r="Q5686" i="1"/>
  <c r="O5680" i="1"/>
  <c r="Q9075" i="1"/>
  <c r="O9069" i="1"/>
  <c r="Q5896" i="1"/>
  <c r="M9392" i="1"/>
  <c r="G9392" i="1"/>
  <c r="O9392" i="1" s="1"/>
  <c r="Q9392" i="1" s="1"/>
  <c r="G9190" i="1"/>
  <c r="O9190" i="1" s="1"/>
  <c r="I9191" i="1"/>
  <c r="I9287" i="1"/>
  <c r="I9292" i="1"/>
  <c r="I9290" i="1"/>
  <c r="M9286" i="1"/>
  <c r="G9286" i="1"/>
  <c r="O9286" i="1" s="1"/>
  <c r="Q9286" i="1" s="1"/>
  <c r="I9594" i="1"/>
  <c r="M9593" i="1"/>
  <c r="G9593" i="1"/>
  <c r="O9593" i="1" s="1"/>
  <c r="I6205" i="1"/>
  <c r="G6204" i="1"/>
  <c r="O6204" i="1" s="1"/>
  <c r="M6204" i="1"/>
  <c r="I9390" i="1"/>
  <c r="M9389" i="1"/>
  <c r="G9389" i="1"/>
  <c r="O9389" i="1" s="1"/>
  <c r="G9394" i="1"/>
  <c r="O9394" i="1" s="1"/>
  <c r="I9395" i="1"/>
  <c r="I9492" i="1"/>
  <c r="G9491" i="1"/>
  <c r="O9491" i="1" s="1"/>
  <c r="Q9491" i="1" s="1"/>
  <c r="M9491" i="1"/>
  <c r="M9596" i="1"/>
  <c r="G9596" i="1"/>
  <c r="O9596" i="1" s="1"/>
  <c r="Q9596" i="1" s="1"/>
  <c r="M6207" i="1"/>
  <c r="G6207" i="1"/>
  <c r="O6207" i="1" s="1"/>
  <c r="Q6207" i="1" s="1"/>
  <c r="G9700" i="1"/>
  <c r="O9700" i="1" s="1"/>
  <c r="I9701" i="1"/>
  <c r="Q9273" i="1"/>
  <c r="I5903" i="1"/>
  <c r="I5901" i="1"/>
  <c r="I5898" i="1"/>
  <c r="M5897" i="1"/>
  <c r="G5897" i="1"/>
  <c r="O5897" i="1" s="1"/>
  <c r="Q5897" i="1" s="1"/>
  <c r="G6309" i="1"/>
  <c r="O6309" i="1" s="1"/>
  <c r="Q6309" i="1" s="1"/>
  <c r="M6309" i="1"/>
  <c r="G9494" i="1"/>
  <c r="O9494" i="1" s="1"/>
  <c r="Q9494" i="1" s="1"/>
  <c r="M9494" i="1"/>
  <c r="Q5998" i="1"/>
  <c r="I6210" i="1"/>
  <c r="G6209" i="1"/>
  <c r="O6209" i="1" s="1"/>
  <c r="G9496" i="1"/>
  <c r="O9496" i="1" s="1"/>
  <c r="I9497" i="1"/>
  <c r="M5799" i="1"/>
  <c r="G5799" i="1"/>
  <c r="O5799" i="1" s="1"/>
  <c r="Q5799" i="1" s="1"/>
  <c r="O9076" i="1"/>
  <c r="Q9076" i="1" s="1"/>
  <c r="Q9077" i="1"/>
  <c r="M6105" i="1"/>
  <c r="G6105" i="1"/>
  <c r="O6105" i="1" s="1"/>
  <c r="Q6105" i="1" s="1"/>
  <c r="Q5588" i="1"/>
  <c r="I6307" i="1"/>
  <c r="G6306" i="1"/>
  <c r="O6306" i="1" s="1"/>
  <c r="M6306" i="1"/>
  <c r="Q8977" i="1"/>
  <c r="I5693" i="1"/>
  <c r="G5692" i="1"/>
  <c r="O5692" i="1" s="1"/>
  <c r="M5692" i="1"/>
  <c r="Q2407" i="1"/>
  <c r="Q2611" i="1"/>
  <c r="Q2408" i="1"/>
  <c r="Q2615" i="1"/>
  <c r="I2818" i="1"/>
  <c r="G2817" i="1"/>
  <c r="O2817" i="1" s="1"/>
  <c r="M2817" i="1"/>
  <c r="I2723" i="1"/>
  <c r="M2723" i="1" s="1"/>
  <c r="I2721" i="1"/>
  <c r="G2720" i="1"/>
  <c r="O2720" i="1" s="1"/>
  <c r="I2613" i="1"/>
  <c r="G2612" i="1"/>
  <c r="O2612" i="1" s="1"/>
  <c r="M2612" i="1"/>
  <c r="I2511" i="1"/>
  <c r="G2510" i="1"/>
  <c r="O2510" i="1" s="1"/>
  <c r="Q2510" i="1" s="1"/>
  <c r="M2510" i="1"/>
  <c r="Q2201" i="1"/>
  <c r="I2208" i="1"/>
  <c r="G2207" i="1"/>
  <c r="O2207" i="1" s="1"/>
  <c r="Q2207" i="1" s="1"/>
  <c r="I2823" i="1"/>
  <c r="I2825" i="1"/>
  <c r="G2822" i="1"/>
  <c r="O2822" i="1" s="1"/>
  <c r="Q2822" i="1" s="1"/>
  <c r="Q2714" i="1"/>
  <c r="I2516" i="1"/>
  <c r="G2515" i="1"/>
  <c r="O2515" i="1" s="1"/>
  <c r="Q2515" i="1" s="1"/>
  <c r="G2205" i="1"/>
  <c r="O2205" i="1" s="1"/>
  <c r="Q2205" i="1" s="1"/>
  <c r="M2205" i="1"/>
  <c r="I2716" i="1"/>
  <c r="G2715" i="1"/>
  <c r="O2715" i="1" s="1"/>
  <c r="Q2715" i="1" s="1"/>
  <c r="M2715" i="1"/>
  <c r="I2203" i="1"/>
  <c r="G2202" i="1"/>
  <c r="O2202" i="1" s="1"/>
  <c r="Q2202" i="1" s="1"/>
  <c r="M2202" i="1"/>
  <c r="I2311" i="1"/>
  <c r="I2306" i="1"/>
  <c r="M2306" i="1" s="1"/>
  <c r="I2309" i="1"/>
  <c r="G2309" i="1" s="1"/>
  <c r="O2309" i="1" s="1"/>
  <c r="Q2309" i="1" s="1"/>
  <c r="G2305" i="1"/>
  <c r="O2305" i="1" s="1"/>
  <c r="Q2305" i="1" s="1"/>
  <c r="I2925" i="1"/>
  <c r="M2925" i="1" s="1"/>
  <c r="I2927" i="1"/>
  <c r="G2924" i="1"/>
  <c r="O2924" i="1" s="1"/>
  <c r="Q2924" i="1" s="1"/>
  <c r="I2417" i="1"/>
  <c r="I2415" i="1"/>
  <c r="G2414" i="1"/>
  <c r="I2618" i="1"/>
  <c r="G2617" i="1"/>
  <c r="O2617" i="1" s="1"/>
  <c r="Q2617" i="1" s="1"/>
  <c r="I2920" i="1"/>
  <c r="G2919" i="1"/>
  <c r="O2919" i="1" s="1"/>
  <c r="M2919" i="1"/>
  <c r="I2410" i="1"/>
  <c r="G2410" i="1" s="1"/>
  <c r="G2409" i="1"/>
  <c r="O2409" i="1" s="1"/>
  <c r="Q2409" i="1" s="1"/>
  <c r="I2096" i="1"/>
  <c r="G2096" i="1" s="1"/>
  <c r="O2092" i="1"/>
  <c r="O2509" i="1"/>
  <c r="Q2509" i="1" s="1"/>
  <c r="M2509" i="1"/>
  <c r="O2411" i="1"/>
  <c r="Q2411" i="1" s="1"/>
  <c r="O2413" i="1"/>
  <c r="Q2413" i="1" s="1"/>
  <c r="M2305" i="1"/>
  <c r="M2409" i="1"/>
  <c r="O2394" i="1"/>
  <c r="Q2394" i="1" s="1"/>
  <c r="O2502" i="1"/>
  <c r="Q2502" i="1" s="1"/>
  <c r="O2904" i="1"/>
  <c r="Q2904" i="1" s="1"/>
  <c r="O2598" i="1"/>
  <c r="Q2598" i="1" s="1"/>
  <c r="O2298" i="1"/>
  <c r="Q2298" i="1" s="1"/>
  <c r="O2802" i="1"/>
  <c r="Q2802" i="1" s="1"/>
  <c r="O2090" i="1"/>
  <c r="Q2090" i="1" s="1"/>
  <c r="M2822" i="1"/>
  <c r="M2924" i="1"/>
  <c r="O2513" i="1"/>
  <c r="M2513" i="1"/>
  <c r="Q9394" i="1" l="1"/>
  <c r="I9194" i="1"/>
  <c r="I9192" i="1"/>
  <c r="G9191" i="1"/>
  <c r="O9191" i="1" s="1"/>
  <c r="Q9191" i="1" s="1"/>
  <c r="M9191" i="1"/>
  <c r="Q5680" i="1"/>
  <c r="I9600" i="1"/>
  <c r="I9602" i="1"/>
  <c r="M9599" i="1"/>
  <c r="G9599" i="1"/>
  <c r="O9599" i="1" s="1"/>
  <c r="Q9599" i="1" s="1"/>
  <c r="I8980" i="1"/>
  <c r="M8979" i="1"/>
  <c r="G8979" i="1"/>
  <c r="O8979" i="1" s="1"/>
  <c r="Q5801" i="1"/>
  <c r="Q6107" i="1"/>
  <c r="M6003" i="1"/>
  <c r="G6003" i="1"/>
  <c r="O6003" i="1" s="1"/>
  <c r="Q6003" i="1" s="1"/>
  <c r="Q9389" i="1"/>
  <c r="Q9598" i="1"/>
  <c r="I6109" i="1"/>
  <c r="I6111" i="1"/>
  <c r="G6108" i="1"/>
  <c r="O6108" i="1" s="1"/>
  <c r="Q6108" i="1" s="1"/>
  <c r="M6108" i="1"/>
  <c r="G6005" i="1"/>
  <c r="O6005" i="1" s="1"/>
  <c r="I6006" i="1"/>
  <c r="Q6306" i="1"/>
  <c r="M5901" i="1"/>
  <c r="G5901" i="1"/>
  <c r="O5901" i="1" s="1"/>
  <c r="Q5901" i="1" s="1"/>
  <c r="Q9081" i="1"/>
  <c r="I9697" i="1"/>
  <c r="G9696" i="1"/>
  <c r="O9696" i="1" s="1"/>
  <c r="Q9696" i="1" s="1"/>
  <c r="M9696" i="1"/>
  <c r="I6001" i="1"/>
  <c r="M6000" i="1"/>
  <c r="G6000" i="1"/>
  <c r="O6000" i="1" s="1"/>
  <c r="I5899" i="1"/>
  <c r="M5898" i="1"/>
  <c r="G5898" i="1"/>
  <c r="O5898" i="1" s="1"/>
  <c r="Q5898" i="1" s="1"/>
  <c r="I9595" i="1"/>
  <c r="G9594" i="1"/>
  <c r="O9594" i="1" s="1"/>
  <c r="Q9594" i="1" s="1"/>
  <c r="M9594" i="1"/>
  <c r="I6308" i="1"/>
  <c r="G6307" i="1"/>
  <c r="O6307" i="1" s="1"/>
  <c r="Q6307" i="1" s="1"/>
  <c r="M6307" i="1"/>
  <c r="I5904" i="1"/>
  <c r="G5903" i="1"/>
  <c r="O5903" i="1" s="1"/>
  <c r="I9391" i="1"/>
  <c r="G9390" i="1"/>
  <c r="O9390" i="1" s="1"/>
  <c r="Q9390" i="1" s="1"/>
  <c r="M9390" i="1"/>
  <c r="I6315" i="1"/>
  <c r="I6313" i="1"/>
  <c r="M6312" i="1"/>
  <c r="G6312" i="1"/>
  <c r="O6312" i="1" s="1"/>
  <c r="Q6312" i="1" s="1"/>
  <c r="Q9190" i="1"/>
  <c r="Q5692" i="1"/>
  <c r="I9500" i="1"/>
  <c r="I9498" i="1"/>
  <c r="G9497" i="1"/>
  <c r="O9497" i="1" s="1"/>
  <c r="Q9497" i="1" s="1"/>
  <c r="M9497" i="1"/>
  <c r="M9290" i="1"/>
  <c r="G9290" i="1"/>
  <c r="O9290" i="1" s="1"/>
  <c r="Q9290" i="1" s="1"/>
  <c r="I9086" i="1"/>
  <c r="I9083" i="1"/>
  <c r="I9088" i="1"/>
  <c r="G9082" i="1"/>
  <c r="O9082" i="1" s="1"/>
  <c r="Q9082" i="1" s="1"/>
  <c r="M9082" i="1"/>
  <c r="Q6311" i="1"/>
  <c r="I5591" i="1"/>
  <c r="G5590" i="1"/>
  <c r="O5590" i="1" s="1"/>
  <c r="M5590" i="1"/>
  <c r="I5697" i="1"/>
  <c r="I5699" i="1"/>
  <c r="I5694" i="1"/>
  <c r="G5693" i="1"/>
  <c r="O5693" i="1" s="1"/>
  <c r="Q5693" i="1" s="1"/>
  <c r="M5693" i="1"/>
  <c r="Q6204" i="1"/>
  <c r="I9293" i="1"/>
  <c r="G9292" i="1"/>
  <c r="O9292" i="1" s="1"/>
  <c r="Q6209" i="1"/>
  <c r="I9704" i="1"/>
  <c r="I9702" i="1"/>
  <c r="G9701" i="1"/>
  <c r="O9701" i="1" s="1"/>
  <c r="Q9701" i="1" s="1"/>
  <c r="M9701" i="1"/>
  <c r="I9493" i="1"/>
  <c r="M9492" i="1"/>
  <c r="G9492" i="1"/>
  <c r="O9492" i="1" s="1"/>
  <c r="Q9492" i="1" s="1"/>
  <c r="I6206" i="1"/>
  <c r="M6205" i="1"/>
  <c r="G6205" i="1"/>
  <c r="O6205" i="1" s="1"/>
  <c r="Q6205" i="1" s="1"/>
  <c r="I9288" i="1"/>
  <c r="M9287" i="1"/>
  <c r="G9287" i="1"/>
  <c r="O9287" i="1" s="1"/>
  <c r="Q9069" i="1"/>
  <c r="I8985" i="1"/>
  <c r="G8984" i="1"/>
  <c r="O8984" i="1" s="1"/>
  <c r="I9187" i="1"/>
  <c r="G9186" i="1"/>
  <c r="O9186" i="1" s="1"/>
  <c r="M9186" i="1"/>
  <c r="G5593" i="1"/>
  <c r="O5593" i="1" s="1"/>
  <c r="Q5593" i="1" s="1"/>
  <c r="M5593" i="1"/>
  <c r="Q9496" i="1"/>
  <c r="I6213" i="1"/>
  <c r="I6211" i="1"/>
  <c r="G6210" i="1"/>
  <c r="O6210" i="1" s="1"/>
  <c r="Q6210" i="1" s="1"/>
  <c r="M6210" i="1"/>
  <c r="Q9700" i="1"/>
  <c r="I9398" i="1"/>
  <c r="I9396" i="1"/>
  <c r="M9395" i="1"/>
  <c r="G9395" i="1"/>
  <c r="O9395" i="1" s="1"/>
  <c r="Q9395" i="1" s="1"/>
  <c r="Q9593" i="1"/>
  <c r="M8982" i="1"/>
  <c r="G8982" i="1"/>
  <c r="O8982" i="1" s="1"/>
  <c r="Q8982" i="1" s="1"/>
  <c r="I5805" i="1"/>
  <c r="I5803" i="1"/>
  <c r="G5802" i="1"/>
  <c r="O5802" i="1" s="1"/>
  <c r="Q5802" i="1" s="1"/>
  <c r="M5802" i="1"/>
  <c r="G5595" i="1"/>
  <c r="O5595" i="1" s="1"/>
  <c r="I5596" i="1"/>
  <c r="I5798" i="1"/>
  <c r="M5797" i="1"/>
  <c r="G5797" i="1"/>
  <c r="O5797" i="1" s="1"/>
  <c r="Q5797" i="1" s="1"/>
  <c r="I6104" i="1"/>
  <c r="M6103" i="1"/>
  <c r="G6103" i="1"/>
  <c r="O6103" i="1" s="1"/>
  <c r="Q6103" i="1" s="1"/>
  <c r="Q2513" i="1"/>
  <c r="Q2612" i="1"/>
  <c r="Q2720" i="1"/>
  <c r="I2416" i="1"/>
  <c r="G2416" i="1" s="1"/>
  <c r="G2415" i="1"/>
  <c r="O2415" i="1" s="1"/>
  <c r="Q2415" i="1" s="1"/>
  <c r="I2312" i="1"/>
  <c r="G2311" i="1"/>
  <c r="O2311" i="1" s="1"/>
  <c r="Q2311" i="1" s="1"/>
  <c r="I2418" i="1"/>
  <c r="G2417" i="1"/>
  <c r="I2209" i="1"/>
  <c r="I2211" i="1"/>
  <c r="G2208" i="1"/>
  <c r="O2208" i="1" s="1"/>
  <c r="Q2208" i="1" s="1"/>
  <c r="M2208" i="1"/>
  <c r="I2614" i="1"/>
  <c r="G2613" i="1"/>
  <c r="O2613" i="1" s="1"/>
  <c r="M2613" i="1"/>
  <c r="I2519" i="1"/>
  <c r="I2517" i="1"/>
  <c r="M2517" i="1" s="1"/>
  <c r="G2516" i="1"/>
  <c r="Q2919" i="1"/>
  <c r="I2928" i="1"/>
  <c r="G2927" i="1"/>
  <c r="O2927" i="1" s="1"/>
  <c r="Q2927" i="1" s="1"/>
  <c r="I2204" i="1"/>
  <c r="G2203" i="1"/>
  <c r="O2203" i="1" s="1"/>
  <c r="Q2203" i="1" s="1"/>
  <c r="M2203" i="1"/>
  <c r="I2722" i="1"/>
  <c r="G2721" i="1"/>
  <c r="O2721" i="1" s="1"/>
  <c r="Q2721" i="1" s="1"/>
  <c r="M2721" i="1"/>
  <c r="G2920" i="1"/>
  <c r="O2920" i="1" s="1"/>
  <c r="Q2920" i="1" s="1"/>
  <c r="M2920" i="1"/>
  <c r="I2926" i="1"/>
  <c r="G2926" i="1" s="1"/>
  <c r="O2926" i="1" s="1"/>
  <c r="Q2926" i="1" s="1"/>
  <c r="G2925" i="1"/>
  <c r="O2925" i="1" s="1"/>
  <c r="Q2925" i="1" s="1"/>
  <c r="I2724" i="1"/>
  <c r="M2724" i="1" s="1"/>
  <c r="G2723" i="1"/>
  <c r="O2723" i="1" s="1"/>
  <c r="Q2723" i="1" s="1"/>
  <c r="I2621" i="1"/>
  <c r="I2619" i="1"/>
  <c r="M2619" i="1" s="1"/>
  <c r="G2618" i="1"/>
  <c r="O2618" i="1" s="1"/>
  <c r="G2716" i="1"/>
  <c r="O2716" i="1" s="1"/>
  <c r="Q2716" i="1" s="1"/>
  <c r="M2716" i="1"/>
  <c r="I2826" i="1"/>
  <c r="M2826" i="1" s="1"/>
  <c r="G2825" i="1"/>
  <c r="O2825" i="1" s="1"/>
  <c r="Q2825" i="1" s="1"/>
  <c r="I2512" i="1"/>
  <c r="G2511" i="1"/>
  <c r="O2511" i="1" s="1"/>
  <c r="Q2511" i="1" s="1"/>
  <c r="M2511" i="1"/>
  <c r="Q2817" i="1"/>
  <c r="I2307" i="1"/>
  <c r="M2307" i="1" s="1"/>
  <c r="G2306" i="1"/>
  <c r="O2306" i="1" s="1"/>
  <c r="I2824" i="1"/>
  <c r="G2823" i="1"/>
  <c r="O2823" i="1" s="1"/>
  <c r="Q2823" i="1" s="1"/>
  <c r="M2823" i="1"/>
  <c r="G2818" i="1"/>
  <c r="O2818" i="1" s="1"/>
  <c r="M2818" i="1"/>
  <c r="Q2092" i="1"/>
  <c r="O2091" i="1"/>
  <c r="Q2091" i="1" s="1"/>
  <c r="I2097" i="1"/>
  <c r="G2097" i="1" s="1"/>
  <c r="O2096" i="1"/>
  <c r="Q2096" i="1" s="1"/>
  <c r="M2096" i="1"/>
  <c r="O2084" i="1"/>
  <c r="Q2084" i="1" s="1"/>
  <c r="M2415" i="1"/>
  <c r="M2309" i="1"/>
  <c r="M2410" i="1"/>
  <c r="O2410" i="1"/>
  <c r="Q2410" i="1" s="1"/>
  <c r="O2292" i="1"/>
  <c r="Q2292" i="1" s="1"/>
  <c r="O2496" i="1"/>
  <c r="Q2496" i="1" s="1"/>
  <c r="M2927" i="1"/>
  <c r="M2825" i="1"/>
  <c r="O2414" i="1"/>
  <c r="Q2414" i="1" s="1"/>
  <c r="M2414" i="1"/>
  <c r="M2618" i="1"/>
  <c r="I6214" i="1" l="1"/>
  <c r="G6213" i="1"/>
  <c r="O6213" i="1" s="1"/>
  <c r="Q6213" i="1" s="1"/>
  <c r="M6213" i="1"/>
  <c r="I9705" i="1"/>
  <c r="M9704" i="1"/>
  <c r="G9704" i="1"/>
  <c r="O9704" i="1" s="1"/>
  <c r="Q9704" i="1" s="1"/>
  <c r="I9601" i="1"/>
  <c r="M9600" i="1"/>
  <c r="G9600" i="1"/>
  <c r="O9600" i="1" s="1"/>
  <c r="I5806" i="1"/>
  <c r="G5805" i="1"/>
  <c r="O5805" i="1" s="1"/>
  <c r="Q5805" i="1" s="1"/>
  <c r="M5805" i="1"/>
  <c r="I9399" i="1"/>
  <c r="M9398" i="1"/>
  <c r="G9398" i="1"/>
  <c r="O9398" i="1" s="1"/>
  <c r="Q9398" i="1" s="1"/>
  <c r="I5695" i="1"/>
  <c r="M5694" i="1"/>
  <c r="G5694" i="1"/>
  <c r="O5694" i="1" s="1"/>
  <c r="Q5694" i="1" s="1"/>
  <c r="Q5903" i="1"/>
  <c r="M9697" i="1"/>
  <c r="G9697" i="1"/>
  <c r="O9697" i="1" s="1"/>
  <c r="I6007" i="1"/>
  <c r="I6009" i="1"/>
  <c r="G6006" i="1"/>
  <c r="O6006" i="1" s="1"/>
  <c r="Q6006" i="1" s="1"/>
  <c r="M6006" i="1"/>
  <c r="Q8979" i="1"/>
  <c r="G5699" i="1"/>
  <c r="O5699" i="1" s="1"/>
  <c r="I5700" i="1"/>
  <c r="I5905" i="1"/>
  <c r="I5907" i="1"/>
  <c r="M5904" i="1"/>
  <c r="G5904" i="1"/>
  <c r="O5904" i="1" s="1"/>
  <c r="Q5904" i="1" s="1"/>
  <c r="Q6005" i="1"/>
  <c r="I8981" i="1"/>
  <c r="G8980" i="1"/>
  <c r="O8980" i="1" s="1"/>
  <c r="Q8980" i="1" s="1"/>
  <c r="M8980" i="1"/>
  <c r="G5798" i="1"/>
  <c r="O5798" i="1" s="1"/>
  <c r="Q5798" i="1" s="1"/>
  <c r="M5798" i="1"/>
  <c r="Q9292" i="1"/>
  <c r="G9088" i="1"/>
  <c r="O9088" i="1" s="1"/>
  <c r="I9089" i="1"/>
  <c r="I9499" i="1"/>
  <c r="M9498" i="1"/>
  <c r="G9498" i="1"/>
  <c r="O9498" i="1" s="1"/>
  <c r="Q9498" i="1" s="1"/>
  <c r="I6314" i="1"/>
  <c r="M6313" i="1"/>
  <c r="G6313" i="1"/>
  <c r="O6313" i="1" s="1"/>
  <c r="I5599" i="1"/>
  <c r="I5597" i="1"/>
  <c r="M5596" i="1"/>
  <c r="G5596" i="1"/>
  <c r="O5596" i="1" s="1"/>
  <c r="Q5596" i="1" s="1"/>
  <c r="I9296" i="1"/>
  <c r="I9294" i="1"/>
  <c r="M9293" i="1"/>
  <c r="G9293" i="1"/>
  <c r="O9293" i="1" s="1"/>
  <c r="Q9293" i="1" s="1"/>
  <c r="I9084" i="1"/>
  <c r="M9083" i="1"/>
  <c r="G9083" i="1"/>
  <c r="O9083" i="1" s="1"/>
  <c r="Q9083" i="1" s="1"/>
  <c r="I9501" i="1"/>
  <c r="G9500" i="1"/>
  <c r="O9500" i="1" s="1"/>
  <c r="Q9500" i="1" s="1"/>
  <c r="M9500" i="1"/>
  <c r="I6316" i="1"/>
  <c r="M6315" i="1"/>
  <c r="G6315" i="1"/>
  <c r="O6315" i="1" s="1"/>
  <c r="Q6315" i="1" s="1"/>
  <c r="Q6000" i="1"/>
  <c r="I9193" i="1"/>
  <c r="M9192" i="1"/>
  <c r="G9192" i="1"/>
  <c r="O9192" i="1" s="1"/>
  <c r="Q9287" i="1"/>
  <c r="G9493" i="1"/>
  <c r="O9493" i="1" s="1"/>
  <c r="Q9493" i="1" s="1"/>
  <c r="M9493" i="1"/>
  <c r="M5697" i="1"/>
  <c r="G5697" i="1"/>
  <c r="O5697" i="1" s="1"/>
  <c r="Q5697" i="1" s="1"/>
  <c r="I5900" i="1"/>
  <c r="M5899" i="1"/>
  <c r="G5899" i="1"/>
  <c r="O5899" i="1" s="1"/>
  <c r="M2926" i="1"/>
  <c r="Q5595" i="1"/>
  <c r="Q9186" i="1"/>
  <c r="I9289" i="1"/>
  <c r="G9288" i="1"/>
  <c r="O9288" i="1" s="1"/>
  <c r="Q9288" i="1" s="1"/>
  <c r="M9288" i="1"/>
  <c r="Q5590" i="1"/>
  <c r="M9086" i="1"/>
  <c r="G9086" i="1"/>
  <c r="O9086" i="1" s="1"/>
  <c r="Q9086" i="1" s="1"/>
  <c r="M6308" i="1"/>
  <c r="G6308" i="1"/>
  <c r="O6308" i="1" s="1"/>
  <c r="I6112" i="1"/>
  <c r="G6111" i="1"/>
  <c r="O6111" i="1" s="1"/>
  <c r="Q6111" i="1" s="1"/>
  <c r="M6111" i="1"/>
  <c r="I9195" i="1"/>
  <c r="M9194" i="1"/>
  <c r="G9194" i="1"/>
  <c r="O9194" i="1" s="1"/>
  <c r="Q9194" i="1" s="1"/>
  <c r="I6212" i="1"/>
  <c r="G6211" i="1"/>
  <c r="O6211" i="1" s="1"/>
  <c r="Q6211" i="1" s="1"/>
  <c r="M6211" i="1"/>
  <c r="M9187" i="1"/>
  <c r="G9187" i="1"/>
  <c r="O9187" i="1" s="1"/>
  <c r="Q9187" i="1" s="1"/>
  <c r="I9703" i="1"/>
  <c r="M9702" i="1"/>
  <c r="G9702" i="1"/>
  <c r="O9702" i="1" s="1"/>
  <c r="I5592" i="1"/>
  <c r="G5591" i="1"/>
  <c r="O5591" i="1" s="1"/>
  <c r="Q5591" i="1" s="1"/>
  <c r="M5591" i="1"/>
  <c r="I6002" i="1"/>
  <c r="G6001" i="1"/>
  <c r="O6001" i="1" s="1"/>
  <c r="Q6001" i="1" s="1"/>
  <c r="M6001" i="1"/>
  <c r="I6110" i="1"/>
  <c r="G6109" i="1"/>
  <c r="O6109" i="1" s="1"/>
  <c r="Q6109" i="1" s="1"/>
  <c r="M6109" i="1"/>
  <c r="I9603" i="1"/>
  <c r="M9602" i="1"/>
  <c r="G9602" i="1"/>
  <c r="O9602" i="1" s="1"/>
  <c r="Q9602" i="1" s="1"/>
  <c r="Q8984" i="1"/>
  <c r="M6104" i="1"/>
  <c r="G6104" i="1"/>
  <c r="O6104" i="1" s="1"/>
  <c r="Q6104" i="1" s="1"/>
  <c r="I5804" i="1"/>
  <c r="G5803" i="1"/>
  <c r="O5803" i="1" s="1"/>
  <c r="Q5803" i="1" s="1"/>
  <c r="M5803" i="1"/>
  <c r="I9397" i="1"/>
  <c r="M9396" i="1"/>
  <c r="G9396" i="1"/>
  <c r="O9396" i="1" s="1"/>
  <c r="Q9396" i="1" s="1"/>
  <c r="I8988" i="1"/>
  <c r="I8986" i="1"/>
  <c r="M8985" i="1"/>
  <c r="G8985" i="1"/>
  <c r="O8985" i="1" s="1"/>
  <c r="Q8985" i="1" s="1"/>
  <c r="G6206" i="1"/>
  <c r="O6206" i="1" s="1"/>
  <c r="Q6206" i="1" s="1"/>
  <c r="M6206" i="1"/>
  <c r="M9391" i="1"/>
  <c r="G9391" i="1"/>
  <c r="O9391" i="1" s="1"/>
  <c r="Q9391" i="1" s="1"/>
  <c r="M9595" i="1"/>
  <c r="G9595" i="1"/>
  <c r="O9595" i="1" s="1"/>
  <c r="Q9595" i="1" s="1"/>
  <c r="Q2306" i="1"/>
  <c r="Q2618" i="1"/>
  <c r="Q2818" i="1"/>
  <c r="I2827" i="1"/>
  <c r="G2826" i="1"/>
  <c r="I2212" i="1"/>
  <c r="G2211" i="1"/>
  <c r="O2211" i="1" s="1"/>
  <c r="Q2211" i="1" s="1"/>
  <c r="M2211" i="1"/>
  <c r="I2308" i="1"/>
  <c r="G2308" i="1" s="1"/>
  <c r="O2308" i="1" s="1"/>
  <c r="Q2308" i="1" s="1"/>
  <c r="G2307" i="1"/>
  <c r="O2307" i="1" s="1"/>
  <c r="Q2307" i="1" s="1"/>
  <c r="I2518" i="1"/>
  <c r="G2518" i="1" s="1"/>
  <c r="O2518" i="1" s="1"/>
  <c r="Q2518" i="1" s="1"/>
  <c r="G2517" i="1"/>
  <c r="O2517" i="1" s="1"/>
  <c r="Q2517" i="1" s="1"/>
  <c r="I2210" i="1"/>
  <c r="G2209" i="1"/>
  <c r="O2209" i="1" s="1"/>
  <c r="Q2209" i="1" s="1"/>
  <c r="M2209" i="1"/>
  <c r="O2820" i="1"/>
  <c r="G2204" i="1"/>
  <c r="O2204" i="1" s="1"/>
  <c r="Q2204" i="1" s="1"/>
  <c r="M2204" i="1"/>
  <c r="I2520" i="1"/>
  <c r="G2519" i="1"/>
  <c r="I2419" i="1"/>
  <c r="G2418" i="1"/>
  <c r="I2620" i="1"/>
  <c r="G2620" i="1" s="1"/>
  <c r="O2620" i="1" s="1"/>
  <c r="Q2620" i="1" s="1"/>
  <c r="G2619" i="1"/>
  <c r="O2619" i="1" s="1"/>
  <c r="I2929" i="1"/>
  <c r="G2928" i="1"/>
  <c r="O2928" i="1" s="1"/>
  <c r="Q2613" i="1"/>
  <c r="I2622" i="1"/>
  <c r="G2621" i="1"/>
  <c r="O2621" i="1" s="1"/>
  <c r="Q2621" i="1" s="1"/>
  <c r="O2922" i="1"/>
  <c r="G2614" i="1"/>
  <c r="O2614" i="1" s="1"/>
  <c r="Q2614" i="1" s="1"/>
  <c r="M2614" i="1"/>
  <c r="I2315" i="1"/>
  <c r="I2313" i="1"/>
  <c r="M2313" i="1" s="1"/>
  <c r="G2312" i="1"/>
  <c r="G2722" i="1"/>
  <c r="O2722" i="1" s="1"/>
  <c r="Q2722" i="1" s="1"/>
  <c r="M2722" i="1"/>
  <c r="G2512" i="1"/>
  <c r="O2512" i="1" s="1"/>
  <c r="M2512" i="1"/>
  <c r="G2824" i="1"/>
  <c r="O2824" i="1" s="1"/>
  <c r="Q2824" i="1" s="1"/>
  <c r="M2824" i="1"/>
  <c r="I2725" i="1"/>
  <c r="M2725" i="1" s="1"/>
  <c r="G2724" i="1"/>
  <c r="O2724" i="1" s="1"/>
  <c r="Q2724" i="1" s="1"/>
  <c r="O2718" i="1"/>
  <c r="I2098" i="1"/>
  <c r="G2098" i="1" s="1"/>
  <c r="I2103" i="1"/>
  <c r="G2103" i="1" s="1"/>
  <c r="M2097" i="1"/>
  <c r="I2101" i="1"/>
  <c r="G2101" i="1" s="1"/>
  <c r="O2097" i="1"/>
  <c r="M2416" i="1"/>
  <c r="O2416" i="1"/>
  <c r="M2312" i="1"/>
  <c r="O2826" i="1"/>
  <c r="Q2826" i="1" s="1"/>
  <c r="O2412" i="1"/>
  <c r="M2928" i="1"/>
  <c r="O2516" i="1"/>
  <c r="M2516" i="1"/>
  <c r="O2417" i="1"/>
  <c r="Q2417" i="1" s="1"/>
  <c r="M2417" i="1"/>
  <c r="M2621" i="1"/>
  <c r="O9495" i="1" l="1"/>
  <c r="O9597" i="1"/>
  <c r="M9193" i="1"/>
  <c r="G9193" i="1"/>
  <c r="O9193" i="1" s="1"/>
  <c r="Q9193" i="1" s="1"/>
  <c r="I9297" i="1"/>
  <c r="M9296" i="1"/>
  <c r="G9296" i="1"/>
  <c r="O9296" i="1" s="1"/>
  <c r="Q9296" i="1" s="1"/>
  <c r="I8989" i="1"/>
  <c r="M8988" i="1"/>
  <c r="G8988" i="1"/>
  <c r="O8988" i="1" s="1"/>
  <c r="Q8988" i="1" s="1"/>
  <c r="M5592" i="1"/>
  <c r="G5592" i="1"/>
  <c r="O5592" i="1" s="1"/>
  <c r="M6212" i="1"/>
  <c r="G6212" i="1"/>
  <c r="O6212" i="1" s="1"/>
  <c r="Q6212" i="1" s="1"/>
  <c r="Q6308" i="1"/>
  <c r="O6310" i="1"/>
  <c r="O6208" i="1"/>
  <c r="I5598" i="1"/>
  <c r="G5597" i="1"/>
  <c r="O5597" i="1" s="1"/>
  <c r="M5597" i="1"/>
  <c r="I9092" i="1"/>
  <c r="I9090" i="1"/>
  <c r="G9089" i="1"/>
  <c r="O9089" i="1" s="1"/>
  <c r="Q9089" i="1" s="1"/>
  <c r="M9089" i="1"/>
  <c r="M8981" i="1"/>
  <c r="G8981" i="1"/>
  <c r="O8981" i="1" s="1"/>
  <c r="I5703" i="1"/>
  <c r="I5701" i="1"/>
  <c r="G5700" i="1"/>
  <c r="O5700" i="1" s="1"/>
  <c r="Q5700" i="1" s="1"/>
  <c r="M5700" i="1"/>
  <c r="I6008" i="1"/>
  <c r="M6007" i="1"/>
  <c r="G6007" i="1"/>
  <c r="O6007" i="1" s="1"/>
  <c r="Q9702" i="1"/>
  <c r="I9085" i="1"/>
  <c r="G9084" i="1"/>
  <c r="O9084" i="1" s="1"/>
  <c r="Q9084" i="1" s="1"/>
  <c r="M9084" i="1"/>
  <c r="Q9088" i="1"/>
  <c r="Q9697" i="1"/>
  <c r="O9699" i="1"/>
  <c r="M9601" i="1"/>
  <c r="G9601" i="1"/>
  <c r="O9601" i="1" s="1"/>
  <c r="Q9601" i="1" s="1"/>
  <c r="M6110" i="1"/>
  <c r="G6110" i="1"/>
  <c r="O6110" i="1" s="1"/>
  <c r="Q6110" i="1" s="1"/>
  <c r="O5800" i="1"/>
  <c r="Q5899" i="1"/>
  <c r="Q6313" i="1"/>
  <c r="I5600" i="1"/>
  <c r="G5599" i="1"/>
  <c r="O5599" i="1" s="1"/>
  <c r="Q5599" i="1" s="1"/>
  <c r="M5599" i="1"/>
  <c r="M9397" i="1"/>
  <c r="G9397" i="1"/>
  <c r="O9397" i="1" s="1"/>
  <c r="Q9397" i="1" s="1"/>
  <c r="M9703" i="1"/>
  <c r="G9703" i="1"/>
  <c r="O9703" i="1" s="1"/>
  <c r="Q9703" i="1" s="1"/>
  <c r="I9196" i="1"/>
  <c r="M9195" i="1"/>
  <c r="G9195" i="1"/>
  <c r="O9195" i="1" s="1"/>
  <c r="Q9195" i="1" s="1"/>
  <c r="M9289" i="1"/>
  <c r="G9289" i="1"/>
  <c r="O9289" i="1" s="1"/>
  <c r="Q9192" i="1"/>
  <c r="I6317" i="1"/>
  <c r="G6316" i="1"/>
  <c r="O6316" i="1" s="1"/>
  <c r="Q6316" i="1" s="1"/>
  <c r="M6316" i="1"/>
  <c r="I9400" i="1"/>
  <c r="M9399" i="1"/>
  <c r="G9399" i="1"/>
  <c r="O9399" i="1" s="1"/>
  <c r="Q9399" i="1" s="1"/>
  <c r="Q5699" i="1"/>
  <c r="O9189" i="1"/>
  <c r="G5900" i="1"/>
  <c r="O5900" i="1" s="1"/>
  <c r="Q5900" i="1" s="1"/>
  <c r="M5900" i="1"/>
  <c r="I9295" i="1"/>
  <c r="G9294" i="1"/>
  <c r="O9294" i="1" s="1"/>
  <c r="Q9294" i="1" s="1"/>
  <c r="M9294" i="1"/>
  <c r="M6314" i="1"/>
  <c r="G6314" i="1"/>
  <c r="O6314" i="1" s="1"/>
  <c r="Q6314" i="1" s="1"/>
  <c r="O9393" i="1"/>
  <c r="I9706" i="1"/>
  <c r="G9705" i="1"/>
  <c r="O9705" i="1" s="1"/>
  <c r="Q9705" i="1" s="1"/>
  <c r="M9705" i="1"/>
  <c r="I8987" i="1"/>
  <c r="M8986" i="1"/>
  <c r="G8986" i="1"/>
  <c r="O8986" i="1" s="1"/>
  <c r="M5804" i="1"/>
  <c r="G5804" i="1"/>
  <c r="O5804" i="1" s="1"/>
  <c r="Q5804" i="1" s="1"/>
  <c r="O6106" i="1"/>
  <c r="I9502" i="1"/>
  <c r="G9501" i="1"/>
  <c r="O9501" i="1" s="1"/>
  <c r="Q9501" i="1" s="1"/>
  <c r="M9501" i="1"/>
  <c r="I5908" i="1"/>
  <c r="M5907" i="1"/>
  <c r="G5907" i="1"/>
  <c r="O5907" i="1" s="1"/>
  <c r="Q5907" i="1" s="1"/>
  <c r="I5807" i="1"/>
  <c r="M5806" i="1"/>
  <c r="G5806" i="1"/>
  <c r="O5806" i="1" s="1"/>
  <c r="Q5806" i="1" s="1"/>
  <c r="G6002" i="1"/>
  <c r="O6002" i="1" s="1"/>
  <c r="M6002" i="1"/>
  <c r="I9604" i="1"/>
  <c r="M9603" i="1"/>
  <c r="G9603" i="1"/>
  <c r="O9603" i="1" s="1"/>
  <c r="Q9603" i="1" s="1"/>
  <c r="I6113" i="1"/>
  <c r="M6112" i="1"/>
  <c r="G6112" i="1"/>
  <c r="O6112" i="1" s="1"/>
  <c r="Q6112" i="1" s="1"/>
  <c r="M9499" i="1"/>
  <c r="G9499" i="1"/>
  <c r="O9499" i="1" s="1"/>
  <c r="Q9499" i="1" s="1"/>
  <c r="I5906" i="1"/>
  <c r="M5905" i="1"/>
  <c r="G5905" i="1"/>
  <c r="O5905" i="1" s="1"/>
  <c r="I6010" i="1"/>
  <c r="M6009" i="1"/>
  <c r="G6009" i="1"/>
  <c r="O6009" i="1" s="1"/>
  <c r="Q6009" i="1" s="1"/>
  <c r="I5696" i="1"/>
  <c r="M5695" i="1"/>
  <c r="G5695" i="1"/>
  <c r="O5695" i="1" s="1"/>
  <c r="Q5695" i="1" s="1"/>
  <c r="Q9600" i="1"/>
  <c r="I6215" i="1"/>
  <c r="G6214" i="1"/>
  <c r="O6214" i="1" s="1"/>
  <c r="Q6214" i="1" s="1"/>
  <c r="M6214" i="1"/>
  <c r="Q2416" i="1"/>
  <c r="Q2928" i="1"/>
  <c r="Q2619" i="1"/>
  <c r="Q2516" i="1"/>
  <c r="M2308" i="1"/>
  <c r="O2206" i="1"/>
  <c r="M2518" i="1"/>
  <c r="I2726" i="1"/>
  <c r="G2726" i="1" s="1"/>
  <c r="O2726" i="1" s="1"/>
  <c r="Q2726" i="1" s="1"/>
  <c r="I2727" i="1"/>
  <c r="M2727" i="1" s="1"/>
  <c r="G2725" i="1"/>
  <c r="O2725" i="1" s="1"/>
  <c r="Q2725" i="1" s="1"/>
  <c r="I2314" i="1"/>
  <c r="G2314" i="1" s="1"/>
  <c r="O2314" i="1" s="1"/>
  <c r="Q2314" i="1" s="1"/>
  <c r="G2313" i="1"/>
  <c r="O2313" i="1" s="1"/>
  <c r="I2521" i="1"/>
  <c r="G2520" i="1"/>
  <c r="I2316" i="1"/>
  <c r="G2315" i="1"/>
  <c r="O2315" i="1" s="1"/>
  <c r="I2930" i="1"/>
  <c r="G2930" i="1" s="1"/>
  <c r="I2931" i="1"/>
  <c r="M2931" i="1" s="1"/>
  <c r="G2929" i="1"/>
  <c r="O2929" i="1" s="1"/>
  <c r="Q2512" i="1"/>
  <c r="O2514" i="1"/>
  <c r="I2213" i="1"/>
  <c r="G2212" i="1"/>
  <c r="O2212" i="1" s="1"/>
  <c r="Q2212" i="1" s="1"/>
  <c r="M2212" i="1"/>
  <c r="M2620" i="1"/>
  <c r="I2623" i="1"/>
  <c r="G2622" i="1"/>
  <c r="O2622" i="1" s="1"/>
  <c r="I2420" i="1"/>
  <c r="G2420" i="1" s="1"/>
  <c r="I2421" i="1"/>
  <c r="G2419" i="1"/>
  <c r="G2210" i="1"/>
  <c r="O2210" i="1" s="1"/>
  <c r="Q2210" i="1" s="1"/>
  <c r="M2210" i="1"/>
  <c r="O2616" i="1"/>
  <c r="I2828" i="1"/>
  <c r="G2828" i="1" s="1"/>
  <c r="I2829" i="1"/>
  <c r="M2829" i="1" s="1"/>
  <c r="G2827" i="1"/>
  <c r="O2827" i="1" s="1"/>
  <c r="Q2827" i="1" s="1"/>
  <c r="Q2097" i="1"/>
  <c r="O2101" i="1"/>
  <c r="Q2101" i="1" s="1"/>
  <c r="M2101" i="1"/>
  <c r="O2103" i="1"/>
  <c r="Q2103" i="1" s="1"/>
  <c r="I2104" i="1"/>
  <c r="G2104" i="1" s="1"/>
  <c r="I2099" i="1"/>
  <c r="G2099" i="1" s="1"/>
  <c r="O2098" i="1"/>
  <c r="M2098" i="1"/>
  <c r="O2312" i="1"/>
  <c r="Q2312" i="1" s="1"/>
  <c r="O2310" i="1"/>
  <c r="M2929" i="1"/>
  <c r="M2827" i="1"/>
  <c r="M2622" i="1"/>
  <c r="O2519" i="1"/>
  <c r="Q2519" i="1" s="1"/>
  <c r="M2519" i="1"/>
  <c r="M2418" i="1"/>
  <c r="O2418" i="1"/>
  <c r="Q2418" i="1" s="1"/>
  <c r="M2930" i="1" l="1"/>
  <c r="Q5905" i="1"/>
  <c r="Q8986" i="1"/>
  <c r="G6008" i="1"/>
  <c r="O6008" i="1" s="1"/>
  <c r="Q6008" i="1" s="1"/>
  <c r="M6008" i="1"/>
  <c r="I8990" i="1"/>
  <c r="G8989" i="1"/>
  <c r="O8989" i="1" s="1"/>
  <c r="Q8989" i="1" s="1"/>
  <c r="M8989" i="1"/>
  <c r="G5906" i="1"/>
  <c r="O5906" i="1" s="1"/>
  <c r="Q5906" i="1" s="1"/>
  <c r="M5906" i="1"/>
  <c r="I9606" i="1"/>
  <c r="I9605" i="1"/>
  <c r="M9604" i="1"/>
  <c r="G9604" i="1"/>
  <c r="O9604" i="1" s="1"/>
  <c r="I5909" i="1"/>
  <c r="M5908" i="1"/>
  <c r="G5908" i="1"/>
  <c r="O5908" i="1" s="1"/>
  <c r="Q5908" i="1" s="1"/>
  <c r="I6319" i="1"/>
  <c r="I6318" i="1"/>
  <c r="G6317" i="1"/>
  <c r="O6317" i="1" s="1"/>
  <c r="Q6317" i="1" s="1"/>
  <c r="M6317" i="1"/>
  <c r="I9198" i="1"/>
  <c r="I9197" i="1"/>
  <c r="G9196" i="1"/>
  <c r="O9196" i="1" s="1"/>
  <c r="M9196" i="1"/>
  <c r="I5601" i="1"/>
  <c r="M5600" i="1"/>
  <c r="G5600" i="1"/>
  <c r="O5600" i="1" s="1"/>
  <c r="Q5600" i="1" s="1"/>
  <c r="I9091" i="1"/>
  <c r="G9090" i="1"/>
  <c r="O9090" i="1" s="1"/>
  <c r="M9090" i="1"/>
  <c r="M8987" i="1"/>
  <c r="G8987" i="1"/>
  <c r="O8987" i="1" s="1"/>
  <c r="Q8987" i="1" s="1"/>
  <c r="M9085" i="1"/>
  <c r="G9085" i="1"/>
  <c r="O9085" i="1" s="1"/>
  <c r="I9093" i="1"/>
  <c r="G9092" i="1"/>
  <c r="O9092" i="1" s="1"/>
  <c r="Q9092" i="1" s="1"/>
  <c r="M9092" i="1"/>
  <c r="M2726" i="1"/>
  <c r="G5696" i="1"/>
  <c r="O5696" i="1" s="1"/>
  <c r="Q5696" i="1" s="1"/>
  <c r="M5696" i="1"/>
  <c r="Q6002" i="1"/>
  <c r="O6004" i="1"/>
  <c r="G9295" i="1"/>
  <c r="O9295" i="1" s="1"/>
  <c r="Q9295" i="1" s="1"/>
  <c r="M9295" i="1"/>
  <c r="I5702" i="1"/>
  <c r="M5701" i="1"/>
  <c r="G5701" i="1"/>
  <c r="O5701" i="1" s="1"/>
  <c r="Q5592" i="1"/>
  <c r="O5594" i="1"/>
  <c r="I9298" i="1"/>
  <c r="M9297" i="1"/>
  <c r="G9297" i="1"/>
  <c r="O9297" i="1" s="1"/>
  <c r="Q9297" i="1" s="1"/>
  <c r="I9504" i="1"/>
  <c r="I9503" i="1"/>
  <c r="G9502" i="1"/>
  <c r="O9502" i="1" s="1"/>
  <c r="Q9502" i="1" s="1"/>
  <c r="M9502" i="1"/>
  <c r="Q9289" i="1"/>
  <c r="O9291" i="1"/>
  <c r="I5704" i="1"/>
  <c r="M5703" i="1"/>
  <c r="G5703" i="1"/>
  <c r="O5703" i="1" s="1"/>
  <c r="Q5703" i="1" s="1"/>
  <c r="Q5597" i="1"/>
  <c r="I9708" i="1"/>
  <c r="I9707" i="1"/>
  <c r="M9706" i="1"/>
  <c r="G9706" i="1"/>
  <c r="O9706" i="1" s="1"/>
  <c r="Q9706" i="1" s="1"/>
  <c r="I9402" i="1"/>
  <c r="I9401" i="1"/>
  <c r="M9400" i="1"/>
  <c r="G9400" i="1"/>
  <c r="O9400" i="1" s="1"/>
  <c r="Q9400" i="1" s="1"/>
  <c r="O5902" i="1"/>
  <c r="Q8981" i="1"/>
  <c r="O8983" i="1"/>
  <c r="M5598" i="1"/>
  <c r="G5598" i="1"/>
  <c r="O5598" i="1" s="1"/>
  <c r="Q5598" i="1" s="1"/>
  <c r="I6217" i="1"/>
  <c r="I6216" i="1"/>
  <c r="G6215" i="1"/>
  <c r="O6215" i="1" s="1"/>
  <c r="Q6215" i="1" s="1"/>
  <c r="M6215" i="1"/>
  <c r="I6011" i="1"/>
  <c r="M6010" i="1"/>
  <c r="G6010" i="1"/>
  <c r="O6010" i="1" s="1"/>
  <c r="Q6010" i="1" s="1"/>
  <c r="I6115" i="1"/>
  <c r="I6114" i="1"/>
  <c r="M6113" i="1"/>
  <c r="G6113" i="1"/>
  <c r="O6113" i="1" s="1"/>
  <c r="Q6113" i="1" s="1"/>
  <c r="I5808" i="1"/>
  <c r="I5809" i="1"/>
  <c r="M5807" i="1"/>
  <c r="G5807" i="1"/>
  <c r="O5807" i="1" s="1"/>
  <c r="Q5807" i="1" s="1"/>
  <c r="O5698" i="1"/>
  <c r="Q6007" i="1"/>
  <c r="Q2315" i="1"/>
  <c r="Q2313" i="1"/>
  <c r="Q2098" i="1"/>
  <c r="Q2622" i="1"/>
  <c r="Q2929" i="1"/>
  <c r="M2828" i="1"/>
  <c r="M2314" i="1"/>
  <c r="I2317" i="1"/>
  <c r="G2316" i="1"/>
  <c r="O2316" i="1" s="1"/>
  <c r="Q2316" i="1" s="1"/>
  <c r="I2215" i="1"/>
  <c r="I2214" i="1"/>
  <c r="G2213" i="1"/>
  <c r="O2213" i="1" s="1"/>
  <c r="Q2213" i="1" s="1"/>
  <c r="M2213" i="1"/>
  <c r="I2422" i="1"/>
  <c r="G2421" i="1"/>
  <c r="I2522" i="1"/>
  <c r="G2522" i="1" s="1"/>
  <c r="I2523" i="1"/>
  <c r="G2521" i="1"/>
  <c r="I2830" i="1"/>
  <c r="G2829" i="1"/>
  <c r="O2829" i="1" s="1"/>
  <c r="Q2829" i="1" s="1"/>
  <c r="I2932" i="1"/>
  <c r="G2931" i="1"/>
  <c r="O2931" i="1" s="1"/>
  <c r="I2728" i="1"/>
  <c r="M2728" i="1" s="1"/>
  <c r="G2727" i="1"/>
  <c r="O2727" i="1" s="1"/>
  <c r="Q2727" i="1" s="1"/>
  <c r="I2625" i="1"/>
  <c r="I2624" i="1"/>
  <c r="G2624" i="1" s="1"/>
  <c r="G2623" i="1"/>
  <c r="O2623" i="1" s="1"/>
  <c r="Q2623" i="1" s="1"/>
  <c r="I2100" i="1"/>
  <c r="G2100" i="1" s="1"/>
  <c r="O2099" i="1"/>
  <c r="Q2099" i="1" s="1"/>
  <c r="M2099" i="1"/>
  <c r="I2105" i="1"/>
  <c r="G2105" i="1" s="1"/>
  <c r="O2104" i="1"/>
  <c r="Q2104" i="1" s="1"/>
  <c r="M2104" i="1"/>
  <c r="I2107" i="1"/>
  <c r="G2107" i="1" s="1"/>
  <c r="M2315" i="1"/>
  <c r="O2930" i="1"/>
  <c r="O2828" i="1"/>
  <c r="Q2828" i="1" s="1"/>
  <c r="O2419" i="1"/>
  <c r="Q2419" i="1" s="1"/>
  <c r="M2419" i="1"/>
  <c r="O2520" i="1"/>
  <c r="Q2520" i="1" s="1"/>
  <c r="M2520" i="1"/>
  <c r="M2623" i="1"/>
  <c r="I5810" i="1" l="1"/>
  <c r="M5809" i="1"/>
  <c r="G5809" i="1"/>
  <c r="O5809" i="1" s="1"/>
  <c r="Q5809" i="1" s="1"/>
  <c r="I6013" i="1"/>
  <c r="I6012" i="1"/>
  <c r="G6011" i="1"/>
  <c r="O6011" i="1" s="1"/>
  <c r="Q6011" i="1" s="1"/>
  <c r="M6011" i="1"/>
  <c r="I9505" i="1"/>
  <c r="G9504" i="1"/>
  <c r="O9504" i="1" s="1"/>
  <c r="Q9504" i="1" s="1"/>
  <c r="M9504" i="1"/>
  <c r="G5702" i="1"/>
  <c r="O5702" i="1" s="1"/>
  <c r="Q5702" i="1" s="1"/>
  <c r="M5702" i="1"/>
  <c r="I6320" i="1"/>
  <c r="G6319" i="1"/>
  <c r="O6319" i="1" s="1"/>
  <c r="Q6319" i="1" s="1"/>
  <c r="M6319" i="1"/>
  <c r="G5808" i="1"/>
  <c r="O5808" i="1" s="1"/>
  <c r="Q5808" i="1" s="1"/>
  <c r="M5808" i="1"/>
  <c r="I5705" i="1"/>
  <c r="M5704" i="1"/>
  <c r="G5704" i="1"/>
  <c r="O5704" i="1" s="1"/>
  <c r="Q5704" i="1" s="1"/>
  <c r="Q9196" i="1"/>
  <c r="G9707" i="1"/>
  <c r="O9707" i="1" s="1"/>
  <c r="M9707" i="1"/>
  <c r="G9197" i="1"/>
  <c r="O9197" i="1" s="1"/>
  <c r="Q9197" i="1" s="1"/>
  <c r="M9197" i="1"/>
  <c r="I5911" i="1"/>
  <c r="I5910" i="1"/>
  <c r="G5909" i="1"/>
  <c r="O5909" i="1" s="1"/>
  <c r="Q5909" i="1" s="1"/>
  <c r="M5909" i="1"/>
  <c r="I9709" i="1"/>
  <c r="M9708" i="1"/>
  <c r="G9708" i="1"/>
  <c r="O9708" i="1" s="1"/>
  <c r="Q9708" i="1" s="1"/>
  <c r="M6216" i="1"/>
  <c r="G6216" i="1"/>
  <c r="O6216" i="1" s="1"/>
  <c r="Q6216" i="1" s="1"/>
  <c r="Q9090" i="1"/>
  <c r="I9199" i="1"/>
  <c r="M9198" i="1"/>
  <c r="G9198" i="1"/>
  <c r="O9198" i="1" s="1"/>
  <c r="Q9198" i="1" s="1"/>
  <c r="M6114" i="1"/>
  <c r="G6114" i="1"/>
  <c r="O6114" i="1" s="1"/>
  <c r="Q6114" i="1" s="1"/>
  <c r="I6218" i="1"/>
  <c r="G6217" i="1"/>
  <c r="O6217" i="1" s="1"/>
  <c r="Q6217" i="1" s="1"/>
  <c r="M6217" i="1"/>
  <c r="I9094" i="1"/>
  <c r="G9093" i="1"/>
  <c r="O9093" i="1" s="1"/>
  <c r="Q9093" i="1" s="1"/>
  <c r="M9093" i="1"/>
  <c r="G9091" i="1"/>
  <c r="O9091" i="1" s="1"/>
  <c r="Q9091" i="1" s="1"/>
  <c r="M9091" i="1"/>
  <c r="I9300" i="1"/>
  <c r="I9299" i="1"/>
  <c r="G9298" i="1"/>
  <c r="O9298" i="1" s="1"/>
  <c r="M9298" i="1"/>
  <c r="Q9604" i="1"/>
  <c r="I8992" i="1"/>
  <c r="I8991" i="1"/>
  <c r="G8990" i="1"/>
  <c r="O8990" i="1" s="1"/>
  <c r="M8990" i="1"/>
  <c r="I6116" i="1"/>
  <c r="G6115" i="1"/>
  <c r="O6115" i="1" s="1"/>
  <c r="Q6115" i="1" s="1"/>
  <c r="M6115" i="1"/>
  <c r="Q9085" i="1"/>
  <c r="O9087" i="1"/>
  <c r="M9605" i="1"/>
  <c r="G9605" i="1"/>
  <c r="O9605" i="1" s="1"/>
  <c r="Q9605" i="1" s="1"/>
  <c r="M9401" i="1"/>
  <c r="G9401" i="1"/>
  <c r="O9401" i="1" s="1"/>
  <c r="Q5701" i="1"/>
  <c r="G6318" i="1"/>
  <c r="O6318" i="1" s="1"/>
  <c r="M6318" i="1"/>
  <c r="I9607" i="1"/>
  <c r="M9606" i="1"/>
  <c r="G9606" i="1"/>
  <c r="O9606" i="1" s="1"/>
  <c r="Q9606" i="1" s="1"/>
  <c r="I9403" i="1"/>
  <c r="M9402" i="1"/>
  <c r="G9402" i="1"/>
  <c r="O9402" i="1" s="1"/>
  <c r="Q9402" i="1" s="1"/>
  <c r="M9503" i="1"/>
  <c r="G9503" i="1"/>
  <c r="O9503" i="1" s="1"/>
  <c r="Q9503" i="1" s="1"/>
  <c r="I5603" i="1"/>
  <c r="I5602" i="1"/>
  <c r="G5601" i="1"/>
  <c r="O5601" i="1" s="1"/>
  <c r="Q5601" i="1" s="1"/>
  <c r="M5601" i="1"/>
  <c r="Q2931" i="1"/>
  <c r="Q2930" i="1"/>
  <c r="I2626" i="1"/>
  <c r="G2625" i="1"/>
  <c r="O2625" i="1" s="1"/>
  <c r="Q2625" i="1" s="1"/>
  <c r="I2524" i="1"/>
  <c r="G2523" i="1"/>
  <c r="I2729" i="1"/>
  <c r="M2729" i="1" s="1"/>
  <c r="G2728" i="1"/>
  <c r="O2728" i="1" s="1"/>
  <c r="Q2728" i="1" s="1"/>
  <c r="I2423" i="1"/>
  <c r="G2422" i="1"/>
  <c r="I2933" i="1"/>
  <c r="G2932" i="1"/>
  <c r="O2932" i="1" s="1"/>
  <c r="I2831" i="1"/>
  <c r="G2830" i="1"/>
  <c r="O2830" i="1" s="1"/>
  <c r="Q2830" i="1" s="1"/>
  <c r="G2214" i="1"/>
  <c r="O2214" i="1" s="1"/>
  <c r="Q2214" i="1" s="1"/>
  <c r="M2214" i="1"/>
  <c r="I2216" i="1"/>
  <c r="G2215" i="1"/>
  <c r="O2215" i="1" s="1"/>
  <c r="M2215" i="1"/>
  <c r="M2932" i="1"/>
  <c r="I2319" i="1"/>
  <c r="I2318" i="1"/>
  <c r="G2318" i="1" s="1"/>
  <c r="G2317" i="1"/>
  <c r="O2317" i="1" s="1"/>
  <c r="Q2317" i="1" s="1"/>
  <c r="M2107" i="1"/>
  <c r="O2107" i="1"/>
  <c r="Q2107" i="1" s="1"/>
  <c r="I2108" i="1"/>
  <c r="G2108" i="1" s="1"/>
  <c r="M2105" i="1"/>
  <c r="O2105" i="1"/>
  <c r="Q2105" i="1" s="1"/>
  <c r="I2106" i="1"/>
  <c r="G2106" i="1" s="1"/>
  <c r="O2100" i="1"/>
  <c r="M2100" i="1"/>
  <c r="M2316" i="1"/>
  <c r="M2830" i="1"/>
  <c r="M2625" i="1"/>
  <c r="O2521" i="1"/>
  <c r="Q2521" i="1" s="1"/>
  <c r="M2521" i="1"/>
  <c r="M2624" i="1"/>
  <c r="O2624" i="1"/>
  <c r="Q2624" i="1" s="1"/>
  <c r="M2420" i="1"/>
  <c r="O2420" i="1"/>
  <c r="Q2420" i="1" s="1"/>
  <c r="O2421" i="1"/>
  <c r="Q2421" i="1" s="1"/>
  <c r="M2421" i="1"/>
  <c r="M5602" i="1" l="1"/>
  <c r="G5602" i="1"/>
  <c r="O5602" i="1" s="1"/>
  <c r="Q5602" i="1" s="1"/>
  <c r="G5910" i="1"/>
  <c r="O5910" i="1" s="1"/>
  <c r="M5910" i="1"/>
  <c r="I9404" i="1"/>
  <c r="G9403" i="1"/>
  <c r="O9403" i="1" s="1"/>
  <c r="Q9403" i="1" s="1"/>
  <c r="M9403" i="1"/>
  <c r="I5604" i="1"/>
  <c r="G5603" i="1"/>
  <c r="O5603" i="1" s="1"/>
  <c r="Q5603" i="1" s="1"/>
  <c r="M5603" i="1"/>
  <c r="I9608" i="1"/>
  <c r="G9607" i="1"/>
  <c r="O9607" i="1" s="1"/>
  <c r="M9607" i="1"/>
  <c r="I6117" i="1"/>
  <c r="G6116" i="1"/>
  <c r="O6116" i="1" s="1"/>
  <c r="Q6116" i="1" s="1"/>
  <c r="M6116" i="1"/>
  <c r="Q9298" i="1"/>
  <c r="I5912" i="1"/>
  <c r="G5911" i="1"/>
  <c r="O5911" i="1" s="1"/>
  <c r="Q5911" i="1" s="1"/>
  <c r="M5911" i="1"/>
  <c r="M9299" i="1"/>
  <c r="G9299" i="1"/>
  <c r="O9299" i="1" s="1"/>
  <c r="Q9299" i="1" s="1"/>
  <c r="I6321" i="1"/>
  <c r="G6320" i="1"/>
  <c r="O6320" i="1" s="1"/>
  <c r="Q6320" i="1" s="1"/>
  <c r="M6320" i="1"/>
  <c r="Q6318" i="1"/>
  <c r="Q8990" i="1"/>
  <c r="I9301" i="1"/>
  <c r="M9300" i="1"/>
  <c r="G9300" i="1"/>
  <c r="O9300" i="1" s="1"/>
  <c r="Q9300" i="1" s="1"/>
  <c r="I9096" i="1"/>
  <c r="I9095" i="1"/>
  <c r="M9094" i="1"/>
  <c r="G9094" i="1"/>
  <c r="O9094" i="1" s="1"/>
  <c r="Q9094" i="1" s="1"/>
  <c r="G6012" i="1"/>
  <c r="O6012" i="1" s="1"/>
  <c r="Q6012" i="1" s="1"/>
  <c r="M6012" i="1"/>
  <c r="G8991" i="1"/>
  <c r="O8991" i="1" s="1"/>
  <c r="Q8991" i="1" s="1"/>
  <c r="M8991" i="1"/>
  <c r="I5707" i="1"/>
  <c r="I5706" i="1"/>
  <c r="M5705" i="1"/>
  <c r="G5705" i="1"/>
  <c r="O5705" i="1" s="1"/>
  <c r="Q5705" i="1" s="1"/>
  <c r="I6014" i="1"/>
  <c r="G6013" i="1"/>
  <c r="O6013" i="1" s="1"/>
  <c r="Q6013" i="1" s="1"/>
  <c r="M6013" i="1"/>
  <c r="I8993" i="1"/>
  <c r="G8992" i="1"/>
  <c r="O8992" i="1" s="1"/>
  <c r="Q8992" i="1" s="1"/>
  <c r="M8992" i="1"/>
  <c r="I9200" i="1"/>
  <c r="G9199" i="1"/>
  <c r="O9199" i="1" s="1"/>
  <c r="Q9199" i="1" s="1"/>
  <c r="M9199" i="1"/>
  <c r="I9710" i="1"/>
  <c r="M9709" i="1"/>
  <c r="G9709" i="1"/>
  <c r="O9709" i="1" s="1"/>
  <c r="Q9709" i="1" s="1"/>
  <c r="Q9401" i="1"/>
  <c r="Q9707" i="1"/>
  <c r="I6219" i="1"/>
  <c r="M6218" i="1"/>
  <c r="G6218" i="1"/>
  <c r="O6218" i="1" s="1"/>
  <c r="Q6218" i="1" s="1"/>
  <c r="I9506" i="1"/>
  <c r="G9505" i="1"/>
  <c r="O9505" i="1" s="1"/>
  <c r="Q9505" i="1" s="1"/>
  <c r="M9505" i="1"/>
  <c r="I5811" i="1"/>
  <c r="M5810" i="1"/>
  <c r="G5810" i="1"/>
  <c r="O5810" i="1" s="1"/>
  <c r="Q5810" i="1" s="1"/>
  <c r="Q2932" i="1"/>
  <c r="Q2215" i="1"/>
  <c r="I2217" i="1"/>
  <c r="G2216" i="1"/>
  <c r="O2216" i="1" s="1"/>
  <c r="Q2216" i="1" s="1"/>
  <c r="M2216" i="1"/>
  <c r="I2424" i="1"/>
  <c r="G2423" i="1"/>
  <c r="I2730" i="1"/>
  <c r="M2730" i="1" s="1"/>
  <c r="G2729" i="1"/>
  <c r="O2729" i="1" s="1"/>
  <c r="I2320" i="1"/>
  <c r="G2319" i="1"/>
  <c r="I2832" i="1"/>
  <c r="M2832" i="1" s="1"/>
  <c r="G2831" i="1"/>
  <c r="O2831" i="1" s="1"/>
  <c r="Q2831" i="1" s="1"/>
  <c r="I2525" i="1"/>
  <c r="G2524" i="1"/>
  <c r="I2934" i="1"/>
  <c r="G2933" i="1"/>
  <c r="O2933" i="1" s="1"/>
  <c r="Q2933" i="1" s="1"/>
  <c r="I2627" i="1"/>
  <c r="G2626" i="1"/>
  <c r="O2626" i="1" s="1"/>
  <c r="Q2626" i="1" s="1"/>
  <c r="Q2100" i="1"/>
  <c r="O2102" i="1"/>
  <c r="O2106" i="1"/>
  <c r="Q2106" i="1" s="1"/>
  <c r="M2106" i="1"/>
  <c r="M2108" i="1"/>
  <c r="O2108" i="1"/>
  <c r="Q2108" i="1" s="1"/>
  <c r="I2109" i="1"/>
  <c r="G2109" i="1" s="1"/>
  <c r="M2317" i="1"/>
  <c r="M2933" i="1"/>
  <c r="M2831" i="1"/>
  <c r="M2422" i="1"/>
  <c r="O2422" i="1"/>
  <c r="Q2422" i="1" s="1"/>
  <c r="O2523" i="1"/>
  <c r="Q2523" i="1" s="1"/>
  <c r="M2523" i="1"/>
  <c r="M2626" i="1"/>
  <c r="O2319" i="1"/>
  <c r="Q2319" i="1" s="1"/>
  <c r="M2319" i="1"/>
  <c r="M2522" i="1"/>
  <c r="O2522" i="1"/>
  <c r="Q2522" i="1" s="1"/>
  <c r="M2318" i="1"/>
  <c r="O2318" i="1"/>
  <c r="Q2318" i="1" s="1"/>
  <c r="I9711" i="1" l="1"/>
  <c r="M9710" i="1"/>
  <c r="G9710" i="1"/>
  <c r="O9710" i="1" s="1"/>
  <c r="I5708" i="1"/>
  <c r="G5707" i="1"/>
  <c r="O5707" i="1" s="1"/>
  <c r="Q5707" i="1" s="1"/>
  <c r="M5707" i="1"/>
  <c r="M9095" i="1"/>
  <c r="G9095" i="1"/>
  <c r="O9095" i="1" s="1"/>
  <c r="Q9095" i="1" s="1"/>
  <c r="Q9607" i="1"/>
  <c r="I6220" i="1"/>
  <c r="G6219" i="1"/>
  <c r="O6219" i="1" s="1"/>
  <c r="Q6219" i="1" s="1"/>
  <c r="M6219" i="1"/>
  <c r="I9097" i="1"/>
  <c r="G9096" i="1"/>
  <c r="O9096" i="1" s="1"/>
  <c r="Q9096" i="1" s="1"/>
  <c r="M9096" i="1"/>
  <c r="I5913" i="1"/>
  <c r="M5912" i="1"/>
  <c r="G5912" i="1"/>
  <c r="O5912" i="1" s="1"/>
  <c r="Q5912" i="1" s="1"/>
  <c r="I9609" i="1"/>
  <c r="G9608" i="1"/>
  <c r="O9608" i="1" s="1"/>
  <c r="Q9608" i="1" s="1"/>
  <c r="M9608" i="1"/>
  <c r="I5812" i="1"/>
  <c r="M5811" i="1"/>
  <c r="G5811" i="1"/>
  <c r="O5811" i="1" s="1"/>
  <c r="Q5811" i="1" s="1"/>
  <c r="I9405" i="1"/>
  <c r="M9404" i="1"/>
  <c r="G9404" i="1"/>
  <c r="O9404" i="1" s="1"/>
  <c r="Q9404" i="1" s="1"/>
  <c r="I9201" i="1"/>
  <c r="G9200" i="1"/>
  <c r="O9200" i="1" s="1"/>
  <c r="Q9200" i="1" s="1"/>
  <c r="M9200" i="1"/>
  <c r="I6322" i="1"/>
  <c r="G6321" i="1"/>
  <c r="O6321" i="1" s="1"/>
  <c r="M6321" i="1"/>
  <c r="I6015" i="1"/>
  <c r="M6014" i="1"/>
  <c r="G6014" i="1"/>
  <c r="O6014" i="1" s="1"/>
  <c r="Q6014" i="1" s="1"/>
  <c r="I9302" i="1"/>
  <c r="G9301" i="1"/>
  <c r="O9301" i="1" s="1"/>
  <c r="Q9301" i="1" s="1"/>
  <c r="M9301" i="1"/>
  <c r="I5605" i="1"/>
  <c r="G5604" i="1"/>
  <c r="O5604" i="1" s="1"/>
  <c r="M5604" i="1"/>
  <c r="I9507" i="1"/>
  <c r="G9506" i="1"/>
  <c r="O9506" i="1" s="1"/>
  <c r="Q9506" i="1" s="1"/>
  <c r="M9506" i="1"/>
  <c r="Q5910" i="1"/>
  <c r="I8994" i="1"/>
  <c r="G8993" i="1"/>
  <c r="O8993" i="1" s="1"/>
  <c r="Q8993" i="1" s="1"/>
  <c r="M8993" i="1"/>
  <c r="I6118" i="1"/>
  <c r="G6117" i="1"/>
  <c r="O6117" i="1" s="1"/>
  <c r="Q6117" i="1" s="1"/>
  <c r="M6117" i="1"/>
  <c r="M5706" i="1"/>
  <c r="G5706" i="1"/>
  <c r="O5706" i="1" s="1"/>
  <c r="Q5706" i="1" s="1"/>
  <c r="Q2729" i="1"/>
  <c r="I2628" i="1"/>
  <c r="G2627" i="1"/>
  <c r="O2627" i="1" s="1"/>
  <c r="I2321" i="1"/>
  <c r="G2320" i="1"/>
  <c r="O2320" i="1" s="1"/>
  <c r="Q2320" i="1" s="1"/>
  <c r="I2936" i="1"/>
  <c r="I2935" i="1"/>
  <c r="G2934" i="1"/>
  <c r="O2934" i="1" s="1"/>
  <c r="Q2934" i="1" s="1"/>
  <c r="I2732" i="1"/>
  <c r="M2732" i="1" s="1"/>
  <c r="I2731" i="1"/>
  <c r="G2730" i="1"/>
  <c r="O2730" i="1" s="1"/>
  <c r="I2526" i="1"/>
  <c r="G2525" i="1"/>
  <c r="I2426" i="1"/>
  <c r="I2425" i="1"/>
  <c r="G2425" i="1" s="1"/>
  <c r="G2424" i="1"/>
  <c r="M2934" i="1"/>
  <c r="I2833" i="1"/>
  <c r="I2834" i="1"/>
  <c r="M2834" i="1" s="1"/>
  <c r="G2832" i="1"/>
  <c r="O2832" i="1" s="1"/>
  <c r="Q2832" i="1" s="1"/>
  <c r="I2218" i="1"/>
  <c r="G2217" i="1"/>
  <c r="O2217" i="1" s="1"/>
  <c r="M2217" i="1"/>
  <c r="I2110" i="1"/>
  <c r="G2110" i="1" s="1"/>
  <c r="O2109" i="1"/>
  <c r="Q2109" i="1" s="1"/>
  <c r="I2111" i="1"/>
  <c r="G2111" i="1" s="1"/>
  <c r="M2109" i="1"/>
  <c r="M2627" i="1"/>
  <c r="M2320" i="1"/>
  <c r="O2423" i="1"/>
  <c r="Q2423" i="1" s="1"/>
  <c r="M2423" i="1"/>
  <c r="M2524" i="1"/>
  <c r="O2524" i="1"/>
  <c r="Q2524" i="1" s="1"/>
  <c r="M2936" i="1"/>
  <c r="I5606" i="1" l="1"/>
  <c r="G5605" i="1"/>
  <c r="O5605" i="1" s="1"/>
  <c r="Q5605" i="1" s="1"/>
  <c r="M5605" i="1"/>
  <c r="I9098" i="1"/>
  <c r="G9097" i="1"/>
  <c r="O9097" i="1" s="1"/>
  <c r="M9097" i="1"/>
  <c r="Q6321" i="1"/>
  <c r="I9406" i="1"/>
  <c r="I9407" i="1"/>
  <c r="G9405" i="1"/>
  <c r="O9405" i="1" s="1"/>
  <c r="Q9405" i="1" s="1"/>
  <c r="M9405" i="1"/>
  <c r="I6324" i="1"/>
  <c r="I6323" i="1"/>
  <c r="G6322" i="1"/>
  <c r="O6322" i="1" s="1"/>
  <c r="Q6322" i="1" s="1"/>
  <c r="M6322" i="1"/>
  <c r="I9610" i="1"/>
  <c r="I9611" i="1"/>
  <c r="M9609" i="1"/>
  <c r="G9609" i="1"/>
  <c r="O9609" i="1" s="1"/>
  <c r="Q9609" i="1" s="1"/>
  <c r="I5709" i="1"/>
  <c r="M5708" i="1"/>
  <c r="G5708" i="1"/>
  <c r="O5708" i="1" s="1"/>
  <c r="Q5708" i="1" s="1"/>
  <c r="I6120" i="1"/>
  <c r="I6119" i="1"/>
  <c r="G6118" i="1"/>
  <c r="O6118" i="1" s="1"/>
  <c r="Q6118" i="1" s="1"/>
  <c r="M6118" i="1"/>
  <c r="I9303" i="1"/>
  <c r="G9302" i="1"/>
  <c r="O9302" i="1" s="1"/>
  <c r="Q9302" i="1" s="1"/>
  <c r="M9302" i="1"/>
  <c r="I6222" i="1"/>
  <c r="I6221" i="1"/>
  <c r="G6220" i="1"/>
  <c r="O6220" i="1" s="1"/>
  <c r="Q6220" i="1" s="1"/>
  <c r="M6220" i="1"/>
  <c r="I9509" i="1"/>
  <c r="I9508" i="1"/>
  <c r="G9507" i="1"/>
  <c r="O9507" i="1" s="1"/>
  <c r="Q9507" i="1" s="1"/>
  <c r="M9507" i="1"/>
  <c r="I5814" i="1"/>
  <c r="I5813" i="1"/>
  <c r="M5812" i="1"/>
  <c r="G5812" i="1"/>
  <c r="O5812" i="1" s="1"/>
  <c r="Q5812" i="1" s="1"/>
  <c r="I5914" i="1"/>
  <c r="G5913" i="1"/>
  <c r="O5913" i="1" s="1"/>
  <c r="M5913" i="1"/>
  <c r="Q9710" i="1"/>
  <c r="I8995" i="1"/>
  <c r="G8994" i="1"/>
  <c r="O8994" i="1" s="1"/>
  <c r="Q8994" i="1" s="1"/>
  <c r="M8994" i="1"/>
  <c r="I6016" i="1"/>
  <c r="G6015" i="1"/>
  <c r="O6015" i="1" s="1"/>
  <c r="Q6015" i="1" s="1"/>
  <c r="M6015" i="1"/>
  <c r="I9203" i="1"/>
  <c r="I9202" i="1"/>
  <c r="M9201" i="1"/>
  <c r="G9201" i="1"/>
  <c r="O9201" i="1" s="1"/>
  <c r="Q9201" i="1" s="1"/>
  <c r="Q5604" i="1"/>
  <c r="I9713" i="1"/>
  <c r="I9712" i="1"/>
  <c r="G9711" i="1"/>
  <c r="O9711" i="1" s="1"/>
  <c r="Q9711" i="1" s="1"/>
  <c r="M9711" i="1"/>
  <c r="Q2627" i="1"/>
  <c r="Q2730" i="1"/>
  <c r="Q2217" i="1"/>
  <c r="I2733" i="1"/>
  <c r="M2733" i="1" s="1"/>
  <c r="G2732" i="1"/>
  <c r="O2732" i="1" s="1"/>
  <c r="Q2732" i="1" s="1"/>
  <c r="G2935" i="1"/>
  <c r="O2935" i="1" s="1"/>
  <c r="M2935" i="1"/>
  <c r="I2427" i="1"/>
  <c r="G2426" i="1"/>
  <c r="I2937" i="1"/>
  <c r="M2937" i="1" s="1"/>
  <c r="G2936" i="1"/>
  <c r="O2936" i="1" s="1"/>
  <c r="Q2936" i="1" s="1"/>
  <c r="I2219" i="1"/>
  <c r="I2220" i="1"/>
  <c r="G2218" i="1"/>
  <c r="O2218" i="1" s="1"/>
  <c r="Q2218" i="1" s="1"/>
  <c r="M2218" i="1"/>
  <c r="I2322" i="1"/>
  <c r="G2321" i="1"/>
  <c r="I2528" i="1"/>
  <c r="I2527" i="1"/>
  <c r="G2527" i="1" s="1"/>
  <c r="G2526" i="1"/>
  <c r="I2835" i="1"/>
  <c r="G2834" i="1"/>
  <c r="O2834" i="1" s="1"/>
  <c r="Q2834" i="1" s="1"/>
  <c r="G2833" i="1"/>
  <c r="O2833" i="1" s="1"/>
  <c r="M2833" i="1"/>
  <c r="G2731" i="1"/>
  <c r="O2731" i="1" s="1"/>
  <c r="Q2731" i="1" s="1"/>
  <c r="M2731" i="1"/>
  <c r="I2629" i="1"/>
  <c r="G2629" i="1" s="1"/>
  <c r="O2629" i="1" s="1"/>
  <c r="I2630" i="1"/>
  <c r="G2628" i="1"/>
  <c r="O2111" i="1"/>
  <c r="Q2111" i="1" s="1"/>
  <c r="M2111" i="1"/>
  <c r="I2112" i="1"/>
  <c r="G2112" i="1" s="1"/>
  <c r="M2110" i="1"/>
  <c r="O2110" i="1"/>
  <c r="Q2110" i="1" s="1"/>
  <c r="O2425" i="1"/>
  <c r="Q2425" i="1" s="1"/>
  <c r="M2425" i="1"/>
  <c r="M2525" i="1"/>
  <c r="O2525" i="1"/>
  <c r="Q2525" i="1" s="1"/>
  <c r="M2424" i="1"/>
  <c r="O2424" i="1"/>
  <c r="Q2424" i="1" s="1"/>
  <c r="O2321" i="1"/>
  <c r="Q2321" i="1" s="1"/>
  <c r="M2321" i="1"/>
  <c r="O2628" i="1"/>
  <c r="M2628" i="1"/>
  <c r="I9714" i="1" l="1"/>
  <c r="G9713" i="1"/>
  <c r="O9713" i="1" s="1"/>
  <c r="Q9713" i="1" s="1"/>
  <c r="M9713" i="1"/>
  <c r="G9203" i="1"/>
  <c r="O9203" i="1" s="1"/>
  <c r="Q9203" i="1" s="1"/>
  <c r="I9204" i="1"/>
  <c r="M9203" i="1"/>
  <c r="M9611" i="1"/>
  <c r="I9612" i="1"/>
  <c r="G9611" i="1"/>
  <c r="O9611" i="1" s="1"/>
  <c r="Q9611" i="1" s="1"/>
  <c r="Q5913" i="1"/>
  <c r="G9508" i="1"/>
  <c r="O9508" i="1" s="1"/>
  <c r="Q9508" i="1" s="1"/>
  <c r="M9508" i="1"/>
  <c r="I6223" i="1"/>
  <c r="M6222" i="1"/>
  <c r="G6222" i="1"/>
  <c r="O6222" i="1" s="1"/>
  <c r="Q6222" i="1" s="1"/>
  <c r="I6121" i="1"/>
  <c r="M6120" i="1"/>
  <c r="G6120" i="1"/>
  <c r="O6120" i="1" s="1"/>
  <c r="Q6120" i="1" s="1"/>
  <c r="M9406" i="1"/>
  <c r="G9406" i="1"/>
  <c r="O9406" i="1" s="1"/>
  <c r="Q9406" i="1" s="1"/>
  <c r="I5608" i="1"/>
  <c r="I5607" i="1"/>
  <c r="M5606" i="1"/>
  <c r="G5606" i="1"/>
  <c r="O5606" i="1" s="1"/>
  <c r="Q5606" i="1" s="1"/>
  <c r="I6018" i="1"/>
  <c r="I6017" i="1"/>
  <c r="M6016" i="1"/>
  <c r="G6016" i="1"/>
  <c r="O6016" i="1" s="1"/>
  <c r="Q6016" i="1" s="1"/>
  <c r="I5916" i="1"/>
  <c r="I5915" i="1"/>
  <c r="M5914" i="1"/>
  <c r="G5914" i="1"/>
  <c r="O5914" i="1" s="1"/>
  <c r="Q5914" i="1" s="1"/>
  <c r="G9509" i="1"/>
  <c r="O9509" i="1" s="1"/>
  <c r="Q9509" i="1" s="1"/>
  <c r="M9509" i="1"/>
  <c r="I9510" i="1"/>
  <c r="G6323" i="1"/>
  <c r="O6323" i="1" s="1"/>
  <c r="Q6323" i="1" s="1"/>
  <c r="M6323" i="1"/>
  <c r="I5710" i="1"/>
  <c r="M5709" i="1"/>
  <c r="G5709" i="1"/>
  <c r="O5709" i="1" s="1"/>
  <c r="Q5709" i="1" s="1"/>
  <c r="I6325" i="1"/>
  <c r="G6324" i="1"/>
  <c r="O6324" i="1" s="1"/>
  <c r="Q6324" i="1" s="1"/>
  <c r="M6324" i="1"/>
  <c r="I8997" i="1"/>
  <c r="I8996" i="1"/>
  <c r="M8995" i="1"/>
  <c r="G8995" i="1"/>
  <c r="O8995" i="1" s="1"/>
  <c r="Q8995" i="1" s="1"/>
  <c r="M5813" i="1"/>
  <c r="G5813" i="1"/>
  <c r="O5813" i="1" s="1"/>
  <c r="Q5813" i="1" s="1"/>
  <c r="I9304" i="1"/>
  <c r="I9305" i="1"/>
  <c r="M9303" i="1"/>
  <c r="G9303" i="1"/>
  <c r="O9303" i="1" s="1"/>
  <c r="Q9303" i="1" s="1"/>
  <c r="Q9097" i="1"/>
  <c r="M9712" i="1"/>
  <c r="G9712" i="1"/>
  <c r="O9712" i="1" s="1"/>
  <c r="Q9712" i="1" s="1"/>
  <c r="G9202" i="1"/>
  <c r="O9202" i="1" s="1"/>
  <c r="Q9202" i="1" s="1"/>
  <c r="M9202" i="1"/>
  <c r="G5814" i="1"/>
  <c r="O5814" i="1" s="1"/>
  <c r="Q5814" i="1" s="1"/>
  <c r="M5814" i="1"/>
  <c r="I5815" i="1"/>
  <c r="I9099" i="1"/>
  <c r="M9098" i="1"/>
  <c r="G9098" i="1"/>
  <c r="O9098" i="1" s="1"/>
  <c r="Q9098" i="1" s="1"/>
  <c r="G6221" i="1"/>
  <c r="O6221" i="1" s="1"/>
  <c r="Q6221" i="1" s="1"/>
  <c r="M6221" i="1"/>
  <c r="M6119" i="1"/>
  <c r="G6119" i="1"/>
  <c r="O6119" i="1" s="1"/>
  <c r="Q6119" i="1" s="1"/>
  <c r="M9610" i="1"/>
  <c r="G9610" i="1"/>
  <c r="O9610" i="1" s="1"/>
  <c r="Q9610" i="1" s="1"/>
  <c r="I9408" i="1"/>
  <c r="G9407" i="1"/>
  <c r="O9407" i="1" s="1"/>
  <c r="Q9407" i="1" s="1"/>
  <c r="M9407" i="1"/>
  <c r="Q2629" i="1"/>
  <c r="Q2628" i="1"/>
  <c r="Q2833" i="1"/>
  <c r="Q2935" i="1"/>
  <c r="I2529" i="1"/>
  <c r="G2528" i="1"/>
  <c r="I2939" i="1"/>
  <c r="M2939" i="1" s="1"/>
  <c r="G2937" i="1"/>
  <c r="O2937" i="1" s="1"/>
  <c r="Q2937" i="1" s="1"/>
  <c r="I2324" i="1"/>
  <c r="I2323" i="1"/>
  <c r="G2323" i="1" s="1"/>
  <c r="O2323" i="1" s="1"/>
  <c r="Q2323" i="1" s="1"/>
  <c r="G2322" i="1"/>
  <c r="O2322" i="1" s="1"/>
  <c r="Q2322" i="1" s="1"/>
  <c r="I2429" i="1"/>
  <c r="G2427" i="1"/>
  <c r="M2629" i="1"/>
  <c r="I2837" i="1"/>
  <c r="M2837" i="1" s="1"/>
  <c r="G2835" i="1"/>
  <c r="O2835" i="1" s="1"/>
  <c r="Q2835" i="1" s="1"/>
  <c r="I2221" i="1"/>
  <c r="G2220" i="1"/>
  <c r="O2220" i="1" s="1"/>
  <c r="Q2220" i="1" s="1"/>
  <c r="M2220" i="1"/>
  <c r="I2631" i="1"/>
  <c r="G2630" i="1"/>
  <c r="O2630" i="1" s="1"/>
  <c r="Q2630" i="1" s="1"/>
  <c r="G2219" i="1"/>
  <c r="O2219" i="1" s="1"/>
  <c r="Q2219" i="1" s="1"/>
  <c r="M2219" i="1"/>
  <c r="I2735" i="1"/>
  <c r="M2735" i="1" s="1"/>
  <c r="G2733" i="1"/>
  <c r="O2733" i="1" s="1"/>
  <c r="Q2733" i="1" s="1"/>
  <c r="I2113" i="1"/>
  <c r="G2113" i="1" s="1"/>
  <c r="M2112" i="1"/>
  <c r="O2112" i="1"/>
  <c r="Q2112" i="1" s="1"/>
  <c r="M2835" i="1"/>
  <c r="M2527" i="1"/>
  <c r="O2527" i="1"/>
  <c r="Q2527" i="1" s="1"/>
  <c r="M2630" i="1"/>
  <c r="O2526" i="1"/>
  <c r="Q2526" i="1" s="1"/>
  <c r="M2526" i="1"/>
  <c r="M2322" i="1"/>
  <c r="M2426" i="1"/>
  <c r="O2426" i="1"/>
  <c r="Q2426" i="1" s="1"/>
  <c r="O2938" i="1"/>
  <c r="I9100" i="1" l="1"/>
  <c r="I9101" i="1"/>
  <c r="G9099" i="1"/>
  <c r="O9099" i="1" s="1"/>
  <c r="Q9099" i="1" s="1"/>
  <c r="M9099" i="1"/>
  <c r="I9614" i="1"/>
  <c r="M9612" i="1"/>
  <c r="G9612" i="1"/>
  <c r="O9612" i="1" s="1"/>
  <c r="G5607" i="1"/>
  <c r="O5607" i="1" s="1"/>
  <c r="Q5607" i="1" s="1"/>
  <c r="M5607" i="1"/>
  <c r="I9306" i="1"/>
  <c r="M9305" i="1"/>
  <c r="G9305" i="1"/>
  <c r="O9305" i="1" s="1"/>
  <c r="Q9305" i="1" s="1"/>
  <c r="M6017" i="1"/>
  <c r="G6017" i="1"/>
  <c r="O6017" i="1" s="1"/>
  <c r="Q6017" i="1" s="1"/>
  <c r="I5817" i="1"/>
  <c r="M5815" i="1"/>
  <c r="G5815" i="1"/>
  <c r="O5815" i="1" s="1"/>
  <c r="I5712" i="1"/>
  <c r="I5711" i="1"/>
  <c r="M5710" i="1"/>
  <c r="G5710" i="1"/>
  <c r="O5710" i="1" s="1"/>
  <c r="Q5710" i="1" s="1"/>
  <c r="G8996" i="1"/>
  <c r="O8996" i="1" s="1"/>
  <c r="Q8996" i="1" s="1"/>
  <c r="M8996" i="1"/>
  <c r="I5917" i="1"/>
  <c r="M5916" i="1"/>
  <c r="G5916" i="1"/>
  <c r="O5916" i="1" s="1"/>
  <c r="Q5916" i="1" s="1"/>
  <c r="I5609" i="1"/>
  <c r="M5608" i="1"/>
  <c r="G5608" i="1"/>
  <c r="O5608" i="1" s="1"/>
  <c r="Q5608" i="1" s="1"/>
  <c r="I6225" i="1"/>
  <c r="G6223" i="1"/>
  <c r="O6223" i="1" s="1"/>
  <c r="M6223" i="1"/>
  <c r="M5915" i="1"/>
  <c r="G5915" i="1"/>
  <c r="O5915" i="1" s="1"/>
  <c r="Q5915" i="1" s="1"/>
  <c r="G8997" i="1"/>
  <c r="O8997" i="1" s="1"/>
  <c r="Q8997" i="1" s="1"/>
  <c r="I8998" i="1"/>
  <c r="M8997" i="1"/>
  <c r="I9206" i="1"/>
  <c r="G9204" i="1"/>
  <c r="O9204" i="1" s="1"/>
  <c r="M9204" i="1"/>
  <c r="I9512" i="1"/>
  <c r="M9510" i="1"/>
  <c r="G9510" i="1"/>
  <c r="O9510" i="1" s="1"/>
  <c r="M9304" i="1"/>
  <c r="G9304" i="1"/>
  <c r="O9304" i="1" s="1"/>
  <c r="Q9304" i="1" s="1"/>
  <c r="I6327" i="1"/>
  <c r="G6325" i="1"/>
  <c r="O6325" i="1" s="1"/>
  <c r="M6325" i="1"/>
  <c r="I6019" i="1"/>
  <c r="G6018" i="1"/>
  <c r="O6018" i="1" s="1"/>
  <c r="Q6018" i="1" s="1"/>
  <c r="M6018" i="1"/>
  <c r="I9410" i="1"/>
  <c r="M9408" i="1"/>
  <c r="G9408" i="1"/>
  <c r="O9408" i="1" s="1"/>
  <c r="I6123" i="1"/>
  <c r="M6121" i="1"/>
  <c r="G6121" i="1"/>
  <c r="O6121" i="1" s="1"/>
  <c r="I9716" i="1"/>
  <c r="G9714" i="1"/>
  <c r="O9714" i="1" s="1"/>
  <c r="M9714" i="1"/>
  <c r="M2323" i="1"/>
  <c r="O2734" i="1"/>
  <c r="I2633" i="1"/>
  <c r="G2631" i="1"/>
  <c r="O2631" i="1" s="1"/>
  <c r="Q2631" i="1" s="1"/>
  <c r="I2223" i="1"/>
  <c r="G2221" i="1"/>
  <c r="O2221" i="1" s="1"/>
  <c r="Q2221" i="1" s="1"/>
  <c r="M2221" i="1"/>
  <c r="I2325" i="1"/>
  <c r="G2324" i="1"/>
  <c r="O2324" i="1" s="1"/>
  <c r="I2736" i="1"/>
  <c r="M2736" i="1" s="1"/>
  <c r="G2735" i="1"/>
  <c r="O2735" i="1" s="1"/>
  <c r="Q2735" i="1" s="1"/>
  <c r="I2738" i="1"/>
  <c r="M2738" i="1" s="1"/>
  <c r="I2430" i="1"/>
  <c r="I2432" i="1"/>
  <c r="G2429" i="1"/>
  <c r="G2837" i="1"/>
  <c r="O2837" i="1" s="1"/>
  <c r="Q2837" i="1" s="1"/>
  <c r="I2838" i="1"/>
  <c r="M2838" i="1" s="1"/>
  <c r="I2840" i="1"/>
  <c r="I2942" i="1"/>
  <c r="G2939" i="1"/>
  <c r="O2939" i="1" s="1"/>
  <c r="I2940" i="1"/>
  <c r="M2940" i="1" s="1"/>
  <c r="O2222" i="1"/>
  <c r="I2531" i="1"/>
  <c r="G2529" i="1"/>
  <c r="O2113" i="1"/>
  <c r="Q2113" i="1" s="1"/>
  <c r="I2114" i="1"/>
  <c r="G2114" i="1" s="1"/>
  <c r="M2113" i="1"/>
  <c r="O2836" i="1"/>
  <c r="M2427" i="1"/>
  <c r="O2427" i="1"/>
  <c r="Q2427" i="1" s="1"/>
  <c r="M2324" i="1"/>
  <c r="M2528" i="1"/>
  <c r="O2528" i="1"/>
  <c r="M2631" i="1"/>
  <c r="M2942" i="1"/>
  <c r="Q9714" i="1" l="1"/>
  <c r="O9715" i="1"/>
  <c r="I9308" i="1"/>
  <c r="G9306" i="1"/>
  <c r="O9306" i="1" s="1"/>
  <c r="M9306" i="1"/>
  <c r="I9102" i="1"/>
  <c r="M9101" i="1"/>
  <c r="G9101" i="1"/>
  <c r="O9101" i="1" s="1"/>
  <c r="Q9101" i="1" s="1"/>
  <c r="Q6121" i="1"/>
  <c r="O6122" i="1"/>
  <c r="I6021" i="1"/>
  <c r="G6019" i="1"/>
  <c r="O6019" i="1" s="1"/>
  <c r="M6019" i="1"/>
  <c r="I9513" i="1"/>
  <c r="I9515" i="1"/>
  <c r="G9512" i="1"/>
  <c r="O9512" i="1" s="1"/>
  <c r="Q9512" i="1" s="1"/>
  <c r="M9512" i="1"/>
  <c r="Q5815" i="1"/>
  <c r="O5816" i="1"/>
  <c r="G9100" i="1"/>
  <c r="O9100" i="1" s="1"/>
  <c r="Q9100" i="1" s="1"/>
  <c r="M9100" i="1"/>
  <c r="I5919" i="1"/>
  <c r="G5917" i="1"/>
  <c r="O5917" i="1" s="1"/>
  <c r="M5917" i="1"/>
  <c r="Q6325" i="1"/>
  <c r="O6326" i="1"/>
  <c r="Q9204" i="1"/>
  <c r="O9205" i="1"/>
  <c r="Q6223" i="1"/>
  <c r="O6224" i="1"/>
  <c r="I5820" i="1"/>
  <c r="I5818" i="1"/>
  <c r="G5817" i="1"/>
  <c r="O5817" i="1" s="1"/>
  <c r="Q5817" i="1" s="1"/>
  <c r="M5817" i="1"/>
  <c r="Q9612" i="1"/>
  <c r="O9613" i="1"/>
  <c r="I6126" i="1"/>
  <c r="I6124" i="1"/>
  <c r="M6123" i="1"/>
  <c r="G6123" i="1"/>
  <c r="O6123" i="1" s="1"/>
  <c r="Q6123" i="1" s="1"/>
  <c r="Q9408" i="1"/>
  <c r="O9409" i="1"/>
  <c r="I6330" i="1"/>
  <c r="I6328" i="1"/>
  <c r="G6327" i="1"/>
  <c r="O6327" i="1" s="1"/>
  <c r="Q6327" i="1" s="1"/>
  <c r="M6327" i="1"/>
  <c r="I9209" i="1"/>
  <c r="I9207" i="1"/>
  <c r="M9206" i="1"/>
  <c r="G9206" i="1"/>
  <c r="O9206" i="1" s="1"/>
  <c r="Q9206" i="1" s="1"/>
  <c r="I6226" i="1"/>
  <c r="I6228" i="1"/>
  <c r="M6225" i="1"/>
  <c r="G6225" i="1"/>
  <c r="O6225" i="1" s="1"/>
  <c r="Q6225" i="1" s="1"/>
  <c r="I9617" i="1"/>
  <c r="I9615" i="1"/>
  <c r="M9614" i="1"/>
  <c r="G9614" i="1"/>
  <c r="O9614" i="1" s="1"/>
  <c r="Q9614" i="1" s="1"/>
  <c r="I9411" i="1"/>
  <c r="I9413" i="1"/>
  <c r="G9410" i="1"/>
  <c r="O9410" i="1" s="1"/>
  <c r="Q9410" i="1" s="1"/>
  <c r="M9410" i="1"/>
  <c r="I9000" i="1"/>
  <c r="M8998" i="1"/>
  <c r="G8998" i="1"/>
  <c r="O8998" i="1" s="1"/>
  <c r="Q9510" i="1"/>
  <c r="O9511" i="1"/>
  <c r="I5611" i="1"/>
  <c r="M5609" i="1"/>
  <c r="G5609" i="1"/>
  <c r="O5609" i="1" s="1"/>
  <c r="M5711" i="1"/>
  <c r="G5711" i="1"/>
  <c r="O5711" i="1" s="1"/>
  <c r="Q5711" i="1" s="1"/>
  <c r="I9719" i="1"/>
  <c r="I9717" i="1"/>
  <c r="M9716" i="1"/>
  <c r="G9716" i="1"/>
  <c r="O9716" i="1" s="1"/>
  <c r="Q9716" i="1" s="1"/>
  <c r="M5712" i="1"/>
  <c r="G5712" i="1"/>
  <c r="O5712" i="1" s="1"/>
  <c r="Q5712" i="1" s="1"/>
  <c r="I5713" i="1"/>
  <c r="Q2324" i="1"/>
  <c r="Q2528" i="1"/>
  <c r="Q2939" i="1"/>
  <c r="I2841" i="1"/>
  <c r="G2841" i="1" s="1"/>
  <c r="O2841" i="1" s="1"/>
  <c r="Q2841" i="1" s="1"/>
  <c r="G2838" i="1"/>
  <c r="O2838" i="1" s="1"/>
  <c r="Q2838" i="1" s="1"/>
  <c r="I2842" i="1"/>
  <c r="M2842" i="1" s="1"/>
  <c r="G2840" i="1"/>
  <c r="O2840" i="1" s="1"/>
  <c r="Q2840" i="1" s="1"/>
  <c r="I2327" i="1"/>
  <c r="G2325" i="1"/>
  <c r="I2739" i="1"/>
  <c r="G2739" i="1" s="1"/>
  <c r="O2739" i="1" s="1"/>
  <c r="Q2739" i="1" s="1"/>
  <c r="G2736" i="1"/>
  <c r="O2736" i="1" s="1"/>
  <c r="Q2736" i="1" s="1"/>
  <c r="M2840" i="1"/>
  <c r="G2531" i="1"/>
  <c r="I2532" i="1"/>
  <c r="I2534" i="1"/>
  <c r="I2434" i="1"/>
  <c r="G2432" i="1"/>
  <c r="I2943" i="1"/>
  <c r="G2943" i="1" s="1"/>
  <c r="O2943" i="1" s="1"/>
  <c r="Q2943" i="1" s="1"/>
  <c r="G2940" i="1"/>
  <c r="O2940" i="1" s="1"/>
  <c r="Q2940" i="1" s="1"/>
  <c r="I2433" i="1"/>
  <c r="G2433" i="1" s="1"/>
  <c r="G2430" i="1"/>
  <c r="I2226" i="1"/>
  <c r="I2224" i="1"/>
  <c r="G2223" i="1"/>
  <c r="O2223" i="1" s="1"/>
  <c r="Q2223" i="1" s="1"/>
  <c r="M2223" i="1"/>
  <c r="I2740" i="1"/>
  <c r="G2738" i="1"/>
  <c r="O2738" i="1" s="1"/>
  <c r="I2944" i="1"/>
  <c r="M2944" i="1" s="1"/>
  <c r="G2942" i="1"/>
  <c r="O2942" i="1" s="1"/>
  <c r="G2633" i="1"/>
  <c r="O2633" i="1" s="1"/>
  <c r="Q2633" i="1" s="1"/>
  <c r="I2636" i="1"/>
  <c r="I2634" i="1"/>
  <c r="I2115" i="1"/>
  <c r="G2115" i="1" s="1"/>
  <c r="I2116" i="1"/>
  <c r="G2116" i="1" s="1"/>
  <c r="M2114" i="1"/>
  <c r="O2114" i="1"/>
  <c r="Q2114" i="1" s="1"/>
  <c r="O2632" i="1"/>
  <c r="M2529" i="1"/>
  <c r="O2529" i="1"/>
  <c r="O2428" i="1"/>
  <c r="O2325" i="1"/>
  <c r="M2325" i="1"/>
  <c r="M2633" i="1"/>
  <c r="O2429" i="1"/>
  <c r="Q2429" i="1" s="1"/>
  <c r="M2429" i="1"/>
  <c r="O2839" i="1" l="1"/>
  <c r="I9720" i="1"/>
  <c r="M9717" i="1"/>
  <c r="G9717" i="1"/>
  <c r="O9717" i="1" s="1"/>
  <c r="I9721" i="1"/>
  <c r="G9719" i="1"/>
  <c r="O9719" i="1" s="1"/>
  <c r="M9719" i="1"/>
  <c r="Q8998" i="1"/>
  <c r="O8999" i="1"/>
  <c r="I9618" i="1"/>
  <c r="M9615" i="1"/>
  <c r="G9615" i="1"/>
  <c r="O9615" i="1" s="1"/>
  <c r="I9210" i="1"/>
  <c r="M9207" i="1"/>
  <c r="G9207" i="1"/>
  <c r="O9207" i="1" s="1"/>
  <c r="I5821" i="1"/>
  <c r="G5818" i="1"/>
  <c r="O5818" i="1" s="1"/>
  <c r="M5818" i="1"/>
  <c r="I5715" i="1"/>
  <c r="G5713" i="1"/>
  <c r="O5713" i="1" s="1"/>
  <c r="M5713" i="1"/>
  <c r="I9003" i="1"/>
  <c r="I9001" i="1"/>
  <c r="G9000" i="1"/>
  <c r="O9000" i="1" s="1"/>
  <c r="Q9000" i="1" s="1"/>
  <c r="M9000" i="1"/>
  <c r="I9619" i="1"/>
  <c r="M9617" i="1"/>
  <c r="G9617" i="1"/>
  <c r="O9617" i="1" s="1"/>
  <c r="I9211" i="1"/>
  <c r="G9209" i="1"/>
  <c r="O9209" i="1" s="1"/>
  <c r="M9209" i="1"/>
  <c r="I5822" i="1"/>
  <c r="M5820" i="1"/>
  <c r="G5820" i="1"/>
  <c r="O5820" i="1" s="1"/>
  <c r="Q5820" i="1" s="1"/>
  <c r="Q5917" i="1"/>
  <c r="O5918" i="1"/>
  <c r="I9517" i="1"/>
  <c r="M9515" i="1"/>
  <c r="G9515" i="1"/>
  <c r="O9515" i="1" s="1"/>
  <c r="I6127" i="1"/>
  <c r="M6124" i="1"/>
  <c r="G6124" i="1"/>
  <c r="O6124" i="1" s="1"/>
  <c r="I5920" i="1"/>
  <c r="I5922" i="1"/>
  <c r="M5919" i="1"/>
  <c r="G5919" i="1"/>
  <c r="O5919" i="1" s="1"/>
  <c r="Q5919" i="1" s="1"/>
  <c r="I9516" i="1"/>
  <c r="M9513" i="1"/>
  <c r="G9513" i="1"/>
  <c r="O9513" i="1" s="1"/>
  <c r="I9104" i="1"/>
  <c r="M9102" i="1"/>
  <c r="G9102" i="1"/>
  <c r="O9102" i="1" s="1"/>
  <c r="I6128" i="1"/>
  <c r="G6126" i="1"/>
  <c r="O6126" i="1" s="1"/>
  <c r="M6126" i="1"/>
  <c r="Q5609" i="1"/>
  <c r="O5610" i="1"/>
  <c r="I5614" i="1"/>
  <c r="I5612" i="1"/>
  <c r="M5611" i="1"/>
  <c r="G5611" i="1"/>
  <c r="O5611" i="1" s="1"/>
  <c r="Q5611" i="1" s="1"/>
  <c r="I9415" i="1"/>
  <c r="G9413" i="1"/>
  <c r="O9413" i="1" s="1"/>
  <c r="M9413" i="1"/>
  <c r="I6230" i="1"/>
  <c r="M6228" i="1"/>
  <c r="G6228" i="1"/>
  <c r="O6228" i="1" s="1"/>
  <c r="I6331" i="1"/>
  <c r="M6328" i="1"/>
  <c r="G6328" i="1"/>
  <c r="O6328" i="1" s="1"/>
  <c r="Q6019" i="1"/>
  <c r="O6020" i="1"/>
  <c r="Q9306" i="1"/>
  <c r="O9307" i="1"/>
  <c r="I9414" i="1"/>
  <c r="M9411" i="1"/>
  <c r="G9411" i="1"/>
  <c r="O9411" i="1" s="1"/>
  <c r="I6229" i="1"/>
  <c r="M6226" i="1"/>
  <c r="G6226" i="1"/>
  <c r="O6226" i="1" s="1"/>
  <c r="I6332" i="1"/>
  <c r="M6330" i="1"/>
  <c r="G6330" i="1"/>
  <c r="O6330" i="1" s="1"/>
  <c r="Q6330" i="1" s="1"/>
  <c r="I6024" i="1"/>
  <c r="I6022" i="1"/>
  <c r="G6021" i="1"/>
  <c r="O6021" i="1" s="1"/>
  <c r="Q6021" i="1" s="1"/>
  <c r="M6021" i="1"/>
  <c r="I9311" i="1"/>
  <c r="I9309" i="1"/>
  <c r="M9308" i="1"/>
  <c r="G9308" i="1"/>
  <c r="O9308" i="1" s="1"/>
  <c r="Q9308" i="1" s="1"/>
  <c r="M2841" i="1"/>
  <c r="Q2738" i="1"/>
  <c r="Q2325" i="1"/>
  <c r="Q2529" i="1"/>
  <c r="Q2942" i="1"/>
  <c r="M2739" i="1"/>
  <c r="M2943" i="1"/>
  <c r="I2741" i="1"/>
  <c r="M2741" i="1" s="1"/>
  <c r="G2740" i="1"/>
  <c r="O2740" i="1" s="1"/>
  <c r="Q2740" i="1" s="1"/>
  <c r="O2941" i="1"/>
  <c r="I2637" i="1"/>
  <c r="G2637" i="1" s="1"/>
  <c r="G2634" i="1"/>
  <c r="O2634" i="1" s="1"/>
  <c r="Q2634" i="1" s="1"/>
  <c r="I2435" i="1"/>
  <c r="G2434" i="1"/>
  <c r="G2327" i="1"/>
  <c r="O2327" i="1" s="1"/>
  <c r="Q2327" i="1" s="1"/>
  <c r="I2328" i="1"/>
  <c r="I2330" i="1"/>
  <c r="O2737" i="1"/>
  <c r="I2638" i="1"/>
  <c r="G2636" i="1"/>
  <c r="O2636" i="1" s="1"/>
  <c r="Q2636" i="1" s="1"/>
  <c r="I2227" i="1"/>
  <c r="G2224" i="1"/>
  <c r="O2224" i="1" s="1"/>
  <c r="M2224" i="1"/>
  <c r="I2536" i="1"/>
  <c r="G2534" i="1"/>
  <c r="M2740" i="1"/>
  <c r="I2228" i="1"/>
  <c r="G2226" i="1"/>
  <c r="O2226" i="1" s="1"/>
  <c r="Q2226" i="1" s="1"/>
  <c r="M2226" i="1"/>
  <c r="I2535" i="1"/>
  <c r="G2535" i="1" s="1"/>
  <c r="G2532" i="1"/>
  <c r="I2843" i="1"/>
  <c r="M2843" i="1" s="1"/>
  <c r="G2842" i="1"/>
  <c r="O2842" i="1" s="1"/>
  <c r="Q2842" i="1" s="1"/>
  <c r="I2945" i="1"/>
  <c r="M2945" i="1" s="1"/>
  <c r="G2944" i="1"/>
  <c r="O2944" i="1" s="1"/>
  <c r="Q2944" i="1" s="1"/>
  <c r="O2116" i="1"/>
  <c r="Q2116" i="1" s="1"/>
  <c r="I2117" i="1"/>
  <c r="G2117" i="1" s="1"/>
  <c r="M2116" i="1"/>
  <c r="M2115" i="1"/>
  <c r="O2115" i="1"/>
  <c r="Q2115" i="1" s="1"/>
  <c r="M2636" i="1"/>
  <c r="O2326" i="1"/>
  <c r="M2432" i="1"/>
  <c r="O2432" i="1"/>
  <c r="Q2432" i="1" s="1"/>
  <c r="O2530" i="1"/>
  <c r="M2634" i="1"/>
  <c r="M2430" i="1"/>
  <c r="O2430" i="1"/>
  <c r="Q2430" i="1" s="1"/>
  <c r="M2327" i="1"/>
  <c r="O2531" i="1"/>
  <c r="M2531" i="1"/>
  <c r="I6026" i="1" l="1"/>
  <c r="M6024" i="1"/>
  <c r="G6024" i="1"/>
  <c r="O6024" i="1" s="1"/>
  <c r="Q9413" i="1"/>
  <c r="G9414" i="1"/>
  <c r="O9414" i="1" s="1"/>
  <c r="Q9414" i="1" s="1"/>
  <c r="M9414" i="1"/>
  <c r="Q6328" i="1"/>
  <c r="O6329" i="1"/>
  <c r="I9416" i="1"/>
  <c r="G9415" i="1"/>
  <c r="O9415" i="1" s="1"/>
  <c r="Q9415" i="1" s="1"/>
  <c r="M9415" i="1"/>
  <c r="Q6126" i="1"/>
  <c r="Q9515" i="1"/>
  <c r="I9004" i="1"/>
  <c r="M9001" i="1"/>
  <c r="G9001" i="1"/>
  <c r="O9001" i="1" s="1"/>
  <c r="Q9207" i="1"/>
  <c r="O9208" i="1"/>
  <c r="I9312" i="1"/>
  <c r="G9309" i="1"/>
  <c r="O9309" i="1" s="1"/>
  <c r="M9309" i="1"/>
  <c r="I6129" i="1"/>
  <c r="G6128" i="1"/>
  <c r="O6128" i="1" s="1"/>
  <c r="Q6128" i="1" s="1"/>
  <c r="M6128" i="1"/>
  <c r="Q9209" i="1"/>
  <c r="I9005" i="1"/>
  <c r="G9003" i="1"/>
  <c r="O9003" i="1" s="1"/>
  <c r="M9003" i="1"/>
  <c r="Q9719" i="1"/>
  <c r="I9313" i="1"/>
  <c r="M9311" i="1"/>
  <c r="G9311" i="1"/>
  <c r="O9311" i="1" s="1"/>
  <c r="I6333" i="1"/>
  <c r="G6332" i="1"/>
  <c r="O6332" i="1" s="1"/>
  <c r="Q6332" i="1" s="1"/>
  <c r="M6332" i="1"/>
  <c r="G6331" i="1"/>
  <c r="O6331" i="1" s="1"/>
  <c r="Q6331" i="1" s="1"/>
  <c r="M6331" i="1"/>
  <c r="Q9102" i="1"/>
  <c r="O9103" i="1"/>
  <c r="I5924" i="1"/>
  <c r="M5922" i="1"/>
  <c r="G5922" i="1"/>
  <c r="O5922" i="1" s="1"/>
  <c r="I9518" i="1"/>
  <c r="G9517" i="1"/>
  <c r="O9517" i="1" s="1"/>
  <c r="Q9517" i="1" s="1"/>
  <c r="M9517" i="1"/>
  <c r="I9212" i="1"/>
  <c r="M9211" i="1"/>
  <c r="G9211" i="1"/>
  <c r="O9211" i="1" s="1"/>
  <c r="Q9211" i="1" s="1"/>
  <c r="G9210" i="1"/>
  <c r="O9210" i="1" s="1"/>
  <c r="Q9210" i="1" s="1"/>
  <c r="M9210" i="1"/>
  <c r="I9722" i="1"/>
  <c r="G9721" i="1"/>
  <c r="O9721" i="1" s="1"/>
  <c r="Q9721" i="1" s="1"/>
  <c r="M9721" i="1"/>
  <c r="Q6226" i="1"/>
  <c r="O6227" i="1"/>
  <c r="I5923" i="1"/>
  <c r="G5920" i="1"/>
  <c r="O5920" i="1" s="1"/>
  <c r="M5920" i="1"/>
  <c r="Q9617" i="1"/>
  <c r="Q5713" i="1"/>
  <c r="O5714" i="1"/>
  <c r="Q9615" i="1"/>
  <c r="O9616" i="1"/>
  <c r="Q6228" i="1"/>
  <c r="I9107" i="1"/>
  <c r="I9105" i="1"/>
  <c r="G9104" i="1"/>
  <c r="O9104" i="1" s="1"/>
  <c r="Q9104" i="1" s="1"/>
  <c r="M9104" i="1"/>
  <c r="I5615" i="1"/>
  <c r="M5612" i="1"/>
  <c r="G5612" i="1"/>
  <c r="O5612" i="1" s="1"/>
  <c r="I5616" i="1"/>
  <c r="M5614" i="1"/>
  <c r="G5614" i="1"/>
  <c r="O5614" i="1" s="1"/>
  <c r="I5718" i="1"/>
  <c r="I5716" i="1"/>
  <c r="M5715" i="1"/>
  <c r="G5715" i="1"/>
  <c r="O5715" i="1" s="1"/>
  <c r="Q5715" i="1" s="1"/>
  <c r="I6025" i="1"/>
  <c r="M6022" i="1"/>
  <c r="G6022" i="1"/>
  <c r="O6022" i="1" s="1"/>
  <c r="M6229" i="1"/>
  <c r="G6229" i="1"/>
  <c r="O6229" i="1" s="1"/>
  <c r="Q6229" i="1" s="1"/>
  <c r="I6231" i="1"/>
  <c r="G6230" i="1"/>
  <c r="O6230" i="1" s="1"/>
  <c r="Q6230" i="1" s="1"/>
  <c r="M6230" i="1"/>
  <c r="Q9513" i="1"/>
  <c r="O9514" i="1"/>
  <c r="Q6124" i="1"/>
  <c r="O6125" i="1"/>
  <c r="I9620" i="1"/>
  <c r="M9619" i="1"/>
  <c r="G9619" i="1"/>
  <c r="O9619" i="1" s="1"/>
  <c r="Q9619" i="1" s="1"/>
  <c r="M9618" i="1"/>
  <c r="G9618" i="1"/>
  <c r="O9618" i="1" s="1"/>
  <c r="Q9618" i="1" s="1"/>
  <c r="Q5818" i="1"/>
  <c r="O5819" i="1"/>
  <c r="Q9717" i="1"/>
  <c r="O9718" i="1"/>
  <c r="O9412" i="1"/>
  <c r="Q9411" i="1"/>
  <c r="G9516" i="1"/>
  <c r="O9516" i="1" s="1"/>
  <c r="Q9516" i="1" s="1"/>
  <c r="M9516" i="1"/>
  <c r="M6127" i="1"/>
  <c r="G6127" i="1"/>
  <c r="O6127" i="1" s="1"/>
  <c r="Q6127" i="1" s="1"/>
  <c r="I5823" i="1"/>
  <c r="G5822" i="1"/>
  <c r="O5822" i="1" s="1"/>
  <c r="Q5822" i="1" s="1"/>
  <c r="M5822" i="1"/>
  <c r="G5821" i="1"/>
  <c r="O5821" i="1" s="1"/>
  <c r="Q5821" i="1" s="1"/>
  <c r="M5821" i="1"/>
  <c r="M9720" i="1"/>
  <c r="G9720" i="1"/>
  <c r="O9720" i="1" s="1"/>
  <c r="Q9720" i="1" s="1"/>
  <c r="Q2531" i="1"/>
  <c r="Q2224" i="1"/>
  <c r="O2225" i="1"/>
  <c r="G2227" i="1"/>
  <c r="O2227" i="1" s="1"/>
  <c r="Q2227" i="1" s="1"/>
  <c r="M2227" i="1"/>
  <c r="I2436" i="1"/>
  <c r="G2435" i="1"/>
  <c r="I2229" i="1"/>
  <c r="G2228" i="1"/>
  <c r="O2228" i="1" s="1"/>
  <c r="Q2228" i="1" s="1"/>
  <c r="M2228" i="1"/>
  <c r="I2639" i="1"/>
  <c r="G2638" i="1"/>
  <c r="O2638" i="1" s="1"/>
  <c r="Q2638" i="1" s="1"/>
  <c r="I2946" i="1"/>
  <c r="M2946" i="1" s="1"/>
  <c r="G2945" i="1"/>
  <c r="O2945" i="1" s="1"/>
  <c r="Q2945" i="1" s="1"/>
  <c r="I2332" i="1"/>
  <c r="G2330" i="1"/>
  <c r="I2844" i="1"/>
  <c r="M2844" i="1" s="1"/>
  <c r="G2843" i="1"/>
  <c r="O2843" i="1" s="1"/>
  <c r="Q2843" i="1" s="1"/>
  <c r="I2537" i="1"/>
  <c r="G2536" i="1"/>
  <c r="I2331" i="1"/>
  <c r="G2331" i="1" s="1"/>
  <c r="G2328" i="1"/>
  <c r="O2328" i="1" s="1"/>
  <c r="Q2328" i="1" s="1"/>
  <c r="I2742" i="1"/>
  <c r="G2741" i="1"/>
  <c r="O2741" i="1" s="1"/>
  <c r="Q2741" i="1" s="1"/>
  <c r="M2117" i="1"/>
  <c r="O2117" i="1"/>
  <c r="I2119" i="1"/>
  <c r="G2119" i="1" s="1"/>
  <c r="O2433" i="1"/>
  <c r="Q2433" i="1" s="1"/>
  <c r="M2433" i="1"/>
  <c r="O2637" i="1"/>
  <c r="Q2637" i="1" s="1"/>
  <c r="M2637" i="1"/>
  <c r="O2534" i="1"/>
  <c r="Q2534" i="1" s="1"/>
  <c r="M2534" i="1"/>
  <c r="O2431" i="1"/>
  <c r="O2434" i="1"/>
  <c r="M2434" i="1"/>
  <c r="M2532" i="1"/>
  <c r="O2532" i="1"/>
  <c r="M2330" i="1"/>
  <c r="O2330" i="1"/>
  <c r="Q2330" i="1" s="1"/>
  <c r="M2328" i="1"/>
  <c r="O2635" i="1"/>
  <c r="M2638" i="1"/>
  <c r="M6025" i="1" l="1"/>
  <c r="G6025" i="1"/>
  <c r="O6025" i="1" s="1"/>
  <c r="Q6025" i="1" s="1"/>
  <c r="Q5922" i="1"/>
  <c r="G5615" i="1"/>
  <c r="O5615" i="1" s="1"/>
  <c r="Q5615" i="1" s="1"/>
  <c r="M5615" i="1"/>
  <c r="Q5920" i="1"/>
  <c r="O5921" i="1"/>
  <c r="Q9003" i="1"/>
  <c r="Q9309" i="1"/>
  <c r="O9310" i="1"/>
  <c r="I5824" i="1"/>
  <c r="M5823" i="1"/>
  <c r="G5823" i="1"/>
  <c r="O5823" i="1" s="1"/>
  <c r="Q5823" i="1" s="1"/>
  <c r="I9621" i="1"/>
  <c r="G9620" i="1"/>
  <c r="O9620" i="1" s="1"/>
  <c r="M9620" i="1"/>
  <c r="I6232" i="1"/>
  <c r="M6231" i="1"/>
  <c r="G6231" i="1"/>
  <c r="O6231" i="1" s="1"/>
  <c r="Q6231" i="1" s="1"/>
  <c r="I5719" i="1"/>
  <c r="M5716" i="1"/>
  <c r="G5716" i="1"/>
  <c r="O5716" i="1" s="1"/>
  <c r="G5923" i="1"/>
  <c r="O5923" i="1" s="1"/>
  <c r="Q5923" i="1" s="1"/>
  <c r="M5923" i="1"/>
  <c r="I5925" i="1"/>
  <c r="G5924" i="1"/>
  <c r="O5924" i="1" s="1"/>
  <c r="Q5924" i="1" s="1"/>
  <c r="M5924" i="1"/>
  <c r="I6334" i="1"/>
  <c r="G6333" i="1"/>
  <c r="O6333" i="1" s="1"/>
  <c r="Q6333" i="1" s="1"/>
  <c r="M6333" i="1"/>
  <c r="I9006" i="1"/>
  <c r="M9005" i="1"/>
  <c r="G9005" i="1"/>
  <c r="O9005" i="1" s="1"/>
  <c r="Q9005" i="1" s="1"/>
  <c r="G9312" i="1"/>
  <c r="O9312" i="1" s="1"/>
  <c r="Q9312" i="1" s="1"/>
  <c r="M9312" i="1"/>
  <c r="Q9311" i="1"/>
  <c r="I5720" i="1"/>
  <c r="G5718" i="1"/>
  <c r="O5718" i="1" s="1"/>
  <c r="M5718" i="1"/>
  <c r="Q5614" i="1"/>
  <c r="I9108" i="1"/>
  <c r="G9105" i="1"/>
  <c r="O9105" i="1" s="1"/>
  <c r="M9105" i="1"/>
  <c r="I9213" i="1"/>
  <c r="G9212" i="1"/>
  <c r="O9212" i="1" s="1"/>
  <c r="Q9212" i="1" s="1"/>
  <c r="M9212" i="1"/>
  <c r="Q6022" i="1"/>
  <c r="O6023" i="1"/>
  <c r="I9109" i="1"/>
  <c r="M9107" i="1"/>
  <c r="G9107" i="1"/>
  <c r="O9107" i="1" s="1"/>
  <c r="I9314" i="1"/>
  <c r="M9313" i="1"/>
  <c r="G9313" i="1"/>
  <c r="O9313" i="1" s="1"/>
  <c r="Q9313" i="1" s="1"/>
  <c r="Q9001" i="1"/>
  <c r="O9002" i="1"/>
  <c r="Q6024" i="1"/>
  <c r="I5617" i="1"/>
  <c r="G5616" i="1"/>
  <c r="O5616" i="1" s="1"/>
  <c r="Q5616" i="1" s="1"/>
  <c r="M5616" i="1"/>
  <c r="I9417" i="1"/>
  <c r="M9416" i="1"/>
  <c r="G9416" i="1"/>
  <c r="O9416" i="1" s="1"/>
  <c r="Q5612" i="1"/>
  <c r="O5613" i="1"/>
  <c r="I9723" i="1"/>
  <c r="G9722" i="1"/>
  <c r="O9722" i="1" s="1"/>
  <c r="Q9722" i="1" s="1"/>
  <c r="M9722" i="1"/>
  <c r="I9519" i="1"/>
  <c r="G9518" i="1"/>
  <c r="O9518" i="1" s="1"/>
  <c r="Q9518" i="1" s="1"/>
  <c r="M9518" i="1"/>
  <c r="I6130" i="1"/>
  <c r="M6129" i="1"/>
  <c r="G6129" i="1"/>
  <c r="O6129" i="1" s="1"/>
  <c r="Q6129" i="1" s="1"/>
  <c r="G9004" i="1"/>
  <c r="O9004" i="1" s="1"/>
  <c r="Q9004" i="1" s="1"/>
  <c r="M9004" i="1"/>
  <c r="I6027" i="1"/>
  <c r="M6026" i="1"/>
  <c r="G6026" i="1"/>
  <c r="O6026" i="1" s="1"/>
  <c r="Q6026" i="1" s="1"/>
  <c r="Q2434" i="1"/>
  <c r="Q2532" i="1"/>
  <c r="I2845" i="1"/>
  <c r="G2844" i="1"/>
  <c r="O2844" i="1" s="1"/>
  <c r="Q2844" i="1" s="1"/>
  <c r="I2230" i="1"/>
  <c r="G2229" i="1"/>
  <c r="O2229" i="1" s="1"/>
  <c r="Q2229" i="1" s="1"/>
  <c r="M2229" i="1"/>
  <c r="I2743" i="1"/>
  <c r="M2743" i="1" s="1"/>
  <c r="G2742" i="1"/>
  <c r="O2742" i="1" s="1"/>
  <c r="Q2742" i="1" s="1"/>
  <c r="I2333" i="1"/>
  <c r="G2332" i="1"/>
  <c r="O2332" i="1" s="1"/>
  <c r="Q2332" i="1" s="1"/>
  <c r="I2437" i="1"/>
  <c r="G2436" i="1"/>
  <c r="I2947" i="1"/>
  <c r="M2947" i="1" s="1"/>
  <c r="G2946" i="1"/>
  <c r="O2946" i="1" s="1"/>
  <c r="Q2946" i="1" s="1"/>
  <c r="M2742" i="1"/>
  <c r="I2538" i="1"/>
  <c r="G2537" i="1"/>
  <c r="I2640" i="1"/>
  <c r="G2639" i="1"/>
  <c r="O2639" i="1" s="1"/>
  <c r="O2119" i="1"/>
  <c r="Q2119" i="1" s="1"/>
  <c r="M2119" i="1"/>
  <c r="I2120" i="1"/>
  <c r="G2120" i="1" s="1"/>
  <c r="I2122" i="1"/>
  <c r="G2122" i="1" s="1"/>
  <c r="Q2117" i="1"/>
  <c r="O2118" i="1"/>
  <c r="O2331" i="1"/>
  <c r="Q2331" i="1" s="1"/>
  <c r="M2331" i="1"/>
  <c r="M2639" i="1"/>
  <c r="O2329" i="1"/>
  <c r="O2533" i="1"/>
  <c r="M2435" i="1"/>
  <c r="O2435" i="1"/>
  <c r="Q2435" i="1" s="1"/>
  <c r="M2332" i="1"/>
  <c r="O2535" i="1"/>
  <c r="M2535" i="1"/>
  <c r="M2536" i="1"/>
  <c r="O2536" i="1"/>
  <c r="Q2536" i="1" s="1"/>
  <c r="M2845" i="1"/>
  <c r="I9418" i="1" l="1"/>
  <c r="M9417" i="1"/>
  <c r="G9417" i="1"/>
  <c r="O9417" i="1" s="1"/>
  <c r="Q9417" i="1" s="1"/>
  <c r="I5721" i="1"/>
  <c r="G5720" i="1"/>
  <c r="O5720" i="1" s="1"/>
  <c r="Q5720" i="1" s="1"/>
  <c r="M5720" i="1"/>
  <c r="I9520" i="1"/>
  <c r="M9519" i="1"/>
  <c r="G9519" i="1"/>
  <c r="O9519" i="1" s="1"/>
  <c r="Q9519" i="1" s="1"/>
  <c r="G9108" i="1"/>
  <c r="O9108" i="1" s="1"/>
  <c r="Q9108" i="1" s="1"/>
  <c r="M9108" i="1"/>
  <c r="I5926" i="1"/>
  <c r="G5925" i="1"/>
  <c r="O5925" i="1" s="1"/>
  <c r="Q5925" i="1" s="1"/>
  <c r="M5925" i="1"/>
  <c r="I6233" i="1"/>
  <c r="M6232" i="1"/>
  <c r="G6232" i="1"/>
  <c r="O6232" i="1" s="1"/>
  <c r="Q6232" i="1" s="1"/>
  <c r="I9724" i="1"/>
  <c r="M9723" i="1"/>
  <c r="G9723" i="1"/>
  <c r="O9723" i="1" s="1"/>
  <c r="Q9723" i="1" s="1"/>
  <c r="I9315" i="1"/>
  <c r="M9314" i="1"/>
  <c r="G9314" i="1"/>
  <c r="O9314" i="1" s="1"/>
  <c r="Q9314" i="1" s="1"/>
  <c r="I9007" i="1"/>
  <c r="G9006" i="1"/>
  <c r="O9006" i="1" s="1"/>
  <c r="Q9006" i="1" s="1"/>
  <c r="M9006" i="1"/>
  <c r="Q9620" i="1"/>
  <c r="I6131" i="1"/>
  <c r="M6130" i="1"/>
  <c r="G6130" i="1"/>
  <c r="O6130" i="1" s="1"/>
  <c r="Q6130" i="1" s="1"/>
  <c r="I5618" i="1"/>
  <c r="M5617" i="1"/>
  <c r="G5617" i="1"/>
  <c r="O5617" i="1" s="1"/>
  <c r="Q5617" i="1" s="1"/>
  <c r="Q9107" i="1"/>
  <c r="I9214" i="1"/>
  <c r="G9213" i="1"/>
  <c r="O9213" i="1" s="1"/>
  <c r="Q9213" i="1" s="1"/>
  <c r="M9213" i="1"/>
  <c r="Q5716" i="1"/>
  <c r="O5717" i="1"/>
  <c r="I9622" i="1"/>
  <c r="M9621" i="1"/>
  <c r="G9621" i="1"/>
  <c r="O9621" i="1" s="1"/>
  <c r="Q9621" i="1" s="1"/>
  <c r="Q5718" i="1"/>
  <c r="I6028" i="1"/>
  <c r="M6027" i="1"/>
  <c r="G6027" i="1"/>
  <c r="O6027" i="1" s="1"/>
  <c r="Q6027" i="1" s="1"/>
  <c r="Q9416" i="1"/>
  <c r="I9110" i="1"/>
  <c r="G9109" i="1"/>
  <c r="O9109" i="1" s="1"/>
  <c r="Q9109" i="1" s="1"/>
  <c r="M9109" i="1"/>
  <c r="Q9105" i="1"/>
  <c r="O9106" i="1"/>
  <c r="I6335" i="1"/>
  <c r="G6334" i="1"/>
  <c r="O6334" i="1" s="1"/>
  <c r="Q6334" i="1" s="1"/>
  <c r="M6334" i="1"/>
  <c r="G5719" i="1"/>
  <c r="O5719" i="1" s="1"/>
  <c r="Q5719" i="1" s="1"/>
  <c r="M5719" i="1"/>
  <c r="I5825" i="1"/>
  <c r="M5824" i="1"/>
  <c r="G5824" i="1"/>
  <c r="O5824" i="1" s="1"/>
  <c r="Q5824" i="1" s="1"/>
  <c r="Q2639" i="1"/>
  <c r="Q2535" i="1"/>
  <c r="I2334" i="1"/>
  <c r="G2333" i="1"/>
  <c r="O2333" i="1" s="1"/>
  <c r="I2539" i="1"/>
  <c r="G2538" i="1"/>
  <c r="I2744" i="1"/>
  <c r="G2743" i="1"/>
  <c r="O2743" i="1" s="1"/>
  <c r="Q2743" i="1" s="1"/>
  <c r="I2948" i="1"/>
  <c r="G2947" i="1"/>
  <c r="O2947" i="1" s="1"/>
  <c r="I2231" i="1"/>
  <c r="G2230" i="1"/>
  <c r="O2230" i="1" s="1"/>
  <c r="Q2230" i="1" s="1"/>
  <c r="M2230" i="1"/>
  <c r="G2437" i="1"/>
  <c r="I2438" i="1"/>
  <c r="I2641" i="1"/>
  <c r="G2640" i="1"/>
  <c r="O2640" i="1" s="1"/>
  <c r="I2846" i="1"/>
  <c r="M2846" i="1" s="1"/>
  <c r="G2845" i="1"/>
  <c r="O2845" i="1" s="1"/>
  <c r="Q2845" i="1" s="1"/>
  <c r="I2124" i="1"/>
  <c r="G2124" i="1" s="1"/>
  <c r="M2122" i="1"/>
  <c r="O2122" i="1"/>
  <c r="Q2122" i="1" s="1"/>
  <c r="O2120" i="1"/>
  <c r="I2123" i="1"/>
  <c r="G2123" i="1" s="1"/>
  <c r="M2120" i="1"/>
  <c r="M2333" i="1"/>
  <c r="O2436" i="1"/>
  <c r="Q2436" i="1" s="1"/>
  <c r="M2436" i="1"/>
  <c r="O2537" i="1"/>
  <c r="Q2537" i="1" s="1"/>
  <c r="M2537" i="1"/>
  <c r="M2640" i="1"/>
  <c r="G6335" i="1" l="1"/>
  <c r="O6335" i="1" s="1"/>
  <c r="Q6335" i="1" s="1"/>
  <c r="M6335" i="1"/>
  <c r="I6336" i="1"/>
  <c r="G9214" i="1"/>
  <c r="O9214" i="1" s="1"/>
  <c r="Q9214" i="1" s="1"/>
  <c r="M9214" i="1"/>
  <c r="I9215" i="1"/>
  <c r="I9008" i="1"/>
  <c r="M9007" i="1"/>
  <c r="G9007" i="1"/>
  <c r="O9007" i="1" s="1"/>
  <c r="Q9007" i="1" s="1"/>
  <c r="I5927" i="1"/>
  <c r="G5926" i="1"/>
  <c r="O5926" i="1" s="1"/>
  <c r="M5926" i="1"/>
  <c r="M6131" i="1"/>
  <c r="I6132" i="1"/>
  <c r="G6131" i="1"/>
  <c r="O6131" i="1" s="1"/>
  <c r="I9725" i="1"/>
  <c r="G9724" i="1"/>
  <c r="O9724" i="1" s="1"/>
  <c r="Q9724" i="1" s="1"/>
  <c r="M9724" i="1"/>
  <c r="G5825" i="1"/>
  <c r="O5825" i="1" s="1"/>
  <c r="Q5825" i="1" s="1"/>
  <c r="M5825" i="1"/>
  <c r="I5826" i="1"/>
  <c r="I6029" i="1"/>
  <c r="G6028" i="1"/>
  <c r="O6028" i="1" s="1"/>
  <c r="Q6028" i="1" s="1"/>
  <c r="M6028" i="1"/>
  <c r="M9622" i="1"/>
  <c r="G9622" i="1"/>
  <c r="O9622" i="1" s="1"/>
  <c r="Q9622" i="1" s="1"/>
  <c r="I9623" i="1"/>
  <c r="I5722" i="1"/>
  <c r="M5721" i="1"/>
  <c r="G5721" i="1"/>
  <c r="O5721" i="1" s="1"/>
  <c r="I9316" i="1"/>
  <c r="G9315" i="1"/>
  <c r="O9315" i="1" s="1"/>
  <c r="Q9315" i="1" s="1"/>
  <c r="M9315" i="1"/>
  <c r="I9111" i="1"/>
  <c r="G9110" i="1"/>
  <c r="O9110" i="1" s="1"/>
  <c r="Q9110" i="1" s="1"/>
  <c r="M9110" i="1"/>
  <c r="I5619" i="1"/>
  <c r="M5618" i="1"/>
  <c r="G5618" i="1"/>
  <c r="O5618" i="1" s="1"/>
  <c r="Q5618" i="1" s="1"/>
  <c r="I6234" i="1"/>
  <c r="G6233" i="1"/>
  <c r="O6233" i="1" s="1"/>
  <c r="M6233" i="1"/>
  <c r="I9521" i="1"/>
  <c r="G9520" i="1"/>
  <c r="O9520" i="1" s="1"/>
  <c r="M9520" i="1"/>
  <c r="I9419" i="1"/>
  <c r="G9418" i="1"/>
  <c r="O9418" i="1" s="1"/>
  <c r="M9418" i="1"/>
  <c r="Q2333" i="1"/>
  <c r="Q2947" i="1"/>
  <c r="Q2640" i="1"/>
  <c r="I2847" i="1"/>
  <c r="G2846" i="1"/>
  <c r="O2846" i="1" s="1"/>
  <c r="Q2846" i="1" s="1"/>
  <c r="I2949" i="1"/>
  <c r="M2949" i="1" s="1"/>
  <c r="G2948" i="1"/>
  <c r="O2948" i="1" s="1"/>
  <c r="I2642" i="1"/>
  <c r="G2641" i="1"/>
  <c r="O2641" i="1" s="1"/>
  <c r="Q2641" i="1" s="1"/>
  <c r="I2439" i="1"/>
  <c r="G2438" i="1"/>
  <c r="I2745" i="1"/>
  <c r="M2745" i="1" s="1"/>
  <c r="G2744" i="1"/>
  <c r="O2744" i="1" s="1"/>
  <c r="Q2744" i="1" s="1"/>
  <c r="M2948" i="1"/>
  <c r="I2540" i="1"/>
  <c r="G2539" i="1"/>
  <c r="M2744" i="1"/>
  <c r="G2231" i="1"/>
  <c r="O2231" i="1" s="1"/>
  <c r="Q2231" i="1" s="1"/>
  <c r="I2232" i="1"/>
  <c r="M2231" i="1"/>
  <c r="I2335" i="1"/>
  <c r="G2334" i="1"/>
  <c r="O2334" i="1" s="1"/>
  <c r="Q2334" i="1" s="1"/>
  <c r="O2123" i="1"/>
  <c r="Q2123" i="1" s="1"/>
  <c r="M2123" i="1"/>
  <c r="Q2120" i="1"/>
  <c r="O2121" i="1"/>
  <c r="M2124" i="1"/>
  <c r="O2124" i="1"/>
  <c r="Q2124" i="1" s="1"/>
  <c r="I2125" i="1"/>
  <c r="G2125" i="1" s="1"/>
  <c r="M2641" i="1"/>
  <c r="O2538" i="1"/>
  <c r="M2538" i="1"/>
  <c r="M2334" i="1"/>
  <c r="M2437" i="1"/>
  <c r="O2437" i="1"/>
  <c r="Q2437" i="1" s="1"/>
  <c r="M2847" i="1"/>
  <c r="I9420" i="1" l="1"/>
  <c r="G9419" i="1"/>
  <c r="O9419" i="1" s="1"/>
  <c r="Q9419" i="1" s="1"/>
  <c r="M9419" i="1"/>
  <c r="I5723" i="1"/>
  <c r="M5722" i="1"/>
  <c r="G5722" i="1"/>
  <c r="O5722" i="1" s="1"/>
  <c r="Q5722" i="1" s="1"/>
  <c r="I6133" i="1"/>
  <c r="M6132" i="1"/>
  <c r="G6132" i="1"/>
  <c r="O6132" i="1" s="1"/>
  <c r="Q6132" i="1" s="1"/>
  <c r="I9009" i="1"/>
  <c r="G9008" i="1"/>
  <c r="O9008" i="1" s="1"/>
  <c r="M9008" i="1"/>
  <c r="I9624" i="1"/>
  <c r="M9623" i="1"/>
  <c r="G9623" i="1"/>
  <c r="O9623" i="1" s="1"/>
  <c r="Q9520" i="1"/>
  <c r="G5619" i="1"/>
  <c r="O5619" i="1" s="1"/>
  <c r="Q5619" i="1" s="1"/>
  <c r="M5619" i="1"/>
  <c r="I5620" i="1"/>
  <c r="I9317" i="1"/>
  <c r="G9316" i="1"/>
  <c r="O9316" i="1" s="1"/>
  <c r="Q9316" i="1" s="1"/>
  <c r="M9316" i="1"/>
  <c r="I9216" i="1"/>
  <c r="M9215" i="1"/>
  <c r="G9215" i="1"/>
  <c r="O9215" i="1" s="1"/>
  <c r="I9522" i="1"/>
  <c r="M9521" i="1"/>
  <c r="G9521" i="1"/>
  <c r="O9521" i="1" s="1"/>
  <c r="Q9521" i="1" s="1"/>
  <c r="I9726" i="1"/>
  <c r="G9725" i="1"/>
  <c r="O9725" i="1" s="1"/>
  <c r="Q9725" i="1" s="1"/>
  <c r="M9725" i="1"/>
  <c r="Q5926" i="1"/>
  <c r="I6337" i="1"/>
  <c r="G6336" i="1"/>
  <c r="O6336" i="1" s="1"/>
  <c r="Q6336" i="1" s="1"/>
  <c r="M6336" i="1"/>
  <c r="Q6233" i="1"/>
  <c r="Q5721" i="1"/>
  <c r="M6029" i="1"/>
  <c r="I6030" i="1"/>
  <c r="G6029" i="1"/>
  <c r="O6029" i="1" s="1"/>
  <c r="G5927" i="1"/>
  <c r="O5927" i="1" s="1"/>
  <c r="Q5927" i="1" s="1"/>
  <c r="M5927" i="1"/>
  <c r="I5928" i="1"/>
  <c r="Q9418" i="1"/>
  <c r="I6235" i="1"/>
  <c r="M6234" i="1"/>
  <c r="G6234" i="1"/>
  <c r="O6234" i="1" s="1"/>
  <c r="Q6234" i="1" s="1"/>
  <c r="I9112" i="1"/>
  <c r="G9111" i="1"/>
  <c r="O9111" i="1" s="1"/>
  <c r="Q9111" i="1" s="1"/>
  <c r="M9111" i="1"/>
  <c r="I5827" i="1"/>
  <c r="G5826" i="1"/>
  <c r="O5826" i="1" s="1"/>
  <c r="Q5826" i="1" s="1"/>
  <c r="M5826" i="1"/>
  <c r="Q6131" i="1"/>
  <c r="Q2538" i="1"/>
  <c r="Q2948" i="1"/>
  <c r="I2233" i="1"/>
  <c r="G2232" i="1"/>
  <c r="O2232" i="1" s="1"/>
  <c r="M2232" i="1"/>
  <c r="G2439" i="1"/>
  <c r="I2441" i="1"/>
  <c r="I2440" i="1"/>
  <c r="G2440" i="1" s="1"/>
  <c r="I2643" i="1"/>
  <c r="G2642" i="1"/>
  <c r="O2642" i="1" s="1"/>
  <c r="Q2642" i="1" s="1"/>
  <c r="I2541" i="1"/>
  <c r="G2540" i="1"/>
  <c r="I2951" i="1"/>
  <c r="G2949" i="1"/>
  <c r="O2949" i="1" s="1"/>
  <c r="I2950" i="1"/>
  <c r="G2335" i="1"/>
  <c r="O2335" i="1" s="1"/>
  <c r="Q2335" i="1" s="1"/>
  <c r="I2336" i="1"/>
  <c r="G2745" i="1"/>
  <c r="O2745" i="1" s="1"/>
  <c r="Q2745" i="1" s="1"/>
  <c r="I2746" i="1"/>
  <c r="I2747" i="1"/>
  <c r="M2747" i="1" s="1"/>
  <c r="I2848" i="1"/>
  <c r="G2847" i="1"/>
  <c r="O2847" i="1" s="1"/>
  <c r="Q2847" i="1" s="1"/>
  <c r="I2849" i="1"/>
  <c r="M2849" i="1" s="1"/>
  <c r="I2126" i="1"/>
  <c r="G2126" i="1" s="1"/>
  <c r="O2125" i="1"/>
  <c r="Q2125" i="1" s="1"/>
  <c r="M2125" i="1"/>
  <c r="M2438" i="1"/>
  <c r="O2438" i="1"/>
  <c r="Q2438" i="1" s="1"/>
  <c r="M2335" i="1"/>
  <c r="O2539" i="1"/>
  <c r="M2539" i="1"/>
  <c r="M2642" i="1"/>
  <c r="Q6029" i="1" l="1"/>
  <c r="I6031" i="1"/>
  <c r="M6030" i="1"/>
  <c r="G6030" i="1"/>
  <c r="O6030" i="1" s="1"/>
  <c r="Q6030" i="1" s="1"/>
  <c r="G6337" i="1"/>
  <c r="O6337" i="1" s="1"/>
  <c r="Q6337" i="1" s="1"/>
  <c r="I6339" i="1"/>
  <c r="I6338" i="1"/>
  <c r="M6337" i="1"/>
  <c r="Q9623" i="1"/>
  <c r="M6133" i="1"/>
  <c r="I6134" i="1"/>
  <c r="I6135" i="1"/>
  <c r="G6133" i="1"/>
  <c r="O6133" i="1" s="1"/>
  <c r="I6236" i="1"/>
  <c r="M6235" i="1"/>
  <c r="G6235" i="1"/>
  <c r="O6235" i="1" s="1"/>
  <c r="I6237" i="1"/>
  <c r="M9522" i="1"/>
  <c r="G9522" i="1"/>
  <c r="O9522" i="1" s="1"/>
  <c r="Q9522" i="1" s="1"/>
  <c r="I9524" i="1"/>
  <c r="I9523" i="1"/>
  <c r="I9318" i="1"/>
  <c r="G9317" i="1"/>
  <c r="O9317" i="1" s="1"/>
  <c r="M9317" i="1"/>
  <c r="M9624" i="1"/>
  <c r="I9625" i="1"/>
  <c r="I9626" i="1"/>
  <c r="G9624" i="1"/>
  <c r="O9624" i="1" s="1"/>
  <c r="Q9624" i="1" s="1"/>
  <c r="I5829" i="1"/>
  <c r="G5827" i="1"/>
  <c r="O5827" i="1" s="1"/>
  <c r="Q5827" i="1" s="1"/>
  <c r="M5827" i="1"/>
  <c r="I5828" i="1"/>
  <c r="Q9215" i="1"/>
  <c r="I5621" i="1"/>
  <c r="G5620" i="1"/>
  <c r="O5620" i="1" s="1"/>
  <c r="M5620" i="1"/>
  <c r="I5724" i="1"/>
  <c r="G5723" i="1"/>
  <c r="O5723" i="1" s="1"/>
  <c r="M5723" i="1"/>
  <c r="I5929" i="1"/>
  <c r="M5928" i="1"/>
  <c r="G5928" i="1"/>
  <c r="O5928" i="1" s="1"/>
  <c r="Q9008" i="1"/>
  <c r="I9727" i="1"/>
  <c r="M9726" i="1"/>
  <c r="I9728" i="1"/>
  <c r="G9726" i="1"/>
  <c r="O9726" i="1" s="1"/>
  <c r="Q9726" i="1" s="1"/>
  <c r="I9218" i="1"/>
  <c r="M9216" i="1"/>
  <c r="G9216" i="1"/>
  <c r="O9216" i="1" s="1"/>
  <c r="Q9216" i="1" s="1"/>
  <c r="I9217" i="1"/>
  <c r="I9010" i="1"/>
  <c r="M9009" i="1"/>
  <c r="G9009" i="1"/>
  <c r="O9009" i="1" s="1"/>
  <c r="Q9009" i="1" s="1"/>
  <c r="I9113" i="1"/>
  <c r="M9112" i="1"/>
  <c r="G9112" i="1"/>
  <c r="O9112" i="1" s="1"/>
  <c r="Q9112" i="1" s="1"/>
  <c r="I9421" i="1"/>
  <c r="M9420" i="1"/>
  <c r="I9422" i="1"/>
  <c r="G9420" i="1"/>
  <c r="O9420" i="1" s="1"/>
  <c r="Q2539" i="1"/>
  <c r="Q2949" i="1"/>
  <c r="Q2232" i="1"/>
  <c r="I2337" i="1"/>
  <c r="G2336" i="1"/>
  <c r="O2336" i="1" s="1"/>
  <c r="Q2336" i="1" s="1"/>
  <c r="G2643" i="1"/>
  <c r="O2643" i="1" s="1"/>
  <c r="Q2643" i="1" s="1"/>
  <c r="I2644" i="1"/>
  <c r="G2644" i="1" s="1"/>
  <c r="I2645" i="1"/>
  <c r="G2849" i="1"/>
  <c r="O2849" i="1" s="1"/>
  <c r="I2850" i="1"/>
  <c r="I2851" i="1"/>
  <c r="M2851" i="1" s="1"/>
  <c r="G2950" i="1"/>
  <c r="O2950" i="1" s="1"/>
  <c r="Q2950" i="1" s="1"/>
  <c r="M2950" i="1"/>
  <c r="I2443" i="1"/>
  <c r="G2441" i="1"/>
  <c r="I2442" i="1"/>
  <c r="G2442" i="1" s="1"/>
  <c r="G2951" i="1"/>
  <c r="O2951" i="1" s="1"/>
  <c r="Q2951" i="1" s="1"/>
  <c r="I2952" i="1"/>
  <c r="I2953" i="1"/>
  <c r="M2953" i="1" s="1"/>
  <c r="G2848" i="1"/>
  <c r="O2848" i="1" s="1"/>
  <c r="M2848" i="1"/>
  <c r="I2748" i="1"/>
  <c r="I2749" i="1"/>
  <c r="G2747" i="1"/>
  <c r="O2747" i="1" s="1"/>
  <c r="Q2747" i="1" s="1"/>
  <c r="M2951" i="1"/>
  <c r="G2746" i="1"/>
  <c r="O2746" i="1" s="1"/>
  <c r="Q2746" i="1" s="1"/>
  <c r="M2746" i="1"/>
  <c r="I2543" i="1"/>
  <c r="I2542" i="1"/>
  <c r="G2542" i="1" s="1"/>
  <c r="G2541" i="1"/>
  <c r="I2234" i="1"/>
  <c r="I2235" i="1"/>
  <c r="G2233" i="1"/>
  <c r="O2233" i="1" s="1"/>
  <c r="Q2233" i="1" s="1"/>
  <c r="M2233" i="1"/>
  <c r="O2126" i="1"/>
  <c r="Q2126" i="1" s="1"/>
  <c r="I2127" i="1"/>
  <c r="G2127" i="1" s="1"/>
  <c r="M2126" i="1"/>
  <c r="M2440" i="1"/>
  <c r="M2336" i="1"/>
  <c r="O2439" i="1"/>
  <c r="Q2439" i="1" s="1"/>
  <c r="M2439" i="1"/>
  <c r="O2540" i="1"/>
  <c r="Q2540" i="1" s="1"/>
  <c r="M2540" i="1"/>
  <c r="M2643" i="1"/>
  <c r="Q5620" i="1" l="1"/>
  <c r="M9524" i="1"/>
  <c r="I9526" i="1"/>
  <c r="G9524" i="1"/>
  <c r="O9524" i="1" s="1"/>
  <c r="Q9524" i="1" s="1"/>
  <c r="I9525" i="1"/>
  <c r="G6236" i="1"/>
  <c r="O6236" i="1" s="1"/>
  <c r="Q6236" i="1" s="1"/>
  <c r="M6236" i="1"/>
  <c r="M6338" i="1"/>
  <c r="G6338" i="1"/>
  <c r="O6338" i="1" s="1"/>
  <c r="Q6338" i="1" s="1"/>
  <c r="Q5928" i="1"/>
  <c r="M5621" i="1"/>
  <c r="I5623" i="1"/>
  <c r="I5622" i="1"/>
  <c r="G5621" i="1"/>
  <c r="O5621" i="1" s="1"/>
  <c r="Q5621" i="1" s="1"/>
  <c r="I9627" i="1"/>
  <c r="I9628" i="1"/>
  <c r="M9626" i="1"/>
  <c r="G9626" i="1"/>
  <c r="O9626" i="1" s="1"/>
  <c r="Q9626" i="1" s="1"/>
  <c r="Q6133" i="1"/>
  <c r="G6339" i="1"/>
  <c r="O6339" i="1" s="1"/>
  <c r="Q6339" i="1" s="1"/>
  <c r="I6341" i="1"/>
  <c r="M6339" i="1"/>
  <c r="I6340" i="1"/>
  <c r="M9218" i="1"/>
  <c r="I9220" i="1"/>
  <c r="G9218" i="1"/>
  <c r="O9218" i="1" s="1"/>
  <c r="Q9218" i="1" s="1"/>
  <c r="I9219" i="1"/>
  <c r="G9625" i="1"/>
  <c r="O9625" i="1" s="1"/>
  <c r="M9625" i="1"/>
  <c r="G6135" i="1"/>
  <c r="O6135" i="1" s="1"/>
  <c r="Q6135" i="1" s="1"/>
  <c r="M6135" i="1"/>
  <c r="I6137" i="1"/>
  <c r="I6136" i="1"/>
  <c r="Q9420" i="1"/>
  <c r="I9114" i="1"/>
  <c r="G9113" i="1"/>
  <c r="O9113" i="1" s="1"/>
  <c r="Q9113" i="1" s="1"/>
  <c r="M9113" i="1"/>
  <c r="M5929" i="1"/>
  <c r="I5930" i="1"/>
  <c r="I5931" i="1"/>
  <c r="G5929" i="1"/>
  <c r="O5929" i="1" s="1"/>
  <c r="Q5929" i="1" s="1"/>
  <c r="G6134" i="1"/>
  <c r="O6134" i="1" s="1"/>
  <c r="Q6134" i="1" s="1"/>
  <c r="M6134" i="1"/>
  <c r="M9422" i="1"/>
  <c r="I9423" i="1"/>
  <c r="G9422" i="1"/>
  <c r="O9422" i="1" s="1"/>
  <c r="Q9422" i="1" s="1"/>
  <c r="I9424" i="1"/>
  <c r="M9728" i="1"/>
  <c r="I9730" i="1"/>
  <c r="G9728" i="1"/>
  <c r="O9728" i="1" s="1"/>
  <c r="Q9728" i="1" s="1"/>
  <c r="I9729" i="1"/>
  <c r="M5828" i="1"/>
  <c r="G5828" i="1"/>
  <c r="O5828" i="1" s="1"/>
  <c r="Q5828" i="1" s="1"/>
  <c r="Q5723" i="1"/>
  <c r="Q9317" i="1"/>
  <c r="I6238" i="1"/>
  <c r="G6237" i="1"/>
  <c r="O6237" i="1" s="1"/>
  <c r="Q6237" i="1" s="1"/>
  <c r="I6239" i="1"/>
  <c r="M6237" i="1"/>
  <c r="M6031" i="1"/>
  <c r="I6033" i="1"/>
  <c r="G6031" i="1"/>
  <c r="O6031" i="1" s="1"/>
  <c r="Q6031" i="1" s="1"/>
  <c r="I6032" i="1"/>
  <c r="M9421" i="1"/>
  <c r="G9421" i="1"/>
  <c r="O9421" i="1" s="1"/>
  <c r="Q9421" i="1" s="1"/>
  <c r="M9010" i="1"/>
  <c r="I9012" i="1"/>
  <c r="I9011" i="1"/>
  <c r="G9010" i="1"/>
  <c r="O9010" i="1" s="1"/>
  <c r="Q9010" i="1" s="1"/>
  <c r="G9727" i="1"/>
  <c r="O9727" i="1" s="1"/>
  <c r="Q9727" i="1" s="1"/>
  <c r="M9727" i="1"/>
  <c r="I5725" i="1"/>
  <c r="G5724" i="1"/>
  <c r="O5724" i="1" s="1"/>
  <c r="Q5724" i="1" s="1"/>
  <c r="M5724" i="1"/>
  <c r="I9320" i="1"/>
  <c r="G9318" i="1"/>
  <c r="O9318" i="1" s="1"/>
  <c r="Q9318" i="1" s="1"/>
  <c r="M9318" i="1"/>
  <c r="I9319" i="1"/>
  <c r="Q6235" i="1"/>
  <c r="G9217" i="1"/>
  <c r="O9217" i="1" s="1"/>
  <c r="Q9217" i="1" s="1"/>
  <c r="M9217" i="1"/>
  <c r="I5830" i="1"/>
  <c r="M5829" i="1"/>
  <c r="G5829" i="1"/>
  <c r="O5829" i="1" s="1"/>
  <c r="Q5829" i="1" s="1"/>
  <c r="I5831" i="1"/>
  <c r="M9523" i="1"/>
  <c r="G9523" i="1"/>
  <c r="O9523" i="1" s="1"/>
  <c r="Q9523" i="1" s="1"/>
  <c r="Q2848" i="1"/>
  <c r="Q2849" i="1"/>
  <c r="M2644" i="1"/>
  <c r="I2956" i="1"/>
  <c r="I2955" i="1"/>
  <c r="G2955" i="1" s="1"/>
  <c r="O2955" i="1" s="1"/>
  <c r="Q2955" i="1" s="1"/>
  <c r="G2953" i="1"/>
  <c r="O2953" i="1" s="1"/>
  <c r="Q2953" i="1" s="1"/>
  <c r="I2854" i="1"/>
  <c r="I2853" i="1"/>
  <c r="G2853" i="1" s="1"/>
  <c r="O2853" i="1" s="1"/>
  <c r="Q2853" i="1" s="1"/>
  <c r="G2851" i="1"/>
  <c r="O2851" i="1" s="1"/>
  <c r="G2952" i="1"/>
  <c r="O2952" i="1" s="1"/>
  <c r="M2952" i="1"/>
  <c r="G2850" i="1"/>
  <c r="O2850" i="1" s="1"/>
  <c r="M2850" i="1"/>
  <c r="I2237" i="1"/>
  <c r="G2235" i="1"/>
  <c r="O2235" i="1" s="1"/>
  <c r="Q2235" i="1" s="1"/>
  <c r="I2236" i="1"/>
  <c r="M2235" i="1"/>
  <c r="I2647" i="1"/>
  <c r="M2647" i="1" s="1"/>
  <c r="G2645" i="1"/>
  <c r="O2645" i="1" s="1"/>
  <c r="Q2645" i="1" s="1"/>
  <c r="I2646" i="1"/>
  <c r="G2646" i="1" s="1"/>
  <c r="O2646" i="1" s="1"/>
  <c r="Q2646" i="1" s="1"/>
  <c r="G2234" i="1"/>
  <c r="O2234" i="1" s="1"/>
  <c r="M2234" i="1"/>
  <c r="I2751" i="1"/>
  <c r="G2751" i="1" s="1"/>
  <c r="O2751" i="1" s="1"/>
  <c r="Q2751" i="1" s="1"/>
  <c r="I2752" i="1"/>
  <c r="G2749" i="1"/>
  <c r="O2749" i="1" s="1"/>
  <c r="Q2749" i="1" s="1"/>
  <c r="M2749" i="1"/>
  <c r="G2748" i="1"/>
  <c r="O2748" i="1" s="1"/>
  <c r="Q2748" i="1" s="1"/>
  <c r="M2748" i="1"/>
  <c r="I2446" i="1"/>
  <c r="I2445" i="1"/>
  <c r="G2445" i="1" s="1"/>
  <c r="G2443" i="1"/>
  <c r="G2543" i="1"/>
  <c r="I2544" i="1"/>
  <c r="G2544" i="1" s="1"/>
  <c r="I2545" i="1"/>
  <c r="G2337" i="1"/>
  <c r="O2337" i="1" s="1"/>
  <c r="Q2337" i="1" s="1"/>
  <c r="I2339" i="1"/>
  <c r="M2339" i="1" s="1"/>
  <c r="I2338" i="1"/>
  <c r="G2338" i="1" s="1"/>
  <c r="I2128" i="1"/>
  <c r="G2128" i="1" s="1"/>
  <c r="O2127" i="1"/>
  <c r="Q2127" i="1" s="1"/>
  <c r="M2127" i="1"/>
  <c r="O2442" i="1"/>
  <c r="Q2442" i="1" s="1"/>
  <c r="M2442" i="1"/>
  <c r="M2542" i="1"/>
  <c r="O2440" i="1"/>
  <c r="Q2440" i="1" s="1"/>
  <c r="O2644" i="1"/>
  <c r="Q2644" i="1" s="1"/>
  <c r="M2645" i="1"/>
  <c r="M2441" i="1"/>
  <c r="O2441" i="1"/>
  <c r="Q2441" i="1" s="1"/>
  <c r="M2443" i="1"/>
  <c r="O2541" i="1"/>
  <c r="Q2541" i="1" s="1"/>
  <c r="M2541" i="1"/>
  <c r="M2337" i="1"/>
  <c r="M9729" i="1" l="1"/>
  <c r="G9729" i="1"/>
  <c r="O9729" i="1" s="1"/>
  <c r="Q9729" i="1" s="1"/>
  <c r="G9114" i="1"/>
  <c r="O9114" i="1" s="1"/>
  <c r="Q9114" i="1" s="1"/>
  <c r="M9114" i="1"/>
  <c r="I9115" i="1"/>
  <c r="I9116" i="1"/>
  <c r="Q9625" i="1"/>
  <c r="G5622" i="1"/>
  <c r="O5622" i="1" s="1"/>
  <c r="Q5622" i="1" s="1"/>
  <c r="M5622" i="1"/>
  <c r="I5833" i="1"/>
  <c r="I5834" i="1"/>
  <c r="G5831" i="1"/>
  <c r="O5831" i="1" s="1"/>
  <c r="Q5831" i="1" s="1"/>
  <c r="G5725" i="1"/>
  <c r="O5725" i="1" s="1"/>
  <c r="Q5725" i="1" s="1"/>
  <c r="M5725" i="1"/>
  <c r="I5727" i="1"/>
  <c r="I5726" i="1"/>
  <c r="G6238" i="1"/>
  <c r="O6238" i="1" s="1"/>
  <c r="Q6238" i="1" s="1"/>
  <c r="M6238" i="1"/>
  <c r="M9219" i="1"/>
  <c r="G9219" i="1"/>
  <c r="O9219" i="1" s="1"/>
  <c r="Q9219" i="1" s="1"/>
  <c r="I5625" i="1"/>
  <c r="I5624" i="1"/>
  <c r="G5623" i="1"/>
  <c r="O5623" i="1" s="1"/>
  <c r="Q5623" i="1" s="1"/>
  <c r="M5623" i="1"/>
  <c r="M9525" i="1"/>
  <c r="G9525" i="1"/>
  <c r="O9525" i="1" s="1"/>
  <c r="Q9525" i="1" s="1"/>
  <c r="G6032" i="1"/>
  <c r="O6032" i="1" s="1"/>
  <c r="Q6032" i="1" s="1"/>
  <c r="M6032" i="1"/>
  <c r="I9732" i="1"/>
  <c r="I9733" i="1"/>
  <c r="G9730" i="1"/>
  <c r="O9730" i="1" s="1"/>
  <c r="M9319" i="1"/>
  <c r="G9319" i="1"/>
  <c r="O9319" i="1" s="1"/>
  <c r="Q9319" i="1" s="1"/>
  <c r="G5931" i="1"/>
  <c r="O5931" i="1" s="1"/>
  <c r="Q5931" i="1" s="1"/>
  <c r="M5931" i="1"/>
  <c r="I5933" i="1"/>
  <c r="I5932" i="1"/>
  <c r="G6136" i="1"/>
  <c r="O6136" i="1" s="1"/>
  <c r="Q6136" i="1" s="1"/>
  <c r="M6136" i="1"/>
  <c r="I9222" i="1"/>
  <c r="G9220" i="1"/>
  <c r="O9220" i="1" s="1"/>
  <c r="I9223" i="1"/>
  <c r="I9529" i="1"/>
  <c r="G9526" i="1"/>
  <c r="O9526" i="1" s="1"/>
  <c r="I9528" i="1"/>
  <c r="G5830" i="1"/>
  <c r="O5830" i="1" s="1"/>
  <c r="M5830" i="1"/>
  <c r="M6033" i="1"/>
  <c r="I6035" i="1"/>
  <c r="I6034" i="1"/>
  <c r="G6033" i="1"/>
  <c r="O6033" i="1" s="1"/>
  <c r="Q6033" i="1" s="1"/>
  <c r="I9427" i="1"/>
  <c r="G9424" i="1"/>
  <c r="O9424" i="1" s="1"/>
  <c r="Q9424" i="1" s="1"/>
  <c r="I9426" i="1"/>
  <c r="G5930" i="1"/>
  <c r="O5930" i="1" s="1"/>
  <c r="Q5930" i="1" s="1"/>
  <c r="M5930" i="1"/>
  <c r="I6139" i="1"/>
  <c r="I6140" i="1"/>
  <c r="G6137" i="1"/>
  <c r="O6137" i="1" s="1"/>
  <c r="M9011" i="1"/>
  <c r="G9011" i="1"/>
  <c r="O9011" i="1" s="1"/>
  <c r="Q9011" i="1" s="1"/>
  <c r="M6340" i="1"/>
  <c r="G6340" i="1"/>
  <c r="O6340" i="1" s="1"/>
  <c r="I9630" i="1"/>
  <c r="I9631" i="1"/>
  <c r="G9628" i="1"/>
  <c r="O9628" i="1" s="1"/>
  <c r="Q9628" i="1" s="1"/>
  <c r="G9320" i="1"/>
  <c r="O9320" i="1" s="1"/>
  <c r="Q9320" i="1" s="1"/>
  <c r="I9322" i="1"/>
  <c r="M9320" i="1"/>
  <c r="I9321" i="1"/>
  <c r="I9013" i="1"/>
  <c r="I9014" i="1"/>
  <c r="M9012" i="1"/>
  <c r="G9012" i="1"/>
  <c r="O9012" i="1" s="1"/>
  <c r="Q9012" i="1" s="1"/>
  <c r="M9423" i="1"/>
  <c r="G9423" i="1"/>
  <c r="O9423" i="1" s="1"/>
  <c r="Q9423" i="1" s="1"/>
  <c r="G9627" i="1"/>
  <c r="O9627" i="1" s="1"/>
  <c r="Q9627" i="1" s="1"/>
  <c r="M9627" i="1"/>
  <c r="G6239" i="1"/>
  <c r="O6239" i="1" s="1"/>
  <c r="I6241" i="1"/>
  <c r="I6242" i="1"/>
  <c r="I6343" i="1"/>
  <c r="I6344" i="1"/>
  <c r="G6341" i="1"/>
  <c r="O6341" i="1" s="1"/>
  <c r="Q6341" i="1" s="1"/>
  <c r="Q2851" i="1"/>
  <c r="Q2234" i="1"/>
  <c r="Q2850" i="1"/>
  <c r="Q2952" i="1"/>
  <c r="O2852" i="1"/>
  <c r="M2646" i="1"/>
  <c r="M2853" i="1"/>
  <c r="M2955" i="1"/>
  <c r="M2751" i="1"/>
  <c r="O2954" i="1"/>
  <c r="M2338" i="1"/>
  <c r="I2548" i="1"/>
  <c r="I2547" i="1"/>
  <c r="G2547" i="1" s="1"/>
  <c r="G2545" i="1"/>
  <c r="I2650" i="1"/>
  <c r="I2649" i="1"/>
  <c r="G2649" i="1" s="1"/>
  <c r="G2647" i="1"/>
  <c r="O2647" i="1" s="1"/>
  <c r="Q2647" i="1" s="1"/>
  <c r="G2752" i="1"/>
  <c r="O2752" i="1" s="1"/>
  <c r="Q2752" i="1" s="1"/>
  <c r="I2766" i="1"/>
  <c r="I2753" i="1"/>
  <c r="G2236" i="1"/>
  <c r="O2236" i="1" s="1"/>
  <c r="M2236" i="1"/>
  <c r="O2750" i="1"/>
  <c r="G2854" i="1"/>
  <c r="O2854" i="1" s="1"/>
  <c r="Q2854" i="1" s="1"/>
  <c r="I2868" i="1"/>
  <c r="I2855" i="1"/>
  <c r="I2240" i="1"/>
  <c r="I2239" i="1"/>
  <c r="G2237" i="1"/>
  <c r="O2237" i="1" s="1"/>
  <c r="Q2237" i="1" s="1"/>
  <c r="M2237" i="1"/>
  <c r="G2446" i="1"/>
  <c r="I2447" i="1"/>
  <c r="I2460" i="1"/>
  <c r="G2339" i="1"/>
  <c r="O2339" i="1" s="1"/>
  <c r="Q2339" i="1" s="1"/>
  <c r="I2340" i="1"/>
  <c r="G2340" i="1" s="1"/>
  <c r="O2340" i="1" s="1"/>
  <c r="Q2340" i="1" s="1"/>
  <c r="I2341" i="1"/>
  <c r="M2341" i="1" s="1"/>
  <c r="G2956" i="1"/>
  <c r="O2956" i="1" s="1"/>
  <c r="Q2956" i="1" s="1"/>
  <c r="I2970" i="1"/>
  <c r="I2957" i="1"/>
  <c r="O2128" i="1"/>
  <c r="Q2128" i="1" s="1"/>
  <c r="I2129" i="1"/>
  <c r="G2129" i="1" s="1"/>
  <c r="M2128" i="1"/>
  <c r="O2544" i="1"/>
  <c r="Q2544" i="1" s="1"/>
  <c r="M2544" i="1"/>
  <c r="O2338" i="1"/>
  <c r="Q2338" i="1" s="1"/>
  <c r="O2542" i="1"/>
  <c r="O2443" i="1"/>
  <c r="Q2443" i="1" s="1"/>
  <c r="M2545" i="1"/>
  <c r="M2543" i="1"/>
  <c r="O2543" i="1"/>
  <c r="Q2543" i="1" s="1"/>
  <c r="M6343" i="1" l="1"/>
  <c r="G6343" i="1"/>
  <c r="O6343" i="1" s="1"/>
  <c r="I6154" i="1"/>
  <c r="G6140" i="1"/>
  <c r="O6140" i="1" s="1"/>
  <c r="Q6140" i="1" s="1"/>
  <c r="I6141" i="1"/>
  <c r="I9543" i="1"/>
  <c r="G9529" i="1"/>
  <c r="O9529" i="1" s="1"/>
  <c r="Q9529" i="1" s="1"/>
  <c r="I9530" i="1"/>
  <c r="I5935" i="1"/>
  <c r="I5936" i="1"/>
  <c r="G5933" i="1"/>
  <c r="O5933" i="1" s="1"/>
  <c r="I9734" i="1"/>
  <c r="I9747" i="1"/>
  <c r="G9733" i="1"/>
  <c r="O9733" i="1" s="1"/>
  <c r="Q9733" i="1" s="1"/>
  <c r="G5624" i="1"/>
  <c r="O5624" i="1" s="1"/>
  <c r="Q5624" i="1" s="1"/>
  <c r="M5624" i="1"/>
  <c r="I5729" i="1"/>
  <c r="I5728" i="1"/>
  <c r="M5727" i="1"/>
  <c r="G5727" i="1"/>
  <c r="O5727" i="1" s="1"/>
  <c r="Q5727" i="1" s="1"/>
  <c r="O9629" i="1"/>
  <c r="I6243" i="1"/>
  <c r="I6256" i="1"/>
  <c r="G6242" i="1"/>
  <c r="O6242" i="1" s="1"/>
  <c r="Q6242" i="1" s="1"/>
  <c r="I9632" i="1"/>
  <c r="I9645" i="1"/>
  <c r="G9631" i="1"/>
  <c r="O9631" i="1" s="1"/>
  <c r="Q9631" i="1" s="1"/>
  <c r="M6139" i="1"/>
  <c r="G6139" i="1"/>
  <c r="O6139" i="1" s="1"/>
  <c r="G6034" i="1"/>
  <c r="O6034" i="1" s="1"/>
  <c r="Q6034" i="1" s="1"/>
  <c r="M6034" i="1"/>
  <c r="G9732" i="1"/>
  <c r="O9732" i="1" s="1"/>
  <c r="M9732" i="1"/>
  <c r="I5627" i="1"/>
  <c r="I5628" i="1"/>
  <c r="G5625" i="1"/>
  <c r="O5625" i="1" s="1"/>
  <c r="G6241" i="1"/>
  <c r="O6241" i="1" s="1"/>
  <c r="M6241" i="1"/>
  <c r="I9016" i="1"/>
  <c r="G9014" i="1"/>
  <c r="O9014" i="1" s="1"/>
  <c r="I9017" i="1"/>
  <c r="G9630" i="1"/>
  <c r="O9630" i="1" s="1"/>
  <c r="M9630" i="1"/>
  <c r="I6038" i="1"/>
  <c r="I6037" i="1"/>
  <c r="G6035" i="1"/>
  <c r="O6035" i="1" s="1"/>
  <c r="I9237" i="1"/>
  <c r="G9223" i="1"/>
  <c r="O9223" i="1" s="1"/>
  <c r="Q9223" i="1" s="1"/>
  <c r="I9224" i="1"/>
  <c r="I9118" i="1"/>
  <c r="I9117" i="1"/>
  <c r="G9116" i="1"/>
  <c r="O9116" i="1" s="1"/>
  <c r="Q9116" i="1" s="1"/>
  <c r="M9116" i="1"/>
  <c r="Q6239" i="1"/>
  <c r="O6240" i="1"/>
  <c r="M9013" i="1"/>
  <c r="G9013" i="1"/>
  <c r="O9013" i="1" s="1"/>
  <c r="Q9013" i="1" s="1"/>
  <c r="O6342" i="1"/>
  <c r="Q6340" i="1"/>
  <c r="Q9220" i="1"/>
  <c r="O9221" i="1"/>
  <c r="G9115" i="1"/>
  <c r="O9115" i="1" s="1"/>
  <c r="Q9115" i="1" s="1"/>
  <c r="M9115" i="1"/>
  <c r="M9321" i="1"/>
  <c r="G9321" i="1"/>
  <c r="O9321" i="1" s="1"/>
  <c r="Q9321" i="1" s="1"/>
  <c r="M9426" i="1"/>
  <c r="G9426" i="1"/>
  <c r="O9426" i="1" s="1"/>
  <c r="G9222" i="1"/>
  <c r="O9222" i="1" s="1"/>
  <c r="M9222" i="1"/>
  <c r="O9425" i="1"/>
  <c r="I5848" i="1"/>
  <c r="G5834" i="1"/>
  <c r="O5834" i="1" s="1"/>
  <c r="Q5834" i="1" s="1"/>
  <c r="I5835" i="1"/>
  <c r="O5832" i="1"/>
  <c r="Q5830" i="1"/>
  <c r="G5833" i="1"/>
  <c r="O5833" i="1" s="1"/>
  <c r="M5833" i="1"/>
  <c r="I9325" i="1"/>
  <c r="I9324" i="1"/>
  <c r="G9322" i="1"/>
  <c r="O9322" i="1" s="1"/>
  <c r="I9428" i="1"/>
  <c r="I9441" i="1"/>
  <c r="G9427" i="1"/>
  <c r="O9427" i="1" s="1"/>
  <c r="Q9427" i="1" s="1"/>
  <c r="M9528" i="1"/>
  <c r="G9528" i="1"/>
  <c r="O9528" i="1" s="1"/>
  <c r="I6358" i="1"/>
  <c r="G6344" i="1"/>
  <c r="O6344" i="1" s="1"/>
  <c r="Q6344" i="1" s="1"/>
  <c r="I6345" i="1"/>
  <c r="Q6137" i="1"/>
  <c r="O6138" i="1"/>
  <c r="Q9526" i="1"/>
  <c r="O9527" i="1"/>
  <c r="M5932" i="1"/>
  <c r="G5932" i="1"/>
  <c r="O5932" i="1" s="1"/>
  <c r="Q5932" i="1" s="1"/>
  <c r="Q9730" i="1"/>
  <c r="O9731" i="1"/>
  <c r="M5726" i="1"/>
  <c r="G5726" i="1"/>
  <c r="O5726" i="1" s="1"/>
  <c r="Q2542" i="1"/>
  <c r="M2340" i="1"/>
  <c r="I2971" i="1"/>
  <c r="M2971" i="1" s="1"/>
  <c r="G2970" i="1"/>
  <c r="O2970" i="1" s="1"/>
  <c r="M2970" i="1"/>
  <c r="I2254" i="1"/>
  <c r="G2240" i="1"/>
  <c r="O2240" i="1" s="1"/>
  <c r="Q2240" i="1" s="1"/>
  <c r="I2241" i="1"/>
  <c r="I2767" i="1"/>
  <c r="M2767" i="1" s="1"/>
  <c r="G2766" i="1"/>
  <c r="O2766" i="1" s="1"/>
  <c r="Q2766" i="1" s="1"/>
  <c r="M2766" i="1"/>
  <c r="I2856" i="1"/>
  <c r="G2855" i="1"/>
  <c r="O2855" i="1" s="1"/>
  <c r="M2855" i="1"/>
  <c r="I2461" i="1"/>
  <c r="G2460" i="1"/>
  <c r="I2869" i="1"/>
  <c r="M2869" i="1" s="1"/>
  <c r="G2868" i="1"/>
  <c r="O2868" i="1" s="1"/>
  <c r="M2868" i="1"/>
  <c r="I2448" i="1"/>
  <c r="G2447" i="1"/>
  <c r="O2447" i="1" s="1"/>
  <c r="G2957" i="1"/>
  <c r="O2957" i="1" s="1"/>
  <c r="Q2957" i="1" s="1"/>
  <c r="I2958" i="1"/>
  <c r="M2957" i="1"/>
  <c r="I2664" i="1"/>
  <c r="M2664" i="1" s="1"/>
  <c r="I2651" i="1"/>
  <c r="G2650" i="1"/>
  <c r="O2650" i="1" s="1"/>
  <c r="Q2236" i="1"/>
  <c r="O2238" i="1"/>
  <c r="I2343" i="1"/>
  <c r="G2343" i="1" s="1"/>
  <c r="I2344" i="1"/>
  <c r="G2341" i="1"/>
  <c r="O2341" i="1" s="1"/>
  <c r="Q2341" i="1" s="1"/>
  <c r="G2239" i="1"/>
  <c r="O2239" i="1" s="1"/>
  <c r="Q2239" i="1" s="1"/>
  <c r="M2239" i="1"/>
  <c r="I2754" i="1"/>
  <c r="G2753" i="1"/>
  <c r="O2753" i="1" s="1"/>
  <c r="M2753" i="1"/>
  <c r="G2548" i="1"/>
  <c r="I2549" i="1"/>
  <c r="I2562" i="1"/>
  <c r="M2129" i="1"/>
  <c r="I2130" i="1"/>
  <c r="G2130" i="1" s="1"/>
  <c r="I2131" i="1"/>
  <c r="G2131" i="1" s="1"/>
  <c r="O2129" i="1"/>
  <c r="Q2129" i="1" s="1"/>
  <c r="M2447" i="1"/>
  <c r="M2460" i="1"/>
  <c r="O2446" i="1"/>
  <c r="O2648" i="1"/>
  <c r="O2545" i="1"/>
  <c r="Q2545" i="1" s="1"/>
  <c r="O2445" i="1"/>
  <c r="Q2445" i="1" s="1"/>
  <c r="M2445" i="1"/>
  <c r="O2444" i="1"/>
  <c r="M2649" i="1"/>
  <c r="O2649" i="1"/>
  <c r="M6358" i="1" l="1"/>
  <c r="I6359" i="1"/>
  <c r="G6358" i="1"/>
  <c r="O6358" i="1" s="1"/>
  <c r="Q6358" i="1" s="1"/>
  <c r="Q9322" i="1"/>
  <c r="O9323" i="1"/>
  <c r="Q9014" i="1"/>
  <c r="O9015" i="1"/>
  <c r="Q9732" i="1"/>
  <c r="I9531" i="1"/>
  <c r="G9530" i="1"/>
  <c r="O9530" i="1" s="1"/>
  <c r="Q9530" i="1" s="1"/>
  <c r="G9324" i="1"/>
  <c r="O9324" i="1" s="1"/>
  <c r="M9324" i="1"/>
  <c r="M5848" i="1"/>
  <c r="I5849" i="1"/>
  <c r="G5848" i="1"/>
  <c r="O5848" i="1" s="1"/>
  <c r="Q5848" i="1" s="1"/>
  <c r="I9238" i="1"/>
  <c r="M9237" i="1"/>
  <c r="G9237" i="1"/>
  <c r="O9237" i="1" s="1"/>
  <c r="M9016" i="1"/>
  <c r="G9016" i="1"/>
  <c r="O9016" i="1" s="1"/>
  <c r="M6256" i="1"/>
  <c r="G6256" i="1"/>
  <c r="O6256" i="1" s="1"/>
  <c r="Q6256" i="1" s="1"/>
  <c r="I6257" i="1"/>
  <c r="I9326" i="1"/>
  <c r="I9339" i="1"/>
  <c r="G9325" i="1"/>
  <c r="O9325" i="1" s="1"/>
  <c r="Q9325" i="1" s="1"/>
  <c r="Q6035" i="1"/>
  <c r="O6036" i="1"/>
  <c r="I6244" i="1"/>
  <c r="G6243" i="1"/>
  <c r="O6243" i="1" s="1"/>
  <c r="I9544" i="1"/>
  <c r="G9543" i="1"/>
  <c r="O9543" i="1" s="1"/>
  <c r="Q9543" i="1" s="1"/>
  <c r="M9543" i="1"/>
  <c r="Q2446" i="1"/>
  <c r="Q9528" i="1"/>
  <c r="M6037" i="1"/>
  <c r="G6037" i="1"/>
  <c r="O6037" i="1" s="1"/>
  <c r="Q6241" i="1"/>
  <c r="Q6139" i="1"/>
  <c r="I9748" i="1"/>
  <c r="M9747" i="1"/>
  <c r="G9747" i="1"/>
  <c r="O9747" i="1" s="1"/>
  <c r="Q9747" i="1" s="1"/>
  <c r="I6142" i="1"/>
  <c r="G6141" i="1"/>
  <c r="O6141" i="1" s="1"/>
  <c r="Q6141" i="1" s="1"/>
  <c r="Q5726" i="1"/>
  <c r="Q5833" i="1"/>
  <c r="Q9222" i="1"/>
  <c r="G6038" i="1"/>
  <c r="O6038" i="1" s="1"/>
  <c r="Q6038" i="1" s="1"/>
  <c r="I6052" i="1"/>
  <c r="I6039" i="1"/>
  <c r="Q5625" i="1"/>
  <c r="O5626" i="1"/>
  <c r="G9734" i="1"/>
  <c r="O9734" i="1" s="1"/>
  <c r="Q9734" i="1" s="1"/>
  <c r="I9735" i="1"/>
  <c r="Q9426" i="1"/>
  <c r="G9117" i="1"/>
  <c r="O9117" i="1" s="1"/>
  <c r="Q9117" i="1" s="1"/>
  <c r="M9117" i="1"/>
  <c r="G5628" i="1"/>
  <c r="O5628" i="1" s="1"/>
  <c r="Q5628" i="1" s="1"/>
  <c r="I5629" i="1"/>
  <c r="I5642" i="1"/>
  <c r="Q5933" i="1"/>
  <c r="O5934" i="1"/>
  <c r="I6155" i="1"/>
  <c r="G6154" i="1"/>
  <c r="O6154" i="1" s="1"/>
  <c r="Q6154" i="1" s="1"/>
  <c r="M6154" i="1"/>
  <c r="I6346" i="1"/>
  <c r="G6345" i="1"/>
  <c r="O6345" i="1" s="1"/>
  <c r="Q6345" i="1" s="1"/>
  <c r="I9442" i="1"/>
  <c r="M9441" i="1"/>
  <c r="G9441" i="1"/>
  <c r="O9441" i="1" s="1"/>
  <c r="I9120" i="1"/>
  <c r="I9121" i="1"/>
  <c r="G9118" i="1"/>
  <c r="O9118" i="1" s="1"/>
  <c r="Q9630" i="1"/>
  <c r="M5627" i="1"/>
  <c r="G5627" i="1"/>
  <c r="O5627" i="1" s="1"/>
  <c r="I9646" i="1"/>
  <c r="G9645" i="1"/>
  <c r="O9645" i="1" s="1"/>
  <c r="Q9645" i="1" s="1"/>
  <c r="M9645" i="1"/>
  <c r="M5728" i="1"/>
  <c r="G5728" i="1"/>
  <c r="O5728" i="1" s="1"/>
  <c r="Q5728" i="1" s="1"/>
  <c r="I5950" i="1"/>
  <c r="G5936" i="1"/>
  <c r="O5936" i="1" s="1"/>
  <c r="Q5936" i="1" s="1"/>
  <c r="I5937" i="1"/>
  <c r="Q6343" i="1"/>
  <c r="Q2650" i="1"/>
  <c r="G9428" i="1"/>
  <c r="O9428" i="1" s="1"/>
  <c r="Q9428" i="1" s="1"/>
  <c r="I9429" i="1"/>
  <c r="I5836" i="1"/>
  <c r="G5835" i="1"/>
  <c r="O5835" i="1" s="1"/>
  <c r="I9225" i="1"/>
  <c r="G9224" i="1"/>
  <c r="O9224" i="1" s="1"/>
  <c r="Q9224" i="1" s="1"/>
  <c r="I9031" i="1"/>
  <c r="G9017" i="1"/>
  <c r="O9017" i="1" s="1"/>
  <c r="Q9017" i="1" s="1"/>
  <c r="I9018" i="1"/>
  <c r="I9633" i="1"/>
  <c r="G9632" i="1"/>
  <c r="O9632" i="1" s="1"/>
  <c r="Q9632" i="1" s="1"/>
  <c r="I5731" i="1"/>
  <c r="I5732" i="1"/>
  <c r="G5729" i="1"/>
  <c r="O5729" i="1" s="1"/>
  <c r="Q5729" i="1" s="1"/>
  <c r="M5935" i="1"/>
  <c r="G5935" i="1"/>
  <c r="O5935" i="1" s="1"/>
  <c r="Q2855" i="1"/>
  <c r="Q2447" i="1"/>
  <c r="Q2753" i="1"/>
  <c r="Q2970" i="1"/>
  <c r="Q2868" i="1"/>
  <c r="Q2649" i="1"/>
  <c r="I2652" i="1"/>
  <c r="M2652" i="1" s="1"/>
  <c r="G2651" i="1"/>
  <c r="O2651" i="1" s="1"/>
  <c r="Q2651" i="1" s="1"/>
  <c r="I2665" i="1"/>
  <c r="G2664" i="1"/>
  <c r="O2664" i="1" s="1"/>
  <c r="Q2664" i="1" s="1"/>
  <c r="I2870" i="1"/>
  <c r="G2870" i="1" s="1"/>
  <c r="O2870" i="1" s="1"/>
  <c r="Q2870" i="1" s="1"/>
  <c r="G2869" i="1"/>
  <c r="O2869" i="1" s="1"/>
  <c r="I2768" i="1"/>
  <c r="G2768" i="1" s="1"/>
  <c r="O2768" i="1" s="1"/>
  <c r="G2767" i="1"/>
  <c r="O2767" i="1" s="1"/>
  <c r="Q2767" i="1" s="1"/>
  <c r="I2563" i="1"/>
  <c r="G2562" i="1"/>
  <c r="I2242" i="1"/>
  <c r="G2241" i="1"/>
  <c r="O2241" i="1" s="1"/>
  <c r="Q2241" i="1" s="1"/>
  <c r="M2241" i="1"/>
  <c r="G2549" i="1"/>
  <c r="O2549" i="1" s="1"/>
  <c r="I2550" i="1"/>
  <c r="I2345" i="1"/>
  <c r="M2345" i="1" s="1"/>
  <c r="G2344" i="1"/>
  <c r="O2344" i="1" s="1"/>
  <c r="Q2344" i="1" s="1"/>
  <c r="I2358" i="1"/>
  <c r="M2358" i="1" s="1"/>
  <c r="G2958" i="1"/>
  <c r="O2958" i="1" s="1"/>
  <c r="Q2958" i="1" s="1"/>
  <c r="I2959" i="1"/>
  <c r="M2958" i="1"/>
  <c r="I2462" i="1"/>
  <c r="G2462" i="1" s="1"/>
  <c r="G2461" i="1"/>
  <c r="I2255" i="1"/>
  <c r="G2254" i="1"/>
  <c r="O2254" i="1" s="1"/>
  <c r="Q2254" i="1" s="1"/>
  <c r="M2254" i="1"/>
  <c r="M2651" i="1"/>
  <c r="I2449" i="1"/>
  <c r="G2448" i="1"/>
  <c r="O2448" i="1" s="1"/>
  <c r="I2857" i="1"/>
  <c r="G2856" i="1"/>
  <c r="O2856" i="1" s="1"/>
  <c r="Q2856" i="1" s="1"/>
  <c r="M2856" i="1"/>
  <c r="I2755" i="1"/>
  <c r="G2754" i="1"/>
  <c r="O2754" i="1" s="1"/>
  <c r="Q2754" i="1" s="1"/>
  <c r="M2754" i="1"/>
  <c r="I2972" i="1"/>
  <c r="G2972" i="1" s="1"/>
  <c r="O2972" i="1" s="1"/>
  <c r="Q2972" i="1" s="1"/>
  <c r="G2971" i="1"/>
  <c r="O2971" i="1" s="1"/>
  <c r="Q2971" i="1" s="1"/>
  <c r="I2132" i="1"/>
  <c r="G2132" i="1" s="1"/>
  <c r="I2133" i="1"/>
  <c r="G2133" i="1" s="1"/>
  <c r="O2131" i="1"/>
  <c r="Q2131" i="1" s="1"/>
  <c r="M2131" i="1"/>
  <c r="M2130" i="1"/>
  <c r="O2130" i="1"/>
  <c r="Q2130" i="1" s="1"/>
  <c r="M2549" i="1"/>
  <c r="M2448" i="1"/>
  <c r="O2546" i="1"/>
  <c r="O2342" i="1"/>
  <c r="O2548" i="1"/>
  <c r="M2562" i="1"/>
  <c r="M2343" i="1"/>
  <c r="O2343" i="1"/>
  <c r="Q2343" i="1" s="1"/>
  <c r="O2460" i="1"/>
  <c r="Q2460" i="1" s="1"/>
  <c r="M2547" i="1"/>
  <c r="O2547" i="1"/>
  <c r="Q9441" i="1" l="1"/>
  <c r="Q9237" i="1"/>
  <c r="Q5835" i="1"/>
  <c r="Q6243" i="1"/>
  <c r="M2870" i="1"/>
  <c r="M2972" i="1"/>
  <c r="O5730" i="1"/>
  <c r="I5837" i="1"/>
  <c r="G5836" i="1"/>
  <c r="O5836" i="1" s="1"/>
  <c r="Q5836" i="1" s="1"/>
  <c r="Q9118" i="1"/>
  <c r="O9119" i="1"/>
  <c r="G9633" i="1"/>
  <c r="O9633" i="1" s="1"/>
  <c r="Q9633" i="1" s="1"/>
  <c r="I9634" i="1"/>
  <c r="I9135" i="1"/>
  <c r="I9122" i="1"/>
  <c r="G9121" i="1"/>
  <c r="O9121" i="1" s="1"/>
  <c r="Q9121" i="1" s="1"/>
  <c r="I9749" i="1"/>
  <c r="G9748" i="1"/>
  <c r="O9748" i="1" s="1"/>
  <c r="M9748" i="1"/>
  <c r="Q2548" i="1"/>
  <c r="G9018" i="1"/>
  <c r="O9018" i="1" s="1"/>
  <c r="Q9018" i="1" s="1"/>
  <c r="I9019" i="1"/>
  <c r="M9120" i="1"/>
  <c r="G9120" i="1"/>
  <c r="O9120" i="1" s="1"/>
  <c r="Q9016" i="1"/>
  <c r="I9647" i="1"/>
  <c r="M9646" i="1"/>
  <c r="G9646" i="1"/>
  <c r="O9646" i="1" s="1"/>
  <c r="I6040" i="1"/>
  <c r="G6039" i="1"/>
  <c r="O6039" i="1" s="1"/>
  <c r="I9032" i="1"/>
  <c r="M9031" i="1"/>
  <c r="G9031" i="1"/>
  <c r="O9031" i="1" s="1"/>
  <c r="Q9031" i="1" s="1"/>
  <c r="I5938" i="1"/>
  <c r="G5937" i="1"/>
  <c r="O5937" i="1" s="1"/>
  <c r="Q5627" i="1"/>
  <c r="I6053" i="1"/>
  <c r="M6052" i="1"/>
  <c r="G6052" i="1"/>
  <c r="O6052" i="1" s="1"/>
  <c r="Q6052" i="1" s="1"/>
  <c r="I9340" i="1"/>
  <c r="G9339" i="1"/>
  <c r="O9339" i="1" s="1"/>
  <c r="M9339" i="1"/>
  <c r="Q9324" i="1"/>
  <c r="Q5935" i="1"/>
  <c r="I6156" i="1"/>
  <c r="G6155" i="1"/>
  <c r="O6155" i="1" s="1"/>
  <c r="M6155" i="1"/>
  <c r="I9545" i="1"/>
  <c r="G9544" i="1"/>
  <c r="O9544" i="1" s="1"/>
  <c r="M9544" i="1"/>
  <c r="G9326" i="1"/>
  <c r="O9326" i="1" s="1"/>
  <c r="Q9326" i="1" s="1"/>
  <c r="I9327" i="1"/>
  <c r="I5733" i="1"/>
  <c r="I5746" i="1"/>
  <c r="G5732" i="1"/>
  <c r="O5732" i="1" s="1"/>
  <c r="Q5732" i="1" s="1"/>
  <c r="I9226" i="1"/>
  <c r="G9225" i="1"/>
  <c r="O9225" i="1" s="1"/>
  <c r="Q9225" i="1" s="1"/>
  <c r="I5951" i="1"/>
  <c r="M5950" i="1"/>
  <c r="G5950" i="1"/>
  <c r="O5950" i="1" s="1"/>
  <c r="Q5950" i="1" s="1"/>
  <c r="I6143" i="1"/>
  <c r="G6142" i="1"/>
  <c r="O6142" i="1" s="1"/>
  <c r="I9239" i="1"/>
  <c r="G9238" i="1"/>
  <c r="O9238" i="1" s="1"/>
  <c r="M9238" i="1"/>
  <c r="M5731" i="1"/>
  <c r="G5731" i="1"/>
  <c r="O5731" i="1" s="1"/>
  <c r="I9443" i="1"/>
  <c r="M9442" i="1"/>
  <c r="G9442" i="1"/>
  <c r="O9442" i="1" s="1"/>
  <c r="G9735" i="1"/>
  <c r="O9735" i="1" s="1"/>
  <c r="Q9735" i="1" s="1"/>
  <c r="I9736" i="1"/>
  <c r="Q6037" i="1"/>
  <c r="I6245" i="1"/>
  <c r="G6244" i="1"/>
  <c r="O6244" i="1" s="1"/>
  <c r="I6258" i="1"/>
  <c r="G6257" i="1"/>
  <c r="O6257" i="1" s="1"/>
  <c r="M6257" i="1"/>
  <c r="I5643" i="1"/>
  <c r="G5642" i="1"/>
  <c r="O5642" i="1" s="1"/>
  <c r="Q5642" i="1" s="1"/>
  <c r="M5642" i="1"/>
  <c r="G9531" i="1"/>
  <c r="O9531" i="1" s="1"/>
  <c r="Q9531" i="1" s="1"/>
  <c r="I9532" i="1"/>
  <c r="I6360" i="1"/>
  <c r="M6359" i="1"/>
  <c r="G6359" i="1"/>
  <c r="O6359" i="1" s="1"/>
  <c r="I9430" i="1"/>
  <c r="G9429" i="1"/>
  <c r="O9429" i="1" s="1"/>
  <c r="I6347" i="1"/>
  <c r="G6346" i="1"/>
  <c r="O6346" i="1" s="1"/>
  <c r="Q6346" i="1" s="1"/>
  <c r="I5630" i="1"/>
  <c r="G5629" i="1"/>
  <c r="O5629" i="1" s="1"/>
  <c r="I5850" i="1"/>
  <c r="G5849" i="1"/>
  <c r="O5849" i="1" s="1"/>
  <c r="M5849" i="1"/>
  <c r="Q2547" i="1"/>
  <c r="Q2768" i="1"/>
  <c r="Q2549" i="1"/>
  <c r="Q2869" i="1"/>
  <c r="Q2448" i="1"/>
  <c r="M2768" i="1"/>
  <c r="I2256" i="1"/>
  <c r="G2255" i="1"/>
  <c r="O2255" i="1" s="1"/>
  <c r="Q2255" i="1" s="1"/>
  <c r="M2255" i="1"/>
  <c r="I2346" i="1"/>
  <c r="M2346" i="1" s="1"/>
  <c r="G2345" i="1"/>
  <c r="O2345" i="1" s="1"/>
  <c r="Q2345" i="1" s="1"/>
  <c r="G2550" i="1"/>
  <c r="O2550" i="1" s="1"/>
  <c r="Q2550" i="1" s="1"/>
  <c r="I2551" i="1"/>
  <c r="I2858" i="1"/>
  <c r="G2857" i="1"/>
  <c r="O2857" i="1" s="1"/>
  <c r="Q2857" i="1" s="1"/>
  <c r="M2857" i="1"/>
  <c r="I2450" i="1"/>
  <c r="G2449" i="1"/>
  <c r="O2449" i="1" s="1"/>
  <c r="I2960" i="1"/>
  <c r="G2959" i="1"/>
  <c r="O2959" i="1" s="1"/>
  <c r="M2959" i="1"/>
  <c r="I2243" i="1"/>
  <c r="G2242" i="1"/>
  <c r="O2242" i="1" s="1"/>
  <c r="Q2242" i="1" s="1"/>
  <c r="M2242" i="1"/>
  <c r="I2666" i="1"/>
  <c r="G2666" i="1" s="1"/>
  <c r="G2665" i="1"/>
  <c r="O2665" i="1" s="1"/>
  <c r="Q2665" i="1" s="1"/>
  <c r="I2359" i="1"/>
  <c r="G2358" i="1"/>
  <c r="O2358" i="1" s="1"/>
  <c r="Q2358" i="1" s="1"/>
  <c r="I2756" i="1"/>
  <c r="G2755" i="1"/>
  <c r="O2755" i="1" s="1"/>
  <c r="Q2755" i="1" s="1"/>
  <c r="M2755" i="1"/>
  <c r="I2564" i="1"/>
  <c r="G2564" i="1" s="1"/>
  <c r="G2563" i="1"/>
  <c r="I2653" i="1"/>
  <c r="M2653" i="1" s="1"/>
  <c r="G2652" i="1"/>
  <c r="O2652" i="1" s="1"/>
  <c r="Q2652" i="1" s="1"/>
  <c r="M2133" i="1"/>
  <c r="I2135" i="1"/>
  <c r="G2135" i="1" s="1"/>
  <c r="O2133" i="1"/>
  <c r="Q2133" i="1" s="1"/>
  <c r="I2136" i="1"/>
  <c r="G2136" i="1" s="1"/>
  <c r="M2132" i="1"/>
  <c r="O2132" i="1"/>
  <c r="O2871" i="1"/>
  <c r="O2769" i="1"/>
  <c r="O2973" i="1"/>
  <c r="M2550" i="1"/>
  <c r="M2449" i="1"/>
  <c r="M2665" i="1"/>
  <c r="O2461" i="1"/>
  <c r="Q2461" i="1" s="1"/>
  <c r="M2461" i="1"/>
  <c r="O2562" i="1"/>
  <c r="Q2562" i="1" s="1"/>
  <c r="Q9339" i="1" l="1"/>
  <c r="Q5629" i="1"/>
  <c r="Q5937" i="1"/>
  <c r="Q6039" i="1"/>
  <c r="M9443" i="1"/>
  <c r="G9443" i="1"/>
  <c r="O9443" i="1" s="1"/>
  <c r="Q9443" i="1" s="1"/>
  <c r="I6041" i="1"/>
  <c r="G6040" i="1"/>
  <c r="O6040" i="1" s="1"/>
  <c r="Q9120" i="1"/>
  <c r="I5838" i="1"/>
  <c r="G5837" i="1"/>
  <c r="O5837" i="1" s="1"/>
  <c r="Q9429" i="1"/>
  <c r="I6246" i="1"/>
  <c r="G6245" i="1"/>
  <c r="O6245" i="1" s="1"/>
  <c r="Q6245" i="1" s="1"/>
  <c r="Q5731" i="1"/>
  <c r="I5747" i="1"/>
  <c r="G5746" i="1"/>
  <c r="O5746" i="1" s="1"/>
  <c r="Q5746" i="1" s="1"/>
  <c r="M5746" i="1"/>
  <c r="Q6155" i="1"/>
  <c r="I5939" i="1"/>
  <c r="G5938" i="1"/>
  <c r="O5938" i="1" s="1"/>
  <c r="Q9646" i="1"/>
  <c r="I9123" i="1"/>
  <c r="G9122" i="1"/>
  <c r="O9122" i="1" s="1"/>
  <c r="Q9122" i="1" s="1"/>
  <c r="Q6244" i="1"/>
  <c r="I9431" i="1"/>
  <c r="G9430" i="1"/>
  <c r="O9430" i="1" s="1"/>
  <c r="Q9430" i="1" s="1"/>
  <c r="I5734" i="1"/>
  <c r="G5733" i="1"/>
  <c r="O5733" i="1" s="1"/>
  <c r="M6156" i="1"/>
  <c r="G6156" i="1"/>
  <c r="O6156" i="1" s="1"/>
  <c r="Q6156" i="1" s="1"/>
  <c r="I9341" i="1"/>
  <c r="G9340" i="1"/>
  <c r="O9340" i="1" s="1"/>
  <c r="M9340" i="1"/>
  <c r="G9135" i="1"/>
  <c r="O9135" i="1" s="1"/>
  <c r="I9136" i="1"/>
  <c r="M9135" i="1"/>
  <c r="I6348" i="1"/>
  <c r="G6347" i="1"/>
  <c r="O6347" i="1" s="1"/>
  <c r="Q6347" i="1" s="1"/>
  <c r="Q5849" i="1"/>
  <c r="Q6359" i="1"/>
  <c r="I9328" i="1"/>
  <c r="G9327" i="1"/>
  <c r="O9327" i="1" s="1"/>
  <c r="Q9327" i="1" s="1"/>
  <c r="M9647" i="1"/>
  <c r="G9647" i="1"/>
  <c r="O9647" i="1" s="1"/>
  <c r="Q9647" i="1" s="1"/>
  <c r="G9019" i="1"/>
  <c r="O9019" i="1" s="1"/>
  <c r="Q9019" i="1" s="1"/>
  <c r="I9020" i="1"/>
  <c r="G9634" i="1"/>
  <c r="O9634" i="1" s="1"/>
  <c r="Q9634" i="1" s="1"/>
  <c r="I9635" i="1"/>
  <c r="I9033" i="1"/>
  <c r="M9032" i="1"/>
  <c r="G9032" i="1"/>
  <c r="O9032" i="1" s="1"/>
  <c r="I5644" i="1"/>
  <c r="M5643" i="1"/>
  <c r="G5643" i="1"/>
  <c r="O5643" i="1" s="1"/>
  <c r="I9737" i="1"/>
  <c r="G9736" i="1"/>
  <c r="O9736" i="1" s="1"/>
  <c r="M6360" i="1"/>
  <c r="G6360" i="1"/>
  <c r="O6360" i="1" s="1"/>
  <c r="Q6360" i="1" s="1"/>
  <c r="M9239" i="1"/>
  <c r="G9239" i="1"/>
  <c r="O9239" i="1" s="1"/>
  <c r="Q9239" i="1" s="1"/>
  <c r="I5952" i="1"/>
  <c r="M5951" i="1"/>
  <c r="G5951" i="1"/>
  <c r="O5951" i="1" s="1"/>
  <c r="I6054" i="1"/>
  <c r="G6053" i="1"/>
  <c r="O6053" i="1" s="1"/>
  <c r="M6053" i="1"/>
  <c r="Q9748" i="1"/>
  <c r="G5850" i="1"/>
  <c r="O5850" i="1" s="1"/>
  <c r="Q5850" i="1" s="1"/>
  <c r="M5850" i="1"/>
  <c r="Q9238" i="1"/>
  <c r="I5631" i="1"/>
  <c r="G5630" i="1"/>
  <c r="O5630" i="1" s="1"/>
  <c r="Q5630" i="1" s="1"/>
  <c r="G9532" i="1"/>
  <c r="O9532" i="1" s="1"/>
  <c r="Q9532" i="1" s="1"/>
  <c r="I9533" i="1"/>
  <c r="Q6257" i="1"/>
  <c r="Q9442" i="1"/>
  <c r="O9444" i="1"/>
  <c r="Q6142" i="1"/>
  <c r="Q9544" i="1"/>
  <c r="M9749" i="1"/>
  <c r="G9749" i="1"/>
  <c r="O9749" i="1" s="1"/>
  <c r="Q9749" i="1" s="1"/>
  <c r="M6258" i="1"/>
  <c r="G6258" i="1"/>
  <c r="O6258" i="1" s="1"/>
  <c r="Q6258" i="1" s="1"/>
  <c r="I6144" i="1"/>
  <c r="G6143" i="1"/>
  <c r="O6143" i="1" s="1"/>
  <c r="Q6143" i="1" s="1"/>
  <c r="G9226" i="1"/>
  <c r="O9226" i="1" s="1"/>
  <c r="I9227" i="1"/>
  <c r="M9545" i="1"/>
  <c r="G9545" i="1"/>
  <c r="O9545" i="1" s="1"/>
  <c r="Q9545" i="1" s="1"/>
  <c r="Q2959" i="1"/>
  <c r="Q2449" i="1"/>
  <c r="I2244" i="1"/>
  <c r="G2243" i="1"/>
  <c r="O2243" i="1" s="1"/>
  <c r="Q2243" i="1" s="1"/>
  <c r="M2243" i="1"/>
  <c r="I2859" i="1"/>
  <c r="G2858" i="1"/>
  <c r="O2858" i="1" s="1"/>
  <c r="M2858" i="1"/>
  <c r="I2757" i="1"/>
  <c r="G2756" i="1"/>
  <c r="O2756" i="1" s="1"/>
  <c r="M2756" i="1"/>
  <c r="I2552" i="1"/>
  <c r="G2551" i="1"/>
  <c r="O2551" i="1" s="1"/>
  <c r="Q2551" i="1" s="1"/>
  <c r="I2360" i="1"/>
  <c r="G2360" i="1" s="1"/>
  <c r="G2359" i="1"/>
  <c r="O2359" i="1" s="1"/>
  <c r="Q2359" i="1" s="1"/>
  <c r="I2961" i="1"/>
  <c r="G2960" i="1"/>
  <c r="O2960" i="1" s="1"/>
  <c r="M2960" i="1"/>
  <c r="G2653" i="1"/>
  <c r="O2653" i="1" s="1"/>
  <c r="Q2653" i="1" s="1"/>
  <c r="I2654" i="1"/>
  <c r="M2654" i="1" s="1"/>
  <c r="I2347" i="1"/>
  <c r="M2347" i="1" s="1"/>
  <c r="G2346" i="1"/>
  <c r="O2346" i="1" s="1"/>
  <c r="Q2346" i="1" s="1"/>
  <c r="I2451" i="1"/>
  <c r="G2450" i="1"/>
  <c r="O2450" i="1" s="1"/>
  <c r="G2256" i="1"/>
  <c r="O2256" i="1" s="1"/>
  <c r="M2256" i="1"/>
  <c r="Q2132" i="1"/>
  <c r="O2134" i="1"/>
  <c r="I2150" i="1"/>
  <c r="G2150" i="1" s="1"/>
  <c r="I2137" i="1"/>
  <c r="G2137" i="1" s="1"/>
  <c r="O2136" i="1"/>
  <c r="Q2136" i="1" s="1"/>
  <c r="O2135" i="1"/>
  <c r="Q2135" i="1" s="1"/>
  <c r="M2135" i="1"/>
  <c r="M2551" i="1"/>
  <c r="M2450" i="1"/>
  <c r="M2359" i="1"/>
  <c r="O2666" i="1"/>
  <c r="Q2666" i="1" s="1"/>
  <c r="M2666" i="1"/>
  <c r="M2563" i="1"/>
  <c r="O2563" i="1"/>
  <c r="Q2563" i="1" s="1"/>
  <c r="O2462" i="1"/>
  <c r="M2462" i="1"/>
  <c r="Q9135" i="1" l="1"/>
  <c r="Q5733" i="1"/>
  <c r="O9240" i="1"/>
  <c r="O6259" i="1"/>
  <c r="Q6053" i="1"/>
  <c r="M9033" i="1"/>
  <c r="G9033" i="1"/>
  <c r="O9033" i="1" s="1"/>
  <c r="Q9033" i="1" s="1"/>
  <c r="I9329" i="1"/>
  <c r="G9328" i="1"/>
  <c r="O9328" i="1" s="1"/>
  <c r="I9137" i="1"/>
  <c r="M9136" i="1"/>
  <c r="G9136" i="1"/>
  <c r="O9136" i="1" s="1"/>
  <c r="G9123" i="1"/>
  <c r="O9123" i="1" s="1"/>
  <c r="I9124" i="1"/>
  <c r="M9123" i="1"/>
  <c r="Q5837" i="1"/>
  <c r="M6054" i="1"/>
  <c r="G6054" i="1"/>
  <c r="O6054" i="1" s="1"/>
  <c r="Q6054" i="1" s="1"/>
  <c r="Q9736" i="1"/>
  <c r="I9636" i="1"/>
  <c r="G9635" i="1"/>
  <c r="O9635" i="1" s="1"/>
  <c r="Q9635" i="1" s="1"/>
  <c r="I5735" i="1"/>
  <c r="G5734" i="1"/>
  <c r="O5734" i="1" s="1"/>
  <c r="M5734" i="1"/>
  <c r="I5748" i="1"/>
  <c r="G5747" i="1"/>
  <c r="O5747" i="1" s="1"/>
  <c r="M5747" i="1"/>
  <c r="I5839" i="1"/>
  <c r="G5838" i="1"/>
  <c r="O5838" i="1" s="1"/>
  <c r="Q5838" i="1" s="1"/>
  <c r="Q5951" i="1"/>
  <c r="G9737" i="1"/>
  <c r="O9737" i="1" s="1"/>
  <c r="Q9737" i="1" s="1"/>
  <c r="I9738" i="1"/>
  <c r="O6361" i="1"/>
  <c r="O9648" i="1"/>
  <c r="Q9226" i="1"/>
  <c r="O9546" i="1"/>
  <c r="G9533" i="1"/>
  <c r="O9533" i="1" s="1"/>
  <c r="I9534" i="1"/>
  <c r="Q5643" i="1"/>
  <c r="G9020" i="1"/>
  <c r="O9020" i="1" s="1"/>
  <c r="I9021" i="1"/>
  <c r="Q5938" i="1"/>
  <c r="I9228" i="1"/>
  <c r="G9227" i="1"/>
  <c r="O9227" i="1" s="1"/>
  <c r="Q9227" i="1" s="1"/>
  <c r="I6145" i="1"/>
  <c r="G6144" i="1"/>
  <c r="O6144" i="1" s="1"/>
  <c r="O9750" i="1"/>
  <c r="M5952" i="1"/>
  <c r="G5952" i="1"/>
  <c r="O5952" i="1" s="1"/>
  <c r="Q5952" i="1" s="1"/>
  <c r="O5851" i="1"/>
  <c r="Q9340" i="1"/>
  <c r="G9431" i="1"/>
  <c r="O9431" i="1" s="1"/>
  <c r="I9432" i="1"/>
  <c r="I5940" i="1"/>
  <c r="G5939" i="1"/>
  <c r="O5939" i="1" s="1"/>
  <c r="Q5939" i="1" s="1"/>
  <c r="Q6040" i="1"/>
  <c r="M5644" i="1"/>
  <c r="G5644" i="1"/>
  <c r="O5644" i="1" s="1"/>
  <c r="Q5644" i="1" s="1"/>
  <c r="M9341" i="1"/>
  <c r="G9341" i="1"/>
  <c r="O9341" i="1" s="1"/>
  <c r="Q9341" i="1" s="1"/>
  <c r="O6157" i="1"/>
  <c r="I6247" i="1"/>
  <c r="G6246" i="1"/>
  <c r="O6246" i="1" s="1"/>
  <c r="I6042" i="1"/>
  <c r="G6041" i="1"/>
  <c r="O6041" i="1" s="1"/>
  <c r="Q6041" i="1" s="1"/>
  <c r="I5632" i="1"/>
  <c r="G5631" i="1"/>
  <c r="O5631" i="1" s="1"/>
  <c r="Q9032" i="1"/>
  <c r="I6349" i="1"/>
  <c r="G6348" i="1"/>
  <c r="O6348" i="1" s="1"/>
  <c r="Q6348" i="1" s="1"/>
  <c r="Q2462" i="1"/>
  <c r="Q2960" i="1"/>
  <c r="Q2450" i="1"/>
  <c r="Q2858" i="1"/>
  <c r="Q2756" i="1"/>
  <c r="Q2256" i="1"/>
  <c r="O2257" i="1"/>
  <c r="I2758" i="1"/>
  <c r="G2757" i="1"/>
  <c r="O2757" i="1" s="1"/>
  <c r="Q2757" i="1" s="1"/>
  <c r="M2757" i="1"/>
  <c r="I2962" i="1"/>
  <c r="G2961" i="1"/>
  <c r="O2961" i="1" s="1"/>
  <c r="Q2961" i="1" s="1"/>
  <c r="M2961" i="1"/>
  <c r="I2452" i="1"/>
  <c r="G2451" i="1"/>
  <c r="O2451" i="1" s="1"/>
  <c r="Q2451" i="1" s="1"/>
  <c r="I2860" i="1"/>
  <c r="G2859" i="1"/>
  <c r="O2859" i="1" s="1"/>
  <c r="M2859" i="1"/>
  <c r="I2348" i="1"/>
  <c r="M2348" i="1" s="1"/>
  <c r="G2347" i="1"/>
  <c r="O2347" i="1" s="1"/>
  <c r="Q2347" i="1" s="1"/>
  <c r="I2655" i="1"/>
  <c r="M2655" i="1" s="1"/>
  <c r="G2654" i="1"/>
  <c r="O2654" i="1" s="1"/>
  <c r="Q2654" i="1" s="1"/>
  <c r="G2552" i="1"/>
  <c r="O2552" i="1" s="1"/>
  <c r="I2553" i="1"/>
  <c r="I2245" i="1"/>
  <c r="G2244" i="1"/>
  <c r="O2244" i="1" s="1"/>
  <c r="Q2244" i="1" s="1"/>
  <c r="M2244" i="1"/>
  <c r="O2137" i="1"/>
  <c r="Q2137" i="1" s="1"/>
  <c r="I2138" i="1"/>
  <c r="G2138" i="1" s="1"/>
  <c r="M2137" i="1"/>
  <c r="M2150" i="1"/>
  <c r="I2151" i="1"/>
  <c r="G2151" i="1" s="1"/>
  <c r="O2150" i="1"/>
  <c r="O2667" i="1"/>
  <c r="O2463" i="1"/>
  <c r="M2552" i="1"/>
  <c r="M2451" i="1"/>
  <c r="O2360" i="1"/>
  <c r="Q2360" i="1" s="1"/>
  <c r="M2360" i="1"/>
  <c r="O2564" i="1"/>
  <c r="Q2564" i="1" s="1"/>
  <c r="M2564" i="1"/>
  <c r="O9034" i="1" l="1"/>
  <c r="O9342" i="1"/>
  <c r="I6043" i="1"/>
  <c r="G6042" i="1"/>
  <c r="O6042" i="1" s="1"/>
  <c r="Q6042" i="1" s="1"/>
  <c r="M9137" i="1"/>
  <c r="G9137" i="1"/>
  <c r="O9137" i="1" s="1"/>
  <c r="Q9137" i="1" s="1"/>
  <c r="Q9533" i="1"/>
  <c r="G9738" i="1"/>
  <c r="O9738" i="1" s="1"/>
  <c r="I9739" i="1"/>
  <c r="M5748" i="1"/>
  <c r="G5748" i="1"/>
  <c r="O5748" i="1" s="1"/>
  <c r="Q5748" i="1" s="1"/>
  <c r="Q6246" i="1"/>
  <c r="O5953" i="1"/>
  <c r="Q5734" i="1"/>
  <c r="Q9328" i="1"/>
  <c r="I5633" i="1"/>
  <c r="G5632" i="1"/>
  <c r="O5632" i="1" s="1"/>
  <c r="Q5632" i="1" s="1"/>
  <c r="G9228" i="1"/>
  <c r="O9228" i="1" s="1"/>
  <c r="Q9228" i="1" s="1"/>
  <c r="I9229" i="1"/>
  <c r="I6350" i="1"/>
  <c r="G6349" i="1"/>
  <c r="O6349" i="1" s="1"/>
  <c r="Q6349" i="1" s="1"/>
  <c r="I6248" i="1"/>
  <c r="G6247" i="1"/>
  <c r="O6247" i="1" s="1"/>
  <c r="Q6247" i="1" s="1"/>
  <c r="I5941" i="1"/>
  <c r="G5940" i="1"/>
  <c r="O5940" i="1" s="1"/>
  <c r="Q5940" i="1" s="1"/>
  <c r="I5736" i="1"/>
  <c r="G5735" i="1"/>
  <c r="O5735" i="1" s="1"/>
  <c r="Q5735" i="1" s="1"/>
  <c r="M5735" i="1"/>
  <c r="G9432" i="1"/>
  <c r="O9432" i="1" s="1"/>
  <c r="Q9432" i="1" s="1"/>
  <c r="I9433" i="1"/>
  <c r="Q6144" i="1"/>
  <c r="O5645" i="1"/>
  <c r="I5840" i="1"/>
  <c r="G5839" i="1"/>
  <c r="O5839" i="1" s="1"/>
  <c r="Q5839" i="1" s="1"/>
  <c r="G9636" i="1"/>
  <c r="O9636" i="1" s="1"/>
  <c r="Q9636" i="1" s="1"/>
  <c r="I9637" i="1"/>
  <c r="M9124" i="1"/>
  <c r="G9124" i="1"/>
  <c r="O9124" i="1" s="1"/>
  <c r="Q9124" i="1" s="1"/>
  <c r="I9125" i="1"/>
  <c r="G9021" i="1"/>
  <c r="O9021" i="1" s="1"/>
  <c r="Q9021" i="1" s="1"/>
  <c r="I9022" i="1"/>
  <c r="G9329" i="1"/>
  <c r="O9329" i="1" s="1"/>
  <c r="Q9329" i="1" s="1"/>
  <c r="I9330" i="1"/>
  <c r="Q9020" i="1"/>
  <c r="Q5631" i="1"/>
  <c r="Q9431" i="1"/>
  <c r="I6146" i="1"/>
  <c r="G6145" i="1"/>
  <c r="O6145" i="1" s="1"/>
  <c r="Q6145" i="1" s="1"/>
  <c r="Q9123" i="1"/>
  <c r="O6055" i="1"/>
  <c r="I9535" i="1"/>
  <c r="G9534" i="1"/>
  <c r="O9534" i="1" s="1"/>
  <c r="Q9534" i="1" s="1"/>
  <c r="Q5747" i="1"/>
  <c r="O5749" i="1"/>
  <c r="Q9136" i="1"/>
  <c r="Q2150" i="1"/>
  <c r="Q2859" i="1"/>
  <c r="Q2552" i="1"/>
  <c r="I2656" i="1"/>
  <c r="M2656" i="1" s="1"/>
  <c r="G2655" i="1"/>
  <c r="O2655" i="1" s="1"/>
  <c r="Q2655" i="1" s="1"/>
  <c r="I2349" i="1"/>
  <c r="M2349" i="1" s="1"/>
  <c r="G2348" i="1"/>
  <c r="O2348" i="1" s="1"/>
  <c r="I2963" i="1"/>
  <c r="G2962" i="1"/>
  <c r="O2962" i="1" s="1"/>
  <c r="Q2962" i="1" s="1"/>
  <c r="M2962" i="1"/>
  <c r="I2246" i="1"/>
  <c r="G2245" i="1"/>
  <c r="O2245" i="1" s="1"/>
  <c r="Q2245" i="1" s="1"/>
  <c r="M2245" i="1"/>
  <c r="I2554" i="1"/>
  <c r="G2553" i="1"/>
  <c r="O2553" i="1" s="1"/>
  <c r="G2860" i="1"/>
  <c r="O2860" i="1" s="1"/>
  <c r="Q2860" i="1" s="1"/>
  <c r="I2861" i="1"/>
  <c r="M2860" i="1"/>
  <c r="G2758" i="1"/>
  <c r="O2758" i="1" s="1"/>
  <c r="Q2758" i="1" s="1"/>
  <c r="I2759" i="1"/>
  <c r="M2758" i="1"/>
  <c r="G2452" i="1"/>
  <c r="O2452" i="1" s="1"/>
  <c r="Q2452" i="1" s="1"/>
  <c r="I2453" i="1"/>
  <c r="M2151" i="1"/>
  <c r="I2152" i="1"/>
  <c r="G2152" i="1" s="1"/>
  <c r="O2151" i="1"/>
  <c r="Q2151" i="1" s="1"/>
  <c r="I2139" i="1"/>
  <c r="G2139" i="1" s="1"/>
  <c r="M2138" i="1"/>
  <c r="O2138" i="1"/>
  <c r="Q2138" i="1" s="1"/>
  <c r="O2361" i="1"/>
  <c r="O2565" i="1"/>
  <c r="M2553" i="1"/>
  <c r="M2452" i="1"/>
  <c r="Q6782" i="1"/>
  <c r="I5841" i="1" l="1"/>
  <c r="G5840" i="1"/>
  <c r="O5840" i="1" s="1"/>
  <c r="Q5840" i="1" s="1"/>
  <c r="G9229" i="1"/>
  <c r="O9229" i="1" s="1"/>
  <c r="I9230" i="1"/>
  <c r="Q9738" i="1"/>
  <c r="I6044" i="1"/>
  <c r="G6043" i="1"/>
  <c r="O6043" i="1" s="1"/>
  <c r="I5737" i="1"/>
  <c r="G5736" i="1"/>
  <c r="O5736" i="1" s="1"/>
  <c r="Q5736" i="1" s="1"/>
  <c r="M5736" i="1"/>
  <c r="O9138" i="1"/>
  <c r="M9125" i="1"/>
  <c r="G9125" i="1"/>
  <c r="O9125" i="1" s="1"/>
  <c r="Q9125" i="1" s="1"/>
  <c r="I9126" i="1"/>
  <c r="I5942" i="1"/>
  <c r="G5941" i="1"/>
  <c r="O5941" i="1" s="1"/>
  <c r="Q5941" i="1" s="1"/>
  <c r="I5634" i="1"/>
  <c r="G5633" i="1"/>
  <c r="O5633" i="1" s="1"/>
  <c r="G9330" i="1"/>
  <c r="O9330" i="1" s="1"/>
  <c r="I9331" i="1"/>
  <c r="I6147" i="1"/>
  <c r="G6146" i="1"/>
  <c r="O6146" i="1" s="1"/>
  <c r="Q6146" i="1" s="1"/>
  <c r="I9638" i="1"/>
  <c r="G9637" i="1"/>
  <c r="O9637" i="1" s="1"/>
  <c r="Q9637" i="1" s="1"/>
  <c r="G9433" i="1"/>
  <c r="O9433" i="1" s="1"/>
  <c r="I9434" i="1"/>
  <c r="I6249" i="1"/>
  <c r="G6248" i="1"/>
  <c r="O6248" i="1" s="1"/>
  <c r="Q6248" i="1" s="1"/>
  <c r="I9023" i="1"/>
  <c r="G9022" i="1"/>
  <c r="O9022" i="1" s="1"/>
  <c r="Q9022" i="1" s="1"/>
  <c r="G9535" i="1"/>
  <c r="O9535" i="1" s="1"/>
  <c r="Q9535" i="1" s="1"/>
  <c r="I9536" i="1"/>
  <c r="I6351" i="1"/>
  <c r="G6350" i="1"/>
  <c r="O6350" i="1" s="1"/>
  <c r="Q6350" i="1" s="1"/>
  <c r="G9739" i="1"/>
  <c r="O9739" i="1" s="1"/>
  <c r="Q9739" i="1" s="1"/>
  <c r="I9740" i="1"/>
  <c r="Q2553" i="1"/>
  <c r="Q2348" i="1"/>
  <c r="I2247" i="1"/>
  <c r="G2246" i="1"/>
  <c r="O2246" i="1" s="1"/>
  <c r="Q2246" i="1" s="1"/>
  <c r="M2246" i="1"/>
  <c r="G2861" i="1"/>
  <c r="O2861" i="1" s="1"/>
  <c r="Q2861" i="1" s="1"/>
  <c r="I2862" i="1"/>
  <c r="M2861" i="1"/>
  <c r="I2964" i="1"/>
  <c r="G2963" i="1"/>
  <c r="O2963" i="1" s="1"/>
  <c r="Q2963" i="1" s="1"/>
  <c r="M2963" i="1"/>
  <c r="I2454" i="1"/>
  <c r="G2453" i="1"/>
  <c r="O2453" i="1" s="1"/>
  <c r="G2554" i="1"/>
  <c r="O2554" i="1" s="1"/>
  <c r="Q2554" i="1" s="1"/>
  <c r="I2555" i="1"/>
  <c r="G2349" i="1"/>
  <c r="O2349" i="1" s="1"/>
  <c r="Q2349" i="1" s="1"/>
  <c r="I2350" i="1"/>
  <c r="M2350" i="1" s="1"/>
  <c r="G2759" i="1"/>
  <c r="O2759" i="1" s="1"/>
  <c r="Q2759" i="1" s="1"/>
  <c r="I2760" i="1"/>
  <c r="M2759" i="1"/>
  <c r="G2656" i="1"/>
  <c r="O2656" i="1" s="1"/>
  <c r="Q2656" i="1" s="1"/>
  <c r="I2657" i="1"/>
  <c r="M2657" i="1" s="1"/>
  <c r="O2139" i="1"/>
  <c r="Q2139" i="1" s="1"/>
  <c r="I2140" i="1"/>
  <c r="G2140" i="1" s="1"/>
  <c r="M2139" i="1"/>
  <c r="O2152" i="1"/>
  <c r="M2152" i="1"/>
  <c r="M2554" i="1"/>
  <c r="M2453" i="1"/>
  <c r="H2170" i="1"/>
  <c r="N2066" i="1"/>
  <c r="N2478" i="1" s="1"/>
  <c r="G9536" i="1" l="1"/>
  <c r="O9536" i="1" s="1"/>
  <c r="Q9536" i="1" s="1"/>
  <c r="I9537" i="1"/>
  <c r="I9435" i="1"/>
  <c r="G9434" i="1"/>
  <c r="O9434" i="1" s="1"/>
  <c r="Q9434" i="1" s="1"/>
  <c r="Q6043" i="1"/>
  <c r="Q9433" i="1"/>
  <c r="Q5633" i="1"/>
  <c r="I6045" i="1"/>
  <c r="G6044" i="1"/>
  <c r="O6044" i="1" s="1"/>
  <c r="Q6044" i="1" s="1"/>
  <c r="I5635" i="1"/>
  <c r="G5634" i="1"/>
  <c r="O5634" i="1" s="1"/>
  <c r="Q5634" i="1" s="1"/>
  <c r="I9741" i="1"/>
  <c r="G9740" i="1"/>
  <c r="O9740" i="1" s="1"/>
  <c r="I9639" i="1"/>
  <c r="G9638" i="1"/>
  <c r="O9638" i="1" s="1"/>
  <c r="Q9638" i="1" s="1"/>
  <c r="G9023" i="1"/>
  <c r="O9023" i="1" s="1"/>
  <c r="I9024" i="1"/>
  <c r="I5943" i="1"/>
  <c r="G5942" i="1"/>
  <c r="O5942" i="1" s="1"/>
  <c r="G9230" i="1"/>
  <c r="O9230" i="1" s="1"/>
  <c r="Q9230" i="1" s="1"/>
  <c r="I9231" i="1"/>
  <c r="I6148" i="1"/>
  <c r="G6147" i="1"/>
  <c r="O6147" i="1" s="1"/>
  <c r="Q9229" i="1"/>
  <c r="G9331" i="1"/>
  <c r="O9331" i="1" s="1"/>
  <c r="Q9331" i="1" s="1"/>
  <c r="I9332" i="1"/>
  <c r="G9126" i="1"/>
  <c r="O9126" i="1" s="1"/>
  <c r="Q9126" i="1" s="1"/>
  <c r="I9127" i="1"/>
  <c r="I5738" i="1"/>
  <c r="G5737" i="1"/>
  <c r="O5737" i="1" s="1"/>
  <c r="I6352" i="1"/>
  <c r="G6351" i="1"/>
  <c r="O6351" i="1" s="1"/>
  <c r="Q6351" i="1" s="1"/>
  <c r="I6250" i="1"/>
  <c r="G6249" i="1"/>
  <c r="O6249" i="1" s="1"/>
  <c r="Q6249" i="1" s="1"/>
  <c r="Q9330" i="1"/>
  <c r="I5842" i="1"/>
  <c r="G5841" i="1"/>
  <c r="O5841" i="1" s="1"/>
  <c r="Q5841" i="1" s="1"/>
  <c r="Q2453" i="1"/>
  <c r="G2350" i="1"/>
  <c r="O2350" i="1" s="1"/>
  <c r="Q2350" i="1" s="1"/>
  <c r="I2351" i="1"/>
  <c r="I2965" i="1"/>
  <c r="G2964" i="1"/>
  <c r="O2964" i="1" s="1"/>
  <c r="Q2964" i="1" s="1"/>
  <c r="M2964" i="1"/>
  <c r="I2556" i="1"/>
  <c r="G2555" i="1"/>
  <c r="O2555" i="1" s="1"/>
  <c r="Q2555" i="1" s="1"/>
  <c r="I2863" i="1"/>
  <c r="G2862" i="1"/>
  <c r="O2862" i="1" s="1"/>
  <c r="M2862" i="1"/>
  <c r="I2658" i="1"/>
  <c r="M2658" i="1" s="1"/>
  <c r="G2657" i="1"/>
  <c r="O2657" i="1" s="1"/>
  <c r="Q2657" i="1" s="1"/>
  <c r="I2455" i="1"/>
  <c r="G2454" i="1"/>
  <c r="O2454" i="1" s="1"/>
  <c r="Q2454" i="1" s="1"/>
  <c r="I2761" i="1"/>
  <c r="G2760" i="1"/>
  <c r="O2760" i="1" s="1"/>
  <c r="Q2760" i="1" s="1"/>
  <c r="M2760" i="1"/>
  <c r="I2248" i="1"/>
  <c r="G2247" i="1"/>
  <c r="O2247" i="1" s="1"/>
  <c r="Q2247" i="1" s="1"/>
  <c r="M2247" i="1"/>
  <c r="H2274" i="1"/>
  <c r="G2274" i="1" s="1"/>
  <c r="G2170" i="1"/>
  <c r="Q2152" i="1"/>
  <c r="O2153" i="1"/>
  <c r="O2140" i="1"/>
  <c r="Q2140" i="1" s="1"/>
  <c r="M2140" i="1"/>
  <c r="I2141" i="1"/>
  <c r="G2141" i="1" s="1"/>
  <c r="M2555" i="1"/>
  <c r="M2454" i="1"/>
  <c r="M2351" i="1"/>
  <c r="H2066" i="1"/>
  <c r="H2682" i="1"/>
  <c r="G2682" i="1" s="1"/>
  <c r="H2886" i="1"/>
  <c r="G2886" i="1" s="1"/>
  <c r="H2580" i="1"/>
  <c r="G2580" i="1" s="1"/>
  <c r="M2170" i="1"/>
  <c r="N2580" i="1"/>
  <c r="N2784" i="1"/>
  <c r="N2886" i="1"/>
  <c r="N2170" i="1"/>
  <c r="N2274" i="1"/>
  <c r="N2682" i="1"/>
  <c r="N2376" i="1"/>
  <c r="H2376" i="1"/>
  <c r="G2376" i="1" s="1"/>
  <c r="H2478" i="1"/>
  <c r="G2478" i="1" s="1"/>
  <c r="H2784" i="1"/>
  <c r="G2784" i="1" s="1"/>
  <c r="G9127" i="1" l="1"/>
  <c r="O9127" i="1" s="1"/>
  <c r="I9128" i="1"/>
  <c r="G9231" i="1"/>
  <c r="O9231" i="1" s="1"/>
  <c r="Q9231" i="1" s="1"/>
  <c r="I9232" i="1"/>
  <c r="Q9740" i="1"/>
  <c r="I9742" i="1"/>
  <c r="G9741" i="1"/>
  <c r="O9741" i="1" s="1"/>
  <c r="Q9741" i="1" s="1"/>
  <c r="I9333" i="1"/>
  <c r="G9332" i="1"/>
  <c r="O9332" i="1" s="1"/>
  <c r="Q5942" i="1"/>
  <c r="I6251" i="1"/>
  <c r="G6250" i="1"/>
  <c r="O6250" i="1" s="1"/>
  <c r="Q6250" i="1" s="1"/>
  <c r="I5944" i="1"/>
  <c r="G5943" i="1"/>
  <c r="O5943" i="1" s="1"/>
  <c r="Q5943" i="1" s="1"/>
  <c r="I5636" i="1"/>
  <c r="G5635" i="1"/>
  <c r="O5635" i="1" s="1"/>
  <c r="Q5635" i="1" s="1"/>
  <c r="G9024" i="1"/>
  <c r="O9024" i="1" s="1"/>
  <c r="Q9024" i="1" s="1"/>
  <c r="I9025" i="1"/>
  <c r="I6353" i="1"/>
  <c r="G6352" i="1"/>
  <c r="O6352" i="1" s="1"/>
  <c r="Q6352" i="1" s="1"/>
  <c r="Q9023" i="1"/>
  <c r="I6046" i="1"/>
  <c r="G6045" i="1"/>
  <c r="O6045" i="1" s="1"/>
  <c r="Q6045" i="1" s="1"/>
  <c r="I5843" i="1"/>
  <c r="G5842" i="1"/>
  <c r="O5842" i="1" s="1"/>
  <c r="Q5842" i="1" s="1"/>
  <c r="Q5737" i="1"/>
  <c r="Q6147" i="1"/>
  <c r="I9436" i="1"/>
  <c r="G9435" i="1"/>
  <c r="O9435" i="1" s="1"/>
  <c r="I5739" i="1"/>
  <c r="G5738" i="1"/>
  <c r="O5738" i="1" s="1"/>
  <c r="Q5738" i="1" s="1"/>
  <c r="I6149" i="1"/>
  <c r="G6148" i="1"/>
  <c r="O6148" i="1" s="1"/>
  <c r="Q6148" i="1" s="1"/>
  <c r="G9639" i="1"/>
  <c r="O9639" i="1" s="1"/>
  <c r="Q9639" i="1" s="1"/>
  <c r="I9640" i="1"/>
  <c r="G9537" i="1"/>
  <c r="O9537" i="1" s="1"/>
  <c r="Q9537" i="1" s="1"/>
  <c r="I9538" i="1"/>
  <c r="Q2862" i="1"/>
  <c r="M2274" i="1"/>
  <c r="I2864" i="1"/>
  <c r="G2863" i="1"/>
  <c r="O2863" i="1" s="1"/>
  <c r="Q2863" i="1" s="1"/>
  <c r="M2863" i="1"/>
  <c r="I2762" i="1"/>
  <c r="G2761" i="1"/>
  <c r="O2761" i="1" s="1"/>
  <c r="Q2761" i="1" s="1"/>
  <c r="M2761" i="1"/>
  <c r="I2557" i="1"/>
  <c r="G2556" i="1"/>
  <c r="O2556" i="1" s="1"/>
  <c r="Q2556" i="1" s="1"/>
  <c r="I2456" i="1"/>
  <c r="G2455" i="1"/>
  <c r="O2455" i="1" s="1"/>
  <c r="Q2455" i="1" s="1"/>
  <c r="I2659" i="1"/>
  <c r="M2659" i="1" s="1"/>
  <c r="G2658" i="1"/>
  <c r="O2658" i="1" s="1"/>
  <c r="I2966" i="1"/>
  <c r="G2965" i="1"/>
  <c r="O2965" i="1" s="1"/>
  <c r="Q2965" i="1" s="1"/>
  <c r="M2965" i="1"/>
  <c r="G2248" i="1"/>
  <c r="O2248" i="1" s="1"/>
  <c r="Q2248" i="1" s="1"/>
  <c r="I2249" i="1"/>
  <c r="M2248" i="1"/>
  <c r="G2351" i="1"/>
  <c r="O2351" i="1" s="1"/>
  <c r="I2352" i="1"/>
  <c r="M2066" i="1"/>
  <c r="G2066" i="1"/>
  <c r="O2066" i="1" s="1"/>
  <c r="O2062" i="1" s="1"/>
  <c r="O2141" i="1"/>
  <c r="Q2141" i="1" s="1"/>
  <c r="M2141" i="1"/>
  <c r="I2142" i="1"/>
  <c r="G2142" i="1" s="1"/>
  <c r="M2556" i="1"/>
  <c r="M2455" i="1"/>
  <c r="M2352" i="1"/>
  <c r="O2274" i="1"/>
  <c r="Q2274" i="1" s="1"/>
  <c r="O2682" i="1"/>
  <c r="Q2682" i="1" s="1"/>
  <c r="M2682" i="1"/>
  <c r="O2170" i="1"/>
  <c r="O2580" i="1"/>
  <c r="Q2580" i="1" s="1"/>
  <c r="M2580" i="1"/>
  <c r="O2886" i="1"/>
  <c r="Q2886" i="1" s="1"/>
  <c r="M2886" i="1"/>
  <c r="M2784" i="1"/>
  <c r="O2784" i="1"/>
  <c r="Q2784" i="1" s="1"/>
  <c r="M2478" i="1"/>
  <c r="O2478" i="1"/>
  <c r="Q2478" i="1" s="1"/>
  <c r="M2376" i="1"/>
  <c r="O2376" i="1"/>
  <c r="I5637" i="1" l="1"/>
  <c r="G5636" i="1"/>
  <c r="O5636" i="1" s="1"/>
  <c r="Q5636" i="1" s="1"/>
  <c r="Q9332" i="1"/>
  <c r="I9129" i="1"/>
  <c r="G9128" i="1"/>
  <c r="O9128" i="1" s="1"/>
  <c r="Q9128" i="1" s="1"/>
  <c r="I6150" i="1"/>
  <c r="G6149" i="1"/>
  <c r="O6149" i="1" s="1"/>
  <c r="Q6149" i="1" s="1"/>
  <c r="G9333" i="1"/>
  <c r="O9333" i="1" s="1"/>
  <c r="Q9333" i="1" s="1"/>
  <c r="I9334" i="1"/>
  <c r="Q9127" i="1"/>
  <c r="I6354" i="1"/>
  <c r="G6353" i="1"/>
  <c r="O6353" i="1" s="1"/>
  <c r="Q6353" i="1" s="1"/>
  <c r="I5945" i="1"/>
  <c r="G5944" i="1"/>
  <c r="O5944" i="1" s="1"/>
  <c r="Q5944" i="1" s="1"/>
  <c r="I5740" i="1"/>
  <c r="G5739" i="1"/>
  <c r="O5739" i="1" s="1"/>
  <c r="I9743" i="1"/>
  <c r="G9742" i="1"/>
  <c r="O9742" i="1" s="1"/>
  <c r="Q9742" i="1" s="1"/>
  <c r="Q9435" i="1"/>
  <c r="I5844" i="1"/>
  <c r="G5843" i="1"/>
  <c r="O5843" i="1" s="1"/>
  <c r="Q5843" i="1" s="1"/>
  <c r="I6252" i="1"/>
  <c r="G6251" i="1"/>
  <c r="O6251" i="1" s="1"/>
  <c r="Q6251" i="1" s="1"/>
  <c r="G9436" i="1"/>
  <c r="O9436" i="1" s="1"/>
  <c r="Q9436" i="1" s="1"/>
  <c r="I9437" i="1"/>
  <c r="I9026" i="1"/>
  <c r="G9025" i="1"/>
  <c r="O9025" i="1" s="1"/>
  <c r="Q9025" i="1" s="1"/>
  <c r="G9640" i="1"/>
  <c r="O9640" i="1" s="1"/>
  <c r="Q9640" i="1" s="1"/>
  <c r="I9641" i="1"/>
  <c r="I6047" i="1"/>
  <c r="G6046" i="1"/>
  <c r="O6046" i="1" s="1"/>
  <c r="Q6046" i="1" s="1"/>
  <c r="G9232" i="1"/>
  <c r="O9232" i="1" s="1"/>
  <c r="Q9232" i="1" s="1"/>
  <c r="I9233" i="1"/>
  <c r="I9539" i="1"/>
  <c r="G9538" i="1"/>
  <c r="O9538" i="1" s="1"/>
  <c r="Q9538" i="1" s="1"/>
  <c r="Q2170" i="1"/>
  <c r="Q2658" i="1"/>
  <c r="Q2351" i="1"/>
  <c r="Q2376" i="1"/>
  <c r="I2558" i="1"/>
  <c r="G2557" i="1"/>
  <c r="O2557" i="1" s="1"/>
  <c r="Q2557" i="1" s="1"/>
  <c r="I2968" i="1"/>
  <c r="G2966" i="1"/>
  <c r="O2966" i="1" s="1"/>
  <c r="M2966" i="1"/>
  <c r="I2353" i="1"/>
  <c r="M2353" i="1" s="1"/>
  <c r="G2352" i="1"/>
  <c r="O2352" i="1" s="1"/>
  <c r="Q2352" i="1" s="1"/>
  <c r="I2764" i="1"/>
  <c r="G2762" i="1"/>
  <c r="O2762" i="1" s="1"/>
  <c r="M2762" i="1"/>
  <c r="I2660" i="1"/>
  <c r="G2659" i="1"/>
  <c r="O2659" i="1" s="1"/>
  <c r="Q2659" i="1" s="1"/>
  <c r="I2250" i="1"/>
  <c r="G2249" i="1"/>
  <c r="O2249" i="1" s="1"/>
  <c r="Q2249" i="1" s="1"/>
  <c r="M2249" i="1"/>
  <c r="I2458" i="1"/>
  <c r="G2458" i="1" s="1"/>
  <c r="O2458" i="1" s="1"/>
  <c r="Q2458" i="1" s="1"/>
  <c r="G2456" i="1"/>
  <c r="G2864" i="1"/>
  <c r="O2864" i="1" s="1"/>
  <c r="I2866" i="1"/>
  <c r="M2864" i="1"/>
  <c r="M2142" i="1"/>
  <c r="I2143" i="1"/>
  <c r="G2143" i="1" s="1"/>
  <c r="O2143" i="1" s="1"/>
  <c r="O2142" i="1"/>
  <c r="Q2142" i="1" s="1"/>
  <c r="M2557" i="1"/>
  <c r="O2456" i="1"/>
  <c r="M2456" i="1"/>
  <c r="O2174" i="1"/>
  <c r="O2278" i="1"/>
  <c r="O2270" i="1"/>
  <c r="Q2270" i="1" s="1"/>
  <c r="O2070" i="1"/>
  <c r="Q2066" i="1"/>
  <c r="O2166" i="1"/>
  <c r="O2678" i="1"/>
  <c r="Q2678" i="1" s="1"/>
  <c r="O2686" i="1"/>
  <c r="O2788" i="1"/>
  <c r="O2780" i="1"/>
  <c r="Q2780" i="1" s="1"/>
  <c r="O2372" i="1"/>
  <c r="Q2372" i="1" s="1"/>
  <c r="O2380" i="1"/>
  <c r="O2882" i="1"/>
  <c r="Q2882" i="1" s="1"/>
  <c r="O2890" i="1"/>
  <c r="Q2062" i="1"/>
  <c r="O2474" i="1"/>
  <c r="Q2474" i="1" s="1"/>
  <c r="O2482" i="1"/>
  <c r="O2584" i="1"/>
  <c r="O2576" i="1"/>
  <c r="Q2576" i="1" s="1"/>
  <c r="I9235" i="1" l="1"/>
  <c r="G9235" i="1" s="1"/>
  <c r="O9235" i="1" s="1"/>
  <c r="G9233" i="1"/>
  <c r="O9233" i="1" s="1"/>
  <c r="G9437" i="1"/>
  <c r="O9437" i="1" s="1"/>
  <c r="I9439" i="1"/>
  <c r="G9439" i="1" s="1"/>
  <c r="O9439" i="1" s="1"/>
  <c r="I5946" i="1"/>
  <c r="G5945" i="1"/>
  <c r="O5945" i="1" s="1"/>
  <c r="Q5945" i="1" s="1"/>
  <c r="I6152" i="1"/>
  <c r="G6150" i="1"/>
  <c r="O6150" i="1" s="1"/>
  <c r="I6048" i="1"/>
  <c r="G6047" i="1"/>
  <c r="O6047" i="1" s="1"/>
  <c r="Q6047" i="1" s="1"/>
  <c r="I9745" i="1"/>
  <c r="G9745" i="1" s="1"/>
  <c r="O9745" i="1" s="1"/>
  <c r="G9743" i="1"/>
  <c r="O9743" i="1" s="1"/>
  <c r="I6356" i="1"/>
  <c r="G6354" i="1"/>
  <c r="O6354" i="1" s="1"/>
  <c r="G9129" i="1"/>
  <c r="O9129" i="1" s="1"/>
  <c r="Q9129" i="1" s="1"/>
  <c r="I9130" i="1"/>
  <c r="G9641" i="1"/>
  <c r="O9641" i="1" s="1"/>
  <c r="I9643" i="1"/>
  <c r="G9643" i="1" s="1"/>
  <c r="O9643" i="1" s="1"/>
  <c r="I6254" i="1"/>
  <c r="G6252" i="1"/>
  <c r="O6252" i="1" s="1"/>
  <c r="O6253" i="1" s="1"/>
  <c r="Q5739" i="1"/>
  <c r="G9334" i="1"/>
  <c r="O9334" i="1" s="1"/>
  <c r="Q9334" i="1" s="1"/>
  <c r="I9335" i="1"/>
  <c r="G9539" i="1"/>
  <c r="O9539" i="1" s="1"/>
  <c r="I9541" i="1"/>
  <c r="G9541" i="1" s="1"/>
  <c r="O9541" i="1" s="1"/>
  <c r="G9026" i="1"/>
  <c r="O9026" i="1" s="1"/>
  <c r="Q9026" i="1" s="1"/>
  <c r="I9027" i="1"/>
  <c r="I5846" i="1"/>
  <c r="G5844" i="1"/>
  <c r="O5844" i="1" s="1"/>
  <c r="O5845" i="1" s="1"/>
  <c r="I5741" i="1"/>
  <c r="G5740" i="1"/>
  <c r="O5740" i="1" s="1"/>
  <c r="Q5740" i="1" s="1"/>
  <c r="I5638" i="1"/>
  <c r="G5637" i="1"/>
  <c r="O5637" i="1" s="1"/>
  <c r="Q5637" i="1" s="1"/>
  <c r="Q2166" i="1"/>
  <c r="M2458" i="1"/>
  <c r="G2353" i="1"/>
  <c r="O2353" i="1" s="1"/>
  <c r="Q2353" i="1" s="1"/>
  <c r="I2354" i="1"/>
  <c r="I2252" i="1"/>
  <c r="G2250" i="1"/>
  <c r="O2250" i="1" s="1"/>
  <c r="M2250" i="1"/>
  <c r="G2866" i="1"/>
  <c r="O2866" i="1" s="1"/>
  <c r="M2866" i="1"/>
  <c r="I2662" i="1"/>
  <c r="G2660" i="1"/>
  <c r="O2660" i="1" s="1"/>
  <c r="O2661" i="1" s="1"/>
  <c r="Q2661" i="1" s="1"/>
  <c r="Q2966" i="1"/>
  <c r="O2967" i="1"/>
  <c r="O2865" i="1"/>
  <c r="Q2864" i="1"/>
  <c r="G2968" i="1"/>
  <c r="O2968" i="1" s="1"/>
  <c r="M2968" i="1"/>
  <c r="M2660" i="1"/>
  <c r="O2763" i="1"/>
  <c r="Q2762" i="1"/>
  <c r="G2764" i="1"/>
  <c r="O2764" i="1" s="1"/>
  <c r="M2764" i="1"/>
  <c r="I2560" i="1"/>
  <c r="G2560" i="1" s="1"/>
  <c r="O2560" i="1" s="1"/>
  <c r="G2558" i="1"/>
  <c r="O2558" i="1" s="1"/>
  <c r="M2143" i="1"/>
  <c r="Q2143" i="1"/>
  <c r="I2144" i="1"/>
  <c r="G2144" i="1" s="1"/>
  <c r="O2457" i="1"/>
  <c r="Q2456" i="1"/>
  <c r="O2459" i="1"/>
  <c r="M2558" i="1"/>
  <c r="M2354" i="1"/>
  <c r="M6152" i="1" l="1"/>
  <c r="G6152" i="1"/>
  <c r="O6152" i="1" s="1"/>
  <c r="O9746" i="1"/>
  <c r="Q9745" i="1"/>
  <c r="M5846" i="1"/>
  <c r="G5846" i="1"/>
  <c r="O5846" i="1" s="1"/>
  <c r="I6050" i="1"/>
  <c r="G6048" i="1"/>
  <c r="O6048" i="1" s="1"/>
  <c r="O6049" i="1" s="1"/>
  <c r="O9236" i="1"/>
  <c r="Q9235" i="1"/>
  <c r="I9029" i="1"/>
  <c r="G9029" i="1" s="1"/>
  <c r="O9029" i="1" s="1"/>
  <c r="G9027" i="1"/>
  <c r="O9027" i="1" s="1"/>
  <c r="G9130" i="1"/>
  <c r="O9130" i="1" s="1"/>
  <c r="Q9130" i="1" s="1"/>
  <c r="I9131" i="1"/>
  <c r="Q6150" i="1"/>
  <c r="O6151" i="1"/>
  <c r="O9542" i="1"/>
  <c r="Q9541" i="1"/>
  <c r="Q6252" i="1"/>
  <c r="Q6354" i="1"/>
  <c r="O6355" i="1"/>
  <c r="I5640" i="1"/>
  <c r="G5638" i="1"/>
  <c r="O5638" i="1" s="1"/>
  <c r="O5639" i="1" s="1"/>
  <c r="Q9539" i="1"/>
  <c r="O9540" i="1"/>
  <c r="G6254" i="1"/>
  <c r="O6254" i="1" s="1"/>
  <c r="M6254" i="1"/>
  <c r="G6356" i="1"/>
  <c r="O6356" i="1" s="1"/>
  <c r="M6356" i="1"/>
  <c r="I5948" i="1"/>
  <c r="G5946" i="1"/>
  <c r="O5946" i="1" s="1"/>
  <c r="O5947" i="1" s="1"/>
  <c r="O9644" i="1"/>
  <c r="Q9643" i="1"/>
  <c r="Q9743" i="1"/>
  <c r="O9744" i="1"/>
  <c r="O9440" i="1"/>
  <c r="Q9439" i="1"/>
  <c r="I5742" i="1"/>
  <c r="G5741" i="1"/>
  <c r="O5741" i="1" s="1"/>
  <c r="Q5741" i="1" s="1"/>
  <c r="Q9437" i="1"/>
  <c r="O9438" i="1"/>
  <c r="Q5844" i="1"/>
  <c r="G9335" i="1"/>
  <c r="O9335" i="1" s="1"/>
  <c r="I9337" i="1"/>
  <c r="G9337" i="1" s="1"/>
  <c r="O9337" i="1" s="1"/>
  <c r="Q9233" i="1"/>
  <c r="O9234" i="1"/>
  <c r="Q9641" i="1"/>
  <c r="O9642" i="1"/>
  <c r="Q2560" i="1"/>
  <c r="Q2457" i="1"/>
  <c r="M2560" i="1"/>
  <c r="Q2660" i="1"/>
  <c r="G2662" i="1"/>
  <c r="O2662" i="1" s="1"/>
  <c r="M2662" i="1"/>
  <c r="Q2968" i="1"/>
  <c r="O2969" i="1"/>
  <c r="Q2866" i="1"/>
  <c r="O2867" i="1"/>
  <c r="Q2865" i="1"/>
  <c r="Q2250" i="1"/>
  <c r="O2251" i="1"/>
  <c r="Q2764" i="1"/>
  <c r="O2765" i="1"/>
  <c r="O2711" i="1" s="1"/>
  <c r="Q2967" i="1"/>
  <c r="G2252" i="1"/>
  <c r="O2252" i="1" s="1"/>
  <c r="M2252" i="1"/>
  <c r="G2354" i="1"/>
  <c r="O2354" i="1" s="1"/>
  <c r="O2355" i="1" s="1"/>
  <c r="Q2355" i="1" s="1"/>
  <c r="I2356" i="1"/>
  <c r="Q2763" i="1"/>
  <c r="M2144" i="1"/>
  <c r="O2144" i="1"/>
  <c r="Q2144" i="1" s="1"/>
  <c r="I2145" i="1"/>
  <c r="G2145" i="1" s="1"/>
  <c r="O2405" i="1"/>
  <c r="Q2405" i="1" s="1"/>
  <c r="O2559" i="1"/>
  <c r="Q2558" i="1"/>
  <c r="O2561" i="1"/>
  <c r="Q9642" i="1" l="1"/>
  <c r="O9590" i="1"/>
  <c r="Q9438" i="1"/>
  <c r="O9386" i="1"/>
  <c r="O6357" i="1"/>
  <c r="O6303" i="1" s="1"/>
  <c r="Q6356" i="1"/>
  <c r="Q6253" i="1"/>
  <c r="Q9027" i="1"/>
  <c r="O9028" i="1"/>
  <c r="Q5846" i="1"/>
  <c r="O5847" i="1"/>
  <c r="O5793" i="1" s="1"/>
  <c r="O9030" i="1"/>
  <c r="Q9029" i="1"/>
  <c r="Q9540" i="1"/>
  <c r="O9488" i="1"/>
  <c r="Q9234" i="1"/>
  <c r="O9182" i="1"/>
  <c r="Q6254" i="1"/>
  <c r="O6255" i="1"/>
  <c r="O6201" i="1" s="1"/>
  <c r="I5744" i="1"/>
  <c r="G5742" i="1"/>
  <c r="O5742" i="1" s="1"/>
  <c r="O5743" i="1" s="1"/>
  <c r="O9338" i="1"/>
  <c r="Q9337" i="1"/>
  <c r="Q9335" i="1"/>
  <c r="O9336" i="1"/>
  <c r="Q5946" i="1"/>
  <c r="Q5638" i="1"/>
  <c r="Q6151" i="1"/>
  <c r="Q6048" i="1"/>
  <c r="Q5845" i="1"/>
  <c r="Q9744" i="1"/>
  <c r="O9692" i="1"/>
  <c r="G5948" i="1"/>
  <c r="O5948" i="1" s="1"/>
  <c r="M5948" i="1"/>
  <c r="M5640" i="1"/>
  <c r="G5640" i="1"/>
  <c r="O5640" i="1" s="1"/>
  <c r="G6050" i="1"/>
  <c r="O6050" i="1" s="1"/>
  <c r="M6050" i="1"/>
  <c r="Q6355" i="1"/>
  <c r="I9133" i="1"/>
  <c r="G9133" i="1" s="1"/>
  <c r="O9133" i="1" s="1"/>
  <c r="G9131" i="1"/>
  <c r="O9131" i="1" s="1"/>
  <c r="O6153" i="1"/>
  <c r="O6099" i="1" s="1"/>
  <c r="Q6152" i="1"/>
  <c r="O2813" i="1"/>
  <c r="Q2813" i="1" s="1"/>
  <c r="O2915" i="1"/>
  <c r="O2881" i="1" s="1"/>
  <c r="Q2881" i="1" s="1"/>
  <c r="Q2559" i="1"/>
  <c r="Q2354" i="1"/>
  <c r="Q2711" i="1"/>
  <c r="O2677" i="1"/>
  <c r="Q2677" i="1" s="1"/>
  <c r="Q2252" i="1"/>
  <c r="O2253" i="1"/>
  <c r="O2199" i="1" s="1"/>
  <c r="Q2251" i="1"/>
  <c r="G2356" i="1"/>
  <c r="O2356" i="1" s="1"/>
  <c r="M2356" i="1"/>
  <c r="Q2662" i="1"/>
  <c r="O2663" i="1"/>
  <c r="O2609" i="1" s="1"/>
  <c r="M2145" i="1"/>
  <c r="O2145" i="1"/>
  <c r="Q2145" i="1" s="1"/>
  <c r="I2146" i="1"/>
  <c r="G2146" i="1" s="1"/>
  <c r="O2371" i="1"/>
  <c r="Q2371" i="1" s="1"/>
  <c r="O2507" i="1"/>
  <c r="Q2507" i="1" s="1"/>
  <c r="Q2915" i="1" l="1"/>
  <c r="O2779" i="1"/>
  <c r="Q6099" i="1"/>
  <c r="O6065" i="1"/>
  <c r="Q6065" i="1" s="1"/>
  <c r="Q6201" i="1"/>
  <c r="O6167" i="1"/>
  <c r="Q6167" i="1" s="1"/>
  <c r="O5641" i="1"/>
  <c r="O5587" i="1" s="1"/>
  <c r="Q5640" i="1"/>
  <c r="Q9182" i="1"/>
  <c r="O9148" i="1"/>
  <c r="Q9148" i="1" s="1"/>
  <c r="Q9590" i="1"/>
  <c r="O9556" i="1"/>
  <c r="Q9556" i="1" s="1"/>
  <c r="Q9131" i="1"/>
  <c r="O9132" i="1"/>
  <c r="Q9488" i="1"/>
  <c r="O9454" i="1"/>
  <c r="Q9454" i="1" s="1"/>
  <c r="Q6049" i="1"/>
  <c r="Q9336" i="1"/>
  <c r="O9284" i="1"/>
  <c r="Q9028" i="1"/>
  <c r="O8976" i="1"/>
  <c r="O9134" i="1"/>
  <c r="Q9133" i="1"/>
  <c r="O5949" i="1"/>
  <c r="O5895" i="1" s="1"/>
  <c r="Q5948" i="1"/>
  <c r="Q9692" i="1"/>
  <c r="O9658" i="1"/>
  <c r="Q9658" i="1" s="1"/>
  <c r="Q5742" i="1"/>
  <c r="Q5793" i="1"/>
  <c r="O5759" i="1"/>
  <c r="Q5759" i="1" s="1"/>
  <c r="Q5947" i="1"/>
  <c r="Q9386" i="1"/>
  <c r="O9352" i="1"/>
  <c r="Q9352" i="1" s="1"/>
  <c r="Q6303" i="1"/>
  <c r="O6269" i="1"/>
  <c r="Q6269" i="1" s="1"/>
  <c r="Q5639" i="1"/>
  <c r="M5744" i="1"/>
  <c r="G5744" i="1"/>
  <c r="O5744" i="1" s="1"/>
  <c r="O6051" i="1"/>
  <c r="O5997" i="1" s="1"/>
  <c r="Q6050" i="1"/>
  <c r="Q2779" i="1"/>
  <c r="Q2199" i="1"/>
  <c r="O2165" i="1"/>
  <c r="Q2165" i="1" s="1"/>
  <c r="Q2609" i="1"/>
  <c r="O2575" i="1"/>
  <c r="Q2575" i="1" s="1"/>
  <c r="Q2356" i="1"/>
  <c r="O2357" i="1"/>
  <c r="O2303" i="1" s="1"/>
  <c r="I2148" i="1"/>
  <c r="G2148" i="1" s="1"/>
  <c r="O2146" i="1"/>
  <c r="M2146" i="1"/>
  <c r="O2473" i="1"/>
  <c r="Q5997" i="1" l="1"/>
  <c r="O5963" i="1"/>
  <c r="Q5963" i="1" s="1"/>
  <c r="O5745" i="1"/>
  <c r="O5691" i="1" s="1"/>
  <c r="Q5744" i="1"/>
  <c r="Q5895" i="1"/>
  <c r="O5861" i="1"/>
  <c r="Q5861" i="1" s="1"/>
  <c r="Q5743" i="1"/>
  <c r="Q8976" i="1"/>
  <c r="O8942" i="1"/>
  <c r="Q8942" i="1" s="1"/>
  <c r="Q9132" i="1"/>
  <c r="O9080" i="1"/>
  <c r="Q5587" i="1"/>
  <c r="O5553" i="1"/>
  <c r="Q5553" i="1" s="1"/>
  <c r="Q9284" i="1"/>
  <c r="O9250" i="1"/>
  <c r="Q9250" i="1" s="1"/>
  <c r="Q2303" i="1"/>
  <c r="Q2473" i="1"/>
  <c r="O2269" i="1"/>
  <c r="Q2269" i="1" s="1"/>
  <c r="O2147" i="1"/>
  <c r="Q2146" i="1"/>
  <c r="O2148" i="1"/>
  <c r="M2148" i="1"/>
  <c r="Q10169" i="1" l="1"/>
  <c r="Q5691" i="1"/>
  <c r="O5657" i="1"/>
  <c r="Q5657" i="1" s="1"/>
  <c r="Q6780" i="1"/>
  <c r="Q9080" i="1"/>
  <c r="O9046" i="1"/>
  <c r="Q9046" i="1" s="1"/>
  <c r="Q2148" i="1"/>
  <c r="O2149" i="1"/>
  <c r="O2095" i="1" s="1"/>
  <c r="Q2147" i="1"/>
  <c r="R10175" i="1" l="1"/>
  <c r="Q2095" i="1"/>
  <c r="O2061" i="1"/>
  <c r="Q2061" i="1" s="1"/>
  <c r="Q2875" i="1"/>
  <c r="Q2467" i="1"/>
  <c r="Q2569" i="1"/>
  <c r="O2873" i="1"/>
  <c r="Q2873" i="1" s="1"/>
  <c r="Q2773" i="1"/>
  <c r="O2567" i="1"/>
  <c r="Q2567" i="1" s="1"/>
  <c r="Q2671" i="1"/>
  <c r="O2669" i="1"/>
  <c r="Q2669" i="1" s="1"/>
  <c r="O2771" i="1"/>
  <c r="O2465" i="1"/>
  <c r="Q2465" i="1" s="1"/>
  <c r="O2363" i="1"/>
  <c r="Q2365" i="1"/>
  <c r="Q2363" i="1" l="1"/>
  <c r="Q2771" i="1"/>
  <c r="O2566" i="1"/>
  <c r="Q2566" i="1" s="1"/>
  <c r="O2872" i="1"/>
  <c r="O2770" i="1"/>
  <c r="O2464" i="1"/>
  <c r="Q2464" i="1" s="1"/>
  <c r="O2668" i="1"/>
  <c r="Q2668" i="1" s="1"/>
  <c r="O2362" i="1"/>
  <c r="Q2362" i="1" s="1"/>
  <c r="H2990" i="1"/>
  <c r="H3281" i="1" s="1"/>
  <c r="M15" i="3"/>
  <c r="N2990" i="1" s="1"/>
  <c r="N3087" i="1" s="1"/>
  <c r="Q2770" i="1" l="1"/>
  <c r="Q2872" i="1"/>
  <c r="M3281" i="1"/>
  <c r="G3281" i="1"/>
  <c r="N3281" i="1"/>
  <c r="H3184" i="1"/>
  <c r="H3087" i="1"/>
  <c r="M2990" i="1"/>
  <c r="N3184" i="1"/>
  <c r="G2990" i="1"/>
  <c r="O2990" i="1" s="1"/>
  <c r="Q2990" i="1" l="1"/>
  <c r="O2994" i="1"/>
  <c r="O2986" i="1"/>
  <c r="M3184" i="1"/>
  <c r="G3184" i="1"/>
  <c r="O3184" i="1" s="1"/>
  <c r="G3087" i="1"/>
  <c r="O3087" i="1" s="1"/>
  <c r="M3087" i="1"/>
  <c r="O3281" i="1"/>
  <c r="O3188" i="1" l="1"/>
  <c r="O3180" i="1"/>
  <c r="Q3184" i="1"/>
  <c r="O3091" i="1"/>
  <c r="Q3087" i="1"/>
  <c r="O3083" i="1"/>
  <c r="Q2986" i="1"/>
  <c r="O3285" i="1"/>
  <c r="O3277" i="1"/>
  <c r="Q3281" i="1"/>
  <c r="Q3180" i="1" l="1"/>
  <c r="Q3083" i="1"/>
  <c r="Q3277" i="1"/>
  <c r="N3066" i="1"/>
  <c r="N3163" i="1" s="1"/>
  <c r="H3066" i="1" l="1"/>
  <c r="H3163" i="1" s="1"/>
  <c r="G3163" i="1" s="1"/>
  <c r="O3163" i="1" s="1"/>
  <c r="N3260" i="1"/>
  <c r="N3357" i="1"/>
  <c r="G3066" i="1" l="1"/>
  <c r="O3066" i="1" s="1"/>
  <c r="O3067" i="1" s="1"/>
  <c r="O3019" i="1" s="1"/>
  <c r="H3260" i="1"/>
  <c r="G3260" i="1" s="1"/>
  <c r="O3260" i="1" s="1"/>
  <c r="M3066" i="1"/>
  <c r="H3357" i="1"/>
  <c r="G3357" i="1" s="1"/>
  <c r="O3357" i="1" s="1"/>
  <c r="M3163" i="1"/>
  <c r="Q3163" i="1"/>
  <c r="O3164" i="1"/>
  <c r="O3116" i="1" s="1"/>
  <c r="M3260" i="1" l="1"/>
  <c r="Q3066" i="1"/>
  <c r="M3357" i="1"/>
  <c r="Q3357" i="1"/>
  <c r="O3358" i="1"/>
  <c r="O3310" i="1" s="1"/>
  <c r="Q3260" i="1"/>
  <c r="O3261" i="1"/>
  <c r="O3213" i="1" s="1"/>
  <c r="Q3019" i="1"/>
  <c r="O2985" i="1"/>
  <c r="Q2985" i="1" s="1"/>
  <c r="O3082" i="1"/>
  <c r="Q3082" i="1" s="1"/>
  <c r="Q3116" i="1"/>
  <c r="Q3392" i="1" l="1"/>
  <c r="Q3310" i="1"/>
  <c r="O3276" i="1"/>
  <c r="Q3276" i="1" s="1"/>
  <c r="O3179" i="1"/>
  <c r="Q3179" i="1" s="1"/>
  <c r="Q3213" i="1"/>
</calcChain>
</file>

<file path=xl/comments1.xml><?xml version="1.0" encoding="utf-8"?>
<comments xmlns="http://schemas.openxmlformats.org/spreadsheetml/2006/main">
  <authors>
    <author>Автор</author>
  </authors>
  <commentList>
    <comment ref="H3" authorId="0" shapeId="0">
      <text>
        <r>
          <rPr>
            <b/>
            <sz val="8"/>
            <color rgb="FF000000"/>
            <rFont val="Tahoma"/>
            <family val="2"/>
            <charset val="204"/>
          </rPr>
          <t xml:space="preserve">Зубкова:
</t>
        </r>
        <r>
          <rPr>
            <sz val="8"/>
            <color rgb="FF000000"/>
            <rFont val="Tahoma"/>
            <family val="2"/>
            <charset val="204"/>
          </rPr>
          <t xml:space="preserve">Из учебного плана
</t>
        </r>
      </text>
    </comment>
  </commentList>
</comments>
</file>

<file path=xl/sharedStrings.xml><?xml version="1.0" encoding="utf-8"?>
<sst xmlns="http://schemas.openxmlformats.org/spreadsheetml/2006/main" count="26727" uniqueCount="449">
  <si>
    <t>Наименование муниципальной услуги</t>
  </si>
  <si>
    <t>Наименование натуральной нормы</t>
  </si>
  <si>
    <t>Единица измерения натуральной нормы</t>
  </si>
  <si>
    <t>Значение натуральной нормы</t>
  </si>
  <si>
    <t>1</t>
  </si>
  <si>
    <t>2. Натуральные нормы на общехозяйственные нужды</t>
  </si>
  <si>
    <t>2.1. Коммунальные услуги</t>
  </si>
  <si>
    <t>Электроэнергия</t>
  </si>
  <si>
    <t>кВт час.</t>
  </si>
  <si>
    <t>Теплоэнергия</t>
  </si>
  <si>
    <t>Гкал</t>
  </si>
  <si>
    <t>м3</t>
  </si>
  <si>
    <t>Холодное водоснабжение</t>
  </si>
  <si>
    <t>Водоотведение</t>
  </si>
  <si>
    <t>2.2. Содержание объектов недвижимого имущества, необходимого для выполнения муниципального задания</t>
  </si>
  <si>
    <t>1.Натуральные нормы, непосредственно связанные с оказанием муниципальной услуги</t>
  </si>
  <si>
    <t>Примечание</t>
  </si>
  <si>
    <t>Ставка платы за содержание системы ХВС и ГВС</t>
  </si>
  <si>
    <t>Газ</t>
  </si>
  <si>
    <t>Ежемесячные компенсационные выплаты лицам, находящимся в отпуске по уходу за ребенком</t>
  </si>
  <si>
    <t>чел.</t>
  </si>
  <si>
    <t>Аренда спортзала</t>
  </si>
  <si>
    <t>м2</t>
  </si>
  <si>
    <t>Вывоз ТБО</t>
  </si>
  <si>
    <t>Вывоз КГМ</t>
  </si>
  <si>
    <t>контейнер</t>
  </si>
  <si>
    <t>Дератизация</t>
  </si>
  <si>
    <t>Утилизация ламп</t>
  </si>
  <si>
    <t>шт</t>
  </si>
  <si>
    <t>Абонентско-техническое  обслуживание газового оборудования и газопроводов</t>
  </si>
  <si>
    <t>Аварийно-диспетчерское обслуживание газового оборудования</t>
  </si>
  <si>
    <t>количество устройств, ед.</t>
  </si>
  <si>
    <t>Сервисное обслуживание систем доочистки питьевой воды</t>
  </si>
  <si>
    <t>Проведение работ по очистке и ремонту дымоходов и вентиляционных каналов</t>
  </si>
  <si>
    <t>Испытание наружных стационарных пожарных лестниц</t>
  </si>
  <si>
    <t>Замеры сопротивления изоляции</t>
  </si>
  <si>
    <t>Тех.обслуживание систем передачи извещения о пожаре</t>
  </si>
  <si>
    <t>Ремонт автомашины</t>
  </si>
  <si>
    <t>Услуги по охране объекта</t>
  </si>
  <si>
    <t>Обучение пожарно-техническому минимуму</t>
  </si>
  <si>
    <t>Обучение по охране труда</t>
  </si>
  <si>
    <t>Страховка автомобилей (ОСАГО)</t>
  </si>
  <si>
    <t>Специальная оценка условий труда</t>
  </si>
  <si>
    <t>Электронно-цыфровая подпись</t>
  </si>
  <si>
    <t>Предрейсовый медосмотр водителей</t>
  </si>
  <si>
    <t>Обслуживание ГЛОНАСС</t>
  </si>
  <si>
    <t>Приобретение ГСМ</t>
  </si>
  <si>
    <t>Приобретение манометров</t>
  </si>
  <si>
    <t>тыс. м3</t>
  </si>
  <si>
    <t>Ремонтные работы</t>
  </si>
  <si>
    <t>количество отчетов. ед.</t>
  </si>
  <si>
    <t>количество рабочих мест. ед</t>
  </si>
  <si>
    <t>количество ЭЦП. ед.</t>
  </si>
  <si>
    <t>количество машин.,ед.</t>
  </si>
  <si>
    <t>литр</t>
  </si>
  <si>
    <t>система</t>
  </si>
  <si>
    <t>кол-во дымоходов</t>
  </si>
  <si>
    <t>здание</t>
  </si>
  <si>
    <t>количество газовых установок</t>
  </si>
  <si>
    <t>кол-во лестниц</t>
  </si>
  <si>
    <t>шт.</t>
  </si>
  <si>
    <t xml:space="preserve">кол-во машин </t>
  </si>
  <si>
    <t>1.1. Работники, непосредственно связанные с оказанием муниципальной услуги</t>
  </si>
  <si>
    <t>1.2. Затраты на приобретение материальных запасов и на приобретение движимого имущества (основных средств и нематериальных активов), не отнесенного к особо ценному движимому имуществу и используемого в процессе оказания государственной услуги, с учетом срока его полезного использования, а также затраты на аренду указанного имущества</t>
  </si>
  <si>
    <t>1.3. Иные натуральные нормы, непосредственно используемые в процессе оказания муниципальной услуги</t>
  </si>
  <si>
    <t>2.3. Содержание объектов особо ценного движимого имущества, необходимого для выполнения муниципального задания</t>
  </si>
  <si>
    <t>2.4. Услуги связи</t>
  </si>
  <si>
    <t>2.5. Транспортные услуги</t>
  </si>
  <si>
    <t>2.6. Работники, которые не принимают непосредственного участия в оказании муниципальной услуги</t>
  </si>
  <si>
    <t>2.7. Прочие общехозяйственные нужды</t>
  </si>
  <si>
    <t>223</t>
  </si>
  <si>
    <t>КОСГУ</t>
  </si>
  <si>
    <t>223/001</t>
  </si>
  <si>
    <t>223/002</t>
  </si>
  <si>
    <t>223/003</t>
  </si>
  <si>
    <t>223/009</t>
  </si>
  <si>
    <t>225/006</t>
  </si>
  <si>
    <t>225/007</t>
  </si>
  <si>
    <t>225/004</t>
  </si>
  <si>
    <t>225/008</t>
  </si>
  <si>
    <t>226</t>
  </si>
  <si>
    <t>310/312</t>
  </si>
  <si>
    <t>340/343</t>
  </si>
  <si>
    <t>Значения натуральных норм, необходимых для определения базовых нормативов затрат на оказание муниципальных услуг</t>
  </si>
  <si>
    <t>Приложение № 1</t>
  </si>
  <si>
    <t>Кол-во мед.осмотров</t>
  </si>
  <si>
    <t>Оплата труда</t>
  </si>
  <si>
    <t>Начисления на оплату труда</t>
  </si>
  <si>
    <t>%</t>
  </si>
  <si>
    <t>Реализация дополнительных профессиональных программ повышения квалификации</t>
  </si>
  <si>
    <t>Информационно-технологическое обеспечение образовательной деятельности</t>
  </si>
  <si>
    <t>Оценка качества образования</t>
  </si>
  <si>
    <t>Методическое обеспечение образовательной деятельности</t>
  </si>
  <si>
    <t>Реализация дополнительных общеразвивающих программ</t>
  </si>
  <si>
    <t>Организация отдыха детей и молодежи</t>
  </si>
  <si>
    <t>шт.ед</t>
  </si>
  <si>
    <t>Дезинсекция</t>
  </si>
  <si>
    <t>Акарицидная обработка</t>
  </si>
  <si>
    <t>Га</t>
  </si>
  <si>
    <t>Кронирование, вырубка деревьев</t>
  </si>
  <si>
    <t>Обучение ГО и ЧС</t>
  </si>
  <si>
    <t>погон.м.</t>
  </si>
  <si>
    <t>кол-во замеров</t>
  </si>
  <si>
    <t>кол-во деревьев</t>
  </si>
  <si>
    <t>Отключение ХВС</t>
  </si>
  <si>
    <t>кол-во отключений</t>
  </si>
  <si>
    <t>Физическая охрана объекта</t>
  </si>
  <si>
    <t>час.</t>
  </si>
  <si>
    <t>Табуретки без спинок</t>
  </si>
  <si>
    <t>Шкаф жарочный</t>
  </si>
  <si>
    <t>МФУ</t>
  </si>
  <si>
    <t>Персональный компьютер</t>
  </si>
  <si>
    <t>Принтер</t>
  </si>
  <si>
    <t>Замена светильников в зданиях</t>
  </si>
  <si>
    <t>11791000100500101006101</t>
  </si>
  <si>
    <t>Психолого-медико-педагогическое обследование детей</t>
  </si>
  <si>
    <t>Психолого-педагогическое консультирование обучающихся, их родителей (законных представителей) и педагогических работников</t>
  </si>
  <si>
    <t>Коррекционно-развивающая, компенсирующая и логопедическая помощь обучающимся</t>
  </si>
  <si>
    <t>340/346</t>
  </si>
  <si>
    <t>267,97м3 (лимиты выделенные УЖКХ) *0,00152105/43чел</t>
  </si>
  <si>
    <t>Реестровый номер</t>
  </si>
  <si>
    <t>Наименование базовой услуги или работы</t>
  </si>
  <si>
    <t>Содержание  услуги 1</t>
  </si>
  <si>
    <t>Содержание  услуги 2</t>
  </si>
  <si>
    <t>Содержание  услуги 3</t>
  </si>
  <si>
    <t>Условия (формы) оказания услуги 1</t>
  </si>
  <si>
    <t>Объем услуги (работы)</t>
  </si>
  <si>
    <t>Норма часов в неделю</t>
  </si>
  <si>
    <t>Кол-во чел/час в неделю</t>
  </si>
  <si>
    <t>Кол-во чел/час в год  (по шк.- чел/час обучающихся, по доп. обр. и ЦЭМиИМС  - чел.часы работников)</t>
  </si>
  <si>
    <t xml:space="preserve">Норма на услугу </t>
  </si>
  <si>
    <t xml:space="preserve">Норма на 1 получателя услуги </t>
  </si>
  <si>
    <t>Реализация основных общеобразовательных программ начального общего образования</t>
  </si>
  <si>
    <t>адаптированная образовательная программа</t>
  </si>
  <si>
    <t>дети-инвалиды</t>
  </si>
  <si>
    <t>не указано</t>
  </si>
  <si>
    <t>Очная</t>
  </si>
  <si>
    <t>001 Число обучающихся Человек</t>
  </si>
  <si>
    <t>чел</t>
  </si>
  <si>
    <t>обучающиеся с ограниченными возможностями здоровья (ОВЗ)</t>
  </si>
  <si>
    <t>образовательная программа, обеспечивающая углубленное изучение отдельных учебных предметов, предметных областей (профильное обучение)</t>
  </si>
  <si>
    <t>Реализация основных общеобразовательных программ основного общего образования</t>
  </si>
  <si>
    <t>Реализация основных общеобразовательных программ среднего общего образования</t>
  </si>
  <si>
    <t>Очно-заочная</t>
  </si>
  <si>
    <t>ИТОГО учреждения общего образования</t>
  </si>
  <si>
    <t>72 часа (продолжительность курсов повышения по учеб плану в м-ц) / 144 часа (нагрузка на 1 шт.ед. - 36 часов в неделю *4 недели в м-ц)=0,5 шт.ед (чел.); 0,5 чел. * 72 часа = 36 чел/часов  (Услуга оказывается 1 месяц в году)</t>
  </si>
  <si>
    <t>001 Количество человеко-часов Человеко-час</t>
  </si>
  <si>
    <t>чел/час</t>
  </si>
  <si>
    <t>36 час в неделю нагрузка основного персонала * 4 недели * 10 мес (12 мес - 2 мес отпуск)* 23 шт. ед (чел.). = 33 120 чел/часов рабочего времени на 3 работы</t>
  </si>
  <si>
    <t>001 Количество мероприятий Единица;002 Количество разработанных документов Единица;003 Количество разработанных отчетов о внедрении информационных технологий Единица;004 Количество разработанных информационных средств обучения и воспитания Единица</t>
  </si>
  <si>
    <t>002 Количество разработанных документов Единица</t>
  </si>
  <si>
    <t>001 Количество мероприятий Единица;002 Количество экспертных заключений Единица;003 Количество разработанных документов Единица;004 Количество разработанных отчетов Единица</t>
  </si>
  <si>
    <t>002 Количество экспертных заключений Единица;</t>
  </si>
  <si>
    <t>001 Количество мероприятий Единица;002 Количество разработанных документов Единица;003 Количество разработанных отчетов Единица</t>
  </si>
  <si>
    <t>002 Количество разработанных документов Единица;</t>
  </si>
  <si>
    <t>Итого  по трем услугам по МБУ ДПО ЦЭМиИМС</t>
  </si>
  <si>
    <t>Всего по МБУ ДПО ЦЭМ и ИМС</t>
  </si>
  <si>
    <t xml:space="preserve">600 чел в год обучающихся : 10 чел обучающихся  в группе * 38 часов по учебному плану на группу = 2280 часов рабочего времени педагогов . 2280 часов : 720 час (норма на 1 шт. ед. при 18 час рабочей неделе* 4 недели * 10 мес (2 м-ца отпуск)= 3,17шт. ед. * 2820 часов = 8939,4 чел/час в год на услугу (ППМС-центр)                       </t>
  </si>
  <si>
    <t>в центре психолого-педагогической, медицинской и социальной помощи</t>
  </si>
  <si>
    <t>15 психологов * 30 час учебной нагрузки в неделю * 4 недели * 10 мес = 18000 чел/часов) + (9,5 шт. ед. прочих педагогов * 18 часов учебной нагрузки в неделю *4 недели * 10  мес = 6840 чел./час) = 24840 чел/час на учреждение - 8939,4 чел/час на услугу доп. образования по ППМС - центру = 15900,6 чел/час на 3 услуги</t>
  </si>
  <si>
    <t>002 Число обучающихся, их родителей (законных представителей) и педагогических работников Человек</t>
  </si>
  <si>
    <t>Итого по 3 услугам ППМС- центра</t>
  </si>
  <si>
    <t>Итого учреждения дополнительного образования и ППМС - центр</t>
  </si>
  <si>
    <t>в каникулярное время с дневным пребыванием</t>
  </si>
  <si>
    <t>003 Число человеко-часов пребывания Человеко-час;004 Количество человек Человек;005 Число человеко-дней пребывания Человеко-день</t>
  </si>
  <si>
    <t>Итого по пришкольным лагерям</t>
  </si>
  <si>
    <t>проходящие обучение по состоянию здоровья на дому</t>
  </si>
  <si>
    <t>проходящие обучение в специальных учебно-воспитательных учреждениях закрытого типа</t>
  </si>
  <si>
    <t>ИТОГО по учреждения общего образования</t>
  </si>
  <si>
    <t>Всего по учреждениям общего образования</t>
  </si>
  <si>
    <t>объем</t>
  </si>
  <si>
    <t>доли</t>
  </si>
  <si>
    <t>кол-во человек</t>
  </si>
  <si>
    <t>скрыть</t>
  </si>
  <si>
    <t>Временные характеристики</t>
  </si>
  <si>
    <t>801012О.99.0.БА81АБ44001</t>
  </si>
  <si>
    <t>801012О.99.0.БА81АА00001</t>
  </si>
  <si>
    <t>801012О.99.0.БА81АЩ48001</t>
  </si>
  <si>
    <t>801012О.99.0.БА81АЭ92001</t>
  </si>
  <si>
    <t>801012О.99.0.БА81АН96001</t>
  </si>
  <si>
    <t>801012О.99.0.БА81АП40001</t>
  </si>
  <si>
    <t>802111О.99.0.БА96АА00001</t>
  </si>
  <si>
    <t>802111О.99.0.БА96АЭ08001</t>
  </si>
  <si>
    <t>802111О.99.0.БА96АЮ58001</t>
  </si>
  <si>
    <t>802111О.99.0.БА96АО26001</t>
  </si>
  <si>
    <t>802111О.99.0.БА96АП76001</t>
  </si>
  <si>
    <t>802112О.99.0.ББ11АЭ08001</t>
  </si>
  <si>
    <t>802112О.99.0.ББ11АЮ58001</t>
  </si>
  <si>
    <t>802112О.99.0.ББ11АЮ62001</t>
  </si>
  <si>
    <t>802112О.99.0.ББ11АО26001</t>
  </si>
  <si>
    <t>802112О.99.0.ББ11АП76001</t>
  </si>
  <si>
    <t>804200О.99.0.ББ60АБ20001</t>
  </si>
  <si>
    <t>48Д72100000000000003101</t>
  </si>
  <si>
    <t>48Д71100000000000004101</t>
  </si>
  <si>
    <t>48Д70100000000000005101</t>
  </si>
  <si>
    <t>880900О.99.0.ББ13АА02000</t>
  </si>
  <si>
    <t>880900О.99.0.ББ14АА02000</t>
  </si>
  <si>
    <t>880900О.99.0.ББ15АА02000</t>
  </si>
  <si>
    <t>920700О.99.0.АЗ22АА01001</t>
  </si>
  <si>
    <t>801012О.99.0.БА81АБ68001</t>
  </si>
  <si>
    <t>801012О.99.0.БА81АА24001</t>
  </si>
  <si>
    <t>801012О.99.0.БА81АЩ72001</t>
  </si>
  <si>
    <t>801012О.99.0.БА81АЮ16001</t>
  </si>
  <si>
    <t>801012О.99.0.БА81АО20001</t>
  </si>
  <si>
    <t>801012О.99.0.БА81АП64001</t>
  </si>
  <si>
    <t>802111О.99.0.БА96АА25001</t>
  </si>
  <si>
    <t>802111О.99.0.БА96АЮ83001</t>
  </si>
  <si>
    <t>802111О.99.0.БА96АЭ33001</t>
  </si>
  <si>
    <t>802111О.99.0.БА96АО51001</t>
  </si>
  <si>
    <t>802111О.99.0.БА96АР01001</t>
  </si>
  <si>
    <t>802112О.99.0.ББ11АЭ33001</t>
  </si>
  <si>
    <t>802112О.99.0.ББ11АЮ83001</t>
  </si>
  <si>
    <t>802112О.99.0.ББ11АО51001</t>
  </si>
  <si>
    <t>802112О.99.0.ББ11АЯ87001</t>
  </si>
  <si>
    <t>802111О.99.0.БА96АЯ87001</t>
  </si>
  <si>
    <t>802112О.99.0.ББ11АР01001</t>
  </si>
  <si>
    <t>223/010</t>
  </si>
  <si>
    <t>контейнера</t>
  </si>
  <si>
    <t>установок</t>
  </si>
  <si>
    <t>системы</t>
  </si>
  <si>
    <t>дымоходов</t>
  </si>
  <si>
    <t>Тех.обслуживание систем ограничения доступа</t>
  </si>
  <si>
    <t>Обработка, испытание образцов древесины чердаков</t>
  </si>
  <si>
    <t>замеров</t>
  </si>
  <si>
    <t>устройств</t>
  </si>
  <si>
    <t>ед.</t>
  </si>
  <si>
    <t>отключений</t>
  </si>
  <si>
    <t>автобуса</t>
  </si>
  <si>
    <t>зданий</t>
  </si>
  <si>
    <t>Изготовление персональных карт для учащихся и сотрудников</t>
  </si>
  <si>
    <t>отчетов</t>
  </si>
  <si>
    <t>ЭЦП</t>
  </si>
  <si>
    <t>мед.осмотров в мес.</t>
  </si>
  <si>
    <t xml:space="preserve"> машины, оборудованных системой ГЛОНАСС</t>
  </si>
  <si>
    <t>чел(заявленная потребность руководителями учреждений)</t>
  </si>
  <si>
    <t>Сопровождение годовых отчетов и   услуги по разработке годовой экологической декларации о плате за негативное воздействие на окружающую среду</t>
  </si>
  <si>
    <t>266</t>
  </si>
  <si>
    <t>227</t>
  </si>
  <si>
    <t>чел.(получатели пособия в мес.)</t>
  </si>
  <si>
    <t xml:space="preserve">манометров (потребность учреждений) </t>
  </si>
  <si>
    <t>светильников (потребность учреждений)</t>
  </si>
  <si>
    <t>Абонентская плата</t>
  </si>
  <si>
    <t>Повременная оплата</t>
  </si>
  <si>
    <t>мин.</t>
  </si>
  <si>
    <t>Оплата за радиоточку</t>
  </si>
  <si>
    <t>кол-во радиоточек</t>
  </si>
  <si>
    <t>Услуги интернет</t>
  </si>
  <si>
    <t>радиоточек</t>
  </si>
  <si>
    <t>контейнеров</t>
  </si>
  <si>
    <t>Долевое участие в содержании общего имущества многоквартирного дома</t>
  </si>
  <si>
    <t>Тех.обслуживание компьютерной техники</t>
  </si>
  <si>
    <t>кол-во договоров на тех.обслуживание</t>
  </si>
  <si>
    <t>замера</t>
  </si>
  <si>
    <t>Ремонт и техническое обслуживание системы контроля доступа (видеонаблюдение)</t>
  </si>
  <si>
    <t>автобус</t>
  </si>
  <si>
    <t>Заправка картриджей</t>
  </si>
  <si>
    <t>Мед.осмотр сотрудников</t>
  </si>
  <si>
    <t xml:space="preserve"> машина, оборудованная системой ГЛОНАСС</t>
  </si>
  <si>
    <t>Автобус</t>
  </si>
  <si>
    <t>Приобретение бумаги</t>
  </si>
  <si>
    <t>упаковка</t>
  </si>
  <si>
    <t>упаковок</t>
  </si>
  <si>
    <t>Ремонт компьютерной техники</t>
  </si>
  <si>
    <t>Услуги по мойке автомобиля</t>
  </si>
  <si>
    <t>кол-во моек</t>
  </si>
  <si>
    <t>мойка</t>
  </si>
  <si>
    <t>Оформление подписки</t>
  </si>
  <si>
    <t>комплект</t>
  </si>
  <si>
    <t>комплектов в мес.</t>
  </si>
  <si>
    <t>Курсы повышения квалификации сотрудников</t>
  </si>
  <si>
    <t>Обновление програмного обеспечения</t>
  </si>
  <si>
    <t>Предрейсовый мед.осмотр водителей</t>
  </si>
  <si>
    <t>сотрудники</t>
  </si>
  <si>
    <t>Приготовление пищи</t>
  </si>
  <si>
    <t>кол-во дней</t>
  </si>
  <si>
    <t>Накладные расходы на приготовление пищи</t>
  </si>
  <si>
    <t>Страхование</t>
  </si>
  <si>
    <t>кол-во застрахованных человек</t>
  </si>
  <si>
    <t>Из расчета каждого застрахованного</t>
  </si>
  <si>
    <t>Приобретение канцелярских товров</t>
  </si>
  <si>
    <t>Кол-во наборов</t>
  </si>
  <si>
    <t>Из расчета 1 набор на каждого учащегося,посещающего пришкольный лагерь</t>
  </si>
  <si>
    <t>Приобретение медикаментов</t>
  </si>
  <si>
    <t>Кол-во наборов первой помощи</t>
  </si>
  <si>
    <t>Из расчета 1 набор первой помощи на каждого учащегося,посещающего пришкольный лагерь</t>
  </si>
  <si>
    <t>л бензина АИ 92 (12,5л/день(зимой)*20дней*7мес+10л/день(летом)*20дней*4мес)</t>
  </si>
  <si>
    <t>Тариф</t>
  </si>
  <si>
    <t>Базовый норматив</t>
  </si>
  <si>
    <t>итого 211</t>
  </si>
  <si>
    <t>итого 213</t>
  </si>
  <si>
    <t>итого 223</t>
  </si>
  <si>
    <t>итого 225/006</t>
  </si>
  <si>
    <t>итого 225/007</t>
  </si>
  <si>
    <t>итого 224</t>
  </si>
  <si>
    <t>итого 225/004</t>
  </si>
  <si>
    <t>итого 225/008</t>
  </si>
  <si>
    <t>итого 226</t>
  </si>
  <si>
    <t>итого 227</t>
  </si>
  <si>
    <t>итого 266</t>
  </si>
  <si>
    <t>итого 310/312</t>
  </si>
  <si>
    <t>итого 340/343</t>
  </si>
  <si>
    <t>итого 340/346</t>
  </si>
  <si>
    <t>итого 225\006</t>
  </si>
  <si>
    <t>итого 225\004</t>
  </si>
  <si>
    <t>итого 225\007</t>
  </si>
  <si>
    <t>итого 225\008</t>
  </si>
  <si>
    <t>ИТОГО 226</t>
  </si>
  <si>
    <t>ИТОГО 227</t>
  </si>
  <si>
    <t>ИТОГО 266</t>
  </si>
  <si>
    <t>итого 340\343</t>
  </si>
  <si>
    <t>итого 340\346</t>
  </si>
  <si>
    <t>итого 310\312</t>
  </si>
  <si>
    <t>18 часов в неделю учебная нагрузка педагога * 4 недели в месяце *10,5 месяцев (1,5 м-ца отпуск) *163,7 шт. ед. (основной персонал 4 учреждений) =123757 чел/час в год на услугу</t>
  </si>
  <si>
    <t>801012О.99.0.ББ57АЕ04000</t>
  </si>
  <si>
    <t>Реализация дополнительных общеразвивающих программ (техническая направленность)</t>
  </si>
  <si>
    <t>801012О.99.0.ББ57АЕ28000</t>
  </si>
  <si>
    <t>801012О.99.0.ББ57АЕ76000</t>
  </si>
  <si>
    <t>Реализация дополнительных общеразвивающих программ (художественная направленность)</t>
  </si>
  <si>
    <t>801012О.99.0.ББ57АЖ00000</t>
  </si>
  <si>
    <t>Реализация дополнительных общеразвивающих программ (туристско-краеведческая направленность)</t>
  </si>
  <si>
    <t>801012О.99.0.ББ57АЕ52000</t>
  </si>
  <si>
    <t>Реализация дополнительных общеразвивающих программ (физкультурно-спортивная направленность)</t>
  </si>
  <si>
    <t>801012О.99.0.ББ57АЖ24000</t>
  </si>
  <si>
    <t>Реализация дополнительных общеразвивающих программ (социально-педагогическая направленность) ППМС - центр</t>
  </si>
  <si>
    <t>Пароконвектомат</t>
  </si>
  <si>
    <t>Посудомоечная машина</t>
  </si>
  <si>
    <t>Итого 225/007</t>
  </si>
  <si>
    <t>Итого 225/004</t>
  </si>
  <si>
    <t>Итого 225/008</t>
  </si>
  <si>
    <t>Итого 226</t>
  </si>
  <si>
    <t>Реализация основных общеобразовательных программ среднего общего образования, очно-заочная</t>
  </si>
  <si>
    <t>Реализация общеобразовательных программ основного общего образования, очно-заочная</t>
  </si>
  <si>
    <t>ИТОГО</t>
  </si>
  <si>
    <t>налог на имущество</t>
  </si>
  <si>
    <t>Начисления</t>
  </si>
  <si>
    <t>Ремонтные работы м</t>
  </si>
  <si>
    <t>Ремонтные работы пог.м</t>
  </si>
  <si>
    <t>Ремонтные работы шт</t>
  </si>
  <si>
    <t>школы</t>
  </si>
  <si>
    <t>доп.образоввание</t>
  </si>
  <si>
    <t>ЦЭМиИМС</t>
  </si>
  <si>
    <t>Долевое участие</t>
  </si>
  <si>
    <t>Мойка авто</t>
  </si>
  <si>
    <t>Подписка</t>
  </si>
  <si>
    <t>Курсы</t>
  </si>
  <si>
    <t>Приобретение програмного обеспечения</t>
  </si>
  <si>
    <t>Обновление приограммного обеспечения</t>
  </si>
  <si>
    <t>лагеря</t>
  </si>
  <si>
    <t>Страхование жизни</t>
  </si>
  <si>
    <t>Канцтовары</t>
  </si>
  <si>
    <t>Медикаменты</t>
  </si>
  <si>
    <t>Приобретение бутилированной воды</t>
  </si>
  <si>
    <t>Расходы на приготовление пищи</t>
  </si>
  <si>
    <t>Из расчета 19 л.на 25 учащихся,посещающих пришкольный лагерь</t>
  </si>
  <si>
    <t>бутыль</t>
  </si>
  <si>
    <t>Накладные расходы</t>
  </si>
  <si>
    <t>итого 346</t>
  </si>
  <si>
    <t>221</t>
  </si>
  <si>
    <t>итого 221</t>
  </si>
  <si>
    <t>340/342</t>
  </si>
  <si>
    <t>340/341</t>
  </si>
  <si>
    <t>УО</t>
  </si>
  <si>
    <t>к Приказу от _______________   №  ________</t>
  </si>
  <si>
    <t>га</t>
  </si>
  <si>
    <t>2023 год</t>
  </si>
  <si>
    <t>Транспортные услуги</t>
  </si>
  <si>
    <t>222</t>
  </si>
  <si>
    <t>Проездные билеты</t>
  </si>
  <si>
    <t>Иные цели</t>
  </si>
  <si>
    <t>Уникальный номер реестровой записи</t>
  </si>
  <si>
    <t>1.3. Формирование  резерва на полное восстановление состава объектов особо ценного движимого имущества, используемого в процессе оказания муниципальной услуги (основных средств и нематериальных активов, амортизируемых в процессе оказания услуги), с учетом срока их полезного использования в целях создания источника финансового обеспечения их приобретения, создания, модернизации и  (или) дооборудования</t>
  </si>
  <si>
    <t>2.2. Содержание объектов недвижимого имущества, необходимого для выполнения муниципального задания, а также затраты на аренду указанного имущества</t>
  </si>
  <si>
    <t>2.3. Содержание объектов особо ценного движимого имущества, необходимого для выполнения муниципального задания, а также затраты на аренду указанного имущества</t>
  </si>
  <si>
    <t>Пресс служба</t>
  </si>
  <si>
    <t>Право на использование программного обеспечения (СЭДО)</t>
  </si>
  <si>
    <t>2024 год</t>
  </si>
  <si>
    <t>Обслуживание системы "КонсультантПлюс"</t>
  </si>
  <si>
    <t>Реализация дополнительных общеразвивающих программ (естественнонаучная направленность)</t>
  </si>
  <si>
    <t>Реализация дополнительных общеразвивающих программ (социально-гуманитпрная направленность)</t>
  </si>
  <si>
    <t>225/005</t>
  </si>
  <si>
    <t>итого 225/005</t>
  </si>
  <si>
    <t>итого 225\005</t>
  </si>
  <si>
    <t>С.В.Грачев</t>
  </si>
  <si>
    <t>РАСЧЕТ ОБЩЕГО ПОЛЕЗНОГО ВРЕМЕНИ на 2023-2025 г.г.</t>
  </si>
  <si>
    <t>Бюджет 2023 год</t>
  </si>
  <si>
    <t>Оценка заселенности членистоногими</t>
  </si>
  <si>
    <t>001</t>
  </si>
  <si>
    <t>002</t>
  </si>
  <si>
    <t>003</t>
  </si>
  <si>
    <t>009</t>
  </si>
  <si>
    <t>004</t>
  </si>
  <si>
    <t>006</t>
  </si>
  <si>
    <t>224</t>
  </si>
  <si>
    <t>007</t>
  </si>
  <si>
    <t>Оценка заселенности грызунами</t>
  </si>
  <si>
    <t>Обследование после акарицидной обработки</t>
  </si>
  <si>
    <t>005</t>
  </si>
  <si>
    <t>Очистка кровли от снега</t>
  </si>
  <si>
    <t>Поверка средств измерения</t>
  </si>
  <si>
    <t>Техническое обслуживание узлов учета тепловой энергии</t>
  </si>
  <si>
    <t>Внерегламентые работы</t>
  </si>
  <si>
    <t>Испытание противопожарного водопровода</t>
  </si>
  <si>
    <t>противопожарных водопроводов</t>
  </si>
  <si>
    <t>008</t>
  </si>
  <si>
    <t>Электронно-цифровая подпись (изготовление сертификата со встроенной лицензией СКЗИ "КриптоПро СSР", "Контур-кадры")</t>
  </si>
  <si>
    <t>Лицензия на использование средств защиты информации</t>
  </si>
  <si>
    <t>лицензий</t>
  </si>
  <si>
    <t>ед (заявленная потребность руководителями учреждений)</t>
  </si>
  <si>
    <t>Оценка профессиональных рисков на предприятии</t>
  </si>
  <si>
    <t xml:space="preserve">Посудомоечная машина </t>
  </si>
  <si>
    <t>Плита электрическая 6-ти конфорочная</t>
  </si>
  <si>
    <t>Плита электрическая 4-ти конфорочная</t>
  </si>
  <si>
    <t>Холодильный шкаф</t>
  </si>
  <si>
    <t>Холодильная витрина кондитерская</t>
  </si>
  <si>
    <t>Мармит 1-х блюд</t>
  </si>
  <si>
    <t>Мармит 2-х блюд</t>
  </si>
  <si>
    <t>Картофелечистка</t>
  </si>
  <si>
    <t>Овощерезка</t>
  </si>
  <si>
    <t>Система доочистки питьевой воды</t>
  </si>
  <si>
    <t>Водонагреватель проточный</t>
  </si>
  <si>
    <t>Тестомесительная машина</t>
  </si>
  <si>
    <t xml:space="preserve">Стеллаж </t>
  </si>
  <si>
    <t>Сушилка для посуды на 500 тарелок</t>
  </si>
  <si>
    <t>Мясорубка</t>
  </si>
  <si>
    <t>Хлебный шкаф</t>
  </si>
  <si>
    <t>Шкафы для спец.одежды</t>
  </si>
  <si>
    <t>Шкаф гардеробный</t>
  </si>
  <si>
    <t>Стол офисный</t>
  </si>
  <si>
    <t>Кресло компьютерное</t>
  </si>
  <si>
    <t>Кондиционер</t>
  </si>
  <si>
    <t>310</t>
  </si>
  <si>
    <t>346</t>
  </si>
  <si>
    <t>344</t>
  </si>
  <si>
    <t>м2.</t>
  </si>
  <si>
    <t>340/344</t>
  </si>
  <si>
    <t>итого 340/344</t>
  </si>
  <si>
    <t>Приобретение огнетушителей</t>
  </si>
  <si>
    <t xml:space="preserve">огнетушителей (потребность учреждений) </t>
  </si>
  <si>
    <t>Ноутбук</t>
  </si>
  <si>
    <t xml:space="preserve">шт (потребность учреждений) </t>
  </si>
  <si>
    <t>услуг</t>
  </si>
  <si>
    <t>услуга</t>
  </si>
  <si>
    <t>90 начальника лагеря/5930 чел</t>
  </si>
  <si>
    <t>24 дня/5930 чел</t>
  </si>
  <si>
    <t>Бюджет 2024 год</t>
  </si>
  <si>
    <t>2025 год</t>
  </si>
  <si>
    <t>Бюджет 2025 год</t>
  </si>
  <si>
    <t>Директор МБУ "ЦО ПБС ОУ"</t>
  </si>
  <si>
    <t>Исполнитель: Зрелова Е.Н.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</si>
</sst>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6">
    <numFmt numFmtId="164" formatCode="#,##0.000"/>
    <numFmt numFmtId="165" formatCode="0.0000"/>
    <numFmt numFmtId="166" formatCode="#,##0.000000"/>
    <numFmt numFmtId="167" formatCode="0.0000000"/>
    <numFmt numFmtId="168" formatCode="0.00000000"/>
    <numFmt numFmtId="169" formatCode="0.000000"/>
    <numFmt numFmtId="170" formatCode="0.00000"/>
    <numFmt numFmtId="171" formatCode="#,##0.00000000"/>
    <numFmt numFmtId="172" formatCode="#,##0.0000000"/>
    <numFmt numFmtId="173" formatCode="#,##0.000000000"/>
    <numFmt numFmtId="174" formatCode="#,##0.0000"/>
    <numFmt numFmtId="175" formatCode="#,##0.0"/>
    <numFmt numFmtId="176" formatCode="0.0"/>
    <numFmt numFmtId="177" formatCode="#,##0.00000000000"/>
    <numFmt numFmtId="178" formatCode="0.0000000000"/>
    <numFmt numFmtId="179" formatCode="0.000000000"/>
  </numFmts>
  <fonts count="32" x14ac:knownFonts="1">
    <font>
      <sz val="11"/>
      <color theme="1"/>
      <name val="Calibri"/>
      <family val="2"/>
      <charset val="204"/>
      <scheme val="minor"/>
    </font>
    <font>
      <sz val="11"/>
      <name val="Times New Roman"/>
      <family val="1"/>
      <charset val="204"/>
    </font>
    <font>
      <sz val="8"/>
      <name val="Arial"/>
      <family val="2"/>
      <charset val="204"/>
    </font>
    <font>
      <sz val="10"/>
      <name val="Arial"/>
      <family val="2"/>
      <charset val="204"/>
    </font>
    <font>
      <sz val="12"/>
      <name val="Times New Roman"/>
      <family val="1"/>
      <charset val="204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sz val="10"/>
      <name val="Arial Cyr"/>
      <family val="2"/>
      <charset val="204"/>
    </font>
    <font>
      <sz val="9"/>
      <color theme="1"/>
      <name val="Times New Roman"/>
      <family val="2"/>
      <charset val="204"/>
    </font>
    <font>
      <b/>
      <sz val="14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1"/>
      <color rgb="FF000000"/>
      <name val="Calibri"/>
      <family val="2"/>
      <charset val="204"/>
    </font>
    <font>
      <b/>
      <sz val="11"/>
      <color rgb="FF000000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b/>
      <sz val="9"/>
      <color rgb="FF000000"/>
      <name val="Times New Roman"/>
      <family val="1"/>
      <charset val="204"/>
    </font>
    <font>
      <sz val="9"/>
      <color rgb="FF000000"/>
      <name val="Times New Roman"/>
      <family val="1"/>
      <charset val="204"/>
    </font>
    <font>
      <sz val="12"/>
      <color rgb="FF000000"/>
      <name val="Times New Roman"/>
      <family val="2"/>
      <charset val="204"/>
    </font>
    <font>
      <sz val="9"/>
      <color rgb="FF000000"/>
      <name val="Times New Roman"/>
      <family val="2"/>
      <charset val="204"/>
    </font>
    <font>
      <b/>
      <sz val="9"/>
      <color rgb="FF000000"/>
      <name val="Times New Roman"/>
      <family val="2"/>
      <charset val="204"/>
    </font>
    <font>
      <sz val="9"/>
      <color rgb="FF000000"/>
      <name val="Calibri"/>
      <family val="2"/>
      <charset val="204"/>
    </font>
    <font>
      <b/>
      <sz val="9"/>
      <color rgb="FF000000"/>
      <name val="Calibri"/>
      <family val="2"/>
      <charset val="204"/>
    </font>
    <font>
      <b/>
      <sz val="8"/>
      <color rgb="FF000000"/>
      <name val="Tahoma"/>
      <family val="2"/>
      <charset val="204"/>
    </font>
    <font>
      <sz val="8"/>
      <color rgb="FF000000"/>
      <name val="Tahoma"/>
      <family val="2"/>
      <charset val="204"/>
    </font>
    <font>
      <b/>
      <sz val="11"/>
      <color theme="1"/>
      <name val="Calibri"/>
      <family val="2"/>
      <charset val="204"/>
      <scheme val="minor"/>
    </font>
    <font>
      <b/>
      <sz val="12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u/>
      <sz val="11"/>
      <color theme="10"/>
      <name val="Calibri"/>
      <family val="2"/>
      <charset val="204"/>
      <scheme val="minor"/>
    </font>
    <font>
      <u/>
      <sz val="12"/>
      <color theme="10"/>
      <name val="Times New Roman"/>
      <family val="1"/>
      <charset val="204"/>
    </font>
    <font>
      <sz val="9"/>
      <color rgb="FFFF0000"/>
      <name val="Times New Roman"/>
      <family val="1"/>
      <charset val="204"/>
    </font>
  </fonts>
  <fills count="12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0000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 style="thin">
        <color auto="1"/>
      </bottom>
      <diagonal/>
    </border>
  </borders>
  <cellStyleXfs count="17">
    <xf numFmtId="0" fontId="0" fillId="0" borderId="0"/>
    <xf numFmtId="0" fontId="2" fillId="0" borderId="0"/>
    <xf numFmtId="0" fontId="3" fillId="0" borderId="0"/>
    <xf numFmtId="0" fontId="3" fillId="0" borderId="0"/>
    <xf numFmtId="0" fontId="5" fillId="0" borderId="0"/>
    <xf numFmtId="0" fontId="5" fillId="0" borderId="0"/>
    <xf numFmtId="0" fontId="7" fillId="0" borderId="0"/>
    <xf numFmtId="0" fontId="8" fillId="0" borderId="0"/>
    <xf numFmtId="0" fontId="9" fillId="0" borderId="0"/>
    <xf numFmtId="0" fontId="7" fillId="0" borderId="0"/>
    <xf numFmtId="0" fontId="6" fillId="0" borderId="0"/>
    <xf numFmtId="0" fontId="7" fillId="0" borderId="0"/>
    <xf numFmtId="0" fontId="12" fillId="0" borderId="0"/>
    <xf numFmtId="0" fontId="17" fillId="0" borderId="0"/>
    <xf numFmtId="0" fontId="6" fillId="0" borderId="0"/>
    <xf numFmtId="0" fontId="5" fillId="0" borderId="0"/>
    <xf numFmtId="0" fontId="29" fillId="0" borderId="0" applyNumberFormat="0" applyFill="0" applyBorder="0" applyAlignment="0" applyProtection="0"/>
  </cellStyleXfs>
  <cellXfs count="391">
    <xf numFmtId="0" fontId="0" fillId="0" borderId="0" xfId="0"/>
    <xf numFmtId="0" fontId="13" fillId="0" borderId="0" xfId="12" applyFont="1" applyAlignment="1">
      <alignment horizontal="center"/>
    </xf>
    <xf numFmtId="0" fontId="13" fillId="0" borderId="0" xfId="12" applyFont="1"/>
    <xf numFmtId="0" fontId="14" fillId="0" borderId="0" xfId="12" applyFont="1"/>
    <xf numFmtId="0" fontId="16" fillId="0" borderId="0" xfId="12" applyFont="1"/>
    <xf numFmtId="0" fontId="15" fillId="0" borderId="1" xfId="12" applyFont="1" applyBorder="1" applyAlignment="1" applyProtection="1">
      <alignment horizontal="center" vertical="top" wrapText="1"/>
      <protection hidden="1"/>
    </xf>
    <xf numFmtId="0" fontId="15" fillId="0" borderId="2" xfId="12" applyFont="1" applyBorder="1" applyAlignment="1" applyProtection="1">
      <alignment horizontal="center" vertical="top" wrapText="1"/>
      <protection hidden="1"/>
    </xf>
    <xf numFmtId="49" fontId="16" fillId="2" borderId="1" xfId="12" applyNumberFormat="1" applyFont="1" applyFill="1" applyBorder="1" applyAlignment="1">
      <alignment vertical="top" wrapText="1"/>
    </xf>
    <xf numFmtId="0" fontId="16" fillId="2" borderId="1" xfId="12" applyFont="1" applyFill="1" applyBorder="1" applyAlignment="1">
      <alignment vertical="top" wrapText="1"/>
    </xf>
    <xf numFmtId="0" fontId="16" fillId="2" borderId="5" xfId="12" applyFont="1" applyFill="1" applyBorder="1" applyAlignment="1">
      <alignment vertical="top" wrapText="1"/>
    </xf>
    <xf numFmtId="3" fontId="16" fillId="2" borderId="5" xfId="12" applyNumberFormat="1" applyFont="1" applyFill="1" applyBorder="1" applyAlignment="1">
      <alignment vertical="top" wrapText="1"/>
    </xf>
    <xf numFmtId="168" fontId="16" fillId="2" borderId="1" xfId="12" applyNumberFormat="1" applyFont="1" applyFill="1" applyBorder="1" applyAlignment="1">
      <alignment vertical="top" wrapText="1"/>
    </xf>
    <xf numFmtId="0" fontId="16" fillId="2" borderId="0" xfId="12" applyFont="1" applyFill="1" applyAlignment="1">
      <alignment vertical="top" wrapText="1"/>
    </xf>
    <xf numFmtId="49" fontId="16" fillId="3" borderId="1" xfId="12" applyNumberFormat="1" applyFont="1" applyFill="1" applyBorder="1" applyAlignment="1">
      <alignment vertical="top" wrapText="1"/>
    </xf>
    <xf numFmtId="0" fontId="16" fillId="3" borderId="1" xfId="12" applyFont="1" applyFill="1" applyBorder="1" applyAlignment="1">
      <alignment vertical="top" wrapText="1"/>
    </xf>
    <xf numFmtId="0" fontId="16" fillId="3" borderId="5" xfId="12" applyFont="1" applyFill="1" applyBorder="1" applyAlignment="1">
      <alignment vertical="top" wrapText="1"/>
    </xf>
    <xf numFmtId="3" fontId="16" fillId="3" borderId="5" xfId="12" applyNumberFormat="1" applyFont="1" applyFill="1" applyBorder="1" applyAlignment="1">
      <alignment vertical="top" wrapText="1"/>
    </xf>
    <xf numFmtId="168" fontId="16" fillId="3" borderId="1" xfId="12" applyNumberFormat="1" applyFont="1" applyFill="1" applyBorder="1" applyAlignment="1">
      <alignment vertical="top" wrapText="1"/>
    </xf>
    <xf numFmtId="0" fontId="16" fillId="3" borderId="1" xfId="12" applyFont="1" applyFill="1" applyBorder="1" applyAlignment="1">
      <alignment wrapText="1"/>
    </xf>
    <xf numFmtId="0" fontId="16" fillId="3" borderId="0" xfId="12" applyFont="1" applyFill="1" applyAlignment="1">
      <alignment wrapText="1"/>
    </xf>
    <xf numFmtId="0" fontId="16" fillId="4" borderId="1" xfId="12" applyFont="1" applyFill="1" applyBorder="1" applyAlignment="1">
      <alignment vertical="top" wrapText="1"/>
    </xf>
    <xf numFmtId="0" fontId="16" fillId="4" borderId="5" xfId="12" applyFont="1" applyFill="1" applyBorder="1" applyAlignment="1">
      <alignment vertical="top" wrapText="1"/>
    </xf>
    <xf numFmtId="3" fontId="16" fillId="4" borderId="5" xfId="12" applyNumberFormat="1" applyFont="1" applyFill="1" applyBorder="1" applyAlignment="1">
      <alignment vertical="top" wrapText="1"/>
    </xf>
    <xf numFmtId="168" fontId="16" fillId="4" borderId="1" xfId="12" applyNumberFormat="1" applyFont="1" applyFill="1" applyBorder="1" applyAlignment="1">
      <alignment vertical="top" wrapText="1"/>
    </xf>
    <xf numFmtId="0" fontId="16" fillId="4" borderId="1" xfId="12" applyFont="1" applyFill="1" applyBorder="1" applyAlignment="1">
      <alignment wrapText="1"/>
    </xf>
    <xf numFmtId="0" fontId="16" fillId="4" borderId="0" xfId="12" applyFont="1" applyFill="1" applyAlignment="1">
      <alignment wrapText="1"/>
    </xf>
    <xf numFmtId="3" fontId="15" fillId="0" borderId="5" xfId="12" applyNumberFormat="1" applyFont="1" applyBorder="1" applyAlignment="1">
      <alignment vertical="top" wrapText="1"/>
    </xf>
    <xf numFmtId="2" fontId="15" fillId="0" borderId="1" xfId="12" applyNumberFormat="1" applyFont="1" applyBorder="1" applyAlignment="1">
      <alignment vertical="top" wrapText="1"/>
    </xf>
    <xf numFmtId="0" fontId="15" fillId="0" borderId="1" xfId="12" applyFont="1" applyBorder="1" applyAlignment="1">
      <alignment vertical="top" wrapText="1"/>
    </xf>
    <xf numFmtId="0" fontId="13" fillId="0" borderId="1" xfId="12" applyFont="1" applyBorder="1"/>
    <xf numFmtId="0" fontId="16" fillId="0" borderId="1" xfId="12" applyFont="1" applyBorder="1" applyAlignment="1">
      <alignment vertical="top" wrapText="1"/>
    </xf>
    <xf numFmtId="3" fontId="16" fillId="0" borderId="5" xfId="12" applyNumberFormat="1" applyFont="1" applyBorder="1" applyAlignment="1">
      <alignment vertical="top" wrapText="1"/>
    </xf>
    <xf numFmtId="169" fontId="16" fillId="0" borderId="1" xfId="12" applyNumberFormat="1" applyFont="1" applyBorder="1" applyAlignment="1">
      <alignment vertical="top" wrapText="1"/>
    </xf>
    <xf numFmtId="0" fontId="16" fillId="0" borderId="0" xfId="12" applyFont="1" applyAlignment="1">
      <alignment vertical="top" wrapText="1"/>
    </xf>
    <xf numFmtId="0" fontId="15" fillId="0" borderId="0" xfId="12" applyFont="1" applyAlignment="1">
      <alignment vertical="top" wrapText="1"/>
    </xf>
    <xf numFmtId="0" fontId="16" fillId="0" borderId="0" xfId="12" applyFont="1" applyAlignment="1">
      <alignment horizontal="left" vertical="top" wrapText="1"/>
    </xf>
    <xf numFmtId="0" fontId="16" fillId="0" borderId="0" xfId="12" applyFont="1" applyAlignment="1">
      <alignment wrapText="1"/>
    </xf>
    <xf numFmtId="0" fontId="18" fillId="0" borderId="1" xfId="13" applyFont="1" applyBorder="1" applyAlignment="1">
      <alignment vertical="top" wrapText="1"/>
    </xf>
    <xf numFmtId="0" fontId="18" fillId="0" borderId="0" xfId="13" applyFont="1" applyAlignment="1">
      <alignment vertical="top" wrapText="1"/>
    </xf>
    <xf numFmtId="0" fontId="19" fillId="0" borderId="0" xfId="13" applyFont="1" applyAlignment="1">
      <alignment vertical="top" wrapText="1"/>
    </xf>
    <xf numFmtId="169" fontId="16" fillId="0" borderId="5" xfId="12" applyNumberFormat="1" applyFont="1" applyBorder="1" applyAlignment="1">
      <alignment vertical="top" wrapText="1"/>
    </xf>
    <xf numFmtId="0" fontId="16" fillId="0" borderId="2" xfId="12" applyFont="1" applyBorder="1" applyAlignment="1">
      <alignment vertical="top" wrapText="1"/>
    </xf>
    <xf numFmtId="0" fontId="16" fillId="0" borderId="7" xfId="12" applyFont="1" applyBorder="1" applyAlignment="1">
      <alignment vertical="top" wrapText="1"/>
    </xf>
    <xf numFmtId="0" fontId="18" fillId="0" borderId="1" xfId="13" applyFont="1" applyBorder="1" applyAlignment="1">
      <alignment horizontal="center" vertical="top" wrapText="1"/>
    </xf>
    <xf numFmtId="0" fontId="16" fillId="0" borderId="1" xfId="13" applyFont="1" applyBorder="1" applyAlignment="1">
      <alignment vertical="top" wrapText="1"/>
    </xf>
    <xf numFmtId="0" fontId="20" fillId="0" borderId="1" xfId="12" applyFont="1" applyBorder="1" applyAlignment="1">
      <alignment vertical="top"/>
    </xf>
    <xf numFmtId="0" fontId="16" fillId="0" borderId="0" xfId="13" applyFont="1" applyAlignment="1">
      <alignment vertical="top" wrapText="1"/>
    </xf>
    <xf numFmtId="0" fontId="15" fillId="0" borderId="0" xfId="12" applyFont="1" applyAlignment="1" applyProtection="1">
      <alignment horizontal="center" vertical="top" wrapText="1"/>
      <protection hidden="1"/>
    </xf>
    <xf numFmtId="0" fontId="20" fillId="0" borderId="0" xfId="12" applyFont="1" applyAlignment="1">
      <alignment vertical="top"/>
    </xf>
    <xf numFmtId="0" fontId="15" fillId="0" borderId="0" xfId="13" applyFont="1" applyAlignment="1">
      <alignment vertical="top" wrapText="1"/>
    </xf>
    <xf numFmtId="0" fontId="15" fillId="0" borderId="0" xfId="12" applyFont="1" applyAlignment="1">
      <alignment horizontal="left" vertical="top" wrapText="1"/>
    </xf>
    <xf numFmtId="0" fontId="21" fillId="0" borderId="0" xfId="12" applyFont="1" applyAlignment="1">
      <alignment vertical="top"/>
    </xf>
    <xf numFmtId="0" fontId="16" fillId="0" borderId="4" xfId="12" applyFont="1" applyBorder="1" applyAlignment="1">
      <alignment vertical="top" wrapText="1"/>
    </xf>
    <xf numFmtId="0" fontId="16" fillId="0" borderId="8" xfId="12" applyFont="1" applyBorder="1" applyAlignment="1">
      <alignment vertical="top" wrapText="1"/>
    </xf>
    <xf numFmtId="0" fontId="16" fillId="0" borderId="5" xfId="12" applyFont="1" applyBorder="1" applyAlignment="1">
      <alignment vertical="top" wrapText="1"/>
    </xf>
    <xf numFmtId="49" fontId="16" fillId="0" borderId="1" xfId="12" applyNumberFormat="1" applyFont="1" applyBorder="1" applyAlignment="1">
      <alignment vertical="top" wrapText="1"/>
    </xf>
    <xf numFmtId="0" fontId="16" fillId="0" borderId="1" xfId="12" applyFont="1" applyBorder="1" applyAlignment="1">
      <alignment wrapText="1"/>
    </xf>
    <xf numFmtId="0" fontId="14" fillId="0" borderId="1" xfId="12" applyFont="1" applyBorder="1"/>
    <xf numFmtId="0" fontId="15" fillId="0" borderId="1" xfId="12" applyFont="1" applyBorder="1"/>
    <xf numFmtId="3" fontId="15" fillId="0" borderId="1" xfId="12" applyNumberFormat="1" applyFont="1" applyBorder="1"/>
    <xf numFmtId="0" fontId="12" fillId="0" borderId="0" xfId="12"/>
    <xf numFmtId="0" fontId="0" fillId="5" borderId="0" xfId="0" applyFill="1"/>
    <xf numFmtId="0" fontId="24" fillId="5" borderId="0" xfId="0" applyFont="1" applyFill="1"/>
    <xf numFmtId="3" fontId="16" fillId="0" borderId="5" xfId="0" applyNumberFormat="1" applyFont="1" applyBorder="1" applyAlignment="1">
      <alignment vertical="top" wrapText="1"/>
    </xf>
    <xf numFmtId="169" fontId="16" fillId="0" borderId="5" xfId="0" applyNumberFormat="1" applyFont="1" applyBorder="1" applyAlignment="1">
      <alignment vertical="top" wrapText="1"/>
    </xf>
    <xf numFmtId="0" fontId="16" fillId="0" borderId="1" xfId="0" applyFont="1" applyBorder="1" applyAlignment="1">
      <alignment vertical="top" wrapText="1"/>
    </xf>
    <xf numFmtId="0" fontId="16" fillId="0" borderId="2" xfId="0" applyFont="1" applyBorder="1" applyAlignment="1">
      <alignment vertical="top" wrapText="1"/>
    </xf>
    <xf numFmtId="0" fontId="16" fillId="0" borderId="0" xfId="0" applyFont="1" applyAlignment="1">
      <alignment vertical="top" wrapText="1"/>
    </xf>
    <xf numFmtId="0" fontId="15" fillId="0" borderId="0" xfId="0" applyFont="1" applyAlignment="1">
      <alignment vertical="top" wrapText="1"/>
    </xf>
    <xf numFmtId="0" fontId="16" fillId="0" borderId="0" xfId="0" applyFont="1" applyAlignment="1">
      <alignment horizontal="left" vertical="top" wrapText="1"/>
    </xf>
    <xf numFmtId="0" fontId="16" fillId="0" borderId="0" xfId="0" applyFont="1" applyAlignment="1">
      <alignment wrapText="1"/>
    </xf>
    <xf numFmtId="4" fontId="0" fillId="5" borderId="0" xfId="0" applyNumberFormat="1" applyFill="1"/>
    <xf numFmtId="4" fontId="24" fillId="5" borderId="0" xfId="0" applyNumberFormat="1" applyFont="1" applyFill="1"/>
    <xf numFmtId="0" fontId="24" fillId="0" borderId="0" xfId="0" applyFont="1"/>
    <xf numFmtId="0" fontId="27" fillId="0" borderId="0" xfId="0" applyFont="1" applyAlignment="1">
      <alignment horizontal="center" vertical="center" wrapText="1"/>
    </xf>
    <xf numFmtId="171" fontId="27" fillId="0" borderId="0" xfId="0" applyNumberFormat="1" applyFont="1" applyAlignment="1">
      <alignment horizontal="center" vertical="center" wrapText="1"/>
    </xf>
    <xf numFmtId="0" fontId="27" fillId="0" borderId="1" xfId="0" applyFont="1" applyBorder="1" applyAlignment="1">
      <alignment horizontal="center" vertical="center" wrapText="1"/>
    </xf>
    <xf numFmtId="171" fontId="27" fillId="0" borderId="1" xfId="0" applyNumberFormat="1" applyFont="1" applyBorder="1" applyAlignment="1">
      <alignment horizontal="center" vertical="center" wrapText="1"/>
    </xf>
    <xf numFmtId="4" fontId="28" fillId="0" borderId="1" xfId="0" applyNumberFormat="1" applyFont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171" fontId="28" fillId="0" borderId="1" xfId="0" applyNumberFormat="1" applyFont="1" applyBorder="1" applyAlignment="1">
      <alignment horizontal="center" vertical="center" wrapText="1"/>
    </xf>
    <xf numFmtId="0" fontId="28" fillId="6" borderId="0" xfId="0" applyFont="1" applyFill="1" applyAlignment="1">
      <alignment horizontal="center" vertical="center" wrapText="1"/>
    </xf>
    <xf numFmtId="4" fontId="27" fillId="0" borderId="0" xfId="0" applyNumberFormat="1" applyFont="1" applyAlignment="1">
      <alignment horizontal="center" vertical="center" wrapText="1"/>
    </xf>
    <xf numFmtId="0" fontId="11" fillId="5" borderId="1" xfId="10" applyFont="1" applyFill="1" applyBorder="1" applyAlignment="1">
      <alignment horizontal="left" wrapText="1"/>
    </xf>
    <xf numFmtId="0" fontId="27" fillId="0" borderId="1" xfId="0" applyFont="1" applyBorder="1" applyAlignment="1">
      <alignment horizontal="left" vertical="center" wrapText="1"/>
    </xf>
    <xf numFmtId="0" fontId="27" fillId="5" borderId="1" xfId="0" applyFont="1" applyFill="1" applyBorder="1" applyAlignment="1">
      <alignment horizontal="left" vertical="center" wrapText="1"/>
    </xf>
    <xf numFmtId="0" fontId="28" fillId="0" borderId="1" xfId="0" applyFont="1" applyBorder="1" applyAlignment="1">
      <alignment horizontal="left" vertical="center" wrapText="1"/>
    </xf>
    <xf numFmtId="0" fontId="27" fillId="0" borderId="0" xfId="0" applyFont="1" applyAlignment="1">
      <alignment horizontal="left" vertical="center" wrapText="1"/>
    </xf>
    <xf numFmtId="4" fontId="27" fillId="0" borderId="0" xfId="0" applyNumberFormat="1" applyFont="1" applyAlignment="1">
      <alignment horizontal="left" vertical="center" wrapText="1"/>
    </xf>
    <xf numFmtId="4" fontId="27" fillId="5" borderId="1" xfId="0" applyNumberFormat="1" applyFont="1" applyFill="1" applyBorder="1" applyAlignment="1">
      <alignment horizontal="center" vertical="center" wrapText="1"/>
    </xf>
    <xf numFmtId="171" fontId="27" fillId="5" borderId="1" xfId="0" applyNumberFormat="1" applyFont="1" applyFill="1" applyBorder="1" applyAlignment="1">
      <alignment horizontal="center" vertical="center" wrapText="1"/>
    </xf>
    <xf numFmtId="167" fontId="16" fillId="0" borderId="1" xfId="12" applyNumberFormat="1" applyFont="1" applyBorder="1" applyAlignment="1">
      <alignment vertical="top" wrapText="1"/>
    </xf>
    <xf numFmtId="0" fontId="24" fillId="5" borderId="0" xfId="0" applyFont="1" applyFill="1" applyAlignment="1">
      <alignment vertical="center"/>
    </xf>
    <xf numFmtId="3" fontId="16" fillId="5" borderId="5" xfId="12" applyNumberFormat="1" applyFont="1" applyFill="1" applyBorder="1" applyAlignment="1">
      <alignment vertical="top" wrapText="1"/>
    </xf>
    <xf numFmtId="0" fontId="13" fillId="0" borderId="10" xfId="12" applyFont="1" applyBorder="1"/>
    <xf numFmtId="3" fontId="15" fillId="0" borderId="1" xfId="12" applyNumberFormat="1" applyFont="1" applyBorder="1" applyAlignment="1">
      <alignment vertical="top" wrapText="1"/>
    </xf>
    <xf numFmtId="0" fontId="1" fillId="5" borderId="0" xfId="0" applyFont="1" applyFill="1" applyAlignment="1">
      <alignment vertical="top"/>
    </xf>
    <xf numFmtId="0" fontId="1" fillId="5" borderId="1" xfId="0" applyFont="1" applyFill="1" applyBorder="1" applyAlignment="1">
      <alignment horizontal="center" vertical="center" wrapText="1"/>
    </xf>
    <xf numFmtId="0" fontId="1" fillId="5" borderId="1" xfId="0" applyFont="1" applyFill="1" applyBorder="1" applyAlignment="1">
      <alignment horizontal="center"/>
    </xf>
    <xf numFmtId="0" fontId="0" fillId="5" borderId="0" xfId="0" applyFill="1" applyAlignment="1">
      <alignment vertical="center"/>
    </xf>
    <xf numFmtId="4" fontId="0" fillId="5" borderId="0" xfId="0" applyNumberFormat="1" applyFill="1" applyAlignment="1">
      <alignment vertical="center"/>
    </xf>
    <xf numFmtId="0" fontId="31" fillId="3" borderId="1" xfId="12" applyFont="1" applyFill="1" applyBorder="1" applyAlignment="1">
      <alignment vertical="top" wrapText="1"/>
    </xf>
    <xf numFmtId="0" fontId="31" fillId="3" borderId="5" xfId="12" applyFont="1" applyFill="1" applyBorder="1" applyAlignment="1">
      <alignment vertical="top" wrapText="1"/>
    </xf>
    <xf numFmtId="3" fontId="31" fillId="3" borderId="5" xfId="12" applyNumberFormat="1" applyFont="1" applyFill="1" applyBorder="1" applyAlignment="1">
      <alignment vertical="top" wrapText="1"/>
    </xf>
    <xf numFmtId="168" fontId="31" fillId="3" borderId="1" xfId="12" applyNumberFormat="1" applyFont="1" applyFill="1" applyBorder="1" applyAlignment="1">
      <alignment vertical="top" wrapText="1"/>
    </xf>
    <xf numFmtId="4" fontId="0" fillId="0" borderId="0" xfId="0" applyNumberFormat="1"/>
    <xf numFmtId="3" fontId="16" fillId="0" borderId="0" xfId="0" applyNumberFormat="1" applyFont="1" applyAlignment="1">
      <alignment vertical="top" wrapText="1"/>
    </xf>
    <xf numFmtId="0" fontId="0" fillId="7" borderId="0" xfId="0" applyFill="1"/>
    <xf numFmtId="0" fontId="0" fillId="8" borderId="0" xfId="0" applyFill="1"/>
    <xf numFmtId="0" fontId="24" fillId="8" borderId="0" xfId="0" applyFont="1" applyFill="1"/>
    <xf numFmtId="0" fontId="24" fillId="8" borderId="0" xfId="0" applyFont="1" applyFill="1" applyAlignment="1">
      <alignment vertical="center"/>
    </xf>
    <xf numFmtId="0" fontId="24" fillId="8" borderId="9" xfId="0" applyFont="1" applyFill="1" applyBorder="1"/>
    <xf numFmtId="0" fontId="10" fillId="5" borderId="0" xfId="0" applyFont="1" applyFill="1" applyAlignment="1">
      <alignment horizontal="center" wrapText="1"/>
    </xf>
    <xf numFmtId="0" fontId="24" fillId="5" borderId="9" xfId="0" applyFont="1" applyFill="1" applyBorder="1"/>
    <xf numFmtId="0" fontId="0" fillId="5" borderId="0" xfId="0" applyFill="1" applyAlignment="1">
      <alignment horizontal="center"/>
    </xf>
    <xf numFmtId="0" fontId="27" fillId="7" borderId="1" xfId="0" applyFont="1" applyFill="1" applyBorder="1" applyAlignment="1">
      <alignment horizontal="left" vertical="center" wrapText="1"/>
    </xf>
    <xf numFmtId="4" fontId="27" fillId="7" borderId="1" xfId="0" applyNumberFormat="1" applyFont="1" applyFill="1" applyBorder="1" applyAlignment="1">
      <alignment horizontal="center" vertical="center" wrapText="1"/>
    </xf>
    <xf numFmtId="166" fontId="27" fillId="5" borderId="1" xfId="0" applyNumberFormat="1" applyFont="1" applyFill="1" applyBorder="1" applyAlignment="1">
      <alignment horizontal="center" vertical="center" wrapText="1"/>
    </xf>
    <xf numFmtId="164" fontId="27" fillId="5" borderId="1" xfId="0" applyNumberFormat="1" applyFont="1" applyFill="1" applyBorder="1" applyAlignment="1">
      <alignment horizontal="center" vertical="center" wrapText="1"/>
    </xf>
    <xf numFmtId="0" fontId="1" fillId="5" borderId="1" xfId="0" applyFont="1" applyFill="1" applyBorder="1" applyAlignment="1">
      <alignment horizontal="left" vertical="top" wrapText="1"/>
    </xf>
    <xf numFmtId="172" fontId="0" fillId="5" borderId="0" xfId="0" applyNumberFormat="1" applyFill="1"/>
    <xf numFmtId="166" fontId="0" fillId="5" borderId="0" xfId="0" applyNumberFormat="1" applyFill="1"/>
    <xf numFmtId="169" fontId="16" fillId="2" borderId="1" xfId="12" applyNumberFormat="1" applyFont="1" applyFill="1" applyBorder="1" applyAlignment="1">
      <alignment vertical="top" wrapText="1"/>
    </xf>
    <xf numFmtId="168" fontId="16" fillId="2" borderId="0" xfId="12" applyNumberFormat="1" applyFont="1" applyFill="1" applyAlignment="1">
      <alignment vertical="top" wrapText="1"/>
    </xf>
    <xf numFmtId="168" fontId="16" fillId="3" borderId="0" xfId="12" applyNumberFormat="1" applyFont="1" applyFill="1" applyAlignment="1">
      <alignment wrapText="1"/>
    </xf>
    <xf numFmtId="168" fontId="16" fillId="4" borderId="0" xfId="12" applyNumberFormat="1" applyFont="1" applyFill="1" applyAlignment="1">
      <alignment wrapText="1"/>
    </xf>
    <xf numFmtId="171" fontId="27" fillId="7" borderId="1" xfId="0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49" fontId="0" fillId="0" borderId="0" xfId="0" applyNumberFormat="1" applyAlignment="1">
      <alignment horizontal="center"/>
    </xf>
    <xf numFmtId="49" fontId="0" fillId="7" borderId="0" xfId="0" applyNumberFormat="1" applyFill="1" applyAlignment="1">
      <alignment horizontal="center"/>
    </xf>
    <xf numFmtId="49" fontId="0" fillId="5" borderId="0" xfId="0" applyNumberFormat="1" applyFill="1" applyAlignment="1">
      <alignment horizontal="center"/>
    </xf>
    <xf numFmtId="49" fontId="24" fillId="0" borderId="0" xfId="0" applyNumberFormat="1" applyFont="1" applyAlignment="1">
      <alignment horizontal="center"/>
    </xf>
    <xf numFmtId="0" fontId="1" fillId="7" borderId="1" xfId="0" applyFont="1" applyFill="1" applyBorder="1" applyAlignment="1">
      <alignment horizontal="left" vertical="top" wrapText="1"/>
    </xf>
    <xf numFmtId="49" fontId="0" fillId="0" borderId="0" xfId="0" applyNumberFormat="1" applyAlignment="1">
      <alignment horizontal="center" vertical="center"/>
    </xf>
    <xf numFmtId="0" fontId="11" fillId="0" borderId="1" xfId="10" applyFont="1" applyBorder="1" applyAlignment="1">
      <alignment horizontal="left" wrapText="1"/>
    </xf>
    <xf numFmtId="0" fontId="0" fillId="9" borderId="0" xfId="0" applyFill="1"/>
    <xf numFmtId="0" fontId="0" fillId="10" borderId="0" xfId="0" applyFill="1"/>
    <xf numFmtId="0" fontId="10" fillId="7" borderId="0" xfId="0" applyFont="1" applyFill="1" applyAlignment="1">
      <alignment horizontal="center" wrapText="1"/>
    </xf>
    <xf numFmtId="4" fontId="0" fillId="7" borderId="0" xfId="0" applyNumberFormat="1" applyFill="1"/>
    <xf numFmtId="0" fontId="0" fillId="7" borderId="0" xfId="0" applyFill="1" applyAlignment="1">
      <alignment horizontal="center"/>
    </xf>
    <xf numFmtId="0" fontId="28" fillId="7" borderId="1" xfId="0" applyFont="1" applyFill="1" applyBorder="1" applyAlignment="1">
      <alignment horizontal="center" vertical="center" wrapText="1"/>
    </xf>
    <xf numFmtId="0" fontId="27" fillId="5" borderId="1" xfId="0" applyFont="1" applyFill="1" applyBorder="1" applyAlignment="1">
      <alignment horizontal="center" vertical="center" wrapText="1"/>
    </xf>
    <xf numFmtId="49" fontId="0" fillId="5" borderId="0" xfId="0" applyNumberFormat="1" applyFill="1" applyAlignment="1">
      <alignment horizontal="center" vertical="center"/>
    </xf>
    <xf numFmtId="0" fontId="28" fillId="5" borderId="1" xfId="0" applyFont="1" applyFill="1" applyBorder="1" applyAlignment="1">
      <alignment horizontal="left" vertical="center" wrapText="1"/>
    </xf>
    <xf numFmtId="4" fontId="28" fillId="5" borderId="1" xfId="0" applyNumberFormat="1" applyFont="1" applyFill="1" applyBorder="1" applyAlignment="1">
      <alignment horizontal="center" vertical="center" wrapText="1"/>
    </xf>
    <xf numFmtId="0" fontId="28" fillId="5" borderId="1" xfId="0" applyFont="1" applyFill="1" applyBorder="1" applyAlignment="1">
      <alignment horizontal="center" vertical="center" wrapText="1"/>
    </xf>
    <xf numFmtId="171" fontId="28" fillId="5" borderId="1" xfId="0" applyNumberFormat="1" applyFont="1" applyFill="1" applyBorder="1" applyAlignment="1">
      <alignment horizontal="center" vertical="center" wrapText="1"/>
    </xf>
    <xf numFmtId="49" fontId="24" fillId="5" borderId="0" xfId="0" applyNumberFormat="1" applyFont="1" applyFill="1" applyAlignment="1">
      <alignment horizontal="center"/>
    </xf>
    <xf numFmtId="0" fontId="27" fillId="5" borderId="0" xfId="0" applyFont="1" applyFill="1" applyAlignment="1">
      <alignment horizontal="left" vertical="center" wrapText="1"/>
    </xf>
    <xf numFmtId="0" fontId="27" fillId="5" borderId="0" xfId="0" applyFont="1" applyFill="1" applyAlignment="1">
      <alignment horizontal="center" vertical="center" wrapText="1"/>
    </xf>
    <xf numFmtId="171" fontId="27" fillId="5" borderId="0" xfId="0" applyNumberFormat="1" applyFont="1" applyFill="1" applyAlignment="1">
      <alignment horizontal="center" vertical="center" wrapText="1"/>
    </xf>
    <xf numFmtId="4" fontId="27" fillId="5" borderId="0" xfId="0" applyNumberFormat="1" applyFont="1" applyFill="1" applyAlignment="1">
      <alignment horizontal="left" vertical="center" wrapText="1"/>
    </xf>
    <xf numFmtId="4" fontId="27" fillId="5" borderId="0" xfId="0" applyNumberFormat="1" applyFont="1" applyFill="1" applyAlignment="1">
      <alignment horizontal="center" vertical="center" wrapText="1"/>
    </xf>
    <xf numFmtId="0" fontId="0" fillId="11" borderId="0" xfId="0" applyFill="1"/>
    <xf numFmtId="4" fontId="0" fillId="11" borderId="0" xfId="0" applyNumberFormat="1" applyFill="1"/>
    <xf numFmtId="0" fontId="10" fillId="5" borderId="0" xfId="0" applyFont="1" applyFill="1"/>
    <xf numFmtId="0" fontId="4" fillId="0" borderId="1" xfId="0" applyFont="1" applyFill="1" applyBorder="1" applyAlignment="1">
      <alignment horizontal="left" vertical="top" wrapText="1"/>
    </xf>
    <xf numFmtId="173" fontId="4" fillId="0" borderId="1" xfId="0" applyNumberFormat="1" applyFont="1" applyFill="1" applyBorder="1" applyAlignment="1">
      <alignment horizontal="center" vertical="center"/>
    </xf>
    <xf numFmtId="165" fontId="4" fillId="0" borderId="1" xfId="0" applyNumberFormat="1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top"/>
    </xf>
    <xf numFmtId="164" fontId="4" fillId="0" borderId="1" xfId="0" applyNumberFormat="1" applyFont="1" applyFill="1" applyBorder="1" applyAlignment="1">
      <alignment horizontal="center" vertical="center"/>
    </xf>
    <xf numFmtId="3" fontId="11" fillId="0" borderId="1" xfId="0" applyNumberFormat="1" applyFont="1" applyFill="1" applyBorder="1" applyAlignment="1">
      <alignment horizontal="center" vertical="top"/>
    </xf>
    <xf numFmtId="3" fontId="4" fillId="0" borderId="5" xfId="0" applyNumberFormat="1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left" vertical="center" wrapText="1"/>
    </xf>
    <xf numFmtId="166" fontId="11" fillId="0" borderId="10" xfId="0" applyNumberFormat="1" applyFont="1" applyFill="1" applyBorder="1" applyAlignment="1">
      <alignment vertical="center"/>
    </xf>
    <xf numFmtId="166" fontId="11" fillId="0" borderId="1" xfId="0" applyNumberFormat="1" applyFont="1" applyFill="1" applyBorder="1" applyAlignment="1">
      <alignment horizontal="right" vertical="center" wrapText="1"/>
    </xf>
    <xf numFmtId="0" fontId="0" fillId="0" borderId="0" xfId="0" applyFill="1"/>
    <xf numFmtId="4" fontId="0" fillId="0" borderId="0" xfId="0" applyNumberFormat="1" applyFill="1"/>
    <xf numFmtId="0" fontId="1" fillId="0" borderId="0" xfId="0" applyFont="1" applyFill="1" applyAlignment="1">
      <alignment vertical="top"/>
    </xf>
    <xf numFmtId="0" fontId="4" fillId="0" borderId="0" xfId="0" applyFont="1" applyFill="1" applyAlignment="1">
      <alignment horizontal="left"/>
    </xf>
    <xf numFmtId="0" fontId="4" fillId="0" borderId="0" xfId="0" applyFont="1" applyFill="1" applyAlignment="1">
      <alignment wrapText="1"/>
    </xf>
    <xf numFmtId="0" fontId="4" fillId="0" borderId="0" xfId="0" applyFont="1" applyFill="1" applyAlignment="1">
      <alignment vertical="top" wrapText="1"/>
    </xf>
    <xf numFmtId="0" fontId="4" fillId="0" borderId="0" xfId="0" applyFont="1" applyFill="1" applyAlignment="1">
      <alignment horizontal="center" vertical="top" wrapText="1"/>
    </xf>
    <xf numFmtId="166" fontId="4" fillId="0" borderId="0" xfId="0" applyNumberFormat="1" applyFont="1" applyFill="1" applyAlignment="1">
      <alignment horizontal="center" vertical="top" wrapText="1"/>
    </xf>
    <xf numFmtId="166" fontId="11" fillId="0" borderId="0" xfId="0" applyNumberFormat="1" applyFont="1" applyFill="1" applyAlignment="1">
      <alignment vertical="center"/>
    </xf>
    <xf numFmtId="0" fontId="10" fillId="0" borderId="0" xfId="0" applyFont="1" applyFill="1"/>
    <xf numFmtId="0" fontId="10" fillId="0" borderId="0" xfId="0" applyFont="1" applyFill="1" applyAlignment="1">
      <alignment horizontal="center" wrapText="1"/>
    </xf>
    <xf numFmtId="0" fontId="25" fillId="0" borderId="0" xfId="0" applyFont="1" applyFill="1" applyAlignment="1">
      <alignment horizontal="left" wrapText="1"/>
    </xf>
    <xf numFmtId="0" fontId="25" fillId="0" borderId="0" xfId="0" applyFont="1" applyFill="1" applyAlignment="1">
      <alignment horizontal="center" wrapText="1"/>
    </xf>
    <xf numFmtId="166" fontId="25" fillId="0" borderId="0" xfId="0" applyNumberFormat="1" applyFont="1" applyFill="1" applyAlignment="1">
      <alignment horizontal="center" wrapText="1"/>
    </xf>
    <xf numFmtId="0" fontId="1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left" vertical="center" wrapText="1"/>
    </xf>
    <xf numFmtId="0" fontId="4" fillId="0" borderId="1" xfId="0" applyFont="1" applyFill="1" applyBorder="1" applyAlignment="1">
      <alignment horizontal="center" vertical="center" wrapText="1"/>
    </xf>
    <xf numFmtId="166" fontId="4" fillId="0" borderId="1" xfId="0" applyNumberFormat="1" applyFont="1" applyFill="1" applyBorder="1" applyAlignment="1">
      <alignment horizontal="center" vertical="center" wrapText="1"/>
    </xf>
    <xf numFmtId="0" fontId="4" fillId="0" borderId="5" xfId="0" applyFont="1" applyFill="1" applyBorder="1" applyAlignment="1">
      <alignment horizontal="center" vertical="center" wrapText="1"/>
    </xf>
    <xf numFmtId="166" fontId="4" fillId="0" borderId="10" xfId="0" applyNumberFormat="1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/>
    </xf>
    <xf numFmtId="0" fontId="4" fillId="0" borderId="1" xfId="0" applyFont="1" applyFill="1" applyBorder="1" applyAlignment="1">
      <alignment horizontal="center"/>
    </xf>
    <xf numFmtId="0" fontId="4" fillId="0" borderId="1" xfId="0" applyFont="1" applyFill="1" applyBorder="1" applyAlignment="1">
      <alignment horizontal="center" vertical="top" wrapText="1"/>
    </xf>
    <xf numFmtId="0" fontId="4" fillId="0" borderId="1" xfId="0" applyFont="1" applyFill="1" applyBorder="1" applyAlignment="1">
      <alignment horizontal="center" vertical="top"/>
    </xf>
    <xf numFmtId="0" fontId="4" fillId="0" borderId="5" xfId="0" applyFont="1" applyFill="1" applyBorder="1" applyAlignment="1">
      <alignment horizontal="center" vertical="top"/>
    </xf>
    <xf numFmtId="3" fontId="4" fillId="0" borderId="10" xfId="0" applyNumberFormat="1" applyFont="1" applyFill="1" applyBorder="1" applyAlignment="1">
      <alignment horizontal="center" vertical="center"/>
    </xf>
    <xf numFmtId="3" fontId="4" fillId="0" borderId="1" xfId="0" applyNumberFormat="1" applyFont="1" applyFill="1" applyBorder="1" applyAlignment="1">
      <alignment horizontal="center" vertical="center"/>
    </xf>
    <xf numFmtId="0" fontId="0" fillId="0" borderId="0" xfId="0" applyFill="1" applyAlignment="1">
      <alignment horizontal="center"/>
    </xf>
    <xf numFmtId="0" fontId="4" fillId="0" borderId="1" xfId="0" applyFont="1" applyFill="1" applyBorder="1" applyAlignment="1">
      <alignment horizontal="left" vertical="top"/>
    </xf>
    <xf numFmtId="0" fontId="11" fillId="0" borderId="1" xfId="0" applyFont="1" applyFill="1" applyBorder="1" applyAlignment="1">
      <alignment horizontal="center"/>
    </xf>
    <xf numFmtId="0" fontId="11" fillId="0" borderId="5" xfId="0" applyFont="1" applyFill="1" applyBorder="1" applyAlignment="1">
      <alignment horizontal="center"/>
    </xf>
    <xf numFmtId="0" fontId="11" fillId="0" borderId="1" xfId="0" applyFont="1" applyFill="1" applyBorder="1"/>
    <xf numFmtId="166" fontId="26" fillId="0" borderId="1" xfId="0" applyNumberFormat="1" applyFont="1" applyFill="1" applyBorder="1" applyAlignment="1">
      <alignment horizontal="right" vertical="center" wrapText="1"/>
    </xf>
    <xf numFmtId="0" fontId="4" fillId="0" borderId="1" xfId="0" applyFont="1" applyFill="1" applyBorder="1" applyAlignment="1">
      <alignment vertical="top"/>
    </xf>
    <xf numFmtId="178" fontId="4" fillId="0" borderId="1" xfId="0" applyNumberFormat="1" applyFont="1" applyFill="1" applyBorder="1" applyAlignment="1">
      <alignment horizontal="center" vertical="top"/>
    </xf>
    <xf numFmtId="4" fontId="11" fillId="0" borderId="1" xfId="0" applyNumberFormat="1" applyFont="1" applyFill="1" applyBorder="1" applyAlignment="1">
      <alignment horizontal="center" vertical="top"/>
    </xf>
    <xf numFmtId="0" fontId="11" fillId="0" borderId="5" xfId="0" applyFont="1" applyFill="1" applyBorder="1" applyAlignment="1">
      <alignment horizontal="center" vertical="top"/>
    </xf>
    <xf numFmtId="0" fontId="25" fillId="0" borderId="1" xfId="0" applyFont="1" applyFill="1" applyBorder="1" applyAlignment="1">
      <alignment horizontal="left" vertical="top"/>
    </xf>
    <xf numFmtId="0" fontId="25" fillId="0" borderId="1" xfId="0" applyFont="1" applyFill="1" applyBorder="1" applyAlignment="1">
      <alignment vertical="top"/>
    </xf>
    <xf numFmtId="167" fontId="25" fillId="0" borderId="1" xfId="0" applyNumberFormat="1" applyFont="1" applyFill="1" applyBorder="1" applyAlignment="1">
      <alignment horizontal="center" vertical="top"/>
    </xf>
    <xf numFmtId="0" fontId="26" fillId="0" borderId="1" xfId="0" applyFont="1" applyFill="1" applyBorder="1" applyAlignment="1">
      <alignment horizontal="center" vertical="top"/>
    </xf>
    <xf numFmtId="3" fontId="26" fillId="0" borderId="1" xfId="0" applyNumberFormat="1" applyFont="1" applyFill="1" applyBorder="1" applyAlignment="1">
      <alignment horizontal="center" vertical="top"/>
    </xf>
    <xf numFmtId="0" fontId="26" fillId="0" borderId="5" xfId="0" applyFont="1" applyFill="1" applyBorder="1" applyAlignment="1">
      <alignment horizontal="center" vertical="top"/>
    </xf>
    <xf numFmtId="0" fontId="26" fillId="0" borderId="1" xfId="0" applyFont="1" applyFill="1" applyBorder="1" applyAlignment="1">
      <alignment horizontal="left" vertical="center" wrapText="1"/>
    </xf>
    <xf numFmtId="166" fontId="26" fillId="0" borderId="10" xfId="0" applyNumberFormat="1" applyFont="1" applyFill="1" applyBorder="1" applyAlignment="1">
      <alignment vertical="center"/>
    </xf>
    <xf numFmtId="2" fontId="4" fillId="0" borderId="1" xfId="0" applyNumberFormat="1" applyFont="1" applyFill="1" applyBorder="1" applyAlignment="1">
      <alignment horizontal="center" vertical="top"/>
    </xf>
    <xf numFmtId="0" fontId="11" fillId="0" borderId="1" xfId="0" applyFont="1" applyFill="1" applyBorder="1" applyAlignment="1">
      <alignment vertical="top"/>
    </xf>
    <xf numFmtId="166" fontId="25" fillId="0" borderId="1" xfId="0" applyNumberFormat="1" applyFont="1" applyFill="1" applyBorder="1" applyAlignment="1">
      <alignment horizontal="center" vertical="top"/>
    </xf>
    <xf numFmtId="0" fontId="26" fillId="0" borderId="1" xfId="0" applyFont="1" applyFill="1" applyBorder="1" applyAlignment="1">
      <alignment horizontal="center"/>
    </xf>
    <xf numFmtId="0" fontId="26" fillId="0" borderId="5" xfId="0" applyFont="1" applyFill="1" applyBorder="1" applyAlignment="1">
      <alignment horizontal="center"/>
    </xf>
    <xf numFmtId="0" fontId="26" fillId="0" borderId="1" xfId="0" applyFont="1" applyFill="1" applyBorder="1"/>
    <xf numFmtId="166" fontId="4" fillId="0" borderId="1" xfId="0" applyNumberFormat="1" applyFont="1" applyFill="1" applyBorder="1" applyAlignment="1">
      <alignment horizontal="center" vertical="top"/>
    </xf>
    <xf numFmtId="49" fontId="25" fillId="0" borderId="1" xfId="0" applyNumberFormat="1" applyFont="1" applyFill="1" applyBorder="1" applyAlignment="1">
      <alignment horizontal="left" vertical="top" wrapText="1"/>
    </xf>
    <xf numFmtId="0" fontId="25" fillId="0" borderId="1" xfId="0" applyFont="1" applyFill="1" applyBorder="1" applyAlignment="1">
      <alignment horizontal="center" vertical="top"/>
    </xf>
    <xf numFmtId="0" fontId="25" fillId="0" borderId="5" xfId="0" applyFont="1" applyFill="1" applyBorder="1" applyAlignment="1">
      <alignment horizontal="center" vertical="top"/>
    </xf>
    <xf numFmtId="49" fontId="4" fillId="0" borderId="1" xfId="0" applyNumberFormat="1" applyFont="1" applyFill="1" applyBorder="1" applyAlignment="1">
      <alignment horizontal="left" vertical="top" wrapText="1"/>
    </xf>
    <xf numFmtId="0" fontId="4" fillId="0" borderId="1" xfId="0" applyFont="1" applyFill="1" applyBorder="1" applyAlignment="1">
      <alignment horizontal="left" wrapText="1"/>
    </xf>
    <xf numFmtId="0" fontId="4" fillId="0" borderId="1" xfId="0" applyFont="1" applyFill="1" applyBorder="1" applyAlignment="1">
      <alignment horizontal="left"/>
    </xf>
    <xf numFmtId="4" fontId="4" fillId="0" borderId="1" xfId="0" applyNumberFormat="1" applyFont="1" applyFill="1" applyBorder="1" applyAlignment="1">
      <alignment horizontal="center" vertical="center"/>
    </xf>
    <xf numFmtId="175" fontId="4" fillId="0" borderId="5" xfId="0" applyNumberFormat="1" applyFont="1" applyFill="1" applyBorder="1" applyAlignment="1">
      <alignment horizontal="center" vertical="center"/>
    </xf>
    <xf numFmtId="0" fontId="25" fillId="0" borderId="1" xfId="0" applyFont="1" applyFill="1" applyBorder="1" applyAlignment="1">
      <alignment horizontal="left" wrapText="1"/>
    </xf>
    <xf numFmtId="166" fontId="25" fillId="0" borderId="1" xfId="0" applyNumberFormat="1" applyFont="1" applyFill="1" applyBorder="1" applyAlignment="1">
      <alignment horizontal="center" vertical="center"/>
    </xf>
    <xf numFmtId="164" fontId="25" fillId="0" borderId="1" xfId="0" applyNumberFormat="1" applyFont="1" applyFill="1" applyBorder="1" applyAlignment="1">
      <alignment horizontal="center" vertical="center"/>
    </xf>
    <xf numFmtId="3" fontId="25" fillId="0" borderId="5" xfId="0" applyNumberFormat="1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left"/>
    </xf>
    <xf numFmtId="0" fontId="4" fillId="0" borderId="1" xfId="0" applyFont="1" applyFill="1" applyBorder="1" applyAlignment="1">
      <alignment horizontal="justify" vertical="top" wrapText="1"/>
    </xf>
    <xf numFmtId="0" fontId="25" fillId="0" borderId="1" xfId="0" applyFont="1" applyFill="1" applyBorder="1" applyAlignment="1">
      <alignment horizontal="justify" vertical="top" wrapText="1"/>
    </xf>
    <xf numFmtId="177" fontId="4" fillId="0" borderId="1" xfId="0" applyNumberFormat="1" applyFont="1" applyFill="1" applyBorder="1" applyAlignment="1">
      <alignment horizontal="center" vertical="center"/>
    </xf>
    <xf numFmtId="3" fontId="11" fillId="0" borderId="5" xfId="0" applyNumberFormat="1" applyFont="1" applyFill="1" applyBorder="1" applyAlignment="1">
      <alignment horizontal="center"/>
    </xf>
    <xf numFmtId="3" fontId="11" fillId="0" borderId="5" xfId="0" applyNumberFormat="1" applyFont="1" applyFill="1" applyBorder="1" applyAlignment="1">
      <alignment horizontal="center" vertical="top"/>
    </xf>
    <xf numFmtId="166" fontId="4" fillId="0" borderId="1" xfId="0" applyNumberFormat="1" applyFont="1" applyFill="1" applyBorder="1" applyAlignment="1">
      <alignment horizontal="center" vertical="top" wrapText="1"/>
    </xf>
    <xf numFmtId="3" fontId="4" fillId="0" borderId="5" xfId="0" applyNumberFormat="1" applyFont="1" applyFill="1" applyBorder="1" applyAlignment="1">
      <alignment horizontal="center"/>
    </xf>
    <xf numFmtId="166" fontId="4" fillId="0" borderId="1" xfId="0" applyNumberFormat="1" applyFont="1" applyFill="1" applyBorder="1" applyAlignment="1">
      <alignment horizontal="center" vertical="center"/>
    </xf>
    <xf numFmtId="4" fontId="26" fillId="0" borderId="1" xfId="0" applyNumberFormat="1" applyFont="1" applyFill="1" applyBorder="1" applyAlignment="1">
      <alignment horizontal="left" vertical="center" wrapText="1"/>
    </xf>
    <xf numFmtId="0" fontId="25" fillId="0" borderId="1" xfId="0" applyFont="1" applyFill="1" applyBorder="1" applyAlignment="1">
      <alignment horizontal="left" vertical="top" wrapText="1"/>
    </xf>
    <xf numFmtId="165" fontId="25" fillId="0" borderId="1" xfId="0" applyNumberFormat="1" applyFont="1" applyFill="1" applyBorder="1" applyAlignment="1">
      <alignment horizontal="center" vertical="center"/>
    </xf>
    <xf numFmtId="174" fontId="4" fillId="0" borderId="1" xfId="0" applyNumberFormat="1" applyFont="1" applyFill="1" applyBorder="1" applyAlignment="1">
      <alignment horizontal="center" vertical="center"/>
    </xf>
    <xf numFmtId="175" fontId="4" fillId="0" borderId="1" xfId="0" applyNumberFormat="1" applyFont="1" applyFill="1" applyBorder="1" applyAlignment="1">
      <alignment horizontal="center" vertical="center"/>
    </xf>
    <xf numFmtId="179" fontId="11" fillId="0" borderId="1" xfId="0" applyNumberFormat="1" applyFont="1" applyFill="1" applyBorder="1" applyAlignment="1">
      <alignment horizontal="center" vertical="top"/>
    </xf>
    <xf numFmtId="49" fontId="25" fillId="0" borderId="2" xfId="0" applyNumberFormat="1" applyFont="1" applyFill="1" applyBorder="1" applyAlignment="1">
      <alignment horizontal="left" vertical="top" wrapText="1"/>
    </xf>
    <xf numFmtId="1" fontId="4" fillId="0" borderId="1" xfId="0" applyNumberFormat="1" applyFont="1" applyFill="1" applyBorder="1" applyAlignment="1">
      <alignment horizontal="center" vertical="center"/>
    </xf>
    <xf numFmtId="4" fontId="4" fillId="0" borderId="5" xfId="0" applyNumberFormat="1" applyFont="1" applyFill="1" applyBorder="1" applyAlignment="1">
      <alignment horizontal="center" vertical="center"/>
    </xf>
    <xf numFmtId="2" fontId="4" fillId="0" borderId="1" xfId="0" applyNumberFormat="1" applyFont="1" applyFill="1" applyBorder="1" applyAlignment="1">
      <alignment horizontal="center" vertical="center"/>
    </xf>
    <xf numFmtId="49" fontId="25" fillId="0" borderId="4" xfId="0" applyNumberFormat="1" applyFont="1" applyFill="1" applyBorder="1" applyAlignment="1">
      <alignment horizontal="left" vertical="top" wrapText="1"/>
    </xf>
    <xf numFmtId="164" fontId="4" fillId="0" borderId="5" xfId="0" applyNumberFormat="1" applyFont="1" applyFill="1" applyBorder="1" applyAlignment="1">
      <alignment horizontal="center" vertical="center"/>
    </xf>
    <xf numFmtId="173" fontId="25" fillId="0" borderId="1" xfId="0" applyNumberFormat="1" applyFont="1" applyFill="1" applyBorder="1" applyAlignment="1">
      <alignment horizontal="center" vertical="center"/>
    </xf>
    <xf numFmtId="49" fontId="4" fillId="0" borderId="2" xfId="0" applyNumberFormat="1" applyFont="1" applyFill="1" applyBorder="1" applyAlignment="1">
      <alignment horizontal="left" vertical="top" wrapText="1"/>
    </xf>
    <xf numFmtId="0" fontId="25" fillId="0" borderId="1" xfId="0" applyFont="1" applyFill="1" applyBorder="1" applyAlignment="1">
      <alignment horizontal="left" vertical="center" wrapText="1"/>
    </xf>
    <xf numFmtId="0" fontId="1" fillId="0" borderId="1" xfId="0" applyFont="1" applyFill="1" applyBorder="1" applyAlignment="1">
      <alignment horizontal="left" vertical="top" wrapText="1"/>
    </xf>
    <xf numFmtId="0" fontId="11" fillId="0" borderId="1" xfId="10" applyFont="1" applyFill="1" applyBorder="1" applyAlignment="1">
      <alignment horizontal="left" wrapText="1"/>
    </xf>
    <xf numFmtId="0" fontId="26" fillId="0" borderId="1" xfId="10" applyFont="1" applyFill="1" applyBorder="1" applyAlignment="1">
      <alignment horizontal="left" wrapText="1"/>
    </xf>
    <xf numFmtId="164" fontId="25" fillId="0" borderId="5" xfId="0" applyNumberFormat="1" applyFont="1" applyFill="1" applyBorder="1" applyAlignment="1">
      <alignment horizontal="center" vertical="center"/>
    </xf>
    <xf numFmtId="168" fontId="4" fillId="0" borderId="1" xfId="0" applyNumberFormat="1" applyFont="1" applyFill="1" applyBorder="1" applyAlignment="1">
      <alignment horizontal="center" vertical="top"/>
    </xf>
    <xf numFmtId="168" fontId="25" fillId="0" borderId="1" xfId="0" applyNumberFormat="1" applyFont="1" applyFill="1" applyBorder="1" applyAlignment="1">
      <alignment horizontal="center" vertical="top"/>
    </xf>
    <xf numFmtId="176" fontId="4" fillId="0" borderId="1" xfId="0" applyNumberFormat="1" applyFont="1" applyFill="1" applyBorder="1" applyAlignment="1">
      <alignment horizontal="center" vertical="top"/>
    </xf>
    <xf numFmtId="0" fontId="25" fillId="0" borderId="1" xfId="0" applyFont="1" applyFill="1" applyBorder="1" applyAlignment="1">
      <alignment horizontal="left" vertical="center"/>
    </xf>
    <xf numFmtId="0" fontId="26" fillId="0" borderId="1" xfId="0" applyFont="1" applyFill="1" applyBorder="1" applyAlignment="1">
      <alignment horizontal="center" vertical="center"/>
    </xf>
    <xf numFmtId="3" fontId="26" fillId="0" borderId="1" xfId="0" applyNumberFormat="1" applyFont="1" applyFill="1" applyBorder="1" applyAlignment="1">
      <alignment horizontal="center" vertical="center"/>
    </xf>
    <xf numFmtId="0" fontId="26" fillId="0" borderId="5" xfId="0" applyFont="1" applyFill="1" applyBorder="1" applyAlignment="1">
      <alignment horizontal="center" vertical="center"/>
    </xf>
    <xf numFmtId="0" fontId="26" fillId="0" borderId="1" xfId="0" applyFont="1" applyFill="1" applyBorder="1" applyAlignment="1">
      <alignment vertical="center"/>
    </xf>
    <xf numFmtId="171" fontId="4" fillId="0" borderId="1" xfId="0" applyNumberFormat="1" applyFont="1" applyFill="1" applyBorder="1" applyAlignment="1">
      <alignment horizontal="center" vertical="center"/>
    </xf>
    <xf numFmtId="0" fontId="24" fillId="0" borderId="0" xfId="0" applyFont="1" applyFill="1"/>
    <xf numFmtId="49" fontId="4" fillId="0" borderId="1" xfId="0" applyNumberFormat="1" applyFont="1" applyFill="1" applyBorder="1" applyAlignment="1">
      <alignment horizontal="left" vertical="center" wrapText="1"/>
    </xf>
    <xf numFmtId="0" fontId="4" fillId="0" borderId="1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/>
    </xf>
    <xf numFmtId="3" fontId="11" fillId="0" borderId="1" xfId="0" applyNumberFormat="1" applyFont="1" applyFill="1" applyBorder="1" applyAlignment="1">
      <alignment horizontal="center" vertical="center"/>
    </xf>
    <xf numFmtId="0" fontId="4" fillId="0" borderId="5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left" vertical="center"/>
    </xf>
    <xf numFmtId="0" fontId="0" fillId="0" borderId="0" xfId="0" applyFill="1" applyAlignment="1">
      <alignment vertical="center"/>
    </xf>
    <xf numFmtId="167" fontId="4" fillId="0" borderId="1" xfId="0" applyNumberFormat="1" applyFont="1" applyFill="1" applyBorder="1" applyAlignment="1">
      <alignment horizontal="center" vertical="top"/>
    </xf>
    <xf numFmtId="0" fontId="4" fillId="0" borderId="5" xfId="0" applyFont="1" applyFill="1" applyBorder="1" applyAlignment="1">
      <alignment horizontal="center"/>
    </xf>
    <xf numFmtId="172" fontId="4" fillId="0" borderId="1" xfId="0" applyNumberFormat="1" applyFont="1" applyFill="1" applyBorder="1" applyAlignment="1">
      <alignment horizontal="center" vertical="center"/>
    </xf>
    <xf numFmtId="166" fontId="11" fillId="0" borderId="10" xfId="0" applyNumberFormat="1" applyFont="1" applyFill="1" applyBorder="1"/>
    <xf numFmtId="166" fontId="26" fillId="0" borderId="1" xfId="0" applyNumberFormat="1" applyFont="1" applyFill="1" applyBorder="1"/>
    <xf numFmtId="166" fontId="11" fillId="0" borderId="1" xfId="0" applyNumberFormat="1" applyFont="1" applyFill="1" applyBorder="1"/>
    <xf numFmtId="166" fontId="26" fillId="0" borderId="10" xfId="0" applyNumberFormat="1" applyFont="1" applyFill="1" applyBorder="1"/>
    <xf numFmtId="169" fontId="11" fillId="0" borderId="1" xfId="0" applyNumberFormat="1" applyFont="1" applyFill="1" applyBorder="1" applyAlignment="1">
      <alignment horizontal="center" vertical="top"/>
    </xf>
    <xf numFmtId="4" fontId="11" fillId="0" borderId="1" xfId="0" applyNumberFormat="1" applyFont="1" applyFill="1" applyBorder="1" applyAlignment="1">
      <alignment horizontal="center"/>
    </xf>
    <xf numFmtId="0" fontId="11" fillId="0" borderId="1" xfId="3" applyFont="1" applyFill="1" applyBorder="1" applyAlignment="1">
      <alignment horizontal="left" wrapText="1"/>
    </xf>
    <xf numFmtId="0" fontId="11" fillId="0" borderId="1" xfId="0" applyFont="1" applyFill="1" applyBorder="1" applyAlignment="1">
      <alignment horizontal="left" wrapText="1"/>
    </xf>
    <xf numFmtId="0" fontId="11" fillId="0" borderId="1" xfId="0" applyFont="1" applyFill="1" applyBorder="1" applyAlignment="1">
      <alignment vertical="center" wrapText="1"/>
    </xf>
    <xf numFmtId="0" fontId="25" fillId="0" borderId="1" xfId="0" applyFont="1" applyFill="1" applyBorder="1" applyAlignment="1">
      <alignment horizontal="left"/>
    </xf>
    <xf numFmtId="166" fontId="25" fillId="0" borderId="1" xfId="0" applyNumberFormat="1" applyFont="1" applyFill="1" applyBorder="1" applyAlignment="1">
      <alignment horizontal="center"/>
    </xf>
    <xf numFmtId="0" fontId="26" fillId="0" borderId="1" xfId="0" applyFont="1" applyFill="1" applyBorder="1" applyAlignment="1">
      <alignment horizontal="left"/>
    </xf>
    <xf numFmtId="174" fontId="26" fillId="0" borderId="10" xfId="0" applyNumberFormat="1" applyFont="1" applyFill="1" applyBorder="1"/>
    <xf numFmtId="170" fontId="11" fillId="0" borderId="1" xfId="0" applyNumberFormat="1" applyFont="1" applyFill="1" applyBorder="1" applyAlignment="1">
      <alignment horizontal="center" vertical="top"/>
    </xf>
    <xf numFmtId="0" fontId="25" fillId="0" borderId="1" xfId="0" applyFont="1" applyFill="1" applyBorder="1" applyAlignment="1">
      <alignment vertical="center"/>
    </xf>
    <xf numFmtId="167" fontId="25" fillId="0" borderId="1" xfId="0" applyNumberFormat="1" applyFont="1" applyFill="1" applyBorder="1" applyAlignment="1">
      <alignment horizontal="center" vertical="center"/>
    </xf>
    <xf numFmtId="166" fontId="26" fillId="0" borderId="1" xfId="0" applyNumberFormat="1" applyFont="1" applyFill="1" applyBorder="1" applyAlignment="1">
      <alignment vertical="center"/>
    </xf>
    <xf numFmtId="0" fontId="24" fillId="0" borderId="0" xfId="0" applyFont="1" applyFill="1" applyAlignment="1">
      <alignment vertical="center"/>
    </xf>
    <xf numFmtId="0" fontId="4" fillId="0" borderId="2" xfId="0" applyFont="1" applyFill="1" applyBorder="1" applyAlignment="1">
      <alignment horizontal="left" vertical="top" wrapText="1"/>
    </xf>
    <xf numFmtId="165" fontId="4" fillId="0" borderId="2" xfId="0" applyNumberFormat="1" applyFont="1" applyFill="1" applyBorder="1" applyAlignment="1">
      <alignment horizontal="center" vertical="center"/>
    </xf>
    <xf numFmtId="0" fontId="11" fillId="0" borderId="2" xfId="0" applyFont="1" applyFill="1" applyBorder="1" applyAlignment="1">
      <alignment horizontal="center" vertical="top"/>
    </xf>
    <xf numFmtId="164" fontId="4" fillId="0" borderId="2" xfId="0" applyNumberFormat="1" applyFont="1" applyFill="1" applyBorder="1" applyAlignment="1">
      <alignment horizontal="center" vertical="center"/>
    </xf>
    <xf numFmtId="3" fontId="11" fillId="0" borderId="2" xfId="0" applyNumberFormat="1" applyFont="1" applyFill="1" applyBorder="1" applyAlignment="1">
      <alignment horizontal="center" vertical="top"/>
    </xf>
    <xf numFmtId="164" fontId="4" fillId="0" borderId="7" xfId="0" applyNumberFormat="1" applyFont="1" applyFill="1" applyBorder="1" applyAlignment="1">
      <alignment horizontal="center" vertical="center"/>
    </xf>
    <xf numFmtId="166" fontId="11" fillId="0" borderId="11" xfId="0" applyNumberFormat="1" applyFont="1" applyFill="1" applyBorder="1"/>
    <xf numFmtId="166" fontId="11" fillId="0" borderId="2" xfId="0" applyNumberFormat="1" applyFont="1" applyFill="1" applyBorder="1"/>
    <xf numFmtId="0" fontId="24" fillId="0" borderId="9" xfId="0" applyFont="1" applyFill="1" applyBorder="1"/>
    <xf numFmtId="165" fontId="4" fillId="0" borderId="4" xfId="0" applyNumberFormat="1" applyFont="1" applyFill="1" applyBorder="1" applyAlignment="1">
      <alignment horizontal="center" vertical="center"/>
    </xf>
    <xf numFmtId="0" fontId="11" fillId="0" borderId="4" xfId="0" applyFont="1" applyFill="1" applyBorder="1" applyAlignment="1">
      <alignment horizontal="center" vertical="top"/>
    </xf>
    <xf numFmtId="164" fontId="4" fillId="0" borderId="4" xfId="0" applyNumberFormat="1" applyFont="1" applyFill="1" applyBorder="1" applyAlignment="1">
      <alignment horizontal="center" vertical="center"/>
    </xf>
    <xf numFmtId="3" fontId="11" fillId="0" borderId="4" xfId="0" applyNumberFormat="1" applyFont="1" applyFill="1" applyBorder="1" applyAlignment="1">
      <alignment horizontal="center" vertical="top"/>
    </xf>
    <xf numFmtId="166" fontId="11" fillId="0" borderId="12" xfId="0" applyNumberFormat="1" applyFont="1" applyFill="1" applyBorder="1"/>
    <xf numFmtId="166" fontId="11" fillId="0" borderId="4" xfId="0" applyNumberFormat="1" applyFont="1" applyFill="1" applyBorder="1"/>
    <xf numFmtId="170" fontId="4" fillId="0" borderId="1" xfId="0" applyNumberFormat="1" applyFont="1" applyFill="1" applyBorder="1" applyAlignment="1">
      <alignment horizontal="center" vertical="top"/>
    </xf>
    <xf numFmtId="0" fontId="11" fillId="0" borderId="1" xfId="0" applyFont="1" applyFill="1" applyBorder="1" applyAlignment="1">
      <alignment horizontal="left" vertical="top" wrapText="1"/>
    </xf>
    <xf numFmtId="170" fontId="25" fillId="0" borderId="1" xfId="0" applyNumberFormat="1" applyFont="1" applyFill="1" applyBorder="1" applyAlignment="1">
      <alignment horizontal="center" vertical="top"/>
    </xf>
    <xf numFmtId="0" fontId="26" fillId="0" borderId="1" xfId="0" applyFont="1" applyFill="1" applyBorder="1" applyAlignment="1">
      <alignment horizontal="left" vertical="top" wrapText="1"/>
    </xf>
    <xf numFmtId="0" fontId="26" fillId="0" borderId="1" xfId="0" applyFont="1" applyFill="1" applyBorder="1" applyAlignment="1">
      <alignment vertical="top"/>
    </xf>
    <xf numFmtId="0" fontId="4" fillId="0" borderId="1" xfId="0" applyFont="1" applyFill="1" applyBorder="1" applyAlignment="1">
      <alignment horizontal="left" vertical="center"/>
    </xf>
    <xf numFmtId="0" fontId="11" fillId="0" borderId="5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vertical="center"/>
    </xf>
    <xf numFmtId="170" fontId="4" fillId="0" borderId="1" xfId="0" applyNumberFormat="1" applyFont="1" applyFill="1" applyBorder="1" applyAlignment="1">
      <alignment horizontal="center" vertical="center"/>
    </xf>
    <xf numFmtId="4" fontId="11" fillId="0" borderId="1" xfId="0" applyNumberFormat="1" applyFont="1" applyFill="1" applyBorder="1" applyAlignment="1">
      <alignment horizontal="center" vertical="center"/>
    </xf>
    <xf numFmtId="166" fontId="11" fillId="0" borderId="1" xfId="0" applyNumberFormat="1" applyFont="1" applyFill="1" applyBorder="1" applyAlignment="1">
      <alignment vertical="center"/>
    </xf>
    <xf numFmtId="9" fontId="11" fillId="0" borderId="1" xfId="0" applyNumberFormat="1" applyFont="1" applyFill="1" applyBorder="1" applyAlignment="1">
      <alignment horizontal="left" vertical="center" wrapText="1"/>
    </xf>
    <xf numFmtId="0" fontId="25" fillId="0" borderId="4" xfId="0" applyFont="1" applyFill="1" applyBorder="1" applyAlignment="1">
      <alignment horizontal="left" vertical="center"/>
    </xf>
    <xf numFmtId="2" fontId="25" fillId="0" borderId="1" xfId="0" applyNumberFormat="1" applyFont="1" applyFill="1" applyBorder="1" applyAlignment="1">
      <alignment horizontal="center" vertical="center"/>
    </xf>
    <xf numFmtId="9" fontId="26" fillId="0" borderId="1" xfId="0" applyNumberFormat="1" applyFont="1" applyFill="1" applyBorder="1" applyAlignment="1">
      <alignment horizontal="left" vertical="center" wrapText="1"/>
    </xf>
    <xf numFmtId="0" fontId="4" fillId="0" borderId="4" xfId="0" applyFont="1" applyFill="1" applyBorder="1" applyAlignment="1">
      <alignment horizontal="left" vertical="center"/>
    </xf>
    <xf numFmtId="164" fontId="4" fillId="0" borderId="1" xfId="0" applyNumberFormat="1" applyFont="1" applyFill="1" applyBorder="1" applyAlignment="1">
      <alignment horizontal="center" vertical="top"/>
    </xf>
    <xf numFmtId="164" fontId="4" fillId="0" borderId="5" xfId="0" applyNumberFormat="1" applyFont="1" applyFill="1" applyBorder="1" applyAlignment="1">
      <alignment horizontal="center" vertical="top"/>
    </xf>
    <xf numFmtId="0" fontId="11" fillId="0" borderId="1" xfId="0" applyFont="1" applyFill="1" applyBorder="1" applyAlignment="1">
      <alignment horizontal="left" vertical="top"/>
    </xf>
    <xf numFmtId="0" fontId="11" fillId="0" borderId="0" xfId="0" applyFont="1" applyFill="1" applyAlignment="1">
      <alignment horizontal="left"/>
    </xf>
    <xf numFmtId="0" fontId="11" fillId="0" borderId="0" xfId="0" applyFont="1" applyFill="1" applyAlignment="1">
      <alignment wrapText="1"/>
    </xf>
    <xf numFmtId="0" fontId="11" fillId="0" borderId="0" xfId="0" applyFont="1" applyFill="1"/>
    <xf numFmtId="166" fontId="11" fillId="0" borderId="0" xfId="0" applyNumberFormat="1" applyFont="1" applyFill="1" applyAlignment="1">
      <alignment horizontal="center"/>
    </xf>
    <xf numFmtId="4" fontId="11" fillId="0" borderId="0" xfId="0" applyNumberFormat="1" applyFont="1" applyFill="1"/>
    <xf numFmtId="0" fontId="11" fillId="0" borderId="0" xfId="0" applyFont="1" applyFill="1" applyAlignment="1">
      <alignment horizontal="center"/>
    </xf>
    <xf numFmtId="174" fontId="11" fillId="0" borderId="0" xfId="0" applyNumberFormat="1" applyFont="1" applyFill="1"/>
    <xf numFmtId="0" fontId="1" fillId="0" borderId="0" xfId="0" applyFont="1" applyFill="1" applyAlignment="1">
      <alignment horizontal="left" vertical="top" wrapText="1"/>
    </xf>
    <xf numFmtId="0" fontId="4" fillId="0" borderId="0" xfId="0" applyFont="1" applyFill="1" applyAlignment="1">
      <alignment horizontal="left" vertical="top" wrapText="1"/>
    </xf>
    <xf numFmtId="0" fontId="30" fillId="0" borderId="0" xfId="16" applyFont="1" applyFill="1" applyAlignment="1">
      <alignment horizontal="center"/>
    </xf>
    <xf numFmtId="0" fontId="16" fillId="0" borderId="1" xfId="12" applyFont="1" applyBorder="1" applyAlignment="1">
      <alignment horizontal="center" vertical="top" wrapText="1"/>
    </xf>
    <xf numFmtId="0" fontId="18" fillId="0" borderId="1" xfId="13" applyFont="1" applyBorder="1" applyAlignment="1">
      <alignment horizontal="center" vertical="top" wrapText="1"/>
    </xf>
    <xf numFmtId="0" fontId="15" fillId="0" borderId="1" xfId="12" applyFont="1" applyBorder="1" applyAlignment="1" applyProtection="1">
      <alignment horizontal="center" vertical="top" wrapText="1"/>
      <protection hidden="1"/>
    </xf>
    <xf numFmtId="0" fontId="18" fillId="0" borderId="2" xfId="13" applyFont="1" applyBorder="1" applyAlignment="1">
      <alignment horizontal="left" vertical="top" wrapText="1"/>
    </xf>
    <xf numFmtId="0" fontId="18" fillId="0" borderId="3" xfId="13" applyFont="1" applyBorder="1" applyAlignment="1">
      <alignment horizontal="left" vertical="top" wrapText="1"/>
    </xf>
    <xf numFmtId="0" fontId="18" fillId="0" borderId="4" xfId="13" applyFont="1" applyBorder="1" applyAlignment="1">
      <alignment horizontal="left" vertical="top" wrapText="1"/>
    </xf>
    <xf numFmtId="0" fontId="13" fillId="0" borderId="0" xfId="12" applyFont="1" applyAlignment="1">
      <alignment horizontal="center"/>
    </xf>
    <xf numFmtId="0" fontId="13" fillId="0" borderId="6" xfId="12" applyFont="1" applyBorder="1" applyAlignment="1">
      <alignment horizontal="center" vertical="top"/>
    </xf>
    <xf numFmtId="0" fontId="1" fillId="5" borderId="1" xfId="0" applyFont="1" applyFill="1" applyBorder="1" applyAlignment="1">
      <alignment horizontal="center" vertical="top" wrapText="1"/>
    </xf>
    <xf numFmtId="2" fontId="1" fillId="0" borderId="1" xfId="0" applyNumberFormat="1" applyFont="1" applyFill="1" applyBorder="1" applyAlignment="1">
      <alignment horizontal="center" vertical="top" wrapText="1"/>
    </xf>
    <xf numFmtId="0" fontId="4" fillId="0" borderId="1" xfId="0" applyFont="1" applyFill="1" applyBorder="1" applyAlignment="1">
      <alignment horizontal="left" vertical="top" wrapText="1"/>
    </xf>
    <xf numFmtId="0" fontId="4" fillId="0" borderId="1" xfId="0" applyFont="1" applyFill="1" applyBorder="1" applyAlignment="1">
      <alignment horizontal="justify" vertical="center" wrapText="1"/>
    </xf>
    <xf numFmtId="0" fontId="4" fillId="0" borderId="2" xfId="0" applyFont="1" applyFill="1" applyBorder="1" applyAlignment="1">
      <alignment horizontal="left" vertical="center"/>
    </xf>
    <xf numFmtId="0" fontId="4" fillId="0" borderId="4" xfId="0" applyFont="1" applyFill="1" applyBorder="1" applyAlignment="1">
      <alignment horizontal="left" vertical="center"/>
    </xf>
    <xf numFmtId="0" fontId="4" fillId="0" borderId="1" xfId="0" applyFont="1" applyFill="1" applyBorder="1" applyAlignment="1">
      <alignment horizontal="left" vertical="center" wrapText="1"/>
    </xf>
    <xf numFmtId="0" fontId="4" fillId="0" borderId="1" xfId="0" applyFont="1" applyFill="1" applyBorder="1" applyAlignment="1">
      <alignment horizontal="left" vertical="top"/>
    </xf>
    <xf numFmtId="0" fontId="4" fillId="0" borderId="1" xfId="0" applyFont="1" applyFill="1" applyBorder="1" applyAlignment="1">
      <alignment horizontal="justify" vertical="top" wrapText="1"/>
    </xf>
    <xf numFmtId="0" fontId="1" fillId="5" borderId="2" xfId="0" applyFont="1" applyFill="1" applyBorder="1" applyAlignment="1">
      <alignment horizontal="center" vertical="top" wrapText="1"/>
    </xf>
    <xf numFmtId="0" fontId="1" fillId="5" borderId="3" xfId="0" applyFont="1" applyFill="1" applyBorder="1" applyAlignment="1">
      <alignment horizontal="center" vertical="top" wrapText="1"/>
    </xf>
    <xf numFmtId="0" fontId="1" fillId="5" borderId="4" xfId="0" applyFont="1" applyFill="1" applyBorder="1" applyAlignment="1">
      <alignment horizontal="center" vertical="top" wrapText="1"/>
    </xf>
    <xf numFmtId="2" fontId="1" fillId="0" borderId="2" xfId="0" applyNumberFormat="1" applyFont="1" applyFill="1" applyBorder="1" applyAlignment="1">
      <alignment horizontal="center" vertical="top" wrapText="1"/>
    </xf>
    <xf numFmtId="2" fontId="1" fillId="0" borderId="3" xfId="0" applyNumberFormat="1" applyFont="1" applyFill="1" applyBorder="1" applyAlignment="1">
      <alignment horizontal="center" vertical="top" wrapText="1"/>
    </xf>
    <xf numFmtId="2" fontId="1" fillId="0" borderId="4" xfId="0" applyNumberFormat="1" applyFont="1" applyFill="1" applyBorder="1" applyAlignment="1">
      <alignment horizontal="center" vertical="top" wrapText="1"/>
    </xf>
    <xf numFmtId="0" fontId="4" fillId="0" borderId="1" xfId="0" applyFont="1" applyFill="1" applyBorder="1" applyAlignment="1">
      <alignment horizontal="left" wrapText="1"/>
    </xf>
    <xf numFmtId="49" fontId="4" fillId="0" borderId="1" xfId="0" applyNumberFormat="1" applyFont="1" applyFill="1" applyBorder="1" applyAlignment="1">
      <alignment horizontal="left" vertical="top" wrapText="1"/>
    </xf>
    <xf numFmtId="49" fontId="4" fillId="0" borderId="2" xfId="0" applyNumberFormat="1" applyFont="1" applyFill="1" applyBorder="1" applyAlignment="1">
      <alignment horizontal="left" vertical="top" wrapText="1"/>
    </xf>
    <xf numFmtId="49" fontId="4" fillId="0" borderId="3" xfId="0" applyNumberFormat="1" applyFont="1" applyFill="1" applyBorder="1" applyAlignment="1">
      <alignment horizontal="left" vertical="top" wrapText="1"/>
    </xf>
    <xf numFmtId="49" fontId="4" fillId="0" borderId="4" xfId="0" applyNumberFormat="1" applyFont="1" applyFill="1" applyBorder="1" applyAlignment="1">
      <alignment horizontal="left" vertical="top" wrapText="1"/>
    </xf>
    <xf numFmtId="0" fontId="4" fillId="0" borderId="1" xfId="0" applyFont="1" applyFill="1" applyBorder="1" applyAlignment="1">
      <alignment horizontal="left"/>
    </xf>
    <xf numFmtId="0" fontId="4" fillId="0" borderId="5" xfId="0" applyFont="1" applyFill="1" applyBorder="1" applyAlignment="1">
      <alignment horizontal="left" wrapText="1"/>
    </xf>
    <xf numFmtId="0" fontId="4" fillId="0" borderId="9" xfId="0" applyFont="1" applyFill="1" applyBorder="1" applyAlignment="1">
      <alignment horizontal="left" wrapText="1"/>
    </xf>
    <xf numFmtId="0" fontId="4" fillId="0" borderId="10" xfId="0" applyFont="1" applyFill="1" applyBorder="1" applyAlignment="1">
      <alignment horizontal="left" wrapText="1"/>
    </xf>
    <xf numFmtId="49" fontId="4" fillId="0" borderId="2" xfId="0" applyNumberFormat="1" applyFont="1" applyFill="1" applyBorder="1" applyAlignment="1">
      <alignment horizontal="center" vertical="top" wrapText="1"/>
    </xf>
    <xf numFmtId="49" fontId="4" fillId="0" borderId="3" xfId="0" applyNumberFormat="1" applyFont="1" applyFill="1" applyBorder="1" applyAlignment="1">
      <alignment horizontal="center" vertical="top" wrapText="1"/>
    </xf>
    <xf numFmtId="49" fontId="4" fillId="0" borderId="4" xfId="0" applyNumberFormat="1" applyFont="1" applyFill="1" applyBorder="1" applyAlignment="1">
      <alignment horizontal="center" vertical="top" wrapText="1"/>
    </xf>
    <xf numFmtId="0" fontId="1" fillId="10" borderId="3" xfId="0" applyFont="1" applyFill="1" applyBorder="1" applyAlignment="1">
      <alignment horizontal="center" vertical="top" wrapText="1"/>
    </xf>
    <xf numFmtId="49" fontId="4" fillId="0" borderId="1" xfId="0" applyNumberFormat="1" applyFont="1" applyFill="1" applyBorder="1" applyAlignment="1">
      <alignment vertical="top" wrapText="1"/>
    </xf>
    <xf numFmtId="0" fontId="25" fillId="0" borderId="1" xfId="0" applyFont="1" applyFill="1" applyBorder="1" applyAlignment="1">
      <alignment horizontal="left"/>
    </xf>
    <xf numFmtId="0" fontId="4" fillId="0" borderId="1" xfId="0" applyFont="1" applyFill="1" applyBorder="1" applyAlignment="1">
      <alignment horizontal="left" vertical="center"/>
    </xf>
    <xf numFmtId="0" fontId="1" fillId="11" borderId="3" xfId="0" applyFont="1" applyFill="1" applyBorder="1" applyAlignment="1">
      <alignment horizontal="center" vertical="top" wrapText="1"/>
    </xf>
    <xf numFmtId="0" fontId="25" fillId="0" borderId="1" xfId="0" applyFont="1" applyFill="1" applyBorder="1" applyAlignment="1">
      <alignment horizontal="left" vertical="top"/>
    </xf>
    <xf numFmtId="0" fontId="4" fillId="0" borderId="0" xfId="0" applyFont="1" applyFill="1" applyAlignment="1">
      <alignment horizontal="center" vertical="top" wrapText="1"/>
    </xf>
    <xf numFmtId="0" fontId="28" fillId="6" borderId="5" xfId="0" applyFont="1" applyFill="1" applyBorder="1" applyAlignment="1">
      <alignment horizontal="center" vertical="center" wrapText="1"/>
    </xf>
    <xf numFmtId="0" fontId="28" fillId="6" borderId="9" xfId="0" applyFont="1" applyFill="1" applyBorder="1" applyAlignment="1">
      <alignment horizontal="center" vertical="center" wrapText="1"/>
    </xf>
    <xf numFmtId="0" fontId="28" fillId="6" borderId="10" xfId="0" applyFont="1" applyFill="1" applyBorder="1" applyAlignment="1">
      <alignment horizontal="center" vertical="center" wrapText="1"/>
    </xf>
    <xf numFmtId="0" fontId="28" fillId="6" borderId="6" xfId="0" applyFont="1" applyFill="1" applyBorder="1" applyAlignment="1">
      <alignment horizontal="center" vertical="center" wrapText="1"/>
    </xf>
    <xf numFmtId="0" fontId="28" fillId="7" borderId="1" xfId="0" applyFont="1" applyFill="1" applyBorder="1" applyAlignment="1">
      <alignment horizontal="center" vertical="center" wrapText="1"/>
    </xf>
    <xf numFmtId="0" fontId="28" fillId="7" borderId="5" xfId="0" applyFont="1" applyFill="1" applyBorder="1" applyAlignment="1">
      <alignment horizontal="center" vertical="center" wrapText="1"/>
    </xf>
    <xf numFmtId="0" fontId="28" fillId="7" borderId="9" xfId="0" applyFont="1" applyFill="1" applyBorder="1" applyAlignment="1">
      <alignment horizontal="center" vertical="center" wrapText="1"/>
    </xf>
    <xf numFmtId="0" fontId="28" fillId="7" borderId="10" xfId="0" applyFont="1" applyFill="1" applyBorder="1" applyAlignment="1">
      <alignment horizontal="center" vertical="center" wrapText="1"/>
    </xf>
    <xf numFmtId="0" fontId="27" fillId="0" borderId="0" xfId="0" applyFont="1" applyFill="1"/>
  </cellXfs>
  <cellStyles count="17">
    <cellStyle name="TableStyleLight1" xfId="1"/>
    <cellStyle name="Гиперссылка" xfId="16" builtinId="8"/>
    <cellStyle name="Обычный" xfId="0" builtinId="0"/>
    <cellStyle name="Обычный 2" xfId="2"/>
    <cellStyle name="Обычный 2 2" xfId="6"/>
    <cellStyle name="Обычный 2 2 2" xfId="8"/>
    <cellStyle name="Обычный 2 2 2 2" xfId="11"/>
    <cellStyle name="Обычный 2 3" xfId="10"/>
    <cellStyle name="Обычный 2 4" xfId="15"/>
    <cellStyle name="Обычный 3" xfId="3"/>
    <cellStyle name="Обычный 3 2" xfId="5"/>
    <cellStyle name="Обычный 3 2 2" xfId="9"/>
    <cellStyle name="Обычный 4" xfId="4"/>
    <cellStyle name="Обычный 5" xfId="7"/>
    <cellStyle name="Обычный 5 2 2" xfId="14"/>
    <cellStyle name="Обычный 6" xfId="12"/>
    <cellStyle name="Пояснение 2" xfId="13"/>
  </cellStyles>
  <dxfs count="0"/>
  <tableStyles count="0" defaultTableStyle="TableStyleMedium9" defaultPivotStyle="PivotStyleLight16"/>
  <colors>
    <mruColors>
      <color rgb="FF00FFFF"/>
      <color rgb="FFFFFFCC"/>
      <color rgb="FFFFCC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1">
    <pageSetUpPr fitToPage="1"/>
  </sheetPr>
  <dimension ref="A1:AMI65"/>
  <sheetViews>
    <sheetView zoomScaleNormal="100" zoomScaleSheetLayoutView="96" workbookViewId="0">
      <pane xSplit="2" ySplit="5" topLeftCell="C6" activePane="bottomRight" state="frozen"/>
      <selection pane="topRight" activeCell="C1" sqref="C1"/>
      <selection pane="bottomLeft" activeCell="A27" sqref="A27"/>
      <selection pane="bottomRight" activeCell="G44" sqref="G44"/>
    </sheetView>
  </sheetViews>
  <sheetFormatPr defaultColWidth="9.140625" defaultRowHeight="15" x14ac:dyDescent="0.25"/>
  <cols>
    <col min="1" max="1" width="23.7109375" style="3" customWidth="1"/>
    <col min="2" max="2" width="17.140625" style="3" customWidth="1"/>
    <col min="3" max="3" width="21" style="3" customWidth="1"/>
    <col min="4" max="4" width="12.42578125" style="3" customWidth="1"/>
    <col min="5" max="5" width="10.42578125" style="3" customWidth="1"/>
    <col min="6" max="6" width="14.5703125" style="3" customWidth="1"/>
    <col min="7" max="7" width="11.28515625" style="3" customWidth="1"/>
    <col min="8" max="9" width="9.140625" style="3" customWidth="1"/>
    <col min="10" max="10" width="14.28515625" style="3" customWidth="1"/>
    <col min="11" max="11" width="13.5703125" style="3" customWidth="1"/>
    <col min="12" max="12" width="12.85546875" style="3" customWidth="1"/>
    <col min="13" max="13" width="29" style="3" customWidth="1"/>
    <col min="14" max="14" width="31.5703125" style="3" customWidth="1"/>
    <col min="15" max="15" width="14" style="3" customWidth="1"/>
    <col min="16" max="16" width="29.7109375" style="3" customWidth="1"/>
    <col min="17" max="1023" width="9.140625" style="3" customWidth="1"/>
    <col min="1024" max="16384" width="9.140625" style="60"/>
  </cols>
  <sheetData>
    <row r="1" spans="1:15" s="2" customFormat="1" ht="14.25" x14ac:dyDescent="0.2">
      <c r="A1" s="346" t="s">
        <v>383</v>
      </c>
      <c r="B1" s="346"/>
      <c r="C1" s="346"/>
      <c r="D1" s="346"/>
      <c r="E1" s="346"/>
      <c r="F1" s="346"/>
      <c r="G1" s="346"/>
      <c r="H1" s="346"/>
      <c r="I1" s="346"/>
      <c r="J1" s="346"/>
      <c r="K1" s="346"/>
      <c r="L1" s="1"/>
    </row>
    <row r="2" spans="1:15" x14ac:dyDescent="0.25">
      <c r="A2" s="347"/>
      <c r="B2" s="347"/>
      <c r="C2" s="347"/>
      <c r="D2" s="347"/>
      <c r="E2" s="347"/>
      <c r="F2" s="347"/>
    </row>
    <row r="3" spans="1:15" s="4" customFormat="1" ht="15.75" customHeight="1" x14ac:dyDescent="0.2">
      <c r="A3" s="342" t="s">
        <v>120</v>
      </c>
      <c r="B3" s="342" t="s">
        <v>121</v>
      </c>
      <c r="C3" s="342" t="s">
        <v>122</v>
      </c>
      <c r="D3" s="342" t="s">
        <v>123</v>
      </c>
      <c r="E3" s="342" t="s">
        <v>124</v>
      </c>
      <c r="F3" s="342" t="s">
        <v>125</v>
      </c>
      <c r="G3" s="342" t="s">
        <v>126</v>
      </c>
      <c r="H3" s="342" t="s">
        <v>127</v>
      </c>
      <c r="I3" s="342" t="s">
        <v>128</v>
      </c>
      <c r="J3" s="342" t="s">
        <v>129</v>
      </c>
      <c r="K3" s="342" t="s">
        <v>130</v>
      </c>
      <c r="L3" s="342" t="s">
        <v>131</v>
      </c>
      <c r="M3" s="342" t="s">
        <v>16</v>
      </c>
    </row>
    <row r="4" spans="1:15" s="4" customFormat="1" ht="83.25" customHeight="1" x14ac:dyDescent="0.2">
      <c r="A4" s="342"/>
      <c r="B4" s="342"/>
      <c r="C4" s="342"/>
      <c r="D4" s="342"/>
      <c r="E4" s="342"/>
      <c r="F4" s="342"/>
      <c r="G4" s="342"/>
      <c r="H4" s="342"/>
      <c r="I4" s="342"/>
      <c r="J4" s="342"/>
      <c r="K4" s="342"/>
      <c r="L4" s="342"/>
      <c r="M4" s="342"/>
    </row>
    <row r="5" spans="1:15" s="4" customFormat="1" ht="14.25" customHeight="1" x14ac:dyDescent="0.2">
      <c r="A5" s="5">
        <v>1</v>
      </c>
      <c r="B5" s="5">
        <v>2</v>
      </c>
      <c r="C5" s="5">
        <v>3</v>
      </c>
      <c r="D5" s="5">
        <v>4</v>
      </c>
      <c r="E5" s="5">
        <v>5</v>
      </c>
      <c r="F5" s="5">
        <v>6</v>
      </c>
      <c r="G5" s="5">
        <v>7</v>
      </c>
      <c r="H5" s="5">
        <v>8</v>
      </c>
      <c r="I5" s="5">
        <v>9</v>
      </c>
      <c r="J5" s="5">
        <v>10</v>
      </c>
      <c r="K5" s="5">
        <v>11</v>
      </c>
      <c r="L5" s="6">
        <v>12</v>
      </c>
      <c r="M5" s="6">
        <v>12</v>
      </c>
    </row>
    <row r="6" spans="1:15" s="12" customFormat="1" ht="71.25" customHeight="1" x14ac:dyDescent="0.25">
      <c r="A6" s="7" t="s">
        <v>175</v>
      </c>
      <c r="B6" s="8" t="s">
        <v>132</v>
      </c>
      <c r="C6" s="8" t="s">
        <v>133</v>
      </c>
      <c r="D6" s="8" t="s">
        <v>134</v>
      </c>
      <c r="E6" s="8" t="s">
        <v>135</v>
      </c>
      <c r="F6" s="9" t="s">
        <v>136</v>
      </c>
      <c r="G6" s="10">
        <v>107</v>
      </c>
      <c r="H6" s="10">
        <v>23</v>
      </c>
      <c r="I6" s="10">
        <f>G6*H6</f>
        <v>2461</v>
      </c>
      <c r="J6" s="10">
        <f>I6*4*9</f>
        <v>88596</v>
      </c>
      <c r="K6" s="11">
        <f>MROUND(J6/J24,0.00000001)</f>
        <v>3.5477600000000001E-3</v>
      </c>
      <c r="L6" s="122">
        <f>MROUND(K6/G6,0.000001)</f>
        <v>3.2999999999999996E-5</v>
      </c>
      <c r="M6" s="8"/>
      <c r="N6" s="12" t="s">
        <v>137</v>
      </c>
      <c r="O6" s="12" t="s">
        <v>138</v>
      </c>
    </row>
    <row r="7" spans="1:15" s="12" customFormat="1" ht="78" customHeight="1" x14ac:dyDescent="0.25">
      <c r="A7" s="7" t="s">
        <v>176</v>
      </c>
      <c r="B7" s="8" t="s">
        <v>132</v>
      </c>
      <c r="C7" s="8" t="s">
        <v>133</v>
      </c>
      <c r="D7" s="8" t="s">
        <v>139</v>
      </c>
      <c r="E7" s="8" t="s">
        <v>135</v>
      </c>
      <c r="F7" s="9" t="s">
        <v>136</v>
      </c>
      <c r="G7" s="10">
        <v>409</v>
      </c>
      <c r="H7" s="10">
        <v>23</v>
      </c>
      <c r="I7" s="10">
        <f>G7*H7</f>
        <v>9407</v>
      </c>
      <c r="J7" s="10">
        <f t="shared" ref="J7:J23" si="0">I7*4*9</f>
        <v>338652</v>
      </c>
      <c r="K7" s="11">
        <f>MROUND(J7/J24,0.00000001)</f>
        <v>1.356107E-2</v>
      </c>
      <c r="L7" s="122">
        <f t="shared" ref="L7:L22" si="1">MROUND(K7/G7,0.000001)</f>
        <v>3.2999999999999996E-5</v>
      </c>
      <c r="M7" s="8"/>
    </row>
    <row r="8" spans="1:15" s="12" customFormat="1" ht="80.25" customHeight="1" x14ac:dyDescent="0.25">
      <c r="A8" s="7" t="s">
        <v>177</v>
      </c>
      <c r="B8" s="8" t="s">
        <v>132</v>
      </c>
      <c r="C8" s="8"/>
      <c r="D8" s="8" t="s">
        <v>134</v>
      </c>
      <c r="E8" s="8" t="s">
        <v>135</v>
      </c>
      <c r="F8" s="9" t="s">
        <v>136</v>
      </c>
      <c r="G8" s="10">
        <v>56</v>
      </c>
      <c r="H8" s="10">
        <v>23</v>
      </c>
      <c r="I8" s="10">
        <f>G8*H8</f>
        <v>1288</v>
      </c>
      <c r="J8" s="10">
        <f>I8*4*9</f>
        <v>46368</v>
      </c>
      <c r="K8" s="11">
        <f>MROUND(J8/J24,0.00000001)</f>
        <v>1.85677E-3</v>
      </c>
      <c r="L8" s="122">
        <f>MROUND(K8/G8,0.000001)</f>
        <v>3.2999999999999996E-5</v>
      </c>
      <c r="M8" s="8"/>
    </row>
    <row r="9" spans="1:15" s="12" customFormat="1" ht="60" x14ac:dyDescent="0.25">
      <c r="A9" s="7" t="s">
        <v>178</v>
      </c>
      <c r="B9" s="8" t="s">
        <v>132</v>
      </c>
      <c r="C9" s="8"/>
      <c r="D9" s="8"/>
      <c r="E9" s="8" t="s">
        <v>135</v>
      </c>
      <c r="F9" s="9" t="s">
        <v>136</v>
      </c>
      <c r="G9" s="10">
        <v>9060</v>
      </c>
      <c r="H9" s="10">
        <v>23</v>
      </c>
      <c r="I9" s="10">
        <f>G9*H9</f>
        <v>208380</v>
      </c>
      <c r="J9" s="10">
        <f t="shared" si="0"/>
        <v>7501680</v>
      </c>
      <c r="K9" s="11">
        <f>MROUND(J9/J24,0.00000001)</f>
        <v>0.30039917999999999</v>
      </c>
      <c r="L9" s="122">
        <f t="shared" si="1"/>
        <v>3.2999999999999996E-5</v>
      </c>
      <c r="M9" s="8"/>
    </row>
    <row r="10" spans="1:15" s="12" customFormat="1" ht="99.75" customHeight="1" x14ac:dyDescent="0.25">
      <c r="A10" s="7" t="s">
        <v>179</v>
      </c>
      <c r="B10" s="8" t="s">
        <v>132</v>
      </c>
      <c r="C10" s="8" t="s">
        <v>140</v>
      </c>
      <c r="D10" s="8" t="s">
        <v>134</v>
      </c>
      <c r="E10" s="8" t="s">
        <v>135</v>
      </c>
      <c r="F10" s="9" t="s">
        <v>136</v>
      </c>
      <c r="G10" s="10">
        <v>3</v>
      </c>
      <c r="H10" s="10">
        <v>37</v>
      </c>
      <c r="I10" s="10">
        <f>G10*H10</f>
        <v>111</v>
      </c>
      <c r="J10" s="10">
        <f>I10*4*9</f>
        <v>3996</v>
      </c>
      <c r="K10" s="11">
        <f>MROUND(J10/J24,0.00000001)</f>
        <v>1.6002E-4</v>
      </c>
      <c r="L10" s="122">
        <f>MROUND(K10/G10,0.000001)</f>
        <v>5.3000000000000001E-5</v>
      </c>
      <c r="M10" s="8"/>
    </row>
    <row r="11" spans="1:15" s="12" customFormat="1" ht="99.75" customHeight="1" x14ac:dyDescent="0.25">
      <c r="A11" s="7" t="s">
        <v>180</v>
      </c>
      <c r="B11" s="8" t="s">
        <v>132</v>
      </c>
      <c r="C11" s="8" t="s">
        <v>140</v>
      </c>
      <c r="D11" s="8"/>
      <c r="E11" s="8" t="s">
        <v>135</v>
      </c>
      <c r="F11" s="9" t="s">
        <v>136</v>
      </c>
      <c r="G11" s="10">
        <v>427</v>
      </c>
      <c r="H11" s="10">
        <v>37</v>
      </c>
      <c r="I11" s="10">
        <f t="shared" ref="I11:I23" si="2">G11*H11</f>
        <v>15799</v>
      </c>
      <c r="J11" s="10">
        <f t="shared" si="0"/>
        <v>568764</v>
      </c>
      <c r="K11" s="11">
        <f>MROUND(J11/J24,0.00000001)</f>
        <v>2.2775730000000001E-2</v>
      </c>
      <c r="L11" s="122">
        <f t="shared" si="1"/>
        <v>5.3000000000000001E-5</v>
      </c>
      <c r="M11" s="8"/>
      <c r="N11" s="123">
        <f>SUM(K6:K11)</f>
        <v>0.34230052999999999</v>
      </c>
    </row>
    <row r="12" spans="1:15" s="19" customFormat="1" ht="57" customHeight="1" x14ac:dyDescent="0.2">
      <c r="A12" s="13" t="s">
        <v>114</v>
      </c>
      <c r="B12" s="14" t="s">
        <v>141</v>
      </c>
      <c r="C12" s="14" t="s">
        <v>133</v>
      </c>
      <c r="D12" s="14" t="s">
        <v>134</v>
      </c>
      <c r="E12" s="14" t="s">
        <v>135</v>
      </c>
      <c r="F12" s="15" t="s">
        <v>136</v>
      </c>
      <c r="G12" s="16">
        <v>78</v>
      </c>
      <c r="H12" s="16">
        <v>29</v>
      </c>
      <c r="I12" s="16">
        <f t="shared" si="2"/>
        <v>2262</v>
      </c>
      <c r="J12" s="16">
        <f t="shared" si="0"/>
        <v>81432</v>
      </c>
      <c r="K12" s="17">
        <f>MROUND(J12/J24,0.000001)</f>
        <v>3.261E-3</v>
      </c>
      <c r="L12" s="14">
        <f t="shared" si="1"/>
        <v>4.1999999999999998E-5</v>
      </c>
      <c r="M12" s="18"/>
    </row>
    <row r="13" spans="1:15" s="19" customFormat="1" ht="57" customHeight="1" x14ac:dyDescent="0.2">
      <c r="A13" s="13" t="s">
        <v>181</v>
      </c>
      <c r="B13" s="14" t="s">
        <v>141</v>
      </c>
      <c r="C13" s="14" t="s">
        <v>133</v>
      </c>
      <c r="D13" s="14" t="s">
        <v>139</v>
      </c>
      <c r="E13" s="14" t="s">
        <v>135</v>
      </c>
      <c r="F13" s="15" t="s">
        <v>136</v>
      </c>
      <c r="G13" s="16">
        <v>506</v>
      </c>
      <c r="H13" s="16">
        <v>29</v>
      </c>
      <c r="I13" s="16">
        <f t="shared" si="2"/>
        <v>14674</v>
      </c>
      <c r="J13" s="16">
        <f t="shared" si="0"/>
        <v>528264</v>
      </c>
      <c r="K13" s="17">
        <f>MROUND(J13/J24,0.000001)</f>
        <v>2.1153999999999999E-2</v>
      </c>
      <c r="L13" s="14">
        <f t="shared" si="1"/>
        <v>4.1999999999999998E-5</v>
      </c>
      <c r="M13" s="18"/>
    </row>
    <row r="14" spans="1:15" s="19" customFormat="1" ht="57" customHeight="1" x14ac:dyDescent="0.2">
      <c r="A14" s="13" t="s">
        <v>182</v>
      </c>
      <c r="B14" s="14" t="s">
        <v>141</v>
      </c>
      <c r="C14" s="14"/>
      <c r="D14" s="14" t="s">
        <v>134</v>
      </c>
      <c r="E14" s="14" t="s">
        <v>135</v>
      </c>
      <c r="F14" s="15" t="s">
        <v>136</v>
      </c>
      <c r="G14" s="16">
        <v>88</v>
      </c>
      <c r="H14" s="16">
        <v>34</v>
      </c>
      <c r="I14" s="16">
        <f t="shared" si="2"/>
        <v>2992</v>
      </c>
      <c r="J14" s="16">
        <f t="shared" si="0"/>
        <v>107712</v>
      </c>
      <c r="K14" s="17">
        <f>MROUND(J14/J24,0.000001)</f>
        <v>4.313E-3</v>
      </c>
      <c r="L14" s="14">
        <f t="shared" si="1"/>
        <v>4.8999999999999998E-5</v>
      </c>
      <c r="M14" s="18"/>
    </row>
    <row r="15" spans="1:15" s="19" customFormat="1" ht="54.75" customHeight="1" x14ac:dyDescent="0.2">
      <c r="A15" s="13" t="s">
        <v>183</v>
      </c>
      <c r="B15" s="14" t="s">
        <v>141</v>
      </c>
      <c r="C15" s="14"/>
      <c r="D15" s="14"/>
      <c r="E15" s="14" t="s">
        <v>135</v>
      </c>
      <c r="F15" s="15" t="s">
        <v>136</v>
      </c>
      <c r="G15" s="16">
        <v>9604</v>
      </c>
      <c r="H15" s="16">
        <v>34</v>
      </c>
      <c r="I15" s="16">
        <f t="shared" si="2"/>
        <v>326536</v>
      </c>
      <c r="J15" s="16">
        <f t="shared" si="0"/>
        <v>11755296</v>
      </c>
      <c r="K15" s="17">
        <f>MROUND(J15/J24,0.0000001)</f>
        <v>0.47073209999999999</v>
      </c>
      <c r="L15" s="14">
        <f t="shared" si="1"/>
        <v>4.8999999999999998E-5</v>
      </c>
      <c r="M15" s="18"/>
    </row>
    <row r="16" spans="1:15" s="19" customFormat="1" ht="96" x14ac:dyDescent="0.2">
      <c r="A16" s="13" t="s">
        <v>184</v>
      </c>
      <c r="B16" s="14" t="s">
        <v>141</v>
      </c>
      <c r="C16" s="14" t="s">
        <v>140</v>
      </c>
      <c r="D16" s="14" t="s">
        <v>134</v>
      </c>
      <c r="E16" s="14" t="s">
        <v>135</v>
      </c>
      <c r="F16" s="15" t="s">
        <v>136</v>
      </c>
      <c r="G16" s="16">
        <v>6</v>
      </c>
      <c r="H16" s="16">
        <v>35</v>
      </c>
      <c r="I16" s="16">
        <f t="shared" si="2"/>
        <v>210</v>
      </c>
      <c r="J16" s="16">
        <f t="shared" si="0"/>
        <v>7560</v>
      </c>
      <c r="K16" s="17">
        <f>MROUND(J16/J24,0.00000001)</f>
        <v>3.0273000000000002E-4</v>
      </c>
      <c r="L16" s="14">
        <f t="shared" si="1"/>
        <v>4.9999999999999996E-5</v>
      </c>
      <c r="M16" s="18"/>
    </row>
    <row r="17" spans="1:23" s="19" customFormat="1" ht="102.75" customHeight="1" x14ac:dyDescent="0.2">
      <c r="A17" s="13" t="s">
        <v>185</v>
      </c>
      <c r="B17" s="14" t="s">
        <v>141</v>
      </c>
      <c r="C17" s="14" t="s">
        <v>140</v>
      </c>
      <c r="D17" s="14"/>
      <c r="E17" s="14" t="s">
        <v>135</v>
      </c>
      <c r="F17" s="15" t="s">
        <v>136</v>
      </c>
      <c r="G17" s="16">
        <v>1348</v>
      </c>
      <c r="H17" s="16">
        <v>35</v>
      </c>
      <c r="I17" s="16">
        <f>G17*H17</f>
        <v>47180</v>
      </c>
      <c r="J17" s="16">
        <f>I17*4*9</f>
        <v>1698480</v>
      </c>
      <c r="K17" s="17">
        <f>MROUND(J17/J24,0.00000001)</f>
        <v>6.8014359999999996E-2</v>
      </c>
      <c r="L17" s="14">
        <f>MROUND(K17/G17,0.000001)</f>
        <v>4.9999999999999996E-5</v>
      </c>
      <c r="M17" s="18"/>
    </row>
    <row r="18" spans="1:23" s="19" customFormat="1" ht="102.75" customHeight="1" x14ac:dyDescent="0.2">
      <c r="A18" s="13"/>
      <c r="B18" s="14" t="s">
        <v>331</v>
      </c>
      <c r="C18" s="14"/>
      <c r="D18" s="14"/>
      <c r="E18" s="101"/>
      <c r="F18" s="102"/>
      <c r="G18" s="103"/>
      <c r="H18" s="103"/>
      <c r="I18" s="103"/>
      <c r="J18" s="103"/>
      <c r="K18" s="104"/>
      <c r="L18" s="101"/>
      <c r="M18" s="18"/>
      <c r="N18" s="124">
        <f>SUM(K12:K18)</f>
        <v>0.56777718999999993</v>
      </c>
    </row>
    <row r="19" spans="1:23" s="25" customFormat="1" ht="52.5" customHeight="1" x14ac:dyDescent="0.2">
      <c r="A19" s="20" t="s">
        <v>186</v>
      </c>
      <c r="B19" s="20" t="s">
        <v>142</v>
      </c>
      <c r="C19" s="20"/>
      <c r="D19" s="20" t="s">
        <v>134</v>
      </c>
      <c r="E19" s="20" t="s">
        <v>135</v>
      </c>
      <c r="F19" s="21" t="s">
        <v>136</v>
      </c>
      <c r="G19" s="22">
        <v>8</v>
      </c>
      <c r="H19" s="22">
        <v>35</v>
      </c>
      <c r="I19" s="22">
        <f t="shared" si="2"/>
        <v>280</v>
      </c>
      <c r="J19" s="22">
        <f t="shared" si="0"/>
        <v>10080</v>
      </c>
      <c r="K19" s="23">
        <f>MROUND(J19/J24,0.00000001)</f>
        <v>4.0365000000000003E-4</v>
      </c>
      <c r="L19" s="20">
        <f t="shared" si="1"/>
        <v>4.9999999999999996E-5</v>
      </c>
      <c r="M19" s="24"/>
    </row>
    <row r="20" spans="1:23" s="25" customFormat="1" ht="52.5" customHeight="1" x14ac:dyDescent="0.2">
      <c r="A20" s="20" t="s">
        <v>187</v>
      </c>
      <c r="B20" s="20" t="s">
        <v>142</v>
      </c>
      <c r="C20" s="20"/>
      <c r="D20" s="20"/>
      <c r="E20" s="20" t="s">
        <v>135</v>
      </c>
      <c r="F20" s="21" t="s">
        <v>136</v>
      </c>
      <c r="G20" s="22">
        <v>1175</v>
      </c>
      <c r="H20" s="22">
        <v>35</v>
      </c>
      <c r="I20" s="22">
        <f t="shared" si="2"/>
        <v>41125</v>
      </c>
      <c r="J20" s="22">
        <f t="shared" si="0"/>
        <v>1480500</v>
      </c>
      <c r="K20" s="23">
        <f>MROUND(J20/J24,0.00000001)</f>
        <v>5.9285520000000001E-2</v>
      </c>
      <c r="L20" s="20">
        <f t="shared" si="1"/>
        <v>4.9999999999999996E-5</v>
      </c>
      <c r="M20" s="24"/>
    </row>
    <row r="21" spans="1:23" s="25" customFormat="1" ht="65.25" customHeight="1" x14ac:dyDescent="0.2">
      <c r="A21" s="20" t="s">
        <v>188</v>
      </c>
      <c r="B21" s="20" t="s">
        <v>330</v>
      </c>
      <c r="C21" s="20"/>
      <c r="D21" s="20"/>
      <c r="E21" s="20" t="s">
        <v>135</v>
      </c>
      <c r="F21" s="21" t="s">
        <v>143</v>
      </c>
      <c r="G21" s="22">
        <v>45</v>
      </c>
      <c r="H21" s="22">
        <v>13</v>
      </c>
      <c r="I21" s="22">
        <f t="shared" si="2"/>
        <v>585</v>
      </c>
      <c r="J21" s="22">
        <f t="shared" si="0"/>
        <v>21060</v>
      </c>
      <c r="K21" s="23">
        <f>MROUND(J21/J24,0.00000001)</f>
        <v>8.4332999999999999E-4</v>
      </c>
      <c r="L21" s="20">
        <f t="shared" si="1"/>
        <v>1.8999999999999998E-5</v>
      </c>
      <c r="M21" s="24"/>
    </row>
    <row r="22" spans="1:23" s="25" customFormat="1" ht="96" x14ac:dyDescent="0.2">
      <c r="A22" s="20" t="s">
        <v>189</v>
      </c>
      <c r="B22" s="20" t="s">
        <v>142</v>
      </c>
      <c r="C22" s="20" t="s">
        <v>140</v>
      </c>
      <c r="D22" s="20" t="s">
        <v>134</v>
      </c>
      <c r="E22" s="20" t="s">
        <v>135</v>
      </c>
      <c r="F22" s="21" t="s">
        <v>136</v>
      </c>
      <c r="G22" s="22">
        <v>10</v>
      </c>
      <c r="H22" s="22">
        <v>37</v>
      </c>
      <c r="I22" s="22">
        <f t="shared" si="2"/>
        <v>370</v>
      </c>
      <c r="J22" s="22">
        <f t="shared" si="0"/>
        <v>13320</v>
      </c>
      <c r="K22" s="23">
        <f>MROUND(J22/J24,0.00000001)</f>
        <v>5.3339000000000001E-4</v>
      </c>
      <c r="L22" s="20">
        <f t="shared" si="1"/>
        <v>5.3000000000000001E-5</v>
      </c>
      <c r="M22" s="24"/>
    </row>
    <row r="23" spans="1:23" s="25" customFormat="1" ht="101.25" customHeight="1" x14ac:dyDescent="0.2">
      <c r="A23" s="20" t="s">
        <v>190</v>
      </c>
      <c r="B23" s="20" t="s">
        <v>142</v>
      </c>
      <c r="C23" s="20" t="s">
        <v>140</v>
      </c>
      <c r="D23" s="20"/>
      <c r="E23" s="20" t="s">
        <v>135</v>
      </c>
      <c r="F23" s="21" t="s">
        <v>136</v>
      </c>
      <c r="G23" s="22">
        <v>541</v>
      </c>
      <c r="H23" s="22">
        <v>37</v>
      </c>
      <c r="I23" s="22">
        <f t="shared" si="2"/>
        <v>20017</v>
      </c>
      <c r="J23" s="22">
        <f t="shared" si="0"/>
        <v>720612</v>
      </c>
      <c r="K23" s="23">
        <f>MROUND(J23/J24,0.00000001)</f>
        <v>2.8856369999999999E-2</v>
      </c>
      <c r="L23" s="20">
        <f>MROUND(K23/G23,0.000001)</f>
        <v>5.3000000000000001E-5</v>
      </c>
      <c r="M23" s="24"/>
      <c r="N23" s="125">
        <f>SUM(K19:K23)</f>
        <v>8.9922260000000004E-2</v>
      </c>
    </row>
    <row r="24" spans="1:23" s="2" customFormat="1" ht="14.25" x14ac:dyDescent="0.2">
      <c r="A24" s="2" t="s">
        <v>144</v>
      </c>
      <c r="G24" s="26">
        <f t="shared" ref="G24:L24" si="3">SUM(G6:G23)</f>
        <v>23471</v>
      </c>
      <c r="H24" s="26">
        <f t="shared" si="3"/>
        <v>519</v>
      </c>
      <c r="I24" s="26">
        <f t="shared" si="3"/>
        <v>693677</v>
      </c>
      <c r="J24" s="26">
        <f t="shared" si="3"/>
        <v>24972372</v>
      </c>
      <c r="K24" s="27">
        <f>SUM(K6:K23)</f>
        <v>0.99999998000000001</v>
      </c>
      <c r="L24" s="28">
        <f t="shared" si="3"/>
        <v>7.45E-4</v>
      </c>
      <c r="M24" s="29"/>
    </row>
    <row r="25" spans="1:23" s="36" customFormat="1" ht="75" customHeight="1" x14ac:dyDescent="0.2">
      <c r="A25" s="30" t="s">
        <v>191</v>
      </c>
      <c r="B25" s="30" t="s">
        <v>89</v>
      </c>
      <c r="C25" s="30" t="s">
        <v>135</v>
      </c>
      <c r="D25" s="30" t="s">
        <v>135</v>
      </c>
      <c r="E25" s="30"/>
      <c r="F25" s="30" t="s">
        <v>136</v>
      </c>
      <c r="G25" s="31">
        <v>990</v>
      </c>
      <c r="H25" s="31"/>
      <c r="I25" s="31"/>
      <c r="J25" s="31">
        <f>MROUND(G25/G29*J29,1)</f>
        <v>26177</v>
      </c>
      <c r="K25" s="32">
        <f>MROUND(J25/J30,0.000001)</f>
        <v>0.78948599999999991</v>
      </c>
      <c r="L25" s="91">
        <f>MROUND(K25/G25,0.000001)</f>
        <v>7.9699999999999997E-4</v>
      </c>
      <c r="M25" s="30" t="s">
        <v>145</v>
      </c>
      <c r="N25" s="33" t="s">
        <v>146</v>
      </c>
      <c r="O25" s="33" t="s">
        <v>147</v>
      </c>
      <c r="P25" s="33"/>
      <c r="Q25" s="33"/>
      <c r="R25" s="33"/>
      <c r="S25" s="33"/>
      <c r="T25" s="33"/>
      <c r="U25" s="33"/>
      <c r="V25" s="34"/>
      <c r="W25" s="35"/>
    </row>
    <row r="26" spans="1:23" s="36" customFormat="1" ht="108" customHeight="1" x14ac:dyDescent="0.2">
      <c r="A26" s="37" t="s">
        <v>192</v>
      </c>
      <c r="B26" s="37" t="s">
        <v>90</v>
      </c>
      <c r="C26" s="37"/>
      <c r="D26" s="37"/>
      <c r="E26" s="37"/>
      <c r="F26" s="37"/>
      <c r="G26" s="31">
        <v>31</v>
      </c>
      <c r="H26" s="31"/>
      <c r="I26" s="31"/>
      <c r="J26" s="31">
        <f>MROUND(G26/G29*J29,1)</f>
        <v>820</v>
      </c>
      <c r="K26" s="32">
        <f>MROUND(J26/J30,0.000001)</f>
        <v>2.4731E-2</v>
      </c>
      <c r="L26" s="30">
        <f>MROUND(K26/G26,0.000001)</f>
        <v>7.9799999999999999E-4</v>
      </c>
      <c r="M26" s="341" t="s">
        <v>148</v>
      </c>
      <c r="N26" s="38" t="s">
        <v>149</v>
      </c>
      <c r="O26" s="38" t="s">
        <v>150</v>
      </c>
      <c r="P26" s="38"/>
      <c r="Q26" s="38"/>
      <c r="R26" s="38"/>
      <c r="S26" s="38"/>
      <c r="T26" s="38"/>
      <c r="U26" s="38"/>
      <c r="V26" s="39"/>
      <c r="W26" s="35"/>
    </row>
    <row r="27" spans="1:23" s="36" customFormat="1" ht="72" x14ac:dyDescent="0.2">
      <c r="A27" s="37" t="s">
        <v>193</v>
      </c>
      <c r="B27" s="37" t="s">
        <v>91</v>
      </c>
      <c r="C27" s="37"/>
      <c r="D27" s="37"/>
      <c r="E27" s="37"/>
      <c r="F27" s="37"/>
      <c r="G27" s="31">
        <v>119</v>
      </c>
      <c r="H27" s="31"/>
      <c r="I27" s="31"/>
      <c r="J27" s="31">
        <f>MROUND(G27/G29*J29,1)</f>
        <v>3146</v>
      </c>
      <c r="K27" s="32">
        <f>MROUND(J27/J30,0.000001)</f>
        <v>9.4881999999999994E-2</v>
      </c>
      <c r="L27" s="30">
        <f>MROUND(K27/G27,0.000001)</f>
        <v>7.9699999999999997E-4</v>
      </c>
      <c r="M27" s="341"/>
      <c r="N27" s="38" t="s">
        <v>151</v>
      </c>
      <c r="O27" s="38" t="s">
        <v>152</v>
      </c>
      <c r="P27" s="38"/>
      <c r="Q27" s="38"/>
      <c r="R27" s="38"/>
      <c r="S27" s="38"/>
      <c r="T27" s="38"/>
      <c r="U27" s="38"/>
      <c r="V27" s="39"/>
      <c r="W27" s="35"/>
    </row>
    <row r="28" spans="1:23" s="36" customFormat="1" ht="48" x14ac:dyDescent="0.2">
      <c r="A28" s="37" t="s">
        <v>194</v>
      </c>
      <c r="B28" s="37" t="s">
        <v>92</v>
      </c>
      <c r="C28" s="37"/>
      <c r="D28" s="37"/>
      <c r="E28" s="37"/>
      <c r="F28" s="37"/>
      <c r="G28" s="31">
        <v>114</v>
      </c>
      <c r="H28" s="31"/>
      <c r="I28" s="31"/>
      <c r="J28" s="31">
        <f>MROUND(G28/G29*J29,1)</f>
        <v>3014</v>
      </c>
      <c r="K28" s="32">
        <f>MROUND(J28/J30,0.000001)-0.000001</f>
        <v>9.0899999999999995E-2</v>
      </c>
      <c r="L28" s="30">
        <f>MROUND(K28/G28,0.000001)</f>
        <v>7.9699999999999997E-4</v>
      </c>
      <c r="M28" s="341"/>
      <c r="N28" s="38" t="s">
        <v>153</v>
      </c>
      <c r="O28" s="38" t="s">
        <v>154</v>
      </c>
      <c r="P28" s="38"/>
      <c r="Q28" s="38"/>
      <c r="R28" s="38"/>
      <c r="S28" s="38"/>
      <c r="T28" s="38"/>
      <c r="U28" s="38"/>
      <c r="V28" s="39"/>
      <c r="W28" s="35"/>
    </row>
    <row r="29" spans="1:23" s="2" customFormat="1" ht="14.25" hidden="1" x14ac:dyDescent="0.2">
      <c r="A29" s="29" t="s">
        <v>155</v>
      </c>
      <c r="B29" s="29"/>
      <c r="C29" s="29"/>
      <c r="D29" s="29"/>
      <c r="E29" s="29"/>
      <c r="F29" s="29"/>
      <c r="G29" s="26">
        <f>SUM(G25:G28)</f>
        <v>1254</v>
      </c>
      <c r="H29" s="26"/>
      <c r="I29" s="26"/>
      <c r="J29" s="26">
        <v>33157</v>
      </c>
      <c r="K29" s="28"/>
      <c r="L29" s="28">
        <f>SUM(L25:L28)</f>
        <v>3.189E-3</v>
      </c>
      <c r="M29" s="29"/>
    </row>
    <row r="30" spans="1:23" s="2" customFormat="1" ht="14.25" x14ac:dyDescent="0.2">
      <c r="A30" s="29" t="s">
        <v>156</v>
      </c>
      <c r="B30" s="29"/>
      <c r="C30" s="29"/>
      <c r="D30" s="29"/>
      <c r="E30" s="29"/>
      <c r="F30" s="29"/>
      <c r="G30" s="95">
        <f>G29</f>
        <v>1254</v>
      </c>
      <c r="H30" s="95"/>
      <c r="I30" s="95"/>
      <c r="J30" s="95">
        <f>J29</f>
        <v>33157</v>
      </c>
      <c r="K30" s="28">
        <f>SUM(K25:K28)</f>
        <v>0.99999899999999986</v>
      </c>
      <c r="L30" s="28"/>
      <c r="M30" s="29"/>
    </row>
    <row r="31" spans="1:23" s="36" customFormat="1" ht="96" customHeight="1" x14ac:dyDescent="0.2">
      <c r="A31" s="30"/>
      <c r="B31" s="30" t="s">
        <v>93</v>
      </c>
      <c r="C31" s="340" t="s">
        <v>135</v>
      </c>
      <c r="D31" s="340" t="s">
        <v>135</v>
      </c>
      <c r="E31" s="340" t="s">
        <v>135</v>
      </c>
      <c r="F31" s="340" t="s">
        <v>136</v>
      </c>
      <c r="G31" s="63">
        <f>SUM(G32:G37)</f>
        <v>846756</v>
      </c>
      <c r="H31" s="63"/>
      <c r="I31" s="63"/>
      <c r="J31" s="63">
        <f>123757-J38</f>
        <v>114817.60000000001</v>
      </c>
      <c r="K31" s="64">
        <f>MROUND(J31/J43,0.000001)</f>
        <v>0.82213399999999992</v>
      </c>
      <c r="L31" s="65">
        <f>MROUND(K31/G31,0.000001)</f>
        <v>9.9999999999999995E-7</v>
      </c>
      <c r="M31" s="66" t="s">
        <v>312</v>
      </c>
      <c r="N31" s="33" t="s">
        <v>146</v>
      </c>
      <c r="O31" s="33" t="s">
        <v>147</v>
      </c>
      <c r="P31" s="33"/>
      <c r="Q31" s="33"/>
      <c r="R31" s="33"/>
      <c r="S31" s="33"/>
      <c r="T31" s="33"/>
      <c r="U31" s="33"/>
      <c r="V31" s="34"/>
      <c r="W31" s="35"/>
    </row>
    <row r="32" spans="1:23" s="70" customFormat="1" ht="75" customHeight="1" x14ac:dyDescent="0.2">
      <c r="A32" s="30" t="s">
        <v>313</v>
      </c>
      <c r="B32" s="65" t="s">
        <v>314</v>
      </c>
      <c r="C32" s="340"/>
      <c r="D32" s="340"/>
      <c r="E32" s="340"/>
      <c r="F32" s="340"/>
      <c r="G32" s="63">
        <v>169020</v>
      </c>
      <c r="H32" s="63"/>
      <c r="I32" s="63"/>
      <c r="J32" s="63">
        <f>MROUND(J31*P32,1)</f>
        <v>22964</v>
      </c>
      <c r="K32" s="64">
        <f>MROUND(J32/J43,0.000001)</f>
        <v>0.16442999999999999</v>
      </c>
      <c r="L32" s="65">
        <f>MROUND(K32/G32,0.000001)</f>
        <v>9.9999999999999995E-7</v>
      </c>
      <c r="M32" s="66"/>
      <c r="N32" s="67"/>
      <c r="O32" s="67"/>
      <c r="P32" s="67">
        <f>MROUND(G32/G31,0.01)</f>
        <v>0.2</v>
      </c>
      <c r="Q32" s="67"/>
      <c r="R32" s="67"/>
      <c r="S32" s="67"/>
      <c r="T32" s="67"/>
      <c r="U32" s="67"/>
      <c r="V32" s="68"/>
      <c r="W32" s="69"/>
    </row>
    <row r="33" spans="1:23" s="70" customFormat="1" ht="78.75" customHeight="1" x14ac:dyDescent="0.2">
      <c r="A33" s="30" t="s">
        <v>315</v>
      </c>
      <c r="B33" s="65" t="s">
        <v>377</v>
      </c>
      <c r="C33" s="340"/>
      <c r="D33" s="340"/>
      <c r="E33" s="340"/>
      <c r="F33" s="340"/>
      <c r="G33" s="63">
        <v>61164</v>
      </c>
      <c r="H33" s="63"/>
      <c r="I33" s="63"/>
      <c r="J33" s="63">
        <f>MROUND(J31*P33,1)</f>
        <v>8037</v>
      </c>
      <c r="K33" s="64">
        <f>MROUND(J33/J43,0.000001)</f>
        <v>5.7547999999999995E-2</v>
      </c>
      <c r="L33" s="65"/>
      <c r="M33" s="66"/>
      <c r="N33" s="106"/>
      <c r="O33" s="106"/>
      <c r="P33" s="67">
        <f>MROUND(G33/G31,0.01)</f>
        <v>7.0000000000000007E-2</v>
      </c>
      <c r="Q33" s="67"/>
      <c r="R33" s="67"/>
      <c r="S33" s="67"/>
      <c r="T33" s="67"/>
      <c r="U33" s="67"/>
      <c r="V33" s="68"/>
      <c r="W33" s="69"/>
    </row>
    <row r="34" spans="1:23" s="70" customFormat="1" ht="76.5" customHeight="1" x14ac:dyDescent="0.2">
      <c r="A34" s="30" t="s">
        <v>316</v>
      </c>
      <c r="B34" s="65" t="s">
        <v>317</v>
      </c>
      <c r="C34" s="340"/>
      <c r="D34" s="340"/>
      <c r="E34" s="340"/>
      <c r="F34" s="340"/>
      <c r="G34" s="63">
        <v>379080</v>
      </c>
      <c r="H34" s="63"/>
      <c r="I34" s="63"/>
      <c r="J34" s="63">
        <f>MROUND(J31*P34,1)</f>
        <v>51668</v>
      </c>
      <c r="K34" s="64">
        <f>MROUND(J34/J43,0.000001)</f>
        <v>0.36996099999999998</v>
      </c>
      <c r="L34" s="65"/>
      <c r="M34" s="66"/>
      <c r="N34" s="67"/>
      <c r="O34" s="67"/>
      <c r="P34" s="67">
        <f>MROUND(G34/G31,0.01)</f>
        <v>0.45</v>
      </c>
      <c r="Q34" s="67"/>
      <c r="R34" s="67"/>
      <c r="S34" s="67"/>
      <c r="T34" s="67"/>
      <c r="U34" s="67"/>
      <c r="V34" s="68"/>
      <c r="W34" s="69"/>
    </row>
    <row r="35" spans="1:23" s="70" customFormat="1" ht="78" customHeight="1" x14ac:dyDescent="0.2">
      <c r="A35" s="30" t="s">
        <v>318</v>
      </c>
      <c r="B35" s="65" t="s">
        <v>319</v>
      </c>
      <c r="C35" s="340"/>
      <c r="D35" s="340"/>
      <c r="E35" s="340"/>
      <c r="F35" s="340"/>
      <c r="G35" s="63">
        <v>13968</v>
      </c>
      <c r="H35" s="63"/>
      <c r="I35" s="63"/>
      <c r="J35" s="63">
        <f>MROUND(J31*P35,1)</f>
        <v>2296</v>
      </c>
      <c r="K35" s="64">
        <f>MROUND(J35/J43,0.000001)</f>
        <v>1.644E-2</v>
      </c>
      <c r="L35" s="65"/>
      <c r="M35" s="66"/>
      <c r="N35" s="67"/>
      <c r="O35" s="67"/>
      <c r="P35" s="67">
        <f>MROUND(G35/G31,0.01)</f>
        <v>0.02</v>
      </c>
      <c r="Q35" s="67"/>
      <c r="R35" s="67"/>
      <c r="S35" s="67"/>
      <c r="T35" s="67"/>
      <c r="U35" s="67"/>
      <c r="V35" s="68"/>
      <c r="W35" s="69"/>
    </row>
    <row r="36" spans="1:23" s="70" customFormat="1" ht="90.75" customHeight="1" x14ac:dyDescent="0.2">
      <c r="A36" s="30" t="s">
        <v>320</v>
      </c>
      <c r="B36" s="65" t="s">
        <v>321</v>
      </c>
      <c r="C36" s="340"/>
      <c r="D36" s="340"/>
      <c r="E36" s="340"/>
      <c r="F36" s="340"/>
      <c r="G36" s="63">
        <v>82944</v>
      </c>
      <c r="H36" s="63"/>
      <c r="I36" s="63"/>
      <c r="J36" s="63">
        <f>MROUND(J31*P36,1)</f>
        <v>11482</v>
      </c>
      <c r="K36" s="64">
        <f>MROUND(J36/J43,0.000001)</f>
        <v>8.2214999999999996E-2</v>
      </c>
      <c r="L36" s="65"/>
      <c r="M36" s="66"/>
      <c r="N36" s="67"/>
      <c r="O36" s="67"/>
      <c r="P36" s="67">
        <f>MROUND(G36/G31,0.01)</f>
        <v>0.1</v>
      </c>
      <c r="Q36" s="67"/>
      <c r="R36" s="67"/>
      <c r="S36" s="67"/>
      <c r="T36" s="67"/>
      <c r="U36" s="67"/>
      <c r="V36" s="68"/>
      <c r="W36" s="69"/>
    </row>
    <row r="37" spans="1:23" s="70" customFormat="1" ht="93.75" customHeight="1" x14ac:dyDescent="0.2">
      <c r="A37" s="30" t="s">
        <v>322</v>
      </c>
      <c r="B37" s="65" t="s">
        <v>378</v>
      </c>
      <c r="C37" s="340"/>
      <c r="D37" s="340"/>
      <c r="E37" s="340"/>
      <c r="F37" s="340"/>
      <c r="G37" s="63">
        <v>140580</v>
      </c>
      <c r="H37" s="63"/>
      <c r="I37" s="63"/>
      <c r="J37" s="63">
        <f>MROUND(J31*P37,1)+1</f>
        <v>18372</v>
      </c>
      <c r="K37" s="64">
        <f>MROUND(J37/J43,0.000001)</f>
        <v>0.13155</v>
      </c>
      <c r="L37" s="65"/>
      <c r="M37" s="66"/>
      <c r="N37" s="106"/>
      <c r="O37" s="106"/>
      <c r="P37" s="67">
        <f>1-P32-P33-P34-P35-P36</f>
        <v>0.15999999999999995</v>
      </c>
      <c r="Q37" s="67"/>
      <c r="R37" s="67"/>
      <c r="S37" s="67"/>
      <c r="T37" s="67"/>
      <c r="U37" s="67"/>
      <c r="V37" s="68"/>
      <c r="W37" s="69"/>
    </row>
    <row r="38" spans="1:23" s="36" customFormat="1" ht="122.25" customHeight="1" x14ac:dyDescent="0.2">
      <c r="A38" s="30" t="s">
        <v>322</v>
      </c>
      <c r="B38" s="65" t="s">
        <v>323</v>
      </c>
      <c r="C38" s="340"/>
      <c r="D38" s="340"/>
      <c r="E38" s="340"/>
      <c r="F38" s="340"/>
      <c r="G38" s="93">
        <v>3040</v>
      </c>
      <c r="H38" s="31"/>
      <c r="I38" s="31"/>
      <c r="J38" s="31">
        <v>8939.4</v>
      </c>
      <c r="K38" s="40">
        <f>MROUND(J38/J43,0.000001)</f>
        <v>6.4008999999999996E-2</v>
      </c>
      <c r="L38" s="30">
        <f>MROUND(K38/G38,0.000001)</f>
        <v>2.0999999999999999E-5</v>
      </c>
      <c r="M38" s="30" t="s">
        <v>157</v>
      </c>
      <c r="N38" s="33" t="s">
        <v>146</v>
      </c>
      <c r="O38" s="33" t="s">
        <v>147</v>
      </c>
      <c r="P38" s="33"/>
      <c r="Q38" s="33"/>
      <c r="R38" s="33"/>
      <c r="S38" s="33"/>
      <c r="T38" s="33"/>
      <c r="U38" s="33"/>
      <c r="V38" s="34"/>
      <c r="W38" s="35"/>
    </row>
    <row r="39" spans="1:23" s="36" customFormat="1" ht="72" customHeight="1" x14ac:dyDescent="0.2">
      <c r="A39" s="30" t="s">
        <v>195</v>
      </c>
      <c r="B39" s="30" t="s">
        <v>115</v>
      </c>
      <c r="C39" s="30"/>
      <c r="D39" s="30"/>
      <c r="E39" s="30"/>
      <c r="F39" s="30" t="s">
        <v>158</v>
      </c>
      <c r="G39" s="31">
        <v>1100</v>
      </c>
      <c r="H39" s="31"/>
      <c r="I39" s="31"/>
      <c r="J39" s="31">
        <f>MROUND(G39/G42*J42,1)</f>
        <v>2932</v>
      </c>
      <c r="K39" s="40">
        <f>MROUND(J39/J43,0.000001)</f>
        <v>2.0993999999999999E-2</v>
      </c>
      <c r="L39" s="30">
        <f>MROUND(K39/G39,0.000001)</f>
        <v>1.8999999999999998E-5</v>
      </c>
      <c r="M39" s="343" t="s">
        <v>159</v>
      </c>
      <c r="N39" s="33" t="s">
        <v>137</v>
      </c>
      <c r="O39" s="33" t="s">
        <v>138</v>
      </c>
      <c r="P39" s="33"/>
      <c r="Q39" s="33"/>
      <c r="R39" s="33"/>
      <c r="S39" s="33"/>
      <c r="T39" s="33"/>
      <c r="U39" s="33"/>
      <c r="V39" s="34"/>
      <c r="W39" s="35"/>
    </row>
    <row r="40" spans="1:23" s="36" customFormat="1" ht="96" x14ac:dyDescent="0.2">
      <c r="A40" s="30" t="s">
        <v>196</v>
      </c>
      <c r="B40" s="30" t="s">
        <v>116</v>
      </c>
      <c r="C40" s="30"/>
      <c r="D40" s="30"/>
      <c r="E40" s="30"/>
      <c r="F40" s="30" t="s">
        <v>158</v>
      </c>
      <c r="G40" s="31">
        <v>4200</v>
      </c>
      <c r="H40" s="31"/>
      <c r="I40" s="31"/>
      <c r="J40" s="31">
        <f>MROUND(G40/G42*J42,1)</f>
        <v>11196</v>
      </c>
      <c r="K40" s="40">
        <f>MROUND(J40/J43,0.000001)</f>
        <v>8.0167000000000002E-2</v>
      </c>
      <c r="L40" s="30">
        <f>MROUND(K40/G40,0.000001)</f>
        <v>1.8999999999999998E-5</v>
      </c>
      <c r="M40" s="344"/>
      <c r="N40" s="33" t="s">
        <v>160</v>
      </c>
      <c r="O40" s="33" t="s">
        <v>138</v>
      </c>
      <c r="P40" s="33"/>
      <c r="Q40" s="33"/>
      <c r="R40" s="33"/>
      <c r="S40" s="33"/>
      <c r="T40" s="33"/>
      <c r="U40" s="33"/>
      <c r="V40" s="34"/>
      <c r="W40" s="35"/>
    </row>
    <row r="41" spans="1:23" s="36" customFormat="1" ht="72" x14ac:dyDescent="0.2">
      <c r="A41" s="30" t="s">
        <v>197</v>
      </c>
      <c r="B41" s="30" t="s">
        <v>117</v>
      </c>
      <c r="C41" s="30"/>
      <c r="D41" s="30"/>
      <c r="E41" s="30"/>
      <c r="F41" s="30" t="s">
        <v>158</v>
      </c>
      <c r="G41" s="31">
        <v>665</v>
      </c>
      <c r="H41" s="31"/>
      <c r="I41" s="31"/>
      <c r="J41" s="31">
        <f>MROUND(G41/G42*J42,1)</f>
        <v>1773</v>
      </c>
      <c r="K41" s="40">
        <f>MROUND(J41/J43,0.000001)</f>
        <v>1.2695E-2</v>
      </c>
      <c r="L41" s="30">
        <f>MROUND(K41/G41,0.000001)</f>
        <v>1.8999999999999998E-5</v>
      </c>
      <c r="M41" s="345"/>
      <c r="N41" s="33" t="s">
        <v>137</v>
      </c>
      <c r="O41" s="33" t="s">
        <v>138</v>
      </c>
      <c r="P41" s="33"/>
      <c r="Q41" s="33"/>
      <c r="R41" s="33"/>
      <c r="S41" s="33"/>
      <c r="T41" s="33"/>
      <c r="U41" s="33"/>
      <c r="V41" s="34"/>
      <c r="W41" s="35"/>
    </row>
    <row r="42" spans="1:23" s="36" customFormat="1" ht="14.25" x14ac:dyDescent="0.2">
      <c r="A42" s="94" t="s">
        <v>161</v>
      </c>
      <c r="B42" s="30"/>
      <c r="C42" s="30"/>
      <c r="D42" s="30"/>
      <c r="E42" s="41"/>
      <c r="F42" s="42"/>
      <c r="G42" s="26">
        <f>SUM(G39:G41)</f>
        <v>5965</v>
      </c>
      <c r="H42" s="26"/>
      <c r="I42" s="26"/>
      <c r="J42" s="26">
        <v>15901</v>
      </c>
      <c r="K42" s="26"/>
      <c r="L42" s="26"/>
      <c r="M42" s="43"/>
      <c r="N42" s="33"/>
      <c r="O42" s="33"/>
      <c r="P42" s="33"/>
      <c r="Q42" s="33"/>
      <c r="R42" s="33"/>
      <c r="S42" s="33"/>
      <c r="T42" s="33"/>
      <c r="U42" s="33"/>
      <c r="V42" s="34"/>
      <c r="W42" s="35"/>
    </row>
    <row r="43" spans="1:23" s="36" customFormat="1" ht="21" customHeight="1" x14ac:dyDescent="0.2">
      <c r="A43" s="2" t="s">
        <v>162</v>
      </c>
      <c r="B43" s="30"/>
      <c r="C43" s="30"/>
      <c r="D43" s="30"/>
      <c r="E43" s="41"/>
      <c r="F43" s="42"/>
      <c r="G43" s="26">
        <f>SUM(G32:G41)</f>
        <v>855761</v>
      </c>
      <c r="H43" s="26"/>
      <c r="I43" s="26"/>
      <c r="J43" s="26">
        <f>J42+J38+J31</f>
        <v>139658</v>
      </c>
      <c r="K43" s="26">
        <f>SUM(K32:K41)</f>
        <v>1.0000089999999999</v>
      </c>
      <c r="L43" s="26"/>
      <c r="M43" s="29"/>
      <c r="N43" s="33"/>
      <c r="O43" s="33"/>
      <c r="P43" s="33"/>
      <c r="Q43" s="33"/>
      <c r="R43" s="33"/>
      <c r="S43" s="33"/>
      <c r="T43" s="33"/>
      <c r="U43" s="33"/>
      <c r="V43" s="34"/>
      <c r="W43" s="35"/>
    </row>
    <row r="44" spans="1:23" s="48" customFormat="1" ht="69.75" customHeight="1" x14ac:dyDescent="0.25">
      <c r="A44" s="44" t="s">
        <v>198</v>
      </c>
      <c r="B44" s="44" t="s">
        <v>94</v>
      </c>
      <c r="C44" s="44"/>
      <c r="D44" s="44"/>
      <c r="E44" s="44"/>
      <c r="F44" s="44" t="s">
        <v>163</v>
      </c>
      <c r="G44" s="31">
        <v>5930</v>
      </c>
      <c r="H44" s="45"/>
      <c r="I44" s="45"/>
      <c r="J44" s="45"/>
      <c r="K44" s="44"/>
      <c r="L44" s="44"/>
      <c r="M44" s="44"/>
      <c r="N44" s="46" t="s">
        <v>164</v>
      </c>
      <c r="O44" s="46" t="s">
        <v>138</v>
      </c>
      <c r="P44" s="46"/>
      <c r="Q44" s="46"/>
      <c r="R44" s="46"/>
      <c r="S44" s="46"/>
      <c r="T44" s="46"/>
      <c r="U44" s="47"/>
      <c r="V44" s="35"/>
    </row>
    <row r="45" spans="1:23" s="51" customFormat="1" ht="14.25" x14ac:dyDescent="0.2">
      <c r="A45" s="94" t="s">
        <v>165</v>
      </c>
      <c r="B45" s="29"/>
      <c r="C45" s="29"/>
      <c r="D45" s="29"/>
      <c r="E45" s="29"/>
      <c r="F45" s="29"/>
      <c r="G45" s="26">
        <f>G44</f>
        <v>5930</v>
      </c>
      <c r="H45" s="29"/>
      <c r="I45" s="29"/>
      <c r="J45" s="29">
        <f>J44</f>
        <v>0</v>
      </c>
      <c r="K45" s="29">
        <f>K44</f>
        <v>0</v>
      </c>
      <c r="L45" s="29"/>
      <c r="M45" s="29"/>
      <c r="N45" s="49"/>
      <c r="O45" s="49"/>
      <c r="P45" s="49"/>
      <c r="Q45" s="49"/>
      <c r="R45" s="49"/>
      <c r="S45" s="49"/>
      <c r="T45" s="49"/>
      <c r="U45" s="47"/>
      <c r="V45" s="50"/>
    </row>
    <row r="46" spans="1:23" s="33" customFormat="1" ht="70.5" hidden="1" customHeight="1" x14ac:dyDescent="0.25">
      <c r="A46" s="30" t="s">
        <v>199</v>
      </c>
      <c r="B46" s="30" t="s">
        <v>132</v>
      </c>
      <c r="C46" s="30" t="s">
        <v>133</v>
      </c>
      <c r="D46" s="30" t="s">
        <v>134</v>
      </c>
      <c r="E46" s="52" t="s">
        <v>166</v>
      </c>
      <c r="F46" s="53" t="s">
        <v>136</v>
      </c>
      <c r="G46" s="53">
        <v>56</v>
      </c>
      <c r="H46" s="53"/>
      <c r="I46" s="53"/>
      <c r="J46" s="53"/>
      <c r="K46" s="52"/>
      <c r="L46" s="52"/>
      <c r="M46" s="52"/>
    </row>
    <row r="47" spans="1:23" s="33" customFormat="1" ht="69.75" hidden="1" customHeight="1" x14ac:dyDescent="0.25">
      <c r="A47" s="30" t="s">
        <v>200</v>
      </c>
      <c r="B47" s="30" t="s">
        <v>132</v>
      </c>
      <c r="C47" s="30" t="s">
        <v>133</v>
      </c>
      <c r="D47" s="30" t="s">
        <v>139</v>
      </c>
      <c r="E47" s="30" t="s">
        <v>166</v>
      </c>
      <c r="F47" s="54" t="s">
        <v>136</v>
      </c>
      <c r="G47" s="54">
        <v>1</v>
      </c>
      <c r="H47" s="54"/>
      <c r="I47" s="54"/>
      <c r="J47" s="54"/>
      <c r="K47" s="30"/>
      <c r="L47" s="30"/>
      <c r="M47" s="30"/>
    </row>
    <row r="48" spans="1:23" s="33" customFormat="1" ht="66.75" hidden="1" customHeight="1" x14ac:dyDescent="0.25">
      <c r="A48" s="30" t="s">
        <v>201</v>
      </c>
      <c r="B48" s="30" t="s">
        <v>132</v>
      </c>
      <c r="C48" s="30" t="s">
        <v>135</v>
      </c>
      <c r="D48" s="30" t="s">
        <v>134</v>
      </c>
      <c r="E48" s="30" t="s">
        <v>166</v>
      </c>
      <c r="F48" s="54" t="s">
        <v>136</v>
      </c>
      <c r="G48" s="54">
        <v>5</v>
      </c>
      <c r="H48" s="54"/>
      <c r="I48" s="54"/>
      <c r="J48" s="54"/>
      <c r="K48" s="30"/>
      <c r="L48" s="30"/>
      <c r="M48" s="30"/>
    </row>
    <row r="49" spans="1:23" s="33" customFormat="1" ht="66" hidden="1" customHeight="1" x14ac:dyDescent="0.25">
      <c r="A49" s="30" t="s">
        <v>202</v>
      </c>
      <c r="B49" s="30" t="s">
        <v>132</v>
      </c>
      <c r="C49" s="30" t="s">
        <v>135</v>
      </c>
      <c r="D49" s="30" t="s">
        <v>135</v>
      </c>
      <c r="E49" s="30" t="s">
        <v>166</v>
      </c>
      <c r="F49" s="54" t="s">
        <v>136</v>
      </c>
      <c r="G49" s="54">
        <v>2</v>
      </c>
      <c r="H49" s="54"/>
      <c r="I49" s="54"/>
      <c r="J49" s="54"/>
      <c r="K49" s="30"/>
      <c r="L49" s="30"/>
      <c r="M49" s="30"/>
    </row>
    <row r="50" spans="1:23" s="33" customFormat="1" ht="101.25" hidden="1" customHeight="1" x14ac:dyDescent="0.25">
      <c r="A50" s="30" t="s">
        <v>203</v>
      </c>
      <c r="B50" s="30" t="s">
        <v>132</v>
      </c>
      <c r="C50" s="30" t="s">
        <v>140</v>
      </c>
      <c r="D50" s="30" t="s">
        <v>134</v>
      </c>
      <c r="E50" s="30" t="s">
        <v>166</v>
      </c>
      <c r="F50" s="54" t="s">
        <v>136</v>
      </c>
      <c r="G50" s="54">
        <v>0</v>
      </c>
      <c r="H50" s="54"/>
      <c r="I50" s="54"/>
      <c r="J50" s="54"/>
      <c r="K50" s="30"/>
      <c r="L50" s="30"/>
      <c r="M50" s="30"/>
    </row>
    <row r="51" spans="1:23" s="33" customFormat="1" ht="131.25" hidden="1" customHeight="1" x14ac:dyDescent="0.25">
      <c r="A51" s="30" t="s">
        <v>204</v>
      </c>
      <c r="B51" s="30" t="s">
        <v>132</v>
      </c>
      <c r="C51" s="30" t="s">
        <v>140</v>
      </c>
      <c r="D51" s="30" t="s">
        <v>135</v>
      </c>
      <c r="E51" s="30" t="s">
        <v>166</v>
      </c>
      <c r="F51" s="30" t="s">
        <v>136</v>
      </c>
      <c r="G51" s="30">
        <v>0</v>
      </c>
      <c r="H51" s="30"/>
      <c r="I51" s="30"/>
      <c r="J51" s="30"/>
      <c r="K51" s="30"/>
      <c r="L51" s="30"/>
      <c r="M51" s="30"/>
      <c r="V51" s="34"/>
      <c r="W51" s="35"/>
    </row>
    <row r="52" spans="1:23" s="36" customFormat="1" ht="63" hidden="1" customHeight="1" x14ac:dyDescent="0.2">
      <c r="A52" s="55"/>
      <c r="B52" s="30" t="s">
        <v>141</v>
      </c>
      <c r="C52" s="30" t="s">
        <v>133</v>
      </c>
      <c r="D52" s="30" t="s">
        <v>134</v>
      </c>
      <c r="E52" s="30" t="s">
        <v>166</v>
      </c>
      <c r="F52" s="54" t="s">
        <v>136</v>
      </c>
      <c r="G52" s="54">
        <v>38</v>
      </c>
      <c r="H52" s="54"/>
      <c r="I52" s="54"/>
      <c r="J52" s="54"/>
      <c r="K52" s="30"/>
      <c r="L52" s="30"/>
      <c r="M52" s="56"/>
    </row>
    <row r="53" spans="1:23" s="36" customFormat="1" ht="63" hidden="1" customHeight="1" x14ac:dyDescent="0.2">
      <c r="A53" s="30" t="s">
        <v>205</v>
      </c>
      <c r="B53" s="30" t="s">
        <v>141</v>
      </c>
      <c r="C53" s="30" t="s">
        <v>133</v>
      </c>
      <c r="D53" s="30" t="s">
        <v>139</v>
      </c>
      <c r="E53" s="30" t="s">
        <v>166</v>
      </c>
      <c r="F53" s="54" t="s">
        <v>136</v>
      </c>
      <c r="G53" s="54">
        <v>9</v>
      </c>
      <c r="H53" s="54"/>
      <c r="I53" s="54"/>
      <c r="J53" s="54"/>
      <c r="K53" s="30"/>
      <c r="L53" s="30"/>
      <c r="M53" s="56"/>
    </row>
    <row r="54" spans="1:23" s="36" customFormat="1" ht="60" hidden="1" customHeight="1" x14ac:dyDescent="0.2">
      <c r="A54" s="30" t="s">
        <v>207</v>
      </c>
      <c r="B54" s="30" t="s">
        <v>141</v>
      </c>
      <c r="C54" s="30" t="s">
        <v>135</v>
      </c>
      <c r="D54" s="30" t="s">
        <v>134</v>
      </c>
      <c r="E54" s="30" t="s">
        <v>166</v>
      </c>
      <c r="F54" s="54" t="s">
        <v>136</v>
      </c>
      <c r="G54" s="54">
        <v>15</v>
      </c>
      <c r="H54" s="54"/>
      <c r="I54" s="54"/>
      <c r="J54" s="54"/>
      <c r="K54" s="30"/>
      <c r="L54" s="30"/>
      <c r="M54" s="56"/>
    </row>
    <row r="55" spans="1:23" s="36" customFormat="1" ht="60" hidden="1" customHeight="1" x14ac:dyDescent="0.2">
      <c r="A55" s="30" t="s">
        <v>206</v>
      </c>
      <c r="B55" s="30" t="s">
        <v>141</v>
      </c>
      <c r="C55" s="30" t="s">
        <v>135</v>
      </c>
      <c r="D55" s="30" t="s">
        <v>135</v>
      </c>
      <c r="E55" s="30" t="s">
        <v>166</v>
      </c>
      <c r="F55" s="54" t="s">
        <v>136</v>
      </c>
      <c r="G55" s="54">
        <v>20</v>
      </c>
      <c r="H55" s="54"/>
      <c r="I55" s="54"/>
      <c r="J55" s="54"/>
      <c r="K55" s="30"/>
      <c r="L55" s="30"/>
      <c r="M55" s="56"/>
    </row>
    <row r="56" spans="1:23" s="36" customFormat="1" ht="117.75" hidden="1" customHeight="1" x14ac:dyDescent="0.2">
      <c r="A56" s="30" t="s">
        <v>214</v>
      </c>
      <c r="B56" s="30" t="s">
        <v>141</v>
      </c>
      <c r="C56" s="30" t="s">
        <v>135</v>
      </c>
      <c r="D56" s="30" t="s">
        <v>135</v>
      </c>
      <c r="E56" s="30" t="s">
        <v>167</v>
      </c>
      <c r="F56" s="54" t="s">
        <v>143</v>
      </c>
      <c r="G56" s="54">
        <v>50</v>
      </c>
      <c r="H56" s="54"/>
      <c r="I56" s="54"/>
      <c r="J56" s="54"/>
      <c r="K56" s="30"/>
      <c r="L56" s="30"/>
      <c r="M56" s="56"/>
    </row>
    <row r="57" spans="1:23" s="36" customFormat="1" ht="96" hidden="1" customHeight="1" x14ac:dyDescent="0.2">
      <c r="A57" s="30" t="s">
        <v>208</v>
      </c>
      <c r="B57" s="30" t="s">
        <v>141</v>
      </c>
      <c r="C57" s="30" t="s">
        <v>140</v>
      </c>
      <c r="D57" s="30" t="s">
        <v>134</v>
      </c>
      <c r="E57" s="30" t="s">
        <v>166</v>
      </c>
      <c r="F57" s="54" t="s">
        <v>136</v>
      </c>
      <c r="G57" s="54">
        <v>0</v>
      </c>
      <c r="H57" s="54"/>
      <c r="I57" s="54"/>
      <c r="J57" s="54"/>
      <c r="K57" s="30"/>
      <c r="L57" s="30"/>
      <c r="M57" s="56"/>
    </row>
    <row r="58" spans="1:23" s="36" customFormat="1" ht="108.75" hidden="1" customHeight="1" x14ac:dyDescent="0.2">
      <c r="A58" s="30" t="s">
        <v>209</v>
      </c>
      <c r="B58" s="30" t="s">
        <v>141</v>
      </c>
      <c r="C58" s="30" t="s">
        <v>140</v>
      </c>
      <c r="D58" s="30" t="s">
        <v>135</v>
      </c>
      <c r="E58" s="30" t="s">
        <v>166</v>
      </c>
      <c r="F58" s="54" t="s">
        <v>136</v>
      </c>
      <c r="G58" s="54">
        <v>0</v>
      </c>
      <c r="H58" s="54"/>
      <c r="I58" s="54"/>
      <c r="J58" s="54"/>
      <c r="K58" s="30"/>
      <c r="L58" s="30"/>
      <c r="M58" s="56"/>
    </row>
    <row r="59" spans="1:23" s="36" customFormat="1" ht="99.95" hidden="1" customHeight="1" x14ac:dyDescent="0.2">
      <c r="A59" s="30" t="s">
        <v>210</v>
      </c>
      <c r="B59" s="30" t="s">
        <v>142</v>
      </c>
      <c r="C59" s="30" t="s">
        <v>135</v>
      </c>
      <c r="D59" s="30" t="s">
        <v>134</v>
      </c>
      <c r="E59" s="30" t="s">
        <v>166</v>
      </c>
      <c r="F59" s="54" t="s">
        <v>136</v>
      </c>
      <c r="G59" s="54">
        <v>4</v>
      </c>
      <c r="H59" s="54"/>
      <c r="I59" s="54"/>
      <c r="J59" s="54"/>
      <c r="K59" s="30"/>
      <c r="L59" s="30"/>
      <c r="M59" s="56"/>
    </row>
    <row r="60" spans="1:23" s="36" customFormat="1" ht="57" hidden="1" customHeight="1" x14ac:dyDescent="0.2">
      <c r="A60" s="30" t="s">
        <v>211</v>
      </c>
      <c r="B60" s="30" t="s">
        <v>142</v>
      </c>
      <c r="C60" s="30" t="s">
        <v>135</v>
      </c>
      <c r="D60" s="30" t="s">
        <v>135</v>
      </c>
      <c r="E60" s="30" t="s">
        <v>166</v>
      </c>
      <c r="F60" s="54" t="s">
        <v>136</v>
      </c>
      <c r="G60" s="54">
        <v>6</v>
      </c>
      <c r="H60" s="54"/>
      <c r="I60" s="54"/>
      <c r="J60" s="54"/>
      <c r="K60" s="30"/>
      <c r="L60" s="30"/>
      <c r="M60" s="56"/>
    </row>
    <row r="61" spans="1:23" s="36" customFormat="1" ht="114" hidden="1" customHeight="1" x14ac:dyDescent="0.2">
      <c r="A61" s="30" t="s">
        <v>213</v>
      </c>
      <c r="B61" s="30" t="s">
        <v>142</v>
      </c>
      <c r="C61" s="30" t="s">
        <v>135</v>
      </c>
      <c r="D61" s="30" t="s">
        <v>135</v>
      </c>
      <c r="E61" s="30" t="s">
        <v>167</v>
      </c>
      <c r="F61" s="54" t="s">
        <v>143</v>
      </c>
      <c r="G61" s="54">
        <v>80</v>
      </c>
      <c r="H61" s="54"/>
      <c r="I61" s="54"/>
      <c r="J61" s="54"/>
      <c r="K61" s="30"/>
      <c r="L61" s="30"/>
      <c r="M61" s="56"/>
    </row>
    <row r="62" spans="1:23" s="36" customFormat="1" ht="99" hidden="1" customHeight="1" x14ac:dyDescent="0.2">
      <c r="A62" s="30" t="s">
        <v>212</v>
      </c>
      <c r="B62" s="30" t="s">
        <v>142</v>
      </c>
      <c r="C62" s="30" t="s">
        <v>140</v>
      </c>
      <c r="D62" s="30" t="s">
        <v>134</v>
      </c>
      <c r="E62" s="30" t="s">
        <v>166</v>
      </c>
      <c r="F62" s="54" t="s">
        <v>136</v>
      </c>
      <c r="G62" s="54">
        <v>1</v>
      </c>
      <c r="H62" s="54"/>
      <c r="I62" s="54"/>
      <c r="J62" s="54"/>
      <c r="K62" s="30"/>
      <c r="L62" s="30"/>
      <c r="M62" s="56"/>
    </row>
    <row r="63" spans="1:23" s="36" customFormat="1" ht="104.25" hidden="1" customHeight="1" x14ac:dyDescent="0.2">
      <c r="A63" s="30" t="s">
        <v>215</v>
      </c>
      <c r="B63" s="30" t="s">
        <v>142</v>
      </c>
      <c r="C63" s="30" t="s">
        <v>140</v>
      </c>
      <c r="D63" s="30" t="s">
        <v>135</v>
      </c>
      <c r="E63" s="30" t="s">
        <v>166</v>
      </c>
      <c r="F63" s="54" t="s">
        <v>136</v>
      </c>
      <c r="G63" s="54">
        <v>0</v>
      </c>
      <c r="H63" s="54"/>
      <c r="I63" s="54"/>
      <c r="J63" s="54"/>
      <c r="K63" s="30"/>
      <c r="L63" s="30"/>
      <c r="M63" s="56"/>
    </row>
    <row r="64" spans="1:23" hidden="1" x14ac:dyDescent="0.25">
      <c r="A64" s="29" t="s">
        <v>168</v>
      </c>
      <c r="B64" s="57"/>
      <c r="C64" s="57"/>
      <c r="D64" s="57"/>
      <c r="E64" s="57"/>
      <c r="F64" s="57"/>
      <c r="G64" s="58">
        <f>SUM(G46:G63)</f>
        <v>287</v>
      </c>
      <c r="H64" s="57"/>
      <c r="I64" s="57"/>
      <c r="J64" s="57"/>
      <c r="K64" s="57"/>
      <c r="L64" s="57"/>
      <c r="M64" s="57"/>
    </row>
    <row r="65" spans="1:13" hidden="1" x14ac:dyDescent="0.25">
      <c r="A65" s="29" t="s">
        <v>169</v>
      </c>
      <c r="B65" s="57"/>
      <c r="C65" s="57"/>
      <c r="D65" s="57"/>
      <c r="E65" s="57"/>
      <c r="F65" s="57"/>
      <c r="G65" s="59">
        <f>G64+G24</f>
        <v>23758</v>
      </c>
      <c r="H65" s="57"/>
      <c r="I65" s="57"/>
      <c r="J65" s="57"/>
      <c r="K65" s="57"/>
      <c r="L65" s="57"/>
      <c r="M65" s="57"/>
    </row>
  </sheetData>
  <autoFilter ref="A5:AMI65"/>
  <mergeCells count="21">
    <mergeCell ref="L3:L4"/>
    <mergeCell ref="M3:M4"/>
    <mergeCell ref="M39:M41"/>
    <mergeCell ref="A1:K1"/>
    <mergeCell ref="A2:F2"/>
    <mergeCell ref="A3:A4"/>
    <mergeCell ref="B3:B4"/>
    <mergeCell ref="C3:C4"/>
    <mergeCell ref="D3:D4"/>
    <mergeCell ref="E3:E4"/>
    <mergeCell ref="F3:F4"/>
    <mergeCell ref="G3:G4"/>
    <mergeCell ref="H3:H4"/>
    <mergeCell ref="I3:I4"/>
    <mergeCell ref="J3:J4"/>
    <mergeCell ref="K3:K4"/>
    <mergeCell ref="C31:C38"/>
    <mergeCell ref="D31:D38"/>
    <mergeCell ref="E31:E38"/>
    <mergeCell ref="F31:F38"/>
    <mergeCell ref="M26:M28"/>
  </mergeCells>
  <pageMargins left="0.23611111111111099" right="0.23611111111111099" top="0.196527777777778" bottom="0.15763888888888899" header="0.51180555555555496" footer="0.51180555555555496"/>
  <pageSetup paperSize="9" firstPageNumber="0" fitToHeight="0" orientation="portrait" r:id="rId1"/>
  <rowBreaks count="1" manualBreakCount="1">
    <brk id="16" min="2" max="6" man="1"/>
  </rowBreaks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>
    <pageSetUpPr fitToPage="1"/>
  </sheetPr>
  <dimension ref="A1:BI10183"/>
  <sheetViews>
    <sheetView tabSelected="1" topLeftCell="A10157" zoomScale="85" zoomScaleNormal="85" workbookViewId="0">
      <selection activeCell="A10177" sqref="A1:O10177"/>
    </sheetView>
  </sheetViews>
  <sheetFormatPr defaultColWidth="9.140625" defaultRowHeight="15.75" x14ac:dyDescent="0.25"/>
  <cols>
    <col min="1" max="1" width="16" style="61" customWidth="1"/>
    <col min="2" max="2" width="29.28515625" style="166" customWidth="1"/>
    <col min="3" max="3" width="16" style="330" hidden="1" customWidth="1"/>
    <col min="4" max="4" width="28" style="331" customWidth="1"/>
    <col min="5" max="5" width="13.42578125" style="332" customWidth="1"/>
    <col min="6" max="6" width="17.140625" style="332" hidden="1" customWidth="1"/>
    <col min="7" max="7" width="20.42578125" style="333" customWidth="1"/>
    <col min="8" max="8" width="19" style="335" hidden="1" customWidth="1"/>
    <col min="9" max="9" width="18.140625" style="335" hidden="1" customWidth="1"/>
    <col min="10" max="10" width="20.140625" style="335" hidden="1" customWidth="1"/>
    <col min="11" max="11" width="15.85546875" style="335" hidden="1" customWidth="1"/>
    <col min="12" max="12" width="18.42578125" style="335" hidden="1" customWidth="1"/>
    <col min="13" max="13" width="47.42578125" style="332" customWidth="1"/>
    <col min="14" max="14" width="20" style="174" hidden="1" customWidth="1"/>
    <col min="15" max="15" width="23.85546875" style="174" hidden="1" customWidth="1"/>
    <col min="16" max="16" width="6.42578125" style="166" customWidth="1"/>
    <col min="17" max="17" width="16.7109375" style="166" hidden="1" customWidth="1"/>
    <col min="18" max="18" width="17.7109375" style="61" hidden="1" customWidth="1"/>
    <col min="19" max="19" width="15.42578125" style="61" customWidth="1"/>
    <col min="20" max="20" width="18.140625" style="61" customWidth="1"/>
    <col min="21" max="21" width="9.140625" style="61" customWidth="1"/>
    <col min="22" max="22" width="11.42578125" style="61" customWidth="1"/>
    <col min="23" max="33" width="9.140625" style="61" customWidth="1"/>
    <col min="34" max="61" width="9.140625" style="61"/>
  </cols>
  <sheetData>
    <row r="1" spans="1:18" x14ac:dyDescent="0.25">
      <c r="A1" s="96"/>
      <c r="B1" s="168"/>
      <c r="C1" s="169"/>
      <c r="D1" s="170"/>
      <c r="E1" s="171"/>
      <c r="F1" s="171"/>
      <c r="G1" s="172"/>
      <c r="H1" s="172"/>
      <c r="I1" s="172"/>
      <c r="J1" s="172"/>
      <c r="K1" s="172"/>
      <c r="L1" s="172"/>
      <c r="M1" s="381" t="s">
        <v>84</v>
      </c>
      <c r="N1" s="381"/>
      <c r="O1" s="381"/>
    </row>
    <row r="2" spans="1:18" x14ac:dyDescent="0.25">
      <c r="A2" s="96"/>
      <c r="B2" s="168"/>
      <c r="C2" s="169"/>
      <c r="D2" s="170"/>
      <c r="E2" s="171"/>
      <c r="F2" s="171"/>
      <c r="G2" s="172"/>
      <c r="H2" s="172"/>
      <c r="I2" s="172"/>
      <c r="J2" s="172"/>
      <c r="K2" s="172"/>
      <c r="L2" s="172"/>
      <c r="M2" s="381" t="s">
        <v>362</v>
      </c>
      <c r="N2" s="381"/>
      <c r="O2" s="381"/>
    </row>
    <row r="3" spans="1:18" x14ac:dyDescent="0.25">
      <c r="A3" s="96"/>
      <c r="B3" s="168"/>
      <c r="C3" s="169"/>
      <c r="D3" s="170"/>
      <c r="E3" s="171"/>
      <c r="F3" s="171"/>
      <c r="G3" s="173"/>
      <c r="H3" s="172"/>
      <c r="I3" s="172"/>
      <c r="J3" s="172"/>
      <c r="K3" s="172"/>
      <c r="L3" s="172"/>
      <c r="M3" s="171"/>
    </row>
    <row r="4" spans="1:18" ht="18.75" customHeight="1" x14ac:dyDescent="0.3">
      <c r="A4" s="155" t="s">
        <v>83</v>
      </c>
      <c r="B4" s="175"/>
      <c r="C4" s="175"/>
      <c r="D4" s="175"/>
      <c r="E4" s="175"/>
      <c r="F4" s="175"/>
      <c r="G4" s="175"/>
      <c r="H4" s="175"/>
      <c r="I4" s="175"/>
      <c r="J4" s="175"/>
      <c r="K4" s="175"/>
      <c r="L4" s="175"/>
      <c r="M4" s="175"/>
      <c r="N4" s="175"/>
      <c r="O4" s="175"/>
    </row>
    <row r="5" spans="1:18" ht="18.75" customHeight="1" x14ac:dyDescent="0.3">
      <c r="A5" s="112"/>
      <c r="B5" s="176"/>
      <c r="C5" s="176"/>
      <c r="D5" s="176"/>
      <c r="E5" s="176"/>
      <c r="F5" s="176"/>
      <c r="G5" s="176"/>
      <c r="H5" s="176"/>
      <c r="I5" s="176"/>
      <c r="J5" s="176"/>
      <c r="K5" s="176"/>
      <c r="L5" s="176"/>
      <c r="M5" s="176"/>
      <c r="N5" s="176"/>
      <c r="O5" s="176"/>
    </row>
    <row r="6" spans="1:18" ht="18.75" x14ac:dyDescent="0.3">
      <c r="A6" s="112" t="s">
        <v>361</v>
      </c>
      <c r="B6" s="176"/>
      <c r="C6" s="176"/>
      <c r="D6" s="176"/>
      <c r="E6" s="176"/>
      <c r="F6" s="176"/>
      <c r="G6" s="176"/>
      <c r="H6" s="176"/>
      <c r="I6" s="176"/>
      <c r="J6" s="176"/>
      <c r="K6" s="176"/>
      <c r="L6" s="176"/>
      <c r="M6" s="176"/>
      <c r="N6" s="176"/>
      <c r="O6" s="176"/>
    </row>
    <row r="7" spans="1:18" s="107" customFormat="1" ht="18.75" x14ac:dyDescent="0.3">
      <c r="A7" s="137" t="s">
        <v>364</v>
      </c>
      <c r="B7" s="176"/>
      <c r="C7" s="177"/>
      <c r="D7" s="178"/>
      <c r="E7" s="178"/>
      <c r="F7" s="178"/>
      <c r="G7" s="179"/>
      <c r="H7" s="178"/>
      <c r="I7" s="178"/>
      <c r="J7" s="178"/>
      <c r="K7" s="178"/>
      <c r="L7" s="178"/>
      <c r="M7" s="178"/>
      <c r="N7" s="174"/>
      <c r="O7" s="174"/>
      <c r="P7" s="166"/>
      <c r="Q7" s="166"/>
    </row>
    <row r="8" spans="1:18" s="61" customFormat="1" ht="63" x14ac:dyDescent="0.25">
      <c r="A8" s="97" t="s">
        <v>0</v>
      </c>
      <c r="B8" s="180" t="s">
        <v>369</v>
      </c>
      <c r="C8" s="181" t="s">
        <v>71</v>
      </c>
      <c r="D8" s="182" t="s">
        <v>1</v>
      </c>
      <c r="E8" s="182" t="s">
        <v>2</v>
      </c>
      <c r="F8" s="182"/>
      <c r="G8" s="183" t="s">
        <v>3</v>
      </c>
      <c r="H8" s="182" t="s">
        <v>170</v>
      </c>
      <c r="I8" s="182" t="s">
        <v>171</v>
      </c>
      <c r="J8" s="182"/>
      <c r="K8" s="182" t="s">
        <v>172</v>
      </c>
      <c r="L8" s="184" t="s">
        <v>174</v>
      </c>
      <c r="M8" s="182" t="s">
        <v>16</v>
      </c>
      <c r="N8" s="185" t="s">
        <v>286</v>
      </c>
      <c r="O8" s="183" t="s">
        <v>287</v>
      </c>
      <c r="P8" s="166"/>
      <c r="Q8" s="166"/>
    </row>
    <row r="9" spans="1:18" s="114" customFormat="1" x14ac:dyDescent="0.25">
      <c r="A9" s="98" t="s">
        <v>4</v>
      </c>
      <c r="B9" s="186">
        <v>2</v>
      </c>
      <c r="C9" s="187" t="s">
        <v>173</v>
      </c>
      <c r="D9" s="188">
        <v>3</v>
      </c>
      <c r="E9" s="189">
        <v>4</v>
      </c>
      <c r="F9" s="189" t="s">
        <v>173</v>
      </c>
      <c r="G9" s="189">
        <v>5</v>
      </c>
      <c r="H9" s="189" t="s">
        <v>173</v>
      </c>
      <c r="I9" s="189" t="s">
        <v>173</v>
      </c>
      <c r="J9" s="189" t="s">
        <v>173</v>
      </c>
      <c r="K9" s="189" t="s">
        <v>173</v>
      </c>
      <c r="L9" s="190" t="s">
        <v>173</v>
      </c>
      <c r="M9" s="189">
        <v>6</v>
      </c>
      <c r="N9" s="191" t="s">
        <v>173</v>
      </c>
      <c r="O9" s="192" t="s">
        <v>173</v>
      </c>
      <c r="P9" s="193"/>
      <c r="Q9" s="193"/>
    </row>
    <row r="10" spans="1:18" s="61" customFormat="1" x14ac:dyDescent="0.25">
      <c r="A10" s="357" t="str">
        <f>CONCATENATE(школы!$B$6,", ",школы!$C$6,", ",школы!$D$6)</f>
        <v>Реализация основных общеобразовательных программ начального общего образования, адаптированная образовательная программа, дети-инвалиды</v>
      </c>
      <c r="B10" s="360" t="str">
        <f>школы!$A$6</f>
        <v>801012О.99.0.БА81АБ44001</v>
      </c>
      <c r="C10" s="194"/>
      <c r="D10" s="363" t="s">
        <v>15</v>
      </c>
      <c r="E10" s="363"/>
      <c r="F10" s="363"/>
      <c r="G10" s="363"/>
      <c r="H10" s="195"/>
      <c r="I10" s="195"/>
      <c r="J10" s="195"/>
      <c r="K10" s="195"/>
      <c r="L10" s="196"/>
      <c r="M10" s="197"/>
      <c r="N10" s="164"/>
      <c r="O10" s="198">
        <f>O11+O16+O18</f>
        <v>5968.4164974260002</v>
      </c>
      <c r="P10" s="166"/>
      <c r="Q10" s="166"/>
    </row>
    <row r="11" spans="1:18" s="61" customFormat="1" x14ac:dyDescent="0.25">
      <c r="A11" s="358"/>
      <c r="B11" s="361"/>
      <c r="C11" s="194"/>
      <c r="D11" s="350" t="s">
        <v>62</v>
      </c>
      <c r="E11" s="350"/>
      <c r="F11" s="350"/>
      <c r="G11" s="350"/>
      <c r="H11" s="195"/>
      <c r="I11" s="195"/>
      <c r="J11" s="195"/>
      <c r="K11" s="195"/>
      <c r="L11" s="196"/>
      <c r="M11" s="197"/>
      <c r="N11" s="164"/>
      <c r="O11" s="165">
        <f>O13+O15</f>
        <v>5968.4164974260002</v>
      </c>
      <c r="P11" s="166"/>
      <c r="Q11" s="166"/>
    </row>
    <row r="12" spans="1:18" s="61" customFormat="1" x14ac:dyDescent="0.25">
      <c r="A12" s="358"/>
      <c r="B12" s="361"/>
      <c r="C12" s="194">
        <v>211</v>
      </c>
      <c r="D12" s="194" t="s">
        <v>86</v>
      </c>
      <c r="E12" s="199" t="s">
        <v>95</v>
      </c>
      <c r="F12" s="199" t="s">
        <v>95</v>
      </c>
      <c r="G12" s="200">
        <f>MROUND(H12*L12*I12/K12,0.0000000001)</f>
        <v>0.3667654394</v>
      </c>
      <c r="H12" s="201">
        <f>Лист1!C4</f>
        <v>921.8</v>
      </c>
      <c r="I12" s="159">
        <f>школы!$K$6</f>
        <v>3.5477600000000001E-3</v>
      </c>
      <c r="J12" s="159"/>
      <c r="K12" s="161">
        <f>школы!$G$6</f>
        <v>107</v>
      </c>
      <c r="L12" s="202">
        <v>12</v>
      </c>
      <c r="M12" s="163" t="str">
        <f>CONCATENATE(H12," ",F12," ","в мес.","*",L12,"мес.","*",I12,"/",K12,"чел.")</f>
        <v>921,8 шт.ед в мес.*12мес.*0,00354776/107чел.</v>
      </c>
      <c r="N12" s="164">
        <f>Лист1!E4+0.00024</f>
        <v>12498.552905979601</v>
      </c>
      <c r="O12" s="165">
        <f>MROUND(G12*N12,0.000000001)</f>
        <v>4584.0372484260006</v>
      </c>
      <c r="P12" s="166"/>
      <c r="Q12" s="166">
        <f t="shared" ref="Q12:Q79" si="0">O12*K12</f>
        <v>490491.98558158206</v>
      </c>
      <c r="R12" s="71"/>
    </row>
    <row r="13" spans="1:18" s="61" customFormat="1" x14ac:dyDescent="0.25">
      <c r="A13" s="358"/>
      <c r="B13" s="361"/>
      <c r="C13" s="203" t="s">
        <v>288</v>
      </c>
      <c r="D13" s="203"/>
      <c r="E13" s="204"/>
      <c r="F13" s="204"/>
      <c r="G13" s="205"/>
      <c r="H13" s="206"/>
      <c r="I13" s="206"/>
      <c r="J13" s="206"/>
      <c r="K13" s="207"/>
      <c r="L13" s="208"/>
      <c r="M13" s="209"/>
      <c r="N13" s="210">
        <f>N12</f>
        <v>12498.552905979601</v>
      </c>
      <c r="O13" s="198">
        <f>O12</f>
        <v>4584.0372484260006</v>
      </c>
      <c r="P13" s="166"/>
      <c r="Q13" s="166">
        <f t="shared" si="0"/>
        <v>0</v>
      </c>
      <c r="R13" s="71"/>
    </row>
    <row r="14" spans="1:18" s="61" customFormat="1" x14ac:dyDescent="0.25">
      <c r="A14" s="358"/>
      <c r="B14" s="361"/>
      <c r="C14" s="194">
        <v>213</v>
      </c>
      <c r="D14" s="194" t="s">
        <v>87</v>
      </c>
      <c r="E14" s="194" t="s">
        <v>88</v>
      </c>
      <c r="F14" s="194"/>
      <c r="G14" s="211">
        <v>30.2</v>
      </c>
      <c r="H14" s="159"/>
      <c r="I14" s="159"/>
      <c r="J14" s="159"/>
      <c r="K14" s="161">
        <f>K12</f>
        <v>107</v>
      </c>
      <c r="L14" s="202"/>
      <c r="M14" s="212"/>
      <c r="N14" s="164"/>
      <c r="O14" s="165">
        <f>MROUND(O12*0.302,0.000001)</f>
        <v>1384.3792489999998</v>
      </c>
      <c r="P14" s="166"/>
      <c r="Q14" s="166">
        <f>O14*K14</f>
        <v>148128.57964299998</v>
      </c>
      <c r="R14" s="71"/>
    </row>
    <row r="15" spans="1:18" s="61" customFormat="1" x14ac:dyDescent="0.25">
      <c r="A15" s="358"/>
      <c r="B15" s="361"/>
      <c r="C15" s="203" t="s">
        <v>289</v>
      </c>
      <c r="D15" s="203"/>
      <c r="E15" s="203"/>
      <c r="F15" s="203"/>
      <c r="G15" s="213"/>
      <c r="H15" s="214"/>
      <c r="I15" s="206"/>
      <c r="J15" s="214"/>
      <c r="K15" s="207"/>
      <c r="L15" s="215"/>
      <c r="M15" s="216"/>
      <c r="N15" s="210"/>
      <c r="O15" s="198">
        <f>O14</f>
        <v>1384.3792489999998</v>
      </c>
      <c r="P15" s="166"/>
      <c r="Q15" s="166"/>
      <c r="R15" s="71"/>
    </row>
    <row r="16" spans="1:18" s="61" customFormat="1" ht="112.5" customHeight="1" x14ac:dyDescent="0.25">
      <c r="A16" s="358"/>
      <c r="B16" s="361"/>
      <c r="C16" s="194"/>
      <c r="D16" s="356" t="s">
        <v>63</v>
      </c>
      <c r="E16" s="356"/>
      <c r="F16" s="356"/>
      <c r="G16" s="356"/>
      <c r="H16" s="195"/>
      <c r="I16" s="159"/>
      <c r="J16" s="195"/>
      <c r="K16" s="161"/>
      <c r="L16" s="196"/>
      <c r="M16" s="197"/>
      <c r="N16" s="164"/>
      <c r="O16" s="165"/>
      <c r="P16" s="166"/>
      <c r="Q16" s="166"/>
      <c r="R16" s="71"/>
    </row>
    <row r="17" spans="1:18" s="61" customFormat="1" x14ac:dyDescent="0.25">
      <c r="A17" s="358"/>
      <c r="B17" s="361"/>
      <c r="C17" s="194"/>
      <c r="D17" s="194"/>
      <c r="E17" s="194"/>
      <c r="F17" s="194"/>
      <c r="G17" s="217"/>
      <c r="H17" s="195"/>
      <c r="I17" s="159"/>
      <c r="J17" s="195"/>
      <c r="K17" s="161"/>
      <c r="L17" s="196"/>
      <c r="M17" s="197"/>
      <c r="N17" s="164"/>
      <c r="O17" s="165"/>
      <c r="P17" s="166"/>
      <c r="Q17" s="166"/>
      <c r="R17" s="71"/>
    </row>
    <row r="18" spans="1:18" s="61" customFormat="1" ht="124.5" customHeight="1" x14ac:dyDescent="0.25">
      <c r="A18" s="358"/>
      <c r="B18" s="361"/>
      <c r="C18" s="194"/>
      <c r="D18" s="350" t="s">
        <v>370</v>
      </c>
      <c r="E18" s="350"/>
      <c r="F18" s="350"/>
      <c r="G18" s="350"/>
      <c r="H18" s="195"/>
      <c r="I18" s="159"/>
      <c r="J18" s="195"/>
      <c r="K18" s="161"/>
      <c r="L18" s="196"/>
      <c r="M18" s="197"/>
      <c r="N18" s="164"/>
      <c r="O18" s="165"/>
      <c r="P18" s="166"/>
      <c r="Q18" s="166"/>
      <c r="R18" s="71"/>
    </row>
    <row r="19" spans="1:18" s="61" customFormat="1" x14ac:dyDescent="0.25">
      <c r="A19" s="358"/>
      <c r="B19" s="361"/>
      <c r="C19" s="194"/>
      <c r="D19" s="194"/>
      <c r="E19" s="194"/>
      <c r="F19" s="194"/>
      <c r="G19" s="217"/>
      <c r="H19" s="195"/>
      <c r="I19" s="159"/>
      <c r="J19" s="195"/>
      <c r="K19" s="161"/>
      <c r="L19" s="196"/>
      <c r="M19" s="197"/>
      <c r="N19" s="164"/>
      <c r="O19" s="165"/>
      <c r="P19" s="166"/>
      <c r="Q19" s="166"/>
      <c r="R19" s="71"/>
    </row>
    <row r="20" spans="1:18" s="61" customFormat="1" ht="21" customHeight="1" x14ac:dyDescent="0.25">
      <c r="A20" s="358"/>
      <c r="B20" s="361"/>
      <c r="C20" s="194"/>
      <c r="D20" s="355" t="s">
        <v>5</v>
      </c>
      <c r="E20" s="355"/>
      <c r="F20" s="355"/>
      <c r="G20" s="355"/>
      <c r="H20" s="195"/>
      <c r="I20" s="159"/>
      <c r="J20" s="195"/>
      <c r="K20" s="161"/>
      <c r="L20" s="196"/>
      <c r="M20" s="197"/>
      <c r="N20" s="164"/>
      <c r="O20" s="198">
        <f>O21+O31+O42+O44+O46+O48+O50</f>
        <v>31837.218659823699</v>
      </c>
      <c r="P20" s="166"/>
      <c r="Q20" s="166"/>
      <c r="R20" s="71"/>
    </row>
    <row r="21" spans="1:18" s="61" customFormat="1" x14ac:dyDescent="0.25">
      <c r="A21" s="358"/>
      <c r="B21" s="361"/>
      <c r="C21" s="218" t="s">
        <v>70</v>
      </c>
      <c r="D21" s="380" t="s">
        <v>6</v>
      </c>
      <c r="E21" s="380"/>
      <c r="F21" s="380"/>
      <c r="G21" s="380"/>
      <c r="H21" s="219"/>
      <c r="I21" s="206"/>
      <c r="J21" s="219"/>
      <c r="K21" s="207"/>
      <c r="L21" s="220"/>
      <c r="M21" s="216"/>
      <c r="N21" s="210"/>
      <c r="O21" s="198">
        <f>O30</f>
        <v>5735.97722153</v>
      </c>
      <c r="P21" s="166"/>
      <c r="Q21" s="166"/>
      <c r="R21" s="71"/>
    </row>
    <row r="22" spans="1:18" s="61" customFormat="1" ht="31.5" x14ac:dyDescent="0.25">
      <c r="A22" s="358"/>
      <c r="B22" s="361"/>
      <c r="C22" s="221" t="s">
        <v>72</v>
      </c>
      <c r="D22" s="222" t="s">
        <v>7</v>
      </c>
      <c r="E22" s="223" t="s">
        <v>8</v>
      </c>
      <c r="F22" s="223" t="s">
        <v>8</v>
      </c>
      <c r="G22" s="157">
        <f>MROUND(H22*L22*I22/K22,0.00000000001)</f>
        <v>109.85195954990999</v>
      </c>
      <c r="H22" s="160">
        <f>Лист1!C12*1000</f>
        <v>3313121.4264326878</v>
      </c>
      <c r="I22" s="159">
        <f>I12</f>
        <v>3.5477600000000001E-3</v>
      </c>
      <c r="J22" s="160"/>
      <c r="K22" s="161">
        <f>K12</f>
        <v>107</v>
      </c>
      <c r="L22" s="162">
        <v>1</v>
      </c>
      <c r="M22" s="163" t="str">
        <f t="shared" ref="M22:M27" si="1">CONCATENATE(H22," ",F22,"(лимиты выделенные УЖКХ) ","*",I22,"/",K22,"чел.")</f>
        <v>3313121,42643269 кВт час.(лимиты выделенные УЖКХ) *0,00354776/107чел.</v>
      </c>
      <c r="N22" s="164">
        <f>Лист1!E12</f>
        <v>10.418446162163715</v>
      </c>
      <c r="O22" s="165">
        <f>MROUND(G22*N22,0.000001)</f>
        <v>1144.4867259999999</v>
      </c>
      <c r="P22" s="166"/>
      <c r="Q22" s="166">
        <f t="shared" si="0"/>
        <v>122460.07968199998</v>
      </c>
      <c r="R22" s="71"/>
    </row>
    <row r="23" spans="1:18" s="61" customFormat="1" ht="31.5" x14ac:dyDescent="0.25">
      <c r="A23" s="358"/>
      <c r="B23" s="361"/>
      <c r="C23" s="221" t="s">
        <v>73</v>
      </c>
      <c r="D23" s="222" t="s">
        <v>9</v>
      </c>
      <c r="E23" s="223" t="s">
        <v>10</v>
      </c>
      <c r="F23" s="223" t="s">
        <v>10</v>
      </c>
      <c r="G23" s="157">
        <f t="shared" ref="G23:G29" si="2">MROUND(H23*L23*I23/K23,0.00000000001)</f>
        <v>1.0576101340799999</v>
      </c>
      <c r="H23" s="160">
        <f>Лист1!C13</f>
        <v>31897.39</v>
      </c>
      <c r="I23" s="159">
        <f t="shared" ref="I23:I29" si="3">I22</f>
        <v>3.5477600000000001E-3</v>
      </c>
      <c r="J23" s="160"/>
      <c r="K23" s="161">
        <f t="shared" ref="K23:K29" si="4">K22</f>
        <v>107</v>
      </c>
      <c r="L23" s="162">
        <v>1</v>
      </c>
      <c r="M23" s="163" t="str">
        <f t="shared" si="1"/>
        <v>31897,39 Гкал(лимиты выделенные УЖКХ) *0,00354776/107чел.</v>
      </c>
      <c r="N23" s="164">
        <f>Лист1!E13+0.00006</f>
        <v>2845.3650600830792</v>
      </c>
      <c r="O23" s="165">
        <f>MROUND(G23*N23,0.000001)</f>
        <v>3009.2869229999997</v>
      </c>
      <c r="P23" s="166"/>
      <c r="Q23" s="166">
        <f t="shared" si="0"/>
        <v>321993.70076099999</v>
      </c>
      <c r="R23" s="71"/>
    </row>
    <row r="24" spans="1:18" s="61" customFormat="1" ht="31.5" x14ac:dyDescent="0.25">
      <c r="A24" s="358"/>
      <c r="B24" s="361"/>
      <c r="C24" s="364" t="s">
        <v>74</v>
      </c>
      <c r="D24" s="222" t="s">
        <v>12</v>
      </c>
      <c r="E24" s="222" t="s">
        <v>11</v>
      </c>
      <c r="F24" s="222" t="s">
        <v>11</v>
      </c>
      <c r="G24" s="157">
        <f t="shared" si="2"/>
        <v>6.12486513196</v>
      </c>
      <c r="H24" s="224">
        <f>Лист1!C14</f>
        <v>184725.17</v>
      </c>
      <c r="I24" s="159">
        <f t="shared" si="3"/>
        <v>3.5477600000000001E-3</v>
      </c>
      <c r="J24" s="160"/>
      <c r="K24" s="161">
        <f t="shared" si="4"/>
        <v>107</v>
      </c>
      <c r="L24" s="162">
        <v>1</v>
      </c>
      <c r="M24" s="163" t="str">
        <f t="shared" si="1"/>
        <v>184725,17 м3(лимиты выделенные УЖКХ) *0,00354776/107чел.</v>
      </c>
      <c r="N24" s="164">
        <f>Лист1!E14</f>
        <v>51.830000102314166</v>
      </c>
      <c r="O24" s="165">
        <f>MROUND(G24*N24,0.000001)</f>
        <v>317.45175999999998</v>
      </c>
      <c r="P24" s="166"/>
      <c r="Q24" s="166">
        <f t="shared" si="0"/>
        <v>33967.338319999995</v>
      </c>
      <c r="R24" s="71"/>
    </row>
    <row r="25" spans="1:18" s="61" customFormat="1" ht="47.25" x14ac:dyDescent="0.25">
      <c r="A25" s="358"/>
      <c r="B25" s="361"/>
      <c r="C25" s="364"/>
      <c r="D25" s="222" t="s">
        <v>17</v>
      </c>
      <c r="E25" s="222" t="s">
        <v>11</v>
      </c>
      <c r="F25" s="222" t="s">
        <v>11</v>
      </c>
      <c r="G25" s="157">
        <f t="shared" si="2"/>
        <v>6.12486513196</v>
      </c>
      <c r="H25" s="160">
        <f>Лист1!C15</f>
        <v>184725.17</v>
      </c>
      <c r="I25" s="159">
        <f t="shared" si="3"/>
        <v>3.5477600000000001E-3</v>
      </c>
      <c r="J25" s="160"/>
      <c r="K25" s="161">
        <f t="shared" si="4"/>
        <v>107</v>
      </c>
      <c r="L25" s="162">
        <v>1</v>
      </c>
      <c r="M25" s="163" t="str">
        <f t="shared" si="1"/>
        <v>184725,17 м3(лимиты выделенные УЖКХ) *0,00354776/107чел.</v>
      </c>
      <c r="N25" s="164">
        <f>Лист1!E15</f>
        <v>78.76115753094173</v>
      </c>
      <c r="O25" s="165">
        <f>MROUND(G25*N25,0.000001)</f>
        <v>482.40146799999997</v>
      </c>
      <c r="P25" s="166"/>
      <c r="Q25" s="166">
        <f t="shared" si="0"/>
        <v>51616.957075999999</v>
      </c>
      <c r="R25" s="71"/>
    </row>
    <row r="26" spans="1:18" s="61" customFormat="1" ht="31.5" x14ac:dyDescent="0.25">
      <c r="A26" s="358"/>
      <c r="B26" s="361"/>
      <c r="C26" s="364"/>
      <c r="D26" s="222" t="s">
        <v>13</v>
      </c>
      <c r="E26" s="222" t="s">
        <v>11</v>
      </c>
      <c r="F26" s="222" t="s">
        <v>11</v>
      </c>
      <c r="G26" s="157">
        <f t="shared" si="2"/>
        <v>6.12486513196</v>
      </c>
      <c r="H26" s="160">
        <f>Лист1!C16</f>
        <v>184725.17</v>
      </c>
      <c r="I26" s="159">
        <f t="shared" si="3"/>
        <v>3.5477600000000001E-3</v>
      </c>
      <c r="J26" s="160"/>
      <c r="K26" s="161">
        <f t="shared" si="4"/>
        <v>107</v>
      </c>
      <c r="L26" s="225">
        <v>1</v>
      </c>
      <c r="M26" s="163" t="str">
        <f t="shared" si="1"/>
        <v>184725,17 м3(лимиты выделенные УЖКХ) *0,00354776/107чел.</v>
      </c>
      <c r="N26" s="164">
        <f>Лист1!E16</f>
        <v>107.41979263410609</v>
      </c>
      <c r="O26" s="165">
        <f>MROUND(G26*N26,0.00000001)</f>
        <v>657.93174239000007</v>
      </c>
      <c r="P26" s="166"/>
      <c r="Q26" s="166">
        <f t="shared" si="0"/>
        <v>70398.696435730002</v>
      </c>
      <c r="R26" s="71"/>
    </row>
    <row r="27" spans="1:18" s="61" customFormat="1" ht="31.5" x14ac:dyDescent="0.25">
      <c r="A27" s="358"/>
      <c r="B27" s="361"/>
      <c r="C27" s="221" t="s">
        <v>75</v>
      </c>
      <c r="D27" s="222" t="s">
        <v>18</v>
      </c>
      <c r="E27" s="222" t="s">
        <v>48</v>
      </c>
      <c r="F27" s="222" t="s">
        <v>48</v>
      </c>
      <c r="G27" s="157">
        <f t="shared" si="2"/>
        <v>0.46046609136</v>
      </c>
      <c r="H27" s="160">
        <f>Лист1!C17</f>
        <v>13887.6</v>
      </c>
      <c r="I27" s="159">
        <f t="shared" si="3"/>
        <v>3.5477600000000001E-3</v>
      </c>
      <c r="J27" s="160"/>
      <c r="K27" s="161">
        <f t="shared" si="4"/>
        <v>107</v>
      </c>
      <c r="L27" s="162">
        <v>1</v>
      </c>
      <c r="M27" s="163" t="str">
        <f t="shared" si="1"/>
        <v>13887,6 тыс. м3(лимиты выделенные УЖКХ) *0,00354776/107чел.</v>
      </c>
      <c r="N27" s="164">
        <f>Лист1!E17</f>
        <v>29.231582850888564</v>
      </c>
      <c r="O27" s="165">
        <f>MROUND(G27*N27,0.000001)</f>
        <v>13.460153</v>
      </c>
      <c r="P27" s="166"/>
      <c r="Q27" s="166">
        <f t="shared" si="0"/>
        <v>1440.236371</v>
      </c>
      <c r="R27" s="71"/>
    </row>
    <row r="28" spans="1:18" s="61" customFormat="1" x14ac:dyDescent="0.25">
      <c r="A28" s="358"/>
      <c r="B28" s="361"/>
      <c r="C28" s="364" t="s">
        <v>216</v>
      </c>
      <c r="D28" s="222" t="s">
        <v>23</v>
      </c>
      <c r="E28" s="222" t="s">
        <v>11</v>
      </c>
      <c r="F28" s="222" t="s">
        <v>11</v>
      </c>
      <c r="G28" s="157">
        <f t="shared" si="2"/>
        <v>0.11169276866</v>
      </c>
      <c r="H28" s="160">
        <f>Лист1!C18</f>
        <v>3368.6400000000003</v>
      </c>
      <c r="I28" s="159">
        <f t="shared" si="3"/>
        <v>3.5477600000000001E-3</v>
      </c>
      <c r="J28" s="160"/>
      <c r="K28" s="161">
        <f t="shared" si="4"/>
        <v>107</v>
      </c>
      <c r="L28" s="162">
        <f>L27</f>
        <v>1</v>
      </c>
      <c r="M28" s="163" t="str">
        <f>CONCATENATE(H28," ",F28," ","*",I28,"/",K28,"чел.")</f>
        <v>3368,64 м3 *0,00354776/107чел.</v>
      </c>
      <c r="N28" s="164">
        <f>Лист1!E18</f>
        <v>742.21370939013957</v>
      </c>
      <c r="O28" s="165">
        <f>MROUND(G28*N28,0.00000001)</f>
        <v>82.899904140000004</v>
      </c>
      <c r="P28" s="166"/>
      <c r="Q28" s="166">
        <f t="shared" si="0"/>
        <v>8870.2897429799996</v>
      </c>
      <c r="R28" s="71"/>
    </row>
    <row r="29" spans="1:18" s="61" customFormat="1" ht="47.25" x14ac:dyDescent="0.25">
      <c r="A29" s="358"/>
      <c r="B29" s="361"/>
      <c r="C29" s="364"/>
      <c r="D29" s="222" t="s">
        <v>24</v>
      </c>
      <c r="E29" s="222" t="s">
        <v>25</v>
      </c>
      <c r="F29" s="222" t="s">
        <v>217</v>
      </c>
      <c r="G29" s="157">
        <f t="shared" si="2"/>
        <v>4.8740254199999998E-3</v>
      </c>
      <c r="H29" s="160">
        <f>Лист1!C19</f>
        <v>147</v>
      </c>
      <c r="I29" s="159">
        <f t="shared" si="3"/>
        <v>3.5477600000000001E-3</v>
      </c>
      <c r="J29" s="160"/>
      <c r="K29" s="161">
        <f t="shared" si="4"/>
        <v>107</v>
      </c>
      <c r="L29" s="162">
        <f>L28</f>
        <v>1</v>
      </c>
      <c r="M29" s="163" t="str">
        <f>CONCATENATE(H29," ",F29,"(потребность из расчета 4 контейнера для уборки территории весной и осенью на 1 учреждение)","*",I29,"/",K29,"чел.")</f>
        <v>147 контейнера(потребность из расчета 4 контейнера для уборки территории весной и осенью на 1 учреждение)*0,00354776/107чел.</v>
      </c>
      <c r="N29" s="164">
        <f>Лист1!E19</f>
        <v>5756.7497959183638</v>
      </c>
      <c r="O29" s="165">
        <f>MROUND(G29*N29,0.000001)</f>
        <v>28.058544999999999</v>
      </c>
      <c r="P29" s="166"/>
      <c r="Q29" s="166">
        <f t="shared" si="0"/>
        <v>3002.2643149999999</v>
      </c>
      <c r="R29" s="71"/>
    </row>
    <row r="30" spans="1:18" s="61" customFormat="1" x14ac:dyDescent="0.25">
      <c r="A30" s="358"/>
      <c r="B30" s="361"/>
      <c r="C30" s="218" t="s">
        <v>290</v>
      </c>
      <c r="D30" s="226"/>
      <c r="E30" s="226"/>
      <c r="F30" s="226"/>
      <c r="G30" s="227"/>
      <c r="H30" s="228"/>
      <c r="I30" s="206"/>
      <c r="J30" s="228"/>
      <c r="K30" s="207"/>
      <c r="L30" s="229"/>
      <c r="M30" s="209"/>
      <c r="N30" s="210"/>
      <c r="O30" s="198">
        <f>SUM(O22:O29)</f>
        <v>5735.97722153</v>
      </c>
      <c r="P30" s="166"/>
      <c r="Q30" s="166"/>
      <c r="R30" s="71"/>
    </row>
    <row r="31" spans="1:18" s="61" customFormat="1" ht="50.25" customHeight="1" x14ac:dyDescent="0.25">
      <c r="A31" s="358"/>
      <c r="B31" s="361"/>
      <c r="C31" s="221"/>
      <c r="D31" s="356" t="s">
        <v>371</v>
      </c>
      <c r="E31" s="356"/>
      <c r="F31" s="356"/>
      <c r="G31" s="356"/>
      <c r="H31" s="188"/>
      <c r="I31" s="159"/>
      <c r="J31" s="188"/>
      <c r="K31" s="161"/>
      <c r="L31" s="162"/>
      <c r="M31" s="230"/>
      <c r="N31" s="164"/>
      <c r="O31" s="198">
        <f>O39+O40+O35</f>
        <v>23888.177617963698</v>
      </c>
      <c r="P31" s="166"/>
      <c r="Q31" s="166"/>
      <c r="R31" s="71"/>
    </row>
    <row r="32" spans="1:18" s="61" customFormat="1" x14ac:dyDescent="0.25">
      <c r="A32" s="358"/>
      <c r="B32" s="361"/>
      <c r="C32" s="221" t="s">
        <v>379</v>
      </c>
      <c r="D32" s="231" t="s">
        <v>49</v>
      </c>
      <c r="E32" s="231" t="s">
        <v>22</v>
      </c>
      <c r="F32" s="231" t="s">
        <v>22</v>
      </c>
      <c r="G32" s="157">
        <f>MROUND(H32*L32*I32/K32,0.000000001)</f>
        <v>0</v>
      </c>
      <c r="H32" s="160"/>
      <c r="I32" s="159">
        <f>I29</f>
        <v>3.5477600000000001E-3</v>
      </c>
      <c r="J32" s="160"/>
      <c r="K32" s="161">
        <f>K29</f>
        <v>107</v>
      </c>
      <c r="L32" s="162"/>
      <c r="M32" s="163"/>
      <c r="N32" s="164"/>
      <c r="O32" s="165">
        <f>MROUND(G32*N32,0.00000001)</f>
        <v>0</v>
      </c>
      <c r="P32" s="166"/>
      <c r="Q32" s="166">
        <f t="shared" si="0"/>
        <v>0</v>
      </c>
      <c r="R32" s="71"/>
    </row>
    <row r="33" spans="1:18" s="61" customFormat="1" x14ac:dyDescent="0.25">
      <c r="A33" s="358"/>
      <c r="B33" s="361"/>
      <c r="C33" s="221" t="s">
        <v>379</v>
      </c>
      <c r="D33" s="231" t="s">
        <v>49</v>
      </c>
      <c r="E33" s="231" t="s">
        <v>28</v>
      </c>
      <c r="F33" s="231" t="s">
        <v>28</v>
      </c>
      <c r="G33" s="157">
        <f>MROUND(H33*L33*I33/K33,0.000000001)</f>
        <v>1.6578300000000002E-4</v>
      </c>
      <c r="H33" s="160">
        <f>Лист1!C22</f>
        <v>5</v>
      </c>
      <c r="I33" s="159">
        <f>I29</f>
        <v>3.5477600000000001E-3</v>
      </c>
      <c r="J33" s="160"/>
      <c r="K33" s="161">
        <f>K29</f>
        <v>107</v>
      </c>
      <c r="L33" s="162">
        <v>1</v>
      </c>
      <c r="M33" s="163" t="str">
        <f>CONCATENATE(H33," ",F33,"*",I33,"/",K33,"чел.")</f>
        <v>5 шт*0,00354776/107чел.</v>
      </c>
      <c r="N33" s="164">
        <f>Лист1!E22</f>
        <v>28120000</v>
      </c>
      <c r="O33" s="165">
        <f>MROUND(G33*N33,0.00000001)</f>
        <v>4661.8179600000003</v>
      </c>
      <c r="P33" s="166"/>
      <c r="Q33" s="166">
        <f t="shared" si="0"/>
        <v>498814.52172000002</v>
      </c>
      <c r="R33" s="71"/>
    </row>
    <row r="34" spans="1:18" s="61" customFormat="1" x14ac:dyDescent="0.25">
      <c r="A34" s="358"/>
      <c r="B34" s="361"/>
      <c r="C34" s="221" t="s">
        <v>379</v>
      </c>
      <c r="D34" s="231" t="s">
        <v>49</v>
      </c>
      <c r="E34" s="231" t="s">
        <v>101</v>
      </c>
      <c r="F34" s="231" t="s">
        <v>101</v>
      </c>
      <c r="G34" s="157">
        <f>MROUND(H34*L34*I34/K34,0.000000001)</f>
        <v>0</v>
      </c>
      <c r="H34" s="160"/>
      <c r="I34" s="159">
        <f>I33</f>
        <v>3.5477600000000001E-3</v>
      </c>
      <c r="J34" s="160"/>
      <c r="K34" s="161">
        <f>K32</f>
        <v>107</v>
      </c>
      <c r="L34" s="162"/>
      <c r="M34" s="163"/>
      <c r="N34" s="164"/>
      <c r="O34" s="165">
        <f>MROUND(G34*N34,0.00000001)</f>
        <v>0</v>
      </c>
      <c r="P34" s="166"/>
      <c r="Q34" s="166">
        <f t="shared" si="0"/>
        <v>0</v>
      </c>
      <c r="R34" s="71"/>
    </row>
    <row r="35" spans="1:18" s="61" customFormat="1" x14ac:dyDescent="0.25">
      <c r="A35" s="358"/>
      <c r="B35" s="361"/>
      <c r="C35" s="218" t="s">
        <v>380</v>
      </c>
      <c r="D35" s="232"/>
      <c r="E35" s="232"/>
      <c r="F35" s="232"/>
      <c r="G35" s="227"/>
      <c r="H35" s="228"/>
      <c r="I35" s="206"/>
      <c r="J35" s="228"/>
      <c r="K35" s="207"/>
      <c r="L35" s="229"/>
      <c r="M35" s="209"/>
      <c r="N35" s="210"/>
      <c r="O35" s="198">
        <f>SUM(O32:O34)</f>
        <v>4661.8179600000003</v>
      </c>
      <c r="P35" s="166"/>
      <c r="Q35" s="166"/>
      <c r="R35" s="71"/>
    </row>
    <row r="36" spans="1:18" s="61" customFormat="1" x14ac:dyDescent="0.25">
      <c r="A36" s="358"/>
      <c r="B36" s="361"/>
      <c r="C36" s="221" t="s">
        <v>76</v>
      </c>
      <c r="D36" s="231" t="s">
        <v>49</v>
      </c>
      <c r="E36" s="231" t="s">
        <v>22</v>
      </c>
      <c r="F36" s="231" t="s">
        <v>22</v>
      </c>
      <c r="G36" s="157">
        <f>MROUND(H36*L36*I36/K36,0.00000000000001)</f>
        <v>2.4276300455626201</v>
      </c>
      <c r="H36" s="160">
        <f>Лист1!C23</f>
        <v>73217.02</v>
      </c>
      <c r="I36" s="159">
        <f>I33</f>
        <v>3.5477600000000001E-3</v>
      </c>
      <c r="J36" s="160"/>
      <c r="K36" s="161">
        <f>K33</f>
        <v>107</v>
      </c>
      <c r="L36" s="162">
        <v>1</v>
      </c>
      <c r="M36" s="163" t="str">
        <f>CONCATENATE(H36," ",F36,"*",I36,"/",K36,"чел.")</f>
        <v>73217,02 м2*0,00354776/107чел.</v>
      </c>
      <c r="N36" s="164">
        <f>Лист1!E23+0.00007</f>
        <v>3335.1026185604301</v>
      </c>
      <c r="O36" s="165">
        <f>MROUND(G36*N36,0.0000000001)</f>
        <v>8096.3953218519</v>
      </c>
      <c r="P36" s="166"/>
      <c r="Q36" s="166">
        <f t="shared" si="0"/>
        <v>866314.29943815328</v>
      </c>
      <c r="R36" s="71"/>
    </row>
    <row r="37" spans="1:18" s="61" customFormat="1" x14ac:dyDescent="0.25">
      <c r="A37" s="358"/>
      <c r="B37" s="361"/>
      <c r="C37" s="221"/>
      <c r="D37" s="231" t="s">
        <v>49</v>
      </c>
      <c r="E37" s="231" t="s">
        <v>28</v>
      </c>
      <c r="F37" s="231" t="s">
        <v>28</v>
      </c>
      <c r="G37" s="157">
        <f>MROUND(H37*L37*I37/K37,0.000000000001)</f>
        <v>0.137600037383</v>
      </c>
      <c r="H37" s="160">
        <f>Лист1!C25</f>
        <v>4150</v>
      </c>
      <c r="I37" s="159">
        <f>I36</f>
        <v>3.5477600000000001E-3</v>
      </c>
      <c r="J37" s="160"/>
      <c r="K37" s="161">
        <f>K36</f>
        <v>107</v>
      </c>
      <c r="L37" s="162">
        <v>1</v>
      </c>
      <c r="M37" s="163" t="str">
        <f>CONCATENATE(H37," ",F37,"*",I37,"/",K37,"чел.")</f>
        <v>4150 шт*0,00354776/107чел.</v>
      </c>
      <c r="N37" s="164">
        <f>Лист1!E25+0.0015</f>
        <v>71617.619331325302</v>
      </c>
      <c r="O37" s="165">
        <f>MROUND(G37*N37,0.0000000001)</f>
        <v>9854.5870972718003</v>
      </c>
      <c r="P37" s="166"/>
      <c r="Q37" s="166">
        <f t="shared" si="0"/>
        <v>1054440.8194080826</v>
      </c>
      <c r="R37" s="71"/>
    </row>
    <row r="38" spans="1:18" s="61" customFormat="1" x14ac:dyDescent="0.25">
      <c r="A38" s="358"/>
      <c r="B38" s="361"/>
      <c r="C38" s="221"/>
      <c r="D38" s="231" t="s">
        <v>49</v>
      </c>
      <c r="E38" s="231" t="s">
        <v>101</v>
      </c>
      <c r="F38" s="231" t="s">
        <v>101</v>
      </c>
      <c r="G38" s="157">
        <f>MROUND(H38*L38*I38/K38,0.000000001)</f>
        <v>0.47327781500000005</v>
      </c>
      <c r="H38" s="160">
        <f>Лист1!C24</f>
        <v>14274</v>
      </c>
      <c r="I38" s="159">
        <f>I37</f>
        <v>3.5477600000000001E-3</v>
      </c>
      <c r="J38" s="160"/>
      <c r="K38" s="161">
        <f>K37</f>
        <v>107</v>
      </c>
      <c r="L38" s="162">
        <v>1</v>
      </c>
      <c r="M38" s="163" t="str">
        <f>CONCATENATE(H38," ",F38,"*",I38,"/",K38,"чел.")</f>
        <v>14274 погон.м.*0,00354776/107чел.</v>
      </c>
      <c r="N38" s="164">
        <f>Лист1!E24</f>
        <v>2694.7750315258509</v>
      </c>
      <c r="O38" s="165">
        <f>MROUND(G38*N38,0.00000001)</f>
        <v>1275.37723884</v>
      </c>
      <c r="P38" s="166"/>
      <c r="Q38" s="166">
        <f t="shared" si="0"/>
        <v>136465.36455587999</v>
      </c>
      <c r="R38" s="71"/>
    </row>
    <row r="39" spans="1:18" s="61" customFormat="1" x14ac:dyDescent="0.25">
      <c r="A39" s="358"/>
      <c r="B39" s="361"/>
      <c r="C39" s="218" t="s">
        <v>291</v>
      </c>
      <c r="D39" s="232"/>
      <c r="E39" s="232"/>
      <c r="F39" s="232"/>
      <c r="G39" s="227"/>
      <c r="H39" s="228"/>
      <c r="I39" s="206"/>
      <c r="J39" s="228"/>
      <c r="K39" s="207"/>
      <c r="L39" s="229"/>
      <c r="M39" s="209"/>
      <c r="N39" s="210"/>
      <c r="O39" s="198">
        <f>SUM(O36:O38)</f>
        <v>19226.359657963698</v>
      </c>
      <c r="P39" s="166"/>
      <c r="Q39" s="166"/>
      <c r="R39" s="71"/>
    </row>
    <row r="40" spans="1:18" s="61" customFormat="1" x14ac:dyDescent="0.25">
      <c r="A40" s="358"/>
      <c r="B40" s="361"/>
      <c r="C40" s="221" t="s">
        <v>77</v>
      </c>
      <c r="D40" s="231"/>
      <c r="E40" s="231"/>
      <c r="F40" s="231"/>
      <c r="G40" s="233">
        <f>MROUND(H40*L40*I40/K40,0.00000000001)</f>
        <v>0</v>
      </c>
      <c r="H40" s="160"/>
      <c r="I40" s="159">
        <f>I38</f>
        <v>3.5477600000000001E-3</v>
      </c>
      <c r="J40" s="160"/>
      <c r="K40" s="161">
        <f>K38</f>
        <v>107</v>
      </c>
      <c r="L40" s="162"/>
      <c r="M40" s="163"/>
      <c r="N40" s="164"/>
      <c r="O40" s="165">
        <f>MROUND(G40*N40,0.000000001)</f>
        <v>0</v>
      </c>
      <c r="P40" s="166"/>
      <c r="Q40" s="166">
        <f t="shared" si="0"/>
        <v>0</v>
      </c>
      <c r="R40" s="71"/>
    </row>
    <row r="41" spans="1:18" s="61" customFormat="1" x14ac:dyDescent="0.25">
      <c r="A41" s="358"/>
      <c r="B41" s="361"/>
      <c r="C41" s="218" t="s">
        <v>292</v>
      </c>
      <c r="D41" s="232"/>
      <c r="E41" s="232"/>
      <c r="F41" s="232"/>
      <c r="G41" s="227"/>
      <c r="H41" s="228"/>
      <c r="I41" s="206"/>
      <c r="J41" s="228"/>
      <c r="K41" s="207"/>
      <c r="L41" s="229"/>
      <c r="M41" s="209"/>
      <c r="N41" s="210"/>
      <c r="O41" s="198">
        <f>O40</f>
        <v>0</v>
      </c>
      <c r="P41" s="166"/>
      <c r="Q41" s="166"/>
      <c r="R41" s="71"/>
    </row>
    <row r="42" spans="1:18" s="61" customFormat="1" ht="51" customHeight="1" x14ac:dyDescent="0.25">
      <c r="A42" s="358"/>
      <c r="B42" s="361"/>
      <c r="C42" s="221"/>
      <c r="D42" s="350" t="s">
        <v>372</v>
      </c>
      <c r="E42" s="350"/>
      <c r="F42" s="350"/>
      <c r="G42" s="350"/>
      <c r="H42" s="195"/>
      <c r="I42" s="159"/>
      <c r="J42" s="195"/>
      <c r="K42" s="161"/>
      <c r="L42" s="234"/>
      <c r="M42" s="230"/>
      <c r="N42" s="164"/>
      <c r="O42" s="165">
        <f t="shared" ref="O42:O49" si="5">MROUND(G42*N42,0.000001)</f>
        <v>0</v>
      </c>
      <c r="P42" s="166"/>
      <c r="Q42" s="166"/>
      <c r="R42" s="71"/>
    </row>
    <row r="43" spans="1:18" s="61" customFormat="1" x14ac:dyDescent="0.25">
      <c r="A43" s="358"/>
      <c r="B43" s="361"/>
      <c r="C43" s="221"/>
      <c r="D43" s="194"/>
      <c r="E43" s="194"/>
      <c r="F43" s="194"/>
      <c r="G43" s="217"/>
      <c r="H43" s="195"/>
      <c r="I43" s="159"/>
      <c r="J43" s="195"/>
      <c r="K43" s="161"/>
      <c r="L43" s="234"/>
      <c r="M43" s="230"/>
      <c r="N43" s="164"/>
      <c r="O43" s="165">
        <f t="shared" si="5"/>
        <v>0</v>
      </c>
      <c r="P43" s="166"/>
      <c r="Q43" s="166"/>
      <c r="R43" s="71"/>
    </row>
    <row r="44" spans="1:18" s="61" customFormat="1" x14ac:dyDescent="0.25">
      <c r="A44" s="358"/>
      <c r="B44" s="361"/>
      <c r="C44" s="218" t="s">
        <v>357</v>
      </c>
      <c r="D44" s="377" t="s">
        <v>66</v>
      </c>
      <c r="E44" s="377"/>
      <c r="F44" s="377"/>
      <c r="G44" s="377"/>
      <c r="H44" s="195"/>
      <c r="I44" s="159"/>
      <c r="J44" s="195"/>
      <c r="K44" s="161"/>
      <c r="L44" s="234"/>
      <c r="M44" s="230"/>
      <c r="N44" s="164"/>
      <c r="O44" s="198">
        <f>O45</f>
        <v>5.9970330000000001</v>
      </c>
      <c r="P44" s="166"/>
      <c r="Q44" s="166"/>
      <c r="R44" s="71"/>
    </row>
    <row r="45" spans="1:18" s="61" customFormat="1" ht="47.25" x14ac:dyDescent="0.25">
      <c r="A45" s="358"/>
      <c r="B45" s="361"/>
      <c r="C45" s="221"/>
      <c r="D45" s="222" t="s">
        <v>374</v>
      </c>
      <c r="E45" s="194" t="s">
        <v>28</v>
      </c>
      <c r="F45" s="194" t="s">
        <v>28</v>
      </c>
      <c r="G45" s="217">
        <f>MROUND(H45*L45*I45/K45,0.000000001)</f>
        <v>4.7745560000000001E-3</v>
      </c>
      <c r="H45" s="201">
        <f>Лист1!C10</f>
        <v>36</v>
      </c>
      <c r="I45" s="159">
        <f>I40</f>
        <v>3.5477600000000001E-3</v>
      </c>
      <c r="J45" s="195"/>
      <c r="K45" s="161">
        <f>K40</f>
        <v>107</v>
      </c>
      <c r="L45" s="235">
        <f>Лист1!D10</f>
        <v>4</v>
      </c>
      <c r="M45" s="163" t="str">
        <f>CONCATENATE(H45," ",F45,"*",I45,"/",K45,"чел.")</f>
        <v>36 шт*0,00354776/107чел.</v>
      </c>
      <c r="N45" s="164">
        <f>Лист1!E10</f>
        <v>1256.0400000000006</v>
      </c>
      <c r="O45" s="165">
        <f t="shared" si="5"/>
        <v>5.9970330000000001</v>
      </c>
      <c r="P45" s="166"/>
      <c r="Q45" s="166">
        <f t="shared" si="0"/>
        <v>641.68253100000004</v>
      </c>
      <c r="R45" s="71"/>
    </row>
    <row r="46" spans="1:18" s="61" customFormat="1" x14ac:dyDescent="0.25">
      <c r="A46" s="358"/>
      <c r="B46" s="361"/>
      <c r="C46" s="221"/>
      <c r="D46" s="368" t="s">
        <v>67</v>
      </c>
      <c r="E46" s="368"/>
      <c r="F46" s="368"/>
      <c r="G46" s="368"/>
      <c r="H46" s="195"/>
      <c r="I46" s="159"/>
      <c r="J46" s="195"/>
      <c r="K46" s="161"/>
      <c r="L46" s="234"/>
      <c r="M46" s="230"/>
      <c r="N46" s="164"/>
      <c r="O46" s="165">
        <f t="shared" si="5"/>
        <v>0</v>
      </c>
      <c r="P46" s="166"/>
      <c r="Q46" s="166"/>
      <c r="R46" s="71"/>
    </row>
    <row r="47" spans="1:18" s="61" customFormat="1" x14ac:dyDescent="0.25">
      <c r="A47" s="358"/>
      <c r="B47" s="361"/>
      <c r="C47" s="221"/>
      <c r="D47" s="194"/>
      <c r="E47" s="194"/>
      <c r="F47" s="194"/>
      <c r="G47" s="217"/>
      <c r="H47" s="195"/>
      <c r="I47" s="159"/>
      <c r="J47" s="195"/>
      <c r="K47" s="161"/>
      <c r="L47" s="234"/>
      <c r="M47" s="230"/>
      <c r="N47" s="164"/>
      <c r="O47" s="165">
        <f t="shared" si="5"/>
        <v>0</v>
      </c>
      <c r="P47" s="166"/>
      <c r="Q47" s="166"/>
      <c r="R47" s="71"/>
    </row>
    <row r="48" spans="1:18" s="61" customFormat="1" x14ac:dyDescent="0.25">
      <c r="A48" s="358"/>
      <c r="B48" s="361"/>
      <c r="C48" s="221"/>
      <c r="D48" s="350" t="s">
        <v>68</v>
      </c>
      <c r="E48" s="350"/>
      <c r="F48" s="350"/>
      <c r="G48" s="350"/>
      <c r="H48" s="195"/>
      <c r="I48" s="159"/>
      <c r="J48" s="195"/>
      <c r="K48" s="161"/>
      <c r="L48" s="234"/>
      <c r="M48" s="230"/>
      <c r="N48" s="164"/>
      <c r="O48" s="165">
        <f t="shared" si="5"/>
        <v>0</v>
      </c>
      <c r="P48" s="166"/>
      <c r="Q48" s="166"/>
      <c r="R48" s="71"/>
    </row>
    <row r="49" spans="1:41" s="61" customFormat="1" x14ac:dyDescent="0.25">
      <c r="A49" s="358"/>
      <c r="B49" s="361"/>
      <c r="C49" s="221"/>
      <c r="D49" s="156"/>
      <c r="E49" s="156"/>
      <c r="F49" s="156"/>
      <c r="G49" s="236"/>
      <c r="H49" s="195"/>
      <c r="I49" s="159"/>
      <c r="J49" s="195"/>
      <c r="K49" s="161"/>
      <c r="L49" s="234"/>
      <c r="M49" s="230"/>
      <c r="N49" s="164"/>
      <c r="O49" s="165">
        <f t="shared" si="5"/>
        <v>0</v>
      </c>
      <c r="P49" s="166"/>
      <c r="Q49" s="166"/>
      <c r="R49" s="71"/>
    </row>
    <row r="50" spans="1:41" s="61" customFormat="1" x14ac:dyDescent="0.25">
      <c r="A50" s="358"/>
      <c r="B50" s="361"/>
      <c r="C50" s="221"/>
      <c r="D50" s="368" t="s">
        <v>69</v>
      </c>
      <c r="E50" s="368"/>
      <c r="F50" s="368"/>
      <c r="G50" s="368"/>
      <c r="H50" s="187"/>
      <c r="I50" s="159"/>
      <c r="J50" s="187"/>
      <c r="K50" s="161"/>
      <c r="L50" s="237"/>
      <c r="M50" s="230"/>
      <c r="N50" s="164"/>
      <c r="O50" s="198">
        <f>O52+O59+O76+O78+O93+O95+O97+O122+O124+O129+O126</f>
        <v>2207.0667873300004</v>
      </c>
      <c r="P50" s="166"/>
      <c r="Q50" s="166"/>
      <c r="R50" s="71"/>
    </row>
    <row r="51" spans="1:41" s="61" customFormat="1" x14ac:dyDescent="0.25">
      <c r="A51" s="358"/>
      <c r="B51" s="361"/>
      <c r="C51" s="221">
        <v>224</v>
      </c>
      <c r="D51" s="156" t="s">
        <v>21</v>
      </c>
      <c r="E51" s="156" t="s">
        <v>22</v>
      </c>
      <c r="F51" s="156" t="s">
        <v>22</v>
      </c>
      <c r="G51" s="238">
        <f>MROUND(H51*L51*I51/K51,0.000000001)</f>
        <v>0</v>
      </c>
      <c r="H51" s="158"/>
      <c r="I51" s="159">
        <f>I45</f>
        <v>3.5477600000000001E-3</v>
      </c>
      <c r="J51" s="160"/>
      <c r="K51" s="161">
        <f>K45</f>
        <v>107</v>
      </c>
      <c r="L51" s="162"/>
      <c r="M51" s="163"/>
      <c r="N51" s="164"/>
      <c r="O51" s="165">
        <f>MROUND(G51*N51,0.000000001)</f>
        <v>0</v>
      </c>
      <c r="P51" s="166"/>
      <c r="Q51" s="166">
        <f t="shared" si="0"/>
        <v>0</v>
      </c>
      <c r="R51" s="71"/>
    </row>
    <row r="52" spans="1:41" s="61" customFormat="1" x14ac:dyDescent="0.25">
      <c r="A52" s="358"/>
      <c r="B52" s="361"/>
      <c r="C52" s="239" t="s">
        <v>293</v>
      </c>
      <c r="D52" s="240"/>
      <c r="E52" s="240"/>
      <c r="F52" s="240"/>
      <c r="G52" s="227"/>
      <c r="H52" s="241"/>
      <c r="I52" s="206"/>
      <c r="J52" s="228"/>
      <c r="K52" s="207"/>
      <c r="L52" s="229"/>
      <c r="M52" s="209"/>
      <c r="N52" s="210"/>
      <c r="O52" s="198">
        <f>SUM(O51)</f>
        <v>0</v>
      </c>
      <c r="P52" s="166"/>
      <c r="Q52" s="166"/>
      <c r="R52" s="71"/>
    </row>
    <row r="53" spans="1:41" s="61" customFormat="1" ht="31.5" x14ac:dyDescent="0.25">
      <c r="A53" s="358"/>
      <c r="B53" s="361"/>
      <c r="C53" s="364" t="s">
        <v>78</v>
      </c>
      <c r="D53" s="156" t="s">
        <v>26</v>
      </c>
      <c r="E53" s="156" t="s">
        <v>22</v>
      </c>
      <c r="F53" s="156" t="s">
        <v>22</v>
      </c>
      <c r="G53" s="238">
        <f>MROUND(H53*L53*I53/K53,0.000001)</f>
        <v>10.28121</v>
      </c>
      <c r="H53" s="158">
        <f>Лист1!C27</f>
        <v>25840</v>
      </c>
      <c r="I53" s="159">
        <f>I51</f>
        <v>3.5477600000000001E-3</v>
      </c>
      <c r="J53" s="160"/>
      <c r="K53" s="161">
        <f>K51</f>
        <v>107</v>
      </c>
      <c r="L53" s="162">
        <v>12</v>
      </c>
      <c r="M53" s="163" t="str">
        <f>CONCATENATE(H53," ",F53,"(обрабатываемая площадь в мес.)","*",L53,"мес.","*",I53,"/",K53,"чел.")</f>
        <v>25840 м2(обрабатываемая площадь в мес.)*12мес.*0,00354776/107чел.</v>
      </c>
      <c r="N53" s="164">
        <f>Лист1!E27</f>
        <v>1.1553999935500519</v>
      </c>
      <c r="O53" s="165">
        <f t="shared" ref="O53:O58" si="6">MROUND(G53*N53,0.000001)</f>
        <v>11.878909999999999</v>
      </c>
      <c r="P53" s="166"/>
      <c r="Q53" s="166">
        <f t="shared" si="0"/>
        <v>1271.0433699999999</v>
      </c>
      <c r="R53" s="71"/>
    </row>
    <row r="54" spans="1:41" s="61" customFormat="1" ht="31.5" x14ac:dyDescent="0.25">
      <c r="A54" s="358"/>
      <c r="B54" s="361"/>
      <c r="C54" s="364"/>
      <c r="D54" s="156" t="s">
        <v>96</v>
      </c>
      <c r="E54" s="156" t="s">
        <v>22</v>
      </c>
      <c r="F54" s="156" t="s">
        <v>22</v>
      </c>
      <c r="G54" s="238">
        <f>MROUND(H54*L54*I54/K54,0.000001)</f>
        <v>5.3216399999999995</v>
      </c>
      <c r="H54" s="158">
        <f>Лист1!C28</f>
        <v>13375</v>
      </c>
      <c r="I54" s="159">
        <f>I53</f>
        <v>3.5477600000000001E-3</v>
      </c>
      <c r="J54" s="160"/>
      <c r="K54" s="161">
        <f>K53</f>
        <v>107</v>
      </c>
      <c r="L54" s="162">
        <v>12</v>
      </c>
      <c r="M54" s="163" t="str">
        <f>CONCATENATE(H54," ",F54,"(обрабатываемая площадь в мес.)","*",L54,"мес.","*",I54,"/",K54,"чел.")</f>
        <v>13375 м2(обрабатываемая площадь в мес.)*12мес.*0,00354776/107чел.</v>
      </c>
      <c r="N54" s="164">
        <f>Лист1!E28</f>
        <v>1.8530000000000004</v>
      </c>
      <c r="O54" s="165">
        <f t="shared" si="6"/>
        <v>9.8609989999999996</v>
      </c>
      <c r="P54" s="166"/>
      <c r="Q54" s="166">
        <f t="shared" si="0"/>
        <v>1055.1268929999999</v>
      </c>
      <c r="R54" s="71"/>
    </row>
    <row r="55" spans="1:41" s="135" customFormat="1" ht="31.5" x14ac:dyDescent="0.25">
      <c r="A55" s="358"/>
      <c r="B55" s="361"/>
      <c r="C55" s="364"/>
      <c r="D55" s="156" t="s">
        <v>385</v>
      </c>
      <c r="E55" s="156" t="s">
        <v>22</v>
      </c>
      <c r="F55" s="156" t="s">
        <v>22</v>
      </c>
      <c r="G55" s="238">
        <f>MROUND(H55*L55*I55/K55,0.000001)</f>
        <v>10.643279999999999</v>
      </c>
      <c r="H55" s="242">
        <f>Лист1!C29</f>
        <v>13375</v>
      </c>
      <c r="I55" s="159">
        <f>I54</f>
        <v>3.5477600000000001E-3</v>
      </c>
      <c r="J55" s="160"/>
      <c r="K55" s="161">
        <f>K54</f>
        <v>107</v>
      </c>
      <c r="L55" s="162">
        <v>24</v>
      </c>
      <c r="M55" s="163" t="str">
        <f>CONCATENATE(H55," ",F55,"(обрабатываемая площадь в год)","*",L55," раза в год.","*",I55,"/",K55,"чел.")</f>
        <v>13375 м2(обрабатываемая площадь в год)*24 раза в год.*0,00354776/107чел.</v>
      </c>
      <c r="N55" s="164">
        <f>Лист1!E29</f>
        <v>2.2889999999999993</v>
      </c>
      <c r="O55" s="165">
        <f t="shared" si="6"/>
        <v>24.362468</v>
      </c>
      <c r="P55" s="166"/>
      <c r="Q55" s="166">
        <f t="shared" si="0"/>
        <v>2606.7840759999999</v>
      </c>
      <c r="R55" s="71"/>
      <c r="S55" s="61"/>
      <c r="T55" s="61"/>
      <c r="U55" s="61"/>
      <c r="V55" s="61"/>
      <c r="W55" s="61"/>
      <c r="X55" s="61"/>
      <c r="Y55" s="61"/>
      <c r="Z55" s="61"/>
      <c r="AA55" s="61"/>
      <c r="AB55" s="61"/>
      <c r="AC55" s="61"/>
      <c r="AD55" s="61"/>
      <c r="AE55" s="61"/>
      <c r="AF55" s="61"/>
      <c r="AG55" s="61"/>
      <c r="AH55" s="61"/>
      <c r="AI55" s="61"/>
      <c r="AJ55" s="61"/>
      <c r="AK55" s="61"/>
      <c r="AL55" s="61"/>
      <c r="AM55" s="61"/>
      <c r="AN55" s="61"/>
      <c r="AO55" s="61"/>
    </row>
    <row r="56" spans="1:41" s="135" customFormat="1" ht="31.5" x14ac:dyDescent="0.25">
      <c r="A56" s="358"/>
      <c r="B56" s="361"/>
      <c r="C56" s="364"/>
      <c r="D56" s="156" t="s">
        <v>394</v>
      </c>
      <c r="E56" s="156" t="s">
        <v>22</v>
      </c>
      <c r="F56" s="156" t="s">
        <v>22</v>
      </c>
      <c r="G56" s="238">
        <f>MROUND(H56*L56*I56/K56,0.000001)</f>
        <v>10.28121</v>
      </c>
      <c r="H56" s="243">
        <f>Лист1!C30</f>
        <v>25840</v>
      </c>
      <c r="I56" s="159">
        <f>I55</f>
        <v>3.5477600000000001E-3</v>
      </c>
      <c r="J56" s="160"/>
      <c r="K56" s="161">
        <f>K55</f>
        <v>107</v>
      </c>
      <c r="L56" s="162">
        <v>12</v>
      </c>
      <c r="M56" s="163" t="str">
        <f>CONCATENATE(H56," ",F56,"(обрабатываемая площадь в мес.)","*",L56,"мес.","*",I56,"/",K56,"чел.")</f>
        <v>25840 м2(обрабатываемая площадь в мес.)*12мес.*0,00354776/107чел.</v>
      </c>
      <c r="N56" s="164">
        <f>Лист1!E30</f>
        <v>0.54499999999999993</v>
      </c>
      <c r="O56" s="165">
        <f t="shared" si="6"/>
        <v>5.6032589999999995</v>
      </c>
      <c r="P56" s="166"/>
      <c r="Q56" s="166">
        <f t="shared" si="0"/>
        <v>599.54871299999991</v>
      </c>
      <c r="R56" s="71"/>
      <c r="S56" s="61"/>
      <c r="T56" s="61"/>
      <c r="U56" s="61"/>
      <c r="V56" s="61"/>
      <c r="W56" s="61"/>
      <c r="X56" s="61"/>
      <c r="Y56" s="61"/>
      <c r="Z56" s="61"/>
      <c r="AA56" s="61"/>
      <c r="AB56" s="61"/>
      <c r="AC56" s="61"/>
      <c r="AD56" s="61"/>
      <c r="AE56" s="61"/>
      <c r="AF56" s="61"/>
      <c r="AG56" s="61"/>
      <c r="AH56" s="61"/>
      <c r="AI56" s="61"/>
      <c r="AJ56" s="61"/>
      <c r="AK56" s="61"/>
      <c r="AL56" s="61"/>
      <c r="AM56" s="61"/>
      <c r="AN56" s="61"/>
      <c r="AO56" s="61"/>
    </row>
    <row r="57" spans="1:41" s="135" customFormat="1" ht="31.5" x14ac:dyDescent="0.25">
      <c r="A57" s="358"/>
      <c r="B57" s="361"/>
      <c r="C57" s="364"/>
      <c r="D57" s="156" t="s">
        <v>395</v>
      </c>
      <c r="E57" s="156" t="s">
        <v>98</v>
      </c>
      <c r="F57" s="156" t="s">
        <v>98</v>
      </c>
      <c r="G57" s="238">
        <f>MROUND(H57*L57*I57/K57,0.00000001)</f>
        <v>6.2799000000000004E-4</v>
      </c>
      <c r="H57" s="242">
        <f>Лист1!C32</f>
        <v>18.939999999999998</v>
      </c>
      <c r="I57" s="159">
        <f>I56</f>
        <v>3.5477600000000001E-3</v>
      </c>
      <c r="J57" s="160"/>
      <c r="K57" s="161">
        <f>K53</f>
        <v>107</v>
      </c>
      <c r="L57" s="162">
        <v>1</v>
      </c>
      <c r="M57" s="163" t="str">
        <f>CONCATENATE(H57," ",F57,"(обрабатываемая площадь в год)","*",L57," раз в год","*",I57,"/",K57,"чел.")</f>
        <v>18,94 Га(обрабатываемая площадь в год)*1 раз в год*0,00354776/107чел.</v>
      </c>
      <c r="N57" s="164">
        <f>Лист1!E32</f>
        <v>545</v>
      </c>
      <c r="O57" s="165">
        <f t="shared" si="6"/>
        <v>0.34225499999999998</v>
      </c>
      <c r="P57" s="166"/>
      <c r="Q57" s="166">
        <f t="shared" si="0"/>
        <v>36.621285</v>
      </c>
      <c r="R57" s="71"/>
      <c r="S57" s="61"/>
      <c r="T57" s="61"/>
      <c r="U57" s="61"/>
      <c r="V57" s="61"/>
      <c r="W57" s="61"/>
      <c r="X57" s="61"/>
      <c r="Y57" s="61"/>
      <c r="Z57" s="61"/>
      <c r="AA57" s="61"/>
      <c r="AB57" s="61"/>
      <c r="AC57" s="61"/>
      <c r="AD57" s="61"/>
      <c r="AE57" s="61"/>
      <c r="AF57" s="61"/>
      <c r="AG57" s="61"/>
      <c r="AH57" s="61"/>
      <c r="AI57" s="61"/>
      <c r="AJ57" s="61"/>
      <c r="AK57" s="61"/>
      <c r="AL57" s="61"/>
      <c r="AM57" s="61"/>
      <c r="AN57" s="61"/>
      <c r="AO57" s="61"/>
    </row>
    <row r="58" spans="1:41" s="61" customFormat="1" ht="31.5" x14ac:dyDescent="0.25">
      <c r="A58" s="358"/>
      <c r="B58" s="361"/>
      <c r="C58" s="364"/>
      <c r="D58" s="156" t="s">
        <v>97</v>
      </c>
      <c r="E58" s="156" t="s">
        <v>98</v>
      </c>
      <c r="F58" s="156" t="s">
        <v>98</v>
      </c>
      <c r="G58" s="238">
        <f>MROUND(H58*L58*I58/K58,0.0000000001)</f>
        <v>6.279867E-4</v>
      </c>
      <c r="H58" s="242">
        <f>Лист1!C31</f>
        <v>18.939999999999998</v>
      </c>
      <c r="I58" s="244">
        <f>I54</f>
        <v>3.5477600000000001E-3</v>
      </c>
      <c r="J58" s="160"/>
      <c r="K58" s="161">
        <f>K54</f>
        <v>107</v>
      </c>
      <c r="L58" s="162">
        <v>1</v>
      </c>
      <c r="M58" s="163" t="str">
        <f>CONCATENATE(H58," ",F58,"(обрабатываемая площадь в год)","*",L58," раз в год","*",I58,"/",K58,"чел.")</f>
        <v>18,94 Га(обрабатываемая площадь в год)*1 раз в год*0,00354776/107чел.</v>
      </c>
      <c r="N58" s="164">
        <f>Лист1!E31</f>
        <v>2965.979936642027</v>
      </c>
      <c r="O58" s="165">
        <f t="shared" si="6"/>
        <v>1.8625959999999999</v>
      </c>
      <c r="P58" s="166"/>
      <c r="Q58" s="166">
        <f t="shared" si="0"/>
        <v>199.29777199999998</v>
      </c>
      <c r="R58" s="71"/>
    </row>
    <row r="59" spans="1:41" s="61" customFormat="1" x14ac:dyDescent="0.25">
      <c r="A59" s="358"/>
      <c r="B59" s="361"/>
      <c r="C59" s="245" t="s">
        <v>294</v>
      </c>
      <c r="D59" s="240"/>
      <c r="E59" s="240"/>
      <c r="F59" s="240"/>
      <c r="G59" s="227"/>
      <c r="H59" s="241"/>
      <c r="I59" s="206"/>
      <c r="J59" s="228"/>
      <c r="K59" s="207"/>
      <c r="L59" s="229"/>
      <c r="M59" s="209"/>
      <c r="N59" s="210"/>
      <c r="O59" s="198">
        <f>SUM(O53:O58)</f>
        <v>53.910487000000003</v>
      </c>
      <c r="P59" s="166"/>
      <c r="Q59" s="166"/>
      <c r="R59" s="71"/>
    </row>
    <row r="60" spans="1:41" s="61" customFormat="1" ht="63" x14ac:dyDescent="0.25">
      <c r="A60" s="358"/>
      <c r="B60" s="361"/>
      <c r="C60" s="365" t="s">
        <v>77</v>
      </c>
      <c r="D60" s="156" t="s">
        <v>29</v>
      </c>
      <c r="E60" s="156" t="s">
        <v>58</v>
      </c>
      <c r="F60" s="156" t="s">
        <v>218</v>
      </c>
      <c r="G60" s="157">
        <f>MROUND(H60*L60*I60/K60,0.000000001)</f>
        <v>1.9893980000000003E-3</v>
      </c>
      <c r="H60" s="158">
        <v>15</v>
      </c>
      <c r="I60" s="159">
        <f>I58</f>
        <v>3.5477600000000001E-3</v>
      </c>
      <c r="J60" s="160"/>
      <c r="K60" s="161">
        <f>K58</f>
        <v>107</v>
      </c>
      <c r="L60" s="162">
        <v>4</v>
      </c>
      <c r="M60" s="163" t="str">
        <f>CONCATENATE(H60," ",F60,"*",L60," раза в год","*",I60,"/",K60,"чел.")</f>
        <v>15 установок*4 раза в год*0,00354776/107чел.</v>
      </c>
      <c r="N60" s="164">
        <f>Лист1!E34</f>
        <v>721.75483333333329</v>
      </c>
      <c r="O60" s="165">
        <f>MROUND(G60*N60,0.000001)</f>
        <v>1.4358579999999999</v>
      </c>
      <c r="P60" s="166"/>
      <c r="Q60" s="166">
        <f t="shared" si="0"/>
        <v>153.63680599999998</v>
      </c>
      <c r="R60" s="71"/>
    </row>
    <row r="61" spans="1:41" s="61" customFormat="1" ht="47.25" x14ac:dyDescent="0.25">
      <c r="A61" s="358"/>
      <c r="B61" s="361"/>
      <c r="C61" s="366"/>
      <c r="D61" s="156" t="s">
        <v>30</v>
      </c>
      <c r="E61" s="156" t="s">
        <v>58</v>
      </c>
      <c r="F61" s="156" t="s">
        <v>218</v>
      </c>
      <c r="G61" s="157">
        <f>MROUND(H61*L61*I61/K61,0.000000001)</f>
        <v>9.9469900000000015E-4</v>
      </c>
      <c r="H61" s="158">
        <v>15</v>
      </c>
      <c r="I61" s="159">
        <f t="shared" ref="I61:I69" si="7">I60</f>
        <v>3.5477600000000001E-3</v>
      </c>
      <c r="J61" s="160"/>
      <c r="K61" s="161">
        <f t="shared" ref="K61:K69" si="8">K60</f>
        <v>107</v>
      </c>
      <c r="L61" s="162">
        <v>2</v>
      </c>
      <c r="M61" s="163" t="str">
        <f>CONCATENATE(H61," ",F61,"*",L61,"полуг.","*",I61,"/",K61,"чел.")</f>
        <v>15 установок*2полуг.*0,00354776/107чел.</v>
      </c>
      <c r="N61" s="164">
        <f>Лист1!E35</f>
        <v>721.75266666666664</v>
      </c>
      <c r="O61" s="165">
        <f>MROUND(G61*N61,0.000001)</f>
        <v>0.71792699999999998</v>
      </c>
      <c r="P61" s="166"/>
      <c r="Q61" s="166">
        <f t="shared" si="0"/>
        <v>76.818189000000004</v>
      </c>
      <c r="R61" s="71"/>
    </row>
    <row r="62" spans="1:41" s="61" customFormat="1" ht="31.5" x14ac:dyDescent="0.25">
      <c r="A62" s="358"/>
      <c r="B62" s="361"/>
      <c r="C62" s="366"/>
      <c r="D62" s="156" t="s">
        <v>397</v>
      </c>
      <c r="E62" s="156" t="s">
        <v>433</v>
      </c>
      <c r="F62" s="156" t="s">
        <v>433</v>
      </c>
      <c r="G62" s="157">
        <f>MROUND(H62*L62*I62/K62,0.000000001)</f>
        <v>1.9893981000000002E-2</v>
      </c>
      <c r="H62" s="158">
        <f>Лист1!C36</f>
        <v>600</v>
      </c>
      <c r="I62" s="159">
        <f t="shared" si="7"/>
        <v>3.5477600000000001E-3</v>
      </c>
      <c r="J62" s="160"/>
      <c r="K62" s="161">
        <f t="shared" si="8"/>
        <v>107</v>
      </c>
      <c r="L62" s="162">
        <v>1</v>
      </c>
      <c r="M62" s="163" t="str">
        <f>CONCATENATE(H62," ",F62,"(обрабатываемая площадь в год)","*",L62," раз в год","*",I62,"/",K62,"чел.")</f>
        <v>600 м2.(обрабатываемая площадь в год)*1 раз в год*0,00354776/107чел.</v>
      </c>
      <c r="N62" s="164">
        <f>Лист1!E36</f>
        <v>300</v>
      </c>
      <c r="O62" s="165">
        <f>MROUND(G62*N62,0.000001)</f>
        <v>5.9681939999999996</v>
      </c>
      <c r="P62" s="166"/>
      <c r="Q62" s="166">
        <f t="shared" si="0"/>
        <v>638.59675799999991</v>
      </c>
      <c r="R62" s="71"/>
    </row>
    <row r="63" spans="1:41" s="61" customFormat="1" ht="47.25" x14ac:dyDescent="0.25">
      <c r="A63" s="358"/>
      <c r="B63" s="361"/>
      <c r="C63" s="366"/>
      <c r="D63" s="156" t="s">
        <v>32</v>
      </c>
      <c r="E63" s="156" t="s">
        <v>55</v>
      </c>
      <c r="F63" s="156" t="s">
        <v>219</v>
      </c>
      <c r="G63" s="157">
        <f>MROUND(H63*L63*I63/K63,0.000000001)</f>
        <v>4.7745560000000001E-3</v>
      </c>
      <c r="H63" s="158">
        <f>Лист1!C37</f>
        <v>36</v>
      </c>
      <c r="I63" s="159">
        <f t="shared" si="7"/>
        <v>3.5477600000000001E-3</v>
      </c>
      <c r="J63" s="160"/>
      <c r="K63" s="161">
        <f t="shared" si="8"/>
        <v>107</v>
      </c>
      <c r="L63" s="162">
        <v>4</v>
      </c>
      <c r="M63" s="163" t="str">
        <f>CONCATENATE(H63," ",F63,"*",L63,"кв.","*",I63,"/",K63,"чел.")</f>
        <v>36 системы*4кв.*0,00354776/107чел.</v>
      </c>
      <c r="N63" s="164">
        <f>Лист1!E37</f>
        <v>6924.5277777777774</v>
      </c>
      <c r="O63" s="165">
        <f>MROUND(G63*N63,0.000001)</f>
        <v>33.061546</v>
      </c>
      <c r="P63" s="166"/>
      <c r="Q63" s="166">
        <f t="shared" si="0"/>
        <v>3537.5854220000001</v>
      </c>
      <c r="R63" s="71"/>
    </row>
    <row r="64" spans="1:41" s="61" customFormat="1" ht="63" x14ac:dyDescent="0.25">
      <c r="A64" s="358"/>
      <c r="B64" s="361"/>
      <c r="C64" s="366"/>
      <c r="D64" s="156" t="s">
        <v>33</v>
      </c>
      <c r="E64" s="156" t="s">
        <v>56</v>
      </c>
      <c r="F64" s="156" t="s">
        <v>220</v>
      </c>
      <c r="G64" s="157">
        <f>MROUND(H64*L64*I64/K64,0.000000001)</f>
        <v>1.193639E-3</v>
      </c>
      <c r="H64" s="158">
        <f>Лист1!C39</f>
        <v>36</v>
      </c>
      <c r="I64" s="159">
        <f t="shared" si="7"/>
        <v>3.5477600000000001E-3</v>
      </c>
      <c r="J64" s="160"/>
      <c r="K64" s="161">
        <f t="shared" si="8"/>
        <v>107</v>
      </c>
      <c r="L64" s="162">
        <v>1</v>
      </c>
      <c r="M64" s="163" t="str">
        <f>CONCATENATE(H64," ",F64,"*",L64," раз в год","*",I64,"/",K64,"чел.")</f>
        <v>36 дымоходов*1 раз в год*0,00354776/107чел.</v>
      </c>
      <c r="N64" s="164">
        <f>Лист1!E39</f>
        <v>6540</v>
      </c>
      <c r="O64" s="165">
        <f>MROUND(G64*N64,0.000001)</f>
        <v>7.8063989999999999</v>
      </c>
      <c r="P64" s="166"/>
      <c r="Q64" s="166">
        <f t="shared" si="0"/>
        <v>835.28469299999995</v>
      </c>
      <c r="R64" s="71"/>
    </row>
    <row r="65" spans="1:18" s="61" customFormat="1" x14ac:dyDescent="0.25">
      <c r="A65" s="358"/>
      <c r="B65" s="361"/>
      <c r="C65" s="366"/>
      <c r="D65" s="194" t="s">
        <v>398</v>
      </c>
      <c r="E65" s="156" t="s">
        <v>60</v>
      </c>
      <c r="F65" s="156" t="s">
        <v>60</v>
      </c>
      <c r="G65" s="157">
        <f t="shared" ref="G65:G75" si="9">MROUND(H65*L65*I65/K65,0.000000001)</f>
        <v>1.160482E-3</v>
      </c>
      <c r="H65" s="246">
        <f>Лист1!C40</f>
        <v>35</v>
      </c>
      <c r="I65" s="159">
        <f t="shared" si="7"/>
        <v>3.5477600000000001E-3</v>
      </c>
      <c r="J65" s="160"/>
      <c r="K65" s="161">
        <f t="shared" si="8"/>
        <v>107</v>
      </c>
      <c r="L65" s="162">
        <v>1</v>
      </c>
      <c r="M65" s="163" t="str">
        <f>CONCATENATE(H65," ",F65,"*",I65,"/",K65,"чел.")</f>
        <v>35 шт.*0,00354776/107чел.</v>
      </c>
      <c r="N65" s="164">
        <f>Лист1!E40</f>
        <v>11009</v>
      </c>
      <c r="O65" s="165">
        <f t="shared" ref="O65:O75" si="10">MROUND(G65*N65,0.000001)</f>
        <v>12.775746</v>
      </c>
      <c r="P65" s="166"/>
      <c r="Q65" s="166">
        <f t="shared" si="0"/>
        <v>1367.0048219999999</v>
      </c>
      <c r="R65" s="71"/>
    </row>
    <row r="66" spans="1:18" s="61" customFormat="1" ht="47.25" x14ac:dyDescent="0.25">
      <c r="A66" s="358"/>
      <c r="B66" s="361"/>
      <c r="C66" s="366"/>
      <c r="D66" s="156" t="s">
        <v>401</v>
      </c>
      <c r="E66" s="156" t="s">
        <v>60</v>
      </c>
      <c r="F66" s="156" t="s">
        <v>402</v>
      </c>
      <c r="G66" s="157">
        <f t="shared" si="9"/>
        <v>2.320964E-3</v>
      </c>
      <c r="H66" s="246">
        <f>Лист1!C41</f>
        <v>35</v>
      </c>
      <c r="I66" s="159">
        <f t="shared" si="7"/>
        <v>3.5477600000000001E-3</v>
      </c>
      <c r="J66" s="160"/>
      <c r="K66" s="161">
        <f t="shared" si="8"/>
        <v>107</v>
      </c>
      <c r="L66" s="162">
        <v>2</v>
      </c>
      <c r="M66" s="163" t="str">
        <f>CONCATENATE(H66," ",F66,"*",L66," раз в год","*",I66,"/",K66,"чел.")</f>
        <v>35 противопожарных водопроводов*2 раз в год*0,00354776/107чел.</v>
      </c>
      <c r="N66" s="164">
        <f>Лист1!E41</f>
        <v>5450</v>
      </c>
      <c r="O66" s="165">
        <f t="shared" si="10"/>
        <v>12.649253999999999</v>
      </c>
      <c r="P66" s="166"/>
      <c r="Q66" s="166">
        <f t="shared" si="0"/>
        <v>1353.4701779999998</v>
      </c>
      <c r="R66" s="71"/>
    </row>
    <row r="67" spans="1:18" s="61" customFormat="1" ht="31.5" x14ac:dyDescent="0.25">
      <c r="A67" s="358"/>
      <c r="B67" s="361"/>
      <c r="C67" s="366"/>
      <c r="D67" s="156" t="s">
        <v>221</v>
      </c>
      <c r="E67" s="156" t="s">
        <v>60</v>
      </c>
      <c r="F67" s="156" t="s">
        <v>60</v>
      </c>
      <c r="G67" s="157">
        <f>MROUND(H67*L67*I67/K67,0.00000000001)</f>
        <v>7.1618332699999992E-3</v>
      </c>
      <c r="H67" s="158">
        <f>Лист1!C42</f>
        <v>18</v>
      </c>
      <c r="I67" s="159">
        <f t="shared" si="7"/>
        <v>3.5477600000000001E-3</v>
      </c>
      <c r="J67" s="160"/>
      <c r="K67" s="161">
        <f t="shared" si="8"/>
        <v>107</v>
      </c>
      <c r="L67" s="247">
        <v>12</v>
      </c>
      <c r="M67" s="163" t="str">
        <f>CONCATENATE(H67," ",F67,"*",L67,"мес.","*",I67,"/",K67,"чел.")</f>
        <v>18 шт.*12мес.*0,00354776/107чел.</v>
      </c>
      <c r="N67" s="164">
        <f>Лист1!E42</f>
        <v>6288.0888888888885</v>
      </c>
      <c r="O67" s="165">
        <f>MROUND(G67*N67,0.000001)</f>
        <v>45.034244000000001</v>
      </c>
      <c r="P67" s="166"/>
      <c r="Q67" s="166">
        <f t="shared" si="0"/>
        <v>4818.6641079999999</v>
      </c>
      <c r="R67" s="71"/>
    </row>
    <row r="68" spans="1:18" s="61" customFormat="1" ht="47.25" x14ac:dyDescent="0.25">
      <c r="A68" s="358"/>
      <c r="B68" s="361"/>
      <c r="C68" s="366"/>
      <c r="D68" s="156" t="s">
        <v>34</v>
      </c>
      <c r="E68" s="156" t="s">
        <v>59</v>
      </c>
      <c r="F68" s="156" t="s">
        <v>28</v>
      </c>
      <c r="G68" s="157">
        <f>MROUND(H68*L68*I68/K68,0.000000000001)</f>
        <v>6.6313271000000002E-5</v>
      </c>
      <c r="H68" s="158">
        <f>Лист1!C43</f>
        <v>2</v>
      </c>
      <c r="I68" s="159">
        <f t="shared" si="7"/>
        <v>3.5477600000000001E-3</v>
      </c>
      <c r="J68" s="160"/>
      <c r="K68" s="161">
        <f t="shared" si="8"/>
        <v>107</v>
      </c>
      <c r="L68" s="162">
        <v>1</v>
      </c>
      <c r="M68" s="163" t="str">
        <f>CONCATENATE(H68," ",F68,"*",I68,"/",K68,"чел.")</f>
        <v>2 шт*0,00354776/107чел.</v>
      </c>
      <c r="N68" s="164">
        <f>Лист1!E43</f>
        <v>7500</v>
      </c>
      <c r="O68" s="165">
        <f t="shared" si="10"/>
        <v>0.49734999999999996</v>
      </c>
      <c r="P68" s="166"/>
      <c r="Q68" s="166">
        <f t="shared" si="0"/>
        <v>53.216449999999995</v>
      </c>
      <c r="R68" s="71"/>
    </row>
    <row r="69" spans="1:18" s="61" customFormat="1" ht="47.25" x14ac:dyDescent="0.25">
      <c r="A69" s="358"/>
      <c r="B69" s="361"/>
      <c r="C69" s="366"/>
      <c r="D69" s="156" t="s">
        <v>222</v>
      </c>
      <c r="E69" s="156" t="s">
        <v>60</v>
      </c>
      <c r="F69" s="156" t="s">
        <v>60</v>
      </c>
      <c r="G69" s="157">
        <f t="shared" si="9"/>
        <v>1.160482E-3</v>
      </c>
      <c r="H69" s="248">
        <f>Лист1!C44</f>
        <v>35</v>
      </c>
      <c r="I69" s="159">
        <f t="shared" si="7"/>
        <v>3.5477600000000001E-3</v>
      </c>
      <c r="J69" s="160"/>
      <c r="K69" s="161">
        <f t="shared" si="8"/>
        <v>107</v>
      </c>
      <c r="L69" s="162">
        <v>1</v>
      </c>
      <c r="M69" s="163" t="str">
        <f>CONCATENATE(H69," ",F69,"*",I69,"/",K69,"чел.")</f>
        <v>35 шт.*0,00354776/107чел.</v>
      </c>
      <c r="N69" s="164">
        <f>Лист1!E44</f>
        <v>8189.7714285714283</v>
      </c>
      <c r="O69" s="165">
        <f>MROUND(G69*N69,0.00000001)</f>
        <v>9.504082330000001</v>
      </c>
      <c r="P69" s="166"/>
      <c r="Q69" s="166">
        <f t="shared" si="0"/>
        <v>1016.9368093100001</v>
      </c>
      <c r="R69" s="71"/>
    </row>
    <row r="70" spans="1:18" s="61" customFormat="1" ht="31.5" x14ac:dyDescent="0.25">
      <c r="A70" s="358"/>
      <c r="B70" s="361"/>
      <c r="C70" s="366"/>
      <c r="D70" s="156" t="s">
        <v>35</v>
      </c>
      <c r="E70" s="156" t="s">
        <v>102</v>
      </c>
      <c r="F70" s="156" t="s">
        <v>223</v>
      </c>
      <c r="G70" s="157">
        <f t="shared" si="9"/>
        <v>1.160482E-3</v>
      </c>
      <c r="H70" s="158">
        <f>Лист1!C45</f>
        <v>35</v>
      </c>
      <c r="I70" s="159">
        <f>I68</f>
        <v>3.5477600000000001E-3</v>
      </c>
      <c r="J70" s="160"/>
      <c r="K70" s="161">
        <f>K68</f>
        <v>107</v>
      </c>
      <c r="L70" s="162">
        <v>1</v>
      </c>
      <c r="M70" s="163" t="str">
        <f>CONCATENATE(H70," ",F70,"*",I70,"/",K70,"чел.")</f>
        <v>35 замеров*0,00354776/107чел.</v>
      </c>
      <c r="N70" s="164">
        <f>Лист1!E45</f>
        <v>20142.857142857141</v>
      </c>
      <c r="O70" s="165">
        <f t="shared" si="10"/>
        <v>23.375422999999998</v>
      </c>
      <c r="P70" s="166"/>
      <c r="Q70" s="166">
        <f t="shared" si="0"/>
        <v>2501.1702609999998</v>
      </c>
      <c r="R70" s="71"/>
    </row>
    <row r="71" spans="1:18" s="61" customFormat="1" ht="47.25" x14ac:dyDescent="0.25">
      <c r="A71" s="358"/>
      <c r="B71" s="361"/>
      <c r="C71" s="366"/>
      <c r="D71" s="156" t="s">
        <v>399</v>
      </c>
      <c r="E71" s="156" t="s">
        <v>60</v>
      </c>
      <c r="F71" s="156" t="s">
        <v>60</v>
      </c>
      <c r="G71" s="157">
        <f t="shared" si="9"/>
        <v>1.1604822000000001E-2</v>
      </c>
      <c r="H71" s="158">
        <f>Лист1!C46</f>
        <v>35</v>
      </c>
      <c r="I71" s="159">
        <f>I70</f>
        <v>3.5477600000000001E-3</v>
      </c>
      <c r="J71" s="160"/>
      <c r="K71" s="161">
        <f>K70</f>
        <v>107</v>
      </c>
      <c r="L71" s="162">
        <v>10</v>
      </c>
      <c r="M71" s="163" t="str">
        <f>CONCATENATE(H71," ",F71,"*",L71,"мес.","*",I71,"/",K71,"чел.")</f>
        <v>35 шт.*10мес.*0,00354776/107чел.</v>
      </c>
      <c r="N71" s="164">
        <f>Лист1!E46</f>
        <v>3107.903028571428</v>
      </c>
      <c r="O71" s="165">
        <f>MROUND(G71*N71,0.000001)</f>
        <v>36.066660999999996</v>
      </c>
      <c r="P71" s="166"/>
      <c r="Q71" s="166">
        <f t="shared" si="0"/>
        <v>3859.1327269999997</v>
      </c>
      <c r="R71" s="71"/>
    </row>
    <row r="72" spans="1:18" s="61" customFormat="1" ht="47.25" x14ac:dyDescent="0.25">
      <c r="A72" s="358"/>
      <c r="B72" s="361"/>
      <c r="C72" s="366"/>
      <c r="D72" s="156" t="s">
        <v>36</v>
      </c>
      <c r="E72" s="156" t="s">
        <v>31</v>
      </c>
      <c r="F72" s="156" t="s">
        <v>224</v>
      </c>
      <c r="G72" s="157">
        <f t="shared" si="9"/>
        <v>1.4323667000000002E-2</v>
      </c>
      <c r="H72" s="158">
        <f>Лист1!C47</f>
        <v>36</v>
      </c>
      <c r="I72" s="159">
        <f>I71</f>
        <v>3.5477600000000001E-3</v>
      </c>
      <c r="J72" s="160"/>
      <c r="K72" s="161">
        <f>K71</f>
        <v>107</v>
      </c>
      <c r="L72" s="162">
        <v>12</v>
      </c>
      <c r="M72" s="163" t="str">
        <f>CONCATENATE(H72," ",F72,"*",L72,"мес.","*",I72,"/",K72,"чел.")</f>
        <v>36 устройств*12мес.*0,00354776/107чел.</v>
      </c>
      <c r="N72" s="164">
        <f>Лист1!E47</f>
        <v>2200</v>
      </c>
      <c r="O72" s="165">
        <f t="shared" si="10"/>
        <v>31.512066999999998</v>
      </c>
      <c r="P72" s="166"/>
      <c r="Q72" s="166">
        <f t="shared" si="0"/>
        <v>3371.7911689999996</v>
      </c>
      <c r="R72" s="71"/>
    </row>
    <row r="73" spans="1:18" s="61" customFormat="1" ht="31.5" x14ac:dyDescent="0.25">
      <c r="A73" s="358"/>
      <c r="B73" s="361"/>
      <c r="C73" s="366"/>
      <c r="D73" s="156" t="s">
        <v>99</v>
      </c>
      <c r="E73" s="156" t="s">
        <v>103</v>
      </c>
      <c r="F73" s="156" t="s">
        <v>225</v>
      </c>
      <c r="G73" s="157">
        <f t="shared" si="9"/>
        <v>1.2599521000000001E-2</v>
      </c>
      <c r="H73" s="158">
        <f>Лист1!C48</f>
        <v>380</v>
      </c>
      <c r="I73" s="159">
        <f>I72</f>
        <v>3.5477600000000001E-3</v>
      </c>
      <c r="J73" s="160"/>
      <c r="K73" s="161">
        <f>K72</f>
        <v>107</v>
      </c>
      <c r="L73" s="162">
        <v>1</v>
      </c>
      <c r="M73" s="163" t="str">
        <f>CONCATENATE(H73," ",F73,"*",I73,"/",K73,"чел.")</f>
        <v>380 ед.*0,00354776/107чел.</v>
      </c>
      <c r="N73" s="164">
        <f>Лист1!E48</f>
        <v>15000</v>
      </c>
      <c r="O73" s="165">
        <f>MROUND(G73*N73,0.000001)</f>
        <v>188.99281499999998</v>
      </c>
      <c r="P73" s="166"/>
      <c r="Q73" s="166">
        <f t="shared" si="0"/>
        <v>20222.231204999996</v>
      </c>
      <c r="R73" s="71"/>
    </row>
    <row r="74" spans="1:18" s="61" customFormat="1" x14ac:dyDescent="0.25">
      <c r="A74" s="358"/>
      <c r="B74" s="361"/>
      <c r="C74" s="366"/>
      <c r="D74" s="156" t="s">
        <v>27</v>
      </c>
      <c r="E74" s="156" t="s">
        <v>28</v>
      </c>
      <c r="F74" s="156" t="s">
        <v>28</v>
      </c>
      <c r="G74" s="157">
        <f t="shared" si="9"/>
        <v>0.18949017200000001</v>
      </c>
      <c r="H74" s="160">
        <f>Лист1!C49</f>
        <v>5715</v>
      </c>
      <c r="I74" s="159">
        <f>I73</f>
        <v>3.5477600000000001E-3</v>
      </c>
      <c r="J74" s="160"/>
      <c r="K74" s="161">
        <f>K73</f>
        <v>107</v>
      </c>
      <c r="L74" s="162">
        <v>1</v>
      </c>
      <c r="M74" s="163" t="str">
        <f>CONCATENATE(H74," ",F74,"*",I74,"/",K74,"чел.")</f>
        <v>5715 шт*0,00354776/107чел.</v>
      </c>
      <c r="N74" s="164">
        <f>Лист1!E49</f>
        <v>400</v>
      </c>
      <c r="O74" s="165">
        <f t="shared" si="10"/>
        <v>75.796069000000003</v>
      </c>
      <c r="P74" s="166"/>
      <c r="Q74" s="166">
        <f t="shared" si="0"/>
        <v>8110.1793830000006</v>
      </c>
      <c r="R74" s="71"/>
    </row>
    <row r="75" spans="1:18" s="61" customFormat="1" ht="31.5" x14ac:dyDescent="0.25">
      <c r="A75" s="358"/>
      <c r="B75" s="361"/>
      <c r="C75" s="367"/>
      <c r="D75" s="156" t="s">
        <v>104</v>
      </c>
      <c r="E75" s="156" t="s">
        <v>105</v>
      </c>
      <c r="F75" s="156" t="s">
        <v>226</v>
      </c>
      <c r="G75" s="157">
        <f t="shared" si="9"/>
        <v>1.193639E-3</v>
      </c>
      <c r="H75" s="160">
        <f>Лист1!C50</f>
        <v>36</v>
      </c>
      <c r="I75" s="159">
        <f>I74</f>
        <v>3.5477600000000001E-3</v>
      </c>
      <c r="J75" s="160"/>
      <c r="K75" s="161">
        <f>K74</f>
        <v>107</v>
      </c>
      <c r="L75" s="162">
        <v>1</v>
      </c>
      <c r="M75" s="163" t="str">
        <f>CONCATENATE(H75," ",F75,"*",I75,"/",K75,"чел.")</f>
        <v>36 отключений*0,00354776/107чел.</v>
      </c>
      <c r="N75" s="164">
        <f>Лист1!E50</f>
        <v>9810</v>
      </c>
      <c r="O75" s="165">
        <f t="shared" si="10"/>
        <v>11.709598999999999</v>
      </c>
      <c r="P75" s="166"/>
      <c r="Q75" s="166">
        <f t="shared" si="0"/>
        <v>1252.9270929999998</v>
      </c>
      <c r="R75" s="71"/>
    </row>
    <row r="76" spans="1:18" s="61" customFormat="1" x14ac:dyDescent="0.25">
      <c r="A76" s="358"/>
      <c r="B76" s="361"/>
      <c r="C76" s="249" t="s">
        <v>292</v>
      </c>
      <c r="D76" s="240"/>
      <c r="E76" s="240"/>
      <c r="F76" s="240"/>
      <c r="G76" s="227"/>
      <c r="H76" s="228"/>
      <c r="I76" s="206"/>
      <c r="J76" s="228"/>
      <c r="K76" s="207"/>
      <c r="L76" s="229"/>
      <c r="M76" s="209"/>
      <c r="N76" s="210"/>
      <c r="O76" s="198">
        <f>SUM(O60:O75)</f>
        <v>496.90323433000003</v>
      </c>
      <c r="P76" s="166"/>
      <c r="Q76" s="166"/>
      <c r="R76" s="71"/>
    </row>
    <row r="77" spans="1:18" s="61" customFormat="1" ht="31.5" x14ac:dyDescent="0.25">
      <c r="A77" s="358"/>
      <c r="B77" s="361"/>
      <c r="C77" s="221" t="s">
        <v>79</v>
      </c>
      <c r="D77" s="156" t="s">
        <v>37</v>
      </c>
      <c r="E77" s="156" t="s">
        <v>61</v>
      </c>
      <c r="F77" s="156" t="s">
        <v>227</v>
      </c>
      <c r="G77" s="157">
        <f>MROUND(H77*L77*I77/K77,0.000000001)</f>
        <v>1.3262700000000002E-4</v>
      </c>
      <c r="H77" s="158">
        <f>Лист1!C52</f>
        <v>4</v>
      </c>
      <c r="I77" s="159">
        <f>I75</f>
        <v>3.5477600000000001E-3</v>
      </c>
      <c r="J77" s="160"/>
      <c r="K77" s="161">
        <f>K75</f>
        <v>107</v>
      </c>
      <c r="L77" s="162">
        <v>1</v>
      </c>
      <c r="M77" s="163" t="str">
        <f>CONCATENATE(H77," ",F77,"*",I77,"/",K77,"чел.")</f>
        <v>4 автобуса*0,00354776/107чел.</v>
      </c>
      <c r="N77" s="164">
        <f>Лист1!E52</f>
        <v>93408.640000000014</v>
      </c>
      <c r="O77" s="165">
        <f>MROUND(G77*N77,0.000001)</f>
        <v>12.388508</v>
      </c>
      <c r="P77" s="166"/>
      <c r="Q77" s="166">
        <f t="shared" si="0"/>
        <v>1325.5703559999999</v>
      </c>
      <c r="R77" s="71"/>
    </row>
    <row r="78" spans="1:18" s="61" customFormat="1" x14ac:dyDescent="0.25">
      <c r="A78" s="358"/>
      <c r="B78" s="361"/>
      <c r="C78" s="218" t="s">
        <v>295</v>
      </c>
      <c r="D78" s="240"/>
      <c r="E78" s="240"/>
      <c r="F78" s="240"/>
      <c r="G78" s="227"/>
      <c r="H78" s="241"/>
      <c r="I78" s="206"/>
      <c r="J78" s="228"/>
      <c r="K78" s="207"/>
      <c r="L78" s="229"/>
      <c r="M78" s="209"/>
      <c r="N78" s="210"/>
      <c r="O78" s="198">
        <f>SUM(O77)</f>
        <v>12.388508</v>
      </c>
      <c r="P78" s="166"/>
      <c r="Q78" s="166"/>
      <c r="R78" s="71"/>
    </row>
    <row r="79" spans="1:18" s="61" customFormat="1" ht="15.6" customHeight="1" x14ac:dyDescent="0.25">
      <c r="A79" s="358"/>
      <c r="B79" s="361"/>
      <c r="C79" s="365" t="s">
        <v>80</v>
      </c>
      <c r="D79" s="156" t="s">
        <v>38</v>
      </c>
      <c r="E79" s="156" t="s">
        <v>57</v>
      </c>
      <c r="F79" s="156" t="s">
        <v>228</v>
      </c>
      <c r="G79" s="157">
        <f>MROUND(H79*L79*I79/K79,0.0000000001)</f>
        <v>1.43236665E-2</v>
      </c>
      <c r="H79" s="158">
        <f>Лист1!C55</f>
        <v>36</v>
      </c>
      <c r="I79" s="159">
        <f>I77</f>
        <v>3.5477600000000001E-3</v>
      </c>
      <c r="J79" s="160"/>
      <c r="K79" s="161">
        <f>K77</f>
        <v>107</v>
      </c>
      <c r="L79" s="162">
        <v>12</v>
      </c>
      <c r="M79" s="163" t="str">
        <f>CONCATENATE(H79," ",F79,"*",L79,"мес.","*",I79,"/",K79,"чел.")</f>
        <v>36 зданий*12мес.*0,00354776/107чел.</v>
      </c>
      <c r="N79" s="164">
        <f>Лист1!E55</f>
        <v>4694.6300000000019</v>
      </c>
      <c r="O79" s="165">
        <f>MROUND(G79*N79,0.000001)</f>
        <v>67.244314000000003</v>
      </c>
      <c r="P79" s="166"/>
      <c r="Q79" s="166">
        <f t="shared" si="0"/>
        <v>7195.1415980000002</v>
      </c>
      <c r="R79" s="71"/>
    </row>
    <row r="80" spans="1:18" s="61" customFormat="1" ht="46.9" customHeight="1" x14ac:dyDescent="0.25">
      <c r="A80" s="358"/>
      <c r="B80" s="361"/>
      <c r="C80" s="366"/>
      <c r="D80" s="156" t="s">
        <v>229</v>
      </c>
      <c r="E80" s="156" t="s">
        <v>60</v>
      </c>
      <c r="F80" s="156" t="s">
        <v>60</v>
      </c>
      <c r="G80" s="157">
        <f>MROUND(H80*L80*I80/K80,0.000001)</f>
        <v>7.9377000000000003E-2</v>
      </c>
      <c r="H80" s="158">
        <f>Лист1!C60</f>
        <v>2394</v>
      </c>
      <c r="I80" s="159">
        <f>I79</f>
        <v>3.5477600000000001E-3</v>
      </c>
      <c r="J80" s="160"/>
      <c r="K80" s="161">
        <f>K79</f>
        <v>107</v>
      </c>
      <c r="L80" s="162">
        <v>1</v>
      </c>
      <c r="M80" s="163" t="str">
        <f t="shared" ref="M80:M87" si="11">CONCATENATE(H80," ",F80,"*",I80,"/",K80,"чел.")</f>
        <v>2394 шт.*0,00354776/107чел.</v>
      </c>
      <c r="N80" s="164">
        <f>Лист1!E60</f>
        <v>163.5</v>
      </c>
      <c r="O80" s="165">
        <f>MROUND(G80*N80,0.000001)</f>
        <v>12.97814</v>
      </c>
      <c r="P80" s="166"/>
      <c r="Q80" s="166">
        <f t="shared" ref="Q80:Q144" si="12">O80*K80</f>
        <v>1388.6609799999999</v>
      </c>
      <c r="R80" s="71"/>
    </row>
    <row r="81" spans="1:18" s="61" customFormat="1" ht="46.9" customHeight="1" x14ac:dyDescent="0.25">
      <c r="A81" s="358"/>
      <c r="B81" s="361"/>
      <c r="C81" s="366"/>
      <c r="D81" s="156" t="s">
        <v>405</v>
      </c>
      <c r="E81" s="156" t="s">
        <v>60</v>
      </c>
      <c r="F81" s="156" t="s">
        <v>406</v>
      </c>
      <c r="G81" s="157">
        <f>MROUND(H81*L81*I81/K81,0.00000001)</f>
        <v>1.1936399999999999E-3</v>
      </c>
      <c r="H81" s="158">
        <f>Лист1!C61</f>
        <v>36</v>
      </c>
      <c r="I81" s="159">
        <f>I80</f>
        <v>3.5477600000000001E-3</v>
      </c>
      <c r="J81" s="160"/>
      <c r="K81" s="161">
        <f>K80</f>
        <v>107</v>
      </c>
      <c r="L81" s="162">
        <v>1</v>
      </c>
      <c r="M81" s="163" t="str">
        <f>CONCATENATE(H81," ",F81,"*",I81,"/",K81,"чел.")</f>
        <v>36 лицензий*0,00354776/107чел.</v>
      </c>
      <c r="N81" s="164">
        <f>Лист1!E61</f>
        <v>11990</v>
      </c>
      <c r="O81" s="165">
        <f t="shared" ref="O81:O90" si="13">MROUND(G81*N81,0.000001)</f>
        <v>14.311743999999999</v>
      </c>
      <c r="P81" s="166"/>
      <c r="Q81" s="166">
        <f t="shared" si="12"/>
        <v>1531.3566079999998</v>
      </c>
      <c r="R81" s="71"/>
    </row>
    <row r="82" spans="1:18" s="61" customFormat="1" ht="62.45" customHeight="1" x14ac:dyDescent="0.25">
      <c r="A82" s="358"/>
      <c r="B82" s="361"/>
      <c r="C82" s="366"/>
      <c r="D82" s="156" t="s">
        <v>39</v>
      </c>
      <c r="E82" s="156" t="s">
        <v>20</v>
      </c>
      <c r="F82" s="156" t="s">
        <v>234</v>
      </c>
      <c r="G82" s="157">
        <f>MROUND(H82*L82*I82/K82,0.00000001)</f>
        <v>3.9124800000000003E-3</v>
      </c>
      <c r="H82" s="158">
        <f>Лист1!C62</f>
        <v>118</v>
      </c>
      <c r="I82" s="159">
        <f>I80</f>
        <v>3.5477600000000001E-3</v>
      </c>
      <c r="J82" s="160"/>
      <c r="K82" s="161">
        <f>K80</f>
        <v>107</v>
      </c>
      <c r="L82" s="162">
        <v>1</v>
      </c>
      <c r="M82" s="163" t="str">
        <f t="shared" si="11"/>
        <v>118 чел(заявленная потребность руководителями учреждений)*0,00354776/107чел.</v>
      </c>
      <c r="N82" s="164">
        <f>Лист1!E62</f>
        <v>763</v>
      </c>
      <c r="O82" s="165">
        <f t="shared" si="13"/>
        <v>2.9852219999999998</v>
      </c>
      <c r="P82" s="166"/>
      <c r="Q82" s="166">
        <f t="shared" si="12"/>
        <v>319.41875399999998</v>
      </c>
      <c r="R82" s="71"/>
    </row>
    <row r="83" spans="1:18" s="61" customFormat="1" ht="62.45" customHeight="1" x14ac:dyDescent="0.25">
      <c r="A83" s="358"/>
      <c r="B83" s="361"/>
      <c r="C83" s="366"/>
      <c r="D83" s="156" t="s">
        <v>40</v>
      </c>
      <c r="E83" s="156" t="s">
        <v>20</v>
      </c>
      <c r="F83" s="156" t="s">
        <v>234</v>
      </c>
      <c r="G83" s="157">
        <f>MROUND(H83*L83*I83/K83,0.000000001)</f>
        <v>3.282507E-3</v>
      </c>
      <c r="H83" s="158">
        <f>Лист1!C63</f>
        <v>99</v>
      </c>
      <c r="I83" s="159">
        <f t="shared" ref="I83:I90" si="14">I82</f>
        <v>3.5477600000000001E-3</v>
      </c>
      <c r="J83" s="160"/>
      <c r="K83" s="161">
        <f t="shared" ref="K83:K90" si="15">K82</f>
        <v>107</v>
      </c>
      <c r="L83" s="162">
        <v>1</v>
      </c>
      <c r="M83" s="163" t="str">
        <f t="shared" si="11"/>
        <v>99 чел(заявленная потребность руководителями учреждений)*0,00354776/107чел.</v>
      </c>
      <c r="N83" s="164">
        <f>Лист1!E63</f>
        <v>1585.4545454545455</v>
      </c>
      <c r="O83" s="165">
        <f t="shared" si="13"/>
        <v>5.2042659999999996</v>
      </c>
      <c r="P83" s="166"/>
      <c r="Q83" s="166">
        <f t="shared" si="12"/>
        <v>556.85646199999996</v>
      </c>
      <c r="R83" s="71"/>
    </row>
    <row r="84" spans="1:18" s="61" customFormat="1" ht="62.45" customHeight="1" x14ac:dyDescent="0.25">
      <c r="A84" s="358"/>
      <c r="B84" s="361"/>
      <c r="C84" s="366"/>
      <c r="D84" s="156" t="s">
        <v>100</v>
      </c>
      <c r="E84" s="156" t="s">
        <v>20</v>
      </c>
      <c r="F84" s="156" t="s">
        <v>234</v>
      </c>
      <c r="G84" s="157">
        <f>MROUND(H84*L84*I84/K84,0.000000001)</f>
        <v>2.685687E-3</v>
      </c>
      <c r="H84" s="158">
        <f>Лист1!C64</f>
        <v>81</v>
      </c>
      <c r="I84" s="159">
        <f t="shared" si="14"/>
        <v>3.5477600000000001E-3</v>
      </c>
      <c r="J84" s="160"/>
      <c r="K84" s="161">
        <f t="shared" si="15"/>
        <v>107</v>
      </c>
      <c r="L84" s="162">
        <v>1</v>
      </c>
      <c r="M84" s="163" t="str">
        <f t="shared" si="11"/>
        <v>81 чел(заявленная потребность руководителями учреждений)*0,00354776/107чел.</v>
      </c>
      <c r="N84" s="164">
        <f>Лист1!E64</f>
        <v>3488</v>
      </c>
      <c r="O84" s="165">
        <f t="shared" si="13"/>
        <v>9.3676759999999994</v>
      </c>
      <c r="P84" s="166"/>
      <c r="Q84" s="166">
        <f t="shared" si="12"/>
        <v>1002.341332</v>
      </c>
      <c r="R84" s="71"/>
    </row>
    <row r="85" spans="1:18" s="61" customFormat="1" ht="109.15" customHeight="1" x14ac:dyDescent="0.25">
      <c r="A85" s="358"/>
      <c r="B85" s="361"/>
      <c r="C85" s="366"/>
      <c r="D85" s="156" t="s">
        <v>235</v>
      </c>
      <c r="E85" s="156" t="s">
        <v>50</v>
      </c>
      <c r="F85" s="156" t="s">
        <v>230</v>
      </c>
      <c r="G85" s="157">
        <f>MROUND(H85*L85*I85/K85,0.00000001)</f>
        <v>1.1936399999999999E-3</v>
      </c>
      <c r="H85" s="158">
        <f>Лист1!C65</f>
        <v>36</v>
      </c>
      <c r="I85" s="159">
        <f t="shared" si="14"/>
        <v>3.5477600000000001E-3</v>
      </c>
      <c r="J85" s="160"/>
      <c r="K85" s="161">
        <f t="shared" si="15"/>
        <v>107</v>
      </c>
      <c r="L85" s="162">
        <v>1</v>
      </c>
      <c r="M85" s="163" t="str">
        <f t="shared" si="11"/>
        <v>36 отчетов*0,00354776/107чел.</v>
      </c>
      <c r="N85" s="164">
        <f>Лист1!E65</f>
        <v>6540</v>
      </c>
      <c r="O85" s="165">
        <f t="shared" si="13"/>
        <v>7.806406</v>
      </c>
      <c r="P85" s="166"/>
      <c r="Q85" s="166">
        <f t="shared" si="12"/>
        <v>835.28544199999999</v>
      </c>
      <c r="R85" s="71"/>
    </row>
    <row r="86" spans="1:18" s="61" customFormat="1" ht="62.45" customHeight="1" x14ac:dyDescent="0.25">
      <c r="A86" s="358"/>
      <c r="B86" s="361"/>
      <c r="C86" s="366"/>
      <c r="D86" s="156" t="s">
        <v>42</v>
      </c>
      <c r="E86" s="156" t="s">
        <v>51</v>
      </c>
      <c r="F86" s="156" t="s">
        <v>407</v>
      </c>
      <c r="G86" s="157">
        <f>MROUND(H86*L86*I86/K86,0.000001)</f>
        <v>6.764E-3</v>
      </c>
      <c r="H86" s="158">
        <f>Лист1!C69</f>
        <v>204</v>
      </c>
      <c r="I86" s="159">
        <f t="shared" si="14"/>
        <v>3.5477600000000001E-3</v>
      </c>
      <c r="J86" s="160"/>
      <c r="K86" s="161">
        <f t="shared" si="15"/>
        <v>107</v>
      </c>
      <c r="L86" s="162">
        <v>1</v>
      </c>
      <c r="M86" s="163" t="str">
        <f>CONCATENATE( H86," ",F86,"*",I86,"/",K86,"чел.")</f>
        <v>204 ед (заявленная потребность руководителями учреждений)*0,00354776/107чел.</v>
      </c>
      <c r="N86" s="164">
        <f>Лист1!E69</f>
        <v>1090</v>
      </c>
      <c r="O86" s="165">
        <f t="shared" si="13"/>
        <v>7.3727599999999995</v>
      </c>
      <c r="P86" s="166"/>
      <c r="Q86" s="166">
        <f t="shared" si="12"/>
        <v>788.88531999999998</v>
      </c>
      <c r="R86" s="71"/>
    </row>
    <row r="87" spans="1:18" s="61" customFormat="1" ht="31.15" customHeight="1" x14ac:dyDescent="0.25">
      <c r="A87" s="358"/>
      <c r="B87" s="361"/>
      <c r="C87" s="366"/>
      <c r="D87" s="156" t="s">
        <v>43</v>
      </c>
      <c r="E87" s="156" t="s">
        <v>52</v>
      </c>
      <c r="F87" s="156" t="s">
        <v>231</v>
      </c>
      <c r="G87" s="157">
        <f>MROUND(H87*L87*I87/K87,0.000000001)</f>
        <v>1.193639E-3</v>
      </c>
      <c r="H87" s="158">
        <f>Лист1!C70</f>
        <v>36</v>
      </c>
      <c r="I87" s="159">
        <f t="shared" si="14"/>
        <v>3.5477600000000001E-3</v>
      </c>
      <c r="J87" s="160"/>
      <c r="K87" s="161">
        <f t="shared" si="15"/>
        <v>107</v>
      </c>
      <c r="L87" s="162">
        <v>1</v>
      </c>
      <c r="M87" s="163" t="str">
        <f t="shared" si="11"/>
        <v>36 ЭЦП*0,00354776/107чел.</v>
      </c>
      <c r="N87" s="164">
        <f>Лист1!E70</f>
        <v>7743.3599999999924</v>
      </c>
      <c r="O87" s="165">
        <f t="shared" si="13"/>
        <v>9.2427759999999992</v>
      </c>
      <c r="P87" s="166"/>
      <c r="Q87" s="166">
        <f t="shared" si="12"/>
        <v>988.97703199999989</v>
      </c>
      <c r="R87" s="71"/>
    </row>
    <row r="88" spans="1:18" s="61" customFormat="1" ht="46.9" customHeight="1" x14ac:dyDescent="0.25">
      <c r="A88" s="358"/>
      <c r="B88" s="361"/>
      <c r="C88" s="366"/>
      <c r="D88" s="156" t="s">
        <v>44</v>
      </c>
      <c r="E88" s="156" t="s">
        <v>85</v>
      </c>
      <c r="F88" s="156" t="s">
        <v>232</v>
      </c>
      <c r="G88" s="157">
        <f>MROUND(H88*L88*I88/K88,0.000001)</f>
        <v>4.0318E-2</v>
      </c>
      <c r="H88" s="158">
        <f>Лист1!C71</f>
        <v>1216</v>
      </c>
      <c r="I88" s="159">
        <f t="shared" si="14"/>
        <v>3.5477600000000001E-3</v>
      </c>
      <c r="J88" s="160"/>
      <c r="K88" s="161">
        <f t="shared" si="15"/>
        <v>107</v>
      </c>
      <c r="L88" s="162">
        <v>1</v>
      </c>
      <c r="M88" s="163" t="str">
        <f>CONCATENATE(H88," ",F88,"*",L88,"мес.","*",I88,"/",K88,"чел.")</f>
        <v>1216 мед.осмотров в мес.*1мес.*0,00354776/107чел.</v>
      </c>
      <c r="N88" s="164">
        <f>Лист1!E71</f>
        <v>56.680000000000007</v>
      </c>
      <c r="O88" s="165">
        <f t="shared" si="13"/>
        <v>2.2852239999999999</v>
      </c>
      <c r="P88" s="166"/>
      <c r="Q88" s="166">
        <f t="shared" si="12"/>
        <v>244.518968</v>
      </c>
      <c r="R88" s="71"/>
    </row>
    <row r="89" spans="1:18" s="61" customFormat="1" ht="62.45" customHeight="1" x14ac:dyDescent="0.25">
      <c r="A89" s="358"/>
      <c r="B89" s="361"/>
      <c r="C89" s="366"/>
      <c r="D89" s="156" t="s">
        <v>45</v>
      </c>
      <c r="E89" s="156" t="s">
        <v>53</v>
      </c>
      <c r="F89" s="156" t="s">
        <v>233</v>
      </c>
      <c r="G89" s="157">
        <f>MROUND(H89*L89*I89/K89,0.000000001)</f>
        <v>1.591519E-3</v>
      </c>
      <c r="H89" s="158">
        <f>Лист1!C73</f>
        <v>4</v>
      </c>
      <c r="I89" s="159">
        <f t="shared" si="14"/>
        <v>3.5477600000000001E-3</v>
      </c>
      <c r="J89" s="160"/>
      <c r="K89" s="161">
        <f t="shared" si="15"/>
        <v>107</v>
      </c>
      <c r="L89" s="162">
        <v>12</v>
      </c>
      <c r="M89" s="163" t="str">
        <f>CONCATENATE(H89," ",F89,"*",L89,"мес.","*",I89,"/",K89,"чел.")</f>
        <v>4  машины, оборудованных системой ГЛОНАСС*12мес.*0,00354776/107чел.</v>
      </c>
      <c r="N89" s="164">
        <f>Лист1!E73</f>
        <v>880.71999999999991</v>
      </c>
      <c r="O89" s="165">
        <f t="shared" si="13"/>
        <v>1.401683</v>
      </c>
      <c r="P89" s="166"/>
      <c r="Q89" s="166">
        <f t="shared" si="12"/>
        <v>149.98008100000001</v>
      </c>
      <c r="R89" s="71"/>
    </row>
    <row r="90" spans="1:18" s="61" customFormat="1" ht="15.6" customHeight="1" x14ac:dyDescent="0.25">
      <c r="A90" s="358"/>
      <c r="B90" s="361"/>
      <c r="C90" s="366"/>
      <c r="D90" s="156" t="s">
        <v>408</v>
      </c>
      <c r="E90" s="156" t="s">
        <v>20</v>
      </c>
      <c r="F90" s="156" t="s">
        <v>20</v>
      </c>
      <c r="G90" s="157">
        <f>MROUND(H90*L90*I90/K90,0.00000001)</f>
        <v>5.6764160000000001E-2</v>
      </c>
      <c r="H90" s="158">
        <f>Лист1!C74</f>
        <v>1712</v>
      </c>
      <c r="I90" s="159">
        <f t="shared" si="14"/>
        <v>3.5477600000000001E-3</v>
      </c>
      <c r="J90" s="160"/>
      <c r="K90" s="161">
        <f t="shared" si="15"/>
        <v>107</v>
      </c>
      <c r="L90" s="250">
        <v>1</v>
      </c>
      <c r="M90" s="163" t="str">
        <f>CONCATENATE(H90," ",F90,"*",L90," раз в год","*",I90,"/",K90,"чел.")</f>
        <v>1712 чел.*1 раз в год*0,00354776/107чел.</v>
      </c>
      <c r="N90" s="164">
        <f>Лист1!E74</f>
        <v>545</v>
      </c>
      <c r="O90" s="165">
        <f t="shared" si="13"/>
        <v>30.936466999999997</v>
      </c>
      <c r="P90" s="166"/>
      <c r="Q90" s="166">
        <f t="shared" si="12"/>
        <v>3310.2019689999997</v>
      </c>
      <c r="R90" s="71"/>
    </row>
    <row r="91" spans="1:18" s="61" customFormat="1" ht="31.5" x14ac:dyDescent="0.25">
      <c r="A91" s="358"/>
      <c r="B91" s="361"/>
      <c r="C91" s="364"/>
      <c r="D91" s="156" t="s">
        <v>106</v>
      </c>
      <c r="E91" s="156" t="s">
        <v>107</v>
      </c>
      <c r="F91" s="156"/>
      <c r="G91" s="157">
        <f>MROUND(H91*L91*I91/K91,0.000000001)</f>
        <v>0</v>
      </c>
      <c r="H91" s="158"/>
      <c r="I91" s="159">
        <f>I89</f>
        <v>3.5477600000000001E-3</v>
      </c>
      <c r="J91" s="160"/>
      <c r="K91" s="161">
        <f>K89</f>
        <v>107</v>
      </c>
      <c r="L91" s="162"/>
      <c r="M91" s="163"/>
      <c r="N91" s="164">
        <f>Лист1!E10+0.00006</f>
        <v>1256.0400600000007</v>
      </c>
      <c r="O91" s="165">
        <f>MROUND(G91*N91,0.000000001)</f>
        <v>0</v>
      </c>
      <c r="P91" s="166"/>
      <c r="Q91" s="166">
        <f t="shared" si="12"/>
        <v>0</v>
      </c>
      <c r="R91" s="71"/>
    </row>
    <row r="92" spans="1:18" s="61" customFormat="1" ht="15.6" customHeight="1" x14ac:dyDescent="0.25">
      <c r="A92" s="358"/>
      <c r="B92" s="361"/>
      <c r="C92" s="367"/>
      <c r="D92" s="156" t="s">
        <v>373</v>
      </c>
      <c r="E92" s="156" t="s">
        <v>28</v>
      </c>
      <c r="F92" s="156" t="s">
        <v>28</v>
      </c>
      <c r="G92" s="157">
        <f>MROUND(H92*L92*I92/K92,0.000000001)</f>
        <v>1.193639E-3</v>
      </c>
      <c r="H92" s="158">
        <f>Лист1!C56</f>
        <v>36</v>
      </c>
      <c r="I92" s="159">
        <f>I90</f>
        <v>3.5477600000000001E-3</v>
      </c>
      <c r="J92" s="160"/>
      <c r="K92" s="161">
        <f>K90</f>
        <v>107</v>
      </c>
      <c r="L92" s="162">
        <v>1</v>
      </c>
      <c r="M92" s="163" t="str">
        <f>CONCATENATE(H92," ",F92,"*",L92,"мес.","*",I92,"/",K92,"чел.")</f>
        <v>36 шт*1мес.*0,00354776/107чел.</v>
      </c>
      <c r="N92" s="164">
        <f>Лист1!E56</f>
        <v>24000</v>
      </c>
      <c r="O92" s="165">
        <f>MROUND(G92*N92,0.000000001)</f>
        <v>28.647336000000003</v>
      </c>
      <c r="P92" s="166"/>
      <c r="Q92" s="166">
        <f t="shared" si="12"/>
        <v>3065.2649520000004</v>
      </c>
      <c r="R92" s="71"/>
    </row>
    <row r="93" spans="1:18" s="61" customFormat="1" x14ac:dyDescent="0.25">
      <c r="A93" s="358"/>
      <c r="B93" s="361"/>
      <c r="C93" s="245" t="s">
        <v>296</v>
      </c>
      <c r="D93" s="240"/>
      <c r="E93" s="240"/>
      <c r="F93" s="240"/>
      <c r="G93" s="251"/>
      <c r="H93" s="241"/>
      <c r="I93" s="206"/>
      <c r="J93" s="228"/>
      <c r="K93" s="207"/>
      <c r="L93" s="229"/>
      <c r="M93" s="209"/>
      <c r="N93" s="210"/>
      <c r="O93" s="198">
        <f>SUM(O79:O92)</f>
        <v>199.78401399999998</v>
      </c>
      <c r="P93" s="166"/>
      <c r="Q93" s="166"/>
      <c r="R93" s="71"/>
    </row>
    <row r="94" spans="1:18" s="61" customFormat="1" ht="31.5" x14ac:dyDescent="0.25">
      <c r="A94" s="358"/>
      <c r="B94" s="361"/>
      <c r="C94" s="252" t="s">
        <v>237</v>
      </c>
      <c r="D94" s="156" t="s">
        <v>41</v>
      </c>
      <c r="E94" s="156" t="s">
        <v>61</v>
      </c>
      <c r="F94" s="156" t="s">
        <v>227</v>
      </c>
      <c r="G94" s="157">
        <f>MROUND(H94*L94*I94/K94,0.000000001)</f>
        <v>1.3262700000000002E-4</v>
      </c>
      <c r="H94" s="158">
        <f>Лист1!C75</f>
        <v>4</v>
      </c>
      <c r="I94" s="159">
        <f>I91</f>
        <v>3.5477600000000001E-3</v>
      </c>
      <c r="J94" s="160"/>
      <c r="K94" s="161">
        <f>K91</f>
        <v>107</v>
      </c>
      <c r="L94" s="162">
        <v>1</v>
      </c>
      <c r="M94" s="163" t="str">
        <f>CONCATENATE(H94," ",F94,"*",I94,"/",K94,"чел.")</f>
        <v>4 автобуса*0,00354776/107чел.</v>
      </c>
      <c r="N94" s="164">
        <f>Лист1!E75</f>
        <v>25724</v>
      </c>
      <c r="O94" s="165">
        <f>MROUND(G94*N94,0.000001)</f>
        <v>3.4116969999999998</v>
      </c>
      <c r="P94" s="166"/>
      <c r="Q94" s="166">
        <f t="shared" si="12"/>
        <v>365.05157899999995</v>
      </c>
      <c r="R94" s="71"/>
    </row>
    <row r="95" spans="1:18" s="61" customFormat="1" x14ac:dyDescent="0.25">
      <c r="A95" s="358"/>
      <c r="B95" s="361"/>
      <c r="C95" s="245" t="s">
        <v>297</v>
      </c>
      <c r="D95" s="240"/>
      <c r="E95" s="240"/>
      <c r="F95" s="240"/>
      <c r="G95" s="251"/>
      <c r="H95" s="241"/>
      <c r="I95" s="206"/>
      <c r="J95" s="228"/>
      <c r="K95" s="207"/>
      <c r="L95" s="229"/>
      <c r="M95" s="209"/>
      <c r="N95" s="210"/>
      <c r="O95" s="198">
        <f>SUM(O94)</f>
        <v>3.4116969999999998</v>
      </c>
      <c r="P95" s="166"/>
      <c r="Q95" s="166"/>
      <c r="R95" s="71"/>
    </row>
    <row r="96" spans="1:18" s="61" customFormat="1" ht="78.75" x14ac:dyDescent="0.25">
      <c r="A96" s="358"/>
      <c r="B96" s="361"/>
      <c r="C96" s="221" t="s">
        <v>236</v>
      </c>
      <c r="D96" s="156" t="s">
        <v>19</v>
      </c>
      <c r="E96" s="181" t="s">
        <v>20</v>
      </c>
      <c r="F96" s="181" t="s">
        <v>238</v>
      </c>
      <c r="G96" s="157">
        <f>MROUND(H96*L96*I96/K96,0.000001)</f>
        <v>0</v>
      </c>
      <c r="H96" s="158"/>
      <c r="I96" s="159">
        <f>I91</f>
        <v>3.5477600000000001E-3</v>
      </c>
      <c r="J96" s="160"/>
      <c r="K96" s="161">
        <f>K91</f>
        <v>107</v>
      </c>
      <c r="L96" s="162"/>
      <c r="M96" s="163"/>
      <c r="N96" s="164"/>
      <c r="O96" s="165">
        <f>MROUND(G96*N96,0.000001)</f>
        <v>0</v>
      </c>
      <c r="P96" s="166"/>
      <c r="Q96" s="166">
        <f t="shared" si="12"/>
        <v>0</v>
      </c>
      <c r="R96" s="71"/>
    </row>
    <row r="97" spans="1:18" s="61" customFormat="1" x14ac:dyDescent="0.25">
      <c r="A97" s="358"/>
      <c r="B97" s="361"/>
      <c r="C97" s="245" t="s">
        <v>298</v>
      </c>
      <c r="D97" s="240"/>
      <c r="E97" s="253"/>
      <c r="F97" s="253"/>
      <c r="G97" s="251"/>
      <c r="H97" s="241"/>
      <c r="I97" s="206"/>
      <c r="J97" s="228"/>
      <c r="K97" s="207"/>
      <c r="L97" s="229"/>
      <c r="M97" s="209"/>
      <c r="N97" s="210"/>
      <c r="O97" s="198">
        <f>SUM(O96)</f>
        <v>0</v>
      </c>
      <c r="P97" s="166"/>
      <c r="Q97" s="166"/>
      <c r="R97" s="71"/>
    </row>
    <row r="98" spans="1:18" s="61" customFormat="1" ht="30" x14ac:dyDescent="0.25">
      <c r="A98" s="358"/>
      <c r="B98" s="361"/>
      <c r="C98" s="365" t="s">
        <v>81</v>
      </c>
      <c r="D98" s="254" t="s">
        <v>410</v>
      </c>
      <c r="E98" s="156" t="s">
        <v>28</v>
      </c>
      <c r="F98" s="156" t="s">
        <v>28</v>
      </c>
      <c r="G98" s="157">
        <f>MROUND(H98*L98*I98/K98,0.0000000001)</f>
        <v>2.320964E-4</v>
      </c>
      <c r="H98" s="158">
        <f>Лист1!C79</f>
        <v>7</v>
      </c>
      <c r="I98" s="159">
        <f>I91</f>
        <v>3.5477600000000001E-3</v>
      </c>
      <c r="J98" s="160"/>
      <c r="K98" s="161">
        <f>K91</f>
        <v>107</v>
      </c>
      <c r="L98" s="162">
        <v>1</v>
      </c>
      <c r="M98" s="163" t="str">
        <f t="shared" ref="M98:M104" si="16">CONCATENATE(H98," ",F98,"*",I98,"/",K98,"чел.")</f>
        <v>7 шт*0,00354776/107чел.</v>
      </c>
      <c r="N98" s="164">
        <f>Лист1!E79</f>
        <v>152142.85714285713</v>
      </c>
      <c r="O98" s="165">
        <f>MROUND(G98*N98,0.000001)</f>
        <v>35.311808999999997</v>
      </c>
      <c r="P98" s="166"/>
      <c r="Q98" s="166">
        <f t="shared" si="12"/>
        <v>3778.3635629999994</v>
      </c>
      <c r="R98" s="71"/>
    </row>
    <row r="99" spans="1:18" s="61" customFormat="1" x14ac:dyDescent="0.25">
      <c r="A99" s="358"/>
      <c r="B99" s="361"/>
      <c r="C99" s="366"/>
      <c r="D99" s="254" t="s">
        <v>325</v>
      </c>
      <c r="E99" s="156" t="s">
        <v>28</v>
      </c>
      <c r="F99" s="156" t="s">
        <v>28</v>
      </c>
      <c r="G99" s="238">
        <f>MROUND(H99*L99*I99/K99,0.00000001)</f>
        <v>7.626E-4</v>
      </c>
      <c r="H99" s="158">
        <f>Лист1!C78</f>
        <v>23</v>
      </c>
      <c r="I99" s="159">
        <f>I98</f>
        <v>3.5477600000000001E-3</v>
      </c>
      <c r="J99" s="160"/>
      <c r="K99" s="161">
        <f>K98</f>
        <v>107</v>
      </c>
      <c r="L99" s="162">
        <v>1</v>
      </c>
      <c r="M99" s="163" t="str">
        <f t="shared" si="16"/>
        <v>23 шт*0,00354776/107чел.</v>
      </c>
      <c r="N99" s="164">
        <f>Лист1!E78</f>
        <v>229039.13043478262</v>
      </c>
      <c r="O99" s="165">
        <f>MROUND(G99*N99,0.000001)</f>
        <v>174.66524099999998</v>
      </c>
      <c r="P99" s="166"/>
      <c r="Q99" s="166">
        <f t="shared" si="12"/>
        <v>18689.180786999998</v>
      </c>
      <c r="R99" s="71"/>
    </row>
    <row r="100" spans="1:18" s="61" customFormat="1" ht="30" x14ac:dyDescent="0.25">
      <c r="A100" s="358"/>
      <c r="B100" s="361"/>
      <c r="C100" s="366"/>
      <c r="D100" s="254" t="s">
        <v>411</v>
      </c>
      <c r="E100" s="156" t="s">
        <v>28</v>
      </c>
      <c r="F100" s="156" t="s">
        <v>28</v>
      </c>
      <c r="G100" s="157">
        <f>MROUND(H100*L100*I100/K100,0.00000001)</f>
        <v>2.321E-4</v>
      </c>
      <c r="H100" s="158">
        <f>Лист1!C80</f>
        <v>7</v>
      </c>
      <c r="I100" s="159">
        <f>I98</f>
        <v>3.5477600000000001E-3</v>
      </c>
      <c r="J100" s="160"/>
      <c r="K100" s="161">
        <f>K98</f>
        <v>107</v>
      </c>
      <c r="L100" s="162">
        <v>1</v>
      </c>
      <c r="M100" s="163" t="str">
        <f t="shared" si="16"/>
        <v>7 шт*0,00354776/107чел.</v>
      </c>
      <c r="N100" s="164">
        <f>Лист1!E80</f>
        <v>82142.857142857145</v>
      </c>
      <c r="O100" s="165">
        <f t="shared" ref="O100:O121" si="17">MROUND(G100*N100,0.000001)</f>
        <v>19.065356999999999</v>
      </c>
      <c r="P100" s="166"/>
      <c r="Q100" s="166">
        <f t="shared" si="12"/>
        <v>2039.9931989999998</v>
      </c>
      <c r="R100" s="71"/>
    </row>
    <row r="101" spans="1:18" s="61" customFormat="1" x14ac:dyDescent="0.25">
      <c r="A101" s="358"/>
      <c r="B101" s="361"/>
      <c r="C101" s="366"/>
      <c r="D101" s="255" t="s">
        <v>412</v>
      </c>
      <c r="E101" s="156" t="s">
        <v>28</v>
      </c>
      <c r="F101" s="156" t="s">
        <v>28</v>
      </c>
      <c r="G101" s="157">
        <f>MROUND(H101*L101*I101/K101,0.00000001)</f>
        <v>1.16048E-3</v>
      </c>
      <c r="H101" s="158">
        <f>Лист1!C81</f>
        <v>35</v>
      </c>
      <c r="I101" s="159">
        <f>I100</f>
        <v>3.5477600000000001E-3</v>
      </c>
      <c r="J101" s="160"/>
      <c r="K101" s="161">
        <f>K100</f>
        <v>107</v>
      </c>
      <c r="L101" s="162">
        <v>1</v>
      </c>
      <c r="M101" s="163" t="str">
        <f t="shared" si="16"/>
        <v>35 шт*0,00354776/107чел.</v>
      </c>
      <c r="N101" s="164">
        <f>Лист1!E81</f>
        <v>126114.97142857143</v>
      </c>
      <c r="O101" s="165">
        <f t="shared" si="17"/>
        <v>146.35390200000001</v>
      </c>
      <c r="P101" s="166"/>
      <c r="Q101" s="166">
        <f t="shared" si="12"/>
        <v>15659.867514000001</v>
      </c>
      <c r="R101" s="71"/>
    </row>
    <row r="102" spans="1:18" s="61" customFormat="1" ht="31.5" x14ac:dyDescent="0.25">
      <c r="A102" s="358"/>
      <c r="B102" s="361"/>
      <c r="C102" s="366"/>
      <c r="D102" s="255" t="s">
        <v>413</v>
      </c>
      <c r="E102" s="156" t="s">
        <v>28</v>
      </c>
      <c r="F102" s="156" t="s">
        <v>28</v>
      </c>
      <c r="G102" s="157">
        <f>MROUND(H102*L102*I102/K102,0.0000000001)</f>
        <v>4.9734949999999997E-4</v>
      </c>
      <c r="H102" s="158">
        <f>Лист1!C82</f>
        <v>15</v>
      </c>
      <c r="I102" s="159">
        <f>I101</f>
        <v>3.5477600000000001E-3</v>
      </c>
      <c r="J102" s="160"/>
      <c r="K102" s="161">
        <f>K101</f>
        <v>107</v>
      </c>
      <c r="L102" s="162">
        <v>1</v>
      </c>
      <c r="M102" s="163" t="str">
        <f t="shared" si="16"/>
        <v>15 шт*0,00354776/107чел.</v>
      </c>
      <c r="N102" s="164">
        <f>Лист1!E82</f>
        <v>75333.333333333328</v>
      </c>
      <c r="O102" s="165">
        <f t="shared" si="17"/>
        <v>37.466996000000002</v>
      </c>
      <c r="P102" s="166"/>
      <c r="Q102" s="166">
        <f t="shared" si="12"/>
        <v>4008.9685720000002</v>
      </c>
      <c r="R102" s="71"/>
    </row>
    <row r="103" spans="1:18" s="61" customFormat="1" x14ac:dyDescent="0.25">
      <c r="A103" s="358"/>
      <c r="B103" s="361"/>
      <c r="C103" s="366"/>
      <c r="D103" s="254" t="s">
        <v>109</v>
      </c>
      <c r="E103" s="156" t="s">
        <v>28</v>
      </c>
      <c r="F103" s="156" t="s">
        <v>28</v>
      </c>
      <c r="G103" s="157">
        <f>MROUND(H103*L103*I103/K103,0.0000000001)</f>
        <v>5.3050619999999999E-4</v>
      </c>
      <c r="H103" s="158">
        <f>Лист1!C83</f>
        <v>16</v>
      </c>
      <c r="I103" s="159">
        <f>I102</f>
        <v>3.5477600000000001E-3</v>
      </c>
      <c r="J103" s="160"/>
      <c r="K103" s="161">
        <f>K102</f>
        <v>107</v>
      </c>
      <c r="L103" s="162">
        <v>1</v>
      </c>
      <c r="M103" s="163" t="str">
        <f t="shared" si="16"/>
        <v>16 шт*0,00354776/107чел.</v>
      </c>
      <c r="N103" s="164">
        <f>Лист1!E83</f>
        <v>169687.5</v>
      </c>
      <c r="O103" s="165">
        <f t="shared" si="17"/>
        <v>90.020270999999994</v>
      </c>
      <c r="P103" s="166"/>
      <c r="Q103" s="166">
        <f t="shared" si="12"/>
        <v>9632.1689969999989</v>
      </c>
      <c r="R103" s="71"/>
    </row>
    <row r="104" spans="1:18" s="61" customFormat="1" x14ac:dyDescent="0.25">
      <c r="A104" s="358"/>
      <c r="B104" s="361"/>
      <c r="C104" s="366"/>
      <c r="D104" s="254" t="s">
        <v>414</v>
      </c>
      <c r="E104" s="156" t="s">
        <v>28</v>
      </c>
      <c r="F104" s="156" t="s">
        <v>28</v>
      </c>
      <c r="G104" s="157">
        <f>MROUND(H104*L104*I104/K104,0.0000000001)</f>
        <v>2.9840969999999999E-4</v>
      </c>
      <c r="H104" s="158">
        <f>Лист1!C84</f>
        <v>9</v>
      </c>
      <c r="I104" s="159">
        <f>I102</f>
        <v>3.5477600000000001E-3</v>
      </c>
      <c r="J104" s="160"/>
      <c r="K104" s="161">
        <f>K102</f>
        <v>107</v>
      </c>
      <c r="L104" s="162">
        <v>1</v>
      </c>
      <c r="M104" s="163" t="str">
        <f t="shared" si="16"/>
        <v>9 шт*0,00354776/107чел.</v>
      </c>
      <c r="N104" s="164">
        <f>Лист1!E84</f>
        <v>89333.333333333328</v>
      </c>
      <c r="O104" s="165">
        <f t="shared" si="17"/>
        <v>26.657933</v>
      </c>
      <c r="P104" s="166"/>
      <c r="Q104" s="166">
        <f t="shared" si="12"/>
        <v>2852.398831</v>
      </c>
      <c r="R104" s="71"/>
    </row>
    <row r="105" spans="1:18" s="61" customFormat="1" x14ac:dyDescent="0.25">
      <c r="A105" s="358"/>
      <c r="B105" s="361"/>
      <c r="C105" s="366"/>
      <c r="D105" s="254" t="s">
        <v>415</v>
      </c>
      <c r="E105" s="156" t="s">
        <v>28</v>
      </c>
      <c r="F105" s="156" t="s">
        <v>28</v>
      </c>
      <c r="G105" s="157">
        <f>MROUND(H105*L105*I105/K105,0.00000001)</f>
        <v>3.6472000000000002E-4</v>
      </c>
      <c r="H105" s="158">
        <f>Лист1!C85</f>
        <v>11</v>
      </c>
      <c r="I105" s="159">
        <f t="shared" ref="I105:I114" si="18">I103</f>
        <v>3.5477600000000001E-3</v>
      </c>
      <c r="J105" s="160"/>
      <c r="K105" s="161">
        <f t="shared" ref="K105:K114" si="19">K103</f>
        <v>107</v>
      </c>
      <c r="L105" s="162">
        <v>1</v>
      </c>
      <c r="M105" s="163" t="str">
        <f t="shared" ref="M105:M114" si="20">CONCATENATE(H105," ",F105,"*",I105,"/",K105,"чел.")</f>
        <v>11 шт*0,00354776/107чел.</v>
      </c>
      <c r="N105" s="164">
        <f>Лист1!E85</f>
        <v>122181.81818181818</v>
      </c>
      <c r="O105" s="165">
        <f t="shared" ref="O105:O114" si="21">MROUND(G105*N105,0.000001)</f>
        <v>44.562152999999995</v>
      </c>
      <c r="P105" s="166"/>
      <c r="Q105" s="166">
        <f t="shared" si="12"/>
        <v>4768.1503709999997</v>
      </c>
      <c r="R105" s="71"/>
    </row>
    <row r="106" spans="1:18" s="61" customFormat="1" x14ac:dyDescent="0.25">
      <c r="A106" s="358"/>
      <c r="B106" s="361"/>
      <c r="C106" s="366"/>
      <c r="D106" s="254" t="s">
        <v>416</v>
      </c>
      <c r="E106" s="156" t="s">
        <v>28</v>
      </c>
      <c r="F106" s="156" t="s">
        <v>28</v>
      </c>
      <c r="G106" s="157">
        <f>MROUND(H106*L106*I106/K106,0.000000001)</f>
        <v>6.63133E-4</v>
      </c>
      <c r="H106" s="246">
        <f>Лист1!C86</f>
        <v>20</v>
      </c>
      <c r="I106" s="159">
        <f t="shared" si="18"/>
        <v>3.5477600000000001E-3</v>
      </c>
      <c r="J106" s="160"/>
      <c r="K106" s="161">
        <f t="shared" si="19"/>
        <v>107</v>
      </c>
      <c r="L106" s="162">
        <v>1</v>
      </c>
      <c r="M106" s="163" t="str">
        <f t="shared" si="20"/>
        <v>20 шт*0,00354776/107чел.</v>
      </c>
      <c r="N106" s="164">
        <f>Лист1!E86</f>
        <v>52500</v>
      </c>
      <c r="O106" s="165">
        <f t="shared" si="21"/>
        <v>34.814482999999996</v>
      </c>
      <c r="P106" s="166"/>
      <c r="Q106" s="166">
        <f t="shared" si="12"/>
        <v>3725.1496809999994</v>
      </c>
      <c r="R106" s="71"/>
    </row>
    <row r="107" spans="1:18" s="61" customFormat="1" x14ac:dyDescent="0.25">
      <c r="A107" s="358"/>
      <c r="B107" s="361"/>
      <c r="C107" s="366"/>
      <c r="D107" s="254" t="s">
        <v>417</v>
      </c>
      <c r="E107" s="156" t="s">
        <v>28</v>
      </c>
      <c r="F107" s="156" t="s">
        <v>28</v>
      </c>
      <c r="G107" s="157">
        <f>MROUND(H107*L107*I107/K107,0.00000001)</f>
        <v>5.6366000000000001E-4</v>
      </c>
      <c r="H107" s="158">
        <f>Лист1!C87</f>
        <v>17</v>
      </c>
      <c r="I107" s="159">
        <f t="shared" si="18"/>
        <v>3.5477600000000001E-3</v>
      </c>
      <c r="J107" s="160"/>
      <c r="K107" s="161">
        <f t="shared" si="19"/>
        <v>107</v>
      </c>
      <c r="L107" s="162">
        <v>1</v>
      </c>
      <c r="M107" s="163" t="str">
        <f t="shared" si="20"/>
        <v>17 шт*0,00354776/107чел.</v>
      </c>
      <c r="N107" s="164">
        <f>Лист1!E87</f>
        <v>75000</v>
      </c>
      <c r="O107" s="165">
        <f t="shared" si="21"/>
        <v>42.274499999999996</v>
      </c>
      <c r="P107" s="166"/>
      <c r="Q107" s="166">
        <f t="shared" si="12"/>
        <v>4523.3714999999993</v>
      </c>
      <c r="R107" s="71"/>
    </row>
    <row r="108" spans="1:18" s="61" customFormat="1" ht="30" x14ac:dyDescent="0.25">
      <c r="A108" s="358"/>
      <c r="B108" s="361"/>
      <c r="C108" s="366"/>
      <c r="D108" s="254" t="s">
        <v>418</v>
      </c>
      <c r="E108" s="156" t="s">
        <v>28</v>
      </c>
      <c r="F108" s="156" t="s">
        <v>28</v>
      </c>
      <c r="G108" s="157">
        <f>MROUND(H108*L108*I108/K108,0.00000001)</f>
        <v>2.9840999999999998E-4</v>
      </c>
      <c r="H108" s="158">
        <f>Лист1!C88</f>
        <v>9</v>
      </c>
      <c r="I108" s="159">
        <f t="shared" si="18"/>
        <v>3.5477600000000001E-3</v>
      </c>
      <c r="J108" s="160"/>
      <c r="K108" s="161">
        <f t="shared" si="19"/>
        <v>107</v>
      </c>
      <c r="L108" s="162">
        <v>1</v>
      </c>
      <c r="M108" s="163" t="str">
        <f t="shared" si="20"/>
        <v>9 шт*0,00354776/107чел.</v>
      </c>
      <c r="N108" s="164">
        <f>Лист1!E88</f>
        <v>66666.666666666672</v>
      </c>
      <c r="O108" s="165">
        <f t="shared" si="21"/>
        <v>19.893999999999998</v>
      </c>
      <c r="P108" s="166"/>
      <c r="Q108" s="166">
        <f t="shared" si="12"/>
        <v>2128.6579999999999</v>
      </c>
      <c r="R108" s="71"/>
    </row>
    <row r="109" spans="1:18" s="61" customFormat="1" x14ac:dyDescent="0.25">
      <c r="A109" s="358"/>
      <c r="B109" s="361"/>
      <c r="C109" s="366"/>
      <c r="D109" s="254" t="s">
        <v>324</v>
      </c>
      <c r="E109" s="156" t="s">
        <v>28</v>
      </c>
      <c r="F109" s="156" t="s">
        <v>28</v>
      </c>
      <c r="G109" s="157">
        <f>MROUND(H109*L109*I109/K109,0.000000001)</f>
        <v>5.9681900000000006E-4</v>
      </c>
      <c r="H109" s="158">
        <f>Лист1!C89</f>
        <v>18</v>
      </c>
      <c r="I109" s="159">
        <f t="shared" si="18"/>
        <v>3.5477600000000001E-3</v>
      </c>
      <c r="J109" s="160"/>
      <c r="K109" s="161">
        <f t="shared" si="19"/>
        <v>107</v>
      </c>
      <c r="L109" s="162">
        <v>1</v>
      </c>
      <c r="M109" s="163" t="str">
        <f t="shared" si="20"/>
        <v>18 шт*0,00354776/107чел.</v>
      </c>
      <c r="N109" s="164">
        <f>Лист1!E89</f>
        <v>365277.77777777775</v>
      </c>
      <c r="O109" s="165">
        <f t="shared" si="21"/>
        <v>218.004718</v>
      </c>
      <c r="P109" s="166"/>
      <c r="Q109" s="166">
        <f t="shared" si="12"/>
        <v>23326.504826</v>
      </c>
      <c r="R109" s="71"/>
    </row>
    <row r="110" spans="1:18" s="61" customFormat="1" x14ac:dyDescent="0.25">
      <c r="A110" s="358"/>
      <c r="B110" s="361"/>
      <c r="C110" s="366"/>
      <c r="D110" s="254" t="s">
        <v>419</v>
      </c>
      <c r="E110" s="156" t="s">
        <v>28</v>
      </c>
      <c r="F110" s="156" t="s">
        <v>28</v>
      </c>
      <c r="G110" s="157">
        <f>MROUND(H110*L110*I110/K110,0.000000001)</f>
        <v>7.9575900000000005E-4</v>
      </c>
      <c r="H110" s="246">
        <f>Лист1!C90</f>
        <v>24</v>
      </c>
      <c r="I110" s="159">
        <f t="shared" si="18"/>
        <v>3.5477600000000001E-3</v>
      </c>
      <c r="J110" s="160"/>
      <c r="K110" s="161">
        <f t="shared" si="19"/>
        <v>107</v>
      </c>
      <c r="L110" s="162">
        <v>1</v>
      </c>
      <c r="M110" s="163" t="str">
        <f t="shared" si="20"/>
        <v>24 шт*0,00354776/107чел.</v>
      </c>
      <c r="N110" s="164">
        <f>Лист1!E90</f>
        <v>32416.666666666668</v>
      </c>
      <c r="O110" s="165">
        <f t="shared" si="21"/>
        <v>25.795853999999999</v>
      </c>
      <c r="P110" s="166"/>
      <c r="Q110" s="166">
        <f t="shared" si="12"/>
        <v>2760.1563779999997</v>
      </c>
      <c r="R110" s="71"/>
    </row>
    <row r="111" spans="1:18" s="61" customFormat="1" x14ac:dyDescent="0.25">
      <c r="A111" s="358"/>
      <c r="B111" s="361"/>
      <c r="C111" s="366"/>
      <c r="D111" s="254" t="s">
        <v>420</v>
      </c>
      <c r="E111" s="156" t="s">
        <v>28</v>
      </c>
      <c r="F111" s="156" t="s">
        <v>28</v>
      </c>
      <c r="G111" s="157">
        <f>MROUND(H111*L111*I111/K111,0.000000001)</f>
        <v>4.9735000000000003E-4</v>
      </c>
      <c r="H111" s="158">
        <f>Лист1!C91</f>
        <v>15</v>
      </c>
      <c r="I111" s="159">
        <f t="shared" si="18"/>
        <v>3.5477600000000001E-3</v>
      </c>
      <c r="J111" s="160"/>
      <c r="K111" s="161">
        <f t="shared" si="19"/>
        <v>107</v>
      </c>
      <c r="L111" s="162">
        <v>1</v>
      </c>
      <c r="M111" s="163" t="str">
        <f t="shared" si="20"/>
        <v>15 шт*0,00354776/107чел.</v>
      </c>
      <c r="N111" s="164">
        <f>Лист1!E91</f>
        <v>127666.66666666667</v>
      </c>
      <c r="O111" s="165">
        <f t="shared" si="21"/>
        <v>63.495016999999997</v>
      </c>
      <c r="P111" s="166"/>
      <c r="Q111" s="166">
        <f t="shared" si="12"/>
        <v>6793.9668189999993</v>
      </c>
      <c r="R111" s="71"/>
    </row>
    <row r="112" spans="1:18" s="61" customFormat="1" x14ac:dyDescent="0.25">
      <c r="A112" s="358"/>
      <c r="B112" s="361"/>
      <c r="C112" s="366"/>
      <c r="D112" s="254" t="s">
        <v>421</v>
      </c>
      <c r="E112" s="156" t="s">
        <v>28</v>
      </c>
      <c r="F112" s="156" t="s">
        <v>28</v>
      </c>
      <c r="G112" s="157">
        <f>MROUND(H112*L112*I112/K112,0.00000001)</f>
        <v>9.6153999999999999E-4</v>
      </c>
      <c r="H112" s="158">
        <f>Лист1!C92</f>
        <v>29</v>
      </c>
      <c r="I112" s="159">
        <f t="shared" si="18"/>
        <v>3.5477600000000001E-3</v>
      </c>
      <c r="J112" s="160"/>
      <c r="K112" s="161">
        <f t="shared" si="19"/>
        <v>107</v>
      </c>
      <c r="L112" s="162">
        <v>1</v>
      </c>
      <c r="M112" s="163" t="str">
        <f t="shared" si="20"/>
        <v>29 шт*0,00354776/107чел.</v>
      </c>
      <c r="N112" s="164">
        <f>Лист1!E92</f>
        <v>13517.241379310344</v>
      </c>
      <c r="O112" s="165">
        <f t="shared" si="21"/>
        <v>12.997368</v>
      </c>
      <c r="P112" s="166"/>
      <c r="Q112" s="166">
        <f t="shared" si="12"/>
        <v>1390.718376</v>
      </c>
      <c r="R112" s="71"/>
    </row>
    <row r="113" spans="1:18" s="61" customFormat="1" ht="30" x14ac:dyDescent="0.25">
      <c r="A113" s="358"/>
      <c r="B113" s="361"/>
      <c r="C113" s="366"/>
      <c r="D113" s="254" t="s">
        <v>422</v>
      </c>
      <c r="E113" s="156" t="s">
        <v>28</v>
      </c>
      <c r="F113" s="156" t="s">
        <v>28</v>
      </c>
      <c r="G113" s="157">
        <f>MROUND(H113*L113*I113/K113,0.00000001)</f>
        <v>5.9681999999999997E-4</v>
      </c>
      <c r="H113" s="158">
        <f>Лист1!C93</f>
        <v>18</v>
      </c>
      <c r="I113" s="159">
        <f t="shared" si="18"/>
        <v>3.5477600000000001E-3</v>
      </c>
      <c r="J113" s="160"/>
      <c r="K113" s="161">
        <f t="shared" si="19"/>
        <v>107</v>
      </c>
      <c r="L113" s="162">
        <v>1</v>
      </c>
      <c r="M113" s="163" t="str">
        <f t="shared" si="20"/>
        <v>18 шт*0,00354776/107чел.</v>
      </c>
      <c r="N113" s="164">
        <f>Лист1!E93</f>
        <v>34944.444444444445</v>
      </c>
      <c r="O113" s="165">
        <f t="shared" si="21"/>
        <v>20.855543000000001</v>
      </c>
      <c r="P113" s="166"/>
      <c r="Q113" s="166">
        <f t="shared" si="12"/>
        <v>2231.5431010000002</v>
      </c>
      <c r="R113" s="71"/>
    </row>
    <row r="114" spans="1:18" s="61" customFormat="1" x14ac:dyDescent="0.25">
      <c r="A114" s="358"/>
      <c r="B114" s="361"/>
      <c r="C114" s="366"/>
      <c r="D114" s="254" t="s">
        <v>423</v>
      </c>
      <c r="E114" s="156" t="s">
        <v>28</v>
      </c>
      <c r="F114" s="156" t="s">
        <v>28</v>
      </c>
      <c r="G114" s="157">
        <f>MROUND(H114*L114*I114/K114,0.000000001)</f>
        <v>6.63133E-4</v>
      </c>
      <c r="H114" s="158">
        <f>Лист1!C94</f>
        <v>20</v>
      </c>
      <c r="I114" s="159">
        <f t="shared" si="18"/>
        <v>3.5477600000000001E-3</v>
      </c>
      <c r="J114" s="160"/>
      <c r="K114" s="161">
        <f t="shared" si="19"/>
        <v>107</v>
      </c>
      <c r="L114" s="162">
        <v>1</v>
      </c>
      <c r="M114" s="163" t="str">
        <f t="shared" si="20"/>
        <v>20 шт*0,00354776/107чел.</v>
      </c>
      <c r="N114" s="164">
        <f>Лист1!E94</f>
        <v>74500</v>
      </c>
      <c r="O114" s="165">
        <f t="shared" si="21"/>
        <v>49.403408999999996</v>
      </c>
      <c r="P114" s="166"/>
      <c r="Q114" s="166">
        <f t="shared" si="12"/>
        <v>5286.1647629999998</v>
      </c>
      <c r="R114" s="71"/>
    </row>
    <row r="115" spans="1:18" s="61" customFormat="1" x14ac:dyDescent="0.25">
      <c r="A115" s="358"/>
      <c r="B115" s="361"/>
      <c r="C115" s="366"/>
      <c r="D115" s="254" t="s">
        <v>424</v>
      </c>
      <c r="E115" s="156" t="s">
        <v>28</v>
      </c>
      <c r="F115" s="156" t="s">
        <v>28</v>
      </c>
      <c r="G115" s="157">
        <f t="shared" ref="G115:G121" si="22">MROUND(H115*L115*I115/K115,0.00000001)</f>
        <v>1.16048E-3</v>
      </c>
      <c r="H115" s="158">
        <f>Лист1!C95</f>
        <v>35</v>
      </c>
      <c r="I115" s="159">
        <f>I104</f>
        <v>3.5477600000000001E-3</v>
      </c>
      <c r="J115" s="160"/>
      <c r="K115" s="161">
        <f>K104</f>
        <v>107</v>
      </c>
      <c r="L115" s="162">
        <v>1</v>
      </c>
      <c r="M115" s="163" t="str">
        <f t="shared" ref="M115:M121" si="23">CONCATENATE(H115," ",F115,"*",I115,"/",K115,"чел.")</f>
        <v>35 шт*0,00354776/107чел.</v>
      </c>
      <c r="N115" s="164">
        <f>Лист1!E95</f>
        <v>34285.714285714283</v>
      </c>
      <c r="O115" s="165">
        <f t="shared" si="17"/>
        <v>39.787886</v>
      </c>
      <c r="P115" s="166"/>
      <c r="Q115" s="166">
        <f t="shared" si="12"/>
        <v>4257.3038020000004</v>
      </c>
      <c r="R115" s="71"/>
    </row>
    <row r="116" spans="1:18" s="61" customFormat="1" x14ac:dyDescent="0.25">
      <c r="A116" s="358"/>
      <c r="B116" s="361"/>
      <c r="C116" s="366"/>
      <c r="D116" s="254" t="s">
        <v>425</v>
      </c>
      <c r="E116" s="156" t="s">
        <v>28</v>
      </c>
      <c r="F116" s="156" t="s">
        <v>28</v>
      </c>
      <c r="G116" s="157">
        <f t="shared" si="22"/>
        <v>1.16048E-3</v>
      </c>
      <c r="H116" s="158">
        <f>Лист1!C96</f>
        <v>35</v>
      </c>
      <c r="I116" s="159">
        <f t="shared" ref="I116:I121" si="24">I115</f>
        <v>3.5477600000000001E-3</v>
      </c>
      <c r="J116" s="160"/>
      <c r="K116" s="161">
        <f t="shared" ref="K116:K121" si="25">K115</f>
        <v>107</v>
      </c>
      <c r="L116" s="162">
        <v>1</v>
      </c>
      <c r="M116" s="163" t="str">
        <f t="shared" si="23"/>
        <v>35 шт*0,00354776/107чел.</v>
      </c>
      <c r="N116" s="164">
        <f>Лист1!E96</f>
        <v>19102.857142857141</v>
      </c>
      <c r="O116" s="165">
        <f t="shared" si="17"/>
        <v>22.168483999999999</v>
      </c>
      <c r="P116" s="166"/>
      <c r="Q116" s="166">
        <f t="shared" si="12"/>
        <v>2372.0277879999999</v>
      </c>
      <c r="R116" s="71"/>
    </row>
    <row r="117" spans="1:18" s="61" customFormat="1" x14ac:dyDescent="0.25">
      <c r="A117" s="358"/>
      <c r="B117" s="361"/>
      <c r="C117" s="366"/>
      <c r="D117" s="254" t="s">
        <v>108</v>
      </c>
      <c r="E117" s="156" t="s">
        <v>28</v>
      </c>
      <c r="F117" s="156" t="s">
        <v>28</v>
      </c>
      <c r="G117" s="157">
        <f t="shared" si="22"/>
        <v>2.8680489999999999E-2</v>
      </c>
      <c r="H117" s="158">
        <f>Лист1!C97</f>
        <v>865</v>
      </c>
      <c r="I117" s="159">
        <f t="shared" si="24"/>
        <v>3.5477600000000001E-3</v>
      </c>
      <c r="J117" s="160"/>
      <c r="K117" s="161">
        <f t="shared" si="25"/>
        <v>107</v>
      </c>
      <c r="L117" s="162">
        <v>1</v>
      </c>
      <c r="M117" s="163" t="str">
        <f t="shared" si="23"/>
        <v>865 шт*0,00354776/107чел.</v>
      </c>
      <c r="N117" s="164">
        <f>Лист1!E97</f>
        <v>779.36416184971097</v>
      </c>
      <c r="O117" s="165">
        <f t="shared" si="17"/>
        <v>22.352546</v>
      </c>
      <c r="P117" s="166"/>
      <c r="Q117" s="166">
        <f t="shared" si="12"/>
        <v>2391.7224219999998</v>
      </c>
      <c r="R117" s="71"/>
    </row>
    <row r="118" spans="1:18" s="61" customFormat="1" x14ac:dyDescent="0.25">
      <c r="A118" s="358"/>
      <c r="B118" s="361"/>
      <c r="C118" s="366"/>
      <c r="D118" s="254" t="s">
        <v>426</v>
      </c>
      <c r="E118" s="156" t="s">
        <v>28</v>
      </c>
      <c r="F118" s="156" t="s">
        <v>28</v>
      </c>
      <c r="G118" s="157">
        <f t="shared" si="22"/>
        <v>1.45889E-3</v>
      </c>
      <c r="H118" s="158">
        <f>Лист1!C98</f>
        <v>44</v>
      </c>
      <c r="I118" s="159">
        <f t="shared" si="24"/>
        <v>3.5477600000000001E-3</v>
      </c>
      <c r="J118" s="160"/>
      <c r="K118" s="161">
        <f t="shared" si="25"/>
        <v>107</v>
      </c>
      <c r="L118" s="162">
        <v>1</v>
      </c>
      <c r="M118" s="163" t="str">
        <f t="shared" si="23"/>
        <v>44 шт*0,00354776/107чел.</v>
      </c>
      <c r="N118" s="164">
        <f>Лист1!E98</f>
        <v>12416.954545454546</v>
      </c>
      <c r="O118" s="165">
        <f t="shared" si="17"/>
        <v>18.114971000000001</v>
      </c>
      <c r="P118" s="166"/>
      <c r="Q118" s="166">
        <f t="shared" si="12"/>
        <v>1938.3018970000001</v>
      </c>
      <c r="R118" s="71"/>
    </row>
    <row r="119" spans="1:18" s="61" customFormat="1" x14ac:dyDescent="0.25">
      <c r="A119" s="358"/>
      <c r="B119" s="361"/>
      <c r="C119" s="366"/>
      <c r="D119" s="254" t="s">
        <v>427</v>
      </c>
      <c r="E119" s="156" t="s">
        <v>28</v>
      </c>
      <c r="F119" s="156" t="s">
        <v>28</v>
      </c>
      <c r="G119" s="157">
        <f t="shared" si="22"/>
        <v>2.18834E-3</v>
      </c>
      <c r="H119" s="158">
        <f>Лист1!C99</f>
        <v>66</v>
      </c>
      <c r="I119" s="159">
        <f t="shared" si="24"/>
        <v>3.5477600000000001E-3</v>
      </c>
      <c r="J119" s="160"/>
      <c r="K119" s="161">
        <f t="shared" si="25"/>
        <v>107</v>
      </c>
      <c r="L119" s="162">
        <v>1</v>
      </c>
      <c r="M119" s="163" t="str">
        <f t="shared" si="23"/>
        <v>66 шт*0,00354776/107чел.</v>
      </c>
      <c r="N119" s="164">
        <f>Лист1!E99</f>
        <v>13060.60606060606</v>
      </c>
      <c r="O119" s="165">
        <f t="shared" si="17"/>
        <v>28.581046999999998</v>
      </c>
      <c r="P119" s="166"/>
      <c r="Q119" s="166">
        <f t="shared" si="12"/>
        <v>3058.1720289999998</v>
      </c>
      <c r="R119" s="71"/>
    </row>
    <row r="120" spans="1:18" s="61" customFormat="1" x14ac:dyDescent="0.25">
      <c r="A120" s="358"/>
      <c r="B120" s="361"/>
      <c r="C120" s="366"/>
      <c r="D120" s="254" t="s">
        <v>428</v>
      </c>
      <c r="E120" s="156" t="s">
        <v>28</v>
      </c>
      <c r="F120" s="156" t="s">
        <v>28</v>
      </c>
      <c r="G120" s="157">
        <f t="shared" si="22"/>
        <v>1.1439040000000001E-2</v>
      </c>
      <c r="H120" s="158">
        <f>Лист1!C100</f>
        <v>345</v>
      </c>
      <c r="I120" s="159">
        <f t="shared" si="24"/>
        <v>3.5477600000000001E-3</v>
      </c>
      <c r="J120" s="160"/>
      <c r="K120" s="161">
        <f t="shared" si="25"/>
        <v>107</v>
      </c>
      <c r="L120" s="162">
        <v>1</v>
      </c>
      <c r="M120" s="163" t="str">
        <f t="shared" si="23"/>
        <v>345 шт*0,00354776/107чел.</v>
      </c>
      <c r="N120" s="164">
        <f>Лист1!E100</f>
        <v>8520.7246376811599</v>
      </c>
      <c r="O120" s="165">
        <f t="shared" si="17"/>
        <v>97.468909999999994</v>
      </c>
      <c r="P120" s="166"/>
      <c r="Q120" s="166">
        <f t="shared" si="12"/>
        <v>10429.173369999999</v>
      </c>
      <c r="R120" s="71"/>
    </row>
    <row r="121" spans="1:18" s="61" customFormat="1" x14ac:dyDescent="0.25">
      <c r="A121" s="358"/>
      <c r="B121" s="361"/>
      <c r="C121" s="366"/>
      <c r="D121" s="255" t="s">
        <v>429</v>
      </c>
      <c r="E121" s="156" t="s">
        <v>28</v>
      </c>
      <c r="F121" s="156" t="s">
        <v>28</v>
      </c>
      <c r="G121" s="157">
        <f t="shared" si="22"/>
        <v>1.6246800000000001E-3</v>
      </c>
      <c r="H121" s="158">
        <f>Лист1!C101</f>
        <v>49</v>
      </c>
      <c r="I121" s="159">
        <f t="shared" si="24"/>
        <v>3.5477600000000001E-3</v>
      </c>
      <c r="J121" s="160"/>
      <c r="K121" s="161">
        <f t="shared" si="25"/>
        <v>107</v>
      </c>
      <c r="L121" s="162">
        <v>1</v>
      </c>
      <c r="M121" s="163" t="str">
        <f t="shared" si="23"/>
        <v>49 шт*0,00354776/107чел.</v>
      </c>
      <c r="N121" s="164">
        <f>Лист1!E101</f>
        <v>53775.510204081635</v>
      </c>
      <c r="O121" s="165">
        <f t="shared" si="17"/>
        <v>87.367995999999991</v>
      </c>
      <c r="P121" s="166"/>
      <c r="Q121" s="166">
        <f t="shared" si="12"/>
        <v>9348.375571999999</v>
      </c>
      <c r="R121" s="71"/>
    </row>
    <row r="122" spans="1:18" s="61" customFormat="1" x14ac:dyDescent="0.25">
      <c r="A122" s="358"/>
      <c r="B122" s="361"/>
      <c r="C122" s="249" t="s">
        <v>299</v>
      </c>
      <c r="D122" s="256"/>
      <c r="E122" s="240"/>
      <c r="F122" s="240"/>
      <c r="G122" s="251"/>
      <c r="H122" s="241"/>
      <c r="I122" s="206"/>
      <c r="J122" s="228"/>
      <c r="K122" s="207"/>
      <c r="L122" s="229"/>
      <c r="M122" s="209"/>
      <c r="N122" s="210"/>
      <c r="O122" s="198">
        <f>SUM(O98:O121)</f>
        <v>1377.4803939999999</v>
      </c>
      <c r="P122" s="166"/>
      <c r="Q122" s="166"/>
      <c r="R122" s="71"/>
    </row>
    <row r="123" spans="1:18" s="61" customFormat="1" ht="110.25" x14ac:dyDescent="0.25">
      <c r="A123" s="358"/>
      <c r="B123" s="361"/>
      <c r="C123" s="221" t="s">
        <v>82</v>
      </c>
      <c r="D123" s="156" t="s">
        <v>46</v>
      </c>
      <c r="E123" s="156" t="s">
        <v>54</v>
      </c>
      <c r="F123" s="156" t="s">
        <v>285</v>
      </c>
      <c r="G123" s="157">
        <f>MROUND(H123*L123*I123/K123,0.000001)</f>
        <v>0.375002</v>
      </c>
      <c r="H123" s="243">
        <f>Лист1!C124</f>
        <v>1028.181818181818</v>
      </c>
      <c r="I123" s="159">
        <f>I121</f>
        <v>3.5477600000000001E-3</v>
      </c>
      <c r="J123" s="160"/>
      <c r="K123" s="161">
        <f>K121</f>
        <v>107</v>
      </c>
      <c r="L123" s="162">
        <f>Лист1!D124</f>
        <v>11</v>
      </c>
      <c r="M123" s="163" t="str">
        <f>CONCATENATE(H123," ",F123,"*",L123,"автобуса","*",I123,"/",K123,"чел.")</f>
        <v>1028,18181818182 л бензина АИ 92 (12,5л/день(зимой)*20дней*7мес+10л/день(летом)*20дней*4мес)*11автобуса*0,00354776/107чел.</v>
      </c>
      <c r="N123" s="164">
        <f>Лист1!E124</f>
        <v>54.500000000000007</v>
      </c>
      <c r="O123" s="165">
        <f>MROUND(G123*N123,0.000001)</f>
        <v>20.437608999999998</v>
      </c>
      <c r="P123" s="166"/>
      <c r="Q123" s="166">
        <f>O123*K123</f>
        <v>2186.8241629999998</v>
      </c>
      <c r="R123" s="71"/>
    </row>
    <row r="124" spans="1:18" s="61" customFormat="1" x14ac:dyDescent="0.25">
      <c r="A124" s="358"/>
      <c r="B124" s="361"/>
      <c r="C124" s="218" t="s">
        <v>300</v>
      </c>
      <c r="D124" s="240"/>
      <c r="E124" s="240"/>
      <c r="F124" s="240"/>
      <c r="G124" s="251"/>
      <c r="H124" s="241"/>
      <c r="I124" s="206"/>
      <c r="J124" s="228"/>
      <c r="K124" s="207"/>
      <c r="L124" s="229"/>
      <c r="M124" s="209"/>
      <c r="N124" s="210"/>
      <c r="O124" s="198">
        <f>SUM(O123)</f>
        <v>20.437608999999998</v>
      </c>
      <c r="P124" s="166"/>
      <c r="Q124" s="166"/>
      <c r="R124" s="71"/>
    </row>
    <row r="125" spans="1:18" s="61" customFormat="1" ht="47.25" x14ac:dyDescent="0.25">
      <c r="A125" s="358"/>
      <c r="B125" s="361"/>
      <c r="C125" s="221" t="s">
        <v>434</v>
      </c>
      <c r="D125" s="156" t="s">
        <v>436</v>
      </c>
      <c r="E125" s="156" t="s">
        <v>28</v>
      </c>
      <c r="F125" s="156" t="s">
        <v>437</v>
      </c>
      <c r="G125" s="157">
        <f>MROUND(H125*L125*I125/K125,0.000001)</f>
        <v>9.6150000000000003E-3</v>
      </c>
      <c r="H125" s="242">
        <f>Лист1!C123</f>
        <v>290</v>
      </c>
      <c r="I125" s="159">
        <f>I123</f>
        <v>3.5477600000000001E-3</v>
      </c>
      <c r="J125" s="160"/>
      <c r="K125" s="161">
        <f>K123</f>
        <v>107</v>
      </c>
      <c r="L125" s="162">
        <v>1</v>
      </c>
      <c r="M125" s="163" t="str">
        <f>CONCATENATE(H125," ",F125,"*",I125,"/",K125,"чел.")</f>
        <v>290 огнетушителей (потребность учреждений) *0,00354776/107чел.</v>
      </c>
      <c r="N125" s="164">
        <f>Лист1!E123</f>
        <v>2000</v>
      </c>
      <c r="O125" s="165">
        <f>MROUND(G125*N125,0.000001)</f>
        <v>19.23</v>
      </c>
      <c r="P125" s="166"/>
      <c r="Q125" s="166">
        <f t="shared" si="12"/>
        <v>2057.61</v>
      </c>
      <c r="R125" s="71"/>
    </row>
    <row r="126" spans="1:18" s="61" customFormat="1" x14ac:dyDescent="0.25">
      <c r="A126" s="358"/>
      <c r="B126" s="361"/>
      <c r="C126" s="218" t="s">
        <v>435</v>
      </c>
      <c r="D126" s="240"/>
      <c r="E126" s="240"/>
      <c r="F126" s="240"/>
      <c r="G126" s="251"/>
      <c r="H126" s="241"/>
      <c r="I126" s="206"/>
      <c r="J126" s="228"/>
      <c r="K126" s="207"/>
      <c r="L126" s="229"/>
      <c r="M126" s="209"/>
      <c r="N126" s="210"/>
      <c r="O126" s="198">
        <f>SUM(O125)</f>
        <v>19.23</v>
      </c>
      <c r="P126" s="166"/>
      <c r="Q126" s="166"/>
      <c r="R126" s="71"/>
    </row>
    <row r="127" spans="1:18" s="61" customFormat="1" ht="47.25" x14ac:dyDescent="0.25">
      <c r="A127" s="358"/>
      <c r="B127" s="361"/>
      <c r="C127" s="364" t="s">
        <v>118</v>
      </c>
      <c r="D127" s="156" t="s">
        <v>47</v>
      </c>
      <c r="E127" s="156" t="s">
        <v>28</v>
      </c>
      <c r="F127" s="156" t="s">
        <v>239</v>
      </c>
      <c r="G127" s="157">
        <f>MROUND(H127*L127*I127/K127,0.00000001)</f>
        <v>4.7745599999999997E-3</v>
      </c>
      <c r="H127" s="158">
        <f>Лист1!C126</f>
        <v>144</v>
      </c>
      <c r="I127" s="159">
        <f>I123</f>
        <v>3.5477600000000001E-3</v>
      </c>
      <c r="J127" s="160"/>
      <c r="K127" s="161">
        <f>K123</f>
        <v>107</v>
      </c>
      <c r="L127" s="162">
        <v>1</v>
      </c>
      <c r="M127" s="163" t="str">
        <f>CONCATENATE(H127," ",F127,"*",I127,"/",K127,"чел.")</f>
        <v>144 манометров (потребность учреждений) *0,00354776/107чел.</v>
      </c>
      <c r="N127" s="164">
        <f>Лист1!E126</f>
        <v>708.5</v>
      </c>
      <c r="O127" s="165">
        <f>MROUND(G127*N127,0.000001)</f>
        <v>3.3827759999999998</v>
      </c>
      <c r="P127" s="166"/>
      <c r="Q127" s="166">
        <f t="shared" si="12"/>
        <v>361.95703199999997</v>
      </c>
      <c r="R127" s="71"/>
    </row>
    <row r="128" spans="1:18" s="61" customFormat="1" ht="47.25" x14ac:dyDescent="0.25">
      <c r="A128" s="358"/>
      <c r="B128" s="361"/>
      <c r="C128" s="364"/>
      <c r="D128" s="255" t="s">
        <v>113</v>
      </c>
      <c r="E128" s="156" t="s">
        <v>28</v>
      </c>
      <c r="F128" s="156" t="s">
        <v>240</v>
      </c>
      <c r="G128" s="157">
        <f>MROUND(H128*L128*I128/K128,0.00000001)</f>
        <v>0.18949017000000001</v>
      </c>
      <c r="H128" s="158">
        <f>Лист1!C127</f>
        <v>5715</v>
      </c>
      <c r="I128" s="159">
        <f>I127</f>
        <v>3.5477600000000001E-3</v>
      </c>
      <c r="J128" s="160"/>
      <c r="K128" s="161">
        <f>K127</f>
        <v>107</v>
      </c>
      <c r="L128" s="162">
        <v>1</v>
      </c>
      <c r="M128" s="163" t="str">
        <f>CONCATENATE(H128," ",F128,"*",I128,"/",K128,"чел.")</f>
        <v>5715 светильников (потребность учреждений)*0,00354776/107чел.</v>
      </c>
      <c r="N128" s="164">
        <f>Лист1!E127</f>
        <v>106.27500087489064</v>
      </c>
      <c r="O128" s="165">
        <f>MROUND(G128*N128,0.000001)</f>
        <v>20.138068000000001</v>
      </c>
      <c r="P128" s="166"/>
      <c r="Q128" s="166">
        <f t="shared" si="12"/>
        <v>2154.7732759999999</v>
      </c>
      <c r="R128" s="71"/>
    </row>
    <row r="129" spans="1:19" s="61" customFormat="1" x14ac:dyDescent="0.25">
      <c r="A129" s="359"/>
      <c r="B129" s="362"/>
      <c r="C129" s="218" t="s">
        <v>301</v>
      </c>
      <c r="D129" s="256"/>
      <c r="E129" s="240"/>
      <c r="F129" s="240"/>
      <c r="G129" s="227"/>
      <c r="H129" s="241"/>
      <c r="I129" s="206"/>
      <c r="J129" s="228"/>
      <c r="K129" s="207"/>
      <c r="L129" s="257"/>
      <c r="M129" s="209"/>
      <c r="N129" s="210"/>
      <c r="O129" s="198">
        <f>SUM(O127:O128)</f>
        <v>23.520844</v>
      </c>
      <c r="P129" s="166"/>
      <c r="Q129" s="166"/>
      <c r="R129" s="71"/>
    </row>
    <row r="130" spans="1:19" s="61" customFormat="1" x14ac:dyDescent="0.25">
      <c r="A130" s="357" t="str">
        <f>CONCATENATE(школы!$B$7,", ",школы!$C$7,", ",школы!$D$7)</f>
        <v>Реализация основных общеобразовательных программ начального общего образования, адаптированная образовательная программа, обучающиеся с ограниченными возможностями здоровья (ОВЗ)</v>
      </c>
      <c r="B130" s="360" t="str">
        <f>школы!$A$7</f>
        <v>801012О.99.0.БА81АА00001</v>
      </c>
      <c r="C130" s="194"/>
      <c r="D130" s="363" t="s">
        <v>15</v>
      </c>
      <c r="E130" s="363"/>
      <c r="F130" s="363"/>
      <c r="G130" s="363"/>
      <c r="H130" s="195"/>
      <c r="I130" s="195"/>
      <c r="J130" s="195"/>
      <c r="K130" s="195"/>
      <c r="L130" s="196"/>
      <c r="M130" s="197"/>
      <c r="N130" s="164"/>
      <c r="O130" s="198">
        <f>O131+O136+O138</f>
        <v>5968.4191709379993</v>
      </c>
      <c r="P130" s="166"/>
      <c r="Q130" s="166"/>
      <c r="R130" s="71"/>
    </row>
    <row r="131" spans="1:19" s="61" customFormat="1" x14ac:dyDescent="0.25">
      <c r="A131" s="358"/>
      <c r="B131" s="361"/>
      <c r="C131" s="194"/>
      <c r="D131" s="350" t="s">
        <v>62</v>
      </c>
      <c r="E131" s="350"/>
      <c r="F131" s="350"/>
      <c r="G131" s="350"/>
      <c r="H131" s="195"/>
      <c r="I131" s="195"/>
      <c r="J131" s="195"/>
      <c r="K131" s="195"/>
      <c r="L131" s="196"/>
      <c r="M131" s="197"/>
      <c r="N131" s="164"/>
      <c r="O131" s="165">
        <f>O133+O135</f>
        <v>5968.4191709379993</v>
      </c>
      <c r="P131" s="166"/>
      <c r="Q131" s="166"/>
      <c r="R131" s="71"/>
      <c r="S131" s="121"/>
    </row>
    <row r="132" spans="1:19" s="61" customFormat="1" x14ac:dyDescent="0.25">
      <c r="A132" s="358"/>
      <c r="B132" s="361"/>
      <c r="C132" s="194">
        <v>211</v>
      </c>
      <c r="D132" s="194" t="s">
        <v>86</v>
      </c>
      <c r="E132" s="199" t="s">
        <v>95</v>
      </c>
      <c r="F132" s="199" t="s">
        <v>95</v>
      </c>
      <c r="G132" s="258">
        <f>MROUND(H132*L132*I132/K132,0.0000000001)</f>
        <v>0.3667656037</v>
      </c>
      <c r="H132" s="201">
        <f>H12</f>
        <v>921.8</v>
      </c>
      <c r="I132" s="159">
        <f>школы!$K$7</f>
        <v>1.356107E-2</v>
      </c>
      <c r="J132" s="159"/>
      <c r="K132" s="161">
        <f>школы!$G$7</f>
        <v>409</v>
      </c>
      <c r="L132" s="202">
        <v>12</v>
      </c>
      <c r="M132" s="163" t="str">
        <f>CONCATENATE(H132," ",F132," ","в мес.","*",L132,"мес.","*",I132,"/",K132,"чел.")</f>
        <v>921,8 шт.ед в мес.*12мес.*0,01356107/409чел.</v>
      </c>
      <c r="N132" s="164">
        <f>N12</f>
        <v>12498.552905979601</v>
      </c>
      <c r="O132" s="165">
        <f>MROUND(G132*N132,0.000000001)</f>
        <v>4584.0393019379999</v>
      </c>
      <c r="P132" s="166"/>
      <c r="Q132" s="166">
        <f t="shared" si="12"/>
        <v>1874872.074492642</v>
      </c>
      <c r="R132" s="71"/>
    </row>
    <row r="133" spans="1:19" s="61" customFormat="1" x14ac:dyDescent="0.25">
      <c r="A133" s="358"/>
      <c r="B133" s="361"/>
      <c r="C133" s="203" t="s">
        <v>288</v>
      </c>
      <c r="D133" s="203"/>
      <c r="E133" s="204"/>
      <c r="F133" s="204"/>
      <c r="G133" s="259"/>
      <c r="H133" s="206"/>
      <c r="I133" s="206"/>
      <c r="J133" s="206"/>
      <c r="K133" s="207"/>
      <c r="L133" s="208"/>
      <c r="M133" s="209"/>
      <c r="N133" s="210">
        <f>N132</f>
        <v>12498.552905979601</v>
      </c>
      <c r="O133" s="198">
        <f>O132</f>
        <v>4584.0393019379999</v>
      </c>
      <c r="P133" s="166"/>
      <c r="Q133" s="166"/>
      <c r="R133" s="71"/>
    </row>
    <row r="134" spans="1:19" s="61" customFormat="1" x14ac:dyDescent="0.25">
      <c r="A134" s="358"/>
      <c r="B134" s="361"/>
      <c r="C134" s="194">
        <v>213</v>
      </c>
      <c r="D134" s="194" t="s">
        <v>87</v>
      </c>
      <c r="E134" s="194" t="s">
        <v>88</v>
      </c>
      <c r="F134" s="194"/>
      <c r="G134" s="260">
        <v>30.2</v>
      </c>
      <c r="H134" s="159"/>
      <c r="I134" s="159"/>
      <c r="J134" s="159"/>
      <c r="K134" s="161">
        <f>K132</f>
        <v>409</v>
      </c>
      <c r="L134" s="202"/>
      <c r="M134" s="212"/>
      <c r="N134" s="164"/>
      <c r="O134" s="165">
        <f>MROUND(O132*0.302,0.000001)</f>
        <v>1384.3798689999999</v>
      </c>
      <c r="P134" s="166"/>
      <c r="Q134" s="166">
        <f>O134*K134</f>
        <v>566211.36642099998</v>
      </c>
      <c r="R134" s="71"/>
    </row>
    <row r="135" spans="1:19" s="61" customFormat="1" x14ac:dyDescent="0.25">
      <c r="A135" s="358"/>
      <c r="B135" s="361"/>
      <c r="C135" s="261" t="s">
        <v>289</v>
      </c>
      <c r="D135" s="261"/>
      <c r="E135" s="261"/>
      <c r="F135" s="261"/>
      <c r="G135" s="227"/>
      <c r="H135" s="262"/>
      <c r="I135" s="262"/>
      <c r="J135" s="262"/>
      <c r="K135" s="263"/>
      <c r="L135" s="264"/>
      <c r="M135" s="265"/>
      <c r="N135" s="210"/>
      <c r="O135" s="198">
        <f>O134</f>
        <v>1384.3798689999999</v>
      </c>
      <c r="P135" s="166"/>
      <c r="Q135" s="166"/>
      <c r="R135" s="71"/>
    </row>
    <row r="136" spans="1:19" s="61" customFormat="1" x14ac:dyDescent="0.25">
      <c r="A136" s="358"/>
      <c r="B136" s="361"/>
      <c r="C136" s="194"/>
      <c r="D136" s="356" t="s">
        <v>63</v>
      </c>
      <c r="E136" s="356"/>
      <c r="F136" s="356"/>
      <c r="G136" s="356"/>
      <c r="H136" s="195"/>
      <c r="I136" s="159"/>
      <c r="J136" s="195"/>
      <c r="K136" s="161"/>
      <c r="L136" s="196"/>
      <c r="M136" s="197"/>
      <c r="N136" s="164"/>
      <c r="O136" s="165"/>
      <c r="P136" s="166"/>
      <c r="Q136" s="166"/>
      <c r="R136" s="71"/>
    </row>
    <row r="137" spans="1:19" s="61" customFormat="1" x14ac:dyDescent="0.25">
      <c r="A137" s="358"/>
      <c r="B137" s="361"/>
      <c r="C137" s="194"/>
      <c r="D137" s="194"/>
      <c r="E137" s="194"/>
      <c r="F137" s="194"/>
      <c r="G137" s="217"/>
      <c r="H137" s="195"/>
      <c r="I137" s="159"/>
      <c r="J137" s="195"/>
      <c r="K137" s="161"/>
      <c r="L137" s="196"/>
      <c r="M137" s="197"/>
      <c r="N137" s="164"/>
      <c r="O137" s="165"/>
      <c r="P137" s="166"/>
      <c r="Q137" s="166"/>
      <c r="R137" s="71"/>
    </row>
    <row r="138" spans="1:19" s="61" customFormat="1" x14ac:dyDescent="0.25">
      <c r="A138" s="358"/>
      <c r="B138" s="361"/>
      <c r="C138" s="194"/>
      <c r="D138" s="350" t="s">
        <v>64</v>
      </c>
      <c r="E138" s="350"/>
      <c r="F138" s="350"/>
      <c r="G138" s="350"/>
      <c r="H138" s="195"/>
      <c r="I138" s="159"/>
      <c r="J138" s="195"/>
      <c r="K138" s="161"/>
      <c r="L138" s="196"/>
      <c r="M138" s="197"/>
      <c r="N138" s="164"/>
      <c r="O138" s="165"/>
      <c r="P138" s="166"/>
      <c r="Q138" s="166"/>
      <c r="R138" s="71"/>
    </row>
    <row r="139" spans="1:19" s="61" customFormat="1" x14ac:dyDescent="0.25">
      <c r="A139" s="358"/>
      <c r="B139" s="361"/>
      <c r="C139" s="194"/>
      <c r="D139" s="194"/>
      <c r="E139" s="194"/>
      <c r="F139" s="194"/>
      <c r="G139" s="217"/>
      <c r="H139" s="195"/>
      <c r="I139" s="159"/>
      <c r="J139" s="195"/>
      <c r="K139" s="161"/>
      <c r="L139" s="196"/>
      <c r="M139" s="197"/>
      <c r="N139" s="164"/>
      <c r="O139" s="165"/>
      <c r="P139" s="166"/>
      <c r="Q139" s="166"/>
      <c r="R139" s="71"/>
    </row>
    <row r="140" spans="1:19" s="61" customFormat="1" x14ac:dyDescent="0.25">
      <c r="A140" s="358"/>
      <c r="B140" s="361"/>
      <c r="C140" s="194"/>
      <c r="D140" s="355" t="s">
        <v>5</v>
      </c>
      <c r="E140" s="355"/>
      <c r="F140" s="355"/>
      <c r="G140" s="355"/>
      <c r="H140" s="195"/>
      <c r="I140" s="159"/>
      <c r="J140" s="195"/>
      <c r="K140" s="161"/>
      <c r="L140" s="196"/>
      <c r="M140" s="197"/>
      <c r="N140" s="164"/>
      <c r="O140" s="198">
        <f>O141+O151+O162+O164+O166+O168+O170</f>
        <v>31837.238981314811</v>
      </c>
      <c r="P140" s="166"/>
      <c r="Q140" s="166"/>
      <c r="R140" s="71"/>
    </row>
    <row r="141" spans="1:19" s="61" customFormat="1" x14ac:dyDescent="0.25">
      <c r="A141" s="358"/>
      <c r="B141" s="361"/>
      <c r="C141" s="218" t="s">
        <v>70</v>
      </c>
      <c r="D141" s="355" t="s">
        <v>6</v>
      </c>
      <c r="E141" s="355"/>
      <c r="F141" s="355"/>
      <c r="G141" s="355"/>
      <c r="H141" s="219"/>
      <c r="I141" s="206"/>
      <c r="J141" s="219"/>
      <c r="K141" s="207"/>
      <c r="L141" s="220"/>
      <c r="M141" s="216"/>
      <c r="N141" s="210"/>
      <c r="O141" s="198">
        <f>O150</f>
        <v>5735.9797913800012</v>
      </c>
      <c r="P141" s="166"/>
      <c r="Q141" s="166"/>
      <c r="R141" s="71"/>
    </row>
    <row r="142" spans="1:19" s="61" customFormat="1" ht="31.5" x14ac:dyDescent="0.25">
      <c r="A142" s="358"/>
      <c r="B142" s="361"/>
      <c r="C142" s="221" t="s">
        <v>72</v>
      </c>
      <c r="D142" s="222" t="s">
        <v>7</v>
      </c>
      <c r="E142" s="223" t="s">
        <v>8</v>
      </c>
      <c r="F142" s="223" t="s">
        <v>8</v>
      </c>
      <c r="G142" s="266">
        <f>MROUND(H142*L142*I142/K142,0.00000000001)</f>
        <v>109.85200875880999</v>
      </c>
      <c r="H142" s="160">
        <f t="shared" ref="H142:H149" si="26">H22</f>
        <v>3313121.4264326878</v>
      </c>
      <c r="I142" s="159">
        <f>I132</f>
        <v>1.356107E-2</v>
      </c>
      <c r="J142" s="160"/>
      <c r="K142" s="161">
        <f>K132</f>
        <v>409</v>
      </c>
      <c r="L142" s="250">
        <v>1</v>
      </c>
      <c r="M142" s="163" t="str">
        <f t="shared" ref="M142:M147" si="27">CONCATENATE(H142," ",F142,"(лимиты выделенные УЖКХ) ","*",I142,"/",K142,"чел.")</f>
        <v>3313121,42643269 кВт час.(лимиты выделенные УЖКХ) *0,01356107/409чел.</v>
      </c>
      <c r="N142" s="164">
        <f t="shared" ref="N142:N149" si="28">N22</f>
        <v>10.418446162163715</v>
      </c>
      <c r="O142" s="165">
        <f t="shared" ref="O142:O149" si="29">MROUND(G142*N142,0.000001)</f>
        <v>1144.487239</v>
      </c>
      <c r="P142" s="166"/>
      <c r="Q142" s="166">
        <f t="shared" si="12"/>
        <v>468095.28075100004</v>
      </c>
      <c r="R142" s="71"/>
    </row>
    <row r="143" spans="1:19" s="61" customFormat="1" ht="31.5" x14ac:dyDescent="0.25">
      <c r="A143" s="358"/>
      <c r="B143" s="361"/>
      <c r="C143" s="221" t="s">
        <v>73</v>
      </c>
      <c r="D143" s="222" t="s">
        <v>9</v>
      </c>
      <c r="E143" s="223" t="s">
        <v>10</v>
      </c>
      <c r="F143" s="223" t="s">
        <v>10</v>
      </c>
      <c r="G143" s="266">
        <f t="shared" ref="G143:G149" si="30">MROUND(H143*L143*I143/K143,0.00000000001)</f>
        <v>1.0576106078399998</v>
      </c>
      <c r="H143" s="160">
        <f t="shared" si="26"/>
        <v>31897.39</v>
      </c>
      <c r="I143" s="159">
        <f t="shared" ref="I143:I149" si="31">I142</f>
        <v>1.356107E-2</v>
      </c>
      <c r="J143" s="160"/>
      <c r="K143" s="161">
        <f t="shared" ref="K143:L149" si="32">K142</f>
        <v>409</v>
      </c>
      <c r="L143" s="250">
        <v>1</v>
      </c>
      <c r="M143" s="163" t="str">
        <f t="shared" si="27"/>
        <v>31897,39 Гкал(лимиты выделенные УЖКХ) *0,01356107/409чел.</v>
      </c>
      <c r="N143" s="164">
        <f t="shared" si="28"/>
        <v>2845.3650600830792</v>
      </c>
      <c r="O143" s="165">
        <f t="shared" si="29"/>
        <v>3009.2882709999999</v>
      </c>
      <c r="P143" s="166"/>
      <c r="Q143" s="166">
        <f t="shared" si="12"/>
        <v>1230798.9028389999</v>
      </c>
      <c r="R143" s="71"/>
    </row>
    <row r="144" spans="1:19" s="61" customFormat="1" ht="31.5" x14ac:dyDescent="0.25">
      <c r="A144" s="358"/>
      <c r="B144" s="361"/>
      <c r="C144" s="364" t="s">
        <v>74</v>
      </c>
      <c r="D144" s="222" t="s">
        <v>12</v>
      </c>
      <c r="E144" s="222" t="s">
        <v>11</v>
      </c>
      <c r="F144" s="222" t="s">
        <v>11</v>
      </c>
      <c r="G144" s="266">
        <f t="shared" si="30"/>
        <v>6.1248678756299997</v>
      </c>
      <c r="H144" s="224">
        <f t="shared" si="26"/>
        <v>184725.17</v>
      </c>
      <c r="I144" s="159">
        <f t="shared" si="31"/>
        <v>1.356107E-2</v>
      </c>
      <c r="J144" s="160"/>
      <c r="K144" s="161">
        <f t="shared" si="32"/>
        <v>409</v>
      </c>
      <c r="L144" s="250">
        <v>1</v>
      </c>
      <c r="M144" s="163" t="str">
        <f t="shared" si="27"/>
        <v>184725,17 м3(лимиты выделенные УЖКХ) *0,01356107/409чел.</v>
      </c>
      <c r="N144" s="164">
        <f t="shared" si="28"/>
        <v>51.830000102314166</v>
      </c>
      <c r="O144" s="165">
        <f t="shared" si="29"/>
        <v>317.45190299999996</v>
      </c>
      <c r="P144" s="166"/>
      <c r="Q144" s="166">
        <f t="shared" si="12"/>
        <v>129837.82832699998</v>
      </c>
      <c r="R144" s="71"/>
    </row>
    <row r="145" spans="1:18" s="61" customFormat="1" ht="47.25" x14ac:dyDescent="0.25">
      <c r="A145" s="358"/>
      <c r="B145" s="361"/>
      <c r="C145" s="364"/>
      <c r="D145" s="222" t="s">
        <v>17</v>
      </c>
      <c r="E145" s="222" t="s">
        <v>11</v>
      </c>
      <c r="F145" s="222" t="s">
        <v>11</v>
      </c>
      <c r="G145" s="266">
        <f t="shared" si="30"/>
        <v>6.1248678756299997</v>
      </c>
      <c r="H145" s="160">
        <f t="shared" si="26"/>
        <v>184725.17</v>
      </c>
      <c r="I145" s="159">
        <f t="shared" si="31"/>
        <v>1.356107E-2</v>
      </c>
      <c r="J145" s="160"/>
      <c r="K145" s="161">
        <f t="shared" si="32"/>
        <v>409</v>
      </c>
      <c r="L145" s="162">
        <f>$L$25</f>
        <v>1</v>
      </c>
      <c r="M145" s="163" t="str">
        <f t="shared" si="27"/>
        <v>184725,17 м3(лимиты выделенные УЖКХ) *0,01356107/409чел.</v>
      </c>
      <c r="N145" s="164">
        <f t="shared" si="28"/>
        <v>78.76115753094173</v>
      </c>
      <c r="O145" s="165">
        <f t="shared" si="29"/>
        <v>482.40168399999999</v>
      </c>
      <c r="P145" s="166"/>
      <c r="Q145" s="166">
        <f t="shared" ref="Q145:Q206" si="33">O145*K145</f>
        <v>197302.28875599999</v>
      </c>
      <c r="R145" s="71"/>
    </row>
    <row r="146" spans="1:18" s="61" customFormat="1" ht="31.5" x14ac:dyDescent="0.25">
      <c r="A146" s="358"/>
      <c r="B146" s="361"/>
      <c r="C146" s="364"/>
      <c r="D146" s="222" t="s">
        <v>13</v>
      </c>
      <c r="E146" s="222" t="s">
        <v>11</v>
      </c>
      <c r="F146" s="222" t="s">
        <v>11</v>
      </c>
      <c r="G146" s="266">
        <f t="shared" si="30"/>
        <v>6.1248678756299997</v>
      </c>
      <c r="H146" s="160">
        <f t="shared" si="26"/>
        <v>184725.17</v>
      </c>
      <c r="I146" s="159">
        <f t="shared" si="31"/>
        <v>1.356107E-2</v>
      </c>
      <c r="J146" s="160"/>
      <c r="K146" s="161">
        <f t="shared" si="32"/>
        <v>409</v>
      </c>
      <c r="L146" s="225">
        <v>1</v>
      </c>
      <c r="M146" s="163" t="str">
        <f t="shared" si="27"/>
        <v>184725,17 м3(лимиты выделенные УЖКХ) *0,01356107/409чел.</v>
      </c>
      <c r="N146" s="164">
        <f t="shared" si="28"/>
        <v>107.41979263410609</v>
      </c>
      <c r="O146" s="165">
        <f>MROUND(G146*N146,0.00000001)</f>
        <v>657.93203711000001</v>
      </c>
      <c r="P146" s="166"/>
      <c r="Q146" s="166">
        <f t="shared" si="33"/>
        <v>269094.20317798998</v>
      </c>
      <c r="R146" s="71"/>
    </row>
    <row r="147" spans="1:18" s="61" customFormat="1" ht="31.5" x14ac:dyDescent="0.25">
      <c r="A147" s="358"/>
      <c r="B147" s="361"/>
      <c r="C147" s="221" t="s">
        <v>75</v>
      </c>
      <c r="D147" s="222" t="s">
        <v>18</v>
      </c>
      <c r="E147" s="222" t="s">
        <v>48</v>
      </c>
      <c r="F147" s="222" t="s">
        <v>48</v>
      </c>
      <c r="G147" s="266">
        <f t="shared" si="30"/>
        <v>0.46046629762999997</v>
      </c>
      <c r="H147" s="160">
        <f t="shared" si="26"/>
        <v>13887.6</v>
      </c>
      <c r="I147" s="159">
        <f t="shared" si="31"/>
        <v>1.356107E-2</v>
      </c>
      <c r="J147" s="160"/>
      <c r="K147" s="161">
        <f t="shared" si="32"/>
        <v>409</v>
      </c>
      <c r="L147" s="250">
        <v>1</v>
      </c>
      <c r="M147" s="163" t="str">
        <f t="shared" si="27"/>
        <v>13887,6 тыс. м3(лимиты выделенные УЖКХ) *0,01356107/409чел.</v>
      </c>
      <c r="N147" s="164">
        <f t="shared" si="28"/>
        <v>29.231582850888564</v>
      </c>
      <c r="O147" s="165">
        <f t="shared" si="29"/>
        <v>13.460158999999999</v>
      </c>
      <c r="P147" s="166"/>
      <c r="Q147" s="166">
        <f t="shared" si="33"/>
        <v>5505.2050309999995</v>
      </c>
      <c r="R147" s="71"/>
    </row>
    <row r="148" spans="1:18" s="61" customFormat="1" x14ac:dyDescent="0.25">
      <c r="A148" s="358"/>
      <c r="B148" s="361"/>
      <c r="C148" s="364" t="s">
        <v>216</v>
      </c>
      <c r="D148" s="222" t="s">
        <v>23</v>
      </c>
      <c r="E148" s="222" t="s">
        <v>11</v>
      </c>
      <c r="F148" s="222" t="s">
        <v>11</v>
      </c>
      <c r="G148" s="266">
        <f t="shared" si="30"/>
        <v>0.11169281868999999</v>
      </c>
      <c r="H148" s="160">
        <f t="shared" si="26"/>
        <v>3368.6400000000003</v>
      </c>
      <c r="I148" s="159">
        <f t="shared" si="31"/>
        <v>1.356107E-2</v>
      </c>
      <c r="J148" s="160"/>
      <c r="K148" s="161">
        <f t="shared" si="32"/>
        <v>409</v>
      </c>
      <c r="L148" s="162">
        <f t="shared" si="32"/>
        <v>1</v>
      </c>
      <c r="M148" s="163" t="str">
        <f>CONCATENATE(H148," ",F148," ","*",I148,"/",K148,"чел.")</f>
        <v>3368,64 м3 *0,01356107/409чел.</v>
      </c>
      <c r="N148" s="164">
        <f t="shared" si="28"/>
        <v>742.21370939013957</v>
      </c>
      <c r="O148" s="165">
        <f>MROUND(G148*N148,0.00000001)</f>
        <v>82.899941269999999</v>
      </c>
      <c r="P148" s="166"/>
      <c r="Q148" s="166">
        <f t="shared" si="33"/>
        <v>33906.075979430003</v>
      </c>
      <c r="R148" s="71"/>
    </row>
    <row r="149" spans="1:18" s="61" customFormat="1" ht="47.25" x14ac:dyDescent="0.25">
      <c r="A149" s="358"/>
      <c r="B149" s="361"/>
      <c r="C149" s="364"/>
      <c r="D149" s="222" t="s">
        <v>24</v>
      </c>
      <c r="E149" s="222" t="s">
        <v>25</v>
      </c>
      <c r="F149" s="222" t="s">
        <v>217</v>
      </c>
      <c r="G149" s="266">
        <f t="shared" si="30"/>
        <v>4.8740275999999997E-3</v>
      </c>
      <c r="H149" s="160">
        <f t="shared" si="26"/>
        <v>147</v>
      </c>
      <c r="I149" s="159">
        <f t="shared" si="31"/>
        <v>1.356107E-2</v>
      </c>
      <c r="J149" s="160"/>
      <c r="K149" s="161">
        <f t="shared" si="32"/>
        <v>409</v>
      </c>
      <c r="L149" s="250">
        <f t="shared" si="32"/>
        <v>1</v>
      </c>
      <c r="M149" s="163" t="str">
        <f>CONCATENATE(H149," ",F149,"(потребность из расчета 4 контейнера для уборки территории весной и осенью на 1 учреждение)","*",I149,"/",K149,"чел.")</f>
        <v>147 контейнера(потребность из расчета 4 контейнера для уборки территории весной и осенью на 1 учреждение)*0,01356107/409чел.</v>
      </c>
      <c r="N149" s="164">
        <f t="shared" si="28"/>
        <v>5756.7497959183638</v>
      </c>
      <c r="O149" s="165">
        <f t="shared" si="29"/>
        <v>28.058557</v>
      </c>
      <c r="P149" s="166"/>
      <c r="Q149" s="166">
        <f t="shared" si="33"/>
        <v>11475.949812999999</v>
      </c>
      <c r="R149" s="71"/>
    </row>
    <row r="150" spans="1:18" s="61" customFormat="1" x14ac:dyDescent="0.25">
      <c r="A150" s="358"/>
      <c r="B150" s="361"/>
      <c r="C150" s="218" t="s">
        <v>290</v>
      </c>
      <c r="D150" s="226"/>
      <c r="E150" s="226"/>
      <c r="F150" s="226"/>
      <c r="G150" s="227"/>
      <c r="H150" s="228"/>
      <c r="I150" s="206"/>
      <c r="J150" s="228"/>
      <c r="K150" s="207"/>
      <c r="L150" s="257"/>
      <c r="M150" s="209"/>
      <c r="N150" s="210"/>
      <c r="O150" s="198">
        <f>SUM(O142:O149)</f>
        <v>5735.9797913800012</v>
      </c>
      <c r="P150" s="166"/>
      <c r="Q150" s="166"/>
      <c r="R150" s="71"/>
    </row>
    <row r="151" spans="1:18" s="61" customFormat="1" x14ac:dyDescent="0.25">
      <c r="A151" s="358"/>
      <c r="B151" s="361"/>
      <c r="C151" s="221"/>
      <c r="D151" s="356" t="s">
        <v>14</v>
      </c>
      <c r="E151" s="356"/>
      <c r="F151" s="356"/>
      <c r="G151" s="356"/>
      <c r="H151" s="188"/>
      <c r="I151" s="159"/>
      <c r="J151" s="188"/>
      <c r="K151" s="161"/>
      <c r="L151" s="250"/>
      <c r="M151" s="230"/>
      <c r="N151" s="164"/>
      <c r="O151" s="198">
        <f>O159+O160+O155</f>
        <v>23888.193311984811</v>
      </c>
      <c r="P151" s="166"/>
      <c r="Q151" s="166"/>
      <c r="R151" s="71"/>
    </row>
    <row r="152" spans="1:18" s="61" customFormat="1" x14ac:dyDescent="0.25">
      <c r="A152" s="358"/>
      <c r="B152" s="361"/>
      <c r="C152" s="221" t="s">
        <v>379</v>
      </c>
      <c r="D152" s="231" t="s">
        <v>49</v>
      </c>
      <c r="E152" s="231" t="s">
        <v>22</v>
      </c>
      <c r="F152" s="231" t="s">
        <v>22</v>
      </c>
      <c r="G152" s="157"/>
      <c r="H152" s="160"/>
      <c r="I152" s="159">
        <f>I147</f>
        <v>1.356107E-2</v>
      </c>
      <c r="J152" s="160"/>
      <c r="K152" s="161">
        <f>K147</f>
        <v>409</v>
      </c>
      <c r="L152" s="250"/>
      <c r="M152" s="163"/>
      <c r="N152" s="164">
        <f>N32</f>
        <v>0</v>
      </c>
      <c r="O152" s="165">
        <f>MROUND(G152*N152,0.00000001)</f>
        <v>0</v>
      </c>
      <c r="P152" s="166"/>
      <c r="Q152" s="166">
        <f t="shared" si="33"/>
        <v>0</v>
      </c>
      <c r="R152" s="71"/>
    </row>
    <row r="153" spans="1:18" s="61" customFormat="1" x14ac:dyDescent="0.25">
      <c r="A153" s="358"/>
      <c r="B153" s="361"/>
      <c r="C153" s="221" t="s">
        <v>379</v>
      </c>
      <c r="D153" s="231" t="s">
        <v>49</v>
      </c>
      <c r="E153" s="231" t="s">
        <v>28</v>
      </c>
      <c r="F153" s="231" t="s">
        <v>28</v>
      </c>
      <c r="G153" s="157">
        <f>MROUND(H153*L153*I153/K153,0.00000000000001)</f>
        <v>1.6578325182999999E-4</v>
      </c>
      <c r="H153" s="160">
        <f>H33</f>
        <v>5</v>
      </c>
      <c r="I153" s="159">
        <f>I152</f>
        <v>1.356107E-2</v>
      </c>
      <c r="J153" s="160"/>
      <c r="K153" s="161">
        <f>K152</f>
        <v>409</v>
      </c>
      <c r="L153" s="250">
        <v>1</v>
      </c>
      <c r="M153" s="163" t="str">
        <f>CONCATENATE(H153," ",F153,"*",I153,"/",K153,"чел.")</f>
        <v>5 шт*0,01356107/409чел.</v>
      </c>
      <c r="N153" s="164">
        <f>N33</f>
        <v>28120000</v>
      </c>
      <c r="O153" s="165">
        <f>MROUND(G153*N153,0.00000001)</f>
        <v>4661.8250414599997</v>
      </c>
      <c r="P153" s="166"/>
      <c r="Q153" s="166">
        <f t="shared" si="33"/>
        <v>1906686.4419571399</v>
      </c>
      <c r="R153" s="71"/>
    </row>
    <row r="154" spans="1:18" s="61" customFormat="1" x14ac:dyDescent="0.25">
      <c r="A154" s="358"/>
      <c r="B154" s="361"/>
      <c r="C154" s="221" t="s">
        <v>379</v>
      </c>
      <c r="D154" s="231" t="s">
        <v>49</v>
      </c>
      <c r="E154" s="231" t="s">
        <v>101</v>
      </c>
      <c r="F154" s="231" t="s">
        <v>101</v>
      </c>
      <c r="G154" s="157"/>
      <c r="H154" s="160"/>
      <c r="I154" s="159">
        <f>I153</f>
        <v>1.356107E-2</v>
      </c>
      <c r="J154" s="160"/>
      <c r="K154" s="161">
        <f>K153</f>
        <v>409</v>
      </c>
      <c r="L154" s="250"/>
      <c r="M154" s="163"/>
      <c r="N154" s="164">
        <f>N34</f>
        <v>0</v>
      </c>
      <c r="O154" s="165">
        <f>MROUND(G154*N154,0.00000001)</f>
        <v>0</v>
      </c>
      <c r="P154" s="166"/>
      <c r="Q154" s="166">
        <f t="shared" si="33"/>
        <v>0</v>
      </c>
      <c r="R154" s="71"/>
    </row>
    <row r="155" spans="1:18" s="61" customFormat="1" x14ac:dyDescent="0.25">
      <c r="A155" s="358"/>
      <c r="B155" s="361"/>
      <c r="C155" s="218" t="s">
        <v>381</v>
      </c>
      <c r="D155" s="232"/>
      <c r="E155" s="232"/>
      <c r="F155" s="232"/>
      <c r="G155" s="227"/>
      <c r="H155" s="228"/>
      <c r="I155" s="206"/>
      <c r="J155" s="228"/>
      <c r="K155" s="207"/>
      <c r="L155" s="257"/>
      <c r="M155" s="209"/>
      <c r="N155" s="210"/>
      <c r="O155" s="198">
        <f>SUM(O152:O154)</f>
        <v>4661.8250414599997</v>
      </c>
      <c r="P155" s="166"/>
      <c r="Q155" s="166"/>
      <c r="R155" s="71"/>
    </row>
    <row r="156" spans="1:18" s="61" customFormat="1" x14ac:dyDescent="0.25">
      <c r="A156" s="358"/>
      <c r="B156" s="361"/>
      <c r="C156" s="221" t="s">
        <v>76</v>
      </c>
      <c r="D156" s="231" t="s">
        <v>49</v>
      </c>
      <c r="E156" s="231" t="s">
        <v>22</v>
      </c>
      <c r="F156" s="231" t="s">
        <v>22</v>
      </c>
      <c r="G156" s="157">
        <f>MROUND(H156*L156*I156/K156,0.00000000000001)</f>
        <v>2.4276311330352098</v>
      </c>
      <c r="H156" s="160">
        <f>H36</f>
        <v>73217.02</v>
      </c>
      <c r="I156" s="159">
        <f>I154</f>
        <v>1.356107E-2</v>
      </c>
      <c r="J156" s="160"/>
      <c r="K156" s="161">
        <f>K154</f>
        <v>409</v>
      </c>
      <c r="L156" s="250">
        <v>1</v>
      </c>
      <c r="M156" s="163" t="str">
        <f>CONCATENATE(H156," ",F156,"*",I156,"/",K156,"чел.")</f>
        <v>73217,02 м2*0,01356107/409чел.</v>
      </c>
      <c r="N156" s="164">
        <f>N36</f>
        <v>3335.1026185604301</v>
      </c>
      <c r="O156" s="165">
        <f>MROUND(G156*N156,0.00000000001)</f>
        <v>8096.3989486845494</v>
      </c>
      <c r="P156" s="166"/>
      <c r="Q156" s="166">
        <f t="shared" si="33"/>
        <v>3311427.1700119809</v>
      </c>
      <c r="R156" s="71"/>
    </row>
    <row r="157" spans="1:18" s="61" customFormat="1" x14ac:dyDescent="0.25">
      <c r="A157" s="358"/>
      <c r="B157" s="361"/>
      <c r="C157" s="221"/>
      <c r="D157" s="231" t="s">
        <v>49</v>
      </c>
      <c r="E157" s="231" t="s">
        <v>28</v>
      </c>
      <c r="F157" s="231" t="s">
        <v>28</v>
      </c>
      <c r="G157" s="157">
        <f>MROUND(H157*L157*I157/K157,0.000000000001)</f>
        <v>0.13760009902199999</v>
      </c>
      <c r="H157" s="160">
        <f>H37</f>
        <v>4150</v>
      </c>
      <c r="I157" s="159">
        <f>I156</f>
        <v>1.356107E-2</v>
      </c>
      <c r="J157" s="160"/>
      <c r="K157" s="161">
        <f>K156</f>
        <v>409</v>
      </c>
      <c r="L157" s="250">
        <v>1</v>
      </c>
      <c r="M157" s="163" t="str">
        <f>CONCATENATE(H157," ",F157,"*",I157,"/",K157,"чел.")</f>
        <v>4150 шт*0,01356107/409чел.</v>
      </c>
      <c r="N157" s="164">
        <f>N37</f>
        <v>71617.619331325302</v>
      </c>
      <c r="O157" s="165">
        <f>MROUND(G157*N157,0.00000000001)</f>
        <v>9854.5915117102595</v>
      </c>
      <c r="P157" s="166"/>
      <c r="Q157" s="166">
        <f t="shared" si="33"/>
        <v>4030527.9282894963</v>
      </c>
      <c r="R157" s="71"/>
    </row>
    <row r="158" spans="1:18" s="61" customFormat="1" x14ac:dyDescent="0.25">
      <c r="A158" s="358"/>
      <c r="B158" s="361"/>
      <c r="C158" s="221"/>
      <c r="D158" s="231" t="s">
        <v>49</v>
      </c>
      <c r="E158" s="231" t="s">
        <v>101</v>
      </c>
      <c r="F158" s="231" t="s">
        <v>101</v>
      </c>
      <c r="G158" s="157">
        <f>MROUND(H158*L158*I158/K158,0.000000001)</f>
        <v>0.47327802700000005</v>
      </c>
      <c r="H158" s="160">
        <f>H38</f>
        <v>14274</v>
      </c>
      <c r="I158" s="159">
        <f>I157</f>
        <v>1.356107E-2</v>
      </c>
      <c r="J158" s="160"/>
      <c r="K158" s="161">
        <f>K157</f>
        <v>409</v>
      </c>
      <c r="L158" s="250">
        <v>1</v>
      </c>
      <c r="M158" s="163" t="str">
        <f>CONCATENATE(H158," ",F158,"*",I158,"/",K158,"чел.")</f>
        <v>14274 погон.м.*0,01356107/409чел.</v>
      </c>
      <c r="N158" s="164">
        <f>N38</f>
        <v>2694.7750315258509</v>
      </c>
      <c r="O158" s="165">
        <f>MROUND(G158*N158,0.00000001)</f>
        <v>1275.3778101299999</v>
      </c>
      <c r="P158" s="166"/>
      <c r="Q158" s="166">
        <f t="shared" si="33"/>
        <v>521629.52434316999</v>
      </c>
      <c r="R158" s="71"/>
    </row>
    <row r="159" spans="1:18" s="61" customFormat="1" x14ac:dyDescent="0.25">
      <c r="A159" s="358"/>
      <c r="B159" s="361"/>
      <c r="C159" s="218" t="s">
        <v>302</v>
      </c>
      <c r="D159" s="232"/>
      <c r="E159" s="232"/>
      <c r="F159" s="232"/>
      <c r="G159" s="227"/>
      <c r="H159" s="228"/>
      <c r="I159" s="206"/>
      <c r="J159" s="228"/>
      <c r="K159" s="207"/>
      <c r="L159" s="257"/>
      <c r="M159" s="209"/>
      <c r="N159" s="210"/>
      <c r="O159" s="198">
        <f>SUM(O156:O158)</f>
        <v>19226.36827052481</v>
      </c>
      <c r="P159" s="166"/>
      <c r="Q159" s="166"/>
      <c r="R159" s="71"/>
    </row>
    <row r="160" spans="1:18" s="61" customFormat="1" x14ac:dyDescent="0.25">
      <c r="A160" s="358"/>
      <c r="B160" s="361"/>
      <c r="C160" s="221" t="s">
        <v>77</v>
      </c>
      <c r="D160" s="231"/>
      <c r="E160" s="231"/>
      <c r="F160" s="231"/>
      <c r="G160" s="157">
        <f>MROUND(H160*L160*I160/K160,0.00000000001)</f>
        <v>0</v>
      </c>
      <c r="H160" s="160">
        <f>H40</f>
        <v>0</v>
      </c>
      <c r="I160" s="159">
        <f>I158</f>
        <v>1.356107E-2</v>
      </c>
      <c r="J160" s="160"/>
      <c r="K160" s="161">
        <f>K158</f>
        <v>409</v>
      </c>
      <c r="L160" s="250"/>
      <c r="M160" s="163"/>
      <c r="N160" s="164">
        <f>N40</f>
        <v>0</v>
      </c>
      <c r="O160" s="165">
        <f>MROUND(G160*N160,0.000000001)</f>
        <v>0</v>
      </c>
      <c r="P160" s="166"/>
      <c r="Q160" s="166">
        <f t="shared" si="33"/>
        <v>0</v>
      </c>
      <c r="R160" s="71"/>
    </row>
    <row r="161" spans="1:41" s="62" customFormat="1" x14ac:dyDescent="0.25">
      <c r="A161" s="358"/>
      <c r="B161" s="361"/>
      <c r="C161" s="218" t="s">
        <v>292</v>
      </c>
      <c r="D161" s="232"/>
      <c r="E161" s="232"/>
      <c r="F161" s="232"/>
      <c r="G161" s="227"/>
      <c r="H161" s="228"/>
      <c r="I161" s="206"/>
      <c r="J161" s="228"/>
      <c r="K161" s="207"/>
      <c r="L161" s="257"/>
      <c r="M161" s="209"/>
      <c r="N161" s="210"/>
      <c r="O161" s="198">
        <f>O160</f>
        <v>0</v>
      </c>
      <c r="P161" s="267"/>
      <c r="Q161" s="166"/>
      <c r="R161" s="71"/>
    </row>
    <row r="162" spans="1:41" s="61" customFormat="1" x14ac:dyDescent="0.25">
      <c r="A162" s="358"/>
      <c r="B162" s="361"/>
      <c r="C162" s="221"/>
      <c r="D162" s="350" t="s">
        <v>65</v>
      </c>
      <c r="E162" s="350"/>
      <c r="F162" s="350"/>
      <c r="G162" s="350"/>
      <c r="H162" s="195"/>
      <c r="I162" s="159"/>
      <c r="J162" s="195"/>
      <c r="K162" s="161"/>
      <c r="L162" s="196"/>
      <c r="M162" s="230"/>
      <c r="N162" s="164"/>
      <c r="O162" s="165">
        <f t="shared" ref="O162:O169" si="34">MROUND(G162*N162,0.000001)</f>
        <v>0</v>
      </c>
      <c r="P162" s="166"/>
      <c r="Q162" s="166"/>
      <c r="R162" s="71"/>
    </row>
    <row r="163" spans="1:41" s="61" customFormat="1" x14ac:dyDescent="0.25">
      <c r="A163" s="358"/>
      <c r="B163" s="361"/>
      <c r="C163" s="221"/>
      <c r="D163" s="194"/>
      <c r="E163" s="194"/>
      <c r="F163" s="194"/>
      <c r="G163" s="217"/>
      <c r="H163" s="195"/>
      <c r="I163" s="159"/>
      <c r="J163" s="195"/>
      <c r="K163" s="161"/>
      <c r="L163" s="196"/>
      <c r="M163" s="230"/>
      <c r="N163" s="164"/>
      <c r="O163" s="165">
        <f t="shared" si="34"/>
        <v>0</v>
      </c>
      <c r="P163" s="166"/>
      <c r="Q163" s="166"/>
      <c r="R163" s="71"/>
    </row>
    <row r="164" spans="1:41" s="61" customFormat="1" x14ac:dyDescent="0.25">
      <c r="A164" s="358"/>
      <c r="B164" s="361"/>
      <c r="C164" s="218" t="s">
        <v>357</v>
      </c>
      <c r="D164" s="377" t="s">
        <v>66</v>
      </c>
      <c r="E164" s="377"/>
      <c r="F164" s="377"/>
      <c r="G164" s="377"/>
      <c r="H164" s="195"/>
      <c r="I164" s="159"/>
      <c r="J164" s="195"/>
      <c r="K164" s="161"/>
      <c r="L164" s="234"/>
      <c r="M164" s="230"/>
      <c r="N164" s="164"/>
      <c r="O164" s="198">
        <f>O165</f>
        <v>5.9970359999999996</v>
      </c>
      <c r="P164" s="166"/>
      <c r="Q164" s="166"/>
      <c r="R164" s="71"/>
    </row>
    <row r="165" spans="1:41" s="61" customFormat="1" ht="47.25" x14ac:dyDescent="0.25">
      <c r="A165" s="358"/>
      <c r="B165" s="361"/>
      <c r="C165" s="221"/>
      <c r="D165" s="222" t="s">
        <v>374</v>
      </c>
      <c r="E165" s="194" t="s">
        <v>28</v>
      </c>
      <c r="F165" s="194" t="s">
        <v>28</v>
      </c>
      <c r="G165" s="217">
        <f>MROUND(H165*L165*I165/K165,0.000000001)</f>
        <v>4.7745579999999999E-3</v>
      </c>
      <c r="H165" s="201">
        <f>H45</f>
        <v>36</v>
      </c>
      <c r="I165" s="159">
        <f>I160</f>
        <v>1.356107E-2</v>
      </c>
      <c r="J165" s="195"/>
      <c r="K165" s="161">
        <f>K160</f>
        <v>409</v>
      </c>
      <c r="L165" s="235">
        <f>L45</f>
        <v>4</v>
      </c>
      <c r="M165" s="163" t="str">
        <f>CONCATENATE(H165," ",F165,"*",I165,"/",K165,"чел.")</f>
        <v>36 шт*0,01356107/409чел.</v>
      </c>
      <c r="N165" s="164">
        <f>N45</f>
        <v>1256.0400000000006</v>
      </c>
      <c r="O165" s="165">
        <f>MROUND(G165*N165,0.000001)</f>
        <v>5.9970359999999996</v>
      </c>
      <c r="P165" s="166"/>
      <c r="Q165" s="166">
        <f t="shared" si="33"/>
        <v>2452.7877239999998</v>
      </c>
      <c r="R165" s="71"/>
    </row>
    <row r="166" spans="1:41" s="61" customFormat="1" x14ac:dyDescent="0.25">
      <c r="A166" s="358"/>
      <c r="B166" s="361"/>
      <c r="C166" s="221"/>
      <c r="D166" s="368" t="s">
        <v>67</v>
      </c>
      <c r="E166" s="368"/>
      <c r="F166" s="368"/>
      <c r="G166" s="368"/>
      <c r="H166" s="195"/>
      <c r="I166" s="159"/>
      <c r="J166" s="195"/>
      <c r="K166" s="161"/>
      <c r="L166" s="196"/>
      <c r="M166" s="230"/>
      <c r="N166" s="164"/>
      <c r="O166" s="165">
        <f t="shared" si="34"/>
        <v>0</v>
      </c>
      <c r="P166" s="166"/>
      <c r="Q166" s="166"/>
      <c r="R166" s="71"/>
    </row>
    <row r="167" spans="1:41" s="61" customFormat="1" x14ac:dyDescent="0.25">
      <c r="A167" s="358"/>
      <c r="B167" s="361"/>
      <c r="C167" s="221"/>
      <c r="D167" s="194"/>
      <c r="E167" s="194"/>
      <c r="F167" s="194"/>
      <c r="G167" s="217"/>
      <c r="H167" s="195"/>
      <c r="I167" s="159"/>
      <c r="J167" s="195"/>
      <c r="K167" s="161"/>
      <c r="L167" s="196"/>
      <c r="M167" s="230"/>
      <c r="N167" s="164"/>
      <c r="O167" s="165">
        <f t="shared" si="34"/>
        <v>0</v>
      </c>
      <c r="P167" s="166"/>
      <c r="Q167" s="166"/>
      <c r="R167" s="71"/>
    </row>
    <row r="168" spans="1:41" s="61" customFormat="1" x14ac:dyDescent="0.25">
      <c r="A168" s="358"/>
      <c r="B168" s="361"/>
      <c r="C168" s="221"/>
      <c r="D168" s="350" t="s">
        <v>68</v>
      </c>
      <c r="E168" s="350"/>
      <c r="F168" s="350"/>
      <c r="G168" s="350"/>
      <c r="H168" s="195"/>
      <c r="I168" s="159"/>
      <c r="J168" s="195"/>
      <c r="K168" s="161"/>
      <c r="L168" s="196"/>
      <c r="M168" s="230"/>
      <c r="N168" s="164"/>
      <c r="O168" s="165">
        <f t="shared" si="34"/>
        <v>0</v>
      </c>
      <c r="P168" s="166"/>
      <c r="Q168" s="166"/>
      <c r="R168" s="71"/>
    </row>
    <row r="169" spans="1:41" s="61" customFormat="1" x14ac:dyDescent="0.25">
      <c r="A169" s="358"/>
      <c r="B169" s="361"/>
      <c r="C169" s="221"/>
      <c r="D169" s="156"/>
      <c r="E169" s="156"/>
      <c r="F169" s="156"/>
      <c r="G169" s="236"/>
      <c r="H169" s="195"/>
      <c r="I169" s="159"/>
      <c r="J169" s="195"/>
      <c r="K169" s="161"/>
      <c r="L169" s="196"/>
      <c r="M169" s="230"/>
      <c r="N169" s="164"/>
      <c r="O169" s="165">
        <f t="shared" si="34"/>
        <v>0</v>
      </c>
      <c r="P169" s="166"/>
      <c r="Q169" s="166"/>
      <c r="R169" s="71"/>
    </row>
    <row r="170" spans="1:41" s="99" customFormat="1" x14ac:dyDescent="0.25">
      <c r="A170" s="358"/>
      <c r="B170" s="361"/>
      <c r="C170" s="268"/>
      <c r="D170" s="378" t="s">
        <v>69</v>
      </c>
      <c r="E170" s="378"/>
      <c r="F170" s="378"/>
      <c r="G170" s="378"/>
      <c r="H170" s="269"/>
      <c r="I170" s="270"/>
      <c r="J170" s="269"/>
      <c r="K170" s="271"/>
      <c r="L170" s="272"/>
      <c r="M170" s="273"/>
      <c r="N170" s="164"/>
      <c r="O170" s="198">
        <f>O172+O179+O196+O198+O213+O215+O217+O242+O244+O249+O246</f>
        <v>2207.0688419499998</v>
      </c>
      <c r="P170" s="274"/>
      <c r="Q170" s="166"/>
      <c r="R170" s="71"/>
    </row>
    <row r="171" spans="1:41" s="61" customFormat="1" x14ac:dyDescent="0.25">
      <c r="A171" s="358"/>
      <c r="B171" s="361"/>
      <c r="C171" s="221">
        <v>224</v>
      </c>
      <c r="D171" s="156" t="s">
        <v>21</v>
      </c>
      <c r="E171" s="156" t="s">
        <v>22</v>
      </c>
      <c r="F171" s="156" t="s">
        <v>22</v>
      </c>
      <c r="G171" s="266">
        <f>MROUND(H171*L171*I171/K171,0.000001)</f>
        <v>0</v>
      </c>
      <c r="H171" s="158">
        <f>H51</f>
        <v>0</v>
      </c>
      <c r="I171" s="159">
        <f>I165</f>
        <v>1.356107E-2</v>
      </c>
      <c r="J171" s="160"/>
      <c r="K171" s="161">
        <f>K165</f>
        <v>409</v>
      </c>
      <c r="L171" s="250"/>
      <c r="M171" s="163"/>
      <c r="N171" s="164">
        <f>N51</f>
        <v>0</v>
      </c>
      <c r="O171" s="165">
        <f>MROUND(G171*N171,0.000001)</f>
        <v>0</v>
      </c>
      <c r="P171" s="166"/>
      <c r="Q171" s="166">
        <f t="shared" si="33"/>
        <v>0</v>
      </c>
      <c r="R171" s="71"/>
    </row>
    <row r="172" spans="1:41" s="61" customFormat="1" x14ac:dyDescent="0.25">
      <c r="A172" s="358"/>
      <c r="B172" s="361"/>
      <c r="C172" s="218" t="s">
        <v>293</v>
      </c>
      <c r="D172" s="240"/>
      <c r="E172" s="240"/>
      <c r="F172" s="240"/>
      <c r="G172" s="227"/>
      <c r="H172" s="241"/>
      <c r="I172" s="206"/>
      <c r="J172" s="228"/>
      <c r="K172" s="207"/>
      <c r="L172" s="257"/>
      <c r="M172" s="209"/>
      <c r="N172" s="210"/>
      <c r="O172" s="198">
        <f>SUM(O171)</f>
        <v>0</v>
      </c>
      <c r="P172" s="166"/>
      <c r="Q172" s="166"/>
      <c r="R172" s="71"/>
    </row>
    <row r="173" spans="1:41" s="61" customFormat="1" ht="31.5" x14ac:dyDescent="0.25">
      <c r="A173" s="358"/>
      <c r="B173" s="361"/>
      <c r="C173" s="364" t="s">
        <v>78</v>
      </c>
      <c r="D173" s="156" t="s">
        <v>26</v>
      </c>
      <c r="E173" s="156" t="s">
        <v>22</v>
      </c>
      <c r="F173" s="156" t="s">
        <v>22</v>
      </c>
      <c r="G173" s="266">
        <f>MROUND(H173*L173*I173/K173,0.000001)</f>
        <v>10.281214</v>
      </c>
      <c r="H173" s="158">
        <f>H53</f>
        <v>25840</v>
      </c>
      <c r="I173" s="159">
        <f>I171</f>
        <v>1.356107E-2</v>
      </c>
      <c r="J173" s="160"/>
      <c r="K173" s="161">
        <f>K171</f>
        <v>409</v>
      </c>
      <c r="L173" s="250">
        <v>12</v>
      </c>
      <c r="M173" s="163" t="str">
        <f>CONCATENATE(H173," ",F173,"(обрабатываемая площадь в мес.)","*",L173,"мес.","*",I173,"/",K173,"чел.")</f>
        <v>25840 м2(обрабатываемая площадь в мес.)*12мес.*0,01356107/409чел.</v>
      </c>
      <c r="N173" s="164">
        <f>N53</f>
        <v>1.1553999935500519</v>
      </c>
      <c r="O173" s="165">
        <f t="shared" ref="O173:O178" si="35">MROUND(G173*N173,0.000001)</f>
        <v>11.878914999999999</v>
      </c>
      <c r="P173" s="166"/>
      <c r="Q173" s="166">
        <f t="shared" si="33"/>
        <v>4858.4762350000001</v>
      </c>
      <c r="R173" s="71"/>
    </row>
    <row r="174" spans="1:41" s="61" customFormat="1" ht="31.5" x14ac:dyDescent="0.25">
      <c r="A174" s="358"/>
      <c r="B174" s="361"/>
      <c r="C174" s="364"/>
      <c r="D174" s="156" t="s">
        <v>96</v>
      </c>
      <c r="E174" s="156" t="s">
        <v>22</v>
      </c>
      <c r="F174" s="156" t="s">
        <v>22</v>
      </c>
      <c r="G174" s="266">
        <f>MROUND(H174*L174*I174/K174,0.000001)</f>
        <v>5.3216419999999998</v>
      </c>
      <c r="H174" s="158">
        <f>H54</f>
        <v>13375</v>
      </c>
      <c r="I174" s="159">
        <f>I173</f>
        <v>1.356107E-2</v>
      </c>
      <c r="J174" s="160"/>
      <c r="K174" s="161">
        <f>K173</f>
        <v>409</v>
      </c>
      <c r="L174" s="250">
        <v>12</v>
      </c>
      <c r="M174" s="163" t="str">
        <f>CONCATENATE(H174," ",F174,"(обрабатываемая площадь в мес.)","*",L174,"мес.","*",I174,"/",K174,"чел.")</f>
        <v>13375 м2(обрабатываемая площадь в мес.)*12мес.*0,01356107/409чел.</v>
      </c>
      <c r="N174" s="164">
        <f>N54</f>
        <v>1.8530000000000004</v>
      </c>
      <c r="O174" s="165">
        <f t="shared" si="35"/>
        <v>9.8610030000000002</v>
      </c>
      <c r="P174" s="166"/>
      <c r="Q174" s="166">
        <f t="shared" si="33"/>
        <v>4033.1502270000001</v>
      </c>
      <c r="R174" s="71"/>
    </row>
    <row r="175" spans="1:41" s="135" customFormat="1" ht="31.5" x14ac:dyDescent="0.25">
      <c r="A175" s="358"/>
      <c r="B175" s="361"/>
      <c r="C175" s="364"/>
      <c r="D175" s="156" t="s">
        <v>385</v>
      </c>
      <c r="E175" s="156" t="s">
        <v>22</v>
      </c>
      <c r="F175" s="156" t="s">
        <v>22</v>
      </c>
      <c r="G175" s="238">
        <f>MROUND(H175*L175*I175/K175,0.000001)</f>
        <v>10.643284999999999</v>
      </c>
      <c r="H175" s="242">
        <f>$H$55</f>
        <v>13375</v>
      </c>
      <c r="I175" s="159">
        <f>I174</f>
        <v>1.356107E-2</v>
      </c>
      <c r="J175" s="160"/>
      <c r="K175" s="161">
        <f>K174</f>
        <v>409</v>
      </c>
      <c r="L175" s="162">
        <v>24</v>
      </c>
      <c r="M175" s="163" t="str">
        <f>CONCATENATE(H175," ",F175,"(обрабатываемая площадь в год)","*",L175," раза в год.","*",I175,"/",K175,"чел.")</f>
        <v>13375 м2(обрабатываемая площадь в год)*24 раза в год.*0,01356107/409чел.</v>
      </c>
      <c r="N175" s="164">
        <f>$N$55</f>
        <v>2.2889999999999993</v>
      </c>
      <c r="O175" s="165">
        <f t="shared" si="35"/>
        <v>24.362479</v>
      </c>
      <c r="P175" s="166"/>
      <c r="Q175" s="166">
        <f t="shared" si="33"/>
        <v>9964.2539109999998</v>
      </c>
      <c r="R175" s="71"/>
      <c r="S175" s="61"/>
      <c r="T175" s="61"/>
      <c r="U175" s="61"/>
      <c r="V175" s="61"/>
      <c r="W175" s="61"/>
      <c r="X175" s="61"/>
      <c r="Y175" s="61"/>
      <c r="Z175" s="61"/>
      <c r="AA175" s="61"/>
      <c r="AB175" s="61"/>
      <c r="AC175" s="61"/>
      <c r="AD175" s="61"/>
      <c r="AE175" s="61"/>
      <c r="AF175" s="61"/>
      <c r="AG175" s="61"/>
      <c r="AH175" s="61"/>
      <c r="AI175" s="61"/>
      <c r="AJ175" s="61"/>
      <c r="AK175" s="61"/>
      <c r="AL175" s="61"/>
      <c r="AM175" s="61"/>
      <c r="AN175" s="61"/>
      <c r="AO175" s="61"/>
    </row>
    <row r="176" spans="1:41" s="135" customFormat="1" ht="31.5" x14ac:dyDescent="0.25">
      <c r="A176" s="358"/>
      <c r="B176" s="361"/>
      <c r="C176" s="364"/>
      <c r="D176" s="156" t="s">
        <v>394</v>
      </c>
      <c r="E176" s="156" t="s">
        <v>22</v>
      </c>
      <c r="F176" s="156" t="s">
        <v>22</v>
      </c>
      <c r="G176" s="238">
        <f>MROUND(H176*L176*I176/K176,0.000001)</f>
        <v>10.281214</v>
      </c>
      <c r="H176" s="243">
        <f>$H$56</f>
        <v>25840</v>
      </c>
      <c r="I176" s="159">
        <f>I175</f>
        <v>1.356107E-2</v>
      </c>
      <c r="J176" s="160"/>
      <c r="K176" s="161">
        <f>K175</f>
        <v>409</v>
      </c>
      <c r="L176" s="162">
        <v>12</v>
      </c>
      <c r="M176" s="163" t="str">
        <f>CONCATENATE(H176," ",F176,"(обрабатываемая площадь в мес.)","*",L176,"мес.","*",I176,"/",K176,"чел.")</f>
        <v>25840 м2(обрабатываемая площадь в мес.)*12мес.*0,01356107/409чел.</v>
      </c>
      <c r="N176" s="164">
        <f>$N$56</f>
        <v>0.54499999999999993</v>
      </c>
      <c r="O176" s="165">
        <f t="shared" si="35"/>
        <v>5.603262</v>
      </c>
      <c r="P176" s="166"/>
      <c r="Q176" s="166">
        <f t="shared" si="33"/>
        <v>2291.7341580000002</v>
      </c>
      <c r="R176" s="71"/>
      <c r="S176" s="61"/>
      <c r="T176" s="61"/>
      <c r="U176" s="61"/>
      <c r="V176" s="61"/>
      <c r="W176" s="61"/>
      <c r="X176" s="61"/>
      <c r="Y176" s="61"/>
      <c r="Z176" s="61"/>
      <c r="AA176" s="61"/>
      <c r="AB176" s="61"/>
      <c r="AC176" s="61"/>
      <c r="AD176" s="61"/>
      <c r="AE176" s="61"/>
      <c r="AF176" s="61"/>
      <c r="AG176" s="61"/>
      <c r="AH176" s="61"/>
      <c r="AI176" s="61"/>
      <c r="AJ176" s="61"/>
      <c r="AK176" s="61"/>
      <c r="AL176" s="61"/>
      <c r="AM176" s="61"/>
      <c r="AN176" s="61"/>
      <c r="AO176" s="61"/>
    </row>
    <row r="177" spans="1:41" s="135" customFormat="1" ht="31.5" x14ac:dyDescent="0.25">
      <c r="A177" s="358"/>
      <c r="B177" s="361"/>
      <c r="C177" s="364"/>
      <c r="D177" s="156" t="s">
        <v>395</v>
      </c>
      <c r="E177" s="156" t="s">
        <v>98</v>
      </c>
      <c r="F177" s="156" t="s">
        <v>98</v>
      </c>
      <c r="G177" s="238">
        <f>MROUND(H177*L177*I177/K177,0.000000001)</f>
        <v>6.2798699999999999E-4</v>
      </c>
      <c r="H177" s="242">
        <f>$H$57</f>
        <v>18.939999999999998</v>
      </c>
      <c r="I177" s="159">
        <f>I176</f>
        <v>1.356107E-2</v>
      </c>
      <c r="J177" s="160"/>
      <c r="K177" s="161">
        <f>K176</f>
        <v>409</v>
      </c>
      <c r="L177" s="162">
        <v>1</v>
      </c>
      <c r="M177" s="163" t="str">
        <f>CONCATENATE(H177," ",F177,"(обрабатываемая площадь в год)","*",L177," раз в год","*",I177,"/",K177,"чел.")</f>
        <v>18,94 Га(обрабатываемая площадь в год)*1 раз в год*0,01356107/409чел.</v>
      </c>
      <c r="N177" s="164">
        <f>$N$57</f>
        <v>545</v>
      </c>
      <c r="O177" s="165">
        <f t="shared" si="35"/>
        <v>0.34225299999999997</v>
      </c>
      <c r="P177" s="166"/>
      <c r="Q177" s="166">
        <f t="shared" si="33"/>
        <v>139.98147699999998</v>
      </c>
      <c r="R177" s="71"/>
      <c r="S177" s="61"/>
      <c r="T177" s="61"/>
      <c r="U177" s="61"/>
      <c r="V177" s="61"/>
      <c r="W177" s="61"/>
      <c r="X177" s="61"/>
      <c r="Y177" s="61"/>
      <c r="Z177" s="61"/>
      <c r="AA177" s="61"/>
      <c r="AB177" s="61"/>
      <c r="AC177" s="61"/>
      <c r="AD177" s="61"/>
      <c r="AE177" s="61"/>
      <c r="AF177" s="61"/>
      <c r="AG177" s="61"/>
      <c r="AH177" s="61"/>
      <c r="AI177" s="61"/>
      <c r="AJ177" s="61"/>
      <c r="AK177" s="61"/>
      <c r="AL177" s="61"/>
      <c r="AM177" s="61"/>
      <c r="AN177" s="61"/>
      <c r="AO177" s="61"/>
    </row>
    <row r="178" spans="1:41" s="61" customFormat="1" ht="31.5" x14ac:dyDescent="0.25">
      <c r="A178" s="358"/>
      <c r="B178" s="361"/>
      <c r="C178" s="364"/>
      <c r="D178" s="156" t="s">
        <v>97</v>
      </c>
      <c r="E178" s="156" t="s">
        <v>98</v>
      </c>
      <c r="F178" s="156" t="s">
        <v>98</v>
      </c>
      <c r="G178" s="266">
        <f>MROUND(H178*L178*I178/K178,0.0000000001)</f>
        <v>6.2798699999999999E-4</v>
      </c>
      <c r="H178" s="242">
        <f>H58</f>
        <v>18.939999999999998</v>
      </c>
      <c r="I178" s="244">
        <f>I174</f>
        <v>1.356107E-2</v>
      </c>
      <c r="J178" s="160"/>
      <c r="K178" s="161">
        <f>K174</f>
        <v>409</v>
      </c>
      <c r="L178" s="250">
        <v>1</v>
      </c>
      <c r="M178" s="163" t="str">
        <f>CONCATENATE(H178," ",F178,"(обрабатываемая площадь в мес.)","*",L178,"мес.","*",I178,"/",K178,"чел.")</f>
        <v>18,94 Га(обрабатываемая площадь в мес.)*1мес.*0,01356107/409чел.</v>
      </c>
      <c r="N178" s="164">
        <f>N58</f>
        <v>2965.979936642027</v>
      </c>
      <c r="O178" s="165">
        <f t="shared" si="35"/>
        <v>1.8625969999999998</v>
      </c>
      <c r="P178" s="166"/>
      <c r="Q178" s="166">
        <f t="shared" si="33"/>
        <v>761.80217299999993</v>
      </c>
      <c r="R178" s="71"/>
    </row>
    <row r="179" spans="1:41" s="61" customFormat="1" x14ac:dyDescent="0.25">
      <c r="A179" s="358"/>
      <c r="B179" s="361"/>
      <c r="C179" s="245" t="s">
        <v>303</v>
      </c>
      <c r="D179" s="156"/>
      <c r="E179" s="156"/>
      <c r="F179" s="156"/>
      <c r="G179" s="238"/>
      <c r="H179" s="158"/>
      <c r="I179" s="159"/>
      <c r="J179" s="160"/>
      <c r="K179" s="161"/>
      <c r="L179" s="250"/>
      <c r="M179" s="163"/>
      <c r="N179" s="210"/>
      <c r="O179" s="198">
        <f>SUM(O173:O178)</f>
        <v>53.910508999999998</v>
      </c>
      <c r="P179" s="166"/>
      <c r="Q179" s="166"/>
      <c r="R179" s="71"/>
    </row>
    <row r="180" spans="1:41" s="61" customFormat="1" ht="63" x14ac:dyDescent="0.25">
      <c r="A180" s="358"/>
      <c r="B180" s="361"/>
      <c r="C180" s="365" t="s">
        <v>77</v>
      </c>
      <c r="D180" s="156" t="s">
        <v>29</v>
      </c>
      <c r="E180" s="156" t="s">
        <v>58</v>
      </c>
      <c r="F180" s="156" t="s">
        <v>218</v>
      </c>
      <c r="G180" s="266">
        <f>MROUND(H180*L180*I180/K180,0.00000001)</f>
        <v>1.9894000000000001E-3</v>
      </c>
      <c r="H180" s="158">
        <v>15</v>
      </c>
      <c r="I180" s="159">
        <f>I178</f>
        <v>1.356107E-2</v>
      </c>
      <c r="J180" s="160"/>
      <c r="K180" s="161">
        <f>K178</f>
        <v>409</v>
      </c>
      <c r="L180" s="162">
        <v>4</v>
      </c>
      <c r="M180" s="163" t="str">
        <f>CONCATENATE(H180," ",F180,"*",L180," раза в год","*",I180,"/",K180,"чел.")</f>
        <v>15 установок*4 раза в год*0,01356107/409чел.</v>
      </c>
      <c r="N180" s="164">
        <f t="shared" ref="N180:N195" si="36">N60</f>
        <v>721.75483333333329</v>
      </c>
      <c r="O180" s="165">
        <f t="shared" ref="O180:O195" si="37">MROUND(G180*N180,0.000001)</f>
        <v>1.435859</v>
      </c>
      <c r="P180" s="166"/>
      <c r="Q180" s="166">
        <f t="shared" si="33"/>
        <v>587.26633100000004</v>
      </c>
      <c r="R180" s="71"/>
    </row>
    <row r="181" spans="1:41" s="61" customFormat="1" ht="47.25" x14ac:dyDescent="0.25">
      <c r="A181" s="358"/>
      <c r="B181" s="361"/>
      <c r="C181" s="366"/>
      <c r="D181" s="156" t="s">
        <v>30</v>
      </c>
      <c r="E181" s="156" t="s">
        <v>58</v>
      </c>
      <c r="F181" s="156" t="s">
        <v>218</v>
      </c>
      <c r="G181" s="266">
        <f t="shared" ref="G181:G195" si="38">MROUND(H181*L181*I181/K181,0.00000001)</f>
        <v>9.9470000000000005E-4</v>
      </c>
      <c r="H181" s="158">
        <v>15</v>
      </c>
      <c r="I181" s="159">
        <f>I180</f>
        <v>1.356107E-2</v>
      </c>
      <c r="J181" s="160"/>
      <c r="K181" s="161">
        <f>K180</f>
        <v>409</v>
      </c>
      <c r="L181" s="250">
        <v>2</v>
      </c>
      <c r="M181" s="163" t="str">
        <f>CONCATENATE(H181," ",F181,"*",L181,"полуг.","*",I181,"/",K181,"чел.")</f>
        <v>15 установок*2полуг.*0,01356107/409чел.</v>
      </c>
      <c r="N181" s="164">
        <f t="shared" si="36"/>
        <v>721.75266666666664</v>
      </c>
      <c r="O181" s="165">
        <f t="shared" si="37"/>
        <v>0.71792699999999998</v>
      </c>
      <c r="P181" s="166"/>
      <c r="Q181" s="166">
        <f t="shared" si="33"/>
        <v>293.63214299999999</v>
      </c>
      <c r="R181" s="71"/>
    </row>
    <row r="182" spans="1:41" s="61" customFormat="1" ht="31.5" x14ac:dyDescent="0.25">
      <c r="A182" s="358"/>
      <c r="B182" s="361"/>
      <c r="C182" s="366"/>
      <c r="D182" s="156" t="s">
        <v>397</v>
      </c>
      <c r="E182" s="156" t="s">
        <v>433</v>
      </c>
      <c r="F182" s="156" t="s">
        <v>433</v>
      </c>
      <c r="G182" s="266">
        <f t="shared" si="38"/>
        <v>1.989399E-2</v>
      </c>
      <c r="H182" s="158">
        <f>H62</f>
        <v>600</v>
      </c>
      <c r="I182" s="159">
        <f>I181</f>
        <v>1.356107E-2</v>
      </c>
      <c r="J182" s="160"/>
      <c r="K182" s="161">
        <f>K181</f>
        <v>409</v>
      </c>
      <c r="L182" s="162">
        <v>1</v>
      </c>
      <c r="M182" s="163" t="str">
        <f>CONCATENATE(H182," ",F182,"(обрабатываемая площадь в год)","*",L182," раз в год","*",I182,"/",K182,"чел.")</f>
        <v>600 м2.(обрабатываемая площадь в год)*1 раз в год*0,01356107/409чел.</v>
      </c>
      <c r="N182" s="164">
        <f t="shared" si="36"/>
        <v>300</v>
      </c>
      <c r="O182" s="165">
        <f t="shared" si="37"/>
        <v>5.968197</v>
      </c>
      <c r="P182" s="166"/>
      <c r="Q182" s="166">
        <f t="shared" si="33"/>
        <v>2440.992573</v>
      </c>
      <c r="R182" s="71"/>
    </row>
    <row r="183" spans="1:41" s="61" customFormat="1" ht="47.25" x14ac:dyDescent="0.25">
      <c r="A183" s="358"/>
      <c r="B183" s="361"/>
      <c r="C183" s="366"/>
      <c r="D183" s="156" t="s">
        <v>32</v>
      </c>
      <c r="E183" s="156" t="s">
        <v>55</v>
      </c>
      <c r="F183" s="156" t="s">
        <v>219</v>
      </c>
      <c r="G183" s="266">
        <f t="shared" si="38"/>
        <v>4.7745599999999997E-3</v>
      </c>
      <c r="H183" s="158">
        <f>H63</f>
        <v>36</v>
      </c>
      <c r="I183" s="159">
        <f>I182</f>
        <v>1.356107E-2</v>
      </c>
      <c r="J183" s="160"/>
      <c r="K183" s="161">
        <f>K182</f>
        <v>409</v>
      </c>
      <c r="L183" s="250">
        <v>4</v>
      </c>
      <c r="M183" s="163" t="str">
        <f>CONCATENATE(H183," ",F183,"*",L183,"кв.","*",I183,"/",K183,"чел.")</f>
        <v>36 системы*4кв.*0,01356107/409чел.</v>
      </c>
      <c r="N183" s="164">
        <f t="shared" si="36"/>
        <v>6924.5277777777774</v>
      </c>
      <c r="O183" s="165">
        <f t="shared" si="37"/>
        <v>33.061572999999996</v>
      </c>
      <c r="P183" s="166"/>
      <c r="Q183" s="166">
        <f t="shared" si="33"/>
        <v>13522.183356999998</v>
      </c>
      <c r="R183" s="71"/>
    </row>
    <row r="184" spans="1:41" s="61" customFormat="1" ht="63" x14ac:dyDescent="0.25">
      <c r="A184" s="358"/>
      <c r="B184" s="361"/>
      <c r="C184" s="366"/>
      <c r="D184" s="156" t="s">
        <v>33</v>
      </c>
      <c r="E184" s="156" t="s">
        <v>56</v>
      </c>
      <c r="F184" s="156" t="s">
        <v>220</v>
      </c>
      <c r="G184" s="266">
        <f t="shared" si="38"/>
        <v>1.1936399999999999E-3</v>
      </c>
      <c r="H184" s="158">
        <f>$H$64</f>
        <v>36</v>
      </c>
      <c r="I184" s="159">
        <f t="shared" ref="I184:I195" si="39">I183</f>
        <v>1.356107E-2</v>
      </c>
      <c r="J184" s="160"/>
      <c r="K184" s="161">
        <f t="shared" ref="K184:K195" si="40">K183</f>
        <v>409</v>
      </c>
      <c r="L184" s="162">
        <v>1</v>
      </c>
      <c r="M184" s="163" t="str">
        <f>CONCATENATE(H184," ",F184,"*",L184," раз в год","*",I184,"/",K184,"чел.")</f>
        <v>36 дымоходов*1 раз в год*0,01356107/409чел.</v>
      </c>
      <c r="N184" s="164">
        <f t="shared" si="36"/>
        <v>6540</v>
      </c>
      <c r="O184" s="165">
        <f t="shared" si="37"/>
        <v>7.806406</v>
      </c>
      <c r="P184" s="166"/>
      <c r="Q184" s="166">
        <f t="shared" si="33"/>
        <v>3192.8200539999998</v>
      </c>
      <c r="R184" s="71"/>
    </row>
    <row r="185" spans="1:41" s="61" customFormat="1" x14ac:dyDescent="0.25">
      <c r="A185" s="358"/>
      <c r="B185" s="361"/>
      <c r="C185" s="366"/>
      <c r="D185" s="194" t="s">
        <v>398</v>
      </c>
      <c r="E185" s="156" t="s">
        <v>60</v>
      </c>
      <c r="F185" s="156" t="s">
        <v>60</v>
      </c>
      <c r="G185" s="266">
        <f t="shared" si="38"/>
        <v>1.16048E-3</v>
      </c>
      <c r="H185" s="246">
        <f t="shared" ref="H185:H195" si="41">H65</f>
        <v>35</v>
      </c>
      <c r="I185" s="159">
        <f t="shared" si="39"/>
        <v>1.356107E-2</v>
      </c>
      <c r="J185" s="160"/>
      <c r="K185" s="161">
        <f t="shared" si="40"/>
        <v>409</v>
      </c>
      <c r="L185" s="250">
        <v>1</v>
      </c>
      <c r="M185" s="163" t="str">
        <f>CONCATENATE(H185," ",F185,"*",I185,"/",K185,"чел.")</f>
        <v>35 шт.*0,01356107/409чел.</v>
      </c>
      <c r="N185" s="164">
        <f t="shared" si="36"/>
        <v>11009</v>
      </c>
      <c r="O185" s="165">
        <f t="shared" si="37"/>
        <v>12.775724</v>
      </c>
      <c r="P185" s="166"/>
      <c r="Q185" s="166">
        <f t="shared" si="33"/>
        <v>5225.2711159999999</v>
      </c>
      <c r="R185" s="71"/>
    </row>
    <row r="186" spans="1:41" s="61" customFormat="1" ht="47.25" x14ac:dyDescent="0.25">
      <c r="A186" s="358"/>
      <c r="B186" s="361"/>
      <c r="C186" s="366"/>
      <c r="D186" s="156" t="s">
        <v>401</v>
      </c>
      <c r="E186" s="156" t="s">
        <v>60</v>
      </c>
      <c r="F186" s="156" t="s">
        <v>402</v>
      </c>
      <c r="G186" s="266">
        <f t="shared" si="38"/>
        <v>2.3209699999999999E-3</v>
      </c>
      <c r="H186" s="246">
        <f t="shared" si="41"/>
        <v>35</v>
      </c>
      <c r="I186" s="159">
        <f t="shared" si="39"/>
        <v>1.356107E-2</v>
      </c>
      <c r="J186" s="160"/>
      <c r="K186" s="161">
        <f t="shared" si="40"/>
        <v>409</v>
      </c>
      <c r="L186" s="162">
        <v>2</v>
      </c>
      <c r="M186" s="163" t="str">
        <f>CONCATENATE(H186," ",F186,"*",L186," раз в год","*",I186,"/",K186,"чел.")</f>
        <v>35 противопожарных водопроводов*2 раз в год*0,01356107/409чел.</v>
      </c>
      <c r="N186" s="164">
        <f t="shared" si="36"/>
        <v>5450</v>
      </c>
      <c r="O186" s="165">
        <f t="shared" si="37"/>
        <v>12.649286999999999</v>
      </c>
      <c r="P186" s="166"/>
      <c r="Q186" s="166">
        <f t="shared" si="33"/>
        <v>5173.5583829999996</v>
      </c>
      <c r="R186" s="71"/>
    </row>
    <row r="187" spans="1:41" s="61" customFormat="1" ht="31.5" x14ac:dyDescent="0.25">
      <c r="A187" s="358"/>
      <c r="B187" s="361"/>
      <c r="C187" s="366"/>
      <c r="D187" s="156" t="s">
        <v>221</v>
      </c>
      <c r="E187" s="156" t="s">
        <v>60</v>
      </c>
      <c r="F187" s="156" t="s">
        <v>60</v>
      </c>
      <c r="G187" s="266">
        <f>MROUND(H187*L187*I187/K187,0.0000000001)</f>
        <v>7.1618365000000002E-3</v>
      </c>
      <c r="H187" s="158">
        <f t="shared" si="41"/>
        <v>18</v>
      </c>
      <c r="I187" s="159">
        <f t="shared" si="39"/>
        <v>1.356107E-2</v>
      </c>
      <c r="J187" s="160"/>
      <c r="K187" s="161">
        <f t="shared" si="40"/>
        <v>409</v>
      </c>
      <c r="L187" s="250">
        <v>12</v>
      </c>
      <c r="M187" s="163" t="str">
        <f>CONCATENATE(H187," ",F187,"*",L187,"мес.","*",I187,"/",K187,"чел.")</f>
        <v>18 шт.*12мес.*0,01356107/409чел.</v>
      </c>
      <c r="N187" s="164">
        <f t="shared" si="36"/>
        <v>6288.0888888888885</v>
      </c>
      <c r="O187" s="165">
        <f t="shared" si="37"/>
        <v>45.034264999999998</v>
      </c>
      <c r="P187" s="166"/>
      <c r="Q187" s="166">
        <f t="shared" si="33"/>
        <v>18419.014384999999</v>
      </c>
      <c r="R187" s="71"/>
    </row>
    <row r="188" spans="1:41" s="61" customFormat="1" ht="47.25" x14ac:dyDescent="0.25">
      <c r="A188" s="358"/>
      <c r="B188" s="361"/>
      <c r="C188" s="366"/>
      <c r="D188" s="156" t="s">
        <v>34</v>
      </c>
      <c r="E188" s="156" t="s">
        <v>59</v>
      </c>
      <c r="F188" s="156" t="s">
        <v>28</v>
      </c>
      <c r="G188" s="266">
        <f>MROUND(H188*L188*I188/K188,0.00000000001)</f>
        <v>6.6313299999999994E-5</v>
      </c>
      <c r="H188" s="158">
        <f t="shared" si="41"/>
        <v>2</v>
      </c>
      <c r="I188" s="159">
        <f t="shared" si="39"/>
        <v>1.356107E-2</v>
      </c>
      <c r="J188" s="160"/>
      <c r="K188" s="161">
        <f t="shared" si="40"/>
        <v>409</v>
      </c>
      <c r="L188" s="250">
        <v>1</v>
      </c>
      <c r="M188" s="163" t="str">
        <f>CONCATENATE(H188," ",F188,"*",I188,"/",K188,"чел.")</f>
        <v>2 шт*0,01356107/409чел.</v>
      </c>
      <c r="N188" s="164">
        <f t="shared" si="36"/>
        <v>7500</v>
      </c>
      <c r="O188" s="165">
        <f t="shared" si="37"/>
        <v>0.49734999999999996</v>
      </c>
      <c r="P188" s="166"/>
      <c r="Q188" s="166">
        <f t="shared" si="33"/>
        <v>203.41614999999999</v>
      </c>
      <c r="R188" s="71"/>
    </row>
    <row r="189" spans="1:41" s="61" customFormat="1" ht="47.25" x14ac:dyDescent="0.25">
      <c r="A189" s="358"/>
      <c r="B189" s="361"/>
      <c r="C189" s="366"/>
      <c r="D189" s="156" t="s">
        <v>222</v>
      </c>
      <c r="E189" s="156" t="s">
        <v>60</v>
      </c>
      <c r="F189" s="156" t="s">
        <v>60</v>
      </c>
      <c r="G189" s="266">
        <f t="shared" si="38"/>
        <v>1.16048E-3</v>
      </c>
      <c r="H189" s="248">
        <f t="shared" si="41"/>
        <v>35</v>
      </c>
      <c r="I189" s="159">
        <f t="shared" si="39"/>
        <v>1.356107E-2</v>
      </c>
      <c r="J189" s="160"/>
      <c r="K189" s="161">
        <f t="shared" si="40"/>
        <v>409</v>
      </c>
      <c r="L189" s="250">
        <v>1</v>
      </c>
      <c r="M189" s="163" t="str">
        <f>CONCATENATE(H189," ",F189,"*",I189,"/",K189,"чел.")</f>
        <v>35 шт.*0,01356107/409чел.</v>
      </c>
      <c r="N189" s="164">
        <f t="shared" si="36"/>
        <v>8189.7714285714283</v>
      </c>
      <c r="O189" s="165">
        <f>MROUND(G189*N189,0.00000001)</f>
        <v>9.5040659499999993</v>
      </c>
      <c r="P189" s="166"/>
      <c r="Q189" s="166">
        <f t="shared" si="33"/>
        <v>3887.1629735499996</v>
      </c>
      <c r="R189" s="71"/>
    </row>
    <row r="190" spans="1:41" s="61" customFormat="1" ht="31.5" x14ac:dyDescent="0.25">
      <c r="A190" s="358"/>
      <c r="B190" s="361"/>
      <c r="C190" s="366"/>
      <c r="D190" s="156" t="s">
        <v>35</v>
      </c>
      <c r="E190" s="156" t="s">
        <v>102</v>
      </c>
      <c r="F190" s="156" t="s">
        <v>223</v>
      </c>
      <c r="G190" s="266">
        <f t="shared" si="38"/>
        <v>1.16048E-3</v>
      </c>
      <c r="H190" s="158">
        <f t="shared" si="41"/>
        <v>35</v>
      </c>
      <c r="I190" s="159">
        <f t="shared" si="39"/>
        <v>1.356107E-2</v>
      </c>
      <c r="J190" s="160"/>
      <c r="K190" s="161">
        <f t="shared" si="40"/>
        <v>409</v>
      </c>
      <c r="L190" s="250">
        <v>1</v>
      </c>
      <c r="M190" s="163" t="str">
        <f>CONCATENATE(H190," ",F190,"*",I190,"/",K190,"чел.")</f>
        <v>35 замеров*0,01356107/409чел.</v>
      </c>
      <c r="N190" s="164">
        <f t="shared" si="36"/>
        <v>20142.857142857141</v>
      </c>
      <c r="O190" s="165">
        <f t="shared" si="37"/>
        <v>23.375382999999999</v>
      </c>
      <c r="P190" s="166"/>
      <c r="Q190" s="166">
        <f t="shared" si="33"/>
        <v>9560.5316469999998</v>
      </c>
      <c r="R190" s="71"/>
    </row>
    <row r="191" spans="1:41" s="61" customFormat="1" ht="47.25" x14ac:dyDescent="0.25">
      <c r="A191" s="358"/>
      <c r="B191" s="361"/>
      <c r="C191" s="366"/>
      <c r="D191" s="156" t="s">
        <v>399</v>
      </c>
      <c r="E191" s="156" t="s">
        <v>60</v>
      </c>
      <c r="F191" s="156" t="s">
        <v>60</v>
      </c>
      <c r="G191" s="266">
        <f t="shared" si="38"/>
        <v>1.160483E-2</v>
      </c>
      <c r="H191" s="158">
        <f t="shared" si="41"/>
        <v>35</v>
      </c>
      <c r="I191" s="159">
        <f t="shared" si="39"/>
        <v>1.356107E-2</v>
      </c>
      <c r="J191" s="160"/>
      <c r="K191" s="161">
        <f t="shared" si="40"/>
        <v>409</v>
      </c>
      <c r="L191" s="250">
        <v>10</v>
      </c>
      <c r="M191" s="163" t="str">
        <f>CONCATENATE(H191," ",F191,"*",L191,"мес.","*",I191,"/",K191,"чел.")</f>
        <v>35 шт.*10мес.*0,01356107/409чел.</v>
      </c>
      <c r="N191" s="164">
        <f t="shared" si="36"/>
        <v>3107.903028571428</v>
      </c>
      <c r="O191" s="165">
        <f t="shared" si="37"/>
        <v>36.066685999999997</v>
      </c>
      <c r="P191" s="166"/>
      <c r="Q191" s="166">
        <f t="shared" si="33"/>
        <v>14751.274573999999</v>
      </c>
      <c r="R191" s="71"/>
    </row>
    <row r="192" spans="1:41" s="61" customFormat="1" ht="47.25" x14ac:dyDescent="0.25">
      <c r="A192" s="358"/>
      <c r="B192" s="361"/>
      <c r="C192" s="366"/>
      <c r="D192" s="156" t="s">
        <v>36</v>
      </c>
      <c r="E192" s="156" t="s">
        <v>31</v>
      </c>
      <c r="F192" s="156" t="s">
        <v>224</v>
      </c>
      <c r="G192" s="266">
        <f t="shared" si="38"/>
        <v>1.432367E-2</v>
      </c>
      <c r="H192" s="158">
        <f t="shared" si="41"/>
        <v>36</v>
      </c>
      <c r="I192" s="159">
        <f t="shared" si="39"/>
        <v>1.356107E-2</v>
      </c>
      <c r="J192" s="160"/>
      <c r="K192" s="161">
        <f t="shared" si="40"/>
        <v>409</v>
      </c>
      <c r="L192" s="250">
        <v>12</v>
      </c>
      <c r="M192" s="163" t="str">
        <f>CONCATENATE(H192," ",F192,"*",L192,"мес.","*",I192,"/",K192,"чел.")</f>
        <v>36 устройств*12мес.*0,01356107/409чел.</v>
      </c>
      <c r="N192" s="164">
        <f t="shared" si="36"/>
        <v>2200</v>
      </c>
      <c r="O192" s="165">
        <f t="shared" si="37"/>
        <v>31.512073999999998</v>
      </c>
      <c r="P192" s="166"/>
      <c r="Q192" s="166">
        <f t="shared" si="33"/>
        <v>12888.438265999999</v>
      </c>
      <c r="R192" s="71"/>
    </row>
    <row r="193" spans="1:18" s="61" customFormat="1" ht="31.5" x14ac:dyDescent="0.25">
      <c r="A193" s="358"/>
      <c r="B193" s="361"/>
      <c r="C193" s="366"/>
      <c r="D193" s="156" t="s">
        <v>99</v>
      </c>
      <c r="E193" s="156" t="s">
        <v>103</v>
      </c>
      <c r="F193" s="156" t="s">
        <v>225</v>
      </c>
      <c r="G193" s="266">
        <f t="shared" si="38"/>
        <v>1.2599529999999999E-2</v>
      </c>
      <c r="H193" s="158">
        <f t="shared" si="41"/>
        <v>380</v>
      </c>
      <c r="I193" s="159">
        <f t="shared" si="39"/>
        <v>1.356107E-2</v>
      </c>
      <c r="J193" s="160"/>
      <c r="K193" s="161">
        <f t="shared" si="40"/>
        <v>409</v>
      </c>
      <c r="L193" s="250">
        <v>1</v>
      </c>
      <c r="M193" s="163" t="str">
        <f>CONCATENATE(H193," ",F193,"*",I193,"/",K193,"чел.")</f>
        <v>380 ед.*0,01356107/409чел.</v>
      </c>
      <c r="N193" s="164">
        <f t="shared" si="36"/>
        <v>15000</v>
      </c>
      <c r="O193" s="165">
        <f t="shared" si="37"/>
        <v>188.99294999999998</v>
      </c>
      <c r="P193" s="166"/>
      <c r="Q193" s="166">
        <f t="shared" si="33"/>
        <v>77298.116549999992</v>
      </c>
      <c r="R193" s="71"/>
    </row>
    <row r="194" spans="1:18" s="61" customFormat="1" x14ac:dyDescent="0.25">
      <c r="A194" s="358"/>
      <c r="B194" s="361"/>
      <c r="C194" s="366"/>
      <c r="D194" s="156" t="s">
        <v>27</v>
      </c>
      <c r="E194" s="156" t="s">
        <v>28</v>
      </c>
      <c r="F194" s="156" t="s">
        <v>28</v>
      </c>
      <c r="G194" s="266">
        <f t="shared" si="38"/>
        <v>0.18949025999999999</v>
      </c>
      <c r="H194" s="160">
        <f t="shared" si="41"/>
        <v>5715</v>
      </c>
      <c r="I194" s="159">
        <f t="shared" si="39"/>
        <v>1.356107E-2</v>
      </c>
      <c r="J194" s="160"/>
      <c r="K194" s="161">
        <f t="shared" si="40"/>
        <v>409</v>
      </c>
      <c r="L194" s="250">
        <v>1</v>
      </c>
      <c r="M194" s="163" t="str">
        <f>CONCATENATE(H194," ",F194,"*",I194,"/",K194,"чел.")</f>
        <v>5715 шт*0,01356107/409чел.</v>
      </c>
      <c r="N194" s="164">
        <f t="shared" si="36"/>
        <v>400</v>
      </c>
      <c r="O194" s="165">
        <f t="shared" si="37"/>
        <v>75.796104</v>
      </c>
      <c r="P194" s="166"/>
      <c r="Q194" s="166">
        <f t="shared" si="33"/>
        <v>31000.606535999999</v>
      </c>
      <c r="R194" s="71"/>
    </row>
    <row r="195" spans="1:18" s="61" customFormat="1" ht="31.5" x14ac:dyDescent="0.25">
      <c r="A195" s="358"/>
      <c r="B195" s="361"/>
      <c r="C195" s="367"/>
      <c r="D195" s="156" t="s">
        <v>104</v>
      </c>
      <c r="E195" s="156" t="s">
        <v>105</v>
      </c>
      <c r="F195" s="156" t="s">
        <v>226</v>
      </c>
      <c r="G195" s="266">
        <f t="shared" si="38"/>
        <v>1.1936399999999999E-3</v>
      </c>
      <c r="H195" s="160">
        <f t="shared" si="41"/>
        <v>36</v>
      </c>
      <c r="I195" s="159">
        <f t="shared" si="39"/>
        <v>1.356107E-2</v>
      </c>
      <c r="J195" s="160"/>
      <c r="K195" s="161">
        <f t="shared" si="40"/>
        <v>409</v>
      </c>
      <c r="L195" s="250">
        <v>1</v>
      </c>
      <c r="M195" s="163" t="str">
        <f>CONCATENATE(H195," ",F195,"*",I195,"/",K195,"чел.")</f>
        <v>36 отключений*0,01356107/409чел.</v>
      </c>
      <c r="N195" s="164">
        <f t="shared" si="36"/>
        <v>9810</v>
      </c>
      <c r="O195" s="165">
        <f t="shared" si="37"/>
        <v>11.709607999999999</v>
      </c>
      <c r="P195" s="166"/>
      <c r="Q195" s="166">
        <f t="shared" si="33"/>
        <v>4789.2296719999995</v>
      </c>
      <c r="R195" s="71"/>
    </row>
    <row r="196" spans="1:18" s="61" customFormat="1" x14ac:dyDescent="0.25">
      <c r="A196" s="358"/>
      <c r="B196" s="361"/>
      <c r="C196" s="249" t="s">
        <v>304</v>
      </c>
      <c r="D196" s="240"/>
      <c r="E196" s="240"/>
      <c r="F196" s="240"/>
      <c r="G196" s="227"/>
      <c r="H196" s="228"/>
      <c r="I196" s="206"/>
      <c r="J196" s="228"/>
      <c r="K196" s="207"/>
      <c r="L196" s="257"/>
      <c r="M196" s="209"/>
      <c r="N196" s="210"/>
      <c r="O196" s="198">
        <f>SUM(O180:O195)</f>
        <v>496.90345894999996</v>
      </c>
      <c r="P196" s="166"/>
      <c r="Q196" s="166"/>
      <c r="R196" s="71"/>
    </row>
    <row r="197" spans="1:18" s="61" customFormat="1" ht="31.5" x14ac:dyDescent="0.25">
      <c r="A197" s="358"/>
      <c r="B197" s="361"/>
      <c r="C197" s="221" t="s">
        <v>79</v>
      </c>
      <c r="D197" s="156" t="s">
        <v>37</v>
      </c>
      <c r="E197" s="156" t="s">
        <v>61</v>
      </c>
      <c r="F197" s="156" t="s">
        <v>227</v>
      </c>
      <c r="G197" s="266">
        <f>MROUND(H197*L197*I197/K197,0.000000001)</f>
        <v>1.3262700000000002E-4</v>
      </c>
      <c r="H197" s="158">
        <f>H77</f>
        <v>4</v>
      </c>
      <c r="I197" s="159">
        <f>I195</f>
        <v>1.356107E-2</v>
      </c>
      <c r="J197" s="160"/>
      <c r="K197" s="161">
        <f>K195</f>
        <v>409</v>
      </c>
      <c r="L197" s="250">
        <v>1</v>
      </c>
      <c r="M197" s="163" t="str">
        <f>CONCATENATE(H197," ",F197,"*",I197,"/",K197,"чел.")</f>
        <v>4 автобуса*0,01356107/409чел.</v>
      </c>
      <c r="N197" s="164">
        <f>N77</f>
        <v>93408.640000000014</v>
      </c>
      <c r="O197" s="165">
        <f>MROUND(G197*N197,0.000001)</f>
        <v>12.388508</v>
      </c>
      <c r="P197" s="166"/>
      <c r="Q197" s="166">
        <f t="shared" si="33"/>
        <v>5066.8997719999998</v>
      </c>
      <c r="R197" s="71"/>
    </row>
    <row r="198" spans="1:18" s="61" customFormat="1" x14ac:dyDescent="0.25">
      <c r="A198" s="358"/>
      <c r="B198" s="361"/>
      <c r="C198" s="218" t="s">
        <v>305</v>
      </c>
      <c r="D198" s="240"/>
      <c r="E198" s="240"/>
      <c r="F198" s="240"/>
      <c r="G198" s="227"/>
      <c r="H198" s="241"/>
      <c r="I198" s="206"/>
      <c r="J198" s="228"/>
      <c r="K198" s="207"/>
      <c r="L198" s="257"/>
      <c r="M198" s="209"/>
      <c r="N198" s="210"/>
      <c r="O198" s="198">
        <f>SUM(O197)</f>
        <v>12.388508</v>
      </c>
      <c r="P198" s="166"/>
      <c r="Q198" s="166"/>
      <c r="R198" s="71"/>
    </row>
    <row r="199" spans="1:18" s="61" customFormat="1" ht="15.6" customHeight="1" x14ac:dyDescent="0.25">
      <c r="A199" s="358"/>
      <c r="B199" s="361"/>
      <c r="C199" s="365" t="s">
        <v>80</v>
      </c>
      <c r="D199" s="156" t="s">
        <v>38</v>
      </c>
      <c r="E199" s="156" t="s">
        <v>57</v>
      </c>
      <c r="F199" s="156" t="s">
        <v>228</v>
      </c>
      <c r="G199" s="266">
        <f>MROUND(H199*L199*I199/K199,0.0000000001)</f>
        <v>1.4323673E-2</v>
      </c>
      <c r="H199" s="158">
        <f t="shared" ref="H199:H212" si="42">H79</f>
        <v>36</v>
      </c>
      <c r="I199" s="159">
        <f>I197</f>
        <v>1.356107E-2</v>
      </c>
      <c r="J199" s="160"/>
      <c r="K199" s="161">
        <f>K197</f>
        <v>409</v>
      </c>
      <c r="L199" s="250">
        <v>12</v>
      </c>
      <c r="M199" s="163" t="str">
        <f>CONCATENATE(H199," ",F199,"*",L199,"мес.","*",I199,"/",K199,"чел.")</f>
        <v>36 зданий*12мес.*0,01356107/409чел.</v>
      </c>
      <c r="N199" s="164">
        <f t="shared" ref="N199:N212" si="43">N79</f>
        <v>4694.6300000000019</v>
      </c>
      <c r="O199" s="165">
        <f>MROUND(G199*N199,0.000001)</f>
        <v>67.244344999999996</v>
      </c>
      <c r="P199" s="166"/>
      <c r="Q199" s="166">
        <f t="shared" si="33"/>
        <v>27502.937104999997</v>
      </c>
      <c r="R199" s="71"/>
    </row>
    <row r="200" spans="1:18" s="61" customFormat="1" ht="46.9" customHeight="1" x14ac:dyDescent="0.25">
      <c r="A200" s="358"/>
      <c r="B200" s="361"/>
      <c r="C200" s="366"/>
      <c r="D200" s="156" t="s">
        <v>229</v>
      </c>
      <c r="E200" s="156" t="s">
        <v>60</v>
      </c>
      <c r="F200" s="156" t="s">
        <v>60</v>
      </c>
      <c r="G200" s="266">
        <f>MROUND(H200*L200*I200/K200,0.000001)</f>
        <v>7.9377000000000003E-2</v>
      </c>
      <c r="H200" s="158">
        <f t="shared" si="42"/>
        <v>2394</v>
      </c>
      <c r="I200" s="159">
        <f>I199</f>
        <v>1.356107E-2</v>
      </c>
      <c r="J200" s="160"/>
      <c r="K200" s="161">
        <f>K199</f>
        <v>409</v>
      </c>
      <c r="L200" s="250">
        <v>1</v>
      </c>
      <c r="M200" s="163" t="str">
        <f t="shared" ref="M200:M207" si="44">CONCATENATE(H200," ",F200,"*",I200,"/",K200,"чел.")</f>
        <v>2394 шт.*0,01356107/409чел.</v>
      </c>
      <c r="N200" s="164">
        <f t="shared" si="43"/>
        <v>163.5</v>
      </c>
      <c r="O200" s="165">
        <f>MROUND(G200*N200,0.000001)</f>
        <v>12.97814</v>
      </c>
      <c r="P200" s="166"/>
      <c r="Q200" s="166">
        <f t="shared" si="33"/>
        <v>5308.05926</v>
      </c>
      <c r="R200" s="71"/>
    </row>
    <row r="201" spans="1:18" s="61" customFormat="1" ht="46.9" customHeight="1" x14ac:dyDescent="0.25">
      <c r="A201" s="358"/>
      <c r="B201" s="361"/>
      <c r="C201" s="366"/>
      <c r="D201" s="156" t="s">
        <v>405</v>
      </c>
      <c r="E201" s="156" t="s">
        <v>60</v>
      </c>
      <c r="F201" s="156" t="s">
        <v>406</v>
      </c>
      <c r="G201" s="266">
        <f>MROUND(H201*L201*I201/K201,0.00000001)</f>
        <v>1.1936399999999999E-3</v>
      </c>
      <c r="H201" s="158">
        <f t="shared" si="42"/>
        <v>36</v>
      </c>
      <c r="I201" s="159">
        <f>I200</f>
        <v>1.356107E-2</v>
      </c>
      <c r="J201" s="160"/>
      <c r="K201" s="161">
        <f>K200</f>
        <v>409</v>
      </c>
      <c r="L201" s="250">
        <v>1</v>
      </c>
      <c r="M201" s="163" t="str">
        <f t="shared" si="44"/>
        <v>36 лицензий*0,01356107/409чел.</v>
      </c>
      <c r="N201" s="164">
        <f t="shared" si="43"/>
        <v>11990</v>
      </c>
      <c r="O201" s="165">
        <f t="shared" ref="O201:O210" si="45">MROUND(G201*N201,0.000001)</f>
        <v>14.311743999999999</v>
      </c>
      <c r="P201" s="166"/>
      <c r="Q201" s="166">
        <f t="shared" si="33"/>
        <v>5853.5032959999999</v>
      </c>
      <c r="R201" s="71"/>
    </row>
    <row r="202" spans="1:18" s="61" customFormat="1" ht="62.45" customHeight="1" x14ac:dyDescent="0.25">
      <c r="A202" s="358"/>
      <c r="B202" s="361"/>
      <c r="C202" s="366"/>
      <c r="D202" s="156" t="s">
        <v>39</v>
      </c>
      <c r="E202" s="156" t="s">
        <v>20</v>
      </c>
      <c r="F202" s="156" t="s">
        <v>234</v>
      </c>
      <c r="G202" s="266">
        <f>MROUND(H202*L202*I202/K202,0.00000001)</f>
        <v>3.9124800000000003E-3</v>
      </c>
      <c r="H202" s="158">
        <f t="shared" si="42"/>
        <v>118</v>
      </c>
      <c r="I202" s="159">
        <f>I200</f>
        <v>1.356107E-2</v>
      </c>
      <c r="J202" s="160"/>
      <c r="K202" s="161">
        <f>K200</f>
        <v>409</v>
      </c>
      <c r="L202" s="250">
        <v>1</v>
      </c>
      <c r="M202" s="163" t="str">
        <f t="shared" si="44"/>
        <v>118 чел(заявленная потребность руководителями учреждений)*0,01356107/409чел.</v>
      </c>
      <c r="N202" s="164">
        <f t="shared" si="43"/>
        <v>763</v>
      </c>
      <c r="O202" s="165">
        <f t="shared" si="45"/>
        <v>2.9852219999999998</v>
      </c>
      <c r="P202" s="166"/>
      <c r="Q202" s="166">
        <f t="shared" si="33"/>
        <v>1220.955798</v>
      </c>
      <c r="R202" s="71"/>
    </row>
    <row r="203" spans="1:18" s="61" customFormat="1" ht="62.45" customHeight="1" x14ac:dyDescent="0.25">
      <c r="A203" s="358"/>
      <c r="B203" s="361"/>
      <c r="C203" s="366"/>
      <c r="D203" s="156" t="s">
        <v>40</v>
      </c>
      <c r="E203" s="156" t="s">
        <v>20</v>
      </c>
      <c r="F203" s="156" t="s">
        <v>234</v>
      </c>
      <c r="G203" s="266">
        <f>MROUND(H203*L203*I203/K203,0.000000001)</f>
        <v>3.2825080000000004E-3</v>
      </c>
      <c r="H203" s="158">
        <f t="shared" si="42"/>
        <v>99</v>
      </c>
      <c r="I203" s="159">
        <f t="shared" ref="I203:I210" si="46">I202</f>
        <v>1.356107E-2</v>
      </c>
      <c r="J203" s="160"/>
      <c r="K203" s="161">
        <f t="shared" ref="K203:K210" si="47">K202</f>
        <v>409</v>
      </c>
      <c r="L203" s="250">
        <v>1</v>
      </c>
      <c r="M203" s="163" t="str">
        <f t="shared" si="44"/>
        <v>99 чел(заявленная потребность руководителями учреждений)*0,01356107/409чел.</v>
      </c>
      <c r="N203" s="164">
        <f t="shared" si="43"/>
        <v>1585.4545454545455</v>
      </c>
      <c r="O203" s="165">
        <f t="shared" si="45"/>
        <v>5.2042669999999998</v>
      </c>
      <c r="P203" s="166"/>
      <c r="Q203" s="166">
        <f t="shared" si="33"/>
        <v>2128.5452029999997</v>
      </c>
      <c r="R203" s="71"/>
    </row>
    <row r="204" spans="1:18" s="61" customFormat="1" ht="62.45" customHeight="1" x14ac:dyDescent="0.25">
      <c r="A204" s="358"/>
      <c r="B204" s="361"/>
      <c r="C204" s="366"/>
      <c r="D204" s="156" t="s">
        <v>100</v>
      </c>
      <c r="E204" s="156" t="s">
        <v>20</v>
      </c>
      <c r="F204" s="156" t="s">
        <v>234</v>
      </c>
      <c r="G204" s="266">
        <f>MROUND(H204*L204*I204/K204,0.0000000001)</f>
        <v>2.6856887000000001E-3</v>
      </c>
      <c r="H204" s="158">
        <f t="shared" si="42"/>
        <v>81</v>
      </c>
      <c r="I204" s="159">
        <f t="shared" si="46"/>
        <v>1.356107E-2</v>
      </c>
      <c r="J204" s="160"/>
      <c r="K204" s="161">
        <f t="shared" si="47"/>
        <v>409</v>
      </c>
      <c r="L204" s="250">
        <v>1</v>
      </c>
      <c r="M204" s="163" t="str">
        <f t="shared" si="44"/>
        <v>81 чел(заявленная потребность руководителями учреждений)*0,01356107/409чел.</v>
      </c>
      <c r="N204" s="164">
        <f t="shared" si="43"/>
        <v>3488</v>
      </c>
      <c r="O204" s="165">
        <f t="shared" si="45"/>
        <v>9.3676820000000003</v>
      </c>
      <c r="P204" s="166"/>
      <c r="Q204" s="166">
        <f t="shared" si="33"/>
        <v>3831.381938</v>
      </c>
      <c r="R204" s="71"/>
    </row>
    <row r="205" spans="1:18" s="61" customFormat="1" ht="109.15" customHeight="1" x14ac:dyDescent="0.25">
      <c r="A205" s="358"/>
      <c r="B205" s="361"/>
      <c r="C205" s="366"/>
      <c r="D205" s="156" t="s">
        <v>235</v>
      </c>
      <c r="E205" s="156" t="s">
        <v>50</v>
      </c>
      <c r="F205" s="156" t="s">
        <v>230</v>
      </c>
      <c r="G205" s="266">
        <f>MROUND(H205*L205*I205/K205,0.00000001)</f>
        <v>1.1936399999999999E-3</v>
      </c>
      <c r="H205" s="158">
        <f t="shared" si="42"/>
        <v>36</v>
      </c>
      <c r="I205" s="159">
        <f t="shared" si="46"/>
        <v>1.356107E-2</v>
      </c>
      <c r="J205" s="160"/>
      <c r="K205" s="161">
        <f t="shared" si="47"/>
        <v>409</v>
      </c>
      <c r="L205" s="250">
        <v>1</v>
      </c>
      <c r="M205" s="163" t="str">
        <f t="shared" si="44"/>
        <v>36 отчетов*0,01356107/409чел.</v>
      </c>
      <c r="N205" s="164">
        <f t="shared" si="43"/>
        <v>6540</v>
      </c>
      <c r="O205" s="165">
        <f t="shared" si="45"/>
        <v>7.806406</v>
      </c>
      <c r="P205" s="166"/>
      <c r="Q205" s="166">
        <f t="shared" si="33"/>
        <v>3192.8200539999998</v>
      </c>
      <c r="R205" s="71"/>
    </row>
    <row r="206" spans="1:18" s="61" customFormat="1" ht="62.45" customHeight="1" x14ac:dyDescent="0.25">
      <c r="A206" s="358"/>
      <c r="B206" s="361"/>
      <c r="C206" s="366"/>
      <c r="D206" s="156" t="s">
        <v>42</v>
      </c>
      <c r="E206" s="156" t="s">
        <v>51</v>
      </c>
      <c r="F206" s="156" t="s">
        <v>407</v>
      </c>
      <c r="G206" s="266">
        <f t="shared" ref="G206:G211" si="48">MROUND(H206*L206*I206/K206,0.00000001)</f>
        <v>6.7639600000000003E-3</v>
      </c>
      <c r="H206" s="158">
        <f t="shared" si="42"/>
        <v>204</v>
      </c>
      <c r="I206" s="159">
        <f t="shared" si="46"/>
        <v>1.356107E-2</v>
      </c>
      <c r="J206" s="160"/>
      <c r="K206" s="161">
        <f t="shared" si="47"/>
        <v>409</v>
      </c>
      <c r="L206" s="250">
        <v>1</v>
      </c>
      <c r="M206" s="163" t="str">
        <f t="shared" si="44"/>
        <v>204 ед (заявленная потребность руководителями учреждений)*0,01356107/409чел.</v>
      </c>
      <c r="N206" s="164">
        <f t="shared" si="43"/>
        <v>1090</v>
      </c>
      <c r="O206" s="165">
        <f t="shared" si="45"/>
        <v>7.3727159999999996</v>
      </c>
      <c r="P206" s="166"/>
      <c r="Q206" s="166">
        <f t="shared" si="33"/>
        <v>3015.4408439999997</v>
      </c>
      <c r="R206" s="71"/>
    </row>
    <row r="207" spans="1:18" s="61" customFormat="1" ht="31.15" customHeight="1" x14ac:dyDescent="0.25">
      <c r="A207" s="358"/>
      <c r="B207" s="361"/>
      <c r="C207" s="366"/>
      <c r="D207" s="156" t="s">
        <v>43</v>
      </c>
      <c r="E207" s="156" t="s">
        <v>52</v>
      </c>
      <c r="F207" s="156" t="s">
        <v>231</v>
      </c>
      <c r="G207" s="266">
        <f t="shared" si="48"/>
        <v>1.1936399999999999E-3</v>
      </c>
      <c r="H207" s="158">
        <f t="shared" si="42"/>
        <v>36</v>
      </c>
      <c r="I207" s="159">
        <f t="shared" si="46"/>
        <v>1.356107E-2</v>
      </c>
      <c r="J207" s="160"/>
      <c r="K207" s="161">
        <f t="shared" si="47"/>
        <v>409</v>
      </c>
      <c r="L207" s="250">
        <v>1</v>
      </c>
      <c r="M207" s="163" t="str">
        <f t="shared" si="44"/>
        <v>36 ЭЦП*0,01356107/409чел.</v>
      </c>
      <c r="N207" s="164">
        <f t="shared" si="43"/>
        <v>7743.3599999999924</v>
      </c>
      <c r="O207" s="165">
        <f t="shared" si="45"/>
        <v>9.2427840000000003</v>
      </c>
      <c r="P207" s="166"/>
      <c r="Q207" s="166">
        <f t="shared" ref="Q207:Q269" si="49">O207*K207</f>
        <v>3780.2986559999999</v>
      </c>
      <c r="R207" s="71"/>
    </row>
    <row r="208" spans="1:18" s="61" customFormat="1" ht="46.9" customHeight="1" x14ac:dyDescent="0.25">
      <c r="A208" s="358"/>
      <c r="B208" s="361"/>
      <c r="C208" s="366"/>
      <c r="D208" s="156" t="s">
        <v>44</v>
      </c>
      <c r="E208" s="156" t="s">
        <v>85</v>
      </c>
      <c r="F208" s="156" t="s">
        <v>232</v>
      </c>
      <c r="G208" s="266">
        <f t="shared" si="48"/>
        <v>4.0318489999999998E-2</v>
      </c>
      <c r="H208" s="158">
        <f t="shared" si="42"/>
        <v>1216</v>
      </c>
      <c r="I208" s="159">
        <f t="shared" si="46"/>
        <v>1.356107E-2</v>
      </c>
      <c r="J208" s="160"/>
      <c r="K208" s="161">
        <f t="shared" si="47"/>
        <v>409</v>
      </c>
      <c r="L208" s="250">
        <v>1</v>
      </c>
      <c r="M208" s="163" t="str">
        <f>CONCATENATE(H208," ",F208,"*",L208,"мес.","*",I208,"/",K208,"чел.")</f>
        <v>1216 мед.осмотров в мес.*1мес.*0,01356107/409чел.</v>
      </c>
      <c r="N208" s="164">
        <f t="shared" si="43"/>
        <v>56.680000000000007</v>
      </c>
      <c r="O208" s="165">
        <f t="shared" si="45"/>
        <v>2.2852519999999998</v>
      </c>
      <c r="P208" s="166"/>
      <c r="Q208" s="166">
        <f t="shared" si="49"/>
        <v>934.66806799999995</v>
      </c>
      <c r="R208" s="71"/>
    </row>
    <row r="209" spans="1:18" s="61" customFormat="1" ht="62.45" customHeight="1" x14ac:dyDescent="0.25">
      <c r="A209" s="358"/>
      <c r="B209" s="361"/>
      <c r="C209" s="366"/>
      <c r="D209" s="156" t="s">
        <v>45</v>
      </c>
      <c r="E209" s="156" t="s">
        <v>53</v>
      </c>
      <c r="F209" s="156" t="s">
        <v>233</v>
      </c>
      <c r="G209" s="266">
        <f>MROUND(H209*L209*I209/K209,0.0000000001)</f>
        <v>1.5915192000000001E-3</v>
      </c>
      <c r="H209" s="158">
        <f t="shared" si="42"/>
        <v>4</v>
      </c>
      <c r="I209" s="159">
        <f t="shared" si="46"/>
        <v>1.356107E-2</v>
      </c>
      <c r="J209" s="160"/>
      <c r="K209" s="161">
        <f t="shared" si="47"/>
        <v>409</v>
      </c>
      <c r="L209" s="250">
        <v>12</v>
      </c>
      <c r="M209" s="163" t="str">
        <f>CONCATENATE(H209," ",F209,"*",L209,"мес.","*",I209,"/",K209,"чел.")</f>
        <v>4  машины, оборудованных системой ГЛОНАСС*12мес.*0,01356107/409чел.</v>
      </c>
      <c r="N209" s="164">
        <f t="shared" si="43"/>
        <v>880.71999999999991</v>
      </c>
      <c r="O209" s="165">
        <f t="shared" si="45"/>
        <v>1.401683</v>
      </c>
      <c r="P209" s="166"/>
      <c r="Q209" s="166">
        <f t="shared" si="49"/>
        <v>573.28834700000004</v>
      </c>
      <c r="R209" s="71"/>
    </row>
    <row r="210" spans="1:18" s="61" customFormat="1" ht="15.6" customHeight="1" x14ac:dyDescent="0.25">
      <c r="A210" s="358"/>
      <c r="B210" s="361"/>
      <c r="C210" s="366"/>
      <c r="D210" s="156" t="s">
        <v>408</v>
      </c>
      <c r="E210" s="156" t="s">
        <v>20</v>
      </c>
      <c r="F210" s="156" t="s">
        <v>20</v>
      </c>
      <c r="G210" s="266">
        <f>MROUND(H210*L210*I210/K210,0.0000000001)</f>
        <v>5.67641854E-2</v>
      </c>
      <c r="H210" s="158">
        <f t="shared" si="42"/>
        <v>1712</v>
      </c>
      <c r="I210" s="159">
        <f t="shared" si="46"/>
        <v>1.356107E-2</v>
      </c>
      <c r="J210" s="160"/>
      <c r="K210" s="161">
        <f t="shared" si="47"/>
        <v>409</v>
      </c>
      <c r="L210" s="250">
        <v>1</v>
      </c>
      <c r="M210" s="163" t="str">
        <f>CONCATENATE(H210," ",F210,"*",L210," раз в год","*",I210,"/",K210,"чел.")</f>
        <v>1712 чел.*1 раз в год*0,01356107/409чел.</v>
      </c>
      <c r="N210" s="164">
        <f t="shared" si="43"/>
        <v>545</v>
      </c>
      <c r="O210" s="165">
        <f t="shared" si="45"/>
        <v>30.936480999999997</v>
      </c>
      <c r="P210" s="166"/>
      <c r="Q210" s="166">
        <f t="shared" si="49"/>
        <v>12653.020728999998</v>
      </c>
      <c r="R210" s="71"/>
    </row>
    <row r="211" spans="1:18" s="61" customFormat="1" ht="31.5" x14ac:dyDescent="0.25">
      <c r="A211" s="358"/>
      <c r="B211" s="361"/>
      <c r="C211" s="364"/>
      <c r="D211" s="156" t="s">
        <v>106</v>
      </c>
      <c r="E211" s="156" t="s">
        <v>107</v>
      </c>
      <c r="F211" s="156"/>
      <c r="G211" s="266">
        <f t="shared" si="48"/>
        <v>0</v>
      </c>
      <c r="H211" s="158">
        <f t="shared" si="42"/>
        <v>0</v>
      </c>
      <c r="I211" s="159">
        <f>I209</f>
        <v>1.356107E-2</v>
      </c>
      <c r="J211" s="160"/>
      <c r="K211" s="161">
        <f>K209</f>
        <v>409</v>
      </c>
      <c r="L211" s="250">
        <f>L91</f>
        <v>0</v>
      </c>
      <c r="M211" s="163"/>
      <c r="N211" s="164">
        <f t="shared" si="43"/>
        <v>1256.0400600000007</v>
      </c>
      <c r="O211" s="165">
        <f>MROUND(G211*N211,0.000000001)</f>
        <v>0</v>
      </c>
      <c r="P211" s="166"/>
      <c r="Q211" s="166">
        <f t="shared" si="49"/>
        <v>0</v>
      </c>
      <c r="R211" s="71"/>
    </row>
    <row r="212" spans="1:18" s="61" customFormat="1" ht="15.6" customHeight="1" x14ac:dyDescent="0.25">
      <c r="A212" s="358"/>
      <c r="B212" s="361"/>
      <c r="C212" s="367"/>
      <c r="D212" s="156" t="s">
        <v>373</v>
      </c>
      <c r="E212" s="156" t="s">
        <v>28</v>
      </c>
      <c r="F212" s="156" t="s">
        <v>28</v>
      </c>
      <c r="G212" s="157">
        <f>MROUND(H212*L212*I212/K212,0.000000001)</f>
        <v>1.193639E-3</v>
      </c>
      <c r="H212" s="158">
        <f t="shared" si="42"/>
        <v>36</v>
      </c>
      <c r="I212" s="159">
        <f>I210</f>
        <v>1.356107E-2</v>
      </c>
      <c r="J212" s="160"/>
      <c r="K212" s="161">
        <f>K210</f>
        <v>409</v>
      </c>
      <c r="L212" s="162">
        <v>1</v>
      </c>
      <c r="M212" s="163" t="str">
        <f>CONCATENATE(H212," ",F212,"*",L212,"мес.","*",I212,"/",K212,"чел.")</f>
        <v>36 шт*1мес.*0,01356107/409чел.</v>
      </c>
      <c r="N212" s="164">
        <f t="shared" si="43"/>
        <v>24000</v>
      </c>
      <c r="O212" s="165">
        <f>MROUND(G212*N212,0.000000001)</f>
        <v>28.647336000000003</v>
      </c>
      <c r="P212" s="166"/>
      <c r="Q212" s="166">
        <f t="shared" si="49"/>
        <v>11716.760424000002</v>
      </c>
      <c r="R212" s="71"/>
    </row>
    <row r="213" spans="1:18" s="61" customFormat="1" x14ac:dyDescent="0.25">
      <c r="A213" s="358"/>
      <c r="B213" s="361"/>
      <c r="C213" s="245" t="s">
        <v>306</v>
      </c>
      <c r="D213" s="240"/>
      <c r="E213" s="240"/>
      <c r="F213" s="240"/>
      <c r="G213" s="227"/>
      <c r="H213" s="241"/>
      <c r="I213" s="206"/>
      <c r="J213" s="228"/>
      <c r="K213" s="207"/>
      <c r="L213" s="257"/>
      <c r="M213" s="209"/>
      <c r="N213" s="210"/>
      <c r="O213" s="198">
        <f>SUM(O199:O212)</f>
        <v>199.78405799999999</v>
      </c>
      <c r="P213" s="166"/>
      <c r="Q213" s="166"/>
      <c r="R213" s="71"/>
    </row>
    <row r="214" spans="1:18" s="61" customFormat="1" ht="31.5" x14ac:dyDescent="0.25">
      <c r="A214" s="358"/>
      <c r="B214" s="361"/>
      <c r="C214" s="252" t="s">
        <v>237</v>
      </c>
      <c r="D214" s="156" t="s">
        <v>41</v>
      </c>
      <c r="E214" s="156" t="s">
        <v>61</v>
      </c>
      <c r="F214" s="156" t="s">
        <v>227</v>
      </c>
      <c r="G214" s="266">
        <f>MROUND(H214*L214*I214/K214,0.000000001)</f>
        <v>1.3262700000000002E-4</v>
      </c>
      <c r="H214" s="158">
        <f>H94</f>
        <v>4</v>
      </c>
      <c r="I214" s="159">
        <f>I211</f>
        <v>1.356107E-2</v>
      </c>
      <c r="J214" s="160"/>
      <c r="K214" s="161">
        <f>K211</f>
        <v>409</v>
      </c>
      <c r="L214" s="250">
        <v>1</v>
      </c>
      <c r="M214" s="163" t="str">
        <f>CONCATENATE(H214," ",F214,"*",I214,"/",K214,"чел.")</f>
        <v>4 автобуса*0,01356107/409чел.</v>
      </c>
      <c r="N214" s="164">
        <f>N94</f>
        <v>25724</v>
      </c>
      <c r="O214" s="165">
        <f>MROUND(G214*N214,0.000001)</f>
        <v>3.4116969999999998</v>
      </c>
      <c r="P214" s="166"/>
      <c r="Q214" s="166">
        <f t="shared" si="49"/>
        <v>1395.3840729999999</v>
      </c>
      <c r="R214" s="71"/>
    </row>
    <row r="215" spans="1:18" s="61" customFormat="1" x14ac:dyDescent="0.25">
      <c r="A215" s="358"/>
      <c r="B215" s="361"/>
      <c r="C215" s="245" t="s">
        <v>307</v>
      </c>
      <c r="D215" s="240"/>
      <c r="E215" s="240"/>
      <c r="F215" s="240"/>
      <c r="G215" s="227"/>
      <c r="H215" s="241"/>
      <c r="I215" s="206"/>
      <c r="J215" s="228"/>
      <c r="K215" s="207"/>
      <c r="L215" s="257"/>
      <c r="M215" s="209"/>
      <c r="N215" s="210"/>
      <c r="O215" s="198">
        <f>SUM(O214)</f>
        <v>3.4116969999999998</v>
      </c>
      <c r="P215" s="166"/>
      <c r="Q215" s="166"/>
      <c r="R215" s="71"/>
    </row>
    <row r="216" spans="1:18" s="61" customFormat="1" ht="78.75" x14ac:dyDescent="0.25">
      <c r="A216" s="358"/>
      <c r="B216" s="361"/>
      <c r="C216" s="221" t="s">
        <v>236</v>
      </c>
      <c r="D216" s="156" t="s">
        <v>19</v>
      </c>
      <c r="E216" s="181" t="s">
        <v>20</v>
      </c>
      <c r="F216" s="181" t="s">
        <v>238</v>
      </c>
      <c r="G216" s="266">
        <f>MROUND(H216*L216*I216/K216,0.000001)</f>
        <v>0</v>
      </c>
      <c r="H216" s="158"/>
      <c r="I216" s="159">
        <f>I211</f>
        <v>1.356107E-2</v>
      </c>
      <c r="J216" s="160"/>
      <c r="K216" s="161">
        <f>K211</f>
        <v>409</v>
      </c>
      <c r="L216" s="250"/>
      <c r="M216" s="163"/>
      <c r="N216" s="164"/>
      <c r="O216" s="165">
        <f>MROUND(G216*N216,0.000001)</f>
        <v>0</v>
      </c>
      <c r="P216" s="166"/>
      <c r="Q216" s="166">
        <f t="shared" si="49"/>
        <v>0</v>
      </c>
      <c r="R216" s="71"/>
    </row>
    <row r="217" spans="1:18" s="61" customFormat="1" x14ac:dyDescent="0.25">
      <c r="A217" s="358"/>
      <c r="B217" s="361"/>
      <c r="C217" s="245" t="s">
        <v>308</v>
      </c>
      <c r="D217" s="240"/>
      <c r="E217" s="253"/>
      <c r="F217" s="253"/>
      <c r="G217" s="227"/>
      <c r="H217" s="241"/>
      <c r="I217" s="206"/>
      <c r="J217" s="228"/>
      <c r="K217" s="207"/>
      <c r="L217" s="257"/>
      <c r="M217" s="209"/>
      <c r="N217" s="210"/>
      <c r="O217" s="198">
        <f>SUM(O216)</f>
        <v>0</v>
      </c>
      <c r="P217" s="166"/>
      <c r="Q217" s="166"/>
      <c r="R217" s="71"/>
    </row>
    <row r="218" spans="1:18" s="61" customFormat="1" ht="30" x14ac:dyDescent="0.25">
      <c r="A218" s="358"/>
      <c r="B218" s="361"/>
      <c r="C218" s="365" t="s">
        <v>81</v>
      </c>
      <c r="D218" s="254" t="s">
        <v>410</v>
      </c>
      <c r="E218" s="156" t="s">
        <v>28</v>
      </c>
      <c r="F218" s="156" t="s">
        <v>28</v>
      </c>
      <c r="G218" s="157">
        <f>MROUND(H218*L218*I218/K218,0.0000000001)</f>
        <v>2.3209660000000001E-4</v>
      </c>
      <c r="H218" s="158">
        <f>H98</f>
        <v>7</v>
      </c>
      <c r="I218" s="159">
        <f>I211</f>
        <v>1.356107E-2</v>
      </c>
      <c r="J218" s="160"/>
      <c r="K218" s="161">
        <f>K211</f>
        <v>409</v>
      </c>
      <c r="L218" s="250">
        <v>1</v>
      </c>
      <c r="M218" s="163" t="str">
        <f>CONCATENATE(H218," ",F218,"*",I218,"/",K218,"чел.")</f>
        <v>7 шт*0,01356107/409чел.</v>
      </c>
      <c r="N218" s="164">
        <f>N98</f>
        <v>152142.85714285713</v>
      </c>
      <c r="O218" s="165">
        <f>MROUND(G218*N218,0.000001)</f>
        <v>35.311839999999997</v>
      </c>
      <c r="P218" s="166"/>
      <c r="Q218" s="166">
        <f t="shared" si="49"/>
        <v>14442.542559999998</v>
      </c>
      <c r="R218" s="71"/>
    </row>
    <row r="219" spans="1:18" s="61" customFormat="1" x14ac:dyDescent="0.25">
      <c r="A219" s="358"/>
      <c r="B219" s="361"/>
      <c r="C219" s="366"/>
      <c r="D219" s="254" t="s">
        <v>325</v>
      </c>
      <c r="E219" s="156" t="s">
        <v>28</v>
      </c>
      <c r="F219" s="156" t="s">
        <v>28</v>
      </c>
      <c r="G219" s="157">
        <f>MROUND(H219*L219*I219/K219,0.0000000001)</f>
        <v>7.6260300000000004E-4</v>
      </c>
      <c r="H219" s="158">
        <f>$H$99</f>
        <v>23</v>
      </c>
      <c r="I219" s="159">
        <f>I218</f>
        <v>1.356107E-2</v>
      </c>
      <c r="J219" s="160"/>
      <c r="K219" s="161">
        <f>K218</f>
        <v>409</v>
      </c>
      <c r="L219" s="250">
        <v>1</v>
      </c>
      <c r="M219" s="163" t="str">
        <f>CONCATENATE(H219," ",F219,"*",I219,"/",K219,"чел.")</f>
        <v>23 шт*0,01356107/409чел.</v>
      </c>
      <c r="N219" s="164">
        <f>$N$99</f>
        <v>229039.13043478262</v>
      </c>
      <c r="O219" s="165">
        <f>MROUND(G219*N219,0.000001)</f>
        <v>174.66592799999998</v>
      </c>
      <c r="P219" s="166"/>
      <c r="Q219" s="166">
        <f>O219*K219</f>
        <v>71438.364551999985</v>
      </c>
      <c r="R219" s="71"/>
    </row>
    <row r="220" spans="1:18" s="61" customFormat="1" ht="30" x14ac:dyDescent="0.25">
      <c r="A220" s="358"/>
      <c r="B220" s="361"/>
      <c r="C220" s="366"/>
      <c r="D220" s="254" t="s">
        <v>411</v>
      </c>
      <c r="E220" s="156" t="s">
        <v>28</v>
      </c>
      <c r="F220" s="156" t="s">
        <v>28</v>
      </c>
      <c r="G220" s="157">
        <f t="shared" ref="G220:G241" si="50">MROUND(H220*L220*I220/K220,0.0000000001)</f>
        <v>2.3209660000000001E-4</v>
      </c>
      <c r="H220" s="158">
        <f>$H$100</f>
        <v>7</v>
      </c>
      <c r="I220" s="159">
        <f>I218</f>
        <v>1.356107E-2</v>
      </c>
      <c r="J220" s="160"/>
      <c r="K220" s="161">
        <f>K218</f>
        <v>409</v>
      </c>
      <c r="L220" s="250">
        <v>1</v>
      </c>
      <c r="M220" s="163" t="str">
        <f t="shared" ref="M220:M241" si="51">CONCATENATE(H220," ",F220,"*",I220,"/",K220,"чел.")</f>
        <v>7 шт*0,01356107/409чел.</v>
      </c>
      <c r="N220" s="164">
        <f t="shared" ref="N220:N241" si="52">N100</f>
        <v>82142.857142857145</v>
      </c>
      <c r="O220" s="165">
        <f t="shared" ref="O220:O241" si="53">MROUND(G220*N220,0.000001)</f>
        <v>19.065078</v>
      </c>
      <c r="P220" s="166"/>
      <c r="Q220" s="166">
        <f t="shared" si="49"/>
        <v>7797.6169019999998</v>
      </c>
      <c r="R220" s="71"/>
    </row>
    <row r="221" spans="1:18" s="61" customFormat="1" x14ac:dyDescent="0.25">
      <c r="A221" s="358"/>
      <c r="B221" s="361"/>
      <c r="C221" s="366"/>
      <c r="D221" s="255" t="s">
        <v>412</v>
      </c>
      <c r="E221" s="156" t="s">
        <v>28</v>
      </c>
      <c r="F221" s="156" t="s">
        <v>28</v>
      </c>
      <c r="G221" s="157">
        <f t="shared" si="50"/>
        <v>1.1604828000000001E-3</v>
      </c>
      <c r="H221" s="158">
        <f>$H$101</f>
        <v>35</v>
      </c>
      <c r="I221" s="159">
        <f>I220</f>
        <v>1.356107E-2</v>
      </c>
      <c r="J221" s="160"/>
      <c r="K221" s="161">
        <f>K220</f>
        <v>409</v>
      </c>
      <c r="L221" s="250">
        <v>1</v>
      </c>
      <c r="M221" s="163" t="str">
        <f t="shared" si="51"/>
        <v>35 шт*0,01356107/409чел.</v>
      </c>
      <c r="N221" s="164">
        <f t="shared" si="52"/>
        <v>126114.97142857143</v>
      </c>
      <c r="O221" s="165">
        <f t="shared" si="53"/>
        <v>146.35425499999999</v>
      </c>
      <c r="P221" s="166"/>
      <c r="Q221" s="166">
        <f t="shared" si="49"/>
        <v>59858.890294999997</v>
      </c>
      <c r="R221" s="71"/>
    </row>
    <row r="222" spans="1:18" s="61" customFormat="1" ht="31.5" x14ac:dyDescent="0.25">
      <c r="A222" s="358"/>
      <c r="B222" s="361"/>
      <c r="C222" s="366"/>
      <c r="D222" s="255" t="s">
        <v>413</v>
      </c>
      <c r="E222" s="156" t="s">
        <v>28</v>
      </c>
      <c r="F222" s="156" t="s">
        <v>28</v>
      </c>
      <c r="G222" s="157">
        <f t="shared" si="50"/>
        <v>4.9734980000000007E-4</v>
      </c>
      <c r="H222" s="158">
        <f>H102</f>
        <v>15</v>
      </c>
      <c r="I222" s="159">
        <f>I221</f>
        <v>1.356107E-2</v>
      </c>
      <c r="J222" s="160"/>
      <c r="K222" s="161">
        <f>K221</f>
        <v>409</v>
      </c>
      <c r="L222" s="250">
        <v>1</v>
      </c>
      <c r="M222" s="163" t="str">
        <f t="shared" si="51"/>
        <v>15 шт*0,01356107/409чел.</v>
      </c>
      <c r="N222" s="164">
        <f t="shared" si="52"/>
        <v>75333.333333333328</v>
      </c>
      <c r="O222" s="165">
        <f t="shared" si="53"/>
        <v>37.467017999999996</v>
      </c>
      <c r="P222" s="166"/>
      <c r="Q222" s="166">
        <f t="shared" si="49"/>
        <v>15324.010361999999</v>
      </c>
      <c r="R222" s="71"/>
    </row>
    <row r="223" spans="1:18" s="61" customFormat="1" x14ac:dyDescent="0.25">
      <c r="A223" s="358"/>
      <c r="B223" s="361"/>
      <c r="C223" s="366"/>
      <c r="D223" s="254" t="s">
        <v>109</v>
      </c>
      <c r="E223" s="156" t="s">
        <v>28</v>
      </c>
      <c r="F223" s="156" t="s">
        <v>28</v>
      </c>
      <c r="G223" s="157">
        <f t="shared" si="50"/>
        <v>5.3050640000000006E-4</v>
      </c>
      <c r="H223" s="158">
        <f>$H$103</f>
        <v>16</v>
      </c>
      <c r="I223" s="159">
        <f>I222</f>
        <v>1.356107E-2</v>
      </c>
      <c r="J223" s="160"/>
      <c r="K223" s="161">
        <f>K222</f>
        <v>409</v>
      </c>
      <c r="L223" s="250">
        <v>1</v>
      </c>
      <c r="M223" s="163" t="str">
        <f t="shared" si="51"/>
        <v>16 шт*0,01356107/409чел.</v>
      </c>
      <c r="N223" s="164">
        <f t="shared" si="52"/>
        <v>169687.5</v>
      </c>
      <c r="O223" s="165">
        <f t="shared" si="53"/>
        <v>90.020304999999993</v>
      </c>
      <c r="P223" s="166"/>
      <c r="Q223" s="166">
        <f t="shared" si="49"/>
        <v>36818.304744999994</v>
      </c>
      <c r="R223" s="71"/>
    </row>
    <row r="224" spans="1:18" s="61" customFormat="1" x14ac:dyDescent="0.25">
      <c r="A224" s="358"/>
      <c r="B224" s="361"/>
      <c r="C224" s="366"/>
      <c r="D224" s="254" t="s">
        <v>414</v>
      </c>
      <c r="E224" s="156" t="s">
        <v>28</v>
      </c>
      <c r="F224" s="156" t="s">
        <v>28</v>
      </c>
      <c r="G224" s="157">
        <f t="shared" si="50"/>
        <v>2.984099E-4</v>
      </c>
      <c r="H224" s="158">
        <f>$H$104</f>
        <v>9</v>
      </c>
      <c r="I224" s="159">
        <f>I222</f>
        <v>1.356107E-2</v>
      </c>
      <c r="J224" s="160"/>
      <c r="K224" s="161">
        <f>K222</f>
        <v>409</v>
      </c>
      <c r="L224" s="250">
        <v>1</v>
      </c>
      <c r="M224" s="163" t="str">
        <f t="shared" si="51"/>
        <v>9 шт*0,01356107/409чел.</v>
      </c>
      <c r="N224" s="164">
        <f t="shared" si="52"/>
        <v>89333.333333333328</v>
      </c>
      <c r="O224" s="165">
        <f t="shared" si="53"/>
        <v>26.657950999999997</v>
      </c>
      <c r="P224" s="166"/>
      <c r="Q224" s="166">
        <f t="shared" si="49"/>
        <v>10903.101959</v>
      </c>
      <c r="R224" s="71"/>
    </row>
    <row r="225" spans="1:18" s="61" customFormat="1" x14ac:dyDescent="0.25">
      <c r="A225" s="358"/>
      <c r="B225" s="361"/>
      <c r="C225" s="366"/>
      <c r="D225" s="254" t="s">
        <v>415</v>
      </c>
      <c r="E225" s="156" t="s">
        <v>28</v>
      </c>
      <c r="F225" s="156" t="s">
        <v>28</v>
      </c>
      <c r="G225" s="157">
        <f t="shared" si="50"/>
        <v>3.6472320000000003E-4</v>
      </c>
      <c r="H225" s="158">
        <f>$H$105</f>
        <v>11</v>
      </c>
      <c r="I225" s="159">
        <f t="shared" ref="I225:I234" si="54">I223</f>
        <v>1.356107E-2</v>
      </c>
      <c r="J225" s="160"/>
      <c r="K225" s="161">
        <f t="shared" ref="K225:K234" si="55">K223</f>
        <v>409</v>
      </c>
      <c r="L225" s="250">
        <v>1</v>
      </c>
      <c r="M225" s="163" t="str">
        <f t="shared" si="51"/>
        <v>11 шт*0,01356107/409чел.</v>
      </c>
      <c r="N225" s="164">
        <f t="shared" si="52"/>
        <v>122181.81818181818</v>
      </c>
      <c r="O225" s="165">
        <f t="shared" si="53"/>
        <v>44.562543999999995</v>
      </c>
      <c r="P225" s="166"/>
      <c r="Q225" s="166">
        <f t="shared" si="49"/>
        <v>18226.080495999999</v>
      </c>
      <c r="R225" s="71"/>
    </row>
    <row r="226" spans="1:18" s="61" customFormat="1" x14ac:dyDescent="0.25">
      <c r="A226" s="358"/>
      <c r="B226" s="361"/>
      <c r="C226" s="366"/>
      <c r="D226" s="254" t="s">
        <v>416</v>
      </c>
      <c r="E226" s="156" t="s">
        <v>28</v>
      </c>
      <c r="F226" s="156" t="s">
        <v>28</v>
      </c>
      <c r="G226" s="157">
        <f t="shared" si="50"/>
        <v>6.63133E-4</v>
      </c>
      <c r="H226" s="246">
        <f>$H$106</f>
        <v>20</v>
      </c>
      <c r="I226" s="159">
        <f t="shared" si="54"/>
        <v>1.356107E-2</v>
      </c>
      <c r="J226" s="160"/>
      <c r="K226" s="161">
        <f t="shared" si="55"/>
        <v>409</v>
      </c>
      <c r="L226" s="250">
        <v>1</v>
      </c>
      <c r="M226" s="163" t="str">
        <f t="shared" si="51"/>
        <v>20 шт*0,01356107/409чел.</v>
      </c>
      <c r="N226" s="164">
        <f t="shared" si="52"/>
        <v>52500</v>
      </c>
      <c r="O226" s="165">
        <f t="shared" si="53"/>
        <v>34.814482999999996</v>
      </c>
      <c r="P226" s="166"/>
      <c r="Q226" s="166">
        <f t="shared" si="49"/>
        <v>14239.123546999997</v>
      </c>
      <c r="R226" s="71"/>
    </row>
    <row r="227" spans="1:18" s="61" customFormat="1" x14ac:dyDescent="0.25">
      <c r="A227" s="358"/>
      <c r="B227" s="361"/>
      <c r="C227" s="366"/>
      <c r="D227" s="254" t="s">
        <v>417</v>
      </c>
      <c r="E227" s="156" t="s">
        <v>28</v>
      </c>
      <c r="F227" s="156" t="s">
        <v>28</v>
      </c>
      <c r="G227" s="157">
        <f t="shared" si="50"/>
        <v>5.6366309999999998E-4</v>
      </c>
      <c r="H227" s="158">
        <f>$H$107</f>
        <v>17</v>
      </c>
      <c r="I227" s="159">
        <f t="shared" si="54"/>
        <v>1.356107E-2</v>
      </c>
      <c r="J227" s="160"/>
      <c r="K227" s="161">
        <f t="shared" si="55"/>
        <v>409</v>
      </c>
      <c r="L227" s="250">
        <v>1</v>
      </c>
      <c r="M227" s="163" t="str">
        <f t="shared" si="51"/>
        <v>17 шт*0,01356107/409чел.</v>
      </c>
      <c r="N227" s="164">
        <f t="shared" si="52"/>
        <v>75000</v>
      </c>
      <c r="O227" s="165">
        <f t="shared" si="53"/>
        <v>42.274732999999998</v>
      </c>
      <c r="P227" s="166"/>
      <c r="Q227" s="166">
        <f t="shared" si="49"/>
        <v>17290.365796999999</v>
      </c>
      <c r="R227" s="71"/>
    </row>
    <row r="228" spans="1:18" s="61" customFormat="1" ht="30" x14ac:dyDescent="0.25">
      <c r="A228" s="358"/>
      <c r="B228" s="361"/>
      <c r="C228" s="366"/>
      <c r="D228" s="254" t="s">
        <v>418</v>
      </c>
      <c r="E228" s="156" t="s">
        <v>28</v>
      </c>
      <c r="F228" s="156" t="s">
        <v>28</v>
      </c>
      <c r="G228" s="157">
        <f t="shared" si="50"/>
        <v>2.984099E-4</v>
      </c>
      <c r="H228" s="158">
        <f>H108</f>
        <v>9</v>
      </c>
      <c r="I228" s="159">
        <f t="shared" si="54"/>
        <v>1.356107E-2</v>
      </c>
      <c r="J228" s="160"/>
      <c r="K228" s="161">
        <f t="shared" si="55"/>
        <v>409</v>
      </c>
      <c r="L228" s="250">
        <v>1</v>
      </c>
      <c r="M228" s="163" t="str">
        <f t="shared" si="51"/>
        <v>9 шт*0,01356107/409чел.</v>
      </c>
      <c r="N228" s="164">
        <f t="shared" si="52"/>
        <v>66666.666666666672</v>
      </c>
      <c r="O228" s="165">
        <f t="shared" si="53"/>
        <v>19.893992999999998</v>
      </c>
      <c r="P228" s="166"/>
      <c r="Q228" s="166">
        <f t="shared" si="49"/>
        <v>8136.6431369999991</v>
      </c>
      <c r="R228" s="71"/>
    </row>
    <row r="229" spans="1:18" s="61" customFormat="1" x14ac:dyDescent="0.25">
      <c r="A229" s="358"/>
      <c r="B229" s="361"/>
      <c r="C229" s="366"/>
      <c r="D229" s="254" t="s">
        <v>324</v>
      </c>
      <c r="E229" s="156" t="s">
        <v>28</v>
      </c>
      <c r="F229" s="156" t="s">
        <v>28</v>
      </c>
      <c r="G229" s="157">
        <f t="shared" si="50"/>
        <v>5.9681969999999997E-4</v>
      </c>
      <c r="H229" s="158">
        <f>$H$109</f>
        <v>18</v>
      </c>
      <c r="I229" s="159">
        <f t="shared" si="54"/>
        <v>1.356107E-2</v>
      </c>
      <c r="J229" s="160"/>
      <c r="K229" s="161">
        <f t="shared" si="55"/>
        <v>409</v>
      </c>
      <c r="L229" s="250">
        <v>1</v>
      </c>
      <c r="M229" s="163" t="str">
        <f t="shared" si="51"/>
        <v>18 шт*0,01356107/409чел.</v>
      </c>
      <c r="N229" s="164">
        <f t="shared" si="52"/>
        <v>365277.77777777775</v>
      </c>
      <c r="O229" s="165">
        <f t="shared" si="53"/>
        <v>218.004974</v>
      </c>
      <c r="P229" s="166"/>
      <c r="Q229" s="166">
        <f t="shared" si="49"/>
        <v>89164.034366000007</v>
      </c>
      <c r="R229" s="71"/>
    </row>
    <row r="230" spans="1:18" s="61" customFormat="1" x14ac:dyDescent="0.25">
      <c r="A230" s="358"/>
      <c r="B230" s="361"/>
      <c r="C230" s="366"/>
      <c r="D230" s="254" t="s">
        <v>419</v>
      </c>
      <c r="E230" s="156" t="s">
        <v>28</v>
      </c>
      <c r="F230" s="156" t="s">
        <v>28</v>
      </c>
      <c r="G230" s="157">
        <f t="shared" si="50"/>
        <v>7.9575960000000004E-4</v>
      </c>
      <c r="H230" s="246">
        <f>$H$110</f>
        <v>24</v>
      </c>
      <c r="I230" s="159">
        <f t="shared" si="54"/>
        <v>1.356107E-2</v>
      </c>
      <c r="J230" s="160"/>
      <c r="K230" s="161">
        <f t="shared" si="55"/>
        <v>409</v>
      </c>
      <c r="L230" s="250">
        <v>1</v>
      </c>
      <c r="M230" s="163" t="str">
        <f t="shared" si="51"/>
        <v>24 шт*0,01356107/409чел.</v>
      </c>
      <c r="N230" s="164">
        <f t="shared" si="52"/>
        <v>32416.666666666668</v>
      </c>
      <c r="O230" s="165">
        <f t="shared" si="53"/>
        <v>25.795873999999998</v>
      </c>
      <c r="P230" s="166"/>
      <c r="Q230" s="166">
        <f t="shared" si="49"/>
        <v>10550.512465999998</v>
      </c>
      <c r="R230" s="71"/>
    </row>
    <row r="231" spans="1:18" s="61" customFormat="1" x14ac:dyDescent="0.25">
      <c r="A231" s="358"/>
      <c r="B231" s="361"/>
      <c r="C231" s="366"/>
      <c r="D231" s="254" t="s">
        <v>420</v>
      </c>
      <c r="E231" s="156" t="s">
        <v>28</v>
      </c>
      <c r="F231" s="156" t="s">
        <v>28</v>
      </c>
      <c r="G231" s="157">
        <f t="shared" si="50"/>
        <v>4.9734980000000007E-4</v>
      </c>
      <c r="H231" s="158">
        <f>H111</f>
        <v>15</v>
      </c>
      <c r="I231" s="159">
        <f t="shared" si="54"/>
        <v>1.356107E-2</v>
      </c>
      <c r="J231" s="160"/>
      <c r="K231" s="161">
        <f t="shared" si="55"/>
        <v>409</v>
      </c>
      <c r="L231" s="250">
        <v>1</v>
      </c>
      <c r="M231" s="163" t="str">
        <f t="shared" si="51"/>
        <v>15 шт*0,01356107/409чел.</v>
      </c>
      <c r="N231" s="164">
        <f t="shared" si="52"/>
        <v>127666.66666666667</v>
      </c>
      <c r="O231" s="165">
        <f t="shared" si="53"/>
        <v>63.494990999999999</v>
      </c>
      <c r="P231" s="166"/>
      <c r="Q231" s="166">
        <f t="shared" si="49"/>
        <v>25969.451319</v>
      </c>
      <c r="R231" s="71"/>
    </row>
    <row r="232" spans="1:18" s="61" customFormat="1" x14ac:dyDescent="0.25">
      <c r="A232" s="358"/>
      <c r="B232" s="361"/>
      <c r="C232" s="366"/>
      <c r="D232" s="254" t="s">
        <v>421</v>
      </c>
      <c r="E232" s="156" t="s">
        <v>28</v>
      </c>
      <c r="F232" s="156" t="s">
        <v>28</v>
      </c>
      <c r="G232" s="157">
        <f t="shared" si="50"/>
        <v>9.615429E-4</v>
      </c>
      <c r="H232" s="158">
        <f>$H$112</f>
        <v>29</v>
      </c>
      <c r="I232" s="159">
        <f t="shared" si="54"/>
        <v>1.356107E-2</v>
      </c>
      <c r="J232" s="160"/>
      <c r="K232" s="161">
        <f t="shared" si="55"/>
        <v>409</v>
      </c>
      <c r="L232" s="250">
        <v>1</v>
      </c>
      <c r="M232" s="163" t="str">
        <f t="shared" si="51"/>
        <v>29 шт*0,01356107/409чел.</v>
      </c>
      <c r="N232" s="164">
        <f t="shared" si="52"/>
        <v>13517.241379310344</v>
      </c>
      <c r="O232" s="165">
        <f t="shared" si="53"/>
        <v>12.997406999999999</v>
      </c>
      <c r="P232" s="166"/>
      <c r="Q232" s="166">
        <f t="shared" si="49"/>
        <v>5315.9394629999997</v>
      </c>
      <c r="R232" s="71"/>
    </row>
    <row r="233" spans="1:18" s="61" customFormat="1" ht="30" x14ac:dyDescent="0.25">
      <c r="A233" s="358"/>
      <c r="B233" s="361"/>
      <c r="C233" s="366"/>
      <c r="D233" s="254" t="s">
        <v>422</v>
      </c>
      <c r="E233" s="156" t="s">
        <v>28</v>
      </c>
      <c r="F233" s="156" t="s">
        <v>28</v>
      </c>
      <c r="G233" s="157">
        <f t="shared" si="50"/>
        <v>5.9681969999999997E-4</v>
      </c>
      <c r="H233" s="158">
        <f>H113</f>
        <v>18</v>
      </c>
      <c r="I233" s="159">
        <f t="shared" si="54"/>
        <v>1.356107E-2</v>
      </c>
      <c r="J233" s="160"/>
      <c r="K233" s="161">
        <f t="shared" si="55"/>
        <v>409</v>
      </c>
      <c r="L233" s="250">
        <v>1</v>
      </c>
      <c r="M233" s="163" t="str">
        <f t="shared" si="51"/>
        <v>18 шт*0,01356107/409чел.</v>
      </c>
      <c r="N233" s="164">
        <f t="shared" si="52"/>
        <v>34944.444444444445</v>
      </c>
      <c r="O233" s="165">
        <f t="shared" si="53"/>
        <v>20.855532999999998</v>
      </c>
      <c r="P233" s="166"/>
      <c r="Q233" s="166">
        <f t="shared" si="49"/>
        <v>8529.9129969999995</v>
      </c>
      <c r="R233" s="71"/>
    </row>
    <row r="234" spans="1:18" s="61" customFormat="1" x14ac:dyDescent="0.25">
      <c r="A234" s="358"/>
      <c r="B234" s="361"/>
      <c r="C234" s="366"/>
      <c r="D234" s="254" t="s">
        <v>423</v>
      </c>
      <c r="E234" s="156" t="s">
        <v>28</v>
      </c>
      <c r="F234" s="156" t="s">
        <v>28</v>
      </c>
      <c r="G234" s="157">
        <f t="shared" si="50"/>
        <v>6.63133E-4</v>
      </c>
      <c r="H234" s="158">
        <f>$H$114</f>
        <v>20</v>
      </c>
      <c r="I234" s="159">
        <f t="shared" si="54"/>
        <v>1.356107E-2</v>
      </c>
      <c r="J234" s="160"/>
      <c r="K234" s="161">
        <f t="shared" si="55"/>
        <v>409</v>
      </c>
      <c r="L234" s="250">
        <v>1</v>
      </c>
      <c r="M234" s="163" t="str">
        <f t="shared" si="51"/>
        <v>20 шт*0,01356107/409чел.</v>
      </c>
      <c r="N234" s="164">
        <f t="shared" si="52"/>
        <v>74500</v>
      </c>
      <c r="O234" s="165">
        <f t="shared" si="53"/>
        <v>49.403408999999996</v>
      </c>
      <c r="P234" s="166"/>
      <c r="Q234" s="166">
        <f t="shared" si="49"/>
        <v>20205.994280999999</v>
      </c>
      <c r="R234" s="71"/>
    </row>
    <row r="235" spans="1:18" s="61" customFormat="1" x14ac:dyDescent="0.25">
      <c r="A235" s="358"/>
      <c r="B235" s="361"/>
      <c r="C235" s="366"/>
      <c r="D235" s="254" t="s">
        <v>424</v>
      </c>
      <c r="E235" s="156" t="s">
        <v>28</v>
      </c>
      <c r="F235" s="156" t="s">
        <v>28</v>
      </c>
      <c r="G235" s="157">
        <f t="shared" si="50"/>
        <v>1.1604828000000001E-3</v>
      </c>
      <c r="H235" s="158">
        <f>H115</f>
        <v>35</v>
      </c>
      <c r="I235" s="159">
        <f>I224</f>
        <v>1.356107E-2</v>
      </c>
      <c r="J235" s="160"/>
      <c r="K235" s="161">
        <f>K224</f>
        <v>409</v>
      </c>
      <c r="L235" s="250">
        <v>1</v>
      </c>
      <c r="M235" s="163" t="str">
        <f t="shared" si="51"/>
        <v>35 шт*0,01356107/409чел.</v>
      </c>
      <c r="N235" s="164">
        <f t="shared" si="52"/>
        <v>34285.714285714283</v>
      </c>
      <c r="O235" s="165">
        <f t="shared" si="53"/>
        <v>39.787982</v>
      </c>
      <c r="P235" s="166"/>
      <c r="Q235" s="166">
        <f t="shared" si="49"/>
        <v>16273.284637999999</v>
      </c>
      <c r="R235" s="71"/>
    </row>
    <row r="236" spans="1:18" s="61" customFormat="1" x14ac:dyDescent="0.25">
      <c r="A236" s="358"/>
      <c r="B236" s="361"/>
      <c r="C236" s="366"/>
      <c r="D236" s="254" t="s">
        <v>425</v>
      </c>
      <c r="E236" s="156" t="s">
        <v>28</v>
      </c>
      <c r="F236" s="156" t="s">
        <v>28</v>
      </c>
      <c r="G236" s="157">
        <f t="shared" si="50"/>
        <v>1.1604828000000001E-3</v>
      </c>
      <c r="H236" s="158">
        <f>H116</f>
        <v>35</v>
      </c>
      <c r="I236" s="159">
        <f t="shared" ref="I236:I241" si="56">I235</f>
        <v>1.356107E-2</v>
      </c>
      <c r="J236" s="160"/>
      <c r="K236" s="161">
        <f t="shared" ref="K236:K241" si="57">K235</f>
        <v>409</v>
      </c>
      <c r="L236" s="250">
        <v>1</v>
      </c>
      <c r="M236" s="163" t="str">
        <f t="shared" si="51"/>
        <v>35 шт*0,01356107/409чел.</v>
      </c>
      <c r="N236" s="164">
        <f t="shared" si="52"/>
        <v>19102.857142857141</v>
      </c>
      <c r="O236" s="165">
        <f t="shared" si="53"/>
        <v>22.168537000000001</v>
      </c>
      <c r="P236" s="166"/>
      <c r="Q236" s="166">
        <f t="shared" si="49"/>
        <v>9066.9316330000001</v>
      </c>
      <c r="R236" s="71"/>
    </row>
    <row r="237" spans="1:18" s="61" customFormat="1" x14ac:dyDescent="0.25">
      <c r="A237" s="358"/>
      <c r="B237" s="361"/>
      <c r="C237" s="366"/>
      <c r="D237" s="254" t="s">
        <v>108</v>
      </c>
      <c r="E237" s="156" t="s">
        <v>28</v>
      </c>
      <c r="F237" s="156" t="s">
        <v>28</v>
      </c>
      <c r="G237" s="157">
        <f t="shared" si="50"/>
        <v>2.8680502600000001E-2</v>
      </c>
      <c r="H237" s="158">
        <f>$H$117</f>
        <v>865</v>
      </c>
      <c r="I237" s="159">
        <f t="shared" si="56"/>
        <v>1.356107E-2</v>
      </c>
      <c r="J237" s="160"/>
      <c r="K237" s="161">
        <f t="shared" si="57"/>
        <v>409</v>
      </c>
      <c r="L237" s="250">
        <v>1</v>
      </c>
      <c r="M237" s="163" t="str">
        <f t="shared" si="51"/>
        <v>865 шт*0,01356107/409чел.</v>
      </c>
      <c r="N237" s="164">
        <f t="shared" si="52"/>
        <v>779.36416184971097</v>
      </c>
      <c r="O237" s="165">
        <f t="shared" si="53"/>
        <v>22.352556</v>
      </c>
      <c r="P237" s="166"/>
      <c r="Q237" s="166">
        <f t="shared" si="49"/>
        <v>9142.1954040000001</v>
      </c>
      <c r="R237" s="71"/>
    </row>
    <row r="238" spans="1:18" s="61" customFormat="1" x14ac:dyDescent="0.25">
      <c r="A238" s="358"/>
      <c r="B238" s="361"/>
      <c r="C238" s="366"/>
      <c r="D238" s="254" t="s">
        <v>426</v>
      </c>
      <c r="E238" s="156" t="s">
        <v>28</v>
      </c>
      <c r="F238" s="156" t="s">
        <v>28</v>
      </c>
      <c r="G238" s="157">
        <f t="shared" si="50"/>
        <v>1.4588926E-3</v>
      </c>
      <c r="H238" s="158">
        <f>H118</f>
        <v>44</v>
      </c>
      <c r="I238" s="159">
        <f t="shared" si="56"/>
        <v>1.356107E-2</v>
      </c>
      <c r="J238" s="160"/>
      <c r="K238" s="161">
        <f t="shared" si="57"/>
        <v>409</v>
      </c>
      <c r="L238" s="250">
        <v>1</v>
      </c>
      <c r="M238" s="163" t="str">
        <f t="shared" si="51"/>
        <v>44 шт*0,01356107/409чел.</v>
      </c>
      <c r="N238" s="164">
        <f t="shared" si="52"/>
        <v>12416.954545454546</v>
      </c>
      <c r="O238" s="165">
        <f t="shared" si="53"/>
        <v>18.115002999999998</v>
      </c>
      <c r="P238" s="166"/>
      <c r="Q238" s="166">
        <f t="shared" si="49"/>
        <v>7409.0362269999996</v>
      </c>
      <c r="R238" s="71"/>
    </row>
    <row r="239" spans="1:18" s="61" customFormat="1" x14ac:dyDescent="0.25">
      <c r="A239" s="358"/>
      <c r="B239" s="361"/>
      <c r="C239" s="366"/>
      <c r="D239" s="254" t="s">
        <v>427</v>
      </c>
      <c r="E239" s="156" t="s">
        <v>28</v>
      </c>
      <c r="F239" s="156" t="s">
        <v>28</v>
      </c>
      <c r="G239" s="157">
        <f t="shared" si="50"/>
        <v>2.1883389E-3</v>
      </c>
      <c r="H239" s="158">
        <f>H119</f>
        <v>66</v>
      </c>
      <c r="I239" s="159">
        <f t="shared" si="56"/>
        <v>1.356107E-2</v>
      </c>
      <c r="J239" s="160"/>
      <c r="K239" s="161">
        <f t="shared" si="57"/>
        <v>409</v>
      </c>
      <c r="L239" s="250">
        <v>1</v>
      </c>
      <c r="M239" s="163" t="str">
        <f t="shared" si="51"/>
        <v>66 шт*0,01356107/409чел.</v>
      </c>
      <c r="N239" s="164">
        <f t="shared" si="52"/>
        <v>13060.60606060606</v>
      </c>
      <c r="O239" s="165">
        <f t="shared" si="53"/>
        <v>28.581032</v>
      </c>
      <c r="P239" s="166"/>
      <c r="Q239" s="166">
        <f t="shared" si="49"/>
        <v>11689.642088000001</v>
      </c>
      <c r="R239" s="71"/>
    </row>
    <row r="240" spans="1:18" s="61" customFormat="1" x14ac:dyDescent="0.25">
      <c r="A240" s="358"/>
      <c r="B240" s="361"/>
      <c r="C240" s="366"/>
      <c r="D240" s="254" t="s">
        <v>428</v>
      </c>
      <c r="E240" s="156" t="s">
        <v>28</v>
      </c>
      <c r="F240" s="156" t="s">
        <v>28</v>
      </c>
      <c r="G240" s="157">
        <f t="shared" si="50"/>
        <v>1.1439044400000001E-2</v>
      </c>
      <c r="H240" s="158">
        <f>H120</f>
        <v>345</v>
      </c>
      <c r="I240" s="159">
        <f t="shared" si="56"/>
        <v>1.356107E-2</v>
      </c>
      <c r="J240" s="160"/>
      <c r="K240" s="161">
        <f t="shared" si="57"/>
        <v>409</v>
      </c>
      <c r="L240" s="250">
        <v>1</v>
      </c>
      <c r="M240" s="163" t="str">
        <f t="shared" si="51"/>
        <v>345 шт*0,01356107/409чел.</v>
      </c>
      <c r="N240" s="164">
        <f t="shared" si="52"/>
        <v>8520.7246376811599</v>
      </c>
      <c r="O240" s="165">
        <f t="shared" si="53"/>
        <v>97.468947</v>
      </c>
      <c r="P240" s="166"/>
      <c r="Q240" s="166">
        <f t="shared" si="49"/>
        <v>39864.799322999999</v>
      </c>
      <c r="R240" s="71"/>
    </row>
    <row r="241" spans="1:19" s="61" customFormat="1" x14ac:dyDescent="0.25">
      <c r="A241" s="358"/>
      <c r="B241" s="361"/>
      <c r="C241" s="366"/>
      <c r="D241" s="255" t="s">
        <v>429</v>
      </c>
      <c r="E241" s="156" t="s">
        <v>28</v>
      </c>
      <c r="F241" s="156" t="s">
        <v>28</v>
      </c>
      <c r="G241" s="157">
        <f t="shared" si="50"/>
        <v>1.6246759E-3</v>
      </c>
      <c r="H241" s="158">
        <f>H121</f>
        <v>49</v>
      </c>
      <c r="I241" s="159">
        <f t="shared" si="56"/>
        <v>1.356107E-2</v>
      </c>
      <c r="J241" s="160"/>
      <c r="K241" s="161">
        <f t="shared" si="57"/>
        <v>409</v>
      </c>
      <c r="L241" s="250">
        <v>1</v>
      </c>
      <c r="M241" s="163" t="str">
        <f t="shared" si="51"/>
        <v>49 шт*0,01356107/409чел.</v>
      </c>
      <c r="N241" s="164">
        <f t="shared" si="52"/>
        <v>53775.510204081635</v>
      </c>
      <c r="O241" s="165">
        <f t="shared" si="53"/>
        <v>87.367774999999995</v>
      </c>
      <c r="P241" s="166"/>
      <c r="Q241" s="166">
        <f t="shared" si="49"/>
        <v>35733.419974999997</v>
      </c>
      <c r="R241" s="71"/>
    </row>
    <row r="242" spans="1:19" s="61" customFormat="1" x14ac:dyDescent="0.25">
      <c r="A242" s="358"/>
      <c r="B242" s="361"/>
      <c r="C242" s="249" t="s">
        <v>299</v>
      </c>
      <c r="D242" s="256"/>
      <c r="E242" s="240"/>
      <c r="F242" s="240"/>
      <c r="G242" s="227"/>
      <c r="H242" s="241"/>
      <c r="I242" s="206"/>
      <c r="J242" s="228"/>
      <c r="K242" s="207"/>
      <c r="L242" s="257"/>
      <c r="M242" s="209"/>
      <c r="N242" s="210"/>
      <c r="O242" s="198">
        <f>SUM(O218:O241)</f>
        <v>1377.4821480000001</v>
      </c>
      <c r="P242" s="166"/>
      <c r="Q242" s="166"/>
      <c r="R242" s="71"/>
    </row>
    <row r="243" spans="1:19" s="61" customFormat="1" ht="110.25" x14ac:dyDescent="0.25">
      <c r="A243" s="358"/>
      <c r="B243" s="361"/>
      <c r="C243" s="221" t="s">
        <v>82</v>
      </c>
      <c r="D243" s="156" t="s">
        <v>46</v>
      </c>
      <c r="E243" s="156" t="s">
        <v>54</v>
      </c>
      <c r="F243" s="156" t="s">
        <v>285</v>
      </c>
      <c r="G243" s="238">
        <f>MROUND(H243*L243*I243/K243,0.000001)</f>
        <v>0.375002</v>
      </c>
      <c r="H243" s="242">
        <f>H123</f>
        <v>1028.181818181818</v>
      </c>
      <c r="I243" s="159">
        <f>I241</f>
        <v>1.356107E-2</v>
      </c>
      <c r="J243" s="160"/>
      <c r="K243" s="161">
        <f>K241</f>
        <v>409</v>
      </c>
      <c r="L243" s="225">
        <f>L123</f>
        <v>11</v>
      </c>
      <c r="M243" s="163" t="str">
        <f>CONCATENATE(H243," ",F243,"*",L243,"автобуса","*",I243,"/",K243,"чел.")</f>
        <v>1028,18181818182 л бензина АИ 92 (12,5л/день(зимой)*20дней*7мес+10л/день(летом)*20дней*4мес)*11автобуса*0,01356107/409чел.</v>
      </c>
      <c r="N243" s="164">
        <f>N123</f>
        <v>54.500000000000007</v>
      </c>
      <c r="O243" s="165">
        <f>MROUND(G243*N243,0.000001)</f>
        <v>20.437608999999998</v>
      </c>
      <c r="P243" s="166"/>
      <c r="Q243" s="166">
        <f t="shared" si="49"/>
        <v>8358.9820810000001</v>
      </c>
      <c r="R243" s="71"/>
    </row>
    <row r="244" spans="1:19" s="61" customFormat="1" x14ac:dyDescent="0.25">
      <c r="A244" s="358"/>
      <c r="B244" s="361"/>
      <c r="C244" s="218" t="s">
        <v>309</v>
      </c>
      <c r="D244" s="240"/>
      <c r="E244" s="240"/>
      <c r="F244" s="240"/>
      <c r="G244" s="227"/>
      <c r="H244" s="241"/>
      <c r="I244" s="206"/>
      <c r="J244" s="228"/>
      <c r="K244" s="207"/>
      <c r="L244" s="257"/>
      <c r="M244" s="209"/>
      <c r="N244" s="210"/>
      <c r="O244" s="198">
        <f>SUM(O243)</f>
        <v>20.437608999999998</v>
      </c>
      <c r="P244" s="166"/>
      <c r="Q244" s="166"/>
      <c r="R244" s="71"/>
    </row>
    <row r="245" spans="1:19" s="61" customFormat="1" ht="47.25" x14ac:dyDescent="0.25">
      <c r="A245" s="358"/>
      <c r="B245" s="361"/>
      <c r="C245" s="221" t="s">
        <v>434</v>
      </c>
      <c r="D245" s="156" t="s">
        <v>436</v>
      </c>
      <c r="E245" s="156" t="s">
        <v>28</v>
      </c>
      <c r="F245" s="156" t="s">
        <v>437</v>
      </c>
      <c r="G245" s="157">
        <f>MROUND(H245*L245*I245/K245,0.000001)</f>
        <v>9.6150000000000003E-3</v>
      </c>
      <c r="H245" s="242">
        <f>$H$125</f>
        <v>290</v>
      </c>
      <c r="I245" s="159">
        <f>I243</f>
        <v>1.356107E-2</v>
      </c>
      <c r="J245" s="160"/>
      <c r="K245" s="161">
        <f>K243</f>
        <v>409</v>
      </c>
      <c r="L245" s="162">
        <v>1</v>
      </c>
      <c r="M245" s="163" t="str">
        <f>CONCATENATE(H245," ",F245,"*",I245,"/",K245,"чел.")</f>
        <v>290 огнетушителей (потребность учреждений) *0,01356107/409чел.</v>
      </c>
      <c r="N245" s="164">
        <f>$N$125</f>
        <v>2000</v>
      </c>
      <c r="O245" s="165">
        <f>MROUND(G245*N245,0.000001)</f>
        <v>19.23</v>
      </c>
      <c r="P245" s="166"/>
      <c r="Q245" s="166">
        <f t="shared" si="49"/>
        <v>7865.0700000000006</v>
      </c>
      <c r="R245" s="71"/>
    </row>
    <row r="246" spans="1:19" s="61" customFormat="1" x14ac:dyDescent="0.25">
      <c r="A246" s="358"/>
      <c r="B246" s="361"/>
      <c r="C246" s="218" t="s">
        <v>435</v>
      </c>
      <c r="D246" s="240"/>
      <c r="E246" s="240"/>
      <c r="F246" s="240"/>
      <c r="G246" s="251"/>
      <c r="H246" s="241"/>
      <c r="I246" s="206"/>
      <c r="J246" s="228"/>
      <c r="K246" s="207"/>
      <c r="L246" s="229"/>
      <c r="M246" s="209"/>
      <c r="N246" s="210"/>
      <c r="O246" s="198">
        <f>SUM(O245)</f>
        <v>19.23</v>
      </c>
      <c r="P246" s="166"/>
      <c r="Q246" s="166"/>
      <c r="R246" s="71"/>
    </row>
    <row r="247" spans="1:19" s="61" customFormat="1" ht="47.25" x14ac:dyDescent="0.25">
      <c r="A247" s="358"/>
      <c r="B247" s="361"/>
      <c r="C247" s="364" t="s">
        <v>118</v>
      </c>
      <c r="D247" s="156" t="s">
        <v>47</v>
      </c>
      <c r="E247" s="156" t="s">
        <v>28</v>
      </c>
      <c r="F247" s="156" t="s">
        <v>239</v>
      </c>
      <c r="G247" s="266">
        <f>MROUND(H247*L247*I247/K247,0.00000001)</f>
        <v>4.7745599999999997E-3</v>
      </c>
      <c r="H247" s="158">
        <f>H127</f>
        <v>144</v>
      </c>
      <c r="I247" s="159">
        <f>I243</f>
        <v>1.356107E-2</v>
      </c>
      <c r="J247" s="160"/>
      <c r="K247" s="161">
        <f>K243</f>
        <v>409</v>
      </c>
      <c r="L247" s="250">
        <v>1</v>
      </c>
      <c r="M247" s="163" t="str">
        <f>CONCATENATE(H247," ",F247,"*",I247,"/",K247,"чел.")</f>
        <v>144 манометров (потребность учреждений) *0,01356107/409чел.</v>
      </c>
      <c r="N247" s="164">
        <f>N127</f>
        <v>708.5</v>
      </c>
      <c r="O247" s="165">
        <f>MROUND(G247*N247,0.000001)</f>
        <v>3.3827759999999998</v>
      </c>
      <c r="P247" s="166"/>
      <c r="Q247" s="166">
        <f t="shared" si="49"/>
        <v>1383.555384</v>
      </c>
      <c r="R247" s="71"/>
    </row>
    <row r="248" spans="1:19" s="61" customFormat="1" ht="47.25" x14ac:dyDescent="0.25">
      <c r="A248" s="358"/>
      <c r="B248" s="361"/>
      <c r="C248" s="364"/>
      <c r="D248" s="255" t="s">
        <v>113</v>
      </c>
      <c r="E248" s="156" t="s">
        <v>28</v>
      </c>
      <c r="F248" s="156" t="s">
        <v>240</v>
      </c>
      <c r="G248" s="266">
        <f>MROUND(H248*L248*I248/K248,0.00000001)</f>
        <v>0.18949025999999999</v>
      </c>
      <c r="H248" s="158">
        <f>H128</f>
        <v>5715</v>
      </c>
      <c r="I248" s="159">
        <f>I247</f>
        <v>1.356107E-2</v>
      </c>
      <c r="J248" s="160"/>
      <c r="K248" s="161">
        <f>K247</f>
        <v>409</v>
      </c>
      <c r="L248" s="250">
        <v>1</v>
      </c>
      <c r="M248" s="163" t="str">
        <f>CONCATENATE(H248," ",F248,"*",I248,"/",K248,"чел.")</f>
        <v>5715 светильников (потребность учреждений)*0,01356107/409чел.</v>
      </c>
      <c r="N248" s="164">
        <f>N128</f>
        <v>106.27500087489064</v>
      </c>
      <c r="O248" s="165">
        <f>MROUND(G248*N248,0.000001)</f>
        <v>20.138078</v>
      </c>
      <c r="P248" s="166"/>
      <c r="Q248" s="166">
        <f t="shared" si="49"/>
        <v>8236.4739019999997</v>
      </c>
      <c r="R248" s="71"/>
    </row>
    <row r="249" spans="1:19" s="61" customFormat="1" x14ac:dyDescent="0.25">
      <c r="A249" s="359"/>
      <c r="B249" s="362"/>
      <c r="C249" s="218" t="s">
        <v>310</v>
      </c>
      <c r="D249" s="256"/>
      <c r="E249" s="240"/>
      <c r="F249" s="240"/>
      <c r="G249" s="227"/>
      <c r="H249" s="241"/>
      <c r="I249" s="206"/>
      <c r="J249" s="228"/>
      <c r="K249" s="207"/>
      <c r="L249" s="257"/>
      <c r="M249" s="209"/>
      <c r="N249" s="210"/>
      <c r="O249" s="198">
        <f>SUM(O247:O248)</f>
        <v>23.520854</v>
      </c>
      <c r="P249" s="166"/>
      <c r="Q249" s="166"/>
      <c r="R249" s="71"/>
    </row>
    <row r="250" spans="1:19" s="61" customFormat="1" x14ac:dyDescent="0.25">
      <c r="A250" s="357" t="str">
        <f>CONCATENATE(школы!$B$8,", ",школы!$C$8,", ",школы!$D$8)</f>
        <v>Реализация основных общеобразовательных программ начального общего образования, , дети-инвалиды</v>
      </c>
      <c r="B250" s="360" t="str">
        <f>школы!$A$8</f>
        <v>801012О.99.0.БА81АЩ48001</v>
      </c>
      <c r="C250" s="194"/>
      <c r="D250" s="363" t="s">
        <v>15</v>
      </c>
      <c r="E250" s="363"/>
      <c r="F250" s="363"/>
      <c r="G250" s="363"/>
      <c r="H250" s="195"/>
      <c r="I250" s="195"/>
      <c r="J250" s="195"/>
      <c r="K250" s="195"/>
      <c r="L250" s="196"/>
      <c r="M250" s="197"/>
      <c r="N250" s="164"/>
      <c r="O250" s="198">
        <f>O251+O256+O258</f>
        <v>5968.4113913800002</v>
      </c>
      <c r="P250" s="166"/>
      <c r="Q250" s="166"/>
      <c r="R250" s="71"/>
    </row>
    <row r="251" spans="1:19" s="61" customFormat="1" x14ac:dyDescent="0.25">
      <c r="A251" s="358"/>
      <c r="B251" s="361"/>
      <c r="C251" s="194"/>
      <c r="D251" s="350" t="s">
        <v>62</v>
      </c>
      <c r="E251" s="350"/>
      <c r="F251" s="350"/>
      <c r="G251" s="350"/>
      <c r="H251" s="195"/>
      <c r="I251" s="195"/>
      <c r="J251" s="195"/>
      <c r="K251" s="195"/>
      <c r="L251" s="196"/>
      <c r="M251" s="197"/>
      <c r="N251" s="164"/>
      <c r="O251" s="165">
        <f>O253+O255</f>
        <v>5968.4113913800002</v>
      </c>
      <c r="P251" s="166"/>
      <c r="Q251" s="166"/>
      <c r="R251" s="71"/>
    </row>
    <row r="252" spans="1:19" s="61" customFormat="1" x14ac:dyDescent="0.25">
      <c r="A252" s="358"/>
      <c r="B252" s="361"/>
      <c r="C252" s="194">
        <v>211</v>
      </c>
      <c r="D252" s="194" t="s">
        <v>86</v>
      </c>
      <c r="E252" s="199" t="s">
        <v>95</v>
      </c>
      <c r="F252" s="199" t="s">
        <v>95</v>
      </c>
      <c r="G252" s="275">
        <f>MROUND(H252*L252*I252/K252,0.0000000001)</f>
        <v>0.36676512560000002</v>
      </c>
      <c r="H252" s="201">
        <f>H12</f>
        <v>921.8</v>
      </c>
      <c r="I252" s="159">
        <f>школы!$K$8</f>
        <v>1.85677E-3</v>
      </c>
      <c r="J252" s="159"/>
      <c r="K252" s="161">
        <f>школы!$G$8</f>
        <v>56</v>
      </c>
      <c r="L252" s="202">
        <v>12</v>
      </c>
      <c r="M252" s="163" t="str">
        <f>CONCATENATE(H252," ",F252," ","в мес.","*",L252,"мес.","*",I252,"/",K252,"чел.")</f>
        <v>921,8 шт.ед в мес.*12мес.*0,00185677/56чел.</v>
      </c>
      <c r="N252" s="164">
        <f>N12</f>
        <v>12498.552905979601</v>
      </c>
      <c r="O252" s="165">
        <f>MROUND(G252*N252,0.000000001)</f>
        <v>4584.0333263800003</v>
      </c>
      <c r="P252" s="166"/>
      <c r="Q252" s="166">
        <f t="shared" si="49"/>
        <v>256705.86627728003</v>
      </c>
      <c r="R252" s="71"/>
      <c r="S252" s="121"/>
    </row>
    <row r="253" spans="1:19" s="61" customFormat="1" x14ac:dyDescent="0.25">
      <c r="A253" s="358"/>
      <c r="B253" s="361"/>
      <c r="C253" s="203" t="s">
        <v>288</v>
      </c>
      <c r="D253" s="203"/>
      <c r="E253" s="204"/>
      <c r="F253" s="204"/>
      <c r="G253" s="205"/>
      <c r="H253" s="206"/>
      <c r="I253" s="206"/>
      <c r="J253" s="206"/>
      <c r="K253" s="207"/>
      <c r="L253" s="208"/>
      <c r="M253" s="209"/>
      <c r="N253" s="210">
        <f>N252</f>
        <v>12498.552905979601</v>
      </c>
      <c r="O253" s="198">
        <f>O252</f>
        <v>4584.0333263800003</v>
      </c>
      <c r="P253" s="166"/>
      <c r="Q253" s="166"/>
      <c r="R253" s="71"/>
    </row>
    <row r="254" spans="1:19" s="61" customFormat="1" x14ac:dyDescent="0.25">
      <c r="A254" s="358"/>
      <c r="B254" s="361"/>
      <c r="C254" s="194">
        <v>213</v>
      </c>
      <c r="D254" s="194" t="s">
        <v>87</v>
      </c>
      <c r="E254" s="194" t="s">
        <v>88</v>
      </c>
      <c r="F254" s="194"/>
      <c r="G254" s="211">
        <v>30.2</v>
      </c>
      <c r="H254" s="159"/>
      <c r="I254" s="159"/>
      <c r="J254" s="159"/>
      <c r="K254" s="161">
        <f>K252</f>
        <v>56</v>
      </c>
      <c r="L254" s="202"/>
      <c r="M254" s="212"/>
      <c r="N254" s="164"/>
      <c r="O254" s="165">
        <f>MROUND(O252*0.302,0.000001)</f>
        <v>1384.3780649999999</v>
      </c>
      <c r="P254" s="166"/>
      <c r="Q254" s="166">
        <f>O254*K254</f>
        <v>77525.171639999986</v>
      </c>
      <c r="R254" s="71"/>
    </row>
    <row r="255" spans="1:19" s="61" customFormat="1" x14ac:dyDescent="0.25">
      <c r="A255" s="358"/>
      <c r="B255" s="361"/>
      <c r="C255" s="203" t="s">
        <v>289</v>
      </c>
      <c r="D255" s="203"/>
      <c r="E255" s="203"/>
      <c r="F255" s="203"/>
      <c r="G255" s="213"/>
      <c r="H255" s="214"/>
      <c r="I255" s="206"/>
      <c r="J255" s="214"/>
      <c r="K255" s="207"/>
      <c r="L255" s="215"/>
      <c r="M255" s="216"/>
      <c r="N255" s="210"/>
      <c r="O255" s="198">
        <f>O254</f>
        <v>1384.3780649999999</v>
      </c>
      <c r="P255" s="166"/>
      <c r="Q255" s="166"/>
      <c r="R255" s="71"/>
    </row>
    <row r="256" spans="1:19" s="61" customFormat="1" x14ac:dyDescent="0.25">
      <c r="A256" s="358"/>
      <c r="B256" s="361"/>
      <c r="C256" s="194"/>
      <c r="D256" s="356" t="s">
        <v>63</v>
      </c>
      <c r="E256" s="356"/>
      <c r="F256" s="356"/>
      <c r="G256" s="356"/>
      <c r="H256" s="195"/>
      <c r="I256" s="159"/>
      <c r="J256" s="195"/>
      <c r="K256" s="161"/>
      <c r="L256" s="196"/>
      <c r="M256" s="197"/>
      <c r="N256" s="164"/>
      <c r="O256" s="165"/>
      <c r="P256" s="166"/>
      <c r="Q256" s="166"/>
      <c r="R256" s="71"/>
    </row>
    <row r="257" spans="1:18" s="61" customFormat="1" x14ac:dyDescent="0.25">
      <c r="A257" s="358"/>
      <c r="B257" s="361"/>
      <c r="C257" s="194"/>
      <c r="D257" s="194"/>
      <c r="E257" s="194"/>
      <c r="F257" s="194"/>
      <c r="G257" s="217"/>
      <c r="H257" s="195"/>
      <c r="I257" s="159"/>
      <c r="J257" s="195"/>
      <c r="K257" s="161"/>
      <c r="L257" s="196"/>
      <c r="M257" s="197"/>
      <c r="N257" s="164"/>
      <c r="O257" s="165"/>
      <c r="P257" s="166"/>
      <c r="Q257" s="166"/>
      <c r="R257" s="71"/>
    </row>
    <row r="258" spans="1:18" s="61" customFormat="1" x14ac:dyDescent="0.25">
      <c r="A258" s="358"/>
      <c r="B258" s="361"/>
      <c r="C258" s="194"/>
      <c r="D258" s="350" t="s">
        <v>64</v>
      </c>
      <c r="E258" s="350"/>
      <c r="F258" s="350"/>
      <c r="G258" s="350"/>
      <c r="H258" s="195"/>
      <c r="I258" s="159"/>
      <c r="J258" s="195"/>
      <c r="K258" s="161"/>
      <c r="L258" s="196"/>
      <c r="M258" s="197"/>
      <c r="N258" s="164"/>
      <c r="O258" s="165"/>
      <c r="P258" s="166"/>
      <c r="Q258" s="166"/>
      <c r="R258" s="71"/>
    </row>
    <row r="259" spans="1:18" s="61" customFormat="1" x14ac:dyDescent="0.25">
      <c r="A259" s="358"/>
      <c r="B259" s="361"/>
      <c r="C259" s="194"/>
      <c r="D259" s="194"/>
      <c r="E259" s="194"/>
      <c r="F259" s="194"/>
      <c r="G259" s="217"/>
      <c r="H259" s="195"/>
      <c r="I259" s="159"/>
      <c r="J259" s="195"/>
      <c r="K259" s="161"/>
      <c r="L259" s="196"/>
      <c r="M259" s="197"/>
      <c r="N259" s="164"/>
      <c r="O259" s="165"/>
      <c r="P259" s="166"/>
      <c r="Q259" s="166"/>
      <c r="R259" s="71"/>
    </row>
    <row r="260" spans="1:18" s="61" customFormat="1" x14ac:dyDescent="0.25">
      <c r="A260" s="358"/>
      <c r="B260" s="361"/>
      <c r="C260" s="194"/>
      <c r="D260" s="355" t="s">
        <v>5</v>
      </c>
      <c r="E260" s="355"/>
      <c r="F260" s="355"/>
      <c r="G260" s="355"/>
      <c r="H260" s="195"/>
      <c r="I260" s="159"/>
      <c r="J260" s="195"/>
      <c r="K260" s="161"/>
      <c r="L260" s="196"/>
      <c r="M260" s="197"/>
      <c r="N260" s="164"/>
      <c r="O260" s="198">
        <f>O261+O271+O282+O284+O286+O288+O290</f>
        <v>31837.197135136925</v>
      </c>
      <c r="P260" s="166"/>
      <c r="Q260" s="166"/>
      <c r="R260" s="71"/>
    </row>
    <row r="261" spans="1:18" s="61" customFormat="1" x14ac:dyDescent="0.25">
      <c r="A261" s="358"/>
      <c r="B261" s="361"/>
      <c r="C261" s="218" t="s">
        <v>70</v>
      </c>
      <c r="D261" s="355" t="s">
        <v>6</v>
      </c>
      <c r="E261" s="355"/>
      <c r="F261" s="355"/>
      <c r="G261" s="355"/>
      <c r="H261" s="189"/>
      <c r="I261" s="159"/>
      <c r="J261" s="189"/>
      <c r="K261" s="161"/>
      <c r="L261" s="190"/>
      <c r="M261" s="197"/>
      <c r="N261" s="210"/>
      <c r="O261" s="198">
        <f>O270</f>
        <v>5735.9723136100001</v>
      </c>
      <c r="P261" s="166"/>
      <c r="Q261" s="166"/>
      <c r="R261" s="71"/>
    </row>
    <row r="262" spans="1:18" s="61" customFormat="1" ht="31.5" x14ac:dyDescent="0.25">
      <c r="A262" s="358"/>
      <c r="B262" s="361"/>
      <c r="C262" s="221" t="s">
        <v>72</v>
      </c>
      <c r="D262" s="222" t="s">
        <v>7</v>
      </c>
      <c r="E262" s="223" t="s">
        <v>8</v>
      </c>
      <c r="F262" s="223" t="s">
        <v>8</v>
      </c>
      <c r="G262" s="238">
        <f>MROUND(H262*L262*I262/K262,0.00000000001)</f>
        <v>109.85186555281</v>
      </c>
      <c r="H262" s="160">
        <f t="shared" ref="H262:H269" si="58">H22</f>
        <v>3313121.4264326878</v>
      </c>
      <c r="I262" s="159">
        <f>I252</f>
        <v>1.85677E-3</v>
      </c>
      <c r="J262" s="160"/>
      <c r="K262" s="161">
        <f>K252</f>
        <v>56</v>
      </c>
      <c r="L262" s="250">
        <v>1</v>
      </c>
      <c r="M262" s="163" t="str">
        <f>CONCATENATE(H262," ",F262,"(лимиты выделенные УЖКХ) ","*",I262,"/",K262,"чел.")</f>
        <v>3313121,42643269 кВт час.(лимиты выделенные УЖКХ) *0,00185677/56чел.</v>
      </c>
      <c r="N262" s="164">
        <f t="shared" ref="N262:N269" si="59">N22</f>
        <v>10.418446162163715</v>
      </c>
      <c r="O262" s="165">
        <f t="shared" ref="O262:O269" si="60">MROUND(G262*N262,0.000001)</f>
        <v>1144.4857469999999</v>
      </c>
      <c r="P262" s="166"/>
      <c r="Q262" s="166">
        <f t="shared" si="49"/>
        <v>64091.201831999999</v>
      </c>
      <c r="R262" s="71"/>
    </row>
    <row r="263" spans="1:18" s="61" customFormat="1" ht="31.5" x14ac:dyDescent="0.25">
      <c r="A263" s="358"/>
      <c r="B263" s="361"/>
      <c r="C263" s="221" t="s">
        <v>73</v>
      </c>
      <c r="D263" s="222" t="s">
        <v>9</v>
      </c>
      <c r="E263" s="223" t="s">
        <v>10</v>
      </c>
      <c r="F263" s="223" t="s">
        <v>10</v>
      </c>
      <c r="G263" s="238">
        <f>MROUND(H263*L263*I263/K263,0.00000000001)</f>
        <v>1.0576092291099999</v>
      </c>
      <c r="H263" s="160">
        <f t="shared" si="58"/>
        <v>31897.39</v>
      </c>
      <c r="I263" s="159">
        <f t="shared" ref="I263:I330" si="61">I262</f>
        <v>1.85677E-3</v>
      </c>
      <c r="J263" s="160"/>
      <c r="K263" s="161">
        <f t="shared" ref="K263:K269" si="62">K262</f>
        <v>56</v>
      </c>
      <c r="L263" s="250">
        <v>1</v>
      </c>
      <c r="M263" s="163" t="str">
        <f>CONCATENATE(H263," ",F263,"(лимиты выделенные УЖКХ) ","*",I263,"/",K263,"чел.")</f>
        <v>31897,39 Гкал(лимиты выделенные УЖКХ) *0,00185677/56чел.</v>
      </c>
      <c r="N263" s="164">
        <f t="shared" si="59"/>
        <v>2845.3650600830792</v>
      </c>
      <c r="O263" s="165">
        <f t="shared" si="60"/>
        <v>3009.2843479999997</v>
      </c>
      <c r="P263" s="166"/>
      <c r="Q263" s="166">
        <f t="shared" si="49"/>
        <v>168519.92348799997</v>
      </c>
      <c r="R263" s="71"/>
    </row>
    <row r="264" spans="1:18" s="61" customFormat="1" ht="31.5" x14ac:dyDescent="0.25">
      <c r="A264" s="358"/>
      <c r="B264" s="361"/>
      <c r="C264" s="364" t="s">
        <v>74</v>
      </c>
      <c r="D264" s="222" t="s">
        <v>12</v>
      </c>
      <c r="E264" s="222" t="s">
        <v>11</v>
      </c>
      <c r="F264" s="222" t="s">
        <v>11</v>
      </c>
      <c r="G264" s="238">
        <f>MROUND(H264*L264*I264/K264,0.00000000001)</f>
        <v>6.1248598910899998</v>
      </c>
      <c r="H264" s="224">
        <f t="shared" si="58"/>
        <v>184725.17</v>
      </c>
      <c r="I264" s="159">
        <f t="shared" si="61"/>
        <v>1.85677E-3</v>
      </c>
      <c r="J264" s="160"/>
      <c r="K264" s="161">
        <f t="shared" si="62"/>
        <v>56</v>
      </c>
      <c r="L264" s="250">
        <v>1</v>
      </c>
      <c r="M264" s="163" t="str">
        <f>CONCATENATE(H264," ",F264,"(лимиты выделенные УЖКХ) ","*",I264,"/",K264,"чел.")</f>
        <v>184725,17 м3(лимиты выделенные УЖКХ) *0,00185677/56чел.</v>
      </c>
      <c r="N264" s="164">
        <f t="shared" si="59"/>
        <v>51.830000102314166</v>
      </c>
      <c r="O264" s="165">
        <f t="shared" si="60"/>
        <v>317.45148899999998</v>
      </c>
      <c r="P264" s="166"/>
      <c r="Q264" s="166">
        <f t="shared" si="49"/>
        <v>17777.283383999998</v>
      </c>
      <c r="R264" s="71"/>
    </row>
    <row r="265" spans="1:18" s="61" customFormat="1" ht="47.25" x14ac:dyDescent="0.25">
      <c r="A265" s="358"/>
      <c r="B265" s="361"/>
      <c r="C265" s="364"/>
      <c r="D265" s="222" t="s">
        <v>17</v>
      </c>
      <c r="E265" s="222" t="s">
        <v>11</v>
      </c>
      <c r="F265" s="222" t="s">
        <v>11</v>
      </c>
      <c r="G265" s="238">
        <f>MROUND(H265*L265*I265/K265,0.00000000001)</f>
        <v>6.1248598910899998</v>
      </c>
      <c r="H265" s="160">
        <f t="shared" si="58"/>
        <v>184725.17</v>
      </c>
      <c r="I265" s="159">
        <f t="shared" si="61"/>
        <v>1.85677E-3</v>
      </c>
      <c r="J265" s="160"/>
      <c r="K265" s="161">
        <f t="shared" si="62"/>
        <v>56</v>
      </c>
      <c r="L265" s="162">
        <f>$L$25</f>
        <v>1</v>
      </c>
      <c r="M265" s="181" t="s">
        <v>119</v>
      </c>
      <c r="N265" s="164">
        <f t="shared" si="59"/>
        <v>78.76115753094173</v>
      </c>
      <c r="O265" s="165">
        <f t="shared" si="60"/>
        <v>482.40105499999999</v>
      </c>
      <c r="P265" s="166"/>
      <c r="Q265" s="166">
        <f t="shared" si="49"/>
        <v>27014.459080000001</v>
      </c>
      <c r="R265" s="71"/>
    </row>
    <row r="266" spans="1:18" s="61" customFormat="1" ht="31.5" x14ac:dyDescent="0.25">
      <c r="A266" s="358"/>
      <c r="B266" s="361"/>
      <c r="C266" s="364"/>
      <c r="D266" s="222" t="s">
        <v>13</v>
      </c>
      <c r="E266" s="222" t="s">
        <v>11</v>
      </c>
      <c r="F266" s="222" t="s">
        <v>11</v>
      </c>
      <c r="G266" s="238">
        <f>MROUND(H266*L266*I266/K266,0.00000000001)</f>
        <v>6.1248598910899998</v>
      </c>
      <c r="H266" s="160">
        <f t="shared" si="58"/>
        <v>184725.17</v>
      </c>
      <c r="I266" s="159">
        <f t="shared" si="61"/>
        <v>1.85677E-3</v>
      </c>
      <c r="J266" s="160"/>
      <c r="K266" s="161">
        <f t="shared" si="62"/>
        <v>56</v>
      </c>
      <c r="L266" s="225">
        <v>1</v>
      </c>
      <c r="M266" s="163" t="str">
        <f>CONCATENATE(H266," ",F266,"(лимиты выделенные УЖКХ) ","*",I266,"/",K266,"чел.")</f>
        <v>184725,17 м3(лимиты выделенные УЖКХ) *0,00185677/56чел.</v>
      </c>
      <c r="N266" s="164">
        <f t="shared" si="59"/>
        <v>107.41979263410609</v>
      </c>
      <c r="O266" s="165">
        <f>MROUND(G266*N266,0.00000001)</f>
        <v>657.93117941000003</v>
      </c>
      <c r="P266" s="166"/>
      <c r="Q266" s="166">
        <f t="shared" si="49"/>
        <v>36844.146046959999</v>
      </c>
      <c r="R266" s="71"/>
    </row>
    <row r="267" spans="1:18" s="61" customFormat="1" ht="31.5" x14ac:dyDescent="0.25">
      <c r="A267" s="358"/>
      <c r="B267" s="361"/>
      <c r="C267" s="221" t="s">
        <v>75</v>
      </c>
      <c r="D267" s="222" t="s">
        <v>18</v>
      </c>
      <c r="E267" s="222" t="s">
        <v>48</v>
      </c>
      <c r="F267" s="222" t="s">
        <v>48</v>
      </c>
      <c r="G267" s="238">
        <f>MROUND(H267*L267*I267/K267,0.0000000001)</f>
        <v>0.46046569740000004</v>
      </c>
      <c r="H267" s="160">
        <f t="shared" si="58"/>
        <v>13887.6</v>
      </c>
      <c r="I267" s="159">
        <f t="shared" si="61"/>
        <v>1.85677E-3</v>
      </c>
      <c r="J267" s="160"/>
      <c r="K267" s="161">
        <f t="shared" si="62"/>
        <v>56</v>
      </c>
      <c r="L267" s="250">
        <v>1</v>
      </c>
      <c r="M267" s="163" t="str">
        <f>CONCATENATE(H267," ",F267,"(лимиты выделенные УЖКХ) ","*",I267,"/",K267,"чел.")</f>
        <v>13887,6 тыс. м3(лимиты выделенные УЖКХ) *0,00185677/56чел.</v>
      </c>
      <c r="N267" s="164">
        <f t="shared" si="59"/>
        <v>29.231582850888564</v>
      </c>
      <c r="O267" s="165">
        <f t="shared" si="60"/>
        <v>13.460141</v>
      </c>
      <c r="P267" s="166"/>
      <c r="Q267" s="166">
        <f t="shared" si="49"/>
        <v>753.76789600000006</v>
      </c>
      <c r="R267" s="71"/>
    </row>
    <row r="268" spans="1:18" s="61" customFormat="1" x14ac:dyDescent="0.25">
      <c r="A268" s="358"/>
      <c r="B268" s="361"/>
      <c r="C268" s="364" t="s">
        <v>216</v>
      </c>
      <c r="D268" s="222" t="s">
        <v>23</v>
      </c>
      <c r="E268" s="222" t="s">
        <v>11</v>
      </c>
      <c r="F268" s="222" t="s">
        <v>11</v>
      </c>
      <c r="G268" s="238">
        <f>MROUND(H268*L268*I268/K268,0.000000000001)</f>
        <v>0.11169267308599999</v>
      </c>
      <c r="H268" s="160">
        <f t="shared" si="58"/>
        <v>3368.6400000000003</v>
      </c>
      <c r="I268" s="159">
        <f t="shared" si="61"/>
        <v>1.85677E-3</v>
      </c>
      <c r="J268" s="160"/>
      <c r="K268" s="161">
        <f t="shared" si="62"/>
        <v>56</v>
      </c>
      <c r="L268" s="162">
        <f>L267</f>
        <v>1</v>
      </c>
      <c r="M268" s="163" t="str">
        <f>CONCATENATE(H268," ",F268," ","*",I268,"/",K268,"чел.")</f>
        <v>3368,64 м3 *0,00185677/56чел.</v>
      </c>
      <c r="N268" s="164">
        <f t="shared" si="59"/>
        <v>742.21370939013957</v>
      </c>
      <c r="O268" s="165">
        <f>MROUND(G268*N268,0.00000001)</f>
        <v>82.899833200000003</v>
      </c>
      <c r="P268" s="166"/>
      <c r="Q268" s="166">
        <f t="shared" si="49"/>
        <v>4642.3906592000003</v>
      </c>
      <c r="R268" s="71"/>
    </row>
    <row r="269" spans="1:18" s="61" customFormat="1" ht="47.25" x14ac:dyDescent="0.25">
      <c r="A269" s="358"/>
      <c r="B269" s="361"/>
      <c r="C269" s="364"/>
      <c r="D269" s="222" t="s">
        <v>24</v>
      </c>
      <c r="E269" s="222" t="s">
        <v>25</v>
      </c>
      <c r="F269" s="222" t="s">
        <v>217</v>
      </c>
      <c r="G269" s="238">
        <f>MROUND(H269*L269*I269/K269,0.000000000001)</f>
        <v>4.87402125E-3</v>
      </c>
      <c r="H269" s="160">
        <f t="shared" si="58"/>
        <v>147</v>
      </c>
      <c r="I269" s="159">
        <f t="shared" si="61"/>
        <v>1.85677E-3</v>
      </c>
      <c r="J269" s="160"/>
      <c r="K269" s="161">
        <f t="shared" si="62"/>
        <v>56</v>
      </c>
      <c r="L269" s="250">
        <f>L268</f>
        <v>1</v>
      </c>
      <c r="M269" s="163" t="str">
        <f>CONCATENATE(H269," ",F269,"(потребность из расчета 4 контейнера для уборки территории весной и осенью на 1 учреждение)","*",I269,"/",K269,"чел.")</f>
        <v>147 контейнера(потребность из расчета 4 контейнера для уборки территории весной и осенью на 1 учреждение)*0,00185677/56чел.</v>
      </c>
      <c r="N269" s="164">
        <f t="shared" si="59"/>
        <v>5756.7497959183638</v>
      </c>
      <c r="O269" s="165">
        <f t="shared" si="60"/>
        <v>28.058520999999999</v>
      </c>
      <c r="P269" s="166"/>
      <c r="Q269" s="166">
        <f t="shared" si="49"/>
        <v>1571.2771760000001</v>
      </c>
      <c r="R269" s="71"/>
    </row>
    <row r="270" spans="1:18" s="61" customFormat="1" x14ac:dyDescent="0.25">
      <c r="A270" s="358"/>
      <c r="B270" s="361"/>
      <c r="C270" s="218" t="s">
        <v>290</v>
      </c>
      <c r="D270" s="226"/>
      <c r="E270" s="226"/>
      <c r="F270" s="226"/>
      <c r="G270" s="227"/>
      <c r="H270" s="228"/>
      <c r="I270" s="206"/>
      <c r="J270" s="228"/>
      <c r="K270" s="207"/>
      <c r="L270" s="257"/>
      <c r="M270" s="209"/>
      <c r="N270" s="210"/>
      <c r="O270" s="198">
        <f>SUM(O262:O269)</f>
        <v>5735.9723136100001</v>
      </c>
      <c r="P270" s="166"/>
      <c r="Q270" s="166"/>
      <c r="R270" s="71"/>
    </row>
    <row r="271" spans="1:18" s="61" customFormat="1" x14ac:dyDescent="0.25">
      <c r="A271" s="358"/>
      <c r="B271" s="361"/>
      <c r="C271" s="221"/>
      <c r="D271" s="356" t="s">
        <v>14</v>
      </c>
      <c r="E271" s="356"/>
      <c r="F271" s="356"/>
      <c r="G271" s="356"/>
      <c r="H271" s="188"/>
      <c r="I271" s="159"/>
      <c r="J271" s="188"/>
      <c r="K271" s="161"/>
      <c r="L271" s="250"/>
      <c r="M271" s="230"/>
      <c r="N271" s="164"/>
      <c r="O271" s="198">
        <f>O279+O280+O275</f>
        <v>23888.162170346925</v>
      </c>
      <c r="P271" s="166"/>
      <c r="Q271" s="166"/>
      <c r="R271" s="71"/>
    </row>
    <row r="272" spans="1:18" s="61" customFormat="1" x14ac:dyDescent="0.25">
      <c r="A272" s="358"/>
      <c r="B272" s="361"/>
      <c r="C272" s="221" t="s">
        <v>379</v>
      </c>
      <c r="D272" s="231" t="s">
        <v>49</v>
      </c>
      <c r="E272" s="231" t="s">
        <v>22</v>
      </c>
      <c r="F272" s="231" t="s">
        <v>22</v>
      </c>
      <c r="G272" s="238">
        <f>MROUND(H272*L272*I272/K272,0.000000001)</f>
        <v>0</v>
      </c>
      <c r="H272" s="160"/>
      <c r="I272" s="159">
        <f>I267</f>
        <v>1.85677E-3</v>
      </c>
      <c r="J272" s="160"/>
      <c r="K272" s="161">
        <f>K267</f>
        <v>56</v>
      </c>
      <c r="L272" s="250"/>
      <c r="M272" s="163"/>
      <c r="N272" s="164">
        <f>N32</f>
        <v>0</v>
      </c>
      <c r="O272" s="165">
        <f>MROUND(G272*N272,0.00000001)</f>
        <v>0</v>
      </c>
      <c r="P272" s="166"/>
      <c r="Q272" s="166">
        <f t="shared" ref="Q272:Q332" si="63">O272*K272</f>
        <v>0</v>
      </c>
      <c r="R272" s="71"/>
    </row>
    <row r="273" spans="1:18" s="61" customFormat="1" x14ac:dyDescent="0.25">
      <c r="A273" s="358"/>
      <c r="B273" s="361"/>
      <c r="C273" s="221" t="s">
        <v>379</v>
      </c>
      <c r="D273" s="231" t="s">
        <v>49</v>
      </c>
      <c r="E273" s="231" t="s">
        <v>28</v>
      </c>
      <c r="F273" s="231" t="s">
        <v>28</v>
      </c>
      <c r="G273" s="238">
        <f>MROUND(H273*L273*I273/K273,0.0000000000001)</f>
        <v>1.657830357E-4</v>
      </c>
      <c r="H273" s="160">
        <f>H33</f>
        <v>5</v>
      </c>
      <c r="I273" s="159">
        <f t="shared" si="61"/>
        <v>1.85677E-3</v>
      </c>
      <c r="J273" s="160"/>
      <c r="K273" s="161">
        <f>K272</f>
        <v>56</v>
      </c>
      <c r="L273" s="250">
        <v>1</v>
      </c>
      <c r="M273" s="163" t="str">
        <f>CONCATENATE(H273," ",F273,"*",I273,"/",K273,"чел.")</f>
        <v>5 шт*0,00185677/56чел.</v>
      </c>
      <c r="N273" s="164">
        <f>N33</f>
        <v>28120000</v>
      </c>
      <c r="O273" s="165">
        <f>MROUND(G273*N273,0.00000001)</f>
        <v>4661.8189638800004</v>
      </c>
      <c r="P273" s="166"/>
      <c r="Q273" s="166">
        <f t="shared" si="63"/>
        <v>261061.86197728003</v>
      </c>
      <c r="R273" s="71"/>
    </row>
    <row r="274" spans="1:18" s="61" customFormat="1" x14ac:dyDescent="0.25">
      <c r="A274" s="358"/>
      <c r="B274" s="361"/>
      <c r="C274" s="221" t="s">
        <v>379</v>
      </c>
      <c r="D274" s="231" t="s">
        <v>49</v>
      </c>
      <c r="E274" s="231" t="s">
        <v>101</v>
      </c>
      <c r="F274" s="231" t="s">
        <v>101</v>
      </c>
      <c r="G274" s="238">
        <f>MROUND(H274*L274*I274/K274,0.000000001)</f>
        <v>0</v>
      </c>
      <c r="H274" s="160"/>
      <c r="I274" s="159">
        <f t="shared" si="61"/>
        <v>1.85677E-3</v>
      </c>
      <c r="J274" s="160"/>
      <c r="K274" s="161">
        <f>K273</f>
        <v>56</v>
      </c>
      <c r="L274" s="250"/>
      <c r="M274" s="163"/>
      <c r="N274" s="164">
        <f>N34</f>
        <v>0</v>
      </c>
      <c r="O274" s="165">
        <f>MROUND(G274*N274,0.00000001)</f>
        <v>0</v>
      </c>
      <c r="P274" s="166"/>
      <c r="Q274" s="166">
        <f t="shared" si="63"/>
        <v>0</v>
      </c>
      <c r="R274" s="71"/>
    </row>
    <row r="275" spans="1:18" s="61" customFormat="1" x14ac:dyDescent="0.25">
      <c r="A275" s="358"/>
      <c r="B275" s="361"/>
      <c r="C275" s="218" t="s">
        <v>381</v>
      </c>
      <c r="D275" s="232"/>
      <c r="E275" s="232"/>
      <c r="F275" s="232"/>
      <c r="G275" s="227"/>
      <c r="H275" s="228"/>
      <c r="I275" s="206"/>
      <c r="J275" s="228"/>
      <c r="K275" s="207"/>
      <c r="L275" s="257"/>
      <c r="M275" s="209"/>
      <c r="N275" s="210"/>
      <c r="O275" s="198">
        <f>SUM(O272:O274)</f>
        <v>4661.8189638800004</v>
      </c>
      <c r="P275" s="166"/>
      <c r="Q275" s="166"/>
      <c r="R275" s="71"/>
    </row>
    <row r="276" spans="1:18" s="61" customFormat="1" x14ac:dyDescent="0.25">
      <c r="A276" s="358"/>
      <c r="B276" s="361"/>
      <c r="C276" s="221" t="s">
        <v>76</v>
      </c>
      <c r="D276" s="231" t="s">
        <v>49</v>
      </c>
      <c r="E276" s="231" t="s">
        <v>22</v>
      </c>
      <c r="F276" s="231" t="s">
        <v>22</v>
      </c>
      <c r="G276" s="238">
        <f>MROUND(H276*L276*I276/K276,0.000000000000001)</f>
        <v>2.427627968310714</v>
      </c>
      <c r="H276" s="160">
        <f>H36</f>
        <v>73217.02</v>
      </c>
      <c r="I276" s="159">
        <f>I274</f>
        <v>1.85677E-3</v>
      </c>
      <c r="J276" s="160"/>
      <c r="K276" s="161">
        <f>K274</f>
        <v>56</v>
      </c>
      <c r="L276" s="250">
        <v>1</v>
      </c>
      <c r="M276" s="163" t="str">
        <f>CONCATENATE(H276," ",F276,"*",I276,"/",K276,"чел.")</f>
        <v>73217,02 м2*0,00185677/56чел.</v>
      </c>
      <c r="N276" s="164">
        <f>N36</f>
        <v>3335.1026185604301</v>
      </c>
      <c r="O276" s="165">
        <f>MROUND(G276*N276,0.00000000001)</f>
        <v>8096.3883940035994</v>
      </c>
      <c r="P276" s="166"/>
      <c r="Q276" s="166">
        <f t="shared" si="63"/>
        <v>453397.75006420154</v>
      </c>
      <c r="R276" s="71"/>
    </row>
    <row r="277" spans="1:18" s="61" customFormat="1" x14ac:dyDescent="0.25">
      <c r="A277" s="358"/>
      <c r="B277" s="361"/>
      <c r="C277" s="221"/>
      <c r="D277" s="231" t="s">
        <v>49</v>
      </c>
      <c r="E277" s="231" t="s">
        <v>28</v>
      </c>
      <c r="F277" s="231" t="s">
        <v>28</v>
      </c>
      <c r="G277" s="238">
        <f>MROUND(H277*L277*I277/K277,0.000000000001)</f>
        <v>0.137599919643</v>
      </c>
      <c r="H277" s="160">
        <f>H37</f>
        <v>4150</v>
      </c>
      <c r="I277" s="159">
        <f t="shared" si="61"/>
        <v>1.85677E-3</v>
      </c>
      <c r="J277" s="160"/>
      <c r="K277" s="161">
        <f>K276</f>
        <v>56</v>
      </c>
      <c r="L277" s="250">
        <v>1</v>
      </c>
      <c r="M277" s="163" t="str">
        <f>CONCATENATE(H277," ",F277,"*",I277,"/",K277,"чел.")</f>
        <v>4150 шт*0,00185677/56чел.</v>
      </c>
      <c r="N277" s="164">
        <f>N37</f>
        <v>71617.619331325302</v>
      </c>
      <c r="O277" s="165">
        <f>MROUND(G277*N277,0.00000000001)</f>
        <v>9854.5786650133286</v>
      </c>
      <c r="P277" s="166"/>
      <c r="Q277" s="166">
        <f t="shared" si="63"/>
        <v>551856.40524074645</v>
      </c>
      <c r="R277" s="71"/>
    </row>
    <row r="278" spans="1:18" s="61" customFormat="1" x14ac:dyDescent="0.25">
      <c r="A278" s="358"/>
      <c r="B278" s="361"/>
      <c r="C278" s="221"/>
      <c r="D278" s="231" t="s">
        <v>49</v>
      </c>
      <c r="E278" s="231" t="s">
        <v>101</v>
      </c>
      <c r="F278" s="231" t="s">
        <v>101</v>
      </c>
      <c r="G278" s="238">
        <f>MROUND(H278*L278*I278/K278,0.000000001)</f>
        <v>0.47327741000000001</v>
      </c>
      <c r="H278" s="160">
        <f>H38</f>
        <v>14274</v>
      </c>
      <c r="I278" s="159">
        <f t="shared" si="61"/>
        <v>1.85677E-3</v>
      </c>
      <c r="J278" s="160"/>
      <c r="K278" s="161">
        <f>K277</f>
        <v>56</v>
      </c>
      <c r="L278" s="250">
        <v>1</v>
      </c>
      <c r="M278" s="163" t="str">
        <f>CONCATENATE(H278," ",F278,"*",I278,"/",K278,"чел.")</f>
        <v>14274 погон.м.*0,00185677/56чел.</v>
      </c>
      <c r="N278" s="164">
        <f>N38</f>
        <v>2694.7750315258509</v>
      </c>
      <c r="O278" s="165">
        <f>MROUND(G278*N278,0.00000001)</f>
        <v>1275.37614745</v>
      </c>
      <c r="P278" s="166"/>
      <c r="Q278" s="166">
        <f t="shared" si="63"/>
        <v>71421.064257199992</v>
      </c>
      <c r="R278" s="71"/>
    </row>
    <row r="279" spans="1:18" s="61" customFormat="1" x14ac:dyDescent="0.25">
      <c r="A279" s="358"/>
      <c r="B279" s="361"/>
      <c r="C279" s="218" t="s">
        <v>302</v>
      </c>
      <c r="D279" s="232"/>
      <c r="E279" s="232"/>
      <c r="F279" s="232"/>
      <c r="G279" s="227"/>
      <c r="H279" s="228"/>
      <c r="I279" s="206"/>
      <c r="J279" s="228"/>
      <c r="K279" s="207"/>
      <c r="L279" s="257"/>
      <c r="M279" s="209"/>
      <c r="N279" s="210"/>
      <c r="O279" s="198">
        <f>SUM(O276:O278)</f>
        <v>19226.343206466925</v>
      </c>
      <c r="P279" s="166"/>
      <c r="Q279" s="166"/>
      <c r="R279" s="71"/>
    </row>
    <row r="280" spans="1:18" s="61" customFormat="1" x14ac:dyDescent="0.25">
      <c r="A280" s="358"/>
      <c r="B280" s="361"/>
      <c r="C280" s="221" t="s">
        <v>77</v>
      </c>
      <c r="D280" s="231"/>
      <c r="E280" s="231"/>
      <c r="F280" s="231"/>
      <c r="G280" s="238">
        <f>MROUND(H280*L280*I280/K280,0.00000000001)</f>
        <v>0</v>
      </c>
      <c r="H280" s="160">
        <f>H40</f>
        <v>0</v>
      </c>
      <c r="I280" s="159">
        <f>I278</f>
        <v>1.85677E-3</v>
      </c>
      <c r="J280" s="160"/>
      <c r="K280" s="161">
        <f>K278</f>
        <v>56</v>
      </c>
      <c r="L280" s="250"/>
      <c r="M280" s="163"/>
      <c r="N280" s="164">
        <f>N40</f>
        <v>0</v>
      </c>
      <c r="O280" s="165">
        <f>MROUND(G280*N280,0.000000001)</f>
        <v>0</v>
      </c>
      <c r="P280" s="166"/>
      <c r="Q280" s="166">
        <f t="shared" si="63"/>
        <v>0</v>
      </c>
      <c r="R280" s="71"/>
    </row>
    <row r="281" spans="1:18" s="61" customFormat="1" x14ac:dyDescent="0.25">
      <c r="A281" s="358"/>
      <c r="B281" s="361"/>
      <c r="C281" s="218" t="s">
        <v>304</v>
      </c>
      <c r="D281" s="232"/>
      <c r="E281" s="232"/>
      <c r="F281" s="232"/>
      <c r="G281" s="227"/>
      <c r="H281" s="228"/>
      <c r="I281" s="206"/>
      <c r="J281" s="228"/>
      <c r="K281" s="207"/>
      <c r="L281" s="257"/>
      <c r="M281" s="209"/>
      <c r="N281" s="210"/>
      <c r="O281" s="198">
        <f>O280</f>
        <v>0</v>
      </c>
      <c r="P281" s="166"/>
      <c r="Q281" s="166"/>
      <c r="R281" s="71"/>
    </row>
    <row r="282" spans="1:18" s="61" customFormat="1" x14ac:dyDescent="0.25">
      <c r="A282" s="358"/>
      <c r="B282" s="361"/>
      <c r="C282" s="221"/>
      <c r="D282" s="350" t="s">
        <v>65</v>
      </c>
      <c r="E282" s="350"/>
      <c r="F282" s="350"/>
      <c r="G282" s="350"/>
      <c r="H282" s="195"/>
      <c r="I282" s="159"/>
      <c r="J282" s="195"/>
      <c r="K282" s="161"/>
      <c r="L282" s="196"/>
      <c r="M282" s="230"/>
      <c r="N282" s="164"/>
      <c r="O282" s="165">
        <f t="shared" ref="O282:O289" si="64">MROUND(G282*N282,0.000001)</f>
        <v>0</v>
      </c>
      <c r="P282" s="166"/>
      <c r="Q282" s="166"/>
      <c r="R282" s="71"/>
    </row>
    <row r="283" spans="1:18" s="61" customFormat="1" x14ac:dyDescent="0.25">
      <c r="A283" s="358"/>
      <c r="B283" s="361"/>
      <c r="C283" s="221"/>
      <c r="D283" s="194"/>
      <c r="E283" s="194"/>
      <c r="F283" s="194"/>
      <c r="G283" s="217"/>
      <c r="H283" s="195"/>
      <c r="I283" s="159"/>
      <c r="J283" s="195"/>
      <c r="K283" s="161"/>
      <c r="L283" s="196"/>
      <c r="M283" s="230"/>
      <c r="N283" s="164"/>
      <c r="O283" s="165">
        <f t="shared" si="64"/>
        <v>0</v>
      </c>
      <c r="P283" s="166"/>
      <c r="Q283" s="166"/>
      <c r="R283" s="71"/>
    </row>
    <row r="284" spans="1:18" s="61" customFormat="1" x14ac:dyDescent="0.25">
      <c r="A284" s="358"/>
      <c r="B284" s="361"/>
      <c r="C284" s="221" t="s">
        <v>357</v>
      </c>
      <c r="D284" s="368" t="s">
        <v>66</v>
      </c>
      <c r="E284" s="368"/>
      <c r="F284" s="368"/>
      <c r="G284" s="368"/>
      <c r="H284" s="195"/>
      <c r="I284" s="159"/>
      <c r="J284" s="195"/>
      <c r="K284" s="161"/>
      <c r="L284" s="234"/>
      <c r="M284" s="230"/>
      <c r="N284" s="164"/>
      <c r="O284" s="198">
        <f>O285</f>
        <v>5.9970270000000001</v>
      </c>
      <c r="P284" s="166"/>
      <c r="Q284" s="166"/>
      <c r="R284" s="71"/>
    </row>
    <row r="285" spans="1:18" s="61" customFormat="1" ht="47.25" x14ac:dyDescent="0.25">
      <c r="A285" s="358"/>
      <c r="B285" s="361"/>
      <c r="C285" s="221"/>
      <c r="D285" s="222" t="s">
        <v>374</v>
      </c>
      <c r="E285" s="194" t="s">
        <v>28</v>
      </c>
      <c r="F285" s="194" t="s">
        <v>28</v>
      </c>
      <c r="G285" s="217">
        <f>MROUND(H285*L285*I285/K285,0.000000001)</f>
        <v>4.7745510000000001E-3</v>
      </c>
      <c r="H285" s="201">
        <f>H45</f>
        <v>36</v>
      </c>
      <c r="I285" s="159">
        <f>I280</f>
        <v>1.85677E-3</v>
      </c>
      <c r="J285" s="195"/>
      <c r="K285" s="161">
        <f>K280</f>
        <v>56</v>
      </c>
      <c r="L285" s="235">
        <f>L45</f>
        <v>4</v>
      </c>
      <c r="M285" s="163" t="str">
        <f>CONCATENATE(H285," ",F285,"*",I285,"/",K285,"чел.")</f>
        <v>36 шт*0,00185677/56чел.</v>
      </c>
      <c r="N285" s="164">
        <f>N45</f>
        <v>1256.0400000000006</v>
      </c>
      <c r="O285" s="165">
        <f>MROUND(G285*N285,0.000001)</f>
        <v>5.9970270000000001</v>
      </c>
      <c r="P285" s="166"/>
      <c r="Q285" s="166">
        <f t="shared" si="63"/>
        <v>335.83351199999998</v>
      </c>
      <c r="R285" s="71"/>
    </row>
    <row r="286" spans="1:18" s="61" customFormat="1" x14ac:dyDescent="0.25">
      <c r="A286" s="358"/>
      <c r="B286" s="361"/>
      <c r="C286" s="221"/>
      <c r="D286" s="368" t="s">
        <v>67</v>
      </c>
      <c r="E286" s="368"/>
      <c r="F286" s="368"/>
      <c r="G286" s="368"/>
      <c r="H286" s="195"/>
      <c r="I286" s="159"/>
      <c r="J286" s="195"/>
      <c r="K286" s="161"/>
      <c r="L286" s="196"/>
      <c r="M286" s="230"/>
      <c r="N286" s="164"/>
      <c r="O286" s="165">
        <f t="shared" si="64"/>
        <v>0</v>
      </c>
      <c r="P286" s="166"/>
      <c r="Q286" s="166"/>
      <c r="R286" s="71"/>
    </row>
    <row r="287" spans="1:18" s="61" customFormat="1" x14ac:dyDescent="0.25">
      <c r="A287" s="358"/>
      <c r="B287" s="361"/>
      <c r="C287" s="221"/>
      <c r="D287" s="194"/>
      <c r="E287" s="194"/>
      <c r="F287" s="194"/>
      <c r="G287" s="217"/>
      <c r="H287" s="195"/>
      <c r="I287" s="159"/>
      <c r="J287" s="195"/>
      <c r="K287" s="161"/>
      <c r="L287" s="196"/>
      <c r="M287" s="230"/>
      <c r="N287" s="164"/>
      <c r="O287" s="165">
        <f t="shared" si="64"/>
        <v>0</v>
      </c>
      <c r="P287" s="166"/>
      <c r="Q287" s="166"/>
      <c r="R287" s="71"/>
    </row>
    <row r="288" spans="1:18" s="61" customFormat="1" x14ac:dyDescent="0.25">
      <c r="A288" s="358"/>
      <c r="B288" s="361"/>
      <c r="C288" s="221"/>
      <c r="D288" s="350" t="s">
        <v>68</v>
      </c>
      <c r="E288" s="350"/>
      <c r="F288" s="350"/>
      <c r="G288" s="350"/>
      <c r="H288" s="195"/>
      <c r="I288" s="159"/>
      <c r="J288" s="195"/>
      <c r="K288" s="161"/>
      <c r="L288" s="196"/>
      <c r="M288" s="230"/>
      <c r="N288" s="164"/>
      <c r="O288" s="165">
        <f t="shared" si="64"/>
        <v>0</v>
      </c>
      <c r="P288" s="166"/>
      <c r="Q288" s="166"/>
      <c r="R288" s="71"/>
    </row>
    <row r="289" spans="1:41" s="61" customFormat="1" x14ac:dyDescent="0.25">
      <c r="A289" s="358"/>
      <c r="B289" s="361"/>
      <c r="C289" s="221"/>
      <c r="D289" s="156"/>
      <c r="E289" s="156"/>
      <c r="F289" s="156"/>
      <c r="G289" s="236"/>
      <c r="H289" s="195"/>
      <c r="I289" s="159"/>
      <c r="J289" s="195"/>
      <c r="K289" s="161"/>
      <c r="L289" s="196"/>
      <c r="M289" s="230"/>
      <c r="N289" s="164"/>
      <c r="O289" s="165">
        <f t="shared" si="64"/>
        <v>0</v>
      </c>
      <c r="P289" s="166"/>
      <c r="Q289" s="166"/>
      <c r="R289" s="71"/>
    </row>
    <row r="290" spans="1:41" s="61" customFormat="1" x14ac:dyDescent="0.25">
      <c r="A290" s="358"/>
      <c r="B290" s="361"/>
      <c r="C290" s="221"/>
      <c r="D290" s="368" t="s">
        <v>69</v>
      </c>
      <c r="E290" s="368"/>
      <c r="F290" s="368"/>
      <c r="G290" s="368"/>
      <c r="H290" s="187"/>
      <c r="I290" s="159"/>
      <c r="J290" s="187"/>
      <c r="K290" s="161"/>
      <c r="L290" s="276"/>
      <c r="M290" s="230"/>
      <c r="N290" s="164"/>
      <c r="O290" s="198">
        <f>O292+O299+O316+O318+O333+O335+O337+O362+O364+O369+O366</f>
        <v>2207.0656241799998</v>
      </c>
      <c r="P290" s="166"/>
      <c r="Q290" s="166"/>
      <c r="R290" s="71"/>
    </row>
    <row r="291" spans="1:41" s="61" customFormat="1" x14ac:dyDescent="0.25">
      <c r="A291" s="358"/>
      <c r="B291" s="361"/>
      <c r="C291" s="221">
        <v>224</v>
      </c>
      <c r="D291" s="156" t="s">
        <v>21</v>
      </c>
      <c r="E291" s="156" t="s">
        <v>22</v>
      </c>
      <c r="F291" s="156" t="s">
        <v>22</v>
      </c>
      <c r="G291" s="238">
        <f>MROUND(H291*L291*I291/K291,0.000000001)</f>
        <v>0</v>
      </c>
      <c r="H291" s="158">
        <f>H51</f>
        <v>0</v>
      </c>
      <c r="I291" s="159">
        <f>I285</f>
        <v>1.85677E-3</v>
      </c>
      <c r="J291" s="160"/>
      <c r="K291" s="161">
        <f>K285</f>
        <v>56</v>
      </c>
      <c r="L291" s="250"/>
      <c r="M291" s="163"/>
      <c r="N291" s="164">
        <f>N51</f>
        <v>0</v>
      </c>
      <c r="O291" s="165">
        <f>MROUND(G291*N291,0.000001)</f>
        <v>0</v>
      </c>
      <c r="P291" s="166"/>
      <c r="Q291" s="166">
        <f t="shared" si="63"/>
        <v>0</v>
      </c>
      <c r="R291" s="71"/>
    </row>
    <row r="292" spans="1:41" s="61" customFormat="1" x14ac:dyDescent="0.25">
      <c r="A292" s="358"/>
      <c r="B292" s="361"/>
      <c r="C292" s="218" t="s">
        <v>293</v>
      </c>
      <c r="D292" s="240"/>
      <c r="E292" s="240"/>
      <c r="F292" s="240"/>
      <c r="G292" s="227"/>
      <c r="H292" s="241"/>
      <c r="I292" s="206"/>
      <c r="J292" s="228"/>
      <c r="K292" s="207"/>
      <c r="L292" s="257"/>
      <c r="M292" s="209"/>
      <c r="N292" s="210"/>
      <c r="O292" s="198">
        <f>SUM(O291)</f>
        <v>0</v>
      </c>
      <c r="P292" s="166"/>
      <c r="Q292" s="166"/>
      <c r="R292" s="71"/>
    </row>
    <row r="293" spans="1:41" s="61" customFormat="1" ht="31.5" x14ac:dyDescent="0.25">
      <c r="A293" s="358"/>
      <c r="B293" s="361"/>
      <c r="C293" s="364" t="s">
        <v>78</v>
      </c>
      <c r="D293" s="156" t="s">
        <v>26</v>
      </c>
      <c r="E293" s="156" t="s">
        <v>22</v>
      </c>
      <c r="F293" s="156" t="s">
        <v>22</v>
      </c>
      <c r="G293" s="238">
        <f>MROUND(H293*L293*I293/K293,0.000001)</f>
        <v>10.281200999999999</v>
      </c>
      <c r="H293" s="158">
        <f>H53</f>
        <v>25840</v>
      </c>
      <c r="I293" s="159">
        <f>I291</f>
        <v>1.85677E-3</v>
      </c>
      <c r="J293" s="160"/>
      <c r="K293" s="161">
        <f>K291</f>
        <v>56</v>
      </c>
      <c r="L293" s="250">
        <v>12</v>
      </c>
      <c r="M293" s="163" t="str">
        <f>CONCATENATE(H293," ",F293,"(обрабатываемая площадь в мес.)","*",L293,"мес.","*",I293,"/",K293,"чел.")</f>
        <v>25840 м2(обрабатываемая площадь в мес.)*12мес.*0,00185677/56чел.</v>
      </c>
      <c r="N293" s="164">
        <f>N53</f>
        <v>1.1553999935500519</v>
      </c>
      <c r="O293" s="165">
        <f t="shared" ref="O293:O298" si="65">MROUND(G293*N293,0.000001)</f>
        <v>11.8789</v>
      </c>
      <c r="P293" s="166"/>
      <c r="Q293" s="166">
        <f t="shared" si="63"/>
        <v>665.21839999999997</v>
      </c>
      <c r="R293" s="71"/>
    </row>
    <row r="294" spans="1:41" s="61" customFormat="1" ht="31.5" x14ac:dyDescent="0.25">
      <c r="A294" s="358"/>
      <c r="B294" s="361"/>
      <c r="C294" s="364"/>
      <c r="D294" s="156" t="s">
        <v>96</v>
      </c>
      <c r="E294" s="156" t="s">
        <v>22</v>
      </c>
      <c r="F294" s="156" t="s">
        <v>22</v>
      </c>
      <c r="G294" s="238">
        <f>MROUND(H294*L294*I294/K294,0.000001)</f>
        <v>5.3216349999999997</v>
      </c>
      <c r="H294" s="158">
        <f>H54</f>
        <v>13375</v>
      </c>
      <c r="I294" s="159">
        <f t="shared" si="61"/>
        <v>1.85677E-3</v>
      </c>
      <c r="J294" s="160"/>
      <c r="K294" s="161">
        <f>K293</f>
        <v>56</v>
      </c>
      <c r="L294" s="250">
        <v>12</v>
      </c>
      <c r="M294" s="163" t="str">
        <f>CONCATENATE(H294," ",F294,"(обрабатываемая площадь в мес.)","*",L294,"мес.","*",I294,"/",K294,"чел.")</f>
        <v>13375 м2(обрабатываемая площадь в мес.)*12мес.*0,00185677/56чел.</v>
      </c>
      <c r="N294" s="164">
        <f>N54</f>
        <v>1.8530000000000004</v>
      </c>
      <c r="O294" s="165">
        <f t="shared" si="65"/>
        <v>9.8609899999999993</v>
      </c>
      <c r="P294" s="166"/>
      <c r="Q294" s="166">
        <f t="shared" si="63"/>
        <v>552.21543999999994</v>
      </c>
      <c r="R294" s="71"/>
    </row>
    <row r="295" spans="1:41" s="135" customFormat="1" ht="31.5" x14ac:dyDescent="0.25">
      <c r="A295" s="358"/>
      <c r="B295" s="361"/>
      <c r="C295" s="364"/>
      <c r="D295" s="156" t="s">
        <v>385</v>
      </c>
      <c r="E295" s="156" t="s">
        <v>22</v>
      </c>
      <c r="F295" s="156" t="s">
        <v>22</v>
      </c>
      <c r="G295" s="238">
        <f>MROUND(H295*L295*I295/K295,0.000001)</f>
        <v>10.643271</v>
      </c>
      <c r="H295" s="242">
        <f>$H$55</f>
        <v>13375</v>
      </c>
      <c r="I295" s="159">
        <f t="shared" si="61"/>
        <v>1.85677E-3</v>
      </c>
      <c r="J295" s="160"/>
      <c r="K295" s="161">
        <f>K294</f>
        <v>56</v>
      </c>
      <c r="L295" s="162">
        <v>24</v>
      </c>
      <c r="M295" s="163" t="str">
        <f>CONCATENATE(H295," ",F295,"(обрабатываемая площадь в год)","*",L295," раза в год.","*",I295,"/",K295,"чел.")</f>
        <v>13375 м2(обрабатываемая площадь в год)*24 раза в год.*0,00185677/56чел.</v>
      </c>
      <c r="N295" s="164">
        <f>$N$55</f>
        <v>2.2889999999999993</v>
      </c>
      <c r="O295" s="165">
        <f t="shared" si="65"/>
        <v>24.362447</v>
      </c>
      <c r="P295" s="166"/>
      <c r="Q295" s="166">
        <f t="shared" si="63"/>
        <v>1364.2970319999999</v>
      </c>
      <c r="R295" s="71"/>
      <c r="S295" s="61"/>
      <c r="T295" s="61"/>
      <c r="U295" s="61"/>
      <c r="V295" s="61"/>
      <c r="W295" s="61"/>
      <c r="X295" s="61"/>
      <c r="Y295" s="61"/>
      <c r="Z295" s="61"/>
      <c r="AA295" s="61"/>
      <c r="AB295" s="61"/>
      <c r="AC295" s="61"/>
      <c r="AD295" s="61"/>
      <c r="AE295" s="61"/>
      <c r="AF295" s="61"/>
      <c r="AG295" s="61"/>
      <c r="AH295" s="61"/>
      <c r="AI295" s="61"/>
      <c r="AJ295" s="61"/>
      <c r="AK295" s="61"/>
      <c r="AL295" s="61"/>
      <c r="AM295" s="61"/>
      <c r="AN295" s="61"/>
      <c r="AO295" s="61"/>
    </row>
    <row r="296" spans="1:41" s="135" customFormat="1" ht="31.5" x14ac:dyDescent="0.25">
      <c r="A296" s="358"/>
      <c r="B296" s="361"/>
      <c r="C296" s="364"/>
      <c r="D296" s="156" t="s">
        <v>394</v>
      </c>
      <c r="E296" s="156" t="s">
        <v>22</v>
      </c>
      <c r="F296" s="156" t="s">
        <v>22</v>
      </c>
      <c r="G296" s="238">
        <f>MROUND(H296*L296*I296/K296,0.000001)</f>
        <v>10.281200999999999</v>
      </c>
      <c r="H296" s="243">
        <f>$H$56</f>
        <v>25840</v>
      </c>
      <c r="I296" s="159">
        <f t="shared" si="61"/>
        <v>1.85677E-3</v>
      </c>
      <c r="J296" s="160"/>
      <c r="K296" s="161">
        <f>K295</f>
        <v>56</v>
      </c>
      <c r="L296" s="162">
        <v>12</v>
      </c>
      <c r="M296" s="163" t="str">
        <f>CONCATENATE(H296," ",F296,"(обрабатываемая площадь в мес.)","*",L296,"мес.","*",I296,"/",K296,"чел.")</f>
        <v>25840 м2(обрабатываемая площадь в мес.)*12мес.*0,00185677/56чел.</v>
      </c>
      <c r="N296" s="164">
        <f>$N$56</f>
        <v>0.54499999999999993</v>
      </c>
      <c r="O296" s="165">
        <f t="shared" si="65"/>
        <v>5.6032549999999999</v>
      </c>
      <c r="P296" s="166"/>
      <c r="Q296" s="166">
        <f t="shared" si="63"/>
        <v>313.78228000000001</v>
      </c>
      <c r="R296" s="71"/>
      <c r="S296" s="61"/>
      <c r="T296" s="61"/>
      <c r="U296" s="61"/>
      <c r="V296" s="61"/>
      <c r="W296" s="61"/>
      <c r="X296" s="61"/>
      <c r="Y296" s="61"/>
      <c r="Z296" s="61"/>
      <c r="AA296" s="61"/>
      <c r="AB296" s="61"/>
      <c r="AC296" s="61"/>
      <c r="AD296" s="61"/>
      <c r="AE296" s="61"/>
      <c r="AF296" s="61"/>
      <c r="AG296" s="61"/>
      <c r="AH296" s="61"/>
      <c r="AI296" s="61"/>
      <c r="AJ296" s="61"/>
      <c r="AK296" s="61"/>
      <c r="AL296" s="61"/>
      <c r="AM296" s="61"/>
      <c r="AN296" s="61"/>
      <c r="AO296" s="61"/>
    </row>
    <row r="297" spans="1:41" s="135" customFormat="1" ht="31.5" x14ac:dyDescent="0.25">
      <c r="A297" s="358"/>
      <c r="B297" s="361"/>
      <c r="C297" s="364"/>
      <c r="D297" s="156" t="s">
        <v>395</v>
      </c>
      <c r="E297" s="156" t="s">
        <v>98</v>
      </c>
      <c r="F297" s="156" t="s">
        <v>98</v>
      </c>
      <c r="G297" s="238">
        <f>MROUND(H297*L297*I297/K297,0.000000001)</f>
        <v>6.2798600000000008E-4</v>
      </c>
      <c r="H297" s="242">
        <f>$H$57</f>
        <v>18.939999999999998</v>
      </c>
      <c r="I297" s="159">
        <f t="shared" si="61"/>
        <v>1.85677E-3</v>
      </c>
      <c r="J297" s="160"/>
      <c r="K297" s="161">
        <f>K293</f>
        <v>56</v>
      </c>
      <c r="L297" s="162">
        <v>1</v>
      </c>
      <c r="M297" s="163" t="str">
        <f>CONCATENATE(H297," ",F297,"(обрабатываемая площадь в год)","*",L297," раз в год","*",I297,"/",K297,"чел.")</f>
        <v>18,94 Га(обрабатываемая площадь в год)*1 раз в год*0,00185677/56чел.</v>
      </c>
      <c r="N297" s="164">
        <f>$N$57</f>
        <v>545</v>
      </c>
      <c r="O297" s="165">
        <f t="shared" si="65"/>
        <v>0.342252</v>
      </c>
      <c r="P297" s="166"/>
      <c r="Q297" s="166">
        <f t="shared" si="63"/>
        <v>19.166111999999998</v>
      </c>
      <c r="R297" s="71"/>
      <c r="S297" s="61"/>
      <c r="T297" s="61"/>
      <c r="U297" s="61"/>
      <c r="V297" s="61"/>
      <c r="W297" s="61"/>
      <c r="X297" s="61"/>
      <c r="Y297" s="61"/>
      <c r="Z297" s="61"/>
      <c r="AA297" s="61"/>
      <c r="AB297" s="61"/>
      <c r="AC297" s="61"/>
      <c r="AD297" s="61"/>
      <c r="AE297" s="61"/>
      <c r="AF297" s="61"/>
      <c r="AG297" s="61"/>
      <c r="AH297" s="61"/>
      <c r="AI297" s="61"/>
      <c r="AJ297" s="61"/>
      <c r="AK297" s="61"/>
      <c r="AL297" s="61"/>
      <c r="AM297" s="61"/>
      <c r="AN297" s="61"/>
      <c r="AO297" s="61"/>
    </row>
    <row r="298" spans="1:41" s="61" customFormat="1" ht="31.5" x14ac:dyDescent="0.25">
      <c r="A298" s="358"/>
      <c r="B298" s="361"/>
      <c r="C298" s="364"/>
      <c r="D298" s="156" t="s">
        <v>97</v>
      </c>
      <c r="E298" s="156" t="s">
        <v>98</v>
      </c>
      <c r="F298" s="156" t="s">
        <v>98</v>
      </c>
      <c r="G298" s="238">
        <f>MROUND(H298*L298*I298/K298,0.0000000001)</f>
        <v>6.2798610000000001E-4</v>
      </c>
      <c r="H298" s="242">
        <f>H58</f>
        <v>18.939999999999998</v>
      </c>
      <c r="I298" s="244">
        <f>I294</f>
        <v>1.85677E-3</v>
      </c>
      <c r="J298" s="160"/>
      <c r="K298" s="161">
        <f>K294</f>
        <v>56</v>
      </c>
      <c r="L298" s="250">
        <v>1</v>
      </c>
      <c r="M298" s="163" t="str">
        <f>CONCATENATE(H298," ",F298,"(обрабатываемая площадь в мес.)","*",L298,"мес.","*",I298,"/",K298,"чел.")</f>
        <v>18,94 Га(обрабатываемая площадь в мес.)*1мес.*0,00185677/56чел.</v>
      </c>
      <c r="N298" s="164">
        <f>N58</f>
        <v>2965.979936642027</v>
      </c>
      <c r="O298" s="165">
        <f t="shared" si="65"/>
        <v>1.8625939999999999</v>
      </c>
      <c r="P298" s="166"/>
      <c r="Q298" s="166">
        <f t="shared" si="63"/>
        <v>104.30526399999999</v>
      </c>
      <c r="R298" s="71"/>
    </row>
    <row r="299" spans="1:41" s="61" customFormat="1" x14ac:dyDescent="0.25">
      <c r="A299" s="358"/>
      <c r="B299" s="361"/>
      <c r="C299" s="245" t="s">
        <v>303</v>
      </c>
      <c r="D299" s="240"/>
      <c r="E299" s="240"/>
      <c r="F299" s="240"/>
      <c r="G299" s="227"/>
      <c r="H299" s="241"/>
      <c r="I299" s="206"/>
      <c r="J299" s="228"/>
      <c r="K299" s="207"/>
      <c r="L299" s="257"/>
      <c r="M299" s="209"/>
      <c r="N299" s="210"/>
      <c r="O299" s="198">
        <f>SUM(O293:O298)</f>
        <v>53.910437999999999</v>
      </c>
      <c r="P299" s="166"/>
      <c r="Q299" s="166"/>
      <c r="R299" s="71"/>
    </row>
    <row r="300" spans="1:41" s="61" customFormat="1" ht="63" x14ac:dyDescent="0.25">
      <c r="A300" s="358"/>
      <c r="B300" s="361"/>
      <c r="C300" s="365" t="s">
        <v>77</v>
      </c>
      <c r="D300" s="156" t="s">
        <v>29</v>
      </c>
      <c r="E300" s="156" t="s">
        <v>58</v>
      </c>
      <c r="F300" s="156" t="s">
        <v>218</v>
      </c>
      <c r="G300" s="238">
        <f>MROUND(H300*L300*I300/K300,0.00000001)</f>
        <v>1.9894000000000001E-3</v>
      </c>
      <c r="H300" s="158">
        <v>15</v>
      </c>
      <c r="I300" s="159">
        <f>I298</f>
        <v>1.85677E-3</v>
      </c>
      <c r="J300" s="160"/>
      <c r="K300" s="161">
        <f>K298</f>
        <v>56</v>
      </c>
      <c r="L300" s="162">
        <v>4</v>
      </c>
      <c r="M300" s="163" t="str">
        <f>CONCATENATE(H300," ",F300,"*",L300," раза в год","*",I300,"/",K300,"чел.")</f>
        <v>15 установок*4 раза в год*0,00185677/56чел.</v>
      </c>
      <c r="N300" s="164">
        <f t="shared" ref="N300:N313" si="66">N60</f>
        <v>721.75483333333329</v>
      </c>
      <c r="O300" s="165">
        <f t="shared" ref="O300:O315" si="67">MROUND(G300*N300,0.000001)</f>
        <v>1.435859</v>
      </c>
      <c r="P300" s="166"/>
      <c r="Q300" s="166">
        <f t="shared" si="63"/>
        <v>80.408103999999994</v>
      </c>
      <c r="R300" s="71"/>
    </row>
    <row r="301" spans="1:41" s="61" customFormat="1" ht="47.25" x14ac:dyDescent="0.25">
      <c r="A301" s="358"/>
      <c r="B301" s="361"/>
      <c r="C301" s="366"/>
      <c r="D301" s="156" t="s">
        <v>30</v>
      </c>
      <c r="E301" s="156" t="s">
        <v>58</v>
      </c>
      <c r="F301" s="156" t="s">
        <v>218</v>
      </c>
      <c r="G301" s="238">
        <f>MROUND(H301*L301*I301/K301,0.00000001)</f>
        <v>9.9470000000000005E-4</v>
      </c>
      <c r="H301" s="158">
        <v>15</v>
      </c>
      <c r="I301" s="159">
        <f t="shared" si="61"/>
        <v>1.85677E-3</v>
      </c>
      <c r="J301" s="160"/>
      <c r="K301" s="161">
        <f t="shared" ref="K301:K309" si="68">K300</f>
        <v>56</v>
      </c>
      <c r="L301" s="250">
        <v>2</v>
      </c>
      <c r="M301" s="163" t="str">
        <f>CONCATENATE(H301," ",F301,"*",L301,"полуг.","*",I301,"/",K301,"чел.")</f>
        <v>15 установок*2полуг.*0,00185677/56чел.</v>
      </c>
      <c r="N301" s="164">
        <f t="shared" si="66"/>
        <v>721.75266666666664</v>
      </c>
      <c r="O301" s="165">
        <f t="shared" si="67"/>
        <v>0.71792699999999998</v>
      </c>
      <c r="P301" s="166"/>
      <c r="Q301" s="166">
        <f t="shared" si="63"/>
        <v>40.203912000000003</v>
      </c>
      <c r="R301" s="71"/>
    </row>
    <row r="302" spans="1:41" s="61" customFormat="1" ht="31.5" x14ac:dyDescent="0.25">
      <c r="A302" s="358"/>
      <c r="B302" s="361"/>
      <c r="C302" s="366"/>
      <c r="D302" s="156" t="s">
        <v>397</v>
      </c>
      <c r="E302" s="156" t="s">
        <v>433</v>
      </c>
      <c r="F302" s="156" t="s">
        <v>433</v>
      </c>
      <c r="G302" s="238">
        <f>MROUND(H302*L302*I302/K302,0.000001)</f>
        <v>1.9893999999999998E-2</v>
      </c>
      <c r="H302" s="158">
        <f>H62</f>
        <v>600</v>
      </c>
      <c r="I302" s="159">
        <f t="shared" si="61"/>
        <v>1.85677E-3</v>
      </c>
      <c r="J302" s="160"/>
      <c r="K302" s="161">
        <f t="shared" si="68"/>
        <v>56</v>
      </c>
      <c r="L302" s="162">
        <v>1</v>
      </c>
      <c r="M302" s="163" t="str">
        <f>CONCATENATE(H302," ",F302,"(обрабатываемая площадь в год)","*",L302," раз в год","*",I302,"/",K302,"чел.")</f>
        <v>600 м2.(обрабатываемая площадь в год)*1 раз в год*0,00185677/56чел.</v>
      </c>
      <c r="N302" s="164">
        <f t="shared" si="66"/>
        <v>300</v>
      </c>
      <c r="O302" s="165">
        <f t="shared" si="67"/>
        <v>5.9681999999999995</v>
      </c>
      <c r="P302" s="166"/>
      <c r="Q302" s="166">
        <f t="shared" si="63"/>
        <v>334.2192</v>
      </c>
      <c r="R302" s="71"/>
    </row>
    <row r="303" spans="1:41" s="61" customFormat="1" ht="47.25" x14ac:dyDescent="0.25">
      <c r="A303" s="358"/>
      <c r="B303" s="361"/>
      <c r="C303" s="366"/>
      <c r="D303" s="156" t="s">
        <v>32</v>
      </c>
      <c r="E303" s="156" t="s">
        <v>55</v>
      </c>
      <c r="F303" s="156" t="s">
        <v>219</v>
      </c>
      <c r="G303" s="238">
        <f>MROUND(H303*L303*I303/K303,0.000000001)</f>
        <v>4.7745510000000001E-3</v>
      </c>
      <c r="H303" s="158">
        <f>H63</f>
        <v>36</v>
      </c>
      <c r="I303" s="159">
        <f t="shared" si="61"/>
        <v>1.85677E-3</v>
      </c>
      <c r="J303" s="160"/>
      <c r="K303" s="161">
        <f t="shared" si="68"/>
        <v>56</v>
      </c>
      <c r="L303" s="250">
        <v>4</v>
      </c>
      <c r="M303" s="163" t="str">
        <f>CONCATENATE(H303," ",F303,"*",L303,"кв.","*",I303,"/",K303,"чел.")</f>
        <v>36 системы*4кв.*0,00185677/56чел.</v>
      </c>
      <c r="N303" s="164">
        <f t="shared" si="66"/>
        <v>6924.5277777777774</v>
      </c>
      <c r="O303" s="165">
        <f t="shared" si="67"/>
        <v>33.061510999999996</v>
      </c>
      <c r="P303" s="166"/>
      <c r="Q303" s="166">
        <f t="shared" si="63"/>
        <v>1851.4446159999998</v>
      </c>
      <c r="R303" s="71"/>
    </row>
    <row r="304" spans="1:41" s="61" customFormat="1" ht="63" x14ac:dyDescent="0.25">
      <c r="A304" s="358"/>
      <c r="B304" s="361"/>
      <c r="C304" s="366"/>
      <c r="D304" s="156" t="s">
        <v>33</v>
      </c>
      <c r="E304" s="156" t="s">
        <v>56</v>
      </c>
      <c r="F304" s="156" t="s">
        <v>220</v>
      </c>
      <c r="G304" s="238">
        <f>MROUND(H304*L304*I304/K304,0.000000001)</f>
        <v>1.1936380000000001E-3</v>
      </c>
      <c r="H304" s="158">
        <f>$H$64</f>
        <v>36</v>
      </c>
      <c r="I304" s="159">
        <f>I303</f>
        <v>1.85677E-3</v>
      </c>
      <c r="J304" s="160"/>
      <c r="K304" s="161">
        <f t="shared" si="68"/>
        <v>56</v>
      </c>
      <c r="L304" s="162">
        <v>1</v>
      </c>
      <c r="M304" s="163" t="str">
        <f>CONCATENATE(H304," ",F304,"*",L304," раз в год","*",I304,"/",K304,"чел.")</f>
        <v>36 дымоходов*1 раз в год*0,00185677/56чел.</v>
      </c>
      <c r="N304" s="164">
        <f t="shared" si="66"/>
        <v>6540</v>
      </c>
      <c r="O304" s="165">
        <f t="shared" si="67"/>
        <v>7.8063929999999999</v>
      </c>
      <c r="P304" s="166"/>
      <c r="Q304" s="166">
        <f t="shared" si="63"/>
        <v>437.158008</v>
      </c>
      <c r="R304" s="71"/>
    </row>
    <row r="305" spans="1:18" s="61" customFormat="1" x14ac:dyDescent="0.25">
      <c r="A305" s="358"/>
      <c r="B305" s="361"/>
      <c r="C305" s="366"/>
      <c r="D305" s="194" t="s">
        <v>398</v>
      </c>
      <c r="E305" s="156" t="s">
        <v>60</v>
      </c>
      <c r="F305" s="156" t="s">
        <v>60</v>
      </c>
      <c r="G305" s="238">
        <f>MROUND(H305*L305*I305/K305,0.000000001)</f>
        <v>1.1604810000000001E-3</v>
      </c>
      <c r="H305" s="246">
        <f t="shared" ref="H305:H315" si="69">H65</f>
        <v>35</v>
      </c>
      <c r="I305" s="159">
        <f t="shared" si="61"/>
        <v>1.85677E-3</v>
      </c>
      <c r="J305" s="160"/>
      <c r="K305" s="161">
        <f t="shared" si="68"/>
        <v>56</v>
      </c>
      <c r="L305" s="250">
        <v>1</v>
      </c>
      <c r="M305" s="163" t="str">
        <f>CONCATENATE(H305," ",F305,"*",I305,"/",K305,"чел.")</f>
        <v>35 шт.*0,00185677/56чел.</v>
      </c>
      <c r="N305" s="164">
        <f t="shared" si="66"/>
        <v>11009</v>
      </c>
      <c r="O305" s="165">
        <f t="shared" si="67"/>
        <v>12.775734999999999</v>
      </c>
      <c r="P305" s="166"/>
      <c r="Q305" s="166">
        <f t="shared" si="63"/>
        <v>715.44115999999997</v>
      </c>
      <c r="R305" s="71"/>
    </row>
    <row r="306" spans="1:18" s="61" customFormat="1" ht="47.25" x14ac:dyDescent="0.25">
      <c r="A306" s="358"/>
      <c r="B306" s="361"/>
      <c r="C306" s="366"/>
      <c r="D306" s="156" t="s">
        <v>401</v>
      </c>
      <c r="E306" s="156" t="s">
        <v>60</v>
      </c>
      <c r="F306" s="156" t="s">
        <v>402</v>
      </c>
      <c r="G306" s="238">
        <f>MROUND(H306*L306*I306/K306,0.000001)</f>
        <v>2.3209999999999997E-3</v>
      </c>
      <c r="H306" s="246">
        <f t="shared" si="69"/>
        <v>35</v>
      </c>
      <c r="I306" s="159">
        <f t="shared" si="61"/>
        <v>1.85677E-3</v>
      </c>
      <c r="J306" s="160"/>
      <c r="K306" s="161">
        <f t="shared" si="68"/>
        <v>56</v>
      </c>
      <c r="L306" s="162">
        <v>2</v>
      </c>
      <c r="M306" s="163" t="str">
        <f>CONCATENATE(H306," ",F306,"*",L306," раз в год","*",I306,"/",K306,"чел.")</f>
        <v>35 противопожарных водопроводов*2 раз в год*0,00185677/56чел.</v>
      </c>
      <c r="N306" s="164">
        <f t="shared" si="66"/>
        <v>5450</v>
      </c>
      <c r="O306" s="165">
        <f t="shared" si="67"/>
        <v>12.64945</v>
      </c>
      <c r="P306" s="166"/>
      <c r="Q306" s="166">
        <f t="shared" si="63"/>
        <v>708.36919999999998</v>
      </c>
      <c r="R306" s="71"/>
    </row>
    <row r="307" spans="1:18" s="61" customFormat="1" ht="31.5" x14ac:dyDescent="0.25">
      <c r="A307" s="358"/>
      <c r="B307" s="361"/>
      <c r="C307" s="366"/>
      <c r="D307" s="156" t="s">
        <v>221</v>
      </c>
      <c r="E307" s="156" t="s">
        <v>60</v>
      </c>
      <c r="F307" s="156" t="s">
        <v>60</v>
      </c>
      <c r="G307" s="238">
        <f>MROUND(H307*L307*I307/K307,0.00000001)</f>
        <v>7.1618300000000001E-3</v>
      </c>
      <c r="H307" s="158">
        <f t="shared" si="69"/>
        <v>18</v>
      </c>
      <c r="I307" s="159">
        <f t="shared" si="61"/>
        <v>1.85677E-3</v>
      </c>
      <c r="J307" s="160"/>
      <c r="K307" s="161">
        <f t="shared" si="68"/>
        <v>56</v>
      </c>
      <c r="L307" s="250">
        <v>12</v>
      </c>
      <c r="M307" s="163" t="str">
        <f>CONCATENATE(H307," ",F307,"*",L307,"мес.","*",I307,"/",K307,"чел.")</f>
        <v>18 шт.*12мес.*0,00185677/56чел.</v>
      </c>
      <c r="N307" s="164">
        <f t="shared" si="66"/>
        <v>6288.0888888888885</v>
      </c>
      <c r="O307" s="165">
        <f t="shared" si="67"/>
        <v>45.034223999999995</v>
      </c>
      <c r="P307" s="166"/>
      <c r="Q307" s="166">
        <f t="shared" si="63"/>
        <v>2521.9165439999997</v>
      </c>
      <c r="R307" s="71"/>
    </row>
    <row r="308" spans="1:18" s="61" customFormat="1" ht="47.25" x14ac:dyDescent="0.25">
      <c r="A308" s="358"/>
      <c r="B308" s="361"/>
      <c r="C308" s="366"/>
      <c r="D308" s="156" t="s">
        <v>34</v>
      </c>
      <c r="E308" s="156" t="s">
        <v>59</v>
      </c>
      <c r="F308" s="156" t="s">
        <v>28</v>
      </c>
      <c r="G308" s="238">
        <f>MROUND(H308*L308*I308/K308,0.0000000001)</f>
        <v>6.6313200000000001E-5</v>
      </c>
      <c r="H308" s="158">
        <f t="shared" si="69"/>
        <v>2</v>
      </c>
      <c r="I308" s="159">
        <f t="shared" si="61"/>
        <v>1.85677E-3</v>
      </c>
      <c r="J308" s="160"/>
      <c r="K308" s="161">
        <f t="shared" si="68"/>
        <v>56</v>
      </c>
      <c r="L308" s="250">
        <v>1</v>
      </c>
      <c r="M308" s="163" t="str">
        <f>CONCATENATE(H308," ",F308,"*",I308,"/",K308,"чел.")</f>
        <v>2 шт*0,00185677/56чел.</v>
      </c>
      <c r="N308" s="164">
        <f t="shared" si="66"/>
        <v>7500</v>
      </c>
      <c r="O308" s="165">
        <f t="shared" si="67"/>
        <v>0.49734899999999999</v>
      </c>
      <c r="P308" s="166"/>
      <c r="Q308" s="166">
        <f t="shared" si="63"/>
        <v>27.851544000000001</v>
      </c>
      <c r="R308" s="71"/>
    </row>
    <row r="309" spans="1:18" s="61" customFormat="1" ht="47.25" x14ac:dyDescent="0.25">
      <c r="A309" s="358"/>
      <c r="B309" s="361"/>
      <c r="C309" s="366"/>
      <c r="D309" s="156" t="s">
        <v>222</v>
      </c>
      <c r="E309" s="156" t="s">
        <v>60</v>
      </c>
      <c r="F309" s="156" t="s">
        <v>60</v>
      </c>
      <c r="G309" s="238">
        <f>MROUND(H309*L309*I309/K309,0.00000000001)</f>
        <v>1.16048125E-3</v>
      </c>
      <c r="H309" s="248">
        <f t="shared" si="69"/>
        <v>35</v>
      </c>
      <c r="I309" s="159">
        <f t="shared" si="61"/>
        <v>1.85677E-3</v>
      </c>
      <c r="J309" s="160"/>
      <c r="K309" s="161">
        <f t="shared" si="68"/>
        <v>56</v>
      </c>
      <c r="L309" s="250">
        <v>1</v>
      </c>
      <c r="M309" s="163" t="str">
        <f>CONCATENATE(H309," ",F309,"*",I309,"/",K309,"чел.")</f>
        <v>35 шт.*0,00185677/56чел.</v>
      </c>
      <c r="N309" s="164">
        <f t="shared" si="66"/>
        <v>8189.7714285714283</v>
      </c>
      <c r="O309" s="165">
        <f>MROUND(G309*N309,0.00000001)</f>
        <v>9.5040761800000002</v>
      </c>
      <c r="P309" s="166"/>
      <c r="Q309" s="166">
        <f t="shared" si="63"/>
        <v>532.22826608000003</v>
      </c>
      <c r="R309" s="71"/>
    </row>
    <row r="310" spans="1:18" s="61" customFormat="1" ht="31.5" x14ac:dyDescent="0.25">
      <c r="A310" s="358"/>
      <c r="B310" s="361"/>
      <c r="C310" s="366"/>
      <c r="D310" s="156" t="s">
        <v>35</v>
      </c>
      <c r="E310" s="156" t="s">
        <v>102</v>
      </c>
      <c r="F310" s="156" t="s">
        <v>223</v>
      </c>
      <c r="G310" s="238">
        <f>MROUND(H310*L310*I310/K310,0.00000001)</f>
        <v>1.16048E-3</v>
      </c>
      <c r="H310" s="158">
        <f t="shared" si="69"/>
        <v>35</v>
      </c>
      <c r="I310" s="159">
        <f>I308</f>
        <v>1.85677E-3</v>
      </c>
      <c r="J310" s="160"/>
      <c r="K310" s="161">
        <f>K308</f>
        <v>56</v>
      </c>
      <c r="L310" s="250">
        <v>1</v>
      </c>
      <c r="M310" s="163" t="str">
        <f>CONCATENATE(H310," ",F310,"*",I310,"/",K310,"чел.")</f>
        <v>35 замеров*0,00185677/56чел.</v>
      </c>
      <c r="N310" s="164">
        <f t="shared" si="66"/>
        <v>20142.857142857141</v>
      </c>
      <c r="O310" s="165">
        <f t="shared" si="67"/>
        <v>23.375382999999999</v>
      </c>
      <c r="P310" s="166"/>
      <c r="Q310" s="166">
        <f t="shared" si="63"/>
        <v>1309.021448</v>
      </c>
      <c r="R310" s="71"/>
    </row>
    <row r="311" spans="1:18" s="61" customFormat="1" ht="47.25" x14ac:dyDescent="0.25">
      <c r="A311" s="358"/>
      <c r="B311" s="361"/>
      <c r="C311" s="366"/>
      <c r="D311" s="156" t="s">
        <v>399</v>
      </c>
      <c r="E311" s="156" t="s">
        <v>60</v>
      </c>
      <c r="F311" s="156" t="s">
        <v>60</v>
      </c>
      <c r="G311" s="238">
        <f>MROUND(H311*L311*I311/K311,0.000000001)</f>
        <v>1.1604813E-2</v>
      </c>
      <c r="H311" s="158">
        <f t="shared" si="69"/>
        <v>35</v>
      </c>
      <c r="I311" s="159">
        <f t="shared" si="61"/>
        <v>1.85677E-3</v>
      </c>
      <c r="J311" s="160"/>
      <c r="K311" s="161">
        <f>K310</f>
        <v>56</v>
      </c>
      <c r="L311" s="250">
        <v>10</v>
      </c>
      <c r="M311" s="163" t="str">
        <f>CONCATENATE(H311," ",F311,"*",L311,"мес.","*",I311,"/",K311,"чел.")</f>
        <v>35 шт.*10мес.*0,00185677/56чел.</v>
      </c>
      <c r="N311" s="164">
        <f t="shared" si="66"/>
        <v>3107.903028571428</v>
      </c>
      <c r="O311" s="165">
        <f t="shared" si="67"/>
        <v>36.066632999999996</v>
      </c>
      <c r="P311" s="166"/>
      <c r="Q311" s="166">
        <f t="shared" si="63"/>
        <v>2019.7314479999998</v>
      </c>
      <c r="R311" s="71"/>
    </row>
    <row r="312" spans="1:18" s="61" customFormat="1" ht="47.25" x14ac:dyDescent="0.25">
      <c r="A312" s="358"/>
      <c r="B312" s="361"/>
      <c r="C312" s="366"/>
      <c r="D312" s="156" t="s">
        <v>36</v>
      </c>
      <c r="E312" s="156" t="s">
        <v>31</v>
      </c>
      <c r="F312" s="156" t="s">
        <v>224</v>
      </c>
      <c r="G312" s="238">
        <f>MROUND(H312*L312*I312/K312,0.00000001)</f>
        <v>1.432365E-2</v>
      </c>
      <c r="H312" s="158">
        <f t="shared" si="69"/>
        <v>36</v>
      </c>
      <c r="I312" s="159">
        <f t="shared" si="61"/>
        <v>1.85677E-3</v>
      </c>
      <c r="J312" s="160"/>
      <c r="K312" s="161">
        <f>K311</f>
        <v>56</v>
      </c>
      <c r="L312" s="250">
        <v>12</v>
      </c>
      <c r="M312" s="163" t="str">
        <f>CONCATENATE(H312," ",F312,"*",L312,"мес.","*",I312,"/",K312,"чел.")</f>
        <v>36 устройств*12мес.*0,00185677/56чел.</v>
      </c>
      <c r="N312" s="164">
        <f t="shared" si="66"/>
        <v>2200</v>
      </c>
      <c r="O312" s="165">
        <f t="shared" si="67"/>
        <v>31.512029999999999</v>
      </c>
      <c r="P312" s="166"/>
      <c r="Q312" s="166">
        <f t="shared" si="63"/>
        <v>1764.6736799999999</v>
      </c>
      <c r="R312" s="71"/>
    </row>
    <row r="313" spans="1:18" s="61" customFormat="1" ht="31.5" x14ac:dyDescent="0.25">
      <c r="A313" s="358"/>
      <c r="B313" s="361"/>
      <c r="C313" s="366"/>
      <c r="D313" s="156" t="s">
        <v>99</v>
      </c>
      <c r="E313" s="156" t="s">
        <v>103</v>
      </c>
      <c r="F313" s="156" t="s">
        <v>225</v>
      </c>
      <c r="G313" s="238">
        <f>MROUND(H313*L313*I313/K313,0.00000001)</f>
        <v>1.259951E-2</v>
      </c>
      <c r="H313" s="158">
        <f t="shared" si="69"/>
        <v>380</v>
      </c>
      <c r="I313" s="159">
        <f t="shared" si="61"/>
        <v>1.85677E-3</v>
      </c>
      <c r="J313" s="160"/>
      <c r="K313" s="161">
        <f>K312</f>
        <v>56</v>
      </c>
      <c r="L313" s="250">
        <v>1</v>
      </c>
      <c r="M313" s="163" t="str">
        <f>CONCATENATE(H313," ",F313,"*",I313,"/",K313,"чел.")</f>
        <v>380 ед.*0,00185677/56чел.</v>
      </c>
      <c r="N313" s="164">
        <f t="shared" si="66"/>
        <v>15000</v>
      </c>
      <c r="O313" s="165">
        <f t="shared" si="67"/>
        <v>188.99265</v>
      </c>
      <c r="P313" s="166"/>
      <c r="Q313" s="166">
        <f t="shared" si="63"/>
        <v>10583.588400000001</v>
      </c>
      <c r="R313" s="71"/>
    </row>
    <row r="314" spans="1:18" s="61" customFormat="1" x14ac:dyDescent="0.25">
      <c r="A314" s="358"/>
      <c r="B314" s="361"/>
      <c r="C314" s="366"/>
      <c r="D314" s="156" t="s">
        <v>27</v>
      </c>
      <c r="E314" s="156" t="s">
        <v>28</v>
      </c>
      <c r="F314" s="156" t="s">
        <v>28</v>
      </c>
      <c r="G314" s="238">
        <f>MROUND(H314*L314*I314/K314,0.000000001)</f>
        <v>0.18949001000000001</v>
      </c>
      <c r="H314" s="160">
        <f t="shared" si="69"/>
        <v>5715</v>
      </c>
      <c r="I314" s="159">
        <f t="shared" si="61"/>
        <v>1.85677E-3</v>
      </c>
      <c r="J314" s="160"/>
      <c r="K314" s="161">
        <f>K313</f>
        <v>56</v>
      </c>
      <c r="L314" s="250">
        <v>1</v>
      </c>
      <c r="M314" s="163" t="str">
        <f>CONCATENATE(H314," ",F314,"*",I314,"/",K314,"чел.")</f>
        <v>5715 шт*0,00185677/56чел.</v>
      </c>
      <c r="N314" s="164">
        <f>N194</f>
        <v>400</v>
      </c>
      <c r="O314" s="165">
        <f t="shared" si="67"/>
        <v>75.796003999999996</v>
      </c>
      <c r="P314" s="166"/>
      <c r="Q314" s="166">
        <f t="shared" si="63"/>
        <v>4244.5762239999995</v>
      </c>
      <c r="R314" s="71"/>
    </row>
    <row r="315" spans="1:18" s="61" customFormat="1" ht="31.5" x14ac:dyDescent="0.25">
      <c r="A315" s="358"/>
      <c r="B315" s="361"/>
      <c r="C315" s="367"/>
      <c r="D315" s="156" t="s">
        <v>104</v>
      </c>
      <c r="E315" s="156" t="s">
        <v>105</v>
      </c>
      <c r="F315" s="156" t="s">
        <v>226</v>
      </c>
      <c r="G315" s="238">
        <f>MROUND(H315*L315*I315/K315,0.00000001)</f>
        <v>1.1936399999999999E-3</v>
      </c>
      <c r="H315" s="160">
        <f t="shared" si="69"/>
        <v>36</v>
      </c>
      <c r="I315" s="159">
        <f t="shared" si="61"/>
        <v>1.85677E-3</v>
      </c>
      <c r="J315" s="160"/>
      <c r="K315" s="161">
        <f>K314</f>
        <v>56</v>
      </c>
      <c r="L315" s="250">
        <v>1</v>
      </c>
      <c r="M315" s="163" t="str">
        <f>CONCATENATE(H315," ",F315,"*",I315,"/",K315,"чел.")</f>
        <v>36 отключений*0,00185677/56чел.</v>
      </c>
      <c r="N315" s="164">
        <f>N75</f>
        <v>9810</v>
      </c>
      <c r="O315" s="165">
        <f t="shared" si="67"/>
        <v>11.709607999999999</v>
      </c>
      <c r="P315" s="166"/>
      <c r="Q315" s="166">
        <f t="shared" si="63"/>
        <v>655.73804799999994</v>
      </c>
      <c r="R315" s="71"/>
    </row>
    <row r="316" spans="1:18" s="61" customFormat="1" x14ac:dyDescent="0.25">
      <c r="A316" s="358"/>
      <c r="B316" s="361"/>
      <c r="C316" s="249" t="s">
        <v>304</v>
      </c>
      <c r="D316" s="240"/>
      <c r="E316" s="240"/>
      <c r="F316" s="240"/>
      <c r="G316" s="227"/>
      <c r="H316" s="228"/>
      <c r="I316" s="206"/>
      <c r="J316" s="228"/>
      <c r="K316" s="207"/>
      <c r="L316" s="257"/>
      <c r="M316" s="209"/>
      <c r="N316" s="210"/>
      <c r="O316" s="198">
        <f>SUM(O300:O315)</f>
        <v>496.90303217999997</v>
      </c>
      <c r="P316" s="166"/>
      <c r="Q316" s="166"/>
      <c r="R316" s="71"/>
    </row>
    <row r="317" spans="1:18" s="61" customFormat="1" ht="31.5" x14ac:dyDescent="0.25">
      <c r="A317" s="358"/>
      <c r="B317" s="361"/>
      <c r="C317" s="221" t="s">
        <v>79</v>
      </c>
      <c r="D317" s="156" t="s">
        <v>37</v>
      </c>
      <c r="E317" s="156" t="s">
        <v>61</v>
      </c>
      <c r="F317" s="156" t="s">
        <v>227</v>
      </c>
      <c r="G317" s="238">
        <f>MROUND(H317*L317*I317/K317,0.000000001)</f>
        <v>1.32626E-4</v>
      </c>
      <c r="H317" s="158">
        <f>H77</f>
        <v>4</v>
      </c>
      <c r="I317" s="159">
        <f>I315</f>
        <v>1.85677E-3</v>
      </c>
      <c r="J317" s="160"/>
      <c r="K317" s="161">
        <f>K315</f>
        <v>56</v>
      </c>
      <c r="L317" s="250">
        <v>1</v>
      </c>
      <c r="M317" s="163" t="str">
        <f>CONCATENATE(H317," ",F317,"*",I317,"/",K317,"чел.")</f>
        <v>4 автобуса*0,00185677/56чел.</v>
      </c>
      <c r="N317" s="164">
        <f>N77</f>
        <v>93408.640000000014</v>
      </c>
      <c r="O317" s="165">
        <f>MROUND(G317*N317,0.000001)</f>
        <v>12.388413999999999</v>
      </c>
      <c r="P317" s="166"/>
      <c r="Q317" s="166">
        <f t="shared" si="63"/>
        <v>693.75118399999997</v>
      </c>
      <c r="R317" s="71"/>
    </row>
    <row r="318" spans="1:18" s="61" customFormat="1" x14ac:dyDescent="0.25">
      <c r="A318" s="358"/>
      <c r="B318" s="361"/>
      <c r="C318" s="218" t="s">
        <v>305</v>
      </c>
      <c r="D318" s="240"/>
      <c r="E318" s="240"/>
      <c r="F318" s="240"/>
      <c r="G318" s="227"/>
      <c r="H318" s="241"/>
      <c r="I318" s="206"/>
      <c r="J318" s="228"/>
      <c r="K318" s="207"/>
      <c r="L318" s="257"/>
      <c r="M318" s="209"/>
      <c r="N318" s="210"/>
      <c r="O318" s="198">
        <f>SUM(O317)</f>
        <v>12.388413999999999</v>
      </c>
      <c r="P318" s="166"/>
      <c r="Q318" s="166"/>
      <c r="R318" s="71"/>
    </row>
    <row r="319" spans="1:18" s="61" customFormat="1" x14ac:dyDescent="0.25">
      <c r="A319" s="358"/>
      <c r="B319" s="361"/>
      <c r="C319" s="364" t="s">
        <v>80</v>
      </c>
      <c r="D319" s="156" t="s">
        <v>38</v>
      </c>
      <c r="E319" s="156" t="s">
        <v>57</v>
      </c>
      <c r="F319" s="156" t="s">
        <v>228</v>
      </c>
      <c r="G319" s="238">
        <f>MROUND(H319*L319*I319/K319,0.0000000001)</f>
        <v>1.43236543E-2</v>
      </c>
      <c r="H319" s="158">
        <f t="shared" ref="H319:H330" si="70">H79</f>
        <v>36</v>
      </c>
      <c r="I319" s="159">
        <f>I317</f>
        <v>1.85677E-3</v>
      </c>
      <c r="J319" s="160"/>
      <c r="K319" s="161">
        <f>K317</f>
        <v>56</v>
      </c>
      <c r="L319" s="250">
        <v>12</v>
      </c>
      <c r="M319" s="163" t="str">
        <f>CONCATENATE(H319," ",F319,"*",L319,"мес.","*",I319,"/",K319,"чел.")</f>
        <v>36 зданий*12мес.*0,00185677/56чел.</v>
      </c>
      <c r="N319" s="164">
        <f t="shared" ref="N319:N330" si="71">N79</f>
        <v>4694.6300000000019</v>
      </c>
      <c r="O319" s="165">
        <f>MROUND(G319*N319,0.000001)</f>
        <v>67.24425699999999</v>
      </c>
      <c r="P319" s="166"/>
      <c r="Q319" s="166">
        <f t="shared" si="63"/>
        <v>3765.6783919999993</v>
      </c>
      <c r="R319" s="71"/>
    </row>
    <row r="320" spans="1:18" s="61" customFormat="1" ht="47.25" x14ac:dyDescent="0.25">
      <c r="A320" s="358"/>
      <c r="B320" s="361"/>
      <c r="C320" s="364"/>
      <c r="D320" s="156" t="s">
        <v>229</v>
      </c>
      <c r="E320" s="156" t="s">
        <v>60</v>
      </c>
      <c r="F320" s="156" t="s">
        <v>60</v>
      </c>
      <c r="G320" s="238">
        <f>MROUND(H320*L320*I320/K320,0.000001)</f>
        <v>7.9377000000000003E-2</v>
      </c>
      <c r="H320" s="158">
        <f t="shared" si="70"/>
        <v>2394</v>
      </c>
      <c r="I320" s="159">
        <f t="shared" si="61"/>
        <v>1.85677E-3</v>
      </c>
      <c r="J320" s="160"/>
      <c r="K320" s="161">
        <f>K319</f>
        <v>56</v>
      </c>
      <c r="L320" s="250">
        <v>1</v>
      </c>
      <c r="M320" s="163" t="str">
        <f t="shared" ref="M320:M327" si="72">CONCATENATE(H320," ",F320,"*",I320,"/",K320,"чел.")</f>
        <v>2394 шт.*0,00185677/56чел.</v>
      </c>
      <c r="N320" s="164">
        <f t="shared" si="71"/>
        <v>163.5</v>
      </c>
      <c r="O320" s="165">
        <f>MROUND(G320*N320,0.000001)</f>
        <v>12.97814</v>
      </c>
      <c r="P320" s="166"/>
      <c r="Q320" s="166">
        <f t="shared" si="63"/>
        <v>726.77584000000002</v>
      </c>
      <c r="R320" s="71"/>
    </row>
    <row r="321" spans="1:18" s="61" customFormat="1" ht="47.25" x14ac:dyDescent="0.25">
      <c r="A321" s="358"/>
      <c r="B321" s="361"/>
      <c r="C321" s="364"/>
      <c r="D321" s="156" t="s">
        <v>405</v>
      </c>
      <c r="E321" s="156" t="s">
        <v>60</v>
      </c>
      <c r="F321" s="156" t="s">
        <v>406</v>
      </c>
      <c r="G321" s="238">
        <f>MROUND(H321*L321*I321/K321,0.00000001)</f>
        <v>1.1936399999999999E-3</v>
      </c>
      <c r="H321" s="158">
        <f t="shared" si="70"/>
        <v>36</v>
      </c>
      <c r="I321" s="159">
        <f t="shared" si="61"/>
        <v>1.85677E-3</v>
      </c>
      <c r="J321" s="160"/>
      <c r="K321" s="161">
        <f>K320</f>
        <v>56</v>
      </c>
      <c r="L321" s="250">
        <v>1</v>
      </c>
      <c r="M321" s="163" t="str">
        <f t="shared" si="72"/>
        <v>36 лицензий*0,00185677/56чел.</v>
      </c>
      <c r="N321" s="164">
        <f t="shared" si="71"/>
        <v>11990</v>
      </c>
      <c r="O321" s="165">
        <f t="shared" ref="O321:O330" si="73">MROUND(G321*N321,0.000001)</f>
        <v>14.311743999999999</v>
      </c>
      <c r="P321" s="166"/>
      <c r="Q321" s="166">
        <f t="shared" si="63"/>
        <v>801.45766399999991</v>
      </c>
      <c r="R321" s="71"/>
    </row>
    <row r="322" spans="1:18" s="61" customFormat="1" ht="63" x14ac:dyDescent="0.25">
      <c r="A322" s="358"/>
      <c r="B322" s="361"/>
      <c r="C322" s="364"/>
      <c r="D322" s="156" t="s">
        <v>39</v>
      </c>
      <c r="E322" s="156" t="s">
        <v>20</v>
      </c>
      <c r="F322" s="156" t="s">
        <v>234</v>
      </c>
      <c r="G322" s="238">
        <f>MROUND(H322*L322*I322/K322,0.000000001)</f>
        <v>3.9124800000000003E-3</v>
      </c>
      <c r="H322" s="158">
        <f t="shared" si="70"/>
        <v>118</v>
      </c>
      <c r="I322" s="159">
        <f>I320</f>
        <v>1.85677E-3</v>
      </c>
      <c r="J322" s="160"/>
      <c r="K322" s="161">
        <f>K320</f>
        <v>56</v>
      </c>
      <c r="L322" s="250">
        <v>1</v>
      </c>
      <c r="M322" s="163" t="str">
        <f t="shared" si="72"/>
        <v>118 чел(заявленная потребность руководителями учреждений)*0,00185677/56чел.</v>
      </c>
      <c r="N322" s="164">
        <f t="shared" si="71"/>
        <v>763</v>
      </c>
      <c r="O322" s="165">
        <f t="shared" si="73"/>
        <v>2.9852219999999998</v>
      </c>
      <c r="P322" s="166"/>
      <c r="Q322" s="166">
        <f t="shared" si="63"/>
        <v>167.17243199999999</v>
      </c>
      <c r="R322" s="71"/>
    </row>
    <row r="323" spans="1:18" s="61" customFormat="1" ht="63" x14ac:dyDescent="0.25">
      <c r="A323" s="358"/>
      <c r="B323" s="361"/>
      <c r="C323" s="364"/>
      <c r="D323" s="156" t="s">
        <v>40</v>
      </c>
      <c r="E323" s="156" t="s">
        <v>20</v>
      </c>
      <c r="F323" s="156" t="s">
        <v>234</v>
      </c>
      <c r="G323" s="238">
        <f>MROUND(H323*L323*I323/K323,0.000000001)</f>
        <v>3.2825040000000003E-3</v>
      </c>
      <c r="H323" s="158">
        <f t="shared" si="70"/>
        <v>99</v>
      </c>
      <c r="I323" s="159">
        <f t="shared" si="61"/>
        <v>1.85677E-3</v>
      </c>
      <c r="J323" s="160"/>
      <c r="K323" s="161">
        <f t="shared" ref="K323:K330" si="74">K322</f>
        <v>56</v>
      </c>
      <c r="L323" s="250">
        <v>1</v>
      </c>
      <c r="M323" s="163" t="str">
        <f t="shared" si="72"/>
        <v>99 чел(заявленная потребность руководителями учреждений)*0,00185677/56чел.</v>
      </c>
      <c r="N323" s="164">
        <f t="shared" si="71"/>
        <v>1585.4545454545455</v>
      </c>
      <c r="O323" s="165">
        <f t="shared" si="73"/>
        <v>5.2042609999999998</v>
      </c>
      <c r="P323" s="166"/>
      <c r="Q323" s="166">
        <f t="shared" si="63"/>
        <v>291.43861599999997</v>
      </c>
      <c r="R323" s="71"/>
    </row>
    <row r="324" spans="1:18" s="61" customFormat="1" ht="63" x14ac:dyDescent="0.25">
      <c r="A324" s="358"/>
      <c r="B324" s="361"/>
      <c r="C324" s="364"/>
      <c r="D324" s="156" t="s">
        <v>100</v>
      </c>
      <c r="E324" s="156" t="s">
        <v>20</v>
      </c>
      <c r="F324" s="156" t="s">
        <v>234</v>
      </c>
      <c r="G324" s="238">
        <f>MROUND(H324*L324*I324/K324,0.000000001)</f>
        <v>2.6856850000000002E-3</v>
      </c>
      <c r="H324" s="158">
        <f t="shared" si="70"/>
        <v>81</v>
      </c>
      <c r="I324" s="159">
        <f t="shared" si="61"/>
        <v>1.85677E-3</v>
      </c>
      <c r="J324" s="160"/>
      <c r="K324" s="161">
        <f t="shared" si="74"/>
        <v>56</v>
      </c>
      <c r="L324" s="250">
        <v>1</v>
      </c>
      <c r="M324" s="163" t="str">
        <f t="shared" si="72"/>
        <v>81 чел(заявленная потребность руководителями учреждений)*0,00185677/56чел.</v>
      </c>
      <c r="N324" s="164">
        <f t="shared" si="71"/>
        <v>3488</v>
      </c>
      <c r="O324" s="165">
        <f t="shared" si="73"/>
        <v>9.3676689999999994</v>
      </c>
      <c r="P324" s="166"/>
      <c r="Q324" s="166">
        <f t="shared" si="63"/>
        <v>524.58946399999991</v>
      </c>
      <c r="R324" s="71"/>
    </row>
    <row r="325" spans="1:18" s="61" customFormat="1" ht="110.25" x14ac:dyDescent="0.25">
      <c r="A325" s="358"/>
      <c r="B325" s="361"/>
      <c r="C325" s="364"/>
      <c r="D325" s="156" t="s">
        <v>235</v>
      </c>
      <c r="E325" s="156" t="s">
        <v>50</v>
      </c>
      <c r="F325" s="156" t="s">
        <v>230</v>
      </c>
      <c r="G325" s="238">
        <f>MROUND(H325*L325*I325/K325,0.00000001)</f>
        <v>1.1936399999999999E-3</v>
      </c>
      <c r="H325" s="158">
        <f t="shared" si="70"/>
        <v>36</v>
      </c>
      <c r="I325" s="159">
        <f t="shared" si="61"/>
        <v>1.85677E-3</v>
      </c>
      <c r="J325" s="160"/>
      <c r="K325" s="161">
        <f t="shared" si="74"/>
        <v>56</v>
      </c>
      <c r="L325" s="250">
        <v>1</v>
      </c>
      <c r="M325" s="163" t="str">
        <f t="shared" si="72"/>
        <v>36 отчетов*0,00185677/56чел.</v>
      </c>
      <c r="N325" s="164">
        <f t="shared" si="71"/>
        <v>6540</v>
      </c>
      <c r="O325" s="165">
        <f t="shared" si="73"/>
        <v>7.806406</v>
      </c>
      <c r="P325" s="166"/>
      <c r="Q325" s="166">
        <f t="shared" si="63"/>
        <v>437.15873599999998</v>
      </c>
      <c r="R325" s="71"/>
    </row>
    <row r="326" spans="1:18" s="61" customFormat="1" ht="63" x14ac:dyDescent="0.25">
      <c r="A326" s="358"/>
      <c r="B326" s="361"/>
      <c r="C326" s="364"/>
      <c r="D326" s="156" t="s">
        <v>42</v>
      </c>
      <c r="E326" s="156" t="s">
        <v>51</v>
      </c>
      <c r="F326" s="156" t="s">
        <v>407</v>
      </c>
      <c r="G326" s="238">
        <f>MROUND(H326*L326*I326/K326,0.000001)</f>
        <v>6.764E-3</v>
      </c>
      <c r="H326" s="158">
        <f t="shared" si="70"/>
        <v>204</v>
      </c>
      <c r="I326" s="159">
        <f t="shared" si="61"/>
        <v>1.85677E-3</v>
      </c>
      <c r="J326" s="160"/>
      <c r="K326" s="161">
        <f t="shared" si="74"/>
        <v>56</v>
      </c>
      <c r="L326" s="250">
        <v>1</v>
      </c>
      <c r="M326" s="163" t="str">
        <f t="shared" si="72"/>
        <v>204 ед (заявленная потребность руководителями учреждений)*0,00185677/56чел.</v>
      </c>
      <c r="N326" s="164">
        <f t="shared" si="71"/>
        <v>1090</v>
      </c>
      <c r="O326" s="165">
        <f t="shared" si="73"/>
        <v>7.3727599999999995</v>
      </c>
      <c r="P326" s="166"/>
      <c r="Q326" s="166">
        <f t="shared" si="63"/>
        <v>412.87455999999997</v>
      </c>
      <c r="R326" s="71"/>
    </row>
    <row r="327" spans="1:18" s="61" customFormat="1" ht="31.5" x14ac:dyDescent="0.25">
      <c r="A327" s="358"/>
      <c r="B327" s="361"/>
      <c r="C327" s="364"/>
      <c r="D327" s="156" t="s">
        <v>43</v>
      </c>
      <c r="E327" s="156" t="s">
        <v>52</v>
      </c>
      <c r="F327" s="156" t="s">
        <v>231</v>
      </c>
      <c r="G327" s="238">
        <f>MROUND(H327*L327*I327/K327,0.000000001)</f>
        <v>1.1936380000000001E-3</v>
      </c>
      <c r="H327" s="158">
        <f t="shared" si="70"/>
        <v>36</v>
      </c>
      <c r="I327" s="159">
        <f t="shared" si="61"/>
        <v>1.85677E-3</v>
      </c>
      <c r="J327" s="160"/>
      <c r="K327" s="161">
        <f t="shared" si="74"/>
        <v>56</v>
      </c>
      <c r="L327" s="250">
        <v>1</v>
      </c>
      <c r="M327" s="163" t="str">
        <f t="shared" si="72"/>
        <v>36 ЭЦП*0,00185677/56чел.</v>
      </c>
      <c r="N327" s="164">
        <f t="shared" si="71"/>
        <v>7743.3599999999924</v>
      </c>
      <c r="O327" s="165">
        <f t="shared" si="73"/>
        <v>9.2427689999999991</v>
      </c>
      <c r="P327" s="166"/>
      <c r="Q327" s="166">
        <f t="shared" si="63"/>
        <v>517.59506399999998</v>
      </c>
      <c r="R327" s="71"/>
    </row>
    <row r="328" spans="1:18" s="61" customFormat="1" ht="47.25" x14ac:dyDescent="0.25">
      <c r="A328" s="358"/>
      <c r="B328" s="361"/>
      <c r="C328" s="364"/>
      <c r="D328" s="156" t="s">
        <v>44</v>
      </c>
      <c r="E328" s="156" t="s">
        <v>85</v>
      </c>
      <c r="F328" s="156" t="s">
        <v>232</v>
      </c>
      <c r="G328" s="238">
        <f>MROUND(H328*L328*I328/K328,0.000001)</f>
        <v>4.0318E-2</v>
      </c>
      <c r="H328" s="158">
        <f t="shared" si="70"/>
        <v>1216</v>
      </c>
      <c r="I328" s="159">
        <f t="shared" si="61"/>
        <v>1.85677E-3</v>
      </c>
      <c r="J328" s="160"/>
      <c r="K328" s="161">
        <f t="shared" si="74"/>
        <v>56</v>
      </c>
      <c r="L328" s="250">
        <v>1</v>
      </c>
      <c r="M328" s="163" t="str">
        <f>CONCATENATE(H328," ",F328,"*",L328,"мес.","*",I328,"/",K328,"чел.")</f>
        <v>1216 мед.осмотров в мес.*1мес.*0,00185677/56чел.</v>
      </c>
      <c r="N328" s="164">
        <f t="shared" si="71"/>
        <v>56.680000000000007</v>
      </c>
      <c r="O328" s="165">
        <f t="shared" si="73"/>
        <v>2.2852239999999999</v>
      </c>
      <c r="P328" s="166"/>
      <c r="Q328" s="166">
        <f t="shared" si="63"/>
        <v>127.972544</v>
      </c>
      <c r="R328" s="71"/>
    </row>
    <row r="329" spans="1:18" s="61" customFormat="1" ht="63" x14ac:dyDescent="0.25">
      <c r="A329" s="358"/>
      <c r="B329" s="361"/>
      <c r="C329" s="364"/>
      <c r="D329" s="156" t="s">
        <v>45</v>
      </c>
      <c r="E329" s="156" t="s">
        <v>53</v>
      </c>
      <c r="F329" s="156" t="s">
        <v>233</v>
      </c>
      <c r="G329" s="238">
        <f>MROUND(H329*L329*I329/K329,0.000000001)</f>
        <v>1.5915170000000002E-3</v>
      </c>
      <c r="H329" s="158">
        <f t="shared" si="70"/>
        <v>4</v>
      </c>
      <c r="I329" s="159">
        <f t="shared" si="61"/>
        <v>1.85677E-3</v>
      </c>
      <c r="J329" s="160"/>
      <c r="K329" s="161">
        <f t="shared" si="74"/>
        <v>56</v>
      </c>
      <c r="L329" s="250">
        <v>12</v>
      </c>
      <c r="M329" s="163" t="str">
        <f>CONCATENATE(H329," ",F329,"*",L329,"мес.","*",I329,"/",K329,"чел.")</f>
        <v>4  машины, оборудованных системой ГЛОНАСС*12мес.*0,00185677/56чел.</v>
      </c>
      <c r="N329" s="164">
        <f t="shared" si="71"/>
        <v>880.71999999999991</v>
      </c>
      <c r="O329" s="165">
        <f t="shared" si="73"/>
        <v>1.401681</v>
      </c>
      <c r="P329" s="166"/>
      <c r="Q329" s="166">
        <f t="shared" si="63"/>
        <v>78.494135999999997</v>
      </c>
      <c r="R329" s="71"/>
    </row>
    <row r="330" spans="1:18" s="61" customFormat="1" ht="31.5" x14ac:dyDescent="0.25">
      <c r="A330" s="358"/>
      <c r="B330" s="361"/>
      <c r="C330" s="364"/>
      <c r="D330" s="156" t="s">
        <v>408</v>
      </c>
      <c r="E330" s="156" t="s">
        <v>20</v>
      </c>
      <c r="F330" s="156" t="s">
        <v>20</v>
      </c>
      <c r="G330" s="238">
        <f>MROUND(H330*L330*I330/K330,0.000000001)</f>
        <v>5.6764111000000006E-2</v>
      </c>
      <c r="H330" s="158">
        <f t="shared" si="70"/>
        <v>1712</v>
      </c>
      <c r="I330" s="159">
        <f t="shared" si="61"/>
        <v>1.85677E-3</v>
      </c>
      <c r="J330" s="160"/>
      <c r="K330" s="161">
        <f t="shared" si="74"/>
        <v>56</v>
      </c>
      <c r="L330" s="250">
        <v>1</v>
      </c>
      <c r="M330" s="163" t="str">
        <f>CONCATENATE(H330," ",F330,"*",L330," раз в год","*",I330,"/",K330,"чел.")</f>
        <v>1712 чел.*1 раз в год*0,00185677/56чел.</v>
      </c>
      <c r="N330" s="164">
        <f t="shared" si="71"/>
        <v>545</v>
      </c>
      <c r="O330" s="165">
        <f t="shared" si="73"/>
        <v>30.936439999999997</v>
      </c>
      <c r="P330" s="166"/>
      <c r="Q330" s="166">
        <f t="shared" si="63"/>
        <v>1732.4406399999998</v>
      </c>
      <c r="R330" s="71"/>
    </row>
    <row r="331" spans="1:18" s="61" customFormat="1" x14ac:dyDescent="0.25">
      <c r="A331" s="358"/>
      <c r="B331" s="361"/>
      <c r="C331" s="364"/>
      <c r="D331" s="156" t="s">
        <v>373</v>
      </c>
      <c r="E331" s="156" t="s">
        <v>28</v>
      </c>
      <c r="F331" s="156" t="s">
        <v>28</v>
      </c>
      <c r="G331" s="157">
        <f>MROUND(H331*L331*I331/K331,0.000000001)</f>
        <v>1.1936380000000001E-3</v>
      </c>
      <c r="H331" s="158">
        <f>H92</f>
        <v>36</v>
      </c>
      <c r="I331" s="159">
        <f>I329</f>
        <v>1.85677E-3</v>
      </c>
      <c r="J331" s="160"/>
      <c r="K331" s="161">
        <f>K329</f>
        <v>56</v>
      </c>
      <c r="L331" s="162">
        <v>1</v>
      </c>
      <c r="M331" s="163" t="str">
        <f>CONCATENATE(H331," ",F331,"*",L331,"мес.","*",I331,"/",K331,"чел.")</f>
        <v>36 шт*1мес.*0,00185677/56чел.</v>
      </c>
      <c r="N331" s="164">
        <f>N92</f>
        <v>24000</v>
      </c>
      <c r="O331" s="165">
        <f>MROUND(G331*N331,0.000000001)</f>
        <v>28.647312000000003</v>
      </c>
      <c r="P331" s="166"/>
      <c r="Q331" s="166">
        <f t="shared" si="63"/>
        <v>1604.2494720000002</v>
      </c>
      <c r="R331" s="71"/>
    </row>
    <row r="332" spans="1:18" s="61" customFormat="1" ht="31.5" x14ac:dyDescent="0.25">
      <c r="A332" s="358"/>
      <c r="B332" s="361"/>
      <c r="C332" s="376"/>
      <c r="D332" s="156" t="s">
        <v>106</v>
      </c>
      <c r="E332" s="156" t="s">
        <v>107</v>
      </c>
      <c r="F332" s="156"/>
      <c r="G332" s="238">
        <f>MROUND(H332*L332*I332/K332,0.000000001)</f>
        <v>0</v>
      </c>
      <c r="H332" s="158">
        <f>H91</f>
        <v>0</v>
      </c>
      <c r="I332" s="159">
        <f>I329</f>
        <v>1.85677E-3</v>
      </c>
      <c r="J332" s="160"/>
      <c r="K332" s="161">
        <f>K329</f>
        <v>56</v>
      </c>
      <c r="L332" s="250">
        <f>L91</f>
        <v>0</v>
      </c>
      <c r="M332" s="163"/>
      <c r="N332" s="164">
        <f>N91</f>
        <v>1256.0400600000007</v>
      </c>
      <c r="O332" s="165">
        <f>MROUND(G332*N332,0.000000001)</f>
        <v>0</v>
      </c>
      <c r="P332" s="166"/>
      <c r="Q332" s="166">
        <f t="shared" si="63"/>
        <v>0</v>
      </c>
      <c r="R332" s="71"/>
    </row>
    <row r="333" spans="1:18" s="61" customFormat="1" x14ac:dyDescent="0.25">
      <c r="A333" s="358"/>
      <c r="B333" s="361"/>
      <c r="C333" s="245" t="s">
        <v>296</v>
      </c>
      <c r="D333" s="240"/>
      <c r="E333" s="240"/>
      <c r="F333" s="240"/>
      <c r="G333" s="227"/>
      <c r="H333" s="241"/>
      <c r="I333" s="206"/>
      <c r="J333" s="228"/>
      <c r="K333" s="207"/>
      <c r="L333" s="257"/>
      <c r="M333" s="209"/>
      <c r="N333" s="210"/>
      <c r="O333" s="198">
        <f>SUM(O319:O332)</f>
        <v>199.78388499999997</v>
      </c>
      <c r="P333" s="166"/>
      <c r="Q333" s="166"/>
      <c r="R333" s="71"/>
    </row>
    <row r="334" spans="1:18" s="61" customFormat="1" ht="31.5" x14ac:dyDescent="0.25">
      <c r="A334" s="358"/>
      <c r="B334" s="361"/>
      <c r="C334" s="252" t="s">
        <v>237</v>
      </c>
      <c r="D334" s="156" t="s">
        <v>41</v>
      </c>
      <c r="E334" s="156" t="s">
        <v>61</v>
      </c>
      <c r="F334" s="156" t="s">
        <v>227</v>
      </c>
      <c r="G334" s="238">
        <f>MROUND(H334*L334*I334/K334,0.000000001)</f>
        <v>1.32626E-4</v>
      </c>
      <c r="H334" s="158">
        <f>H94</f>
        <v>4</v>
      </c>
      <c r="I334" s="159">
        <f>I332</f>
        <v>1.85677E-3</v>
      </c>
      <c r="J334" s="160"/>
      <c r="K334" s="161">
        <f>K332</f>
        <v>56</v>
      </c>
      <c r="L334" s="250">
        <v>1</v>
      </c>
      <c r="M334" s="163" t="str">
        <f>CONCATENATE(H334," ",F334,"*",I334,"/",K334,"чел.")</f>
        <v>4 автобуса*0,00185677/56чел.</v>
      </c>
      <c r="N334" s="164">
        <f>N94</f>
        <v>25724</v>
      </c>
      <c r="O334" s="165">
        <f>MROUND(G334*N334,0.000001)</f>
        <v>3.4116709999999997</v>
      </c>
      <c r="P334" s="166"/>
      <c r="Q334" s="166">
        <f t="shared" ref="Q334:Q398" si="75">O334*K334</f>
        <v>191.05357599999999</v>
      </c>
      <c r="R334" s="71"/>
    </row>
    <row r="335" spans="1:18" s="61" customFormat="1" x14ac:dyDescent="0.25">
      <c r="A335" s="358"/>
      <c r="B335" s="361"/>
      <c r="C335" s="245" t="s">
        <v>297</v>
      </c>
      <c r="D335" s="240"/>
      <c r="E335" s="240"/>
      <c r="F335" s="240"/>
      <c r="G335" s="227"/>
      <c r="H335" s="241"/>
      <c r="I335" s="206"/>
      <c r="J335" s="228"/>
      <c r="K335" s="207"/>
      <c r="L335" s="257"/>
      <c r="M335" s="209"/>
      <c r="N335" s="210"/>
      <c r="O335" s="198">
        <f>SUM(O334)</f>
        <v>3.4116709999999997</v>
      </c>
      <c r="P335" s="166"/>
      <c r="Q335" s="166"/>
      <c r="R335" s="71"/>
    </row>
    <row r="336" spans="1:18" s="61" customFormat="1" ht="78.75" x14ac:dyDescent="0.25">
      <c r="A336" s="358"/>
      <c r="B336" s="361"/>
      <c r="C336" s="221" t="s">
        <v>236</v>
      </c>
      <c r="D336" s="156" t="s">
        <v>19</v>
      </c>
      <c r="E336" s="181" t="s">
        <v>20</v>
      </c>
      <c r="F336" s="181" t="s">
        <v>238</v>
      </c>
      <c r="G336" s="238">
        <f>MROUND(H336*L336*I336/K336,0.000001)</f>
        <v>0</v>
      </c>
      <c r="H336" s="158"/>
      <c r="I336" s="159">
        <f>I332</f>
        <v>1.85677E-3</v>
      </c>
      <c r="J336" s="160"/>
      <c r="K336" s="161">
        <f>K332</f>
        <v>56</v>
      </c>
      <c r="L336" s="250"/>
      <c r="M336" s="163"/>
      <c r="N336" s="164"/>
      <c r="O336" s="165">
        <f>MROUND(G336*N336,0.000001)</f>
        <v>0</v>
      </c>
      <c r="P336" s="166"/>
      <c r="Q336" s="166">
        <f t="shared" si="75"/>
        <v>0</v>
      </c>
      <c r="R336" s="71"/>
    </row>
    <row r="337" spans="1:18" s="61" customFormat="1" x14ac:dyDescent="0.25">
      <c r="A337" s="358"/>
      <c r="B337" s="361"/>
      <c r="C337" s="245" t="s">
        <v>298</v>
      </c>
      <c r="D337" s="240"/>
      <c r="E337" s="253"/>
      <c r="F337" s="253"/>
      <c r="G337" s="227"/>
      <c r="H337" s="241"/>
      <c r="I337" s="206"/>
      <c r="J337" s="228"/>
      <c r="K337" s="207"/>
      <c r="L337" s="257"/>
      <c r="M337" s="209"/>
      <c r="N337" s="210"/>
      <c r="O337" s="198">
        <f>SUM(O336)</f>
        <v>0</v>
      </c>
      <c r="P337" s="166"/>
      <c r="Q337" s="166"/>
      <c r="R337" s="71"/>
    </row>
    <row r="338" spans="1:18" s="61" customFormat="1" ht="30" x14ac:dyDescent="0.25">
      <c r="A338" s="358"/>
      <c r="B338" s="361"/>
      <c r="C338" s="365" t="s">
        <v>81</v>
      </c>
      <c r="D338" s="254" t="s">
        <v>410</v>
      </c>
      <c r="E338" s="156" t="s">
        <v>28</v>
      </c>
      <c r="F338" s="156" t="s">
        <v>28</v>
      </c>
      <c r="G338" s="238">
        <f>MROUND(H338*L338*I338/K338,0.0000000001)</f>
        <v>2.3209630000000002E-4</v>
      </c>
      <c r="H338" s="158">
        <f>H98</f>
        <v>7</v>
      </c>
      <c r="I338" s="159">
        <f>I332</f>
        <v>1.85677E-3</v>
      </c>
      <c r="J338" s="160"/>
      <c r="K338" s="161">
        <f>K332</f>
        <v>56</v>
      </c>
      <c r="L338" s="250">
        <v>1</v>
      </c>
      <c r="M338" s="163" t="str">
        <f>CONCATENATE(H338," ",F338,"*",I338,"/",K338,"чел.")</f>
        <v>7 шт*0,00185677/56чел.</v>
      </c>
      <c r="N338" s="164">
        <f>N98</f>
        <v>152142.85714285713</v>
      </c>
      <c r="O338" s="165">
        <f>MROUND(G338*N338,0.000001)</f>
        <v>35.311793999999999</v>
      </c>
      <c r="P338" s="166"/>
      <c r="Q338" s="166">
        <f t="shared" si="75"/>
        <v>1977.460464</v>
      </c>
      <c r="R338" s="71"/>
    </row>
    <row r="339" spans="1:18" s="61" customFormat="1" x14ac:dyDescent="0.25">
      <c r="A339" s="358"/>
      <c r="B339" s="361"/>
      <c r="C339" s="366"/>
      <c r="D339" s="254" t="s">
        <v>325</v>
      </c>
      <c r="E339" s="156" t="s">
        <v>28</v>
      </c>
      <c r="F339" s="156" t="s">
        <v>28</v>
      </c>
      <c r="G339" s="157">
        <f>MROUND(H339*L339*I339/K339,0.0000000001)</f>
        <v>7.6260200000000003E-4</v>
      </c>
      <c r="H339" s="158">
        <f>$H$99</f>
        <v>23</v>
      </c>
      <c r="I339" s="159">
        <f>I338</f>
        <v>1.85677E-3</v>
      </c>
      <c r="J339" s="160"/>
      <c r="K339" s="161">
        <f>K338</f>
        <v>56</v>
      </c>
      <c r="L339" s="250">
        <v>1</v>
      </c>
      <c r="M339" s="163" t="str">
        <f>CONCATENATE(H339," ",F339,"*",I339,"/",K339,"чел.")</f>
        <v>23 шт*0,00185677/56чел.</v>
      </c>
      <c r="N339" s="164">
        <f>$N$99</f>
        <v>229039.13043478262</v>
      </c>
      <c r="O339" s="165">
        <f>MROUND(G339*N339,0.000001)</f>
        <v>174.66569899999999</v>
      </c>
      <c r="P339" s="166"/>
      <c r="Q339" s="166">
        <f t="shared" si="75"/>
        <v>9781.2791440000001</v>
      </c>
      <c r="R339" s="71"/>
    </row>
    <row r="340" spans="1:18" s="61" customFormat="1" ht="30" x14ac:dyDescent="0.25">
      <c r="A340" s="358"/>
      <c r="B340" s="361"/>
      <c r="C340" s="366"/>
      <c r="D340" s="254" t="s">
        <v>411</v>
      </c>
      <c r="E340" s="156" t="s">
        <v>28</v>
      </c>
      <c r="F340" s="156" t="s">
        <v>28</v>
      </c>
      <c r="G340" s="238">
        <f>MROUND(H340*L340*I340/K340,0.00000001)</f>
        <v>2.321E-4</v>
      </c>
      <c r="H340" s="158">
        <f>$H$100</f>
        <v>7</v>
      </c>
      <c r="I340" s="159">
        <f>I338</f>
        <v>1.85677E-3</v>
      </c>
      <c r="J340" s="160"/>
      <c r="K340" s="161">
        <f>K338</f>
        <v>56</v>
      </c>
      <c r="L340" s="250">
        <v>1</v>
      </c>
      <c r="M340" s="163" t="str">
        <f t="shared" ref="M340:M361" si="76">CONCATENATE(H340," ",F340,"*",I340,"/",K340,"чел.")</f>
        <v>7 шт*0,00185677/56чел.</v>
      </c>
      <c r="N340" s="164">
        <f t="shared" ref="N340:N361" si="77">N100</f>
        <v>82142.857142857145</v>
      </c>
      <c r="O340" s="165">
        <f t="shared" ref="O340:O361" si="78">MROUND(G340*N340,0.000001)</f>
        <v>19.065356999999999</v>
      </c>
      <c r="P340" s="166"/>
      <c r="Q340" s="166">
        <f t="shared" si="75"/>
        <v>1067.6599919999999</v>
      </c>
      <c r="R340" s="71"/>
    </row>
    <row r="341" spans="1:18" s="61" customFormat="1" x14ac:dyDescent="0.25">
      <c r="A341" s="358"/>
      <c r="B341" s="361"/>
      <c r="C341" s="366"/>
      <c r="D341" s="255" t="s">
        <v>412</v>
      </c>
      <c r="E341" s="156" t="s">
        <v>28</v>
      </c>
      <c r="F341" s="156" t="s">
        <v>28</v>
      </c>
      <c r="G341" s="238">
        <f>MROUND(H341*L341*I341/K341,0.00000001)</f>
        <v>1.16048E-3</v>
      </c>
      <c r="H341" s="158">
        <f>$H$101</f>
        <v>35</v>
      </c>
      <c r="I341" s="159">
        <f>I340</f>
        <v>1.85677E-3</v>
      </c>
      <c r="J341" s="160"/>
      <c r="K341" s="161">
        <f>K340</f>
        <v>56</v>
      </c>
      <c r="L341" s="250">
        <v>1</v>
      </c>
      <c r="M341" s="163" t="str">
        <f t="shared" si="76"/>
        <v>35 шт*0,00185677/56чел.</v>
      </c>
      <c r="N341" s="164">
        <f t="shared" si="77"/>
        <v>126114.97142857143</v>
      </c>
      <c r="O341" s="165">
        <f t="shared" si="78"/>
        <v>146.35390200000001</v>
      </c>
      <c r="P341" s="166"/>
      <c r="Q341" s="166">
        <f t="shared" si="75"/>
        <v>8195.8185119999998</v>
      </c>
      <c r="R341" s="71"/>
    </row>
    <row r="342" spans="1:18" s="61" customFormat="1" ht="31.5" x14ac:dyDescent="0.25">
      <c r="A342" s="358"/>
      <c r="B342" s="361"/>
      <c r="C342" s="366"/>
      <c r="D342" s="255" t="s">
        <v>413</v>
      </c>
      <c r="E342" s="156" t="s">
        <v>28</v>
      </c>
      <c r="F342" s="156" t="s">
        <v>28</v>
      </c>
      <c r="G342" s="238">
        <f>MROUND(H342*L342*I342/K342,0.0000000001)</f>
        <v>4.9734910000000005E-4</v>
      </c>
      <c r="H342" s="158">
        <f>H102</f>
        <v>15</v>
      </c>
      <c r="I342" s="159">
        <f>I341</f>
        <v>1.85677E-3</v>
      </c>
      <c r="J342" s="160"/>
      <c r="K342" s="161">
        <f>K341</f>
        <v>56</v>
      </c>
      <c r="L342" s="250">
        <v>1</v>
      </c>
      <c r="M342" s="163" t="str">
        <f t="shared" si="76"/>
        <v>15 шт*0,00185677/56чел.</v>
      </c>
      <c r="N342" s="164">
        <f t="shared" si="77"/>
        <v>75333.333333333328</v>
      </c>
      <c r="O342" s="165">
        <f t="shared" si="78"/>
        <v>37.466965999999999</v>
      </c>
      <c r="P342" s="166"/>
      <c r="Q342" s="166">
        <f t="shared" si="75"/>
        <v>2098.1500959999998</v>
      </c>
      <c r="R342" s="71"/>
    </row>
    <row r="343" spans="1:18" s="61" customFormat="1" x14ac:dyDescent="0.25">
      <c r="A343" s="358"/>
      <c r="B343" s="361"/>
      <c r="C343" s="366"/>
      <c r="D343" s="254" t="s">
        <v>109</v>
      </c>
      <c r="E343" s="156" t="s">
        <v>28</v>
      </c>
      <c r="F343" s="156" t="s">
        <v>28</v>
      </c>
      <c r="G343" s="238">
        <f>MROUND(H343*L343*I343/K343,0.0000000001)</f>
        <v>5.3050570000000004E-4</v>
      </c>
      <c r="H343" s="158">
        <f>$H$103</f>
        <v>16</v>
      </c>
      <c r="I343" s="159">
        <f>I342</f>
        <v>1.85677E-3</v>
      </c>
      <c r="J343" s="160"/>
      <c r="K343" s="161">
        <f>K342</f>
        <v>56</v>
      </c>
      <c r="L343" s="250">
        <v>1</v>
      </c>
      <c r="M343" s="163" t="str">
        <f t="shared" si="76"/>
        <v>16 шт*0,00185677/56чел.</v>
      </c>
      <c r="N343" s="164">
        <f t="shared" si="77"/>
        <v>169687.5</v>
      </c>
      <c r="O343" s="165">
        <f t="shared" si="78"/>
        <v>90.020185999999995</v>
      </c>
      <c r="P343" s="166"/>
      <c r="Q343" s="166">
        <f t="shared" si="75"/>
        <v>5041.130416</v>
      </c>
      <c r="R343" s="71"/>
    </row>
    <row r="344" spans="1:18" s="61" customFormat="1" x14ac:dyDescent="0.25">
      <c r="A344" s="358"/>
      <c r="B344" s="361"/>
      <c r="C344" s="366"/>
      <c r="D344" s="254" t="s">
        <v>414</v>
      </c>
      <c r="E344" s="156" t="s">
        <v>28</v>
      </c>
      <c r="F344" s="156" t="s">
        <v>28</v>
      </c>
      <c r="G344" s="238">
        <f>MROUND(H344*L344*I344/K344,0.0000000001)</f>
        <v>2.9840950000000003E-4</v>
      </c>
      <c r="H344" s="158">
        <f>$H$104</f>
        <v>9</v>
      </c>
      <c r="I344" s="159">
        <f>I342</f>
        <v>1.85677E-3</v>
      </c>
      <c r="J344" s="160"/>
      <c r="K344" s="161">
        <f>K342</f>
        <v>56</v>
      </c>
      <c r="L344" s="250">
        <v>1</v>
      </c>
      <c r="M344" s="163" t="str">
        <f t="shared" si="76"/>
        <v>9 шт*0,00185677/56чел.</v>
      </c>
      <c r="N344" s="164">
        <f t="shared" si="77"/>
        <v>89333.333333333328</v>
      </c>
      <c r="O344" s="165">
        <f t="shared" si="78"/>
        <v>26.657914999999999</v>
      </c>
      <c r="P344" s="166"/>
      <c r="Q344" s="166">
        <f t="shared" si="75"/>
        <v>1492.8432399999999</v>
      </c>
      <c r="R344" s="71"/>
    </row>
    <row r="345" spans="1:18" s="61" customFormat="1" x14ac:dyDescent="0.25">
      <c r="A345" s="358"/>
      <c r="B345" s="361"/>
      <c r="C345" s="366"/>
      <c r="D345" s="254" t="s">
        <v>415</v>
      </c>
      <c r="E345" s="156" t="s">
        <v>28</v>
      </c>
      <c r="F345" s="156" t="s">
        <v>28</v>
      </c>
      <c r="G345" s="238">
        <f>MROUND(H345*L345*I345/K345,0.00000001)</f>
        <v>3.6472000000000002E-4</v>
      </c>
      <c r="H345" s="158">
        <f>$H$105</f>
        <v>11</v>
      </c>
      <c r="I345" s="159">
        <f t="shared" ref="I345:I354" si="79">I343</f>
        <v>1.85677E-3</v>
      </c>
      <c r="J345" s="160"/>
      <c r="K345" s="161">
        <f t="shared" ref="K345:K354" si="80">K343</f>
        <v>56</v>
      </c>
      <c r="L345" s="250">
        <v>1</v>
      </c>
      <c r="M345" s="163" t="str">
        <f t="shared" si="76"/>
        <v>11 шт*0,00185677/56чел.</v>
      </c>
      <c r="N345" s="164">
        <f t="shared" si="77"/>
        <v>122181.81818181818</v>
      </c>
      <c r="O345" s="165">
        <f t="shared" si="78"/>
        <v>44.562152999999995</v>
      </c>
      <c r="P345" s="166"/>
      <c r="Q345" s="166">
        <f t="shared" si="75"/>
        <v>2495.4805679999999</v>
      </c>
      <c r="R345" s="71"/>
    </row>
    <row r="346" spans="1:18" s="61" customFormat="1" x14ac:dyDescent="0.25">
      <c r="A346" s="358"/>
      <c r="B346" s="361"/>
      <c r="C346" s="366"/>
      <c r="D346" s="254" t="s">
        <v>416</v>
      </c>
      <c r="E346" s="156" t="s">
        <v>28</v>
      </c>
      <c r="F346" s="156" t="s">
        <v>28</v>
      </c>
      <c r="G346" s="238">
        <f>MROUND(H346*L346*I346/K346,0.000000001)</f>
        <v>6.6313200000000009E-4</v>
      </c>
      <c r="H346" s="246">
        <f>$H$106</f>
        <v>20</v>
      </c>
      <c r="I346" s="159">
        <f t="shared" si="79"/>
        <v>1.85677E-3</v>
      </c>
      <c r="J346" s="160"/>
      <c r="K346" s="161">
        <f t="shared" si="80"/>
        <v>56</v>
      </c>
      <c r="L346" s="250">
        <v>1</v>
      </c>
      <c r="M346" s="163" t="str">
        <f t="shared" si="76"/>
        <v>20 шт*0,00185677/56чел.</v>
      </c>
      <c r="N346" s="164">
        <f t="shared" si="77"/>
        <v>52500</v>
      </c>
      <c r="O346" s="165">
        <f t="shared" si="78"/>
        <v>34.814430000000002</v>
      </c>
      <c r="P346" s="166"/>
      <c r="Q346" s="166">
        <f t="shared" si="75"/>
        <v>1949.60808</v>
      </c>
      <c r="R346" s="71"/>
    </row>
    <row r="347" spans="1:18" s="61" customFormat="1" x14ac:dyDescent="0.25">
      <c r="A347" s="358"/>
      <c r="B347" s="361"/>
      <c r="C347" s="366"/>
      <c r="D347" s="254" t="s">
        <v>417</v>
      </c>
      <c r="E347" s="156" t="s">
        <v>28</v>
      </c>
      <c r="F347" s="156" t="s">
        <v>28</v>
      </c>
      <c r="G347" s="238">
        <f>MROUND(H347*L347*I347/K347,0.00000001)</f>
        <v>5.6366000000000001E-4</v>
      </c>
      <c r="H347" s="158">
        <f>$H$107</f>
        <v>17</v>
      </c>
      <c r="I347" s="159">
        <f t="shared" si="79"/>
        <v>1.85677E-3</v>
      </c>
      <c r="J347" s="160"/>
      <c r="K347" s="161">
        <f t="shared" si="80"/>
        <v>56</v>
      </c>
      <c r="L347" s="250">
        <v>1</v>
      </c>
      <c r="M347" s="163" t="str">
        <f t="shared" si="76"/>
        <v>17 шт*0,00185677/56чел.</v>
      </c>
      <c r="N347" s="164">
        <f t="shared" si="77"/>
        <v>75000</v>
      </c>
      <c r="O347" s="165">
        <f t="shared" si="78"/>
        <v>42.274499999999996</v>
      </c>
      <c r="P347" s="166"/>
      <c r="Q347" s="166">
        <f t="shared" si="75"/>
        <v>2367.3719999999998</v>
      </c>
      <c r="R347" s="71"/>
    </row>
    <row r="348" spans="1:18" s="61" customFormat="1" ht="30" x14ac:dyDescent="0.25">
      <c r="A348" s="358"/>
      <c r="B348" s="361"/>
      <c r="C348" s="366"/>
      <c r="D348" s="254" t="s">
        <v>418</v>
      </c>
      <c r="E348" s="156" t="s">
        <v>28</v>
      </c>
      <c r="F348" s="156" t="s">
        <v>28</v>
      </c>
      <c r="G348" s="238">
        <f>MROUND(H348*L348*I348/K348,0.00000001)</f>
        <v>2.9840999999999998E-4</v>
      </c>
      <c r="H348" s="158">
        <f>H108</f>
        <v>9</v>
      </c>
      <c r="I348" s="159">
        <f t="shared" si="79"/>
        <v>1.85677E-3</v>
      </c>
      <c r="J348" s="160"/>
      <c r="K348" s="161">
        <f t="shared" si="80"/>
        <v>56</v>
      </c>
      <c r="L348" s="250">
        <v>1</v>
      </c>
      <c r="M348" s="163" t="str">
        <f t="shared" si="76"/>
        <v>9 шт*0,00185677/56чел.</v>
      </c>
      <c r="N348" s="164">
        <f t="shared" si="77"/>
        <v>66666.666666666672</v>
      </c>
      <c r="O348" s="165">
        <f t="shared" si="78"/>
        <v>19.893999999999998</v>
      </c>
      <c r="P348" s="166"/>
      <c r="Q348" s="166">
        <f t="shared" si="75"/>
        <v>1114.0639999999999</v>
      </c>
      <c r="R348" s="71"/>
    </row>
    <row r="349" spans="1:18" s="61" customFormat="1" x14ac:dyDescent="0.25">
      <c r="A349" s="358"/>
      <c r="B349" s="361"/>
      <c r="C349" s="366"/>
      <c r="D349" s="254" t="s">
        <v>324</v>
      </c>
      <c r="E349" s="156" t="s">
        <v>28</v>
      </c>
      <c r="F349" s="156" t="s">
        <v>28</v>
      </c>
      <c r="G349" s="238">
        <f>MROUND(H349*L349*I349/K349,0.000000001)</f>
        <v>5.9681900000000006E-4</v>
      </c>
      <c r="H349" s="158">
        <f>$H$109</f>
        <v>18</v>
      </c>
      <c r="I349" s="159">
        <f t="shared" si="79"/>
        <v>1.85677E-3</v>
      </c>
      <c r="J349" s="160"/>
      <c r="K349" s="161">
        <f t="shared" si="80"/>
        <v>56</v>
      </c>
      <c r="L349" s="250">
        <v>1</v>
      </c>
      <c r="M349" s="163" t="str">
        <f t="shared" si="76"/>
        <v>18 шт*0,00185677/56чел.</v>
      </c>
      <c r="N349" s="164">
        <f t="shared" si="77"/>
        <v>365277.77777777775</v>
      </c>
      <c r="O349" s="165">
        <f t="shared" si="78"/>
        <v>218.004718</v>
      </c>
      <c r="P349" s="166"/>
      <c r="Q349" s="166">
        <f t="shared" si="75"/>
        <v>12208.264208000001</v>
      </c>
      <c r="R349" s="71"/>
    </row>
    <row r="350" spans="1:18" s="61" customFormat="1" x14ac:dyDescent="0.25">
      <c r="A350" s="358"/>
      <c r="B350" s="361"/>
      <c r="C350" s="366"/>
      <c r="D350" s="254" t="s">
        <v>419</v>
      </c>
      <c r="E350" s="156" t="s">
        <v>28</v>
      </c>
      <c r="F350" s="156" t="s">
        <v>28</v>
      </c>
      <c r="G350" s="238">
        <f>MROUND(H350*L350*I350/K350,0.000000001)</f>
        <v>7.9575900000000005E-4</v>
      </c>
      <c r="H350" s="246">
        <f>$H$110</f>
        <v>24</v>
      </c>
      <c r="I350" s="159">
        <f t="shared" si="79"/>
        <v>1.85677E-3</v>
      </c>
      <c r="J350" s="160"/>
      <c r="K350" s="161">
        <f t="shared" si="80"/>
        <v>56</v>
      </c>
      <c r="L350" s="250">
        <v>1</v>
      </c>
      <c r="M350" s="163" t="str">
        <f t="shared" si="76"/>
        <v>24 шт*0,00185677/56чел.</v>
      </c>
      <c r="N350" s="164">
        <f t="shared" si="77"/>
        <v>32416.666666666668</v>
      </c>
      <c r="O350" s="165">
        <f t="shared" si="78"/>
        <v>25.795853999999999</v>
      </c>
      <c r="P350" s="166"/>
      <c r="Q350" s="166">
        <f t="shared" si="75"/>
        <v>1444.567824</v>
      </c>
      <c r="R350" s="71"/>
    </row>
    <row r="351" spans="1:18" s="61" customFormat="1" x14ac:dyDescent="0.25">
      <c r="A351" s="358"/>
      <c r="B351" s="361"/>
      <c r="C351" s="366"/>
      <c r="D351" s="254" t="s">
        <v>420</v>
      </c>
      <c r="E351" s="156" t="s">
        <v>28</v>
      </c>
      <c r="F351" s="156" t="s">
        <v>28</v>
      </c>
      <c r="G351" s="238">
        <f>MROUND(H351*L351*I351/K351,0.000000001)</f>
        <v>4.9734900000000001E-4</v>
      </c>
      <c r="H351" s="158">
        <f>H111</f>
        <v>15</v>
      </c>
      <c r="I351" s="159">
        <f t="shared" si="79"/>
        <v>1.85677E-3</v>
      </c>
      <c r="J351" s="160"/>
      <c r="K351" s="161">
        <f t="shared" si="80"/>
        <v>56</v>
      </c>
      <c r="L351" s="250">
        <v>1</v>
      </c>
      <c r="M351" s="163" t="str">
        <f t="shared" si="76"/>
        <v>15 шт*0,00185677/56чел.</v>
      </c>
      <c r="N351" s="164">
        <f t="shared" si="77"/>
        <v>127666.66666666667</v>
      </c>
      <c r="O351" s="165">
        <f t="shared" si="78"/>
        <v>63.494889000000001</v>
      </c>
      <c r="P351" s="166"/>
      <c r="Q351" s="166">
        <f t="shared" si="75"/>
        <v>3555.713784</v>
      </c>
      <c r="R351" s="71"/>
    </row>
    <row r="352" spans="1:18" s="61" customFormat="1" x14ac:dyDescent="0.25">
      <c r="A352" s="358"/>
      <c r="B352" s="361"/>
      <c r="C352" s="366"/>
      <c r="D352" s="254" t="s">
        <v>421</v>
      </c>
      <c r="E352" s="156" t="s">
        <v>28</v>
      </c>
      <c r="F352" s="156" t="s">
        <v>28</v>
      </c>
      <c r="G352" s="238">
        <f>MROUND(H352*L352*I352/K352,0.00000001)</f>
        <v>9.6153999999999999E-4</v>
      </c>
      <c r="H352" s="158">
        <f>$H$112</f>
        <v>29</v>
      </c>
      <c r="I352" s="159">
        <f t="shared" si="79"/>
        <v>1.85677E-3</v>
      </c>
      <c r="J352" s="160"/>
      <c r="K352" s="161">
        <f t="shared" si="80"/>
        <v>56</v>
      </c>
      <c r="L352" s="250">
        <v>1</v>
      </c>
      <c r="M352" s="163" t="str">
        <f t="shared" si="76"/>
        <v>29 шт*0,00185677/56чел.</v>
      </c>
      <c r="N352" s="164">
        <f t="shared" si="77"/>
        <v>13517.241379310344</v>
      </c>
      <c r="O352" s="165">
        <f t="shared" si="78"/>
        <v>12.997368</v>
      </c>
      <c r="P352" s="166"/>
      <c r="Q352" s="166">
        <f t="shared" si="75"/>
        <v>727.85260800000003</v>
      </c>
      <c r="R352" s="71"/>
    </row>
    <row r="353" spans="1:18" s="61" customFormat="1" ht="30" x14ac:dyDescent="0.25">
      <c r="A353" s="358"/>
      <c r="B353" s="361"/>
      <c r="C353" s="366"/>
      <c r="D353" s="254" t="s">
        <v>422</v>
      </c>
      <c r="E353" s="156" t="s">
        <v>28</v>
      </c>
      <c r="F353" s="156" t="s">
        <v>28</v>
      </c>
      <c r="G353" s="266">
        <f>MROUND(H353*L353*I353/K353,0.00000001)</f>
        <v>5.9681999999999997E-4</v>
      </c>
      <c r="H353" s="158">
        <f>H233</f>
        <v>18</v>
      </c>
      <c r="I353" s="159">
        <f t="shared" si="79"/>
        <v>1.85677E-3</v>
      </c>
      <c r="J353" s="160"/>
      <c r="K353" s="161">
        <f t="shared" si="80"/>
        <v>56</v>
      </c>
      <c r="L353" s="250">
        <v>1</v>
      </c>
      <c r="M353" s="163" t="str">
        <f t="shared" si="76"/>
        <v>18 шт*0,00185677/56чел.</v>
      </c>
      <c r="N353" s="164">
        <f t="shared" si="77"/>
        <v>34944.444444444445</v>
      </c>
      <c r="O353" s="165">
        <f t="shared" si="78"/>
        <v>20.855543000000001</v>
      </c>
      <c r="P353" s="166"/>
      <c r="Q353" s="166">
        <f t="shared" si="75"/>
        <v>1167.910408</v>
      </c>
      <c r="R353" s="71"/>
    </row>
    <row r="354" spans="1:18" s="61" customFormat="1" x14ac:dyDescent="0.25">
      <c r="A354" s="358"/>
      <c r="B354" s="361"/>
      <c r="C354" s="366"/>
      <c r="D354" s="254" t="s">
        <v>423</v>
      </c>
      <c r="E354" s="156" t="s">
        <v>28</v>
      </c>
      <c r="F354" s="156" t="s">
        <v>28</v>
      </c>
      <c r="G354" s="238">
        <f>MROUND(H354*L354*I354/K354,0.000000001)</f>
        <v>6.6313200000000009E-4</v>
      </c>
      <c r="H354" s="158">
        <f>$H$114</f>
        <v>20</v>
      </c>
      <c r="I354" s="159">
        <f t="shared" si="79"/>
        <v>1.85677E-3</v>
      </c>
      <c r="J354" s="160"/>
      <c r="K354" s="161">
        <f t="shared" si="80"/>
        <v>56</v>
      </c>
      <c r="L354" s="250">
        <v>1</v>
      </c>
      <c r="M354" s="163" t="str">
        <f t="shared" si="76"/>
        <v>20 шт*0,00185677/56чел.</v>
      </c>
      <c r="N354" s="164">
        <f t="shared" si="77"/>
        <v>74500</v>
      </c>
      <c r="O354" s="165">
        <f t="shared" si="78"/>
        <v>49.403334000000001</v>
      </c>
      <c r="P354" s="166"/>
      <c r="Q354" s="166">
        <f t="shared" si="75"/>
        <v>2766.5867040000003</v>
      </c>
      <c r="R354" s="71"/>
    </row>
    <row r="355" spans="1:18" s="61" customFormat="1" x14ac:dyDescent="0.25">
      <c r="A355" s="358"/>
      <c r="B355" s="361"/>
      <c r="C355" s="366"/>
      <c r="D355" s="254" t="s">
        <v>424</v>
      </c>
      <c r="E355" s="156" t="s">
        <v>28</v>
      </c>
      <c r="F355" s="156" t="s">
        <v>28</v>
      </c>
      <c r="G355" s="238">
        <f t="shared" ref="G355:G361" si="81">MROUND(H355*L355*I355/K355,0.00000001)</f>
        <v>1.16048E-3</v>
      </c>
      <c r="H355" s="158">
        <f>H115</f>
        <v>35</v>
      </c>
      <c r="I355" s="159">
        <f>I344</f>
        <v>1.85677E-3</v>
      </c>
      <c r="J355" s="160"/>
      <c r="K355" s="161">
        <f>K344</f>
        <v>56</v>
      </c>
      <c r="L355" s="250">
        <v>1</v>
      </c>
      <c r="M355" s="163" t="str">
        <f t="shared" si="76"/>
        <v>35 шт*0,00185677/56чел.</v>
      </c>
      <c r="N355" s="164">
        <f t="shared" si="77"/>
        <v>34285.714285714283</v>
      </c>
      <c r="O355" s="165">
        <f t="shared" si="78"/>
        <v>39.787886</v>
      </c>
      <c r="P355" s="166"/>
      <c r="Q355" s="166">
        <f t="shared" si="75"/>
        <v>2228.1216159999999</v>
      </c>
      <c r="R355" s="71"/>
    </row>
    <row r="356" spans="1:18" s="61" customFormat="1" x14ac:dyDescent="0.25">
      <c r="A356" s="358"/>
      <c r="B356" s="361"/>
      <c r="C356" s="366"/>
      <c r="D356" s="254" t="s">
        <v>425</v>
      </c>
      <c r="E356" s="156" t="s">
        <v>28</v>
      </c>
      <c r="F356" s="156" t="s">
        <v>28</v>
      </c>
      <c r="G356" s="277">
        <f t="shared" si="81"/>
        <v>1.16048E-3</v>
      </c>
      <c r="H356" s="158">
        <f>H116</f>
        <v>35</v>
      </c>
      <c r="I356" s="159">
        <f t="shared" ref="I356:I361" si="82">I355</f>
        <v>1.85677E-3</v>
      </c>
      <c r="J356" s="160"/>
      <c r="K356" s="161">
        <f t="shared" ref="K356:K361" si="83">K355</f>
        <v>56</v>
      </c>
      <c r="L356" s="250">
        <v>1</v>
      </c>
      <c r="M356" s="163" t="str">
        <f t="shared" si="76"/>
        <v>35 шт*0,00185677/56чел.</v>
      </c>
      <c r="N356" s="164">
        <f t="shared" si="77"/>
        <v>19102.857142857141</v>
      </c>
      <c r="O356" s="165">
        <f t="shared" si="78"/>
        <v>22.168483999999999</v>
      </c>
      <c r="P356" s="166"/>
      <c r="Q356" s="166">
        <f t="shared" si="75"/>
        <v>1241.4351039999999</v>
      </c>
      <c r="R356" s="71"/>
    </row>
    <row r="357" spans="1:18" s="61" customFormat="1" x14ac:dyDescent="0.25">
      <c r="A357" s="358"/>
      <c r="B357" s="361"/>
      <c r="C357" s="366"/>
      <c r="D357" s="254" t="s">
        <v>108</v>
      </c>
      <c r="E357" s="156" t="s">
        <v>28</v>
      </c>
      <c r="F357" s="156" t="s">
        <v>28</v>
      </c>
      <c r="G357" s="238">
        <f t="shared" si="81"/>
        <v>2.868047E-2</v>
      </c>
      <c r="H357" s="158">
        <f>$H$117</f>
        <v>865</v>
      </c>
      <c r="I357" s="159">
        <f t="shared" si="82"/>
        <v>1.85677E-3</v>
      </c>
      <c r="J357" s="160"/>
      <c r="K357" s="161">
        <f t="shared" si="83"/>
        <v>56</v>
      </c>
      <c r="L357" s="250">
        <v>1</v>
      </c>
      <c r="M357" s="163" t="str">
        <f t="shared" si="76"/>
        <v>865 шт*0,00185677/56чел.</v>
      </c>
      <c r="N357" s="164">
        <f t="shared" si="77"/>
        <v>779.36416184971097</v>
      </c>
      <c r="O357" s="165">
        <f t="shared" si="78"/>
        <v>22.352529999999998</v>
      </c>
      <c r="P357" s="166"/>
      <c r="Q357" s="166">
        <f t="shared" si="75"/>
        <v>1251.7416799999999</v>
      </c>
      <c r="R357" s="71"/>
    </row>
    <row r="358" spans="1:18" s="61" customFormat="1" x14ac:dyDescent="0.25">
      <c r="A358" s="358"/>
      <c r="B358" s="361"/>
      <c r="C358" s="366"/>
      <c r="D358" s="254" t="s">
        <v>426</v>
      </c>
      <c r="E358" s="156" t="s">
        <v>28</v>
      </c>
      <c r="F358" s="156" t="s">
        <v>28</v>
      </c>
      <c r="G358" s="238">
        <f t="shared" si="81"/>
        <v>1.45889E-3</v>
      </c>
      <c r="H358" s="158">
        <f>H118</f>
        <v>44</v>
      </c>
      <c r="I358" s="159">
        <f t="shared" si="82"/>
        <v>1.85677E-3</v>
      </c>
      <c r="J358" s="160"/>
      <c r="K358" s="161">
        <f t="shared" si="83"/>
        <v>56</v>
      </c>
      <c r="L358" s="250">
        <v>1</v>
      </c>
      <c r="M358" s="163" t="str">
        <f t="shared" si="76"/>
        <v>44 шт*0,00185677/56чел.</v>
      </c>
      <c r="N358" s="164">
        <f t="shared" si="77"/>
        <v>12416.954545454546</v>
      </c>
      <c r="O358" s="165">
        <f t="shared" si="78"/>
        <v>18.114971000000001</v>
      </c>
      <c r="P358" s="166"/>
      <c r="Q358" s="166">
        <f t="shared" si="75"/>
        <v>1014.4383760000001</v>
      </c>
      <c r="R358" s="71"/>
    </row>
    <row r="359" spans="1:18" s="61" customFormat="1" x14ac:dyDescent="0.25">
      <c r="A359" s="358"/>
      <c r="B359" s="361"/>
      <c r="C359" s="366"/>
      <c r="D359" s="254" t="s">
        <v>427</v>
      </c>
      <c r="E359" s="156" t="s">
        <v>28</v>
      </c>
      <c r="F359" s="156" t="s">
        <v>28</v>
      </c>
      <c r="G359" s="238">
        <f t="shared" si="81"/>
        <v>2.18834E-3</v>
      </c>
      <c r="H359" s="158">
        <f>H119</f>
        <v>66</v>
      </c>
      <c r="I359" s="159">
        <f t="shared" si="82"/>
        <v>1.85677E-3</v>
      </c>
      <c r="J359" s="160"/>
      <c r="K359" s="161">
        <f t="shared" si="83"/>
        <v>56</v>
      </c>
      <c r="L359" s="250">
        <v>1</v>
      </c>
      <c r="M359" s="163" t="str">
        <f t="shared" si="76"/>
        <v>66 шт*0,00185677/56чел.</v>
      </c>
      <c r="N359" s="164">
        <f t="shared" si="77"/>
        <v>13060.60606060606</v>
      </c>
      <c r="O359" s="165">
        <f t="shared" si="78"/>
        <v>28.581046999999998</v>
      </c>
      <c r="P359" s="166"/>
      <c r="Q359" s="166">
        <f t="shared" si="75"/>
        <v>1600.5386319999998</v>
      </c>
      <c r="R359" s="71"/>
    </row>
    <row r="360" spans="1:18" s="61" customFormat="1" x14ac:dyDescent="0.25">
      <c r="A360" s="358"/>
      <c r="B360" s="361"/>
      <c r="C360" s="366"/>
      <c r="D360" s="254" t="s">
        <v>428</v>
      </c>
      <c r="E360" s="156" t="s">
        <v>28</v>
      </c>
      <c r="F360" s="156" t="s">
        <v>28</v>
      </c>
      <c r="G360" s="238">
        <f t="shared" si="81"/>
        <v>1.1439030000000001E-2</v>
      </c>
      <c r="H360" s="158">
        <f>H120</f>
        <v>345</v>
      </c>
      <c r="I360" s="159">
        <f t="shared" si="82"/>
        <v>1.85677E-3</v>
      </c>
      <c r="J360" s="160"/>
      <c r="K360" s="161">
        <f t="shared" si="83"/>
        <v>56</v>
      </c>
      <c r="L360" s="250">
        <v>1</v>
      </c>
      <c r="M360" s="163" t="str">
        <f t="shared" si="76"/>
        <v>345 шт*0,00185677/56чел.</v>
      </c>
      <c r="N360" s="164">
        <f t="shared" si="77"/>
        <v>8520.7246376811599</v>
      </c>
      <c r="O360" s="165">
        <f t="shared" si="78"/>
        <v>97.468824999999995</v>
      </c>
      <c r="P360" s="166"/>
      <c r="Q360" s="166">
        <f t="shared" si="75"/>
        <v>5458.2541999999994</v>
      </c>
      <c r="R360" s="71"/>
    </row>
    <row r="361" spans="1:18" s="61" customFormat="1" x14ac:dyDescent="0.25">
      <c r="A361" s="358"/>
      <c r="B361" s="361"/>
      <c r="C361" s="366"/>
      <c r="D361" s="255" t="s">
        <v>429</v>
      </c>
      <c r="E361" s="156" t="s">
        <v>28</v>
      </c>
      <c r="F361" s="156" t="s">
        <v>28</v>
      </c>
      <c r="G361" s="238">
        <f t="shared" si="81"/>
        <v>1.6246699999999999E-3</v>
      </c>
      <c r="H361" s="158">
        <f>H121</f>
        <v>49</v>
      </c>
      <c r="I361" s="159">
        <f t="shared" si="82"/>
        <v>1.85677E-3</v>
      </c>
      <c r="J361" s="160"/>
      <c r="K361" s="161">
        <f t="shared" si="83"/>
        <v>56</v>
      </c>
      <c r="L361" s="250">
        <v>1</v>
      </c>
      <c r="M361" s="163" t="str">
        <f t="shared" si="76"/>
        <v>49 шт*0,00185677/56чел.</v>
      </c>
      <c r="N361" s="164">
        <f t="shared" si="77"/>
        <v>53775.510204081635</v>
      </c>
      <c r="O361" s="165">
        <f t="shared" si="78"/>
        <v>87.367457999999999</v>
      </c>
      <c r="P361" s="166"/>
      <c r="Q361" s="166">
        <f t="shared" si="75"/>
        <v>4892.5776480000004</v>
      </c>
      <c r="R361" s="71"/>
    </row>
    <row r="362" spans="1:18" s="61" customFormat="1" x14ac:dyDescent="0.25">
      <c r="A362" s="358"/>
      <c r="B362" s="361"/>
      <c r="C362" s="249" t="s">
        <v>311</v>
      </c>
      <c r="D362" s="256"/>
      <c r="E362" s="240"/>
      <c r="F362" s="240"/>
      <c r="G362" s="227"/>
      <c r="H362" s="241"/>
      <c r="I362" s="206"/>
      <c r="J362" s="228"/>
      <c r="K362" s="207"/>
      <c r="L362" s="257"/>
      <c r="M362" s="209"/>
      <c r="N362" s="210"/>
      <c r="O362" s="198">
        <f>SUM(O338:O361)</f>
        <v>1377.4798089999997</v>
      </c>
      <c r="P362" s="166"/>
      <c r="Q362" s="166"/>
      <c r="R362" s="71"/>
    </row>
    <row r="363" spans="1:18" s="61" customFormat="1" ht="110.25" x14ac:dyDescent="0.25">
      <c r="A363" s="358"/>
      <c r="B363" s="361"/>
      <c r="C363" s="221" t="s">
        <v>82</v>
      </c>
      <c r="D363" s="156" t="s">
        <v>46</v>
      </c>
      <c r="E363" s="156" t="s">
        <v>54</v>
      </c>
      <c r="F363" s="156" t="s">
        <v>285</v>
      </c>
      <c r="G363" s="238">
        <f>MROUND(H363*L363*I363/K363,0.000001)</f>
        <v>0.37500099999999997</v>
      </c>
      <c r="H363" s="242">
        <f>H123</f>
        <v>1028.181818181818</v>
      </c>
      <c r="I363" s="159">
        <f>I361</f>
        <v>1.85677E-3</v>
      </c>
      <c r="J363" s="160"/>
      <c r="K363" s="161">
        <f>K361</f>
        <v>56</v>
      </c>
      <c r="L363" s="225">
        <f>L123</f>
        <v>11</v>
      </c>
      <c r="M363" s="163" t="str">
        <f>CONCATENATE(H363," ",F363,"*",L363,"автобуса","*",I363,"/",K363,"чел.")</f>
        <v>1028,18181818182 л бензина АИ 92 (12,5л/день(зимой)*20дней*7мес+10л/день(летом)*20дней*4мес)*11автобуса*0,00185677/56чел.</v>
      </c>
      <c r="N363" s="164">
        <f>N123</f>
        <v>54.500000000000007</v>
      </c>
      <c r="O363" s="165">
        <f>MROUND(G363*N363,0.000001)</f>
        <v>20.437555</v>
      </c>
      <c r="P363" s="166"/>
      <c r="Q363" s="166">
        <f t="shared" si="75"/>
        <v>1144.50308</v>
      </c>
      <c r="R363" s="71"/>
    </row>
    <row r="364" spans="1:18" s="61" customFormat="1" x14ac:dyDescent="0.25">
      <c r="A364" s="358"/>
      <c r="B364" s="361"/>
      <c r="C364" s="218" t="s">
        <v>309</v>
      </c>
      <c r="D364" s="240"/>
      <c r="E364" s="240"/>
      <c r="F364" s="240"/>
      <c r="G364" s="227"/>
      <c r="H364" s="241"/>
      <c r="I364" s="206"/>
      <c r="J364" s="228"/>
      <c r="K364" s="207"/>
      <c r="L364" s="257"/>
      <c r="M364" s="209"/>
      <c r="N364" s="210"/>
      <c r="O364" s="198">
        <f>SUM(O363)</f>
        <v>20.437555</v>
      </c>
      <c r="P364" s="166"/>
      <c r="Q364" s="166"/>
      <c r="R364" s="71"/>
    </row>
    <row r="365" spans="1:18" s="61" customFormat="1" ht="47.25" x14ac:dyDescent="0.25">
      <c r="A365" s="358"/>
      <c r="B365" s="361"/>
      <c r="C365" s="221" t="s">
        <v>434</v>
      </c>
      <c r="D365" s="156" t="s">
        <v>436</v>
      </c>
      <c r="E365" s="156" t="s">
        <v>28</v>
      </c>
      <c r="F365" s="156" t="s">
        <v>437</v>
      </c>
      <c r="G365" s="157">
        <f>MROUND(H365*L365*I365/K365,0.000001)</f>
        <v>9.6150000000000003E-3</v>
      </c>
      <c r="H365" s="242">
        <f>$H$125</f>
        <v>290</v>
      </c>
      <c r="I365" s="159">
        <f>I363</f>
        <v>1.85677E-3</v>
      </c>
      <c r="J365" s="160"/>
      <c r="K365" s="161">
        <f>K363</f>
        <v>56</v>
      </c>
      <c r="L365" s="162">
        <v>1</v>
      </c>
      <c r="M365" s="163" t="str">
        <f>CONCATENATE(H365," ",F365,"*",L365,"автобуса","*",I365,"/",K365,"чел.")</f>
        <v>290 огнетушителей (потребность учреждений) *1автобуса*0,00185677/56чел.</v>
      </c>
      <c r="N365" s="164">
        <f>$N$125</f>
        <v>2000</v>
      </c>
      <c r="O365" s="165">
        <f>MROUND(G365*N365,0.000001)</f>
        <v>19.23</v>
      </c>
      <c r="P365" s="166"/>
      <c r="Q365" s="166">
        <f t="shared" si="75"/>
        <v>1076.8800000000001</v>
      </c>
      <c r="R365" s="71"/>
    </row>
    <row r="366" spans="1:18" s="61" customFormat="1" x14ac:dyDescent="0.25">
      <c r="A366" s="358"/>
      <c r="B366" s="361"/>
      <c r="C366" s="218" t="s">
        <v>435</v>
      </c>
      <c r="D366" s="240"/>
      <c r="E366" s="240"/>
      <c r="F366" s="240"/>
      <c r="G366" s="251"/>
      <c r="H366" s="241"/>
      <c r="I366" s="206"/>
      <c r="J366" s="228"/>
      <c r="K366" s="207"/>
      <c r="L366" s="229"/>
      <c r="M366" s="209"/>
      <c r="N366" s="210"/>
      <c r="O366" s="198">
        <f>SUM(O365)</f>
        <v>19.23</v>
      </c>
      <c r="P366" s="166"/>
      <c r="Q366" s="166"/>
      <c r="R366" s="71"/>
    </row>
    <row r="367" spans="1:18" s="61" customFormat="1" ht="47.25" x14ac:dyDescent="0.25">
      <c r="A367" s="358"/>
      <c r="B367" s="361"/>
      <c r="C367" s="364" t="s">
        <v>118</v>
      </c>
      <c r="D367" s="156" t="s">
        <v>47</v>
      </c>
      <c r="E367" s="156" t="s">
        <v>28</v>
      </c>
      <c r="F367" s="156" t="s">
        <v>239</v>
      </c>
      <c r="G367" s="238">
        <f>MROUND(H367*L367*I367/K367,0.00000001)</f>
        <v>4.7745499999999998E-3</v>
      </c>
      <c r="H367" s="158">
        <f>H127</f>
        <v>144</v>
      </c>
      <c r="I367" s="159">
        <f>I363</f>
        <v>1.85677E-3</v>
      </c>
      <c r="J367" s="160"/>
      <c r="K367" s="161">
        <f>K363</f>
        <v>56</v>
      </c>
      <c r="L367" s="250">
        <v>1</v>
      </c>
      <c r="M367" s="163" t="str">
        <f>CONCATENATE(H367," ",F367,"*",I367,"/",K367,"чел.")</f>
        <v>144 манометров (потребность учреждений) *0,00185677/56чел.</v>
      </c>
      <c r="N367" s="164">
        <f>N127</f>
        <v>708.5</v>
      </c>
      <c r="O367" s="165">
        <f>MROUND(G367*N367,0.000001)</f>
        <v>3.3827689999999997</v>
      </c>
      <c r="P367" s="166"/>
      <c r="Q367" s="166">
        <f t="shared" si="75"/>
        <v>189.43506399999998</v>
      </c>
      <c r="R367" s="71"/>
    </row>
    <row r="368" spans="1:18" s="61" customFormat="1" ht="47.25" x14ac:dyDescent="0.25">
      <c r="A368" s="358"/>
      <c r="B368" s="361"/>
      <c r="C368" s="364"/>
      <c r="D368" s="255" t="s">
        <v>113</v>
      </c>
      <c r="E368" s="156" t="s">
        <v>28</v>
      </c>
      <c r="F368" s="156" t="s">
        <v>240</v>
      </c>
      <c r="G368" s="238">
        <f>MROUND(H368*L368*I368/K368,0.00000001)</f>
        <v>0.18949001000000001</v>
      </c>
      <c r="H368" s="158">
        <f>H128</f>
        <v>5715</v>
      </c>
      <c r="I368" s="159">
        <f>I367</f>
        <v>1.85677E-3</v>
      </c>
      <c r="J368" s="160"/>
      <c r="K368" s="161">
        <f>K367</f>
        <v>56</v>
      </c>
      <c r="L368" s="250">
        <v>1</v>
      </c>
      <c r="M368" s="163" t="str">
        <f>CONCATENATE(H368," ",F368,"*",I368,"/",K368,"чел.")</f>
        <v>5715 светильников (потребность учреждений)*0,00185677/56чел.</v>
      </c>
      <c r="N368" s="164">
        <f>N128</f>
        <v>106.27500087489064</v>
      </c>
      <c r="O368" s="165">
        <f>MROUND(G368*N368,0.000001)</f>
        <v>20.138051000000001</v>
      </c>
      <c r="P368" s="166"/>
      <c r="Q368" s="166">
        <f t="shared" si="75"/>
        <v>1127.7308560000001</v>
      </c>
      <c r="R368" s="71"/>
    </row>
    <row r="369" spans="1:18" s="61" customFormat="1" x14ac:dyDescent="0.25">
      <c r="A369" s="359"/>
      <c r="B369" s="362"/>
      <c r="C369" s="218" t="s">
        <v>310</v>
      </c>
      <c r="D369" s="256"/>
      <c r="E369" s="240"/>
      <c r="F369" s="240"/>
      <c r="G369" s="227"/>
      <c r="H369" s="241"/>
      <c r="I369" s="206"/>
      <c r="J369" s="228"/>
      <c r="K369" s="207"/>
      <c r="L369" s="257"/>
      <c r="M369" s="209"/>
      <c r="N369" s="210"/>
      <c r="O369" s="198">
        <f>SUM(O367:O368)</f>
        <v>23.520820000000001</v>
      </c>
      <c r="P369" s="166"/>
      <c r="Q369" s="166"/>
      <c r="R369" s="71"/>
    </row>
    <row r="370" spans="1:18" s="61" customFormat="1" x14ac:dyDescent="0.25">
      <c r="A370" s="357" t="str">
        <f>CONCATENATE(школы!$B$9,", ",школы!$C$9,", ",школы!$D$9)</f>
        <v xml:space="preserve">Реализация основных общеобразовательных программ начального общего образования, , </v>
      </c>
      <c r="B370" s="360" t="str">
        <f>школы!$A$9</f>
        <v>801012О.99.0.БА81АЭ92001</v>
      </c>
      <c r="C370" s="194"/>
      <c r="D370" s="363" t="s">
        <v>15</v>
      </c>
      <c r="E370" s="363"/>
      <c r="F370" s="363"/>
      <c r="G370" s="363"/>
      <c r="H370" s="195"/>
      <c r="I370" s="195"/>
      <c r="J370" s="195"/>
      <c r="K370" s="195"/>
      <c r="L370" s="196"/>
      <c r="M370" s="197"/>
      <c r="N370" s="164"/>
      <c r="O370" s="198">
        <f>O371+O376+O378</f>
        <v>5968.4177343160009</v>
      </c>
      <c r="P370" s="166"/>
      <c r="Q370" s="166"/>
      <c r="R370" s="71"/>
    </row>
    <row r="371" spans="1:18" s="61" customFormat="1" x14ac:dyDescent="0.25">
      <c r="A371" s="358"/>
      <c r="B371" s="361"/>
      <c r="C371" s="194"/>
      <c r="D371" s="350" t="s">
        <v>62</v>
      </c>
      <c r="E371" s="350"/>
      <c r="F371" s="350"/>
      <c r="G371" s="350"/>
      <c r="H371" s="195"/>
      <c r="I371" s="195"/>
      <c r="J371" s="195"/>
      <c r="K371" s="195"/>
      <c r="L371" s="196"/>
      <c r="M371" s="197"/>
      <c r="N371" s="164"/>
      <c r="O371" s="165">
        <f>O373+O375</f>
        <v>5968.4177343160009</v>
      </c>
      <c r="P371" s="166"/>
      <c r="Q371" s="166"/>
      <c r="R371" s="71"/>
    </row>
    <row r="372" spans="1:18" s="61" customFormat="1" ht="31.5" x14ac:dyDescent="0.25">
      <c r="A372" s="358"/>
      <c r="B372" s="361"/>
      <c r="C372" s="194">
        <v>211</v>
      </c>
      <c r="D372" s="194" t="s">
        <v>86</v>
      </c>
      <c r="E372" s="199" t="s">
        <v>95</v>
      </c>
      <c r="F372" s="199" t="s">
        <v>95</v>
      </c>
      <c r="G372" s="275">
        <f>MROUND(H372*L372*I372/K372,0.0000000001)</f>
        <v>0.36676551540000002</v>
      </c>
      <c r="H372" s="201">
        <f>H12</f>
        <v>921.8</v>
      </c>
      <c r="I372" s="159">
        <f>школы!$K$9</f>
        <v>0.30039917999999999</v>
      </c>
      <c r="J372" s="159"/>
      <c r="K372" s="161">
        <f>школы!$G$9</f>
        <v>9060</v>
      </c>
      <c r="L372" s="202">
        <v>12</v>
      </c>
      <c r="M372" s="163" t="str">
        <f>CONCATENATE(H372," ",F372," ","в мес.","*",L372,"мес.","*",I372,"/",K372,"чел.")</f>
        <v>921,8 шт.ед в мес.*12мес.*0,30039918/9060чел.</v>
      </c>
      <c r="N372" s="164">
        <f>N12</f>
        <v>12498.552905979601</v>
      </c>
      <c r="O372" s="165">
        <f>MROUND(G372*N372,0.000000001)</f>
        <v>4584.0381983160005</v>
      </c>
      <c r="P372" s="166"/>
      <c r="Q372" s="166">
        <f t="shared" si="75"/>
        <v>41531386.076742962</v>
      </c>
      <c r="R372" s="71"/>
    </row>
    <row r="373" spans="1:18" s="61" customFormat="1" x14ac:dyDescent="0.25">
      <c r="A373" s="358"/>
      <c r="B373" s="361"/>
      <c r="C373" s="203" t="s">
        <v>288</v>
      </c>
      <c r="D373" s="203"/>
      <c r="E373" s="204"/>
      <c r="F373" s="204"/>
      <c r="G373" s="205"/>
      <c r="H373" s="206"/>
      <c r="I373" s="206"/>
      <c r="J373" s="206"/>
      <c r="K373" s="207"/>
      <c r="L373" s="208"/>
      <c r="M373" s="209"/>
      <c r="N373" s="210">
        <f>N372</f>
        <v>12498.552905979601</v>
      </c>
      <c r="O373" s="198">
        <f>O372</f>
        <v>4584.0381983160005</v>
      </c>
      <c r="P373" s="166"/>
      <c r="Q373" s="166"/>
      <c r="R373" s="71"/>
    </row>
    <row r="374" spans="1:18" s="61" customFormat="1" x14ac:dyDescent="0.25">
      <c r="A374" s="358"/>
      <c r="B374" s="361"/>
      <c r="C374" s="194">
        <v>213</v>
      </c>
      <c r="D374" s="194" t="s">
        <v>87</v>
      </c>
      <c r="E374" s="194" t="s">
        <v>88</v>
      </c>
      <c r="F374" s="194"/>
      <c r="G374" s="211">
        <v>30.2</v>
      </c>
      <c r="H374" s="159"/>
      <c r="I374" s="159"/>
      <c r="J374" s="159"/>
      <c r="K374" s="161">
        <f>K372</f>
        <v>9060</v>
      </c>
      <c r="L374" s="202"/>
      <c r="M374" s="212"/>
      <c r="N374" s="164"/>
      <c r="O374" s="165">
        <f>MROUND(O372*0.302,0.000001)</f>
        <v>1384.3795359999999</v>
      </c>
      <c r="P374" s="166"/>
      <c r="Q374" s="166">
        <f>O374*K374</f>
        <v>12542478.596159998</v>
      </c>
      <c r="R374" s="71"/>
    </row>
    <row r="375" spans="1:18" s="61" customFormat="1" x14ac:dyDescent="0.25">
      <c r="A375" s="358"/>
      <c r="B375" s="361"/>
      <c r="C375" s="203" t="s">
        <v>289</v>
      </c>
      <c r="D375" s="203"/>
      <c r="E375" s="203"/>
      <c r="F375" s="203"/>
      <c r="G375" s="213"/>
      <c r="H375" s="214"/>
      <c r="I375" s="206"/>
      <c r="J375" s="214"/>
      <c r="K375" s="207"/>
      <c r="L375" s="215"/>
      <c r="M375" s="216"/>
      <c r="N375" s="210"/>
      <c r="O375" s="198">
        <f>O374</f>
        <v>1384.3795359999999</v>
      </c>
      <c r="P375" s="166"/>
      <c r="Q375" s="166"/>
      <c r="R375" s="71"/>
    </row>
    <row r="376" spans="1:18" s="61" customFormat="1" x14ac:dyDescent="0.25">
      <c r="A376" s="358"/>
      <c r="B376" s="361"/>
      <c r="C376" s="194"/>
      <c r="D376" s="356" t="s">
        <v>63</v>
      </c>
      <c r="E376" s="356"/>
      <c r="F376" s="356"/>
      <c r="G376" s="356"/>
      <c r="H376" s="195"/>
      <c r="I376" s="159"/>
      <c r="J376" s="195"/>
      <c r="K376" s="161"/>
      <c r="L376" s="196"/>
      <c r="M376" s="197"/>
      <c r="N376" s="164"/>
      <c r="O376" s="165"/>
      <c r="P376" s="166"/>
      <c r="Q376" s="166"/>
      <c r="R376" s="71"/>
    </row>
    <row r="377" spans="1:18" s="61" customFormat="1" x14ac:dyDescent="0.25">
      <c r="A377" s="358"/>
      <c r="B377" s="361"/>
      <c r="C377" s="194"/>
      <c r="D377" s="194"/>
      <c r="E377" s="194"/>
      <c r="F377" s="194"/>
      <c r="G377" s="217"/>
      <c r="H377" s="195"/>
      <c r="I377" s="159"/>
      <c r="J377" s="195"/>
      <c r="K377" s="161"/>
      <c r="L377" s="196"/>
      <c r="M377" s="197"/>
      <c r="N377" s="164"/>
      <c r="O377" s="165"/>
      <c r="P377" s="166"/>
      <c r="Q377" s="166"/>
      <c r="R377" s="71"/>
    </row>
    <row r="378" spans="1:18" s="61" customFormat="1" x14ac:dyDescent="0.25">
      <c r="A378" s="358"/>
      <c r="B378" s="361"/>
      <c r="C378" s="194"/>
      <c r="D378" s="350" t="s">
        <v>64</v>
      </c>
      <c r="E378" s="350"/>
      <c r="F378" s="350"/>
      <c r="G378" s="350"/>
      <c r="H378" s="195"/>
      <c r="I378" s="159"/>
      <c r="J378" s="195"/>
      <c r="K378" s="161"/>
      <c r="L378" s="196"/>
      <c r="M378" s="197"/>
      <c r="N378" s="164"/>
      <c r="O378" s="165"/>
      <c r="P378" s="166"/>
      <c r="Q378" s="166"/>
      <c r="R378" s="71"/>
    </row>
    <row r="379" spans="1:18" s="61" customFormat="1" x14ac:dyDescent="0.25">
      <c r="A379" s="358"/>
      <c r="B379" s="361"/>
      <c r="C379" s="194"/>
      <c r="D379" s="194"/>
      <c r="E379" s="194"/>
      <c r="F379" s="194"/>
      <c r="G379" s="217"/>
      <c r="H379" s="195"/>
      <c r="I379" s="159"/>
      <c r="J379" s="195"/>
      <c r="K379" s="161"/>
      <c r="L379" s="196"/>
      <c r="M379" s="197"/>
      <c r="N379" s="164"/>
      <c r="O379" s="165"/>
      <c r="P379" s="166"/>
      <c r="Q379" s="166"/>
      <c r="R379" s="71"/>
    </row>
    <row r="380" spans="1:18" s="61" customFormat="1" x14ac:dyDescent="0.25">
      <c r="A380" s="358"/>
      <c r="B380" s="361"/>
      <c r="C380" s="194"/>
      <c r="D380" s="355" t="s">
        <v>5</v>
      </c>
      <c r="E380" s="355"/>
      <c r="F380" s="355"/>
      <c r="G380" s="355"/>
      <c r="H380" s="195"/>
      <c r="I380" s="159"/>
      <c r="J380" s="195"/>
      <c r="K380" s="161"/>
      <c r="L380" s="196"/>
      <c r="M380" s="197"/>
      <c r="N380" s="164"/>
      <c r="O380" s="198">
        <f>O381+O391+O402+O404+O406+O408+O410</f>
        <v>31837.230990014643</v>
      </c>
      <c r="P380" s="166"/>
      <c r="Q380" s="166"/>
      <c r="R380" s="71"/>
    </row>
    <row r="381" spans="1:18" s="61" customFormat="1" x14ac:dyDescent="0.25">
      <c r="A381" s="358"/>
      <c r="B381" s="361"/>
      <c r="C381" s="218" t="s">
        <v>70</v>
      </c>
      <c r="D381" s="355" t="s">
        <v>6</v>
      </c>
      <c r="E381" s="355"/>
      <c r="F381" s="355"/>
      <c r="G381" s="355"/>
      <c r="H381" s="189"/>
      <c r="I381" s="159"/>
      <c r="J381" s="189"/>
      <c r="K381" s="161"/>
      <c r="L381" s="190"/>
      <c r="M381" s="197"/>
      <c r="N381" s="210"/>
      <c r="O381" s="198">
        <f>O390</f>
        <v>5735.9784090199992</v>
      </c>
      <c r="P381" s="166"/>
      <c r="Q381" s="166"/>
      <c r="R381" s="71"/>
    </row>
    <row r="382" spans="1:18" s="61" customFormat="1" ht="31.5" x14ac:dyDescent="0.25">
      <c r="A382" s="358"/>
      <c r="B382" s="361"/>
      <c r="C382" s="221" t="s">
        <v>72</v>
      </c>
      <c r="D382" s="222" t="s">
        <v>7</v>
      </c>
      <c r="E382" s="223" t="s">
        <v>8</v>
      </c>
      <c r="F382" s="223" t="s">
        <v>8</v>
      </c>
      <c r="G382" s="238">
        <f>MROUND(H382*L382*I382/K382,0.00000000001)</f>
        <v>109.85198231135</v>
      </c>
      <c r="H382" s="160">
        <f t="shared" ref="H382:H389" si="84">H22</f>
        <v>3313121.4264326878</v>
      </c>
      <c r="I382" s="159">
        <f>I372</f>
        <v>0.30039917999999999</v>
      </c>
      <c r="J382" s="160"/>
      <c r="K382" s="161">
        <f>K372</f>
        <v>9060</v>
      </c>
      <c r="L382" s="250">
        <v>1</v>
      </c>
      <c r="M382" s="163" t="str">
        <f t="shared" ref="M382:M387" si="85">CONCATENATE(H382," ",F382,"(лимиты выделенные УЖКХ) ","*",I382,"/",K382,"чел.")</f>
        <v>3313121,42643269 кВт час.(лимиты выделенные УЖКХ) *0,30039918/9060чел.</v>
      </c>
      <c r="N382" s="164">
        <f t="shared" ref="N382:N389" si="86">N22</f>
        <v>10.418446162163715</v>
      </c>
      <c r="O382" s="165">
        <f t="shared" ref="O382:O389" si="87">MROUND(G382*N382,0.000001)</f>
        <v>1144.4869639999999</v>
      </c>
      <c r="P382" s="166"/>
      <c r="Q382" s="166">
        <f t="shared" si="75"/>
        <v>10369051.89384</v>
      </c>
      <c r="R382" s="71"/>
    </row>
    <row r="383" spans="1:18" s="61" customFormat="1" ht="31.5" x14ac:dyDescent="0.25">
      <c r="A383" s="358"/>
      <c r="B383" s="361"/>
      <c r="C383" s="221" t="s">
        <v>73</v>
      </c>
      <c r="D383" s="222" t="s">
        <v>9</v>
      </c>
      <c r="E383" s="223" t="s">
        <v>10</v>
      </c>
      <c r="F383" s="223" t="s">
        <v>10</v>
      </c>
      <c r="G383" s="238">
        <f>MROUND(H383*L383*I383/K383,0.00000000001)</f>
        <v>1.0576103532199999</v>
      </c>
      <c r="H383" s="160">
        <f t="shared" si="84"/>
        <v>31897.39</v>
      </c>
      <c r="I383" s="159">
        <f t="shared" ref="I383:I450" si="88">I382</f>
        <v>0.30039917999999999</v>
      </c>
      <c r="J383" s="160"/>
      <c r="K383" s="161">
        <f t="shared" ref="K383:K389" si="89">K382</f>
        <v>9060</v>
      </c>
      <c r="L383" s="250">
        <v>1</v>
      </c>
      <c r="M383" s="163" t="str">
        <f t="shared" si="85"/>
        <v>31897,39 Гкал(лимиты выделенные УЖКХ) *0,30039918/9060чел.</v>
      </c>
      <c r="N383" s="164">
        <f t="shared" si="86"/>
        <v>2845.3650600830792</v>
      </c>
      <c r="O383" s="165">
        <f t="shared" si="87"/>
        <v>3009.287546</v>
      </c>
      <c r="P383" s="166"/>
      <c r="Q383" s="166">
        <f t="shared" si="75"/>
        <v>27264145.166760001</v>
      </c>
      <c r="R383" s="71"/>
    </row>
    <row r="384" spans="1:18" s="61" customFormat="1" ht="31.5" x14ac:dyDescent="0.25">
      <c r="A384" s="358"/>
      <c r="B384" s="361"/>
      <c r="C384" s="364" t="s">
        <v>74</v>
      </c>
      <c r="D384" s="222" t="s">
        <v>12</v>
      </c>
      <c r="E384" s="222" t="s">
        <v>11</v>
      </c>
      <c r="F384" s="222" t="s">
        <v>11</v>
      </c>
      <c r="G384" s="238">
        <f>MROUND(H384*L384*I384/K384,0.00000000001)</f>
        <v>6.1248664010299994</v>
      </c>
      <c r="H384" s="224">
        <f t="shared" si="84"/>
        <v>184725.17</v>
      </c>
      <c r="I384" s="159">
        <f t="shared" si="88"/>
        <v>0.30039917999999999</v>
      </c>
      <c r="J384" s="160"/>
      <c r="K384" s="161">
        <f t="shared" si="89"/>
        <v>9060</v>
      </c>
      <c r="L384" s="250">
        <v>1</v>
      </c>
      <c r="M384" s="163" t="str">
        <f t="shared" si="85"/>
        <v>184725,17 м3(лимиты выделенные УЖКХ) *0,30039918/9060чел.</v>
      </c>
      <c r="N384" s="164">
        <f t="shared" si="86"/>
        <v>51.830000102314166</v>
      </c>
      <c r="O384" s="165">
        <f t="shared" si="87"/>
        <v>317.45182599999998</v>
      </c>
      <c r="P384" s="166"/>
      <c r="Q384" s="166">
        <f t="shared" si="75"/>
        <v>2876113.5435599997</v>
      </c>
      <c r="R384" s="71"/>
    </row>
    <row r="385" spans="1:18" s="61" customFormat="1" ht="47.25" x14ac:dyDescent="0.25">
      <c r="A385" s="358"/>
      <c r="B385" s="361"/>
      <c r="C385" s="364"/>
      <c r="D385" s="222" t="s">
        <v>17</v>
      </c>
      <c r="E385" s="222" t="s">
        <v>11</v>
      </c>
      <c r="F385" s="222" t="s">
        <v>11</v>
      </c>
      <c r="G385" s="238">
        <f>MROUND(H385*L385*I385/K385,0.00000000001)</f>
        <v>6.1248664010299994</v>
      </c>
      <c r="H385" s="160">
        <f t="shared" si="84"/>
        <v>184725.17</v>
      </c>
      <c r="I385" s="159">
        <f t="shared" si="88"/>
        <v>0.30039917999999999</v>
      </c>
      <c r="J385" s="160"/>
      <c r="K385" s="161">
        <f t="shared" si="89"/>
        <v>9060</v>
      </c>
      <c r="L385" s="162">
        <f>$L$25</f>
        <v>1</v>
      </c>
      <c r="M385" s="163" t="str">
        <f t="shared" si="85"/>
        <v>184725,17 м3(лимиты выделенные УЖКХ) *0,30039918/9060чел.</v>
      </c>
      <c r="N385" s="164">
        <f t="shared" si="86"/>
        <v>78.76115753094173</v>
      </c>
      <c r="O385" s="165">
        <f t="shared" si="87"/>
        <v>482.401567</v>
      </c>
      <c r="P385" s="166"/>
      <c r="Q385" s="166">
        <f t="shared" si="75"/>
        <v>4370558.1970199998</v>
      </c>
      <c r="R385" s="71"/>
    </row>
    <row r="386" spans="1:18" s="61" customFormat="1" ht="31.5" x14ac:dyDescent="0.25">
      <c r="A386" s="358"/>
      <c r="B386" s="361"/>
      <c r="C386" s="364"/>
      <c r="D386" s="222" t="s">
        <v>13</v>
      </c>
      <c r="E386" s="222" t="s">
        <v>11</v>
      </c>
      <c r="F386" s="222" t="s">
        <v>11</v>
      </c>
      <c r="G386" s="238">
        <f>MROUND(H386*L386*I386/K386,0.00000000001)</f>
        <v>6.1248664010299994</v>
      </c>
      <c r="H386" s="160">
        <f t="shared" si="84"/>
        <v>184725.17</v>
      </c>
      <c r="I386" s="159">
        <f t="shared" si="88"/>
        <v>0.30039917999999999</v>
      </c>
      <c r="J386" s="160"/>
      <c r="K386" s="161">
        <f t="shared" si="89"/>
        <v>9060</v>
      </c>
      <c r="L386" s="162">
        <v>1</v>
      </c>
      <c r="M386" s="163" t="str">
        <f t="shared" si="85"/>
        <v>184725,17 м3(лимиты выделенные УЖКХ) *0,30039918/9060чел.</v>
      </c>
      <c r="N386" s="164">
        <f t="shared" si="86"/>
        <v>107.41979263410609</v>
      </c>
      <c r="O386" s="165">
        <f>MROUND(G386*N386,0.00000001)</f>
        <v>657.93187870999998</v>
      </c>
      <c r="P386" s="166"/>
      <c r="Q386" s="166">
        <f t="shared" si="75"/>
        <v>5960862.8211126002</v>
      </c>
      <c r="R386" s="71"/>
    </row>
    <row r="387" spans="1:18" s="61" customFormat="1" ht="31.5" x14ac:dyDescent="0.25">
      <c r="A387" s="358"/>
      <c r="B387" s="361"/>
      <c r="C387" s="221" t="s">
        <v>75</v>
      </c>
      <c r="D387" s="222" t="s">
        <v>18</v>
      </c>
      <c r="E387" s="222" t="s">
        <v>48</v>
      </c>
      <c r="F387" s="222" t="s">
        <v>48</v>
      </c>
      <c r="G387" s="238">
        <f>MROUND(H387*L387*I387/K387,0.0000000001)</f>
        <v>0.46046618680000001</v>
      </c>
      <c r="H387" s="160">
        <f t="shared" si="84"/>
        <v>13887.6</v>
      </c>
      <c r="I387" s="159">
        <f t="shared" si="88"/>
        <v>0.30039917999999999</v>
      </c>
      <c r="J387" s="160"/>
      <c r="K387" s="161">
        <f t="shared" si="89"/>
        <v>9060</v>
      </c>
      <c r="L387" s="250">
        <v>1</v>
      </c>
      <c r="M387" s="163" t="str">
        <f t="shared" si="85"/>
        <v>13887,6 тыс. м3(лимиты выделенные УЖКХ) *0,30039918/9060чел.</v>
      </c>
      <c r="N387" s="164">
        <f t="shared" si="86"/>
        <v>29.231582850888564</v>
      </c>
      <c r="O387" s="165">
        <f t="shared" si="87"/>
        <v>13.460154999999999</v>
      </c>
      <c r="P387" s="166"/>
      <c r="Q387" s="166">
        <f t="shared" si="75"/>
        <v>121949.00429999999</v>
      </c>
      <c r="R387" s="71"/>
    </row>
    <row r="388" spans="1:18" s="61" customFormat="1" x14ac:dyDescent="0.25">
      <c r="A388" s="358"/>
      <c r="B388" s="361"/>
      <c r="C388" s="364" t="s">
        <v>216</v>
      </c>
      <c r="D388" s="222" t="s">
        <v>23</v>
      </c>
      <c r="E388" s="222" t="s">
        <v>11</v>
      </c>
      <c r="F388" s="222" t="s">
        <v>11</v>
      </c>
      <c r="G388" s="238">
        <f>MROUND(H388*L388*I388/K388,0.000000000001)</f>
        <v>0.111692791801</v>
      </c>
      <c r="H388" s="160">
        <f t="shared" si="84"/>
        <v>3368.6400000000003</v>
      </c>
      <c r="I388" s="159">
        <f t="shared" si="88"/>
        <v>0.30039917999999999</v>
      </c>
      <c r="J388" s="160"/>
      <c r="K388" s="161">
        <f t="shared" si="89"/>
        <v>9060</v>
      </c>
      <c r="L388" s="162">
        <f>L387</f>
        <v>1</v>
      </c>
      <c r="M388" s="163" t="str">
        <f>CONCATENATE(H388," ",F388," ","*",I388,"/",K388,"чел.")</f>
        <v>3368,64 м3 *0,30039918/9060чел.</v>
      </c>
      <c r="N388" s="164">
        <f t="shared" si="86"/>
        <v>742.21370939013957</v>
      </c>
      <c r="O388" s="165">
        <f>MROUND(G388*N388,0.00000001)</f>
        <v>82.899921309999996</v>
      </c>
      <c r="P388" s="166"/>
      <c r="Q388" s="166">
        <f t="shared" si="75"/>
        <v>751073.28706859995</v>
      </c>
      <c r="R388" s="71"/>
    </row>
    <row r="389" spans="1:18" s="61" customFormat="1" ht="63" x14ac:dyDescent="0.25">
      <c r="A389" s="358"/>
      <c r="B389" s="361"/>
      <c r="C389" s="364"/>
      <c r="D389" s="222" t="s">
        <v>24</v>
      </c>
      <c r="E389" s="222" t="s">
        <v>25</v>
      </c>
      <c r="F389" s="222" t="s">
        <v>217</v>
      </c>
      <c r="G389" s="238">
        <f>MROUND(H389*L389*I389/K389,0.000000000001)</f>
        <v>4.8740264300000001E-3</v>
      </c>
      <c r="H389" s="160">
        <f t="shared" si="84"/>
        <v>147</v>
      </c>
      <c r="I389" s="159">
        <f t="shared" si="88"/>
        <v>0.30039917999999999</v>
      </c>
      <c r="J389" s="160"/>
      <c r="K389" s="161">
        <f t="shared" si="89"/>
        <v>9060</v>
      </c>
      <c r="L389" s="250">
        <f>L388</f>
        <v>1</v>
      </c>
      <c r="M389" s="163" t="str">
        <f>CONCATENATE(H389," ",F389,"(потребность из расчета 4 контейнера для уборки территории весной и осенью на 1 учреждение)","*",I389,"/",K389,"чел.")</f>
        <v>147 контейнера(потребность из расчета 4 контейнера для уборки территории весной и осенью на 1 учреждение)*0,30039918/9060чел.</v>
      </c>
      <c r="N389" s="164">
        <f t="shared" si="86"/>
        <v>5756.7497959183638</v>
      </c>
      <c r="O389" s="165">
        <f t="shared" si="87"/>
        <v>28.058550999999998</v>
      </c>
      <c r="P389" s="166"/>
      <c r="Q389" s="166">
        <f t="shared" si="75"/>
        <v>254210.47205999997</v>
      </c>
      <c r="R389" s="71"/>
    </row>
    <row r="390" spans="1:18" s="61" customFormat="1" x14ac:dyDescent="0.25">
      <c r="A390" s="358"/>
      <c r="B390" s="361"/>
      <c r="C390" s="218" t="s">
        <v>290</v>
      </c>
      <c r="D390" s="226"/>
      <c r="E390" s="226"/>
      <c r="F390" s="226"/>
      <c r="G390" s="227"/>
      <c r="H390" s="228"/>
      <c r="I390" s="206"/>
      <c r="J390" s="228"/>
      <c r="K390" s="207"/>
      <c r="L390" s="257"/>
      <c r="M390" s="209"/>
      <c r="N390" s="210"/>
      <c r="O390" s="198">
        <f>SUM(O382:O389)</f>
        <v>5735.9784090199992</v>
      </c>
      <c r="P390" s="166"/>
      <c r="Q390" s="166"/>
      <c r="R390" s="71"/>
    </row>
    <row r="391" spans="1:18" s="61" customFormat="1" x14ac:dyDescent="0.25">
      <c r="A391" s="358"/>
      <c r="B391" s="361"/>
      <c r="C391" s="221"/>
      <c r="D391" s="356" t="s">
        <v>14</v>
      </c>
      <c r="E391" s="356"/>
      <c r="F391" s="356"/>
      <c r="G391" s="356"/>
      <c r="H391" s="188"/>
      <c r="I391" s="159"/>
      <c r="J391" s="188"/>
      <c r="K391" s="161"/>
      <c r="L391" s="250"/>
      <c r="M391" s="230"/>
      <c r="N391" s="164"/>
      <c r="O391" s="198">
        <f>O399+O400+O395</f>
        <v>23888.187560734641</v>
      </c>
      <c r="P391" s="166"/>
      <c r="Q391" s="166"/>
      <c r="R391" s="71"/>
    </row>
    <row r="392" spans="1:18" s="61" customFormat="1" x14ac:dyDescent="0.25">
      <c r="A392" s="358"/>
      <c r="B392" s="361"/>
      <c r="C392" s="221" t="s">
        <v>379</v>
      </c>
      <c r="D392" s="231" t="s">
        <v>49</v>
      </c>
      <c r="E392" s="231" t="s">
        <v>22</v>
      </c>
      <c r="F392" s="231" t="s">
        <v>22</v>
      </c>
      <c r="G392" s="238">
        <f>MROUND(H392*L392*I392/K392,0.000000001)</f>
        <v>0</v>
      </c>
      <c r="H392" s="160"/>
      <c r="I392" s="159">
        <f>I387</f>
        <v>0.30039917999999999</v>
      </c>
      <c r="J392" s="160"/>
      <c r="K392" s="161">
        <f>K387</f>
        <v>9060</v>
      </c>
      <c r="L392" s="250"/>
      <c r="M392" s="163"/>
      <c r="N392" s="164">
        <f>N32</f>
        <v>0</v>
      </c>
      <c r="O392" s="165">
        <f>MROUND(G392*N392,0.00000001)</f>
        <v>0</v>
      </c>
      <c r="P392" s="166"/>
      <c r="Q392" s="166">
        <f t="shared" si="75"/>
        <v>0</v>
      </c>
      <c r="R392" s="71"/>
    </row>
    <row r="393" spans="1:18" s="61" customFormat="1" x14ac:dyDescent="0.25">
      <c r="A393" s="358"/>
      <c r="B393" s="361"/>
      <c r="C393" s="221" t="s">
        <v>379</v>
      </c>
      <c r="D393" s="231" t="s">
        <v>49</v>
      </c>
      <c r="E393" s="231" t="s">
        <v>28</v>
      </c>
      <c r="F393" s="231" t="s">
        <v>28</v>
      </c>
      <c r="G393" s="238">
        <f>MROUND(H393*L393*I393/K393,0.000000000000000001)</f>
        <v>1.6578321192053E-4</v>
      </c>
      <c r="H393" s="160">
        <f>H33</f>
        <v>5</v>
      </c>
      <c r="I393" s="159">
        <f t="shared" si="88"/>
        <v>0.30039917999999999</v>
      </c>
      <c r="J393" s="160"/>
      <c r="K393" s="161">
        <f>K392</f>
        <v>9060</v>
      </c>
      <c r="L393" s="250">
        <v>1</v>
      </c>
      <c r="M393" s="163" t="str">
        <f>CONCATENATE(H393," ",F393,"*",I393,"/",K393,"чел.")</f>
        <v>5 шт*0,30039918/9060чел.</v>
      </c>
      <c r="N393" s="164">
        <f>N33</f>
        <v>28120000</v>
      </c>
      <c r="O393" s="165">
        <f>MROUND(G393*N393,0.00000001)</f>
        <v>4661.82391921</v>
      </c>
      <c r="P393" s="166"/>
      <c r="Q393" s="166">
        <f t="shared" si="75"/>
        <v>42236124.708042599</v>
      </c>
      <c r="R393" s="71"/>
    </row>
    <row r="394" spans="1:18" s="61" customFormat="1" x14ac:dyDescent="0.25">
      <c r="A394" s="358"/>
      <c r="B394" s="361"/>
      <c r="C394" s="221" t="s">
        <v>379</v>
      </c>
      <c r="D394" s="231" t="s">
        <v>49</v>
      </c>
      <c r="E394" s="231" t="s">
        <v>101</v>
      </c>
      <c r="F394" s="231" t="s">
        <v>101</v>
      </c>
      <c r="G394" s="238">
        <f>MROUND(H394*L394*I394/K394,0.000000001)</f>
        <v>0</v>
      </c>
      <c r="H394" s="160"/>
      <c r="I394" s="159">
        <f t="shared" si="88"/>
        <v>0.30039917999999999</v>
      </c>
      <c r="J394" s="160"/>
      <c r="K394" s="161">
        <f>K393</f>
        <v>9060</v>
      </c>
      <c r="L394" s="250"/>
      <c r="M394" s="163"/>
      <c r="N394" s="164">
        <f>N34</f>
        <v>0</v>
      </c>
      <c r="O394" s="165">
        <f>MROUND(G394*N394,0.00000001)</f>
        <v>0</v>
      </c>
      <c r="P394" s="166"/>
      <c r="Q394" s="166">
        <f t="shared" si="75"/>
        <v>0</v>
      </c>
      <c r="R394" s="71"/>
    </row>
    <row r="395" spans="1:18" s="61" customFormat="1" x14ac:dyDescent="0.25">
      <c r="A395" s="358"/>
      <c r="B395" s="361"/>
      <c r="C395" s="218" t="s">
        <v>381</v>
      </c>
      <c r="D395" s="232"/>
      <c r="E395" s="232"/>
      <c r="F395" s="232"/>
      <c r="G395" s="227"/>
      <c r="H395" s="228"/>
      <c r="I395" s="206"/>
      <c r="J395" s="228"/>
      <c r="K395" s="207"/>
      <c r="L395" s="257"/>
      <c r="M395" s="209"/>
      <c r="N395" s="210"/>
      <c r="O395" s="198">
        <f>SUM(O392:O394)</f>
        <v>4661.82391921</v>
      </c>
      <c r="P395" s="166"/>
      <c r="Q395" s="166"/>
      <c r="R395" s="71"/>
    </row>
    <row r="396" spans="1:18" s="61" customFormat="1" x14ac:dyDescent="0.25">
      <c r="A396" s="358"/>
      <c r="B396" s="361"/>
      <c r="C396" s="221" t="s">
        <v>76</v>
      </c>
      <c r="D396" s="231" t="s">
        <v>49</v>
      </c>
      <c r="E396" s="231" t="s">
        <v>22</v>
      </c>
      <c r="F396" s="231" t="s">
        <v>22</v>
      </c>
      <c r="G396" s="238">
        <f>MROUND(H396*L396*I396/K396,0.00000000000001)</f>
        <v>2.4276305485699301</v>
      </c>
      <c r="H396" s="160">
        <f>H36</f>
        <v>73217.02</v>
      </c>
      <c r="I396" s="159">
        <f>I394</f>
        <v>0.30039917999999999</v>
      </c>
      <c r="J396" s="160"/>
      <c r="K396" s="161">
        <f>K394</f>
        <v>9060</v>
      </c>
      <c r="L396" s="250">
        <v>1</v>
      </c>
      <c r="M396" s="163" t="str">
        <f>CONCATENATE(H396," ",F396,"*",I396,"/",K396,"чел.")</f>
        <v>73217,02 м2*0,30039918/9060чел.</v>
      </c>
      <c r="N396" s="164">
        <f>N36</f>
        <v>3335.1026185604301</v>
      </c>
      <c r="O396" s="165">
        <f>MROUND(G396*N396,0.00000000001)</f>
        <v>8096.39699943287</v>
      </c>
      <c r="P396" s="166"/>
      <c r="Q396" s="166">
        <f t="shared" si="75"/>
        <v>73353356.814861804</v>
      </c>
      <c r="R396" s="71"/>
    </row>
    <row r="397" spans="1:18" s="61" customFormat="1" x14ac:dyDescent="0.25">
      <c r="A397" s="358"/>
      <c r="B397" s="361"/>
      <c r="C397" s="221"/>
      <c r="D397" s="231" t="s">
        <v>49</v>
      </c>
      <c r="E397" s="231" t="s">
        <v>28</v>
      </c>
      <c r="F397" s="231" t="s">
        <v>28</v>
      </c>
      <c r="G397" s="238">
        <f>MROUND(H397*L397*I397/K397,0.000000000001)</f>
        <v>0.13760006589400001</v>
      </c>
      <c r="H397" s="160">
        <f>H37</f>
        <v>4150</v>
      </c>
      <c r="I397" s="159">
        <f t="shared" si="88"/>
        <v>0.30039917999999999</v>
      </c>
      <c r="J397" s="160"/>
      <c r="K397" s="161">
        <f>K396</f>
        <v>9060</v>
      </c>
      <c r="L397" s="250">
        <v>1</v>
      </c>
      <c r="M397" s="163" t="str">
        <f>CONCATENATE(H397," ",F397,"*",I397,"/",K397,"чел.")</f>
        <v>4150 шт*0,30039918/9060чел.</v>
      </c>
      <c r="N397" s="164">
        <f>N37</f>
        <v>71617.619331325302</v>
      </c>
      <c r="O397" s="165">
        <f>MROUND(G397*N397,0.00000000001)</f>
        <v>9854.5891391617697</v>
      </c>
      <c r="P397" s="166"/>
      <c r="Q397" s="166">
        <f t="shared" si="75"/>
        <v>89282577.60080564</v>
      </c>
      <c r="R397" s="71"/>
    </row>
    <row r="398" spans="1:18" s="61" customFormat="1" x14ac:dyDescent="0.25">
      <c r="A398" s="358"/>
      <c r="B398" s="361"/>
      <c r="C398" s="221"/>
      <c r="D398" s="231" t="s">
        <v>49</v>
      </c>
      <c r="E398" s="231" t="s">
        <v>101</v>
      </c>
      <c r="F398" s="231" t="s">
        <v>101</v>
      </c>
      <c r="G398" s="238">
        <f>MROUND(H398*L398*I398/K398,0.000000001)</f>
        <v>0.47327791300000005</v>
      </c>
      <c r="H398" s="160">
        <f>H38</f>
        <v>14274</v>
      </c>
      <c r="I398" s="159">
        <f t="shared" si="88"/>
        <v>0.30039917999999999</v>
      </c>
      <c r="J398" s="160"/>
      <c r="K398" s="161">
        <f>K397</f>
        <v>9060</v>
      </c>
      <c r="L398" s="250">
        <v>1</v>
      </c>
      <c r="M398" s="163" t="str">
        <f>CONCATENATE(H398," ",F398,"*",I398,"/",K398,"чел.")</f>
        <v>14274 погон.м.*0,30039918/9060чел.</v>
      </c>
      <c r="N398" s="164">
        <f>N38</f>
        <v>2694.7750315258509</v>
      </c>
      <c r="O398" s="165">
        <f>MROUND(G398*N398,0.00000001)</f>
        <v>1275.37750293</v>
      </c>
      <c r="P398" s="166"/>
      <c r="Q398" s="166">
        <f t="shared" si="75"/>
        <v>11554920.176545801</v>
      </c>
      <c r="R398" s="71"/>
    </row>
    <row r="399" spans="1:18" s="61" customFormat="1" x14ac:dyDescent="0.25">
      <c r="A399" s="358"/>
      <c r="B399" s="361"/>
      <c r="C399" s="218" t="s">
        <v>302</v>
      </c>
      <c r="D399" s="232"/>
      <c r="E399" s="232"/>
      <c r="F399" s="232"/>
      <c r="G399" s="227"/>
      <c r="H399" s="228"/>
      <c r="I399" s="206"/>
      <c r="J399" s="228"/>
      <c r="K399" s="207"/>
      <c r="L399" s="257"/>
      <c r="M399" s="209"/>
      <c r="N399" s="210"/>
      <c r="O399" s="198">
        <f>SUM(O396:O398)</f>
        <v>19226.36364152464</v>
      </c>
      <c r="P399" s="166"/>
      <c r="Q399" s="166"/>
      <c r="R399" s="71"/>
    </row>
    <row r="400" spans="1:18" s="61" customFormat="1" x14ac:dyDescent="0.25">
      <c r="A400" s="358"/>
      <c r="B400" s="361"/>
      <c r="C400" s="221" t="s">
        <v>77</v>
      </c>
      <c r="D400" s="231"/>
      <c r="E400" s="231"/>
      <c r="F400" s="231"/>
      <c r="G400" s="238">
        <f>MROUND(H400*L400*I400/K400,0.00000000001)</f>
        <v>0</v>
      </c>
      <c r="H400" s="160">
        <f>H160</f>
        <v>0</v>
      </c>
      <c r="I400" s="159">
        <f>I398</f>
        <v>0.30039917999999999</v>
      </c>
      <c r="J400" s="160"/>
      <c r="K400" s="161">
        <f>K398</f>
        <v>9060</v>
      </c>
      <c r="L400" s="250"/>
      <c r="M400" s="163"/>
      <c r="N400" s="164">
        <f>N160</f>
        <v>0</v>
      </c>
      <c r="O400" s="165">
        <f>MROUND(G400*N400,0.000000001)</f>
        <v>0</v>
      </c>
      <c r="P400" s="166"/>
      <c r="Q400" s="166">
        <f t="shared" ref="Q400:Q461" si="90">O400*K400</f>
        <v>0</v>
      </c>
      <c r="R400" s="71"/>
    </row>
    <row r="401" spans="1:41" s="61" customFormat="1" x14ac:dyDescent="0.25">
      <c r="A401" s="358"/>
      <c r="B401" s="361"/>
      <c r="C401" s="218" t="s">
        <v>304</v>
      </c>
      <c r="D401" s="232"/>
      <c r="E401" s="232"/>
      <c r="F401" s="232"/>
      <c r="G401" s="227"/>
      <c r="H401" s="228"/>
      <c r="I401" s="206"/>
      <c r="J401" s="228"/>
      <c r="K401" s="207"/>
      <c r="L401" s="257"/>
      <c r="M401" s="209"/>
      <c r="N401" s="210"/>
      <c r="O401" s="198">
        <f>O400</f>
        <v>0</v>
      </c>
      <c r="P401" s="166"/>
      <c r="Q401" s="166"/>
      <c r="R401" s="71"/>
    </row>
    <row r="402" spans="1:41" s="61" customFormat="1" x14ac:dyDescent="0.25">
      <c r="A402" s="358"/>
      <c r="B402" s="361"/>
      <c r="C402" s="221"/>
      <c r="D402" s="350" t="s">
        <v>65</v>
      </c>
      <c r="E402" s="350"/>
      <c r="F402" s="350"/>
      <c r="G402" s="350"/>
      <c r="H402" s="195"/>
      <c r="I402" s="159"/>
      <c r="J402" s="195"/>
      <c r="K402" s="161"/>
      <c r="L402" s="196"/>
      <c r="M402" s="230"/>
      <c r="N402" s="164"/>
      <c r="O402" s="165">
        <f t="shared" ref="O402:O409" si="91">MROUND(G402*N402,0.000001)</f>
        <v>0</v>
      </c>
      <c r="P402" s="166"/>
      <c r="Q402" s="166"/>
      <c r="R402" s="71"/>
    </row>
    <row r="403" spans="1:41" s="61" customFormat="1" x14ac:dyDescent="0.25">
      <c r="A403" s="358"/>
      <c r="B403" s="361"/>
      <c r="C403" s="221"/>
      <c r="D403" s="194"/>
      <c r="E403" s="194"/>
      <c r="F403" s="194"/>
      <c r="G403" s="217"/>
      <c r="H403" s="195"/>
      <c r="I403" s="159"/>
      <c r="J403" s="195"/>
      <c r="K403" s="161"/>
      <c r="L403" s="196"/>
      <c r="M403" s="230"/>
      <c r="N403" s="164"/>
      <c r="O403" s="165">
        <f t="shared" si="91"/>
        <v>0</v>
      </c>
      <c r="P403" s="166"/>
      <c r="Q403" s="166"/>
      <c r="R403" s="71"/>
    </row>
    <row r="404" spans="1:41" s="61" customFormat="1" x14ac:dyDescent="0.25">
      <c r="A404" s="358"/>
      <c r="B404" s="361"/>
      <c r="C404" s="221" t="s">
        <v>357</v>
      </c>
      <c r="D404" s="368" t="s">
        <v>66</v>
      </c>
      <c r="E404" s="368"/>
      <c r="F404" s="368"/>
      <c r="G404" s="368"/>
      <c r="H404" s="195"/>
      <c r="I404" s="159"/>
      <c r="J404" s="195"/>
      <c r="K404" s="161"/>
      <c r="L404" s="234"/>
      <c r="M404" s="230"/>
      <c r="N404" s="164"/>
      <c r="O404" s="198">
        <f>O405</f>
        <v>5.9970349999999994</v>
      </c>
      <c r="P404" s="166"/>
      <c r="Q404" s="166"/>
      <c r="R404" s="71"/>
    </row>
    <row r="405" spans="1:41" s="61" customFormat="1" ht="47.25" x14ac:dyDescent="0.25">
      <c r="A405" s="358"/>
      <c r="B405" s="361"/>
      <c r="C405" s="221"/>
      <c r="D405" s="222" t="s">
        <v>374</v>
      </c>
      <c r="E405" s="194" t="s">
        <v>28</v>
      </c>
      <c r="F405" s="194" t="s">
        <v>28</v>
      </c>
      <c r="G405" s="217">
        <f>MROUND(H405*L405*I405/K405,0.000000001)</f>
        <v>4.7745570000000005E-3</v>
      </c>
      <c r="H405" s="201">
        <f>H45</f>
        <v>36</v>
      </c>
      <c r="I405" s="159">
        <f>I400</f>
        <v>0.30039917999999999</v>
      </c>
      <c r="J405" s="195"/>
      <c r="K405" s="161">
        <f>K400</f>
        <v>9060</v>
      </c>
      <c r="L405" s="235">
        <f>L45</f>
        <v>4</v>
      </c>
      <c r="M405" s="163" t="str">
        <f>CONCATENATE(H405," ",F405,"*",I405,"/",K405,"чел.")</f>
        <v>36 шт*0,30039918/9060чел.</v>
      </c>
      <c r="N405" s="164">
        <f>N45</f>
        <v>1256.0400000000006</v>
      </c>
      <c r="O405" s="165">
        <f>MROUND(G405*N405,0.000001)</f>
        <v>5.9970349999999994</v>
      </c>
      <c r="P405" s="166"/>
      <c r="Q405" s="166">
        <f t="shared" si="90"/>
        <v>54333.137099999993</v>
      </c>
      <c r="R405" s="71"/>
    </row>
    <row r="406" spans="1:41" s="61" customFormat="1" x14ac:dyDescent="0.25">
      <c r="A406" s="358"/>
      <c r="B406" s="361"/>
      <c r="C406" s="221"/>
      <c r="D406" s="368" t="s">
        <v>67</v>
      </c>
      <c r="E406" s="368"/>
      <c r="F406" s="368"/>
      <c r="G406" s="368"/>
      <c r="H406" s="195"/>
      <c r="I406" s="159"/>
      <c r="J406" s="195"/>
      <c r="K406" s="161"/>
      <c r="L406" s="196"/>
      <c r="M406" s="230"/>
      <c r="N406" s="164"/>
      <c r="O406" s="165">
        <f t="shared" si="91"/>
        <v>0</v>
      </c>
      <c r="P406" s="166"/>
      <c r="Q406" s="166"/>
      <c r="R406" s="71"/>
    </row>
    <row r="407" spans="1:41" s="61" customFormat="1" x14ac:dyDescent="0.25">
      <c r="A407" s="358"/>
      <c r="B407" s="361"/>
      <c r="C407" s="221"/>
      <c r="D407" s="194"/>
      <c r="E407" s="194"/>
      <c r="F407" s="194"/>
      <c r="G407" s="217"/>
      <c r="H407" s="195"/>
      <c r="I407" s="159"/>
      <c r="J407" s="195"/>
      <c r="K407" s="161"/>
      <c r="L407" s="196"/>
      <c r="M407" s="230"/>
      <c r="N407" s="164"/>
      <c r="O407" s="165">
        <f t="shared" si="91"/>
        <v>0</v>
      </c>
      <c r="P407" s="166"/>
      <c r="Q407" s="166"/>
      <c r="R407" s="71"/>
    </row>
    <row r="408" spans="1:41" s="61" customFormat="1" x14ac:dyDescent="0.25">
      <c r="A408" s="358"/>
      <c r="B408" s="361"/>
      <c r="C408" s="221"/>
      <c r="D408" s="350" t="s">
        <v>68</v>
      </c>
      <c r="E408" s="350"/>
      <c r="F408" s="350"/>
      <c r="G408" s="350"/>
      <c r="H408" s="195"/>
      <c r="I408" s="159"/>
      <c r="J408" s="195"/>
      <c r="K408" s="161"/>
      <c r="L408" s="196"/>
      <c r="M408" s="230"/>
      <c r="N408" s="164"/>
      <c r="O408" s="165">
        <f t="shared" si="91"/>
        <v>0</v>
      </c>
      <c r="P408" s="166"/>
      <c r="Q408" s="166"/>
      <c r="R408" s="71"/>
    </row>
    <row r="409" spans="1:41" s="61" customFormat="1" x14ac:dyDescent="0.25">
      <c r="A409" s="358"/>
      <c r="B409" s="361"/>
      <c r="C409" s="221"/>
      <c r="D409" s="156"/>
      <c r="E409" s="156"/>
      <c r="F409" s="156"/>
      <c r="G409" s="236"/>
      <c r="H409" s="195"/>
      <c r="I409" s="159"/>
      <c r="J409" s="195"/>
      <c r="K409" s="161"/>
      <c r="L409" s="196"/>
      <c r="M409" s="230"/>
      <c r="N409" s="164"/>
      <c r="O409" s="165">
        <f t="shared" si="91"/>
        <v>0</v>
      </c>
      <c r="P409" s="166"/>
      <c r="Q409" s="166"/>
      <c r="R409" s="71"/>
    </row>
    <row r="410" spans="1:41" s="61" customFormat="1" x14ac:dyDescent="0.25">
      <c r="A410" s="358"/>
      <c r="B410" s="361"/>
      <c r="C410" s="221"/>
      <c r="D410" s="368" t="s">
        <v>69</v>
      </c>
      <c r="E410" s="368"/>
      <c r="F410" s="368"/>
      <c r="G410" s="368"/>
      <c r="H410" s="187"/>
      <c r="I410" s="159"/>
      <c r="J410" s="187"/>
      <c r="K410" s="161"/>
      <c r="L410" s="276"/>
      <c r="M410" s="230"/>
      <c r="N410" s="164"/>
      <c r="O410" s="198">
        <f>O412+O419+O436+O438+O453+O455+O457+O482+O484+O489+O486</f>
        <v>2207.0679852600001</v>
      </c>
      <c r="P410" s="166"/>
      <c r="Q410" s="166"/>
      <c r="R410" s="71"/>
    </row>
    <row r="411" spans="1:41" s="61" customFormat="1" x14ac:dyDescent="0.25">
      <c r="A411" s="358"/>
      <c r="B411" s="361"/>
      <c r="C411" s="221">
        <v>224</v>
      </c>
      <c r="D411" s="156" t="s">
        <v>21</v>
      </c>
      <c r="E411" s="156" t="s">
        <v>22</v>
      </c>
      <c r="F411" s="156" t="s">
        <v>22</v>
      </c>
      <c r="G411" s="238">
        <f>MROUND(H411*L411*I411/K411,0.000001)</f>
        <v>0</v>
      </c>
      <c r="H411" s="158">
        <f>H51</f>
        <v>0</v>
      </c>
      <c r="I411" s="159">
        <f>I405</f>
        <v>0.30039917999999999</v>
      </c>
      <c r="J411" s="160"/>
      <c r="K411" s="161">
        <f>K405</f>
        <v>9060</v>
      </c>
      <c r="L411" s="250"/>
      <c r="M411" s="163"/>
      <c r="N411" s="164">
        <f>N51</f>
        <v>0</v>
      </c>
      <c r="O411" s="165">
        <f>MROUND(G411*N411,0.000001)</f>
        <v>0</v>
      </c>
      <c r="P411" s="166"/>
      <c r="Q411" s="166">
        <f t="shared" si="90"/>
        <v>0</v>
      </c>
      <c r="R411" s="71"/>
    </row>
    <row r="412" spans="1:41" s="61" customFormat="1" x14ac:dyDescent="0.25">
      <c r="A412" s="358"/>
      <c r="B412" s="361"/>
      <c r="C412" s="218" t="s">
        <v>293</v>
      </c>
      <c r="D412" s="240"/>
      <c r="E412" s="240"/>
      <c r="F412" s="240"/>
      <c r="G412" s="227"/>
      <c r="H412" s="241"/>
      <c r="I412" s="206"/>
      <c r="J412" s="228"/>
      <c r="K412" s="207"/>
      <c r="L412" s="257"/>
      <c r="M412" s="209"/>
      <c r="N412" s="210"/>
      <c r="O412" s="198">
        <f>SUM(O411)</f>
        <v>0</v>
      </c>
      <c r="P412" s="166"/>
      <c r="Q412" s="166"/>
      <c r="R412" s="71"/>
    </row>
    <row r="413" spans="1:41" s="61" customFormat="1" ht="31.5" x14ac:dyDescent="0.25">
      <c r="A413" s="358"/>
      <c r="B413" s="361"/>
      <c r="C413" s="364" t="s">
        <v>78</v>
      </c>
      <c r="D413" s="156" t="s">
        <v>26</v>
      </c>
      <c r="E413" s="156" t="s">
        <v>22</v>
      </c>
      <c r="F413" s="156" t="s">
        <v>22</v>
      </c>
      <c r="G413" s="238">
        <f>MROUND(H413*L413*I413/K413,0.000001)</f>
        <v>10.281212</v>
      </c>
      <c r="H413" s="158">
        <f>H53</f>
        <v>25840</v>
      </c>
      <c r="I413" s="159">
        <f>I411</f>
        <v>0.30039917999999999</v>
      </c>
      <c r="J413" s="160"/>
      <c r="K413" s="161">
        <f>K411</f>
        <v>9060</v>
      </c>
      <c r="L413" s="250">
        <v>12</v>
      </c>
      <c r="M413" s="163" t="str">
        <f>CONCATENATE(H413," ",F413,"(обрабатываемая площадь в мес.)","*",L413,"мес.","*",I413,"/",K413,"чел.")</f>
        <v>25840 м2(обрабатываемая площадь в мес.)*12мес.*0,30039918/9060чел.</v>
      </c>
      <c r="N413" s="164">
        <f>N53</f>
        <v>1.1553999935500519</v>
      </c>
      <c r="O413" s="165">
        <f t="shared" ref="O413:O418" si="92">MROUND(G413*N413,0.000001)</f>
        <v>11.878912</v>
      </c>
      <c r="P413" s="166"/>
      <c r="Q413" s="166">
        <f t="shared" si="90"/>
        <v>107622.94271999999</v>
      </c>
      <c r="R413" s="71"/>
    </row>
    <row r="414" spans="1:41" s="61" customFormat="1" ht="31.5" x14ac:dyDescent="0.25">
      <c r="A414" s="358"/>
      <c r="B414" s="361"/>
      <c r="C414" s="364"/>
      <c r="D414" s="156" t="s">
        <v>96</v>
      </c>
      <c r="E414" s="156" t="s">
        <v>22</v>
      </c>
      <c r="F414" s="156" t="s">
        <v>22</v>
      </c>
      <c r="G414" s="238">
        <f>MROUND(H414*L414*I414/K414,0.000001)</f>
        <v>5.3216409999999996</v>
      </c>
      <c r="H414" s="158">
        <f>H54</f>
        <v>13375</v>
      </c>
      <c r="I414" s="159">
        <f t="shared" si="88"/>
        <v>0.30039917999999999</v>
      </c>
      <c r="J414" s="160"/>
      <c r="K414" s="161">
        <f>K413</f>
        <v>9060</v>
      </c>
      <c r="L414" s="250">
        <v>12</v>
      </c>
      <c r="M414" s="163" t="str">
        <f>CONCATENATE(H414," ",F414,"(обрабатываемая площадь в мес.)","*",L414,"мес.","*",I414,"/",K414,"чел.")</f>
        <v>13375 м2(обрабатываемая площадь в мес.)*12мес.*0,30039918/9060чел.</v>
      </c>
      <c r="N414" s="164">
        <f>N54</f>
        <v>1.8530000000000004</v>
      </c>
      <c r="O414" s="165">
        <f t="shared" si="92"/>
        <v>9.8610009999999999</v>
      </c>
      <c r="P414" s="166"/>
      <c r="Q414" s="166">
        <f t="shared" si="90"/>
        <v>89340.66906</v>
      </c>
      <c r="R414" s="71"/>
    </row>
    <row r="415" spans="1:41" s="135" customFormat="1" ht="31.5" x14ac:dyDescent="0.25">
      <c r="A415" s="358"/>
      <c r="B415" s="361"/>
      <c r="C415" s="364"/>
      <c r="D415" s="156" t="s">
        <v>385</v>
      </c>
      <c r="E415" s="156" t="s">
        <v>22</v>
      </c>
      <c r="F415" s="156" t="s">
        <v>22</v>
      </c>
      <c r="G415" s="238">
        <f>MROUND(H415*L415*I415/K415,0.000001)</f>
        <v>10.643281999999999</v>
      </c>
      <c r="H415" s="242">
        <f>$H$55</f>
        <v>13375</v>
      </c>
      <c r="I415" s="159">
        <f t="shared" si="88"/>
        <v>0.30039917999999999</v>
      </c>
      <c r="J415" s="160"/>
      <c r="K415" s="161">
        <f>K414</f>
        <v>9060</v>
      </c>
      <c r="L415" s="162">
        <v>24</v>
      </c>
      <c r="M415" s="163" t="str">
        <f>CONCATENATE(H415," ",F415,"(обрабатываемая площадь в год)","*",L415," раза в год.","*",I415,"/",K415,"чел.")</f>
        <v>13375 м2(обрабатываемая площадь в год)*24 раза в год.*0,30039918/9060чел.</v>
      </c>
      <c r="N415" s="164">
        <f>$N$55</f>
        <v>2.2889999999999993</v>
      </c>
      <c r="O415" s="165">
        <f t="shared" si="92"/>
        <v>24.362472</v>
      </c>
      <c r="P415" s="166"/>
      <c r="Q415" s="166">
        <f t="shared" si="90"/>
        <v>220723.99632000001</v>
      </c>
      <c r="R415" s="71"/>
      <c r="S415" s="61"/>
      <c r="T415" s="61"/>
      <c r="U415" s="61"/>
      <c r="V415" s="61"/>
      <c r="W415" s="61"/>
      <c r="X415" s="61"/>
      <c r="Y415" s="61"/>
      <c r="Z415" s="61"/>
      <c r="AA415" s="61"/>
      <c r="AB415" s="61"/>
      <c r="AC415" s="61"/>
      <c r="AD415" s="61"/>
      <c r="AE415" s="61"/>
      <c r="AF415" s="61"/>
      <c r="AG415" s="61"/>
      <c r="AH415" s="61"/>
      <c r="AI415" s="61"/>
      <c r="AJ415" s="61"/>
      <c r="AK415" s="61"/>
      <c r="AL415" s="61"/>
      <c r="AM415" s="61"/>
      <c r="AN415" s="61"/>
      <c r="AO415" s="61"/>
    </row>
    <row r="416" spans="1:41" s="135" customFormat="1" ht="31.5" x14ac:dyDescent="0.25">
      <c r="A416" s="358"/>
      <c r="B416" s="361"/>
      <c r="C416" s="364"/>
      <c r="D416" s="156" t="s">
        <v>394</v>
      </c>
      <c r="E416" s="156" t="s">
        <v>22</v>
      </c>
      <c r="F416" s="156" t="s">
        <v>22</v>
      </c>
      <c r="G416" s="238">
        <f>MROUND(H416*L416*I416/K416,0.000001)</f>
        <v>10.281212</v>
      </c>
      <c r="H416" s="243">
        <f>$H$56</f>
        <v>25840</v>
      </c>
      <c r="I416" s="159">
        <f t="shared" si="88"/>
        <v>0.30039917999999999</v>
      </c>
      <c r="J416" s="160"/>
      <c r="K416" s="161">
        <f>K415</f>
        <v>9060</v>
      </c>
      <c r="L416" s="162">
        <v>12</v>
      </c>
      <c r="M416" s="163" t="str">
        <f>CONCATENATE(H416," ",F416,"(обрабатываемая площадь в мес.)","*",L416,"мес.","*",I416,"/",K416,"чел.")</f>
        <v>25840 м2(обрабатываемая площадь в мес.)*12мес.*0,30039918/9060чел.</v>
      </c>
      <c r="N416" s="164">
        <f>$N$56</f>
        <v>0.54499999999999993</v>
      </c>
      <c r="O416" s="165">
        <f t="shared" si="92"/>
        <v>5.6032609999999998</v>
      </c>
      <c r="P416" s="166"/>
      <c r="Q416" s="166">
        <f t="shared" si="90"/>
        <v>50765.54466</v>
      </c>
      <c r="R416" s="71"/>
      <c r="S416" s="61"/>
      <c r="T416" s="61"/>
      <c r="U416" s="61"/>
      <c r="V416" s="61"/>
      <c r="W416" s="61"/>
      <c r="X416" s="61"/>
      <c r="Y416" s="61"/>
      <c r="Z416" s="61"/>
      <c r="AA416" s="61"/>
      <c r="AB416" s="61"/>
      <c r="AC416" s="61"/>
      <c r="AD416" s="61"/>
      <c r="AE416" s="61"/>
      <c r="AF416" s="61"/>
      <c r="AG416" s="61"/>
      <c r="AH416" s="61"/>
      <c r="AI416" s="61"/>
      <c r="AJ416" s="61"/>
      <c r="AK416" s="61"/>
      <c r="AL416" s="61"/>
      <c r="AM416" s="61"/>
      <c r="AN416" s="61"/>
      <c r="AO416" s="61"/>
    </row>
    <row r="417" spans="1:41" s="135" customFormat="1" ht="31.5" x14ac:dyDescent="0.25">
      <c r="A417" s="358"/>
      <c r="B417" s="361"/>
      <c r="C417" s="364"/>
      <c r="D417" s="156" t="s">
        <v>395</v>
      </c>
      <c r="E417" s="156" t="s">
        <v>98</v>
      </c>
      <c r="F417" s="156" t="s">
        <v>98</v>
      </c>
      <c r="G417" s="238">
        <f>MROUND(H417*L417*I417/K417,0.000000001)</f>
        <v>6.2798699999999999E-4</v>
      </c>
      <c r="H417" s="242">
        <f>$H$57</f>
        <v>18.939999999999998</v>
      </c>
      <c r="I417" s="159">
        <f t="shared" si="88"/>
        <v>0.30039917999999999</v>
      </c>
      <c r="J417" s="160"/>
      <c r="K417" s="161">
        <f>K416</f>
        <v>9060</v>
      </c>
      <c r="L417" s="162">
        <v>1</v>
      </c>
      <c r="M417" s="163" t="str">
        <f>CONCATENATE(H417," ",F417,"(обрабатываемая площадь в год)","*",L417," раз в год","*",I417,"/",K417,"чел.")</f>
        <v>18,94 Га(обрабатываемая площадь в год)*1 раз в год*0,30039918/9060чел.</v>
      </c>
      <c r="N417" s="164">
        <f>$N$57</f>
        <v>545</v>
      </c>
      <c r="O417" s="165">
        <f t="shared" si="92"/>
        <v>0.34225299999999997</v>
      </c>
      <c r="P417" s="166"/>
      <c r="Q417" s="166">
        <f t="shared" si="90"/>
        <v>3100.8121799999999</v>
      </c>
      <c r="R417" s="71"/>
      <c r="S417" s="61"/>
      <c r="T417" s="61"/>
      <c r="U417" s="61"/>
      <c r="V417" s="61"/>
      <c r="W417" s="61"/>
      <c r="X417" s="61"/>
      <c r="Y417" s="61"/>
      <c r="Z417" s="61"/>
      <c r="AA417" s="61"/>
      <c r="AB417" s="61"/>
      <c r="AC417" s="61"/>
      <c r="AD417" s="61"/>
      <c r="AE417" s="61"/>
      <c r="AF417" s="61"/>
      <c r="AG417" s="61"/>
      <c r="AH417" s="61"/>
      <c r="AI417" s="61"/>
      <c r="AJ417" s="61"/>
      <c r="AK417" s="61"/>
      <c r="AL417" s="61"/>
      <c r="AM417" s="61"/>
      <c r="AN417" s="61"/>
      <c r="AO417" s="61"/>
    </row>
    <row r="418" spans="1:41" s="61" customFormat="1" ht="31.5" x14ac:dyDescent="0.25">
      <c r="A418" s="358"/>
      <c r="B418" s="361"/>
      <c r="C418" s="364"/>
      <c r="D418" s="156" t="s">
        <v>97</v>
      </c>
      <c r="E418" s="156" t="s">
        <v>98</v>
      </c>
      <c r="F418" s="156" t="s">
        <v>98</v>
      </c>
      <c r="G418" s="238">
        <f>MROUND(H418*L418*I418/K418,0.000000001)</f>
        <v>6.2798699999999999E-4</v>
      </c>
      <c r="H418" s="242">
        <f>H58</f>
        <v>18.939999999999998</v>
      </c>
      <c r="I418" s="244">
        <f>I414</f>
        <v>0.30039917999999999</v>
      </c>
      <c r="J418" s="160"/>
      <c r="K418" s="161">
        <f>K414</f>
        <v>9060</v>
      </c>
      <c r="L418" s="250">
        <v>1</v>
      </c>
      <c r="M418" s="163" t="str">
        <f>CONCATENATE(H418," ",F418,"(обрабатываемая площадь в мес.)","*",L418,"мес.","*",I418,"/",K418,"чел.")</f>
        <v>18,94 Га(обрабатываемая площадь в мес.)*1мес.*0,30039918/9060чел.</v>
      </c>
      <c r="N418" s="164">
        <f>N58</f>
        <v>2965.979936642027</v>
      </c>
      <c r="O418" s="165">
        <f t="shared" si="92"/>
        <v>1.8625969999999998</v>
      </c>
      <c r="P418" s="166"/>
      <c r="Q418" s="166">
        <f t="shared" si="90"/>
        <v>16875.128819999998</v>
      </c>
      <c r="R418" s="71"/>
    </row>
    <row r="419" spans="1:41" s="61" customFormat="1" x14ac:dyDescent="0.25">
      <c r="A419" s="358"/>
      <c r="B419" s="361"/>
      <c r="C419" s="245" t="s">
        <v>303</v>
      </c>
      <c r="D419" s="240"/>
      <c r="E419" s="240"/>
      <c r="F419" s="240"/>
      <c r="G419" s="227"/>
      <c r="H419" s="241"/>
      <c r="I419" s="206"/>
      <c r="J419" s="228"/>
      <c r="K419" s="207"/>
      <c r="L419" s="257"/>
      <c r="M419" s="209"/>
      <c r="N419" s="210"/>
      <c r="O419" s="198">
        <f>SUM(O413:O418)</f>
        <v>53.910496000000002</v>
      </c>
      <c r="P419" s="166"/>
      <c r="Q419" s="166"/>
      <c r="R419" s="71"/>
    </row>
    <row r="420" spans="1:41" s="61" customFormat="1" ht="63" x14ac:dyDescent="0.25">
      <c r="A420" s="358"/>
      <c r="B420" s="361"/>
      <c r="C420" s="365" t="s">
        <v>77</v>
      </c>
      <c r="D420" s="156" t="s">
        <v>29</v>
      </c>
      <c r="E420" s="156" t="s">
        <v>58</v>
      </c>
      <c r="F420" s="156" t="s">
        <v>218</v>
      </c>
      <c r="G420" s="238">
        <f>MROUND(H420*L420*I420/K420,0.00000001)</f>
        <v>1.9894000000000001E-3</v>
      </c>
      <c r="H420" s="158">
        <v>15</v>
      </c>
      <c r="I420" s="159">
        <f>I418</f>
        <v>0.30039917999999999</v>
      </c>
      <c r="J420" s="160"/>
      <c r="K420" s="161">
        <f>K418</f>
        <v>9060</v>
      </c>
      <c r="L420" s="162">
        <v>4</v>
      </c>
      <c r="M420" s="163" t="str">
        <f>CONCATENATE(H420," ",F420,"*",L420," раза в год","*",I420,"/",K420,"чел.")</f>
        <v>15 установок*4 раза в год*0,30039918/9060чел.</v>
      </c>
      <c r="N420" s="164">
        <f t="shared" ref="N420:N433" si="93">N60</f>
        <v>721.75483333333329</v>
      </c>
      <c r="O420" s="165">
        <f t="shared" ref="O420:O435" si="94">MROUND(G420*N420,0.000001)</f>
        <v>1.435859</v>
      </c>
      <c r="P420" s="166"/>
      <c r="Q420" s="166">
        <f t="shared" si="90"/>
        <v>13008.882540000001</v>
      </c>
      <c r="R420" s="71"/>
    </row>
    <row r="421" spans="1:41" s="61" customFormat="1" ht="47.25" x14ac:dyDescent="0.25">
      <c r="A421" s="358"/>
      <c r="B421" s="361"/>
      <c r="C421" s="366"/>
      <c r="D421" s="156" t="s">
        <v>30</v>
      </c>
      <c r="E421" s="156" t="s">
        <v>58</v>
      </c>
      <c r="F421" s="156" t="s">
        <v>218</v>
      </c>
      <c r="G421" s="238">
        <f>MROUND(H421*L421*I421/K421,0.00000001)</f>
        <v>9.9470000000000005E-4</v>
      </c>
      <c r="H421" s="158">
        <v>15</v>
      </c>
      <c r="I421" s="159">
        <f t="shared" si="88"/>
        <v>0.30039917999999999</v>
      </c>
      <c r="J421" s="160"/>
      <c r="K421" s="161">
        <f t="shared" ref="K421:K429" si="95">K420</f>
        <v>9060</v>
      </c>
      <c r="L421" s="250">
        <v>2</v>
      </c>
      <c r="M421" s="163" t="str">
        <f>CONCATENATE(H421," ",F421,"*",L421,"полуг.","*",I421,"/",K421,"чел.")</f>
        <v>15 установок*2полуг.*0,30039918/9060чел.</v>
      </c>
      <c r="N421" s="164">
        <f t="shared" si="93"/>
        <v>721.75266666666664</v>
      </c>
      <c r="O421" s="165">
        <f t="shared" si="94"/>
        <v>0.71792699999999998</v>
      </c>
      <c r="P421" s="166"/>
      <c r="Q421" s="166">
        <f t="shared" si="90"/>
        <v>6504.4186199999995</v>
      </c>
      <c r="R421" s="71"/>
    </row>
    <row r="422" spans="1:41" s="61" customFormat="1" ht="31.5" x14ac:dyDescent="0.25">
      <c r="A422" s="358"/>
      <c r="B422" s="361"/>
      <c r="C422" s="366"/>
      <c r="D422" s="156" t="s">
        <v>397</v>
      </c>
      <c r="E422" s="156" t="s">
        <v>433</v>
      </c>
      <c r="F422" s="156" t="s">
        <v>433</v>
      </c>
      <c r="G422" s="238">
        <f>MROUND(H422*L422*I422/K422,0.000001)</f>
        <v>1.9893999999999998E-2</v>
      </c>
      <c r="H422" s="158">
        <f>H62</f>
        <v>600</v>
      </c>
      <c r="I422" s="159">
        <f t="shared" si="88"/>
        <v>0.30039917999999999</v>
      </c>
      <c r="J422" s="160"/>
      <c r="K422" s="161">
        <f t="shared" si="95"/>
        <v>9060</v>
      </c>
      <c r="L422" s="162">
        <v>1</v>
      </c>
      <c r="M422" s="163" t="str">
        <f>CONCATENATE(H422," ",F422,"(обрабатываемая площадь в год)","*",L422," раз в год","*",I422,"/",K422,"чел.")</f>
        <v>600 м2.(обрабатываемая площадь в год)*1 раз в год*0,30039918/9060чел.</v>
      </c>
      <c r="N422" s="164">
        <f t="shared" si="93"/>
        <v>300</v>
      </c>
      <c r="O422" s="165">
        <f t="shared" si="94"/>
        <v>5.9681999999999995</v>
      </c>
      <c r="P422" s="166"/>
      <c r="Q422" s="166">
        <f t="shared" si="90"/>
        <v>54071.891999999993</v>
      </c>
      <c r="R422" s="71"/>
    </row>
    <row r="423" spans="1:41" s="61" customFormat="1" ht="47.25" x14ac:dyDescent="0.25">
      <c r="A423" s="358"/>
      <c r="B423" s="361"/>
      <c r="C423" s="366"/>
      <c r="D423" s="156" t="s">
        <v>32</v>
      </c>
      <c r="E423" s="156" t="s">
        <v>55</v>
      </c>
      <c r="F423" s="156" t="s">
        <v>219</v>
      </c>
      <c r="G423" s="238">
        <f>MROUND(H423*L423*I423/K423,0.000000001)</f>
        <v>4.7745570000000005E-3</v>
      </c>
      <c r="H423" s="158">
        <f>H63</f>
        <v>36</v>
      </c>
      <c r="I423" s="159">
        <f>I422</f>
        <v>0.30039917999999999</v>
      </c>
      <c r="J423" s="160"/>
      <c r="K423" s="161">
        <f t="shared" si="95"/>
        <v>9060</v>
      </c>
      <c r="L423" s="250">
        <v>4</v>
      </c>
      <c r="M423" s="163" t="str">
        <f>CONCATENATE(H423," ",F423,"*",L423,"кв.","*",I423,"/",K423,"чел.")</f>
        <v>36 системы*4кв.*0,30039918/9060чел.</v>
      </c>
      <c r="N423" s="164">
        <f t="shared" si="93"/>
        <v>6924.5277777777774</v>
      </c>
      <c r="O423" s="165">
        <f t="shared" si="94"/>
        <v>33.061552999999996</v>
      </c>
      <c r="P423" s="166"/>
      <c r="Q423" s="166">
        <f t="shared" si="90"/>
        <v>299537.67017999996</v>
      </c>
      <c r="R423" s="71"/>
    </row>
    <row r="424" spans="1:41" s="61" customFormat="1" ht="63" x14ac:dyDescent="0.25">
      <c r="A424" s="358"/>
      <c r="B424" s="361"/>
      <c r="C424" s="366"/>
      <c r="D424" s="156" t="s">
        <v>33</v>
      </c>
      <c r="E424" s="156" t="s">
        <v>56</v>
      </c>
      <c r="F424" s="156" t="s">
        <v>220</v>
      </c>
      <c r="G424" s="238">
        <f>MROUND(H424*L424*I424/K424,0.000000001)</f>
        <v>1.193639E-3</v>
      </c>
      <c r="H424" s="158">
        <f>$H$64</f>
        <v>36</v>
      </c>
      <c r="I424" s="159">
        <f>I423</f>
        <v>0.30039917999999999</v>
      </c>
      <c r="J424" s="160"/>
      <c r="K424" s="161">
        <f t="shared" si="95"/>
        <v>9060</v>
      </c>
      <c r="L424" s="162">
        <v>1</v>
      </c>
      <c r="M424" s="163" t="str">
        <f>CONCATENATE(H424," ",F424,"*",L424," раз в год","*",I424,"/",K424,"чел.")</f>
        <v>36 дымоходов*1 раз в год*0,30039918/9060чел.</v>
      </c>
      <c r="N424" s="164">
        <f t="shared" si="93"/>
        <v>6540</v>
      </c>
      <c r="O424" s="165">
        <f t="shared" si="94"/>
        <v>7.8063989999999999</v>
      </c>
      <c r="P424" s="166"/>
      <c r="Q424" s="166">
        <f t="shared" si="90"/>
        <v>70725.97494</v>
      </c>
      <c r="R424" s="71"/>
    </row>
    <row r="425" spans="1:41" s="61" customFormat="1" x14ac:dyDescent="0.25">
      <c r="A425" s="358"/>
      <c r="B425" s="361"/>
      <c r="C425" s="366"/>
      <c r="D425" s="194" t="s">
        <v>398</v>
      </c>
      <c r="E425" s="156" t="s">
        <v>60</v>
      </c>
      <c r="F425" s="156" t="s">
        <v>60</v>
      </c>
      <c r="G425" s="238">
        <f>MROUND(H425*L425*I425/K425,0.000000001)</f>
        <v>1.160482E-3</v>
      </c>
      <c r="H425" s="246">
        <f t="shared" ref="H425:H435" si="96">H65</f>
        <v>35</v>
      </c>
      <c r="I425" s="159">
        <f t="shared" si="88"/>
        <v>0.30039917999999999</v>
      </c>
      <c r="J425" s="160"/>
      <c r="K425" s="161">
        <f t="shared" si="95"/>
        <v>9060</v>
      </c>
      <c r="L425" s="250">
        <v>1</v>
      </c>
      <c r="M425" s="163" t="str">
        <f>CONCATENATE(H425," ",F425,"*",I425,"/",K425,"чел.")</f>
        <v>35 шт.*0,30039918/9060чел.</v>
      </c>
      <c r="N425" s="164">
        <f t="shared" si="93"/>
        <v>11009</v>
      </c>
      <c r="O425" s="165">
        <f t="shared" si="94"/>
        <v>12.775746</v>
      </c>
      <c r="P425" s="166"/>
      <c r="Q425" s="166">
        <f t="shared" si="90"/>
        <v>115748.25876</v>
      </c>
      <c r="R425" s="71"/>
    </row>
    <row r="426" spans="1:41" s="61" customFormat="1" ht="47.25" x14ac:dyDescent="0.25">
      <c r="A426" s="358"/>
      <c r="B426" s="361"/>
      <c r="C426" s="366"/>
      <c r="D426" s="156" t="s">
        <v>401</v>
      </c>
      <c r="E426" s="156" t="s">
        <v>60</v>
      </c>
      <c r="F426" s="156" t="s">
        <v>402</v>
      </c>
      <c r="G426" s="238">
        <f>MROUND(H426*L426*I426/K426,0.000001)</f>
        <v>2.3209999999999997E-3</v>
      </c>
      <c r="H426" s="246">
        <f t="shared" si="96"/>
        <v>35</v>
      </c>
      <c r="I426" s="159">
        <f t="shared" si="88"/>
        <v>0.30039917999999999</v>
      </c>
      <c r="J426" s="160"/>
      <c r="K426" s="161">
        <f t="shared" si="95"/>
        <v>9060</v>
      </c>
      <c r="L426" s="162">
        <v>2</v>
      </c>
      <c r="M426" s="163" t="str">
        <f>CONCATENATE(H426," ",F426,"*",L426," раз в год","*",I426,"/",K426,"чел.")</f>
        <v>35 противопожарных водопроводов*2 раз в год*0,30039918/9060чел.</v>
      </c>
      <c r="N426" s="164">
        <f t="shared" si="93"/>
        <v>5450</v>
      </c>
      <c r="O426" s="165">
        <f t="shared" si="94"/>
        <v>12.64945</v>
      </c>
      <c r="P426" s="166"/>
      <c r="Q426" s="166">
        <f t="shared" si="90"/>
        <v>114604.01699999999</v>
      </c>
      <c r="R426" s="71"/>
    </row>
    <row r="427" spans="1:41" s="61" customFormat="1" ht="31.5" x14ac:dyDescent="0.25">
      <c r="A427" s="358"/>
      <c r="B427" s="361"/>
      <c r="C427" s="366"/>
      <c r="D427" s="156" t="s">
        <v>221</v>
      </c>
      <c r="E427" s="156" t="s">
        <v>60</v>
      </c>
      <c r="F427" s="156" t="s">
        <v>60</v>
      </c>
      <c r="G427" s="238">
        <f>MROUND(H427*L427*I427/K427,0.00000001)</f>
        <v>7.1618300000000001E-3</v>
      </c>
      <c r="H427" s="158">
        <f t="shared" si="96"/>
        <v>18</v>
      </c>
      <c r="I427" s="159">
        <f t="shared" si="88"/>
        <v>0.30039917999999999</v>
      </c>
      <c r="J427" s="160"/>
      <c r="K427" s="161">
        <f t="shared" si="95"/>
        <v>9060</v>
      </c>
      <c r="L427" s="250">
        <v>12</v>
      </c>
      <c r="M427" s="163" t="str">
        <f>CONCATENATE(H427," ",F427,"*",L427,"мес.","*",I427,"/",K427,"чел.")</f>
        <v>18 шт.*12мес.*0,30039918/9060чел.</v>
      </c>
      <c r="N427" s="164">
        <f t="shared" si="93"/>
        <v>6288.0888888888885</v>
      </c>
      <c r="O427" s="165">
        <f t="shared" si="94"/>
        <v>45.034223999999995</v>
      </c>
      <c r="P427" s="166"/>
      <c r="Q427" s="166">
        <f t="shared" si="90"/>
        <v>408010.06943999993</v>
      </c>
      <c r="R427" s="71"/>
    </row>
    <row r="428" spans="1:41" s="61" customFormat="1" ht="47.25" x14ac:dyDescent="0.25">
      <c r="A428" s="358"/>
      <c r="B428" s="361"/>
      <c r="C428" s="366"/>
      <c r="D428" s="156" t="s">
        <v>34</v>
      </c>
      <c r="E428" s="156" t="s">
        <v>59</v>
      </c>
      <c r="F428" s="156" t="s">
        <v>28</v>
      </c>
      <c r="G428" s="238">
        <f>MROUND(H428*L428*I428/K428,0.000000001)</f>
        <v>6.6313E-5</v>
      </c>
      <c r="H428" s="158">
        <f t="shared" si="96"/>
        <v>2</v>
      </c>
      <c r="I428" s="159">
        <f t="shared" si="88"/>
        <v>0.30039917999999999</v>
      </c>
      <c r="J428" s="160"/>
      <c r="K428" s="161">
        <f t="shared" si="95"/>
        <v>9060</v>
      </c>
      <c r="L428" s="250">
        <v>1</v>
      </c>
      <c r="M428" s="163" t="str">
        <f>CONCATENATE(H428," ",F428,"*",I428,"/",K428,"чел.")</f>
        <v>2 шт*0,30039918/9060чел.</v>
      </c>
      <c r="N428" s="164">
        <f t="shared" si="93"/>
        <v>7500</v>
      </c>
      <c r="O428" s="165">
        <f t="shared" si="94"/>
        <v>0.49734799999999996</v>
      </c>
      <c r="P428" s="166"/>
      <c r="Q428" s="166">
        <f t="shared" si="90"/>
        <v>4505.9728799999993</v>
      </c>
      <c r="R428" s="71"/>
    </row>
    <row r="429" spans="1:41" s="61" customFormat="1" ht="47.25" x14ac:dyDescent="0.25">
      <c r="A429" s="358"/>
      <c r="B429" s="361"/>
      <c r="C429" s="366"/>
      <c r="D429" s="156" t="s">
        <v>222</v>
      </c>
      <c r="E429" s="156" t="s">
        <v>60</v>
      </c>
      <c r="F429" s="156" t="s">
        <v>60</v>
      </c>
      <c r="G429" s="238">
        <f>MROUND(H429*L429*I429/K429,0.00000000001)</f>
        <v>1.1604824799999998E-3</v>
      </c>
      <c r="H429" s="248">
        <f t="shared" si="96"/>
        <v>35</v>
      </c>
      <c r="I429" s="159">
        <f t="shared" si="88"/>
        <v>0.30039917999999999</v>
      </c>
      <c r="J429" s="160"/>
      <c r="K429" s="161">
        <f t="shared" si="95"/>
        <v>9060</v>
      </c>
      <c r="L429" s="250">
        <v>1</v>
      </c>
      <c r="M429" s="163" t="str">
        <f>CONCATENATE(H429," ",F429,"*",I429,"/",K429,"чел.")</f>
        <v>35 шт.*0,30039918/9060чел.</v>
      </c>
      <c r="N429" s="164">
        <f t="shared" si="93"/>
        <v>8189.7714285714283</v>
      </c>
      <c r="O429" s="165">
        <f>MROUND(G429*N429,0.00000001)</f>
        <v>9.5040862599999993</v>
      </c>
      <c r="P429" s="166"/>
      <c r="Q429" s="166">
        <f t="shared" si="90"/>
        <v>86107.02151559999</v>
      </c>
      <c r="R429" s="71"/>
    </row>
    <row r="430" spans="1:41" s="61" customFormat="1" ht="31.5" x14ac:dyDescent="0.25">
      <c r="A430" s="358"/>
      <c r="B430" s="361"/>
      <c r="C430" s="366"/>
      <c r="D430" s="156" t="s">
        <v>35</v>
      </c>
      <c r="E430" s="156" t="s">
        <v>102</v>
      </c>
      <c r="F430" s="156" t="s">
        <v>223</v>
      </c>
      <c r="G430" s="238">
        <f>MROUND(H430*L430*I430/K430,0.00000001)</f>
        <v>1.16048E-3</v>
      </c>
      <c r="H430" s="158">
        <f t="shared" si="96"/>
        <v>35</v>
      </c>
      <c r="I430" s="159">
        <f>I428</f>
        <v>0.30039917999999999</v>
      </c>
      <c r="J430" s="160"/>
      <c r="K430" s="161">
        <f>K428</f>
        <v>9060</v>
      </c>
      <c r="L430" s="250">
        <v>1</v>
      </c>
      <c r="M430" s="163" t="str">
        <f>CONCATENATE(H430," ",F430,"*",I430,"/",K430,"чел.")</f>
        <v>35 замеров*0,30039918/9060чел.</v>
      </c>
      <c r="N430" s="164">
        <f t="shared" si="93"/>
        <v>20142.857142857141</v>
      </c>
      <c r="O430" s="165">
        <f t="shared" si="94"/>
        <v>23.375382999999999</v>
      </c>
      <c r="P430" s="166"/>
      <c r="Q430" s="166">
        <f t="shared" si="90"/>
        <v>211780.96997999999</v>
      </c>
      <c r="R430" s="71"/>
    </row>
    <row r="431" spans="1:41" s="61" customFormat="1" ht="47.25" x14ac:dyDescent="0.25">
      <c r="A431" s="358"/>
      <c r="B431" s="361"/>
      <c r="C431" s="366"/>
      <c r="D431" s="156" t="s">
        <v>399</v>
      </c>
      <c r="E431" s="156" t="s">
        <v>60</v>
      </c>
      <c r="F431" s="156" t="s">
        <v>60</v>
      </c>
      <c r="G431" s="238">
        <f>MROUND(H431*L431*I431/K431,0.000000001)</f>
        <v>1.1604825000000001E-2</v>
      </c>
      <c r="H431" s="158">
        <f t="shared" si="96"/>
        <v>35</v>
      </c>
      <c r="I431" s="159">
        <f t="shared" si="88"/>
        <v>0.30039917999999999</v>
      </c>
      <c r="J431" s="160"/>
      <c r="K431" s="161">
        <f>K430</f>
        <v>9060</v>
      </c>
      <c r="L431" s="250">
        <v>10</v>
      </c>
      <c r="M431" s="163" t="str">
        <f>CONCATENATE(H431," ",F431,"*",L431,"мес.","*",I431,"/",K431,"чел.")</f>
        <v>35 шт.*10мес.*0,30039918/9060чел.</v>
      </c>
      <c r="N431" s="164">
        <f t="shared" si="93"/>
        <v>3107.903028571428</v>
      </c>
      <c r="O431" s="165">
        <f t="shared" si="94"/>
        <v>36.066670999999999</v>
      </c>
      <c r="P431" s="166"/>
      <c r="Q431" s="166">
        <f t="shared" si="90"/>
        <v>326764.03925999999</v>
      </c>
      <c r="R431" s="71"/>
    </row>
    <row r="432" spans="1:41" s="61" customFormat="1" ht="47.25" x14ac:dyDescent="0.25">
      <c r="A432" s="358"/>
      <c r="B432" s="361"/>
      <c r="C432" s="366"/>
      <c r="D432" s="156" t="s">
        <v>36</v>
      </c>
      <c r="E432" s="156" t="s">
        <v>31</v>
      </c>
      <c r="F432" s="156" t="s">
        <v>224</v>
      </c>
      <c r="G432" s="238">
        <f>MROUND(H432*L432*I432/K432,0.00000001)</f>
        <v>1.432367E-2</v>
      </c>
      <c r="H432" s="158">
        <f t="shared" si="96"/>
        <v>36</v>
      </c>
      <c r="I432" s="159">
        <f t="shared" si="88"/>
        <v>0.30039917999999999</v>
      </c>
      <c r="J432" s="160"/>
      <c r="K432" s="161">
        <f>K431</f>
        <v>9060</v>
      </c>
      <c r="L432" s="250">
        <v>12</v>
      </c>
      <c r="M432" s="163" t="str">
        <f>CONCATENATE(H432," ",F432,"*",L432,"мес.","*",I432,"/",K432,"чел.")</f>
        <v>36 устройств*12мес.*0,30039918/9060чел.</v>
      </c>
      <c r="N432" s="164">
        <f t="shared" si="93"/>
        <v>2200</v>
      </c>
      <c r="O432" s="165">
        <f t="shared" si="94"/>
        <v>31.512073999999998</v>
      </c>
      <c r="P432" s="166"/>
      <c r="Q432" s="166">
        <f t="shared" si="90"/>
        <v>285499.39043999999</v>
      </c>
      <c r="R432" s="71"/>
    </row>
    <row r="433" spans="1:18" s="61" customFormat="1" ht="31.5" x14ac:dyDescent="0.25">
      <c r="A433" s="358"/>
      <c r="B433" s="361"/>
      <c r="C433" s="366"/>
      <c r="D433" s="156" t="s">
        <v>99</v>
      </c>
      <c r="E433" s="156" t="s">
        <v>103</v>
      </c>
      <c r="F433" s="156" t="s">
        <v>225</v>
      </c>
      <c r="G433" s="238">
        <f>MROUND(H433*L433*I433/K433,0.00000001)</f>
        <v>1.2599519999999999E-2</v>
      </c>
      <c r="H433" s="158">
        <f t="shared" si="96"/>
        <v>380</v>
      </c>
      <c r="I433" s="159">
        <f t="shared" si="88"/>
        <v>0.30039917999999999</v>
      </c>
      <c r="J433" s="160"/>
      <c r="K433" s="161">
        <f>K432</f>
        <v>9060</v>
      </c>
      <c r="L433" s="250">
        <v>1</v>
      </c>
      <c r="M433" s="163" t="str">
        <f>CONCATENATE(H433," ",F433,"*",I433,"/",K433,"чел.")</f>
        <v>380 ед.*0,30039918/9060чел.</v>
      </c>
      <c r="N433" s="164">
        <f t="shared" si="93"/>
        <v>15000</v>
      </c>
      <c r="O433" s="165">
        <f t="shared" si="94"/>
        <v>188.99279999999999</v>
      </c>
      <c r="P433" s="166"/>
      <c r="Q433" s="166">
        <f t="shared" si="90"/>
        <v>1712274.7679999999</v>
      </c>
      <c r="R433" s="71"/>
    </row>
    <row r="434" spans="1:18" s="61" customFormat="1" x14ac:dyDescent="0.25">
      <c r="A434" s="358"/>
      <c r="B434" s="361"/>
      <c r="C434" s="366"/>
      <c r="D434" s="156" t="s">
        <v>27</v>
      </c>
      <c r="E434" s="156" t="s">
        <v>28</v>
      </c>
      <c r="F434" s="156" t="s">
        <v>28</v>
      </c>
      <c r="G434" s="238">
        <f>MROUND(H434*L434*I434/K434,0.000001)</f>
        <v>0.18948999999999999</v>
      </c>
      <c r="H434" s="160">
        <f t="shared" si="96"/>
        <v>5715</v>
      </c>
      <c r="I434" s="159">
        <f t="shared" si="88"/>
        <v>0.30039917999999999</v>
      </c>
      <c r="J434" s="160"/>
      <c r="K434" s="161">
        <f>K433</f>
        <v>9060</v>
      </c>
      <c r="L434" s="250">
        <v>1</v>
      </c>
      <c r="M434" s="163" t="str">
        <f>CONCATENATE(H434," ",F434,"*",I434,"/",K434,"чел.")</f>
        <v>5715 шт*0,30039918/9060чел.</v>
      </c>
      <c r="N434" s="164">
        <f>N194</f>
        <v>400</v>
      </c>
      <c r="O434" s="165">
        <f t="shared" si="94"/>
        <v>75.795999999999992</v>
      </c>
      <c r="P434" s="166"/>
      <c r="Q434" s="166">
        <f t="shared" si="90"/>
        <v>686711.75999999989</v>
      </c>
      <c r="R434" s="71"/>
    </row>
    <row r="435" spans="1:18" s="61" customFormat="1" ht="31.5" x14ac:dyDescent="0.25">
      <c r="A435" s="358"/>
      <c r="B435" s="361"/>
      <c r="C435" s="367"/>
      <c r="D435" s="156" t="s">
        <v>104</v>
      </c>
      <c r="E435" s="156" t="s">
        <v>105</v>
      </c>
      <c r="F435" s="156" t="s">
        <v>226</v>
      </c>
      <c r="G435" s="238">
        <f>MROUND(H435*L435*I435/K435,0.00000001)</f>
        <v>1.1936399999999999E-3</v>
      </c>
      <c r="H435" s="160">
        <f t="shared" si="96"/>
        <v>36</v>
      </c>
      <c r="I435" s="159">
        <f t="shared" si="88"/>
        <v>0.30039917999999999</v>
      </c>
      <c r="J435" s="160"/>
      <c r="K435" s="161">
        <f>K434</f>
        <v>9060</v>
      </c>
      <c r="L435" s="250">
        <v>1</v>
      </c>
      <c r="M435" s="163" t="str">
        <f>CONCATENATE(H435," ",F435,"*",I435,"/",K435,"чел.")</f>
        <v>36 отключений*0,30039918/9060чел.</v>
      </c>
      <c r="N435" s="164">
        <f>N75</f>
        <v>9810</v>
      </c>
      <c r="O435" s="165">
        <f t="shared" si="94"/>
        <v>11.709607999999999</v>
      </c>
      <c r="P435" s="166"/>
      <c r="Q435" s="166">
        <f t="shared" si="90"/>
        <v>106089.04848</v>
      </c>
      <c r="R435" s="71"/>
    </row>
    <row r="436" spans="1:18" s="61" customFormat="1" x14ac:dyDescent="0.25">
      <c r="A436" s="358"/>
      <c r="B436" s="361"/>
      <c r="C436" s="249" t="s">
        <v>304</v>
      </c>
      <c r="D436" s="240"/>
      <c r="E436" s="240"/>
      <c r="F436" s="240"/>
      <c r="G436" s="227"/>
      <c r="H436" s="228"/>
      <c r="I436" s="206"/>
      <c r="J436" s="228"/>
      <c r="K436" s="207"/>
      <c r="L436" s="257"/>
      <c r="M436" s="209"/>
      <c r="N436" s="210"/>
      <c r="O436" s="198">
        <f>SUM(O420:O435)</f>
        <v>496.90332825999997</v>
      </c>
      <c r="P436" s="166"/>
      <c r="Q436" s="166"/>
      <c r="R436" s="71"/>
    </row>
    <row r="437" spans="1:18" s="61" customFormat="1" ht="31.5" x14ac:dyDescent="0.25">
      <c r="A437" s="358"/>
      <c r="B437" s="361"/>
      <c r="C437" s="221" t="s">
        <v>79</v>
      </c>
      <c r="D437" s="156" t="s">
        <v>37</v>
      </c>
      <c r="E437" s="156" t="s">
        <v>61</v>
      </c>
      <c r="F437" s="156" t="s">
        <v>227</v>
      </c>
      <c r="G437" s="238">
        <f>MROUND(H437*L437*I437/K437,0.000000001)</f>
        <v>1.3262700000000002E-4</v>
      </c>
      <c r="H437" s="158">
        <f>H77</f>
        <v>4</v>
      </c>
      <c r="I437" s="159">
        <f>I435</f>
        <v>0.30039917999999999</v>
      </c>
      <c r="J437" s="160"/>
      <c r="K437" s="161">
        <f>K435</f>
        <v>9060</v>
      </c>
      <c r="L437" s="250">
        <v>1</v>
      </c>
      <c r="M437" s="163" t="str">
        <f>CONCATENATE(H437," ",F437,"*",I437,"/",K437,"чел.")</f>
        <v>4 автобуса*0,30039918/9060чел.</v>
      </c>
      <c r="N437" s="164">
        <f>N77</f>
        <v>93408.640000000014</v>
      </c>
      <c r="O437" s="165">
        <f>MROUND(G437*N437,0.000001)</f>
        <v>12.388508</v>
      </c>
      <c r="P437" s="166"/>
      <c r="Q437" s="166">
        <f t="shared" si="90"/>
        <v>112239.88248</v>
      </c>
      <c r="R437" s="71"/>
    </row>
    <row r="438" spans="1:18" s="61" customFormat="1" x14ac:dyDescent="0.25">
      <c r="A438" s="358"/>
      <c r="B438" s="361"/>
      <c r="C438" s="218" t="s">
        <v>305</v>
      </c>
      <c r="D438" s="240"/>
      <c r="E438" s="240"/>
      <c r="F438" s="240"/>
      <c r="G438" s="227"/>
      <c r="H438" s="241"/>
      <c r="I438" s="206"/>
      <c r="J438" s="228"/>
      <c r="K438" s="207"/>
      <c r="L438" s="257"/>
      <c r="M438" s="209"/>
      <c r="N438" s="210"/>
      <c r="O438" s="198">
        <f>SUM(O437)</f>
        <v>12.388508</v>
      </c>
      <c r="P438" s="166"/>
      <c r="Q438" s="166"/>
      <c r="R438" s="71"/>
    </row>
    <row r="439" spans="1:18" s="61" customFormat="1" x14ac:dyDescent="0.25">
      <c r="A439" s="358"/>
      <c r="B439" s="361"/>
      <c r="C439" s="364" t="s">
        <v>80</v>
      </c>
      <c r="D439" s="156" t="s">
        <v>38</v>
      </c>
      <c r="E439" s="156" t="s">
        <v>57</v>
      </c>
      <c r="F439" s="156" t="s">
        <v>228</v>
      </c>
      <c r="G439" s="238">
        <f>MROUND(H439*L439*I439/K439,0.0000000001)</f>
        <v>1.43236695E-2</v>
      </c>
      <c r="H439" s="158">
        <f>H79</f>
        <v>36</v>
      </c>
      <c r="I439" s="159">
        <f>I437</f>
        <v>0.30039917999999999</v>
      </c>
      <c r="J439" s="160"/>
      <c r="K439" s="161">
        <f>K437</f>
        <v>9060</v>
      </c>
      <c r="L439" s="250">
        <v>12</v>
      </c>
      <c r="M439" s="163" t="str">
        <f>CONCATENATE(H439," ",F439,"*",L439,"мес.","*",I439,"/",K439,"чел.")</f>
        <v>36 зданий*12мес.*0,30039918/9060чел.</v>
      </c>
      <c r="N439" s="164">
        <f t="shared" ref="N439:N450" si="97">N79</f>
        <v>4694.6300000000019</v>
      </c>
      <c r="O439" s="165">
        <f>MROUND(G439*N439,0.000001)</f>
        <v>67.244328999999993</v>
      </c>
      <c r="P439" s="166"/>
      <c r="Q439" s="166">
        <f t="shared" si="90"/>
        <v>609233.62073999993</v>
      </c>
      <c r="R439" s="71"/>
    </row>
    <row r="440" spans="1:18" s="61" customFormat="1" ht="47.25" x14ac:dyDescent="0.25">
      <c r="A440" s="358"/>
      <c r="B440" s="361"/>
      <c r="C440" s="364"/>
      <c r="D440" s="156" t="s">
        <v>229</v>
      </c>
      <c r="E440" s="156" t="s">
        <v>60</v>
      </c>
      <c r="F440" s="156" t="s">
        <v>60</v>
      </c>
      <c r="G440" s="238">
        <f>MROUND(H440*L440*I440/K440,0.000001)</f>
        <v>7.9377000000000003E-2</v>
      </c>
      <c r="H440" s="158">
        <f>H80</f>
        <v>2394</v>
      </c>
      <c r="I440" s="159">
        <f t="shared" si="88"/>
        <v>0.30039917999999999</v>
      </c>
      <c r="J440" s="160"/>
      <c r="K440" s="161">
        <f>K439</f>
        <v>9060</v>
      </c>
      <c r="L440" s="250">
        <v>1</v>
      </c>
      <c r="M440" s="163" t="str">
        <f t="shared" ref="M440:M447" si="98">CONCATENATE(H440," ",F440,"*",I440,"/",K440,"чел.")</f>
        <v>2394 шт.*0,30039918/9060чел.</v>
      </c>
      <c r="N440" s="164">
        <f t="shared" si="97"/>
        <v>163.5</v>
      </c>
      <c r="O440" s="165">
        <f>MROUND(G440*N440,0.000001)</f>
        <v>12.97814</v>
      </c>
      <c r="P440" s="166"/>
      <c r="Q440" s="166">
        <f t="shared" si="90"/>
        <v>117581.94839999999</v>
      </c>
      <c r="R440" s="71"/>
    </row>
    <row r="441" spans="1:18" s="61" customFormat="1" ht="47.25" x14ac:dyDescent="0.25">
      <c r="A441" s="358"/>
      <c r="B441" s="361"/>
      <c r="C441" s="364"/>
      <c r="D441" s="156" t="s">
        <v>405</v>
      </c>
      <c r="E441" s="156" t="s">
        <v>60</v>
      </c>
      <c r="F441" s="156" t="s">
        <v>406</v>
      </c>
      <c r="G441" s="238">
        <f>MROUND(H441*L441*I441/K441,0.00000001)</f>
        <v>1.1936399999999999E-3</v>
      </c>
      <c r="H441" s="158">
        <f>H321</f>
        <v>36</v>
      </c>
      <c r="I441" s="159">
        <f t="shared" si="88"/>
        <v>0.30039917999999999</v>
      </c>
      <c r="J441" s="160"/>
      <c r="K441" s="161">
        <f>K440</f>
        <v>9060</v>
      </c>
      <c r="L441" s="250">
        <v>1</v>
      </c>
      <c r="M441" s="163" t="str">
        <f t="shared" si="98"/>
        <v>36 лицензий*0,30039918/9060чел.</v>
      </c>
      <c r="N441" s="164">
        <f t="shared" si="97"/>
        <v>11990</v>
      </c>
      <c r="O441" s="165">
        <f t="shared" ref="O441:O450" si="99">MROUND(G441*N441,0.000001)</f>
        <v>14.311743999999999</v>
      </c>
      <c r="P441" s="166"/>
      <c r="Q441" s="166">
        <f t="shared" si="90"/>
        <v>129664.40063999999</v>
      </c>
      <c r="R441" s="71"/>
    </row>
    <row r="442" spans="1:18" s="61" customFormat="1" ht="63" x14ac:dyDescent="0.25">
      <c r="A442" s="358"/>
      <c r="B442" s="361"/>
      <c r="C442" s="364"/>
      <c r="D442" s="156" t="s">
        <v>39</v>
      </c>
      <c r="E442" s="156" t="s">
        <v>20</v>
      </c>
      <c r="F442" s="156" t="s">
        <v>234</v>
      </c>
      <c r="G442" s="238">
        <f>MROUND(H442*L442*I442/K442,0.000000001)</f>
        <v>3.9124839999999999E-3</v>
      </c>
      <c r="H442" s="158">
        <f>H82</f>
        <v>118</v>
      </c>
      <c r="I442" s="159">
        <f>I440</f>
        <v>0.30039917999999999</v>
      </c>
      <c r="J442" s="160"/>
      <c r="K442" s="161">
        <f>K440</f>
        <v>9060</v>
      </c>
      <c r="L442" s="250">
        <v>1</v>
      </c>
      <c r="M442" s="163" t="str">
        <f t="shared" si="98"/>
        <v>118 чел(заявленная потребность руководителями учреждений)*0,30039918/9060чел.</v>
      </c>
      <c r="N442" s="164">
        <f t="shared" si="97"/>
        <v>763</v>
      </c>
      <c r="O442" s="165">
        <f t="shared" si="99"/>
        <v>2.9852249999999998</v>
      </c>
      <c r="P442" s="166"/>
      <c r="Q442" s="166">
        <f t="shared" si="90"/>
        <v>27046.138499999997</v>
      </c>
      <c r="R442" s="71"/>
    </row>
    <row r="443" spans="1:18" s="61" customFormat="1" ht="63" x14ac:dyDescent="0.25">
      <c r="A443" s="358"/>
      <c r="B443" s="361"/>
      <c r="C443" s="364"/>
      <c r="D443" s="156" t="s">
        <v>40</v>
      </c>
      <c r="E443" s="156" t="s">
        <v>20</v>
      </c>
      <c r="F443" s="156" t="s">
        <v>234</v>
      </c>
      <c r="G443" s="238">
        <f>MROUND(H443*L443*I443/K443,0.000000001)</f>
        <v>3.2825080000000004E-3</v>
      </c>
      <c r="H443" s="158">
        <f>H83</f>
        <v>99</v>
      </c>
      <c r="I443" s="159">
        <f t="shared" si="88"/>
        <v>0.30039917999999999</v>
      </c>
      <c r="J443" s="160"/>
      <c r="K443" s="161">
        <f t="shared" ref="K443:K450" si="100">K442</f>
        <v>9060</v>
      </c>
      <c r="L443" s="250">
        <v>1</v>
      </c>
      <c r="M443" s="163" t="str">
        <f t="shared" si="98"/>
        <v>99 чел(заявленная потребность руководителями учреждений)*0,30039918/9060чел.</v>
      </c>
      <c r="N443" s="164">
        <f t="shared" si="97"/>
        <v>1585.4545454545455</v>
      </c>
      <c r="O443" s="165">
        <f t="shared" si="99"/>
        <v>5.2042669999999998</v>
      </c>
      <c r="P443" s="166"/>
      <c r="Q443" s="166">
        <f t="shared" si="90"/>
        <v>47150.659019999999</v>
      </c>
      <c r="R443" s="71"/>
    </row>
    <row r="444" spans="1:18" s="61" customFormat="1" ht="63" x14ac:dyDescent="0.25">
      <c r="A444" s="358"/>
      <c r="B444" s="361"/>
      <c r="C444" s="364"/>
      <c r="D444" s="156" t="s">
        <v>100</v>
      </c>
      <c r="E444" s="156" t="s">
        <v>20</v>
      </c>
      <c r="F444" s="156" t="s">
        <v>234</v>
      </c>
      <c r="G444" s="238">
        <f>MROUND(H444*L444*I444/K444,0.0000000001)</f>
        <v>2.6856880000000003E-3</v>
      </c>
      <c r="H444" s="158">
        <f>H84</f>
        <v>81</v>
      </c>
      <c r="I444" s="159">
        <f t="shared" si="88"/>
        <v>0.30039917999999999</v>
      </c>
      <c r="J444" s="160"/>
      <c r="K444" s="161">
        <f t="shared" si="100"/>
        <v>9060</v>
      </c>
      <c r="L444" s="250">
        <v>1</v>
      </c>
      <c r="M444" s="163" t="str">
        <f t="shared" si="98"/>
        <v>81 чел(заявленная потребность руководителями учреждений)*0,30039918/9060чел.</v>
      </c>
      <c r="N444" s="164">
        <f t="shared" si="97"/>
        <v>3488</v>
      </c>
      <c r="O444" s="165">
        <f t="shared" si="99"/>
        <v>9.36768</v>
      </c>
      <c r="P444" s="166"/>
      <c r="Q444" s="166">
        <f t="shared" si="90"/>
        <v>84871.180800000002</v>
      </c>
      <c r="R444" s="71"/>
    </row>
    <row r="445" spans="1:18" s="61" customFormat="1" ht="110.25" x14ac:dyDescent="0.25">
      <c r="A445" s="358"/>
      <c r="B445" s="361"/>
      <c r="C445" s="364"/>
      <c r="D445" s="156" t="s">
        <v>235</v>
      </c>
      <c r="E445" s="156" t="s">
        <v>50</v>
      </c>
      <c r="F445" s="156" t="s">
        <v>230</v>
      </c>
      <c r="G445" s="238">
        <f>MROUND(H445*L445*I445/K445,0.00000001)</f>
        <v>1.1936399999999999E-3</v>
      </c>
      <c r="H445" s="158">
        <f>H205</f>
        <v>36</v>
      </c>
      <c r="I445" s="159">
        <f t="shared" si="88"/>
        <v>0.30039917999999999</v>
      </c>
      <c r="J445" s="160"/>
      <c r="K445" s="161">
        <f t="shared" si="100"/>
        <v>9060</v>
      </c>
      <c r="L445" s="250">
        <v>1</v>
      </c>
      <c r="M445" s="163" t="str">
        <f t="shared" si="98"/>
        <v>36 отчетов*0,30039918/9060чел.</v>
      </c>
      <c r="N445" s="164">
        <f t="shared" si="97"/>
        <v>6540</v>
      </c>
      <c r="O445" s="165">
        <f t="shared" si="99"/>
        <v>7.806406</v>
      </c>
      <c r="P445" s="166"/>
      <c r="Q445" s="166">
        <f t="shared" si="90"/>
        <v>70726.038360000006</v>
      </c>
      <c r="R445" s="71"/>
    </row>
    <row r="446" spans="1:18" s="61" customFormat="1" ht="63" x14ac:dyDescent="0.25">
      <c r="A446" s="358"/>
      <c r="B446" s="361"/>
      <c r="C446" s="364"/>
      <c r="D446" s="156" t="s">
        <v>42</v>
      </c>
      <c r="E446" s="156" t="s">
        <v>51</v>
      </c>
      <c r="F446" s="156" t="s">
        <v>407</v>
      </c>
      <c r="G446" s="238">
        <f>MROUND(H446*L446*I446/K446,0.000001)</f>
        <v>6.764E-3</v>
      </c>
      <c r="H446" s="158">
        <f>H86</f>
        <v>204</v>
      </c>
      <c r="I446" s="159">
        <f t="shared" si="88"/>
        <v>0.30039917999999999</v>
      </c>
      <c r="J446" s="160"/>
      <c r="K446" s="161">
        <f t="shared" si="100"/>
        <v>9060</v>
      </c>
      <c r="L446" s="250">
        <v>1</v>
      </c>
      <c r="M446" s="163" t="str">
        <f t="shared" si="98"/>
        <v>204 ед (заявленная потребность руководителями учреждений)*0,30039918/9060чел.</v>
      </c>
      <c r="N446" s="164">
        <f t="shared" si="97"/>
        <v>1090</v>
      </c>
      <c r="O446" s="165">
        <f t="shared" si="99"/>
        <v>7.3727599999999995</v>
      </c>
      <c r="P446" s="166"/>
      <c r="Q446" s="166">
        <f t="shared" si="90"/>
        <v>66797.205600000001</v>
      </c>
      <c r="R446" s="71"/>
    </row>
    <row r="447" spans="1:18" s="61" customFormat="1" ht="31.5" x14ac:dyDescent="0.25">
      <c r="A447" s="358"/>
      <c r="B447" s="361"/>
      <c r="C447" s="364"/>
      <c r="D447" s="156" t="s">
        <v>43</v>
      </c>
      <c r="E447" s="156" t="s">
        <v>52</v>
      </c>
      <c r="F447" s="156" t="s">
        <v>231</v>
      </c>
      <c r="G447" s="238">
        <f>MROUND(H447*L447*I447/K447,0.000000001)</f>
        <v>1.193639E-3</v>
      </c>
      <c r="H447" s="158">
        <f>H87</f>
        <v>36</v>
      </c>
      <c r="I447" s="159">
        <f t="shared" si="88"/>
        <v>0.30039917999999999</v>
      </c>
      <c r="J447" s="160"/>
      <c r="K447" s="161">
        <f t="shared" si="100"/>
        <v>9060</v>
      </c>
      <c r="L447" s="250">
        <v>1</v>
      </c>
      <c r="M447" s="163" t="str">
        <f t="shared" si="98"/>
        <v>36 ЭЦП*0,30039918/9060чел.</v>
      </c>
      <c r="N447" s="164">
        <f t="shared" si="97"/>
        <v>7743.3599999999924</v>
      </c>
      <c r="O447" s="165">
        <f t="shared" si="99"/>
        <v>9.2427759999999992</v>
      </c>
      <c r="P447" s="166"/>
      <c r="Q447" s="166">
        <f t="shared" si="90"/>
        <v>83739.550559999989</v>
      </c>
      <c r="R447" s="71"/>
    </row>
    <row r="448" spans="1:18" s="61" customFormat="1" ht="47.25" x14ac:dyDescent="0.25">
      <c r="A448" s="358"/>
      <c r="B448" s="361"/>
      <c r="C448" s="364"/>
      <c r="D448" s="156" t="s">
        <v>44</v>
      </c>
      <c r="E448" s="156" t="s">
        <v>85</v>
      </c>
      <c r="F448" s="156" t="s">
        <v>232</v>
      </c>
      <c r="G448" s="238">
        <f>MROUND(H448*L448*I448/K448,0.000001)</f>
        <v>4.0318E-2</v>
      </c>
      <c r="H448" s="158">
        <f>H88</f>
        <v>1216</v>
      </c>
      <c r="I448" s="159">
        <f t="shared" si="88"/>
        <v>0.30039917999999999</v>
      </c>
      <c r="J448" s="160"/>
      <c r="K448" s="161">
        <f t="shared" si="100"/>
        <v>9060</v>
      </c>
      <c r="L448" s="250">
        <v>1</v>
      </c>
      <c r="M448" s="163" t="str">
        <f>CONCATENATE(H448," ",F448,"*",L448,"мес.","*",I448,"/",K448,"чел.")</f>
        <v>1216 мед.осмотров в мес.*1мес.*0,30039918/9060чел.</v>
      </c>
      <c r="N448" s="164">
        <f t="shared" si="97"/>
        <v>56.680000000000007</v>
      </c>
      <c r="O448" s="165">
        <f t="shared" si="99"/>
        <v>2.2852239999999999</v>
      </c>
      <c r="P448" s="166"/>
      <c r="Q448" s="166">
        <f t="shared" si="90"/>
        <v>20704.129440000001</v>
      </c>
      <c r="R448" s="71"/>
    </row>
    <row r="449" spans="1:18" s="61" customFormat="1" ht="63" x14ac:dyDescent="0.25">
      <c r="A449" s="358"/>
      <c r="B449" s="361"/>
      <c r="C449" s="364"/>
      <c r="D449" s="156" t="s">
        <v>45</v>
      </c>
      <c r="E449" s="156" t="s">
        <v>53</v>
      </c>
      <c r="F449" s="156" t="s">
        <v>233</v>
      </c>
      <c r="G449" s="238">
        <f>MROUND(H449*L449*I449/K449,0.0000000001)</f>
        <v>1.5915188000000002E-3</v>
      </c>
      <c r="H449" s="158">
        <f>H89</f>
        <v>4</v>
      </c>
      <c r="I449" s="159">
        <f t="shared" si="88"/>
        <v>0.30039917999999999</v>
      </c>
      <c r="J449" s="160"/>
      <c r="K449" s="161">
        <f t="shared" si="100"/>
        <v>9060</v>
      </c>
      <c r="L449" s="250">
        <v>12</v>
      </c>
      <c r="M449" s="163" t="str">
        <f>CONCATENATE(H449," ",F449,"*",L449,"мес.","*",I449,"/",K449,"чел.")</f>
        <v>4  машины, оборудованных системой ГЛОНАСС*12мес.*0,30039918/9060чел.</v>
      </c>
      <c r="N449" s="164">
        <f t="shared" si="97"/>
        <v>880.71999999999991</v>
      </c>
      <c r="O449" s="165">
        <f t="shared" si="99"/>
        <v>1.4016819999999999</v>
      </c>
      <c r="P449" s="166"/>
      <c r="Q449" s="166">
        <f t="shared" si="90"/>
        <v>12699.238919999998</v>
      </c>
      <c r="R449" s="71"/>
    </row>
    <row r="450" spans="1:18" s="61" customFormat="1" ht="31.5" x14ac:dyDescent="0.25">
      <c r="A450" s="358"/>
      <c r="B450" s="361"/>
      <c r="C450" s="364"/>
      <c r="D450" s="156" t="s">
        <v>408</v>
      </c>
      <c r="E450" s="156" t="s">
        <v>20</v>
      </c>
      <c r="F450" s="156" t="s">
        <v>20</v>
      </c>
      <c r="G450" s="238">
        <f>MROUND(H450*L450*I450/K450,0.00000001)</f>
        <v>5.6764170000000003E-2</v>
      </c>
      <c r="H450" s="158">
        <f>H90</f>
        <v>1712</v>
      </c>
      <c r="I450" s="159">
        <f t="shared" si="88"/>
        <v>0.30039917999999999</v>
      </c>
      <c r="J450" s="160"/>
      <c r="K450" s="161">
        <f t="shared" si="100"/>
        <v>9060</v>
      </c>
      <c r="L450" s="250">
        <v>1</v>
      </c>
      <c r="M450" s="163" t="str">
        <f>CONCATENATE(H450," ",F450,"*",L450," раз в год","*",I450,"/",K450,"чел.")</f>
        <v>1712 чел.*1 раз в год*0,30039918/9060чел.</v>
      </c>
      <c r="N450" s="164">
        <f t="shared" si="97"/>
        <v>545</v>
      </c>
      <c r="O450" s="165">
        <f t="shared" si="99"/>
        <v>30.936472999999999</v>
      </c>
      <c r="P450" s="166"/>
      <c r="Q450" s="166">
        <f t="shared" si="90"/>
        <v>280284.44537999999</v>
      </c>
      <c r="R450" s="71"/>
    </row>
    <row r="451" spans="1:18" s="61" customFormat="1" x14ac:dyDescent="0.25">
      <c r="A451" s="358"/>
      <c r="B451" s="361"/>
      <c r="C451" s="364"/>
      <c r="D451" s="156" t="s">
        <v>373</v>
      </c>
      <c r="E451" s="156" t="s">
        <v>28</v>
      </c>
      <c r="F451" s="156" t="s">
        <v>28</v>
      </c>
      <c r="G451" s="157">
        <f>MROUND(H451*L451*I451/K451,0.000000001)</f>
        <v>1.193639E-3</v>
      </c>
      <c r="H451" s="158">
        <f>H92</f>
        <v>36</v>
      </c>
      <c r="I451" s="159">
        <f>I449</f>
        <v>0.30039917999999999</v>
      </c>
      <c r="J451" s="160"/>
      <c r="K451" s="161">
        <f>K449</f>
        <v>9060</v>
      </c>
      <c r="L451" s="162">
        <v>1</v>
      </c>
      <c r="M451" s="163" t="str">
        <f>CONCATENATE(H451," ",F451,"*",L451,"мес.","*",I451,"/",K451,"чел.")</f>
        <v>36 шт*1мес.*0,30039918/9060чел.</v>
      </c>
      <c r="N451" s="164">
        <f>N92</f>
        <v>24000</v>
      </c>
      <c r="O451" s="165">
        <f>MROUND(G451*N451,0.000000001)</f>
        <v>28.647336000000003</v>
      </c>
      <c r="P451" s="166"/>
      <c r="Q451" s="166">
        <f t="shared" si="90"/>
        <v>259544.86416000003</v>
      </c>
      <c r="R451" s="71"/>
    </row>
    <row r="452" spans="1:18" s="61" customFormat="1" ht="31.5" x14ac:dyDescent="0.25">
      <c r="A452" s="358"/>
      <c r="B452" s="361"/>
      <c r="C452" s="364"/>
      <c r="D452" s="156" t="s">
        <v>106</v>
      </c>
      <c r="E452" s="156" t="s">
        <v>107</v>
      </c>
      <c r="F452" s="156"/>
      <c r="G452" s="238">
        <f>MROUND(H452*L452*I452/K452,0.000000001)</f>
        <v>0</v>
      </c>
      <c r="H452" s="158">
        <f>H91</f>
        <v>0</v>
      </c>
      <c r="I452" s="159">
        <f>I449</f>
        <v>0.30039917999999999</v>
      </c>
      <c r="J452" s="160"/>
      <c r="K452" s="161">
        <f>K449</f>
        <v>9060</v>
      </c>
      <c r="L452" s="250">
        <f>L91</f>
        <v>0</v>
      </c>
      <c r="M452" s="163"/>
      <c r="N452" s="164">
        <f>N91</f>
        <v>1256.0400600000007</v>
      </c>
      <c r="O452" s="165">
        <f>MROUND(G452*N452,0.000000001)</f>
        <v>0</v>
      </c>
      <c r="P452" s="166"/>
      <c r="Q452" s="166">
        <f t="shared" si="90"/>
        <v>0</v>
      </c>
      <c r="R452" s="71"/>
    </row>
    <row r="453" spans="1:18" s="61" customFormat="1" x14ac:dyDescent="0.25">
      <c r="A453" s="358"/>
      <c r="B453" s="361"/>
      <c r="C453" s="245" t="s">
        <v>296</v>
      </c>
      <c r="D453" s="240"/>
      <c r="E453" s="240"/>
      <c r="F453" s="240"/>
      <c r="G453" s="227"/>
      <c r="H453" s="241"/>
      <c r="I453" s="206"/>
      <c r="J453" s="228"/>
      <c r="K453" s="207"/>
      <c r="L453" s="257"/>
      <c r="M453" s="209"/>
      <c r="N453" s="210"/>
      <c r="O453" s="198">
        <f>SUM(O439:O452)</f>
        <v>199.784042</v>
      </c>
      <c r="P453" s="166"/>
      <c r="Q453" s="166"/>
      <c r="R453" s="71"/>
    </row>
    <row r="454" spans="1:18" s="61" customFormat="1" ht="31.5" x14ac:dyDescent="0.25">
      <c r="A454" s="358"/>
      <c r="B454" s="361"/>
      <c r="C454" s="252" t="s">
        <v>237</v>
      </c>
      <c r="D454" s="156" t="s">
        <v>41</v>
      </c>
      <c r="E454" s="156" t="s">
        <v>61</v>
      </c>
      <c r="F454" s="156" t="s">
        <v>227</v>
      </c>
      <c r="G454" s="238">
        <f>MROUND(H454*L454*I454/K454,0.000000001)</f>
        <v>1.3262700000000002E-4</v>
      </c>
      <c r="H454" s="158">
        <f>H94</f>
        <v>4</v>
      </c>
      <c r="I454" s="159">
        <f>I452</f>
        <v>0.30039917999999999</v>
      </c>
      <c r="J454" s="160"/>
      <c r="K454" s="161">
        <f>K452</f>
        <v>9060</v>
      </c>
      <c r="L454" s="250">
        <v>1</v>
      </c>
      <c r="M454" s="163" t="str">
        <f>CONCATENATE(H454," ",F454,"*",I454,"/",K454,"чел.")</f>
        <v>4 автобуса*0,30039918/9060чел.</v>
      </c>
      <c r="N454" s="164">
        <f>N94</f>
        <v>25724</v>
      </c>
      <c r="O454" s="165">
        <f>MROUND(G454*N454,0.000001)</f>
        <v>3.4116969999999998</v>
      </c>
      <c r="P454" s="166"/>
      <c r="Q454" s="166">
        <f t="shared" si="90"/>
        <v>30909.974819999999</v>
      </c>
      <c r="R454" s="71"/>
    </row>
    <row r="455" spans="1:18" s="61" customFormat="1" x14ac:dyDescent="0.25">
      <c r="A455" s="358"/>
      <c r="B455" s="361"/>
      <c r="C455" s="245" t="s">
        <v>297</v>
      </c>
      <c r="D455" s="240"/>
      <c r="E455" s="240"/>
      <c r="F455" s="240"/>
      <c r="G455" s="227"/>
      <c r="H455" s="241"/>
      <c r="I455" s="206"/>
      <c r="J455" s="228"/>
      <c r="K455" s="207"/>
      <c r="L455" s="257"/>
      <c r="M455" s="209"/>
      <c r="N455" s="210"/>
      <c r="O455" s="198">
        <f>SUM(O454)</f>
        <v>3.4116969999999998</v>
      </c>
      <c r="P455" s="166"/>
      <c r="Q455" s="166"/>
      <c r="R455" s="71"/>
    </row>
    <row r="456" spans="1:18" s="61" customFormat="1" ht="78.75" x14ac:dyDescent="0.25">
      <c r="A456" s="358"/>
      <c r="B456" s="361"/>
      <c r="C456" s="221" t="s">
        <v>236</v>
      </c>
      <c r="D456" s="156" t="s">
        <v>19</v>
      </c>
      <c r="E456" s="181" t="s">
        <v>20</v>
      </c>
      <c r="F456" s="181" t="s">
        <v>238</v>
      </c>
      <c r="G456" s="238">
        <f>MROUND(H456*L456*I456/K456,0.000001)</f>
        <v>0</v>
      </c>
      <c r="H456" s="158"/>
      <c r="I456" s="159">
        <f>I452</f>
        <v>0.30039917999999999</v>
      </c>
      <c r="J456" s="160"/>
      <c r="K456" s="161">
        <f>K452</f>
        <v>9060</v>
      </c>
      <c r="L456" s="250"/>
      <c r="M456" s="163"/>
      <c r="N456" s="164"/>
      <c r="O456" s="165">
        <f>MROUND(G456*N456,0.000001)</f>
        <v>0</v>
      </c>
      <c r="P456" s="166"/>
      <c r="Q456" s="166">
        <f t="shared" si="90"/>
        <v>0</v>
      </c>
      <c r="R456" s="71"/>
    </row>
    <row r="457" spans="1:18" s="61" customFormat="1" x14ac:dyDescent="0.25">
      <c r="A457" s="358"/>
      <c r="B457" s="361"/>
      <c r="C457" s="245" t="s">
        <v>298</v>
      </c>
      <c r="D457" s="240"/>
      <c r="E457" s="253"/>
      <c r="F457" s="253"/>
      <c r="G457" s="227"/>
      <c r="H457" s="241"/>
      <c r="I457" s="206"/>
      <c r="J457" s="228"/>
      <c r="K457" s="207"/>
      <c r="L457" s="257"/>
      <c r="M457" s="209"/>
      <c r="N457" s="210"/>
      <c r="O457" s="198">
        <f>SUM(O456)</f>
        <v>0</v>
      </c>
      <c r="P457" s="166"/>
      <c r="Q457" s="166"/>
      <c r="R457" s="71"/>
    </row>
    <row r="458" spans="1:18" s="61" customFormat="1" ht="30" x14ac:dyDescent="0.25">
      <c r="A458" s="358"/>
      <c r="B458" s="361"/>
      <c r="C458" s="365" t="s">
        <v>81</v>
      </c>
      <c r="D458" s="254" t="s">
        <v>410</v>
      </c>
      <c r="E458" s="156" t="s">
        <v>28</v>
      </c>
      <c r="F458" s="156" t="s">
        <v>28</v>
      </c>
      <c r="G458" s="238">
        <f>MROUND(H458*L458*I458/K458,0.0000000001)</f>
        <v>2.320965E-4</v>
      </c>
      <c r="H458" s="158">
        <f>H98</f>
        <v>7</v>
      </c>
      <c r="I458" s="159">
        <f>I452</f>
        <v>0.30039917999999999</v>
      </c>
      <c r="J458" s="160"/>
      <c r="K458" s="161">
        <f>K452</f>
        <v>9060</v>
      </c>
      <c r="L458" s="250">
        <v>1</v>
      </c>
      <c r="M458" s="163" t="str">
        <f>CONCATENATE(H458," ",F458,"*",I458,"/",K458,"чел.")</f>
        <v>7 шт*0,30039918/9060чел.</v>
      </c>
      <c r="N458" s="164">
        <f>N98</f>
        <v>152142.85714285713</v>
      </c>
      <c r="O458" s="165">
        <f>MROUND(G458*N458,0.000001)</f>
        <v>35.311824999999999</v>
      </c>
      <c r="P458" s="166"/>
      <c r="Q458" s="166">
        <f t="shared" si="90"/>
        <v>319925.13449999999</v>
      </c>
      <c r="R458" s="71"/>
    </row>
    <row r="459" spans="1:18" s="61" customFormat="1" x14ac:dyDescent="0.25">
      <c r="A459" s="358"/>
      <c r="B459" s="361"/>
      <c r="C459" s="366"/>
      <c r="D459" s="254" t="s">
        <v>325</v>
      </c>
      <c r="E459" s="156" t="s">
        <v>28</v>
      </c>
      <c r="F459" s="156" t="s">
        <v>28</v>
      </c>
      <c r="G459" s="157">
        <f>MROUND(H459*L459*I459/K459,0.0000000001)</f>
        <v>7.6260279999999998E-4</v>
      </c>
      <c r="H459" s="158">
        <f>$H$99</f>
        <v>23</v>
      </c>
      <c r="I459" s="159">
        <f>I458</f>
        <v>0.30039917999999999</v>
      </c>
      <c r="J459" s="160"/>
      <c r="K459" s="161">
        <f>K458</f>
        <v>9060</v>
      </c>
      <c r="L459" s="250">
        <v>1</v>
      </c>
      <c r="M459" s="163" t="str">
        <f>CONCATENATE(H459," ",F459,"*",I459,"/",K459,"чел.")</f>
        <v>23 шт*0,30039918/9060чел.</v>
      </c>
      <c r="N459" s="164">
        <f>$N$99</f>
        <v>229039.13043478262</v>
      </c>
      <c r="O459" s="165">
        <f>MROUND(G459*N459,0.000001)</f>
        <v>174.66588199999998</v>
      </c>
      <c r="P459" s="166"/>
      <c r="Q459" s="166">
        <f t="shared" si="90"/>
        <v>1582472.8909199999</v>
      </c>
      <c r="R459" s="71"/>
    </row>
    <row r="460" spans="1:18" s="61" customFormat="1" ht="30" x14ac:dyDescent="0.25">
      <c r="A460" s="358"/>
      <c r="B460" s="361"/>
      <c r="C460" s="366"/>
      <c r="D460" s="254" t="s">
        <v>411</v>
      </c>
      <c r="E460" s="156" t="s">
        <v>28</v>
      </c>
      <c r="F460" s="156" t="s">
        <v>28</v>
      </c>
      <c r="G460" s="238">
        <f>MROUND(H460*L460*I460/K460,0.00000001)</f>
        <v>2.321E-4</v>
      </c>
      <c r="H460" s="158">
        <f>$H$100</f>
        <v>7</v>
      </c>
      <c r="I460" s="159">
        <f>I458</f>
        <v>0.30039917999999999</v>
      </c>
      <c r="J460" s="160"/>
      <c r="K460" s="161">
        <f>K458</f>
        <v>9060</v>
      </c>
      <c r="L460" s="250">
        <v>1</v>
      </c>
      <c r="M460" s="163" t="str">
        <f t="shared" ref="M460:M481" si="101">CONCATENATE(H460," ",F460,"*",I460,"/",K460,"чел.")</f>
        <v>7 шт*0,30039918/9060чел.</v>
      </c>
      <c r="N460" s="164">
        <f t="shared" ref="N460:N481" si="102">N100</f>
        <v>82142.857142857145</v>
      </c>
      <c r="O460" s="165">
        <f t="shared" ref="O460:O481" si="103">MROUND(G460*N460,0.000001)</f>
        <v>19.065356999999999</v>
      </c>
      <c r="P460" s="166"/>
      <c r="Q460" s="166">
        <f t="shared" si="90"/>
        <v>172732.13441999999</v>
      </c>
      <c r="R460" s="71"/>
    </row>
    <row r="461" spans="1:18" s="61" customFormat="1" x14ac:dyDescent="0.25">
      <c r="A461" s="358"/>
      <c r="B461" s="361"/>
      <c r="C461" s="366"/>
      <c r="D461" s="255" t="s">
        <v>412</v>
      </c>
      <c r="E461" s="156" t="s">
        <v>28</v>
      </c>
      <c r="F461" s="156" t="s">
        <v>28</v>
      </c>
      <c r="G461" s="238">
        <f>MROUND(H461*L461*I461/K461,0.00000001)</f>
        <v>1.16048E-3</v>
      </c>
      <c r="H461" s="158">
        <f>$H$101</f>
        <v>35</v>
      </c>
      <c r="I461" s="159">
        <f>I460</f>
        <v>0.30039917999999999</v>
      </c>
      <c r="J461" s="160"/>
      <c r="K461" s="161">
        <f>K460</f>
        <v>9060</v>
      </c>
      <c r="L461" s="250">
        <v>1</v>
      </c>
      <c r="M461" s="163" t="str">
        <f t="shared" si="101"/>
        <v>35 шт*0,30039918/9060чел.</v>
      </c>
      <c r="N461" s="164">
        <f t="shared" si="102"/>
        <v>126114.97142857143</v>
      </c>
      <c r="O461" s="165">
        <f t="shared" si="103"/>
        <v>146.35390200000001</v>
      </c>
      <c r="P461" s="166"/>
      <c r="Q461" s="166">
        <f t="shared" si="90"/>
        <v>1325966.3521199999</v>
      </c>
      <c r="R461" s="71"/>
    </row>
    <row r="462" spans="1:18" s="61" customFormat="1" ht="31.5" x14ac:dyDescent="0.25">
      <c r="A462" s="358"/>
      <c r="B462" s="361"/>
      <c r="C462" s="366"/>
      <c r="D462" s="255" t="s">
        <v>413</v>
      </c>
      <c r="E462" s="156" t="s">
        <v>28</v>
      </c>
      <c r="F462" s="156" t="s">
        <v>28</v>
      </c>
      <c r="G462" s="238">
        <f>MROUND(H462*L462*I462/K462,0.0000000001)</f>
        <v>4.973496E-4</v>
      </c>
      <c r="H462" s="158">
        <f>H102</f>
        <v>15</v>
      </c>
      <c r="I462" s="159">
        <f>I461</f>
        <v>0.30039917999999999</v>
      </c>
      <c r="J462" s="160"/>
      <c r="K462" s="161">
        <f>K461</f>
        <v>9060</v>
      </c>
      <c r="L462" s="250">
        <v>1</v>
      </c>
      <c r="M462" s="163" t="str">
        <f t="shared" si="101"/>
        <v>15 шт*0,30039918/9060чел.</v>
      </c>
      <c r="N462" s="164">
        <f t="shared" si="102"/>
        <v>75333.333333333328</v>
      </c>
      <c r="O462" s="165">
        <f t="shared" si="103"/>
        <v>37.467002999999998</v>
      </c>
      <c r="P462" s="166"/>
      <c r="Q462" s="166">
        <f t="shared" ref="Q462:Q525" si="104">O462*K462</f>
        <v>339451.04717999999</v>
      </c>
      <c r="R462" s="71"/>
    </row>
    <row r="463" spans="1:18" s="61" customFormat="1" x14ac:dyDescent="0.25">
      <c r="A463" s="358"/>
      <c r="B463" s="361"/>
      <c r="C463" s="366"/>
      <c r="D463" s="254" t="s">
        <v>109</v>
      </c>
      <c r="E463" s="156" t="s">
        <v>28</v>
      </c>
      <c r="F463" s="156" t="s">
        <v>28</v>
      </c>
      <c r="G463" s="238">
        <f>MROUND(H463*L463*I463/K463,0.0000000001)</f>
        <v>5.3050630000000003E-4</v>
      </c>
      <c r="H463" s="158">
        <f>$H$103</f>
        <v>16</v>
      </c>
      <c r="I463" s="159">
        <f>I462</f>
        <v>0.30039917999999999</v>
      </c>
      <c r="J463" s="160"/>
      <c r="K463" s="161">
        <f>K462</f>
        <v>9060</v>
      </c>
      <c r="L463" s="250">
        <v>1</v>
      </c>
      <c r="M463" s="163" t="str">
        <f t="shared" si="101"/>
        <v>16 шт*0,30039918/9060чел.</v>
      </c>
      <c r="N463" s="164">
        <f t="shared" si="102"/>
        <v>169687.5</v>
      </c>
      <c r="O463" s="165">
        <f t="shared" si="103"/>
        <v>90.020287999999994</v>
      </c>
      <c r="P463" s="166"/>
      <c r="Q463" s="166">
        <f t="shared" si="104"/>
        <v>815583.80927999993</v>
      </c>
      <c r="R463" s="71"/>
    </row>
    <row r="464" spans="1:18" s="61" customFormat="1" x14ac:dyDescent="0.25">
      <c r="A464" s="358"/>
      <c r="B464" s="361"/>
      <c r="C464" s="366"/>
      <c r="D464" s="254" t="s">
        <v>414</v>
      </c>
      <c r="E464" s="156" t="s">
        <v>28</v>
      </c>
      <c r="F464" s="156" t="s">
        <v>28</v>
      </c>
      <c r="G464" s="238">
        <f>MROUND(H464*L464*I464/K464,0.0000000001)</f>
        <v>2.9840980000000002E-4</v>
      </c>
      <c r="H464" s="158">
        <f>$H$104</f>
        <v>9</v>
      </c>
      <c r="I464" s="159">
        <f>I462</f>
        <v>0.30039917999999999</v>
      </c>
      <c r="J464" s="160"/>
      <c r="K464" s="161">
        <f>K462</f>
        <v>9060</v>
      </c>
      <c r="L464" s="250">
        <v>1</v>
      </c>
      <c r="M464" s="163" t="str">
        <f t="shared" si="101"/>
        <v>9 шт*0,30039918/9060чел.</v>
      </c>
      <c r="N464" s="164">
        <f t="shared" si="102"/>
        <v>89333.333333333328</v>
      </c>
      <c r="O464" s="165">
        <f t="shared" si="103"/>
        <v>26.657941999999998</v>
      </c>
      <c r="P464" s="166"/>
      <c r="Q464" s="166">
        <f t="shared" si="104"/>
        <v>241520.95452</v>
      </c>
      <c r="R464" s="71"/>
    </row>
    <row r="465" spans="1:18" s="61" customFormat="1" x14ac:dyDescent="0.25">
      <c r="A465" s="358"/>
      <c r="B465" s="361"/>
      <c r="C465" s="366"/>
      <c r="D465" s="254" t="s">
        <v>415</v>
      </c>
      <c r="E465" s="156" t="s">
        <v>28</v>
      </c>
      <c r="F465" s="156" t="s">
        <v>28</v>
      </c>
      <c r="G465" s="238">
        <f>MROUND(H465*L465*I465/K465,0.00000001)</f>
        <v>3.6472000000000002E-4</v>
      </c>
      <c r="H465" s="158">
        <f>$H$105</f>
        <v>11</v>
      </c>
      <c r="I465" s="159">
        <f t="shared" ref="I465:I474" si="105">I463</f>
        <v>0.30039917999999999</v>
      </c>
      <c r="J465" s="160"/>
      <c r="K465" s="161">
        <f t="shared" ref="K465:K474" si="106">K463</f>
        <v>9060</v>
      </c>
      <c r="L465" s="250">
        <v>1</v>
      </c>
      <c r="M465" s="163" t="str">
        <f t="shared" si="101"/>
        <v>11 шт*0,30039918/9060чел.</v>
      </c>
      <c r="N465" s="164">
        <f t="shared" si="102"/>
        <v>122181.81818181818</v>
      </c>
      <c r="O465" s="165">
        <f t="shared" si="103"/>
        <v>44.562152999999995</v>
      </c>
      <c r="P465" s="166"/>
      <c r="Q465" s="166">
        <f t="shared" si="104"/>
        <v>403733.10617999994</v>
      </c>
      <c r="R465" s="71"/>
    </row>
    <row r="466" spans="1:18" s="61" customFormat="1" x14ac:dyDescent="0.25">
      <c r="A466" s="358"/>
      <c r="B466" s="361"/>
      <c r="C466" s="366"/>
      <c r="D466" s="254" t="s">
        <v>416</v>
      </c>
      <c r="E466" s="156" t="s">
        <v>28</v>
      </c>
      <c r="F466" s="156" t="s">
        <v>28</v>
      </c>
      <c r="G466" s="238">
        <f>MROUND(H466*L466*I466/K466,0.000000001)</f>
        <v>6.63133E-4</v>
      </c>
      <c r="H466" s="246">
        <f>$H$106</f>
        <v>20</v>
      </c>
      <c r="I466" s="159">
        <f t="shared" si="105"/>
        <v>0.30039917999999999</v>
      </c>
      <c r="J466" s="160"/>
      <c r="K466" s="161">
        <f t="shared" si="106"/>
        <v>9060</v>
      </c>
      <c r="L466" s="250">
        <v>1</v>
      </c>
      <c r="M466" s="163" t="str">
        <f t="shared" si="101"/>
        <v>20 шт*0,30039918/9060чел.</v>
      </c>
      <c r="N466" s="164">
        <f t="shared" si="102"/>
        <v>52500</v>
      </c>
      <c r="O466" s="165">
        <f t="shared" si="103"/>
        <v>34.814482999999996</v>
      </c>
      <c r="P466" s="166"/>
      <c r="Q466" s="166">
        <f t="shared" si="104"/>
        <v>315419.21597999998</v>
      </c>
      <c r="R466" s="71"/>
    </row>
    <row r="467" spans="1:18" s="61" customFormat="1" x14ac:dyDescent="0.25">
      <c r="A467" s="358"/>
      <c r="B467" s="361"/>
      <c r="C467" s="366"/>
      <c r="D467" s="254" t="s">
        <v>417</v>
      </c>
      <c r="E467" s="156" t="s">
        <v>28</v>
      </c>
      <c r="F467" s="156" t="s">
        <v>28</v>
      </c>
      <c r="G467" s="238">
        <f>MROUND(H467*L467*I467/K467,0.00000001)</f>
        <v>5.6366000000000001E-4</v>
      </c>
      <c r="H467" s="158">
        <f>$H$107</f>
        <v>17</v>
      </c>
      <c r="I467" s="159">
        <f t="shared" si="105"/>
        <v>0.30039917999999999</v>
      </c>
      <c r="J467" s="160"/>
      <c r="K467" s="161">
        <f t="shared" si="106"/>
        <v>9060</v>
      </c>
      <c r="L467" s="250">
        <v>1</v>
      </c>
      <c r="M467" s="163" t="str">
        <f t="shared" si="101"/>
        <v>17 шт*0,30039918/9060чел.</v>
      </c>
      <c r="N467" s="164">
        <f t="shared" si="102"/>
        <v>75000</v>
      </c>
      <c r="O467" s="165">
        <f t="shared" si="103"/>
        <v>42.274499999999996</v>
      </c>
      <c r="P467" s="166"/>
      <c r="Q467" s="166">
        <f t="shared" si="104"/>
        <v>383006.97</v>
      </c>
      <c r="R467" s="71"/>
    </row>
    <row r="468" spans="1:18" s="61" customFormat="1" ht="30" x14ac:dyDescent="0.25">
      <c r="A468" s="358"/>
      <c r="B468" s="361"/>
      <c r="C468" s="366"/>
      <c r="D468" s="254" t="s">
        <v>418</v>
      </c>
      <c r="E468" s="156" t="s">
        <v>28</v>
      </c>
      <c r="F468" s="156" t="s">
        <v>28</v>
      </c>
      <c r="G468" s="238">
        <f>MROUND(H468*L468*I468/K468,0.00000001)</f>
        <v>2.9840999999999998E-4</v>
      </c>
      <c r="H468" s="158">
        <f>H108</f>
        <v>9</v>
      </c>
      <c r="I468" s="159">
        <f t="shared" si="105"/>
        <v>0.30039917999999999</v>
      </c>
      <c r="J468" s="160"/>
      <c r="K468" s="161">
        <f t="shared" si="106"/>
        <v>9060</v>
      </c>
      <c r="L468" s="250">
        <v>1</v>
      </c>
      <c r="M468" s="163" t="str">
        <f t="shared" si="101"/>
        <v>9 шт*0,30039918/9060чел.</v>
      </c>
      <c r="N468" s="164">
        <f t="shared" si="102"/>
        <v>66666.666666666672</v>
      </c>
      <c r="O468" s="165">
        <f t="shared" si="103"/>
        <v>19.893999999999998</v>
      </c>
      <c r="P468" s="166"/>
      <c r="Q468" s="166">
        <f t="shared" si="104"/>
        <v>180239.63999999998</v>
      </c>
      <c r="R468" s="71"/>
    </row>
    <row r="469" spans="1:18" s="61" customFormat="1" x14ac:dyDescent="0.25">
      <c r="A469" s="358"/>
      <c r="B469" s="361"/>
      <c r="C469" s="366"/>
      <c r="D469" s="254" t="s">
        <v>324</v>
      </c>
      <c r="E469" s="156" t="s">
        <v>28</v>
      </c>
      <c r="F469" s="156" t="s">
        <v>28</v>
      </c>
      <c r="G469" s="238">
        <f>MROUND(H469*L469*I469/K469,0.000000001)</f>
        <v>5.9682000000000008E-4</v>
      </c>
      <c r="H469" s="158">
        <f>$H$109</f>
        <v>18</v>
      </c>
      <c r="I469" s="159">
        <f t="shared" si="105"/>
        <v>0.30039917999999999</v>
      </c>
      <c r="J469" s="160"/>
      <c r="K469" s="161">
        <f t="shared" si="106"/>
        <v>9060</v>
      </c>
      <c r="L469" s="250">
        <v>1</v>
      </c>
      <c r="M469" s="163" t="str">
        <f t="shared" si="101"/>
        <v>18 шт*0,30039918/9060чел.</v>
      </c>
      <c r="N469" s="164">
        <f t="shared" si="102"/>
        <v>365277.77777777775</v>
      </c>
      <c r="O469" s="165">
        <f t="shared" si="103"/>
        <v>218.00508299999998</v>
      </c>
      <c r="P469" s="166"/>
      <c r="Q469" s="166">
        <f t="shared" si="104"/>
        <v>1975126.0519799998</v>
      </c>
      <c r="R469" s="71"/>
    </row>
    <row r="470" spans="1:18" s="61" customFormat="1" x14ac:dyDescent="0.25">
      <c r="A470" s="358"/>
      <c r="B470" s="361"/>
      <c r="C470" s="366"/>
      <c r="D470" s="254" t="s">
        <v>419</v>
      </c>
      <c r="E470" s="156" t="s">
        <v>28</v>
      </c>
      <c r="F470" s="156" t="s">
        <v>28</v>
      </c>
      <c r="G470" s="238">
        <f>MROUND(H470*L470*I470/K470,0.000000001)</f>
        <v>7.9575900000000005E-4</v>
      </c>
      <c r="H470" s="246">
        <f>$H$110</f>
        <v>24</v>
      </c>
      <c r="I470" s="159">
        <f t="shared" si="105"/>
        <v>0.30039917999999999</v>
      </c>
      <c r="J470" s="160"/>
      <c r="K470" s="161">
        <f t="shared" si="106"/>
        <v>9060</v>
      </c>
      <c r="L470" s="250">
        <v>1</v>
      </c>
      <c r="M470" s="163" t="str">
        <f t="shared" si="101"/>
        <v>24 шт*0,30039918/9060чел.</v>
      </c>
      <c r="N470" s="164">
        <f t="shared" si="102"/>
        <v>32416.666666666668</v>
      </c>
      <c r="O470" s="165">
        <f t="shared" si="103"/>
        <v>25.795853999999999</v>
      </c>
      <c r="P470" s="166"/>
      <c r="Q470" s="166">
        <f t="shared" si="104"/>
        <v>233710.43724</v>
      </c>
      <c r="R470" s="71"/>
    </row>
    <row r="471" spans="1:18" s="61" customFormat="1" x14ac:dyDescent="0.25">
      <c r="A471" s="358"/>
      <c r="B471" s="361"/>
      <c r="C471" s="366"/>
      <c r="D471" s="254" t="s">
        <v>420</v>
      </c>
      <c r="E471" s="156" t="s">
        <v>28</v>
      </c>
      <c r="F471" s="156" t="s">
        <v>28</v>
      </c>
      <c r="G471" s="238">
        <f>MROUND(H471*L471*I471/K471,0.000000001)</f>
        <v>4.9735000000000003E-4</v>
      </c>
      <c r="H471" s="158">
        <f>H111</f>
        <v>15</v>
      </c>
      <c r="I471" s="159">
        <f t="shared" si="105"/>
        <v>0.30039917999999999</v>
      </c>
      <c r="J471" s="160"/>
      <c r="K471" s="161">
        <f t="shared" si="106"/>
        <v>9060</v>
      </c>
      <c r="L471" s="250">
        <v>1</v>
      </c>
      <c r="M471" s="163" t="str">
        <f t="shared" si="101"/>
        <v>15 шт*0,30039918/9060чел.</v>
      </c>
      <c r="N471" s="164">
        <f t="shared" si="102"/>
        <v>127666.66666666667</v>
      </c>
      <c r="O471" s="165">
        <f t="shared" si="103"/>
        <v>63.495016999999997</v>
      </c>
      <c r="P471" s="166"/>
      <c r="Q471" s="166">
        <f t="shared" si="104"/>
        <v>575264.85401999997</v>
      </c>
      <c r="R471" s="71"/>
    </row>
    <row r="472" spans="1:18" s="61" customFormat="1" x14ac:dyDescent="0.25">
      <c r="A472" s="358"/>
      <c r="B472" s="361"/>
      <c r="C472" s="366"/>
      <c r="D472" s="254" t="s">
        <v>421</v>
      </c>
      <c r="E472" s="156" t="s">
        <v>28</v>
      </c>
      <c r="F472" s="156" t="s">
        <v>28</v>
      </c>
      <c r="G472" s="238">
        <f>MROUND(H472*L472*I472/K472,0.00000001)</f>
        <v>9.6153999999999999E-4</v>
      </c>
      <c r="H472" s="158">
        <f>$H$112</f>
        <v>29</v>
      </c>
      <c r="I472" s="159">
        <f t="shared" si="105"/>
        <v>0.30039917999999999</v>
      </c>
      <c r="J472" s="160"/>
      <c r="K472" s="161">
        <f t="shared" si="106"/>
        <v>9060</v>
      </c>
      <c r="L472" s="250">
        <v>1</v>
      </c>
      <c r="M472" s="163" t="str">
        <f t="shared" si="101"/>
        <v>29 шт*0,30039918/9060чел.</v>
      </c>
      <c r="N472" s="164">
        <f t="shared" si="102"/>
        <v>13517.241379310344</v>
      </c>
      <c r="O472" s="165">
        <f t="shared" si="103"/>
        <v>12.997368</v>
      </c>
      <c r="P472" s="166"/>
      <c r="Q472" s="166">
        <f t="shared" si="104"/>
        <v>117756.15407999999</v>
      </c>
      <c r="R472" s="71"/>
    </row>
    <row r="473" spans="1:18" s="61" customFormat="1" ht="30" x14ac:dyDescent="0.25">
      <c r="A473" s="358"/>
      <c r="B473" s="361"/>
      <c r="C473" s="366"/>
      <c r="D473" s="254" t="s">
        <v>422</v>
      </c>
      <c r="E473" s="156" t="s">
        <v>28</v>
      </c>
      <c r="F473" s="156" t="s">
        <v>28</v>
      </c>
      <c r="G473" s="266">
        <f>MROUND(H473*L473*I473/K473,0.00000001)</f>
        <v>5.9681999999999997E-4</v>
      </c>
      <c r="H473" s="158">
        <f>H353</f>
        <v>18</v>
      </c>
      <c r="I473" s="159">
        <f t="shared" si="105"/>
        <v>0.30039917999999999</v>
      </c>
      <c r="J473" s="160"/>
      <c r="K473" s="161">
        <f t="shared" si="106"/>
        <v>9060</v>
      </c>
      <c r="L473" s="250">
        <v>1</v>
      </c>
      <c r="M473" s="163" t="str">
        <f t="shared" si="101"/>
        <v>18 шт*0,30039918/9060чел.</v>
      </c>
      <c r="N473" s="164">
        <f t="shared" si="102"/>
        <v>34944.444444444445</v>
      </c>
      <c r="O473" s="165">
        <f t="shared" si="103"/>
        <v>20.855543000000001</v>
      </c>
      <c r="P473" s="166"/>
      <c r="Q473" s="166">
        <f t="shared" si="104"/>
        <v>188951.21958</v>
      </c>
      <c r="R473" s="71"/>
    </row>
    <row r="474" spans="1:18" s="61" customFormat="1" x14ac:dyDescent="0.25">
      <c r="A474" s="358"/>
      <c r="B474" s="361"/>
      <c r="C474" s="366"/>
      <c r="D474" s="254" t="s">
        <v>423</v>
      </c>
      <c r="E474" s="156" t="s">
        <v>28</v>
      </c>
      <c r="F474" s="156" t="s">
        <v>28</v>
      </c>
      <c r="G474" s="238">
        <f>MROUND(H474*L474*I474/K474,0.000000001)</f>
        <v>6.63133E-4</v>
      </c>
      <c r="H474" s="158">
        <f>$H$114</f>
        <v>20</v>
      </c>
      <c r="I474" s="159">
        <f t="shared" si="105"/>
        <v>0.30039917999999999</v>
      </c>
      <c r="J474" s="160"/>
      <c r="K474" s="161">
        <f t="shared" si="106"/>
        <v>9060</v>
      </c>
      <c r="L474" s="250">
        <v>1</v>
      </c>
      <c r="M474" s="163" t="str">
        <f t="shared" si="101"/>
        <v>20 шт*0,30039918/9060чел.</v>
      </c>
      <c r="N474" s="164">
        <f t="shared" si="102"/>
        <v>74500</v>
      </c>
      <c r="O474" s="165">
        <f t="shared" si="103"/>
        <v>49.403408999999996</v>
      </c>
      <c r="P474" s="166"/>
      <c r="Q474" s="166">
        <f t="shared" si="104"/>
        <v>447594.88553999999</v>
      </c>
      <c r="R474" s="71"/>
    </row>
    <row r="475" spans="1:18" s="61" customFormat="1" x14ac:dyDescent="0.25">
      <c r="A475" s="358"/>
      <c r="B475" s="361"/>
      <c r="C475" s="366"/>
      <c r="D475" s="254" t="s">
        <v>424</v>
      </c>
      <c r="E475" s="156" t="s">
        <v>28</v>
      </c>
      <c r="F475" s="156" t="s">
        <v>28</v>
      </c>
      <c r="G475" s="238">
        <f t="shared" ref="G475:G481" si="107">MROUND(H475*L475*I475/K475,0.00000001)</f>
        <v>1.16048E-3</v>
      </c>
      <c r="H475" s="158">
        <f>H115</f>
        <v>35</v>
      </c>
      <c r="I475" s="159">
        <f>I464</f>
        <v>0.30039917999999999</v>
      </c>
      <c r="J475" s="160"/>
      <c r="K475" s="161">
        <f>K464</f>
        <v>9060</v>
      </c>
      <c r="L475" s="250">
        <v>1</v>
      </c>
      <c r="M475" s="163" t="str">
        <f t="shared" si="101"/>
        <v>35 шт*0,30039918/9060чел.</v>
      </c>
      <c r="N475" s="164">
        <f t="shared" si="102"/>
        <v>34285.714285714283</v>
      </c>
      <c r="O475" s="165">
        <f t="shared" si="103"/>
        <v>39.787886</v>
      </c>
      <c r="P475" s="166"/>
      <c r="Q475" s="166">
        <f t="shared" si="104"/>
        <v>360478.24716000003</v>
      </c>
      <c r="R475" s="71"/>
    </row>
    <row r="476" spans="1:18" s="61" customFormat="1" x14ac:dyDescent="0.25">
      <c r="A476" s="358"/>
      <c r="B476" s="361"/>
      <c r="C476" s="366"/>
      <c r="D476" s="254" t="s">
        <v>425</v>
      </c>
      <c r="E476" s="156" t="s">
        <v>28</v>
      </c>
      <c r="F476" s="156" t="s">
        <v>28</v>
      </c>
      <c r="G476" s="277">
        <f t="shared" si="107"/>
        <v>1.16048E-3</v>
      </c>
      <c r="H476" s="158">
        <f>H116</f>
        <v>35</v>
      </c>
      <c r="I476" s="159">
        <f t="shared" ref="I476:I481" si="108">I475</f>
        <v>0.30039917999999999</v>
      </c>
      <c r="J476" s="160"/>
      <c r="K476" s="161">
        <f t="shared" ref="K476:K481" si="109">K475</f>
        <v>9060</v>
      </c>
      <c r="L476" s="250">
        <v>1</v>
      </c>
      <c r="M476" s="163" t="str">
        <f t="shared" si="101"/>
        <v>35 шт*0,30039918/9060чел.</v>
      </c>
      <c r="N476" s="164">
        <f t="shared" si="102"/>
        <v>19102.857142857141</v>
      </c>
      <c r="O476" s="165">
        <f t="shared" si="103"/>
        <v>22.168483999999999</v>
      </c>
      <c r="P476" s="166"/>
      <c r="Q476" s="166">
        <f t="shared" si="104"/>
        <v>200846.46503999998</v>
      </c>
      <c r="R476" s="71"/>
    </row>
    <row r="477" spans="1:18" s="61" customFormat="1" x14ac:dyDescent="0.25">
      <c r="A477" s="358"/>
      <c r="B477" s="361"/>
      <c r="C477" s="366"/>
      <c r="D477" s="254" t="s">
        <v>108</v>
      </c>
      <c r="E477" s="156" t="s">
        <v>28</v>
      </c>
      <c r="F477" s="156" t="s">
        <v>28</v>
      </c>
      <c r="G477" s="238">
        <f t="shared" si="107"/>
        <v>2.8680500000000001E-2</v>
      </c>
      <c r="H477" s="158">
        <f>$H$117</f>
        <v>865</v>
      </c>
      <c r="I477" s="159">
        <f t="shared" si="108"/>
        <v>0.30039917999999999</v>
      </c>
      <c r="J477" s="160"/>
      <c r="K477" s="161">
        <f t="shared" si="109"/>
        <v>9060</v>
      </c>
      <c r="L477" s="250">
        <v>1</v>
      </c>
      <c r="M477" s="163" t="str">
        <f t="shared" si="101"/>
        <v>865 шт*0,30039918/9060чел.</v>
      </c>
      <c r="N477" s="164">
        <f t="shared" si="102"/>
        <v>779.36416184971097</v>
      </c>
      <c r="O477" s="165">
        <f t="shared" si="103"/>
        <v>22.352553999999998</v>
      </c>
      <c r="P477" s="166"/>
      <c r="Q477" s="166">
        <f t="shared" si="104"/>
        <v>202514.13923999999</v>
      </c>
      <c r="R477" s="71"/>
    </row>
    <row r="478" spans="1:18" s="61" customFormat="1" x14ac:dyDescent="0.25">
      <c r="A478" s="358"/>
      <c r="B478" s="361"/>
      <c r="C478" s="366"/>
      <c r="D478" s="254" t="s">
        <v>426</v>
      </c>
      <c r="E478" s="156" t="s">
        <v>28</v>
      </c>
      <c r="F478" s="156" t="s">
        <v>28</v>
      </c>
      <c r="G478" s="238">
        <f t="shared" si="107"/>
        <v>1.45889E-3</v>
      </c>
      <c r="H478" s="158">
        <f>H118</f>
        <v>44</v>
      </c>
      <c r="I478" s="159">
        <f t="shared" si="108"/>
        <v>0.30039917999999999</v>
      </c>
      <c r="J478" s="160"/>
      <c r="K478" s="161">
        <f t="shared" si="109"/>
        <v>9060</v>
      </c>
      <c r="L478" s="250">
        <v>1</v>
      </c>
      <c r="M478" s="163" t="str">
        <f t="shared" si="101"/>
        <v>44 шт*0,30039918/9060чел.</v>
      </c>
      <c r="N478" s="164">
        <f t="shared" si="102"/>
        <v>12416.954545454546</v>
      </c>
      <c r="O478" s="165">
        <f t="shared" si="103"/>
        <v>18.114971000000001</v>
      </c>
      <c r="P478" s="166"/>
      <c r="Q478" s="166">
        <f t="shared" si="104"/>
        <v>164121.63726000002</v>
      </c>
      <c r="R478" s="71"/>
    </row>
    <row r="479" spans="1:18" s="61" customFormat="1" x14ac:dyDescent="0.25">
      <c r="A479" s="358"/>
      <c r="B479" s="361"/>
      <c r="C479" s="366"/>
      <c r="D479" s="254" t="s">
        <v>427</v>
      </c>
      <c r="E479" s="156" t="s">
        <v>28</v>
      </c>
      <c r="F479" s="156" t="s">
        <v>28</v>
      </c>
      <c r="G479" s="238">
        <f t="shared" si="107"/>
        <v>2.18834E-3</v>
      </c>
      <c r="H479" s="158">
        <f>H119</f>
        <v>66</v>
      </c>
      <c r="I479" s="159">
        <f t="shared" si="108"/>
        <v>0.30039917999999999</v>
      </c>
      <c r="J479" s="160"/>
      <c r="K479" s="161">
        <f t="shared" si="109"/>
        <v>9060</v>
      </c>
      <c r="L479" s="250">
        <v>1</v>
      </c>
      <c r="M479" s="163" t="str">
        <f t="shared" si="101"/>
        <v>66 шт*0,30039918/9060чел.</v>
      </c>
      <c r="N479" s="164">
        <f t="shared" si="102"/>
        <v>13060.60606060606</v>
      </c>
      <c r="O479" s="165">
        <f t="shared" si="103"/>
        <v>28.581046999999998</v>
      </c>
      <c r="P479" s="166"/>
      <c r="Q479" s="166">
        <f t="shared" si="104"/>
        <v>258944.28581999999</v>
      </c>
      <c r="R479" s="71"/>
    </row>
    <row r="480" spans="1:18" s="61" customFormat="1" x14ac:dyDescent="0.25">
      <c r="A480" s="358"/>
      <c r="B480" s="361"/>
      <c r="C480" s="366"/>
      <c r="D480" s="254" t="s">
        <v>428</v>
      </c>
      <c r="E480" s="156" t="s">
        <v>28</v>
      </c>
      <c r="F480" s="156" t="s">
        <v>28</v>
      </c>
      <c r="G480" s="238">
        <f t="shared" si="107"/>
        <v>1.1439040000000001E-2</v>
      </c>
      <c r="H480" s="158">
        <f>H120</f>
        <v>345</v>
      </c>
      <c r="I480" s="159">
        <f t="shared" si="108"/>
        <v>0.30039917999999999</v>
      </c>
      <c r="J480" s="160"/>
      <c r="K480" s="161">
        <f t="shared" si="109"/>
        <v>9060</v>
      </c>
      <c r="L480" s="250">
        <v>1</v>
      </c>
      <c r="M480" s="163" t="str">
        <f t="shared" si="101"/>
        <v>345 шт*0,30039918/9060чел.</v>
      </c>
      <c r="N480" s="164">
        <f t="shared" si="102"/>
        <v>8520.7246376811599</v>
      </c>
      <c r="O480" s="165">
        <f t="shared" si="103"/>
        <v>97.468909999999994</v>
      </c>
      <c r="P480" s="166"/>
      <c r="Q480" s="166">
        <f t="shared" si="104"/>
        <v>883068.32459999993</v>
      </c>
      <c r="R480" s="71"/>
    </row>
    <row r="481" spans="1:18" s="61" customFormat="1" x14ac:dyDescent="0.25">
      <c r="A481" s="358"/>
      <c r="B481" s="361"/>
      <c r="C481" s="366"/>
      <c r="D481" s="255" t="s">
        <v>429</v>
      </c>
      <c r="E481" s="156" t="s">
        <v>28</v>
      </c>
      <c r="F481" s="156" t="s">
        <v>28</v>
      </c>
      <c r="G481" s="238">
        <f t="shared" si="107"/>
        <v>1.6246800000000001E-3</v>
      </c>
      <c r="H481" s="158">
        <f>H121</f>
        <v>49</v>
      </c>
      <c r="I481" s="159">
        <f t="shared" si="108"/>
        <v>0.30039917999999999</v>
      </c>
      <c r="J481" s="160"/>
      <c r="K481" s="161">
        <f t="shared" si="109"/>
        <v>9060</v>
      </c>
      <c r="L481" s="250">
        <v>1</v>
      </c>
      <c r="M481" s="163" t="str">
        <f t="shared" si="101"/>
        <v>49 шт*0,30039918/9060чел.</v>
      </c>
      <c r="N481" s="164">
        <f t="shared" si="102"/>
        <v>53775.510204081635</v>
      </c>
      <c r="O481" s="165">
        <f t="shared" si="103"/>
        <v>87.367995999999991</v>
      </c>
      <c r="P481" s="166"/>
      <c r="Q481" s="166">
        <f t="shared" si="104"/>
        <v>791554.04375999991</v>
      </c>
      <c r="R481" s="71"/>
    </row>
    <row r="482" spans="1:18" s="61" customFormat="1" x14ac:dyDescent="0.25">
      <c r="A482" s="358"/>
      <c r="B482" s="361"/>
      <c r="C482" s="249" t="s">
        <v>311</v>
      </c>
      <c r="D482" s="256"/>
      <c r="E482" s="240"/>
      <c r="F482" s="240"/>
      <c r="G482" s="227"/>
      <c r="H482" s="241"/>
      <c r="I482" s="206"/>
      <c r="J482" s="228"/>
      <c r="K482" s="207"/>
      <c r="L482" s="257"/>
      <c r="M482" s="209"/>
      <c r="N482" s="210"/>
      <c r="O482" s="198">
        <f>SUM(O458:O481)</f>
        <v>1377.4814569999999</v>
      </c>
      <c r="P482" s="166"/>
      <c r="Q482" s="166"/>
      <c r="R482" s="71"/>
    </row>
    <row r="483" spans="1:18" s="61" customFormat="1" ht="110.25" x14ac:dyDescent="0.25">
      <c r="A483" s="358"/>
      <c r="B483" s="361"/>
      <c r="C483" s="221" t="s">
        <v>82</v>
      </c>
      <c r="D483" s="156" t="s">
        <v>46</v>
      </c>
      <c r="E483" s="156" t="s">
        <v>54</v>
      </c>
      <c r="F483" s="156" t="s">
        <v>285</v>
      </c>
      <c r="G483" s="238">
        <f>MROUND(H483*L483*I483/K483,0.000001)</f>
        <v>0.375002</v>
      </c>
      <c r="H483" s="242">
        <f>H123</f>
        <v>1028.181818181818</v>
      </c>
      <c r="I483" s="159">
        <f>I481</f>
        <v>0.30039917999999999</v>
      </c>
      <c r="J483" s="160"/>
      <c r="K483" s="161">
        <f>K481</f>
        <v>9060</v>
      </c>
      <c r="L483" s="225">
        <f>L123</f>
        <v>11</v>
      </c>
      <c r="M483" s="163" t="str">
        <f>CONCATENATE(H483," ",F483,"*",L483,"автобуса","*",I483,"/",K483,"чел.")</f>
        <v>1028,18181818182 л бензина АИ 92 (12,5л/день(зимой)*20дней*7мес+10л/день(летом)*20дней*4мес)*11автобуса*0,30039918/9060чел.</v>
      </c>
      <c r="N483" s="164">
        <f>N123</f>
        <v>54.500000000000007</v>
      </c>
      <c r="O483" s="165">
        <f>MROUND(G483*N483,0.000001)</f>
        <v>20.437608999999998</v>
      </c>
      <c r="P483" s="166"/>
      <c r="Q483" s="166">
        <f t="shared" si="104"/>
        <v>185164.73753999997</v>
      </c>
      <c r="R483" s="71"/>
    </row>
    <row r="484" spans="1:18" s="61" customFormat="1" x14ac:dyDescent="0.25">
      <c r="A484" s="358"/>
      <c r="B484" s="361"/>
      <c r="C484" s="218" t="s">
        <v>309</v>
      </c>
      <c r="D484" s="240"/>
      <c r="E484" s="240"/>
      <c r="F484" s="240"/>
      <c r="G484" s="227"/>
      <c r="H484" s="241"/>
      <c r="I484" s="206"/>
      <c r="J484" s="228"/>
      <c r="K484" s="207"/>
      <c r="L484" s="257"/>
      <c r="M484" s="209"/>
      <c r="N484" s="210"/>
      <c r="O484" s="198">
        <f>SUM(O483)</f>
        <v>20.437608999999998</v>
      </c>
      <c r="P484" s="166"/>
      <c r="Q484" s="166"/>
      <c r="R484" s="71"/>
    </row>
    <row r="485" spans="1:18" s="61" customFormat="1" ht="47.25" x14ac:dyDescent="0.25">
      <c r="A485" s="358"/>
      <c r="B485" s="361"/>
      <c r="C485" s="221" t="s">
        <v>434</v>
      </c>
      <c r="D485" s="156" t="s">
        <v>436</v>
      </c>
      <c r="E485" s="156" t="s">
        <v>28</v>
      </c>
      <c r="F485" s="156" t="s">
        <v>437</v>
      </c>
      <c r="G485" s="157">
        <f>MROUND(H485*L485*I485/K485,0.000001)</f>
        <v>9.6150000000000003E-3</v>
      </c>
      <c r="H485" s="242">
        <f>$H$125</f>
        <v>290</v>
      </c>
      <c r="I485" s="159">
        <f>I483</f>
        <v>0.30039917999999999</v>
      </c>
      <c r="J485" s="160"/>
      <c r="K485" s="161">
        <f>K483</f>
        <v>9060</v>
      </c>
      <c r="L485" s="162">
        <v>1</v>
      </c>
      <c r="M485" s="163" t="str">
        <f>CONCATENATE(H485," ",F485,"*",L485,"автобуса","*",I485,"/",K485,"чел.")</f>
        <v>290 огнетушителей (потребность учреждений) *1автобуса*0,30039918/9060чел.</v>
      </c>
      <c r="N485" s="164">
        <f>$N$125</f>
        <v>2000</v>
      </c>
      <c r="O485" s="165">
        <f>MROUND(G485*N485,0.000001)</f>
        <v>19.23</v>
      </c>
      <c r="P485" s="166"/>
      <c r="Q485" s="166">
        <f t="shared" si="104"/>
        <v>174223.80000000002</v>
      </c>
      <c r="R485" s="71"/>
    </row>
    <row r="486" spans="1:18" s="61" customFormat="1" x14ac:dyDescent="0.25">
      <c r="A486" s="358"/>
      <c r="B486" s="361"/>
      <c r="C486" s="218" t="s">
        <v>435</v>
      </c>
      <c r="D486" s="240"/>
      <c r="E486" s="240"/>
      <c r="F486" s="240"/>
      <c r="G486" s="251"/>
      <c r="H486" s="241"/>
      <c r="I486" s="206"/>
      <c r="J486" s="228"/>
      <c r="K486" s="207"/>
      <c r="L486" s="229"/>
      <c r="M486" s="209"/>
      <c r="N486" s="210"/>
      <c r="O486" s="198">
        <f>SUM(O485)</f>
        <v>19.23</v>
      </c>
      <c r="P486" s="166"/>
      <c r="Q486" s="166"/>
      <c r="R486" s="71"/>
    </row>
    <row r="487" spans="1:18" s="61" customFormat="1" ht="47.25" x14ac:dyDescent="0.25">
      <c r="A487" s="358"/>
      <c r="B487" s="361"/>
      <c r="C487" s="364" t="s">
        <v>118</v>
      </c>
      <c r="D487" s="156" t="s">
        <v>47</v>
      </c>
      <c r="E487" s="156" t="s">
        <v>28</v>
      </c>
      <c r="F487" s="156" t="s">
        <v>239</v>
      </c>
      <c r="G487" s="238">
        <f>MROUND(H487*L487*I487/K487,0.00000001)</f>
        <v>4.7745599999999997E-3</v>
      </c>
      <c r="H487" s="158">
        <f>H127</f>
        <v>144</v>
      </c>
      <c r="I487" s="159">
        <f>I483</f>
        <v>0.30039917999999999</v>
      </c>
      <c r="J487" s="160"/>
      <c r="K487" s="161">
        <f>K483</f>
        <v>9060</v>
      </c>
      <c r="L487" s="250">
        <v>1</v>
      </c>
      <c r="M487" s="163" t="str">
        <f>CONCATENATE(H487," ",F487,"*",I487,"/",K487,"чел.")</f>
        <v>144 манометров (потребность учреждений) *0,30039918/9060чел.</v>
      </c>
      <c r="N487" s="164">
        <f>N127</f>
        <v>708.5</v>
      </c>
      <c r="O487" s="165">
        <f>MROUND(G487*N487,0.000001)</f>
        <v>3.3827759999999998</v>
      </c>
      <c r="P487" s="166"/>
      <c r="Q487" s="166">
        <f t="shared" si="104"/>
        <v>30647.950559999997</v>
      </c>
      <c r="R487" s="71"/>
    </row>
    <row r="488" spans="1:18" s="61" customFormat="1" ht="47.25" x14ac:dyDescent="0.25">
      <c r="A488" s="358"/>
      <c r="B488" s="361"/>
      <c r="C488" s="364"/>
      <c r="D488" s="255" t="s">
        <v>113</v>
      </c>
      <c r="E488" s="156" t="s">
        <v>28</v>
      </c>
      <c r="F488" s="156" t="s">
        <v>240</v>
      </c>
      <c r="G488" s="238">
        <f>MROUND(H488*L488*I488/K488,0.00000001)</f>
        <v>0.18949020999999999</v>
      </c>
      <c r="H488" s="158">
        <f>H128</f>
        <v>5715</v>
      </c>
      <c r="I488" s="159">
        <f>I487</f>
        <v>0.30039917999999999</v>
      </c>
      <c r="J488" s="160"/>
      <c r="K488" s="161">
        <f>K487</f>
        <v>9060</v>
      </c>
      <c r="L488" s="250">
        <v>1</v>
      </c>
      <c r="M488" s="163" t="str">
        <f>CONCATENATE(H488," ",F488,"*",I488,"/",K488,"чел.")</f>
        <v>5715 светильников (потребность учреждений)*0,30039918/9060чел.</v>
      </c>
      <c r="N488" s="164">
        <f>N128</f>
        <v>106.27500087489064</v>
      </c>
      <c r="O488" s="165">
        <f>MROUND(G488*N488,0.000001)</f>
        <v>20.138071999999998</v>
      </c>
      <c r="P488" s="166"/>
      <c r="Q488" s="166">
        <f t="shared" si="104"/>
        <v>182450.93231999996</v>
      </c>
      <c r="R488" s="71"/>
    </row>
    <row r="489" spans="1:18" s="61" customFormat="1" x14ac:dyDescent="0.25">
      <c r="A489" s="359"/>
      <c r="B489" s="362"/>
      <c r="C489" s="218" t="s">
        <v>310</v>
      </c>
      <c r="D489" s="256"/>
      <c r="E489" s="240"/>
      <c r="F489" s="240"/>
      <c r="G489" s="227"/>
      <c r="H489" s="241"/>
      <c r="I489" s="206"/>
      <c r="J489" s="228"/>
      <c r="K489" s="207"/>
      <c r="L489" s="257"/>
      <c r="M489" s="209"/>
      <c r="N489" s="210"/>
      <c r="O489" s="198">
        <f>SUM(O487:O488)</f>
        <v>23.520847999999997</v>
      </c>
      <c r="P489" s="166"/>
      <c r="Q489" s="166"/>
      <c r="R489" s="71"/>
    </row>
    <row r="490" spans="1:18" s="61" customFormat="1" x14ac:dyDescent="0.25">
      <c r="A490" s="357" t="str">
        <f>CONCATENATE(школы!$B$10,", ",школы!$C$10,", ",школы!$D$10)</f>
        <v>Реализация основных общеобразовательных программ начального общего образования, образовательная программа, обеспечивающая углубленное изучение отдельных учебных предметов, предметных областей (профильное обучение), дети-инвалиды</v>
      </c>
      <c r="B490" s="360" t="str">
        <f>школы!$A$10</f>
        <v>801012О.99.0.БА81АН96001</v>
      </c>
      <c r="C490" s="194"/>
      <c r="D490" s="363" t="s">
        <v>15</v>
      </c>
      <c r="E490" s="363"/>
      <c r="F490" s="363"/>
      <c r="G490" s="363"/>
      <c r="H490" s="195"/>
      <c r="I490" s="195"/>
      <c r="J490" s="195"/>
      <c r="K490" s="195"/>
      <c r="L490" s="196"/>
      <c r="M490" s="197"/>
      <c r="N490" s="164"/>
      <c r="O490" s="198">
        <f>O491+O496+O498</f>
        <v>9601.5573062740004</v>
      </c>
      <c r="P490" s="166"/>
      <c r="Q490" s="166"/>
      <c r="R490" s="71"/>
    </row>
    <row r="491" spans="1:18" s="61" customFormat="1" x14ac:dyDescent="0.25">
      <c r="A491" s="358"/>
      <c r="B491" s="361"/>
      <c r="C491" s="194"/>
      <c r="D491" s="350" t="s">
        <v>62</v>
      </c>
      <c r="E491" s="350"/>
      <c r="F491" s="350"/>
      <c r="G491" s="350"/>
      <c r="H491" s="195"/>
      <c r="I491" s="195"/>
      <c r="J491" s="195"/>
      <c r="K491" s="195"/>
      <c r="L491" s="196"/>
      <c r="M491" s="197"/>
      <c r="N491" s="164"/>
      <c r="O491" s="165">
        <f>O493+O495</f>
        <v>9601.5573062740004</v>
      </c>
      <c r="P491" s="166"/>
      <c r="Q491" s="166"/>
      <c r="R491" s="71"/>
    </row>
    <row r="492" spans="1:18" s="61" customFormat="1" x14ac:dyDescent="0.25">
      <c r="A492" s="358"/>
      <c r="B492" s="361"/>
      <c r="C492" s="194">
        <v>211</v>
      </c>
      <c r="D492" s="194" t="s">
        <v>86</v>
      </c>
      <c r="E492" s="199" t="s">
        <v>95</v>
      </c>
      <c r="F492" s="199" t="s">
        <v>95</v>
      </c>
      <c r="G492" s="275">
        <f>MROUND(H492*L492*I492/K492,0.0000000001)</f>
        <v>0.59002574400000007</v>
      </c>
      <c r="H492" s="201">
        <f>H12</f>
        <v>921.8</v>
      </c>
      <c r="I492" s="159">
        <f>школы!$K$10</f>
        <v>1.6002E-4</v>
      </c>
      <c r="J492" s="159"/>
      <c r="K492" s="161">
        <f>школы!$G$10</f>
        <v>3</v>
      </c>
      <c r="L492" s="202">
        <v>12</v>
      </c>
      <c r="M492" s="163" t="str">
        <f>CONCATENATE(H492," ",F492," ","в мес.","*",L492,"мес.","*",I492,"/",K492,"чел.")</f>
        <v>921,8 шт.ед в мес.*12мес.*0,00016002/3чел.</v>
      </c>
      <c r="N492" s="164">
        <f>N12</f>
        <v>12498.552905979601</v>
      </c>
      <c r="O492" s="165">
        <f>MROUND(G492*N492,0.000000001)</f>
        <v>7374.4679772740001</v>
      </c>
      <c r="P492" s="166"/>
      <c r="Q492" s="166">
        <f t="shared" si="104"/>
        <v>22123.403931822002</v>
      </c>
      <c r="R492" s="71"/>
    </row>
    <row r="493" spans="1:18" s="61" customFormat="1" x14ac:dyDescent="0.25">
      <c r="A493" s="358"/>
      <c r="B493" s="361"/>
      <c r="C493" s="203" t="s">
        <v>288</v>
      </c>
      <c r="D493" s="203"/>
      <c r="E493" s="204"/>
      <c r="F493" s="204"/>
      <c r="G493" s="205"/>
      <c r="H493" s="206"/>
      <c r="I493" s="206"/>
      <c r="J493" s="206"/>
      <c r="K493" s="207"/>
      <c r="L493" s="208"/>
      <c r="M493" s="209"/>
      <c r="N493" s="210">
        <f>N492</f>
        <v>12498.552905979601</v>
      </c>
      <c r="O493" s="198">
        <f>O492</f>
        <v>7374.4679772740001</v>
      </c>
      <c r="P493" s="166"/>
      <c r="Q493" s="166"/>
      <c r="R493" s="71"/>
    </row>
    <row r="494" spans="1:18" s="61" customFormat="1" x14ac:dyDescent="0.25">
      <c r="A494" s="358"/>
      <c r="B494" s="361"/>
      <c r="C494" s="194">
        <v>213</v>
      </c>
      <c r="D494" s="194" t="s">
        <v>87</v>
      </c>
      <c r="E494" s="194" t="s">
        <v>88</v>
      </c>
      <c r="F494" s="194"/>
      <c r="G494" s="211">
        <v>30.2</v>
      </c>
      <c r="H494" s="159"/>
      <c r="I494" s="159"/>
      <c r="J494" s="159"/>
      <c r="K494" s="161">
        <f>K492</f>
        <v>3</v>
      </c>
      <c r="L494" s="202"/>
      <c r="M494" s="212"/>
      <c r="N494" s="164"/>
      <c r="O494" s="165">
        <f>MROUND(O492*0.302,0.000001)</f>
        <v>2227.0893289999999</v>
      </c>
      <c r="P494" s="166"/>
      <c r="Q494" s="166">
        <f>O494*K494</f>
        <v>6681.2679869999993</v>
      </c>
      <c r="R494" s="71"/>
    </row>
    <row r="495" spans="1:18" s="61" customFormat="1" x14ac:dyDescent="0.25">
      <c r="A495" s="358"/>
      <c r="B495" s="361"/>
      <c r="C495" s="203" t="s">
        <v>289</v>
      </c>
      <c r="D495" s="203"/>
      <c r="E495" s="203"/>
      <c r="F495" s="203"/>
      <c r="G495" s="213"/>
      <c r="H495" s="214"/>
      <c r="I495" s="206"/>
      <c r="J495" s="214"/>
      <c r="K495" s="207"/>
      <c r="L495" s="215"/>
      <c r="M495" s="216"/>
      <c r="N495" s="210"/>
      <c r="O495" s="198">
        <f>O494</f>
        <v>2227.0893289999999</v>
      </c>
      <c r="P495" s="166"/>
      <c r="Q495" s="166"/>
      <c r="R495" s="71"/>
    </row>
    <row r="496" spans="1:18" s="61" customFormat="1" x14ac:dyDescent="0.25">
      <c r="A496" s="358"/>
      <c r="B496" s="361"/>
      <c r="C496" s="194"/>
      <c r="D496" s="356" t="s">
        <v>63</v>
      </c>
      <c r="E496" s="356"/>
      <c r="F496" s="356"/>
      <c r="G496" s="356"/>
      <c r="H496" s="195"/>
      <c r="I496" s="159"/>
      <c r="J496" s="195"/>
      <c r="K496" s="161"/>
      <c r="L496" s="196"/>
      <c r="M496" s="197"/>
      <c r="N496" s="164"/>
      <c r="O496" s="165"/>
      <c r="P496" s="166"/>
      <c r="Q496" s="166"/>
      <c r="R496" s="71"/>
    </row>
    <row r="497" spans="1:18" s="61" customFormat="1" x14ac:dyDescent="0.25">
      <c r="A497" s="358"/>
      <c r="B497" s="361"/>
      <c r="C497" s="194"/>
      <c r="D497" s="194"/>
      <c r="E497" s="194"/>
      <c r="F497" s="194"/>
      <c r="G497" s="217"/>
      <c r="H497" s="195"/>
      <c r="I497" s="159"/>
      <c r="J497" s="195"/>
      <c r="K497" s="161"/>
      <c r="L497" s="196"/>
      <c r="M497" s="197"/>
      <c r="N497" s="164"/>
      <c r="O497" s="165"/>
      <c r="P497" s="166"/>
      <c r="Q497" s="166"/>
      <c r="R497" s="71"/>
    </row>
    <row r="498" spans="1:18" s="61" customFormat="1" x14ac:dyDescent="0.25">
      <c r="A498" s="358"/>
      <c r="B498" s="361"/>
      <c r="C498" s="194"/>
      <c r="D498" s="350" t="s">
        <v>64</v>
      </c>
      <c r="E498" s="350"/>
      <c r="F498" s="350"/>
      <c r="G498" s="350"/>
      <c r="H498" s="195"/>
      <c r="I498" s="159"/>
      <c r="J498" s="195"/>
      <c r="K498" s="161"/>
      <c r="L498" s="196"/>
      <c r="M498" s="197"/>
      <c r="N498" s="164"/>
      <c r="O498" s="165"/>
      <c r="P498" s="166"/>
      <c r="Q498" s="166"/>
      <c r="R498" s="71"/>
    </row>
    <row r="499" spans="1:18" s="61" customFormat="1" x14ac:dyDescent="0.25">
      <c r="A499" s="358"/>
      <c r="B499" s="361"/>
      <c r="C499" s="194"/>
      <c r="D499" s="194"/>
      <c r="E499" s="194"/>
      <c r="F499" s="194"/>
      <c r="G499" s="217"/>
      <c r="H499" s="195"/>
      <c r="I499" s="159"/>
      <c r="J499" s="195"/>
      <c r="K499" s="161"/>
      <c r="L499" s="196"/>
      <c r="M499" s="197"/>
      <c r="N499" s="164"/>
      <c r="O499" s="165"/>
      <c r="P499" s="166"/>
      <c r="Q499" s="166"/>
      <c r="R499" s="71"/>
    </row>
    <row r="500" spans="1:18" s="61" customFormat="1" x14ac:dyDescent="0.25">
      <c r="A500" s="358"/>
      <c r="B500" s="361"/>
      <c r="C500" s="194"/>
      <c r="D500" s="355" t="s">
        <v>5</v>
      </c>
      <c r="E500" s="355"/>
      <c r="F500" s="355"/>
      <c r="G500" s="355"/>
      <c r="H500" s="195"/>
      <c r="I500" s="159"/>
      <c r="J500" s="195"/>
      <c r="K500" s="161"/>
      <c r="L500" s="196"/>
      <c r="M500" s="197"/>
      <c r="N500" s="164"/>
      <c r="O500" s="198">
        <f>O501+O511+O522+O524+O526+O528+O530</f>
        <v>51217.42989375921</v>
      </c>
      <c r="P500" s="166"/>
      <c r="Q500" s="166"/>
      <c r="R500" s="71"/>
    </row>
    <row r="501" spans="1:18" s="61" customFormat="1" x14ac:dyDescent="0.25">
      <c r="A501" s="358"/>
      <c r="B501" s="361"/>
      <c r="C501" s="218" t="s">
        <v>70</v>
      </c>
      <c r="D501" s="355" t="s">
        <v>6</v>
      </c>
      <c r="E501" s="355"/>
      <c r="F501" s="355"/>
      <c r="G501" s="355"/>
      <c r="H501" s="189"/>
      <c r="I501" s="159"/>
      <c r="J501" s="189"/>
      <c r="K501" s="161"/>
      <c r="L501" s="190"/>
      <c r="M501" s="197"/>
      <c r="N501" s="210"/>
      <c r="O501" s="198">
        <f>O510</f>
        <v>9227.6257897100004</v>
      </c>
      <c r="P501" s="166"/>
      <c r="Q501" s="166"/>
      <c r="R501" s="71"/>
    </row>
    <row r="502" spans="1:18" s="61" customFormat="1" ht="31.5" x14ac:dyDescent="0.25">
      <c r="A502" s="358"/>
      <c r="B502" s="361"/>
      <c r="C502" s="221" t="s">
        <v>72</v>
      </c>
      <c r="D502" s="222" t="s">
        <v>7</v>
      </c>
      <c r="E502" s="223" t="s">
        <v>8</v>
      </c>
      <c r="F502" s="223" t="s">
        <v>8</v>
      </c>
      <c r="G502" s="238">
        <f>MROUND(H502*L502*I502/K502,0.00000000001)</f>
        <v>176.72189688591999</v>
      </c>
      <c r="H502" s="160">
        <f t="shared" ref="H502:H509" si="110">H22</f>
        <v>3313121.4264326878</v>
      </c>
      <c r="I502" s="159">
        <f>I492</f>
        <v>1.6002E-4</v>
      </c>
      <c r="J502" s="160"/>
      <c r="K502" s="161">
        <f>K492</f>
        <v>3</v>
      </c>
      <c r="L502" s="250">
        <v>1</v>
      </c>
      <c r="M502" s="163" t="str">
        <f t="shared" ref="M502:M507" si="111">CONCATENATE(H502," ",F502,"(лимиты выделенные УЖКХ) ","*",I502,"/",K502,"чел.")</f>
        <v>3313121,42643269 кВт час.(лимиты выделенные УЖКХ) *0,00016002/3чел.</v>
      </c>
      <c r="N502" s="164">
        <f t="shared" ref="N502:N509" si="112">N22</f>
        <v>10.418446162163715</v>
      </c>
      <c r="O502" s="165">
        <f t="shared" ref="O502:O509" si="113">MROUND(G502*N502,0.000001)</f>
        <v>1841.1675679999998</v>
      </c>
      <c r="P502" s="166"/>
      <c r="Q502" s="166">
        <f t="shared" si="104"/>
        <v>5523.5027039999995</v>
      </c>
      <c r="R502" s="71"/>
    </row>
    <row r="503" spans="1:18" s="61" customFormat="1" ht="31.5" x14ac:dyDescent="0.25">
      <c r="A503" s="358"/>
      <c r="B503" s="361"/>
      <c r="C503" s="221" t="s">
        <v>73</v>
      </c>
      <c r="D503" s="222" t="s">
        <v>9</v>
      </c>
      <c r="E503" s="223" t="s">
        <v>10</v>
      </c>
      <c r="F503" s="223" t="s">
        <v>10</v>
      </c>
      <c r="G503" s="238">
        <f>MROUND(H503*L503*I503/K503,0.00000000001)</f>
        <v>1.7014067825999999</v>
      </c>
      <c r="H503" s="160">
        <f t="shared" si="110"/>
        <v>31897.39</v>
      </c>
      <c r="I503" s="159">
        <f t="shared" ref="I503:I570" si="114">I502</f>
        <v>1.6002E-4</v>
      </c>
      <c r="J503" s="160"/>
      <c r="K503" s="161">
        <f t="shared" ref="K503:K509" si="115">K502</f>
        <v>3</v>
      </c>
      <c r="L503" s="250">
        <v>1</v>
      </c>
      <c r="M503" s="163" t="str">
        <f t="shared" si="111"/>
        <v>31897,39 Гкал(лимиты выделенные УЖКХ) *0,00016002/3чел.</v>
      </c>
      <c r="N503" s="164">
        <f t="shared" si="112"/>
        <v>2845.3650600830792</v>
      </c>
      <c r="O503" s="165">
        <f t="shared" si="113"/>
        <v>4841.1234119999999</v>
      </c>
      <c r="P503" s="166"/>
      <c r="Q503" s="166">
        <f t="shared" si="104"/>
        <v>14523.370235999999</v>
      </c>
      <c r="R503" s="71"/>
    </row>
    <row r="504" spans="1:18" s="61" customFormat="1" ht="31.5" x14ac:dyDescent="0.25">
      <c r="A504" s="358"/>
      <c r="B504" s="361"/>
      <c r="C504" s="364" t="s">
        <v>74</v>
      </c>
      <c r="D504" s="222" t="s">
        <v>12</v>
      </c>
      <c r="E504" s="222" t="s">
        <v>11</v>
      </c>
      <c r="F504" s="222" t="s">
        <v>11</v>
      </c>
      <c r="G504" s="238">
        <f>MROUND(H504*L504*I504/K504,0.00000000001)</f>
        <v>9.8532405677999986</v>
      </c>
      <c r="H504" s="224">
        <f t="shared" si="110"/>
        <v>184725.17</v>
      </c>
      <c r="I504" s="159">
        <f t="shared" si="114"/>
        <v>1.6002E-4</v>
      </c>
      <c r="J504" s="160"/>
      <c r="K504" s="161">
        <f t="shared" si="115"/>
        <v>3</v>
      </c>
      <c r="L504" s="250">
        <v>1</v>
      </c>
      <c r="M504" s="163" t="str">
        <f t="shared" si="111"/>
        <v>184725,17 м3(лимиты выделенные УЖКХ) *0,00016002/3чел.</v>
      </c>
      <c r="N504" s="164">
        <f t="shared" si="112"/>
        <v>51.830000102314166</v>
      </c>
      <c r="O504" s="165">
        <f t="shared" si="113"/>
        <v>510.69345999999996</v>
      </c>
      <c r="P504" s="166"/>
      <c r="Q504" s="166">
        <f t="shared" si="104"/>
        <v>1532.0803799999999</v>
      </c>
      <c r="R504" s="71"/>
    </row>
    <row r="505" spans="1:18" s="61" customFormat="1" ht="47.25" x14ac:dyDescent="0.25">
      <c r="A505" s="358"/>
      <c r="B505" s="361"/>
      <c r="C505" s="364"/>
      <c r="D505" s="222" t="s">
        <v>17</v>
      </c>
      <c r="E505" s="222" t="s">
        <v>11</v>
      </c>
      <c r="F505" s="222" t="s">
        <v>11</v>
      </c>
      <c r="G505" s="238">
        <f>MROUND(H505*L505*I505/K505,0.00000000001)</f>
        <v>9.8532405677999986</v>
      </c>
      <c r="H505" s="160">
        <f t="shared" si="110"/>
        <v>184725.17</v>
      </c>
      <c r="I505" s="159">
        <f t="shared" si="114"/>
        <v>1.6002E-4</v>
      </c>
      <c r="J505" s="160"/>
      <c r="K505" s="161">
        <f t="shared" si="115"/>
        <v>3</v>
      </c>
      <c r="L505" s="162">
        <f>$L$25</f>
        <v>1</v>
      </c>
      <c r="M505" s="163" t="str">
        <f t="shared" si="111"/>
        <v>184725,17 м3(лимиты выделенные УЖКХ) *0,00016002/3чел.</v>
      </c>
      <c r="N505" s="164">
        <f t="shared" si="112"/>
        <v>78.76115753094173</v>
      </c>
      <c r="O505" s="165">
        <f t="shared" si="113"/>
        <v>776.05263300000001</v>
      </c>
      <c r="P505" s="166"/>
      <c r="Q505" s="166">
        <f t="shared" si="104"/>
        <v>2328.1578989999998</v>
      </c>
      <c r="R505" s="71"/>
    </row>
    <row r="506" spans="1:18" s="61" customFormat="1" ht="31.5" x14ac:dyDescent="0.25">
      <c r="A506" s="358"/>
      <c r="B506" s="361"/>
      <c r="C506" s="364"/>
      <c r="D506" s="222" t="s">
        <v>13</v>
      </c>
      <c r="E506" s="222" t="s">
        <v>11</v>
      </c>
      <c r="F506" s="222" t="s">
        <v>11</v>
      </c>
      <c r="G506" s="238">
        <f>MROUND(H506*L506*I506/K506,0.00000000001)</f>
        <v>9.8532405677999986</v>
      </c>
      <c r="H506" s="160">
        <f t="shared" si="110"/>
        <v>184725.17</v>
      </c>
      <c r="I506" s="159">
        <f t="shared" si="114"/>
        <v>1.6002E-4</v>
      </c>
      <c r="J506" s="160"/>
      <c r="K506" s="161">
        <f t="shared" si="115"/>
        <v>3</v>
      </c>
      <c r="L506" s="162">
        <v>1</v>
      </c>
      <c r="M506" s="163" t="str">
        <f t="shared" si="111"/>
        <v>184725,17 м3(лимиты выделенные УЖКХ) *0,00016002/3чел.</v>
      </c>
      <c r="N506" s="164">
        <f t="shared" si="112"/>
        <v>107.41979263410609</v>
      </c>
      <c r="O506" s="165">
        <f>MROUND(G506*N506,0.00000001)</f>
        <v>1058.43305857</v>
      </c>
      <c r="P506" s="166"/>
      <c r="Q506" s="166">
        <f t="shared" si="104"/>
        <v>3175.2991757099999</v>
      </c>
      <c r="R506" s="71"/>
    </row>
    <row r="507" spans="1:18" s="61" customFormat="1" ht="31.5" x14ac:dyDescent="0.25">
      <c r="A507" s="358"/>
      <c r="B507" s="361"/>
      <c r="C507" s="221" t="s">
        <v>75</v>
      </c>
      <c r="D507" s="222" t="s">
        <v>18</v>
      </c>
      <c r="E507" s="222" t="s">
        <v>48</v>
      </c>
      <c r="F507" s="222" t="s">
        <v>48</v>
      </c>
      <c r="G507" s="238">
        <f>MROUND(H507*L507*I507/K507,0.0000000001)</f>
        <v>0.740764584</v>
      </c>
      <c r="H507" s="160">
        <f t="shared" si="110"/>
        <v>13887.6</v>
      </c>
      <c r="I507" s="159">
        <f>I506</f>
        <v>1.6002E-4</v>
      </c>
      <c r="J507" s="160"/>
      <c r="K507" s="161">
        <f t="shared" si="115"/>
        <v>3</v>
      </c>
      <c r="L507" s="250">
        <v>1</v>
      </c>
      <c r="M507" s="163" t="str">
        <f t="shared" si="111"/>
        <v>13887,6 тыс. м3(лимиты выделенные УЖКХ) *0,00016002/3чел.</v>
      </c>
      <c r="N507" s="164">
        <f t="shared" si="112"/>
        <v>29.231582850888564</v>
      </c>
      <c r="O507" s="165">
        <f t="shared" si="113"/>
        <v>21.653720999999997</v>
      </c>
      <c r="P507" s="166"/>
      <c r="Q507" s="166">
        <f t="shared" si="104"/>
        <v>64.961162999999999</v>
      </c>
      <c r="R507" s="71"/>
    </row>
    <row r="508" spans="1:18" s="61" customFormat="1" x14ac:dyDescent="0.25">
      <c r="A508" s="358"/>
      <c r="B508" s="361"/>
      <c r="C508" s="364" t="s">
        <v>216</v>
      </c>
      <c r="D508" s="222" t="s">
        <v>23</v>
      </c>
      <c r="E508" s="222" t="s">
        <v>11</v>
      </c>
      <c r="F508" s="222" t="s">
        <v>11</v>
      </c>
      <c r="G508" s="238">
        <f>MROUND(H508*L508*I508/K508,0.000000000001)</f>
        <v>0.17968325760000001</v>
      </c>
      <c r="H508" s="160">
        <f t="shared" si="110"/>
        <v>3368.6400000000003</v>
      </c>
      <c r="I508" s="159">
        <f t="shared" si="114"/>
        <v>1.6002E-4</v>
      </c>
      <c r="J508" s="160"/>
      <c r="K508" s="161">
        <f t="shared" si="115"/>
        <v>3</v>
      </c>
      <c r="L508" s="162">
        <f>L507</f>
        <v>1</v>
      </c>
      <c r="M508" s="163" t="str">
        <f>CONCATENATE(H508," ",F508," ","*",I508,"/",K508,"чел.")</f>
        <v>3368,64 м3 *0,00016002/3чел.</v>
      </c>
      <c r="N508" s="164">
        <f t="shared" si="112"/>
        <v>742.21370939013957</v>
      </c>
      <c r="O508" s="165">
        <f>MROUND(G508*N508,0.00000001)</f>
        <v>133.36337714000001</v>
      </c>
      <c r="P508" s="166"/>
      <c r="Q508" s="166">
        <f t="shared" si="104"/>
        <v>400.09013142000003</v>
      </c>
      <c r="R508" s="71"/>
    </row>
    <row r="509" spans="1:18" s="61" customFormat="1" ht="47.25" x14ac:dyDescent="0.25">
      <c r="A509" s="358"/>
      <c r="B509" s="361"/>
      <c r="C509" s="364"/>
      <c r="D509" s="222" t="s">
        <v>24</v>
      </c>
      <c r="E509" s="222" t="s">
        <v>25</v>
      </c>
      <c r="F509" s="222" t="s">
        <v>217</v>
      </c>
      <c r="G509" s="238">
        <f>MROUND(H509*L509*I509/K509,0.000000000001)</f>
        <v>7.8409799999999991E-3</v>
      </c>
      <c r="H509" s="160">
        <f t="shared" si="110"/>
        <v>147</v>
      </c>
      <c r="I509" s="159">
        <f t="shared" si="114"/>
        <v>1.6002E-4</v>
      </c>
      <c r="J509" s="160"/>
      <c r="K509" s="161">
        <f t="shared" si="115"/>
        <v>3</v>
      </c>
      <c r="L509" s="250">
        <f>L508</f>
        <v>1</v>
      </c>
      <c r="M509" s="163" t="str">
        <f>CONCATENATE(H509," ",F509,"(потребность из расчета 4 контейнера для уборки территории весной и осенью на 1 учреждение)","*",I509,"/",K509,"чел.")</f>
        <v>147 контейнера(потребность из расчета 4 контейнера для уборки территории весной и осенью на 1 учреждение)*0,00016002/3чел.</v>
      </c>
      <c r="N509" s="164">
        <f t="shared" si="112"/>
        <v>5756.7497959183638</v>
      </c>
      <c r="O509" s="165">
        <f t="shared" si="113"/>
        <v>45.138559999999998</v>
      </c>
      <c r="P509" s="166"/>
      <c r="Q509" s="166">
        <f t="shared" si="104"/>
        <v>135.41568000000001</v>
      </c>
      <c r="R509" s="71"/>
    </row>
    <row r="510" spans="1:18" s="61" customFormat="1" x14ac:dyDescent="0.25">
      <c r="A510" s="358"/>
      <c r="B510" s="361"/>
      <c r="C510" s="218" t="s">
        <v>290</v>
      </c>
      <c r="D510" s="226"/>
      <c r="E510" s="226"/>
      <c r="F510" s="226"/>
      <c r="G510" s="227"/>
      <c r="H510" s="228"/>
      <c r="I510" s="206"/>
      <c r="J510" s="228"/>
      <c r="K510" s="207"/>
      <c r="L510" s="257"/>
      <c r="M510" s="209"/>
      <c r="N510" s="210"/>
      <c r="O510" s="198">
        <f>SUM(O502:O509)</f>
        <v>9227.6257897100004</v>
      </c>
      <c r="P510" s="166"/>
      <c r="Q510" s="166"/>
      <c r="R510" s="71"/>
    </row>
    <row r="511" spans="1:18" s="61" customFormat="1" x14ac:dyDescent="0.25">
      <c r="A511" s="358"/>
      <c r="B511" s="361"/>
      <c r="C511" s="221"/>
      <c r="D511" s="356" t="s">
        <v>14</v>
      </c>
      <c r="E511" s="356"/>
      <c r="F511" s="356"/>
      <c r="G511" s="356"/>
      <c r="H511" s="188"/>
      <c r="I511" s="159"/>
      <c r="J511" s="188"/>
      <c r="K511" s="161"/>
      <c r="L511" s="250"/>
      <c r="M511" s="230"/>
      <c r="N511" s="164"/>
      <c r="O511" s="198">
        <f>O519+O520+O515</f>
        <v>38429.58251876921</v>
      </c>
      <c r="P511" s="166"/>
      <c r="Q511" s="166"/>
      <c r="R511" s="71"/>
    </row>
    <row r="512" spans="1:18" s="61" customFormat="1" x14ac:dyDescent="0.25">
      <c r="A512" s="358"/>
      <c r="B512" s="361"/>
      <c r="C512" s="221" t="s">
        <v>379</v>
      </c>
      <c r="D512" s="231" t="s">
        <v>49</v>
      </c>
      <c r="E512" s="231" t="s">
        <v>22</v>
      </c>
      <c r="F512" s="231" t="s">
        <v>22</v>
      </c>
      <c r="G512" s="238">
        <f>MROUND(H512*L512*I512/K512,0.000000001)</f>
        <v>0</v>
      </c>
      <c r="H512" s="160"/>
      <c r="I512" s="159">
        <f>I507</f>
        <v>1.6002E-4</v>
      </c>
      <c r="J512" s="160"/>
      <c r="K512" s="161">
        <f>K507</f>
        <v>3</v>
      </c>
      <c r="L512" s="250"/>
      <c r="M512" s="163"/>
      <c r="N512" s="164">
        <f>N32</f>
        <v>0</v>
      </c>
      <c r="O512" s="165">
        <f>MROUND(G512*N512,0.00000001)</f>
        <v>0</v>
      </c>
      <c r="P512" s="166"/>
      <c r="Q512" s="166">
        <f t="shared" si="104"/>
        <v>0</v>
      </c>
      <c r="R512" s="71"/>
    </row>
    <row r="513" spans="1:18" s="61" customFormat="1" x14ac:dyDescent="0.25">
      <c r="A513" s="358"/>
      <c r="B513" s="361"/>
      <c r="C513" s="221" t="s">
        <v>379</v>
      </c>
      <c r="D513" s="231" t="s">
        <v>49</v>
      </c>
      <c r="E513" s="231" t="s">
        <v>28</v>
      </c>
      <c r="F513" s="231" t="s">
        <v>28</v>
      </c>
      <c r="G513" s="238">
        <f>MROUND(H513*L513*I513/K513,0.00000000000001)</f>
        <v>2.6669999999999998E-4</v>
      </c>
      <c r="H513" s="160">
        <f>H33</f>
        <v>5</v>
      </c>
      <c r="I513" s="159">
        <f t="shared" si="114"/>
        <v>1.6002E-4</v>
      </c>
      <c r="J513" s="160"/>
      <c r="K513" s="161">
        <f>K512</f>
        <v>3</v>
      </c>
      <c r="L513" s="250">
        <v>1</v>
      </c>
      <c r="M513" s="163" t="str">
        <f>CONCATENATE(H513," ",F513,"*",I513,"/",K513,"чел.")</f>
        <v>5 шт*0,00016002/3чел.</v>
      </c>
      <c r="N513" s="164">
        <f>N33</f>
        <v>28120000</v>
      </c>
      <c r="O513" s="165">
        <f>MROUND(G513*N513,0.00000001)</f>
        <v>7499.6040000000003</v>
      </c>
      <c r="P513" s="166"/>
      <c r="Q513" s="166">
        <f t="shared" si="104"/>
        <v>22498.812000000002</v>
      </c>
      <c r="R513" s="71"/>
    </row>
    <row r="514" spans="1:18" s="61" customFormat="1" x14ac:dyDescent="0.25">
      <c r="A514" s="358"/>
      <c r="B514" s="361"/>
      <c r="C514" s="221" t="s">
        <v>379</v>
      </c>
      <c r="D514" s="231" t="s">
        <v>49</v>
      </c>
      <c r="E514" s="231" t="s">
        <v>101</v>
      </c>
      <c r="F514" s="231" t="s">
        <v>101</v>
      </c>
      <c r="G514" s="238">
        <f>MROUND(H514*L514*I514/K514,0.000000001)</f>
        <v>0</v>
      </c>
      <c r="H514" s="160"/>
      <c r="I514" s="159">
        <f t="shared" si="114"/>
        <v>1.6002E-4</v>
      </c>
      <c r="J514" s="160"/>
      <c r="K514" s="161">
        <f>K513</f>
        <v>3</v>
      </c>
      <c r="L514" s="250"/>
      <c r="M514" s="163"/>
      <c r="N514" s="164">
        <f>N34</f>
        <v>0</v>
      </c>
      <c r="O514" s="165">
        <f>MROUND(G514*N514,0.00000001)</f>
        <v>0</v>
      </c>
      <c r="P514" s="166"/>
      <c r="Q514" s="166">
        <f t="shared" si="104"/>
        <v>0</v>
      </c>
      <c r="R514" s="71"/>
    </row>
    <row r="515" spans="1:18" s="61" customFormat="1" x14ac:dyDescent="0.25">
      <c r="A515" s="358"/>
      <c r="B515" s="361"/>
      <c r="C515" s="218" t="s">
        <v>381</v>
      </c>
      <c r="D515" s="232"/>
      <c r="E515" s="232"/>
      <c r="F515" s="232"/>
      <c r="G515" s="227"/>
      <c r="H515" s="228"/>
      <c r="I515" s="206"/>
      <c r="J515" s="228"/>
      <c r="K515" s="207"/>
      <c r="L515" s="257"/>
      <c r="M515" s="209"/>
      <c r="N515" s="210"/>
      <c r="O515" s="198">
        <f>SUM(O512:O514)</f>
        <v>7499.6040000000003</v>
      </c>
      <c r="P515" s="166"/>
      <c r="Q515" s="166"/>
      <c r="R515" s="71"/>
    </row>
    <row r="516" spans="1:18" s="61" customFormat="1" x14ac:dyDescent="0.25">
      <c r="A516" s="358"/>
      <c r="B516" s="361"/>
      <c r="C516" s="221" t="s">
        <v>76</v>
      </c>
      <c r="D516" s="231" t="s">
        <v>49</v>
      </c>
      <c r="E516" s="231" t="s">
        <v>22</v>
      </c>
      <c r="F516" s="231" t="s">
        <v>22</v>
      </c>
      <c r="G516" s="238">
        <f>MROUND(H516*L516*I516/K516,0.0000000000001)</f>
        <v>3.9053958468000003</v>
      </c>
      <c r="H516" s="160">
        <f>H36</f>
        <v>73217.02</v>
      </c>
      <c r="I516" s="159">
        <f>I514</f>
        <v>1.6002E-4</v>
      </c>
      <c r="J516" s="160"/>
      <c r="K516" s="161">
        <f>K514</f>
        <v>3</v>
      </c>
      <c r="L516" s="250">
        <v>1</v>
      </c>
      <c r="M516" s="163" t="str">
        <f>CONCATENATE(H516," ",F516,"*",I516,"/",K516,"чел.")</f>
        <v>73217,02 м2*0,00016002/3чел.</v>
      </c>
      <c r="N516" s="164">
        <f>N36</f>
        <v>3335.1026185604301</v>
      </c>
      <c r="O516" s="165">
        <f>MROUND(G516*N516,0.00000000001)</f>
        <v>13024.895915177709</v>
      </c>
      <c r="P516" s="166"/>
      <c r="Q516" s="166">
        <f t="shared" si="104"/>
        <v>39074.687745533127</v>
      </c>
      <c r="R516" s="71"/>
    </row>
    <row r="517" spans="1:18" s="61" customFormat="1" x14ac:dyDescent="0.25">
      <c r="A517" s="358"/>
      <c r="B517" s="361"/>
      <c r="C517" s="221"/>
      <c r="D517" s="231" t="s">
        <v>49</v>
      </c>
      <c r="E517" s="231" t="s">
        <v>28</v>
      </c>
      <c r="F517" s="231" t="s">
        <v>28</v>
      </c>
      <c r="G517" s="238">
        <f>MROUND(H517*L517*I517/K517,0.0000000000001)</f>
        <v>0.221361</v>
      </c>
      <c r="H517" s="160">
        <f>H37</f>
        <v>4150</v>
      </c>
      <c r="I517" s="159">
        <f t="shared" si="114"/>
        <v>1.6002E-4</v>
      </c>
      <c r="J517" s="160"/>
      <c r="K517" s="161">
        <f>K516</f>
        <v>3</v>
      </c>
      <c r="L517" s="250">
        <v>1</v>
      </c>
      <c r="M517" s="163" t="str">
        <f>CONCATENATE(H517," ",F517,"*",I517,"/",K517,"чел.")</f>
        <v>4150 шт*0,00016002/3чел.</v>
      </c>
      <c r="N517" s="164">
        <f>N37</f>
        <v>71617.619331325302</v>
      </c>
      <c r="O517" s="165">
        <f>MROUND(G517*N517,0.00000000001)</f>
        <v>15853.347832801499</v>
      </c>
      <c r="P517" s="166"/>
      <c r="Q517" s="166">
        <f t="shared" si="104"/>
        <v>47560.043498404499</v>
      </c>
      <c r="R517" s="71"/>
    </row>
    <row r="518" spans="1:18" s="61" customFormat="1" x14ac:dyDescent="0.25">
      <c r="A518" s="358"/>
      <c r="B518" s="361"/>
      <c r="C518" s="221"/>
      <c r="D518" s="231" t="s">
        <v>49</v>
      </c>
      <c r="E518" s="231" t="s">
        <v>101</v>
      </c>
      <c r="F518" s="231" t="s">
        <v>101</v>
      </c>
      <c r="G518" s="238">
        <f>MROUND(H518*L518*I518/K518,0.000000001)</f>
        <v>0.76137516000000005</v>
      </c>
      <c r="H518" s="160">
        <f>H38</f>
        <v>14274</v>
      </c>
      <c r="I518" s="159">
        <f t="shared" si="114"/>
        <v>1.6002E-4</v>
      </c>
      <c r="J518" s="160"/>
      <c r="K518" s="161">
        <f>K517</f>
        <v>3</v>
      </c>
      <c r="L518" s="250">
        <v>1</v>
      </c>
      <c r="M518" s="163" t="str">
        <f>CONCATENATE(H518," ",F518,"*",I518,"/",K518,"чел.")</f>
        <v>14274 погон.м.*0,00016002/3чел.</v>
      </c>
      <c r="N518" s="164">
        <f>N38</f>
        <v>2694.7750315258509</v>
      </c>
      <c r="O518" s="165">
        <f>MROUND(G518*N518,0.00000001)</f>
        <v>2051.7347707899999</v>
      </c>
      <c r="P518" s="166"/>
      <c r="Q518" s="166">
        <f t="shared" si="104"/>
        <v>6155.2043123699996</v>
      </c>
      <c r="R518" s="71"/>
    </row>
    <row r="519" spans="1:18" s="61" customFormat="1" x14ac:dyDescent="0.25">
      <c r="A519" s="358"/>
      <c r="B519" s="361"/>
      <c r="C519" s="218" t="s">
        <v>302</v>
      </c>
      <c r="D519" s="232"/>
      <c r="E519" s="232"/>
      <c r="F519" s="232"/>
      <c r="G519" s="227"/>
      <c r="H519" s="228"/>
      <c r="I519" s="206"/>
      <c r="J519" s="228"/>
      <c r="K519" s="207"/>
      <c r="L519" s="257"/>
      <c r="M519" s="209"/>
      <c r="N519" s="210"/>
      <c r="O519" s="198">
        <f>SUM(O516:O518)</f>
        <v>30929.978518769207</v>
      </c>
      <c r="P519" s="166"/>
      <c r="Q519" s="166"/>
      <c r="R519" s="71"/>
    </row>
    <row r="520" spans="1:18" s="61" customFormat="1" x14ac:dyDescent="0.25">
      <c r="A520" s="358"/>
      <c r="B520" s="361"/>
      <c r="C520" s="221" t="s">
        <v>77</v>
      </c>
      <c r="D520" s="231"/>
      <c r="E520" s="231"/>
      <c r="F520" s="231"/>
      <c r="G520" s="238">
        <f>MROUND(H520*L520*I520/K520,0.00000000001)</f>
        <v>0</v>
      </c>
      <c r="H520" s="160">
        <f>H280</f>
        <v>0</v>
      </c>
      <c r="I520" s="159">
        <f>I518</f>
        <v>1.6002E-4</v>
      </c>
      <c r="J520" s="160"/>
      <c r="K520" s="161">
        <f>K518</f>
        <v>3</v>
      </c>
      <c r="L520" s="250"/>
      <c r="M520" s="163"/>
      <c r="N520" s="164">
        <f>N280</f>
        <v>0</v>
      </c>
      <c r="O520" s="165">
        <f>MROUND(G520*N520,0.000000001)</f>
        <v>0</v>
      </c>
      <c r="P520" s="166"/>
      <c r="Q520" s="166">
        <f t="shared" si="104"/>
        <v>0</v>
      </c>
      <c r="R520" s="71"/>
    </row>
    <row r="521" spans="1:18" s="61" customFormat="1" x14ac:dyDescent="0.25">
      <c r="A521" s="358"/>
      <c r="B521" s="361"/>
      <c r="C521" s="218" t="s">
        <v>304</v>
      </c>
      <c r="D521" s="232"/>
      <c r="E521" s="232"/>
      <c r="F521" s="232"/>
      <c r="G521" s="227"/>
      <c r="H521" s="228"/>
      <c r="I521" s="206"/>
      <c r="J521" s="228"/>
      <c r="K521" s="207"/>
      <c r="L521" s="257"/>
      <c r="M521" s="209"/>
      <c r="N521" s="210"/>
      <c r="O521" s="198">
        <f>O520</f>
        <v>0</v>
      </c>
      <c r="P521" s="166"/>
      <c r="Q521" s="166"/>
      <c r="R521" s="71"/>
    </row>
    <row r="522" spans="1:18" s="61" customFormat="1" x14ac:dyDescent="0.25">
      <c r="A522" s="358"/>
      <c r="B522" s="361"/>
      <c r="C522" s="221"/>
      <c r="D522" s="350" t="s">
        <v>65</v>
      </c>
      <c r="E522" s="350"/>
      <c r="F522" s="350"/>
      <c r="G522" s="350"/>
      <c r="H522" s="195"/>
      <c r="I522" s="159"/>
      <c r="J522" s="195"/>
      <c r="K522" s="161"/>
      <c r="L522" s="196"/>
      <c r="M522" s="230"/>
      <c r="N522" s="164"/>
      <c r="O522" s="165">
        <f t="shared" ref="O522:O529" si="116">MROUND(G522*N522,0.000001)</f>
        <v>0</v>
      </c>
      <c r="P522" s="166"/>
      <c r="Q522" s="166"/>
      <c r="R522" s="71"/>
    </row>
    <row r="523" spans="1:18" s="61" customFormat="1" x14ac:dyDescent="0.25">
      <c r="A523" s="358"/>
      <c r="B523" s="361"/>
      <c r="C523" s="221"/>
      <c r="D523" s="194"/>
      <c r="E523" s="194"/>
      <c r="F523" s="194"/>
      <c r="G523" s="217"/>
      <c r="H523" s="195"/>
      <c r="I523" s="159"/>
      <c r="J523" s="195"/>
      <c r="K523" s="161"/>
      <c r="L523" s="196"/>
      <c r="M523" s="230"/>
      <c r="N523" s="164"/>
      <c r="O523" s="165">
        <f t="shared" si="116"/>
        <v>0</v>
      </c>
      <c r="P523" s="166"/>
      <c r="Q523" s="166"/>
      <c r="R523" s="71"/>
    </row>
    <row r="524" spans="1:18" s="61" customFormat="1" x14ac:dyDescent="0.25">
      <c r="A524" s="358"/>
      <c r="B524" s="361"/>
      <c r="C524" s="221" t="s">
        <v>357</v>
      </c>
      <c r="D524" s="368" t="s">
        <v>66</v>
      </c>
      <c r="E524" s="368"/>
      <c r="F524" s="368"/>
      <c r="G524" s="368"/>
      <c r="H524" s="195"/>
      <c r="I524" s="159"/>
      <c r="J524" s="195"/>
      <c r="K524" s="161"/>
      <c r="L524" s="234"/>
      <c r="M524" s="230"/>
      <c r="N524" s="164"/>
      <c r="O524" s="198">
        <f>O525</f>
        <v>9.6475929999999988</v>
      </c>
      <c r="P524" s="166"/>
      <c r="Q524" s="166"/>
      <c r="R524" s="71"/>
    </row>
    <row r="525" spans="1:18" s="61" customFormat="1" ht="47.25" x14ac:dyDescent="0.25">
      <c r="A525" s="358"/>
      <c r="B525" s="361"/>
      <c r="C525" s="221"/>
      <c r="D525" s="222" t="s">
        <v>374</v>
      </c>
      <c r="E525" s="194" t="s">
        <v>28</v>
      </c>
      <c r="F525" s="194" t="s">
        <v>28</v>
      </c>
      <c r="G525" s="217">
        <f>MROUND(H525*L525*I525/K525,0.000000001)</f>
        <v>7.6809600000000006E-3</v>
      </c>
      <c r="H525" s="201">
        <f>H45</f>
        <v>36</v>
      </c>
      <c r="I525" s="159">
        <f>I520</f>
        <v>1.6002E-4</v>
      </c>
      <c r="J525" s="195"/>
      <c r="K525" s="161">
        <f>K520</f>
        <v>3</v>
      </c>
      <c r="L525" s="235">
        <f>L45</f>
        <v>4</v>
      </c>
      <c r="M525" s="163" t="str">
        <f>CONCATENATE(H525," ",F525,"*",I525,"/",K525,"чел.")</f>
        <v>36 шт*0,00016002/3чел.</v>
      </c>
      <c r="N525" s="164">
        <f>N45</f>
        <v>1256.0400000000006</v>
      </c>
      <c r="O525" s="165">
        <f>MROUND(G525*N525,0.000001)</f>
        <v>9.6475929999999988</v>
      </c>
      <c r="P525" s="166"/>
      <c r="Q525" s="166">
        <f t="shared" si="104"/>
        <v>28.942778999999994</v>
      </c>
      <c r="R525" s="71"/>
    </row>
    <row r="526" spans="1:18" s="61" customFormat="1" x14ac:dyDescent="0.25">
      <c r="A526" s="358"/>
      <c r="B526" s="361"/>
      <c r="C526" s="221"/>
      <c r="D526" s="368" t="s">
        <v>67</v>
      </c>
      <c r="E526" s="368"/>
      <c r="F526" s="368"/>
      <c r="G526" s="368"/>
      <c r="H526" s="195"/>
      <c r="I526" s="159"/>
      <c r="J526" s="195"/>
      <c r="K526" s="161"/>
      <c r="L526" s="196"/>
      <c r="M526" s="230"/>
      <c r="N526" s="164"/>
      <c r="O526" s="165">
        <f t="shared" si="116"/>
        <v>0</v>
      </c>
      <c r="P526" s="166"/>
      <c r="Q526" s="166"/>
      <c r="R526" s="71"/>
    </row>
    <row r="527" spans="1:18" s="61" customFormat="1" x14ac:dyDescent="0.25">
      <c r="A527" s="358"/>
      <c r="B527" s="361"/>
      <c r="C527" s="221"/>
      <c r="D527" s="194"/>
      <c r="E527" s="194"/>
      <c r="F527" s="194"/>
      <c r="G527" s="217"/>
      <c r="H527" s="195"/>
      <c r="I527" s="159"/>
      <c r="J527" s="195"/>
      <c r="K527" s="161"/>
      <c r="L527" s="196"/>
      <c r="M527" s="230"/>
      <c r="N527" s="164"/>
      <c r="O527" s="165">
        <f t="shared" si="116"/>
        <v>0</v>
      </c>
      <c r="P527" s="166"/>
      <c r="Q527" s="166"/>
      <c r="R527" s="71"/>
    </row>
    <row r="528" spans="1:18" s="61" customFormat="1" x14ac:dyDescent="0.25">
      <c r="A528" s="358"/>
      <c r="B528" s="361"/>
      <c r="C528" s="221"/>
      <c r="D528" s="350" t="s">
        <v>68</v>
      </c>
      <c r="E528" s="350"/>
      <c r="F528" s="350"/>
      <c r="G528" s="350"/>
      <c r="H528" s="195"/>
      <c r="I528" s="159"/>
      <c r="J528" s="195"/>
      <c r="K528" s="161"/>
      <c r="L528" s="196"/>
      <c r="M528" s="230"/>
      <c r="N528" s="164"/>
      <c r="O528" s="165">
        <f t="shared" si="116"/>
        <v>0</v>
      </c>
      <c r="P528" s="166"/>
      <c r="Q528" s="166"/>
      <c r="R528" s="71"/>
    </row>
    <row r="529" spans="1:41" s="61" customFormat="1" x14ac:dyDescent="0.25">
      <c r="A529" s="358"/>
      <c r="B529" s="361"/>
      <c r="C529" s="221"/>
      <c r="D529" s="156"/>
      <c r="E529" s="156"/>
      <c r="F529" s="156"/>
      <c r="G529" s="236"/>
      <c r="H529" s="195"/>
      <c r="I529" s="159"/>
      <c r="J529" s="195"/>
      <c r="K529" s="161"/>
      <c r="L529" s="196"/>
      <c r="M529" s="230"/>
      <c r="N529" s="164"/>
      <c r="O529" s="165">
        <f t="shared" si="116"/>
        <v>0</v>
      </c>
      <c r="P529" s="166"/>
      <c r="Q529" s="166"/>
      <c r="R529" s="71"/>
    </row>
    <row r="530" spans="1:41" s="61" customFormat="1" x14ac:dyDescent="0.25">
      <c r="A530" s="358"/>
      <c r="B530" s="361"/>
      <c r="C530" s="221"/>
      <c r="D530" s="368" t="s">
        <v>69</v>
      </c>
      <c r="E530" s="368"/>
      <c r="F530" s="368"/>
      <c r="G530" s="368"/>
      <c r="H530" s="187"/>
      <c r="I530" s="159"/>
      <c r="J530" s="187"/>
      <c r="K530" s="161"/>
      <c r="L530" s="276"/>
      <c r="M530" s="230"/>
      <c r="N530" s="164"/>
      <c r="O530" s="198">
        <f>O532+O539+O556+O558+O573+O575+O577+O602+O604+O609+O606</f>
        <v>3550.5739922799999</v>
      </c>
      <c r="P530" s="166"/>
      <c r="Q530" s="166"/>
      <c r="R530" s="71"/>
    </row>
    <row r="531" spans="1:41" s="61" customFormat="1" x14ac:dyDescent="0.25">
      <c r="A531" s="358"/>
      <c r="B531" s="361"/>
      <c r="C531" s="221">
        <v>224</v>
      </c>
      <c r="D531" s="156" t="s">
        <v>21</v>
      </c>
      <c r="E531" s="156" t="s">
        <v>22</v>
      </c>
      <c r="F531" s="156" t="s">
        <v>22</v>
      </c>
      <c r="G531" s="238">
        <f>MROUND(H531*L531*I531/K531,0.000001)</f>
        <v>0</v>
      </c>
      <c r="H531" s="158">
        <f>H51</f>
        <v>0</v>
      </c>
      <c r="I531" s="159">
        <f>I525</f>
        <v>1.6002E-4</v>
      </c>
      <c r="J531" s="160"/>
      <c r="K531" s="161">
        <f>K525</f>
        <v>3</v>
      </c>
      <c r="L531" s="250"/>
      <c r="M531" s="163"/>
      <c r="N531" s="164">
        <f>N171</f>
        <v>0</v>
      </c>
      <c r="O531" s="165">
        <f>MROUND(G531*N531,0.000001)</f>
        <v>0</v>
      </c>
      <c r="P531" s="166"/>
      <c r="Q531" s="166">
        <f t="shared" ref="Q531:Q588" si="117">O531*K531</f>
        <v>0</v>
      </c>
      <c r="R531" s="71"/>
    </row>
    <row r="532" spans="1:41" s="62" customFormat="1" x14ac:dyDescent="0.25">
      <c r="A532" s="358"/>
      <c r="B532" s="361"/>
      <c r="C532" s="218" t="s">
        <v>293</v>
      </c>
      <c r="D532" s="240"/>
      <c r="E532" s="240"/>
      <c r="F532" s="240"/>
      <c r="G532" s="227"/>
      <c r="H532" s="241"/>
      <c r="I532" s="206"/>
      <c r="J532" s="228"/>
      <c r="K532" s="207"/>
      <c r="L532" s="257"/>
      <c r="M532" s="209"/>
      <c r="N532" s="210"/>
      <c r="O532" s="198">
        <f>SUM(O531)</f>
        <v>0</v>
      </c>
      <c r="P532" s="267"/>
      <c r="Q532" s="166"/>
      <c r="R532" s="71"/>
    </row>
    <row r="533" spans="1:41" s="61" customFormat="1" ht="31.5" x14ac:dyDescent="0.25">
      <c r="A533" s="358"/>
      <c r="B533" s="361"/>
      <c r="C533" s="364" t="s">
        <v>78</v>
      </c>
      <c r="D533" s="156" t="s">
        <v>26</v>
      </c>
      <c r="E533" s="156" t="s">
        <v>22</v>
      </c>
      <c r="F533" s="156" t="s">
        <v>22</v>
      </c>
      <c r="G533" s="238">
        <f>MROUND(H533*L533*I533/K533,0.000001)</f>
        <v>16.539666999999998</v>
      </c>
      <c r="H533" s="158">
        <f>H53</f>
        <v>25840</v>
      </c>
      <c r="I533" s="159">
        <f>I531</f>
        <v>1.6002E-4</v>
      </c>
      <c r="J533" s="160"/>
      <c r="K533" s="161">
        <f>K531</f>
        <v>3</v>
      </c>
      <c r="L533" s="250">
        <v>12</v>
      </c>
      <c r="M533" s="163" t="str">
        <f>CONCATENATE(H533," ",F533,"(обрабатываемая площадь в мес.)","*",L533,"мес.","*",I533,"/",K533,"чел.")</f>
        <v>25840 м2(обрабатываемая площадь в мес.)*12мес.*0,00016002/3чел.</v>
      </c>
      <c r="N533" s="164">
        <f>N53</f>
        <v>1.1553999935500519</v>
      </c>
      <c r="O533" s="165">
        <f t="shared" ref="O533:O538" si="118">MROUND(G533*N533,0.000001)</f>
        <v>19.109931</v>
      </c>
      <c r="P533" s="166"/>
      <c r="Q533" s="166">
        <f t="shared" si="117"/>
        <v>57.329792999999995</v>
      </c>
      <c r="R533" s="71"/>
    </row>
    <row r="534" spans="1:41" s="61" customFormat="1" ht="31.5" x14ac:dyDescent="0.25">
      <c r="A534" s="358"/>
      <c r="B534" s="361"/>
      <c r="C534" s="364"/>
      <c r="D534" s="156" t="s">
        <v>96</v>
      </c>
      <c r="E534" s="156" t="s">
        <v>22</v>
      </c>
      <c r="F534" s="156" t="s">
        <v>22</v>
      </c>
      <c r="G534" s="238">
        <f>MROUND(H534*L534*I534/K534,0.000001)</f>
        <v>8.5610699999999991</v>
      </c>
      <c r="H534" s="158">
        <f>H54</f>
        <v>13375</v>
      </c>
      <c r="I534" s="159">
        <f t="shared" si="114"/>
        <v>1.6002E-4</v>
      </c>
      <c r="J534" s="160"/>
      <c r="K534" s="161">
        <f>K533</f>
        <v>3</v>
      </c>
      <c r="L534" s="250">
        <v>12</v>
      </c>
      <c r="M534" s="163" t="str">
        <f>CONCATENATE(H534," ",F534,"(обрабатываемая площадь в мес.)","*",L534,"мес.","*",I534,"/",K534,"чел.")</f>
        <v>13375 м2(обрабатываемая площадь в мес.)*12мес.*0,00016002/3чел.</v>
      </c>
      <c r="N534" s="164">
        <f>N54</f>
        <v>1.8530000000000004</v>
      </c>
      <c r="O534" s="165">
        <f t="shared" si="118"/>
        <v>15.863662999999999</v>
      </c>
      <c r="P534" s="166"/>
      <c r="Q534" s="166">
        <f t="shared" si="117"/>
        <v>47.590988999999993</v>
      </c>
      <c r="R534" s="71"/>
    </row>
    <row r="535" spans="1:41" s="135" customFormat="1" ht="31.5" x14ac:dyDescent="0.25">
      <c r="A535" s="358"/>
      <c r="B535" s="361"/>
      <c r="C535" s="364"/>
      <c r="D535" s="156" t="s">
        <v>385</v>
      </c>
      <c r="E535" s="156" t="s">
        <v>22</v>
      </c>
      <c r="F535" s="156" t="s">
        <v>22</v>
      </c>
      <c r="G535" s="238">
        <f>MROUND(H535*L535*I535/K535,0.000001)</f>
        <v>17.122139999999998</v>
      </c>
      <c r="H535" s="242">
        <f>$H$55</f>
        <v>13375</v>
      </c>
      <c r="I535" s="159">
        <f t="shared" si="114"/>
        <v>1.6002E-4</v>
      </c>
      <c r="J535" s="160"/>
      <c r="K535" s="161">
        <f>K534</f>
        <v>3</v>
      </c>
      <c r="L535" s="162">
        <v>24</v>
      </c>
      <c r="M535" s="163" t="str">
        <f>CONCATENATE(H535," ",F535,"(обрабатываемая площадь в год)","*",L535," раза в год.","*",I535,"/",K535,"чел.")</f>
        <v>13375 м2(обрабатываемая площадь в год)*24 раза в год.*0,00016002/3чел.</v>
      </c>
      <c r="N535" s="164">
        <f>$N$55</f>
        <v>2.2889999999999993</v>
      </c>
      <c r="O535" s="165">
        <f t="shared" si="118"/>
        <v>39.192577999999997</v>
      </c>
      <c r="P535" s="166"/>
      <c r="Q535" s="166">
        <f t="shared" si="117"/>
        <v>117.57773399999999</v>
      </c>
      <c r="R535" s="71"/>
      <c r="S535" s="61"/>
      <c r="T535" s="61"/>
      <c r="U535" s="61"/>
      <c r="V535" s="61"/>
      <c r="W535" s="61"/>
      <c r="X535" s="61"/>
      <c r="Y535" s="61"/>
      <c r="Z535" s="61"/>
      <c r="AA535" s="61"/>
      <c r="AB535" s="61"/>
      <c r="AC535" s="61"/>
      <c r="AD535" s="61"/>
      <c r="AE535" s="61"/>
      <c r="AF535" s="61"/>
      <c r="AG535" s="61"/>
      <c r="AH535" s="61"/>
      <c r="AI535" s="61"/>
      <c r="AJ535" s="61"/>
      <c r="AK535" s="61"/>
      <c r="AL535" s="61"/>
      <c r="AM535" s="61"/>
      <c r="AN535" s="61"/>
      <c r="AO535" s="61"/>
    </row>
    <row r="536" spans="1:41" s="135" customFormat="1" ht="31.5" x14ac:dyDescent="0.25">
      <c r="A536" s="358"/>
      <c r="B536" s="361"/>
      <c r="C536" s="364"/>
      <c r="D536" s="156" t="s">
        <v>394</v>
      </c>
      <c r="E536" s="156" t="s">
        <v>22</v>
      </c>
      <c r="F536" s="156" t="s">
        <v>22</v>
      </c>
      <c r="G536" s="238">
        <f>MROUND(H536*L536*I536/K536,0.000001)</f>
        <v>16.539666999999998</v>
      </c>
      <c r="H536" s="243">
        <f>$H$56</f>
        <v>25840</v>
      </c>
      <c r="I536" s="159">
        <f t="shared" si="114"/>
        <v>1.6002E-4</v>
      </c>
      <c r="J536" s="160"/>
      <c r="K536" s="161">
        <f>K535</f>
        <v>3</v>
      </c>
      <c r="L536" s="162">
        <v>12</v>
      </c>
      <c r="M536" s="163" t="str">
        <f>CONCATENATE(H536," ",F536,"(обрабатываемая площадь в мес.)","*",L536,"мес.","*",I536,"/",K536,"чел.")</f>
        <v>25840 м2(обрабатываемая площадь в мес.)*12мес.*0,00016002/3чел.</v>
      </c>
      <c r="N536" s="164">
        <f>$N$56</f>
        <v>0.54499999999999993</v>
      </c>
      <c r="O536" s="165">
        <f t="shared" si="118"/>
        <v>9.0141189999999991</v>
      </c>
      <c r="P536" s="166"/>
      <c r="Q536" s="166">
        <f t="shared" si="117"/>
        <v>27.042356999999996</v>
      </c>
      <c r="R536" s="71"/>
      <c r="S536" s="61"/>
      <c r="T536" s="61"/>
      <c r="U536" s="61"/>
      <c r="V536" s="61"/>
      <c r="W536" s="61"/>
      <c r="X536" s="61"/>
      <c r="Y536" s="61"/>
      <c r="Z536" s="61"/>
      <c r="AA536" s="61"/>
      <c r="AB536" s="61"/>
      <c r="AC536" s="61"/>
      <c r="AD536" s="61"/>
      <c r="AE536" s="61"/>
      <c r="AF536" s="61"/>
      <c r="AG536" s="61"/>
      <c r="AH536" s="61"/>
      <c r="AI536" s="61"/>
      <c r="AJ536" s="61"/>
      <c r="AK536" s="61"/>
      <c r="AL536" s="61"/>
      <c r="AM536" s="61"/>
      <c r="AN536" s="61"/>
      <c r="AO536" s="61"/>
    </row>
    <row r="537" spans="1:41" s="135" customFormat="1" ht="31.5" x14ac:dyDescent="0.25">
      <c r="A537" s="358"/>
      <c r="B537" s="361"/>
      <c r="C537" s="364"/>
      <c r="D537" s="156" t="s">
        <v>395</v>
      </c>
      <c r="E537" s="156" t="s">
        <v>98</v>
      </c>
      <c r="F537" s="156" t="s">
        <v>98</v>
      </c>
      <c r="G537" s="238">
        <f>MROUND(H537*L537*I537/K537,0.0000000001)</f>
        <v>1.0102596000000001E-3</v>
      </c>
      <c r="H537" s="242">
        <f>$H$57</f>
        <v>18.939999999999998</v>
      </c>
      <c r="I537" s="159">
        <f t="shared" si="114"/>
        <v>1.6002E-4</v>
      </c>
      <c r="J537" s="160"/>
      <c r="K537" s="161">
        <f>K536</f>
        <v>3</v>
      </c>
      <c r="L537" s="162">
        <v>1</v>
      </c>
      <c r="M537" s="163" t="str">
        <f>CONCATENATE(H537," ",F537,"(обрабатываемая площадь в год)","*",L537," раз в год","*",I537,"/",K537,"чел.")</f>
        <v>18,94 Га(обрабатываемая площадь в год)*1 раз в год*0,00016002/3чел.</v>
      </c>
      <c r="N537" s="164">
        <f>$N$57</f>
        <v>545</v>
      </c>
      <c r="O537" s="165">
        <f t="shared" si="118"/>
        <v>0.55059099999999994</v>
      </c>
      <c r="P537" s="166"/>
      <c r="Q537" s="166">
        <f t="shared" si="117"/>
        <v>1.6517729999999999</v>
      </c>
      <c r="R537" s="71"/>
      <c r="S537" s="61"/>
      <c r="T537" s="61"/>
      <c r="U537" s="61"/>
      <c r="V537" s="61"/>
      <c r="W537" s="61"/>
      <c r="X537" s="61"/>
      <c r="Y537" s="61"/>
      <c r="Z537" s="61"/>
      <c r="AA537" s="61"/>
      <c r="AB537" s="61"/>
      <c r="AC537" s="61"/>
      <c r="AD537" s="61"/>
      <c r="AE537" s="61"/>
      <c r="AF537" s="61"/>
      <c r="AG537" s="61"/>
      <c r="AH537" s="61"/>
      <c r="AI537" s="61"/>
      <c r="AJ537" s="61"/>
      <c r="AK537" s="61"/>
      <c r="AL537" s="61"/>
      <c r="AM537" s="61"/>
      <c r="AN537" s="61"/>
      <c r="AO537" s="61"/>
    </row>
    <row r="538" spans="1:41" s="61" customFormat="1" ht="31.5" x14ac:dyDescent="0.25">
      <c r="A538" s="358"/>
      <c r="B538" s="361"/>
      <c r="C538" s="364"/>
      <c r="D538" s="156" t="s">
        <v>97</v>
      </c>
      <c r="E538" s="156" t="s">
        <v>98</v>
      </c>
      <c r="F538" s="156" t="s">
        <v>98</v>
      </c>
      <c r="G538" s="238">
        <f>MROUND(H538*L538*I538/K538,0.0000000001)</f>
        <v>1.0102596000000001E-3</v>
      </c>
      <c r="H538" s="242">
        <f>H58</f>
        <v>18.939999999999998</v>
      </c>
      <c r="I538" s="244">
        <f>I534</f>
        <v>1.6002E-4</v>
      </c>
      <c r="J538" s="160"/>
      <c r="K538" s="161">
        <f>K534</f>
        <v>3</v>
      </c>
      <c r="L538" s="250">
        <v>1</v>
      </c>
      <c r="M538" s="163" t="str">
        <f>CONCATENATE(H538," ",F538,"(обрабатываемая площадь в мес.)","*",L538,"мес.","*",I538,"/",K538,"чел.")</f>
        <v>18,94 Га(обрабатываемая площадь в мес.)*1мес.*0,00016002/3чел.</v>
      </c>
      <c r="N538" s="164">
        <f>N58</f>
        <v>2965.979936642027</v>
      </c>
      <c r="O538" s="165">
        <f t="shared" si="118"/>
        <v>2.99641</v>
      </c>
      <c r="P538" s="166"/>
      <c r="Q538" s="166">
        <f t="shared" si="117"/>
        <v>8.9892299999999992</v>
      </c>
      <c r="R538" s="71"/>
    </row>
    <row r="539" spans="1:41" s="61" customFormat="1" x14ac:dyDescent="0.25">
      <c r="A539" s="358"/>
      <c r="B539" s="361"/>
      <c r="C539" s="245" t="s">
        <v>303</v>
      </c>
      <c r="D539" s="240"/>
      <c r="E539" s="240"/>
      <c r="F539" s="240"/>
      <c r="G539" s="227"/>
      <c r="H539" s="241"/>
      <c r="I539" s="206"/>
      <c r="J539" s="228"/>
      <c r="K539" s="207"/>
      <c r="L539" s="257"/>
      <c r="M539" s="209"/>
      <c r="N539" s="210"/>
      <c r="O539" s="198">
        <f>SUM(O533:O538)</f>
        <v>86.727291999999977</v>
      </c>
      <c r="P539" s="166"/>
      <c r="Q539" s="166"/>
      <c r="R539" s="71"/>
    </row>
    <row r="540" spans="1:41" s="61" customFormat="1" ht="63" x14ac:dyDescent="0.25">
      <c r="A540" s="358"/>
      <c r="B540" s="361"/>
      <c r="C540" s="365" t="s">
        <v>77</v>
      </c>
      <c r="D540" s="156" t="s">
        <v>29</v>
      </c>
      <c r="E540" s="156" t="s">
        <v>58</v>
      </c>
      <c r="F540" s="156" t="s">
        <v>218</v>
      </c>
      <c r="G540" s="238">
        <f>MROUND(H540*L540*I540/K540,0.00000001)</f>
        <v>3.2003999999999999E-3</v>
      </c>
      <c r="H540" s="158">
        <v>15</v>
      </c>
      <c r="I540" s="159">
        <f>I538</f>
        <v>1.6002E-4</v>
      </c>
      <c r="J540" s="160"/>
      <c r="K540" s="161">
        <f>K538</f>
        <v>3</v>
      </c>
      <c r="L540" s="162">
        <v>4</v>
      </c>
      <c r="M540" s="163" t="str">
        <f>CONCATENATE(H540," ",F540,"*",L540," раза в год","*",I540,"/",K540,"чел.")</f>
        <v>15 установок*4 раза в год*0,00016002/3чел.</v>
      </c>
      <c r="N540" s="164">
        <f t="shared" ref="N540:N553" si="119">N60</f>
        <v>721.75483333333329</v>
      </c>
      <c r="O540" s="165">
        <f t="shared" ref="O540:O555" si="120">MROUND(G540*N540,0.000001)</f>
        <v>2.309904</v>
      </c>
      <c r="P540" s="166"/>
      <c r="Q540" s="166">
        <f t="shared" si="117"/>
        <v>6.9297120000000003</v>
      </c>
      <c r="R540" s="71"/>
    </row>
    <row r="541" spans="1:41" s="61" customFormat="1" ht="47.25" x14ac:dyDescent="0.25">
      <c r="A541" s="358"/>
      <c r="B541" s="361"/>
      <c r="C541" s="366"/>
      <c r="D541" s="156" t="s">
        <v>30</v>
      </c>
      <c r="E541" s="156" t="s">
        <v>58</v>
      </c>
      <c r="F541" s="156" t="s">
        <v>218</v>
      </c>
      <c r="G541" s="238">
        <f>MROUND(H541*L541*I541/K541,0.00000001)</f>
        <v>1.6002E-3</v>
      </c>
      <c r="H541" s="158">
        <v>15</v>
      </c>
      <c r="I541" s="159">
        <f t="shared" si="114"/>
        <v>1.6002E-4</v>
      </c>
      <c r="J541" s="160"/>
      <c r="K541" s="161">
        <f t="shared" ref="K541:K549" si="121">K540</f>
        <v>3</v>
      </c>
      <c r="L541" s="250">
        <v>2</v>
      </c>
      <c r="M541" s="163" t="str">
        <f>CONCATENATE(H541," ",F541,"*",L541,"полуг.","*",I541,"/",K541,"чел.")</f>
        <v>15 установок*2полуг.*0,00016002/3чел.</v>
      </c>
      <c r="N541" s="164">
        <f t="shared" si="119"/>
        <v>721.75266666666664</v>
      </c>
      <c r="O541" s="165">
        <f t="shared" si="120"/>
        <v>1.154949</v>
      </c>
      <c r="P541" s="166"/>
      <c r="Q541" s="166">
        <f t="shared" si="117"/>
        <v>3.4648469999999998</v>
      </c>
      <c r="R541" s="71"/>
    </row>
    <row r="542" spans="1:41" s="61" customFormat="1" ht="31.5" x14ac:dyDescent="0.25">
      <c r="A542" s="358"/>
      <c r="B542" s="361"/>
      <c r="C542" s="366"/>
      <c r="D542" s="156" t="s">
        <v>397</v>
      </c>
      <c r="E542" s="156" t="s">
        <v>433</v>
      </c>
      <c r="F542" s="156" t="s">
        <v>433</v>
      </c>
      <c r="G542" s="238">
        <f>MROUND(H542*L542*I542/K542,0.000001)</f>
        <v>3.2003999999999998E-2</v>
      </c>
      <c r="H542" s="158">
        <f>H62</f>
        <v>600</v>
      </c>
      <c r="I542" s="159">
        <f t="shared" si="114"/>
        <v>1.6002E-4</v>
      </c>
      <c r="J542" s="160"/>
      <c r="K542" s="161">
        <f t="shared" si="121"/>
        <v>3</v>
      </c>
      <c r="L542" s="162">
        <v>1</v>
      </c>
      <c r="M542" s="163" t="str">
        <f>CONCATENATE(H542," ",F542,"(обрабатываемая площадь в год)","*",L542," раз в год","*",I542,"/",K542,"чел.")</f>
        <v>600 м2.(обрабатываемая площадь в год)*1 раз в год*0,00016002/3чел.</v>
      </c>
      <c r="N542" s="164">
        <f t="shared" si="119"/>
        <v>300</v>
      </c>
      <c r="O542" s="165">
        <f t="shared" si="120"/>
        <v>9.6012000000000004</v>
      </c>
      <c r="P542" s="166"/>
      <c r="Q542" s="166">
        <f t="shared" si="117"/>
        <v>28.803600000000003</v>
      </c>
      <c r="R542" s="71"/>
    </row>
    <row r="543" spans="1:41" s="61" customFormat="1" ht="47.25" x14ac:dyDescent="0.25">
      <c r="A543" s="358"/>
      <c r="B543" s="361"/>
      <c r="C543" s="366"/>
      <c r="D543" s="156" t="s">
        <v>32</v>
      </c>
      <c r="E543" s="156" t="s">
        <v>55</v>
      </c>
      <c r="F543" s="156" t="s">
        <v>219</v>
      </c>
      <c r="G543" s="238">
        <f>MROUND(H543*L543*I543/K543,0.000000001)</f>
        <v>7.6809600000000006E-3</v>
      </c>
      <c r="H543" s="158">
        <f>H63</f>
        <v>36</v>
      </c>
      <c r="I543" s="159">
        <f>I542</f>
        <v>1.6002E-4</v>
      </c>
      <c r="J543" s="160"/>
      <c r="K543" s="161">
        <f t="shared" si="121"/>
        <v>3</v>
      </c>
      <c r="L543" s="250">
        <v>4</v>
      </c>
      <c r="M543" s="163" t="str">
        <f>CONCATENATE(H543," ",F543,"*",L543,"кв.","*",I543,"/",K543,"чел.")</f>
        <v>36 системы*4кв.*0,00016002/3чел.</v>
      </c>
      <c r="N543" s="164">
        <f t="shared" si="119"/>
        <v>6924.5277777777774</v>
      </c>
      <c r="O543" s="165">
        <f t="shared" si="120"/>
        <v>53.187020999999994</v>
      </c>
      <c r="P543" s="166"/>
      <c r="Q543" s="166">
        <f t="shared" si="117"/>
        <v>159.56106299999999</v>
      </c>
      <c r="R543" s="71"/>
    </row>
    <row r="544" spans="1:41" s="61" customFormat="1" ht="63" x14ac:dyDescent="0.25">
      <c r="A544" s="358"/>
      <c r="B544" s="361"/>
      <c r="C544" s="366"/>
      <c r="D544" s="156" t="s">
        <v>33</v>
      </c>
      <c r="E544" s="156" t="s">
        <v>56</v>
      </c>
      <c r="F544" s="156" t="s">
        <v>220</v>
      </c>
      <c r="G544" s="238">
        <f>MROUND(H544*L544*I544/K544,0.000000001)</f>
        <v>1.9202400000000001E-3</v>
      </c>
      <c r="H544" s="158">
        <f>$H$64</f>
        <v>36</v>
      </c>
      <c r="I544" s="159">
        <f>I543</f>
        <v>1.6002E-4</v>
      </c>
      <c r="J544" s="160"/>
      <c r="K544" s="161">
        <f t="shared" si="121"/>
        <v>3</v>
      </c>
      <c r="L544" s="162">
        <v>1</v>
      </c>
      <c r="M544" s="163" t="str">
        <f>CONCATENATE(H544," ",F544,"*",L544," раз в год","*",I544,"/",K544,"чел.")</f>
        <v>36 дымоходов*1 раз в год*0,00016002/3чел.</v>
      </c>
      <c r="N544" s="164">
        <f t="shared" si="119"/>
        <v>6540</v>
      </c>
      <c r="O544" s="165">
        <f t="shared" si="120"/>
        <v>12.55837</v>
      </c>
      <c r="P544" s="166"/>
      <c r="Q544" s="166">
        <f t="shared" si="117"/>
        <v>37.675110000000004</v>
      </c>
      <c r="R544" s="71"/>
    </row>
    <row r="545" spans="1:18" s="61" customFormat="1" x14ac:dyDescent="0.25">
      <c r="A545" s="358"/>
      <c r="B545" s="361"/>
      <c r="C545" s="366"/>
      <c r="D545" s="194" t="s">
        <v>398</v>
      </c>
      <c r="E545" s="156" t="s">
        <v>60</v>
      </c>
      <c r="F545" s="156" t="s">
        <v>60</v>
      </c>
      <c r="G545" s="238">
        <f>MROUND(H545*L545*I545/K545,0.000000001)</f>
        <v>1.8669000000000001E-3</v>
      </c>
      <c r="H545" s="246">
        <f t="shared" ref="H545:H555" si="122">H65</f>
        <v>35</v>
      </c>
      <c r="I545" s="159">
        <f t="shared" si="114"/>
        <v>1.6002E-4</v>
      </c>
      <c r="J545" s="160"/>
      <c r="K545" s="161">
        <f t="shared" si="121"/>
        <v>3</v>
      </c>
      <c r="L545" s="250">
        <v>1</v>
      </c>
      <c r="M545" s="163" t="str">
        <f>CONCATENATE(H545," ",F545,"*",I545,"/",K545,"чел.")</f>
        <v>35 шт.*0,00016002/3чел.</v>
      </c>
      <c r="N545" s="164">
        <f t="shared" si="119"/>
        <v>11009</v>
      </c>
      <c r="O545" s="165">
        <f t="shared" si="120"/>
        <v>20.552702</v>
      </c>
      <c r="P545" s="166"/>
      <c r="Q545" s="166">
        <f t="shared" si="117"/>
        <v>61.658106000000004</v>
      </c>
      <c r="R545" s="71"/>
    </row>
    <row r="546" spans="1:18" s="61" customFormat="1" ht="47.25" x14ac:dyDescent="0.25">
      <c r="A546" s="358"/>
      <c r="B546" s="361"/>
      <c r="C546" s="366"/>
      <c r="D546" s="156" t="s">
        <v>401</v>
      </c>
      <c r="E546" s="156" t="s">
        <v>60</v>
      </c>
      <c r="F546" s="156" t="s">
        <v>402</v>
      </c>
      <c r="G546" s="238">
        <f>MROUND(H546*L546*I546/K546,0.000001)</f>
        <v>3.7339999999999999E-3</v>
      </c>
      <c r="H546" s="246">
        <f t="shared" si="122"/>
        <v>35</v>
      </c>
      <c r="I546" s="159">
        <f t="shared" si="114"/>
        <v>1.6002E-4</v>
      </c>
      <c r="J546" s="160"/>
      <c r="K546" s="161">
        <f t="shared" si="121"/>
        <v>3</v>
      </c>
      <c r="L546" s="162">
        <v>2</v>
      </c>
      <c r="M546" s="163" t="str">
        <f>CONCATENATE(H546," ",F546,"*",L546," раз в год","*",I546,"/",K546,"чел.")</f>
        <v>35 противопожарных водопроводов*2 раз в год*0,00016002/3чел.</v>
      </c>
      <c r="N546" s="164">
        <f t="shared" si="119"/>
        <v>5450</v>
      </c>
      <c r="O546" s="165">
        <f t="shared" si="120"/>
        <v>20.350300000000001</v>
      </c>
      <c r="P546" s="166"/>
      <c r="Q546" s="166">
        <f t="shared" si="117"/>
        <v>61.050899999999999</v>
      </c>
      <c r="R546" s="71"/>
    </row>
    <row r="547" spans="1:18" s="61" customFormat="1" ht="31.5" x14ac:dyDescent="0.25">
      <c r="A547" s="358"/>
      <c r="B547" s="361"/>
      <c r="C547" s="366"/>
      <c r="D547" s="156" t="s">
        <v>221</v>
      </c>
      <c r="E547" s="156" t="s">
        <v>60</v>
      </c>
      <c r="F547" s="156" t="s">
        <v>60</v>
      </c>
      <c r="G547" s="238">
        <f>MROUND(H547*L547*I547/K547,0.00000001)</f>
        <v>1.1521440000000001E-2</v>
      </c>
      <c r="H547" s="158">
        <f t="shared" si="122"/>
        <v>18</v>
      </c>
      <c r="I547" s="159">
        <f t="shared" si="114"/>
        <v>1.6002E-4</v>
      </c>
      <c r="J547" s="160"/>
      <c r="K547" s="161">
        <f t="shared" si="121"/>
        <v>3</v>
      </c>
      <c r="L547" s="250">
        <v>12</v>
      </c>
      <c r="M547" s="163" t="str">
        <f>CONCATENATE(H547," ",F547,"*",L547,"мес.","*",I547,"/",K547,"чел.")</f>
        <v>18 шт.*12мес.*0,00016002/3чел.</v>
      </c>
      <c r="N547" s="164">
        <f t="shared" si="119"/>
        <v>6288.0888888888885</v>
      </c>
      <c r="O547" s="165">
        <f t="shared" si="120"/>
        <v>72.447839000000002</v>
      </c>
      <c r="P547" s="166"/>
      <c r="Q547" s="166">
        <f t="shared" si="117"/>
        <v>217.34351700000002</v>
      </c>
      <c r="R547" s="71"/>
    </row>
    <row r="548" spans="1:18" s="61" customFormat="1" ht="47.25" x14ac:dyDescent="0.25">
      <c r="A548" s="358"/>
      <c r="B548" s="361"/>
      <c r="C548" s="366"/>
      <c r="D548" s="156" t="s">
        <v>34</v>
      </c>
      <c r="E548" s="156" t="s">
        <v>59</v>
      </c>
      <c r="F548" s="156" t="s">
        <v>28</v>
      </c>
      <c r="G548" s="238">
        <f>MROUND(H548*L548*I548/K548,0.0000000001)</f>
        <v>1.0668E-4</v>
      </c>
      <c r="H548" s="158">
        <f t="shared" si="122"/>
        <v>2</v>
      </c>
      <c r="I548" s="159">
        <f t="shared" si="114"/>
        <v>1.6002E-4</v>
      </c>
      <c r="J548" s="160"/>
      <c r="K548" s="161">
        <f t="shared" si="121"/>
        <v>3</v>
      </c>
      <c r="L548" s="250">
        <v>1</v>
      </c>
      <c r="M548" s="163" t="str">
        <f>CONCATENATE(H548," ",F548,"*",I548,"/",K548,"чел.")</f>
        <v>2 шт*0,00016002/3чел.</v>
      </c>
      <c r="N548" s="164">
        <f t="shared" si="119"/>
        <v>7500</v>
      </c>
      <c r="O548" s="165">
        <f t="shared" si="120"/>
        <v>0.80009999999999992</v>
      </c>
      <c r="P548" s="166"/>
      <c r="Q548" s="166">
        <f t="shared" si="117"/>
        <v>2.4002999999999997</v>
      </c>
      <c r="R548" s="71"/>
    </row>
    <row r="549" spans="1:18" s="61" customFormat="1" ht="47.25" x14ac:dyDescent="0.25">
      <c r="A549" s="358"/>
      <c r="B549" s="361"/>
      <c r="C549" s="366"/>
      <c r="D549" s="156" t="s">
        <v>222</v>
      </c>
      <c r="E549" s="156" t="s">
        <v>60</v>
      </c>
      <c r="F549" s="156" t="s">
        <v>60</v>
      </c>
      <c r="G549" s="238">
        <f>MROUND(H549*L549*I549/K549,0.00000000001)</f>
        <v>1.8668999999999999E-3</v>
      </c>
      <c r="H549" s="248">
        <f t="shared" si="122"/>
        <v>35</v>
      </c>
      <c r="I549" s="159">
        <f t="shared" si="114"/>
        <v>1.6002E-4</v>
      </c>
      <c r="J549" s="160"/>
      <c r="K549" s="161">
        <f t="shared" si="121"/>
        <v>3</v>
      </c>
      <c r="L549" s="250">
        <v>1</v>
      </c>
      <c r="M549" s="163" t="str">
        <f>CONCATENATE(H549," ",F549,"*",I549,"/",K549,"чел.")</f>
        <v>35 шт.*0,00016002/3чел.</v>
      </c>
      <c r="N549" s="164">
        <f t="shared" si="119"/>
        <v>8189.7714285714283</v>
      </c>
      <c r="O549" s="165">
        <f>MROUND(G549*N549,0.00000001)</f>
        <v>15.28948428</v>
      </c>
      <c r="P549" s="166"/>
      <c r="Q549" s="166">
        <f t="shared" si="117"/>
        <v>45.868452840000003</v>
      </c>
      <c r="R549" s="71"/>
    </row>
    <row r="550" spans="1:18" s="61" customFormat="1" ht="31.5" x14ac:dyDescent="0.25">
      <c r="A550" s="358"/>
      <c r="B550" s="361"/>
      <c r="C550" s="366"/>
      <c r="D550" s="156" t="s">
        <v>35</v>
      </c>
      <c r="E550" s="156" t="s">
        <v>102</v>
      </c>
      <c r="F550" s="156" t="s">
        <v>223</v>
      </c>
      <c r="G550" s="238">
        <f>MROUND(H550*L550*I550/K550,0.00000001)</f>
        <v>1.8669000000000001E-3</v>
      </c>
      <c r="H550" s="158">
        <f t="shared" si="122"/>
        <v>35</v>
      </c>
      <c r="I550" s="159">
        <f>I548</f>
        <v>1.6002E-4</v>
      </c>
      <c r="J550" s="160"/>
      <c r="K550" s="161">
        <f>K548</f>
        <v>3</v>
      </c>
      <c r="L550" s="250">
        <v>1</v>
      </c>
      <c r="M550" s="163" t="str">
        <f>CONCATENATE(H550," ",F550,"*",I550,"/",K550,"чел.")</f>
        <v>35 замеров*0,00016002/3чел.</v>
      </c>
      <c r="N550" s="164">
        <f t="shared" si="119"/>
        <v>20142.857142857141</v>
      </c>
      <c r="O550" s="165">
        <f t="shared" si="120"/>
        <v>37.604700000000001</v>
      </c>
      <c r="P550" s="166"/>
      <c r="Q550" s="166">
        <f t="shared" si="117"/>
        <v>112.8141</v>
      </c>
      <c r="R550" s="71"/>
    </row>
    <row r="551" spans="1:18" s="61" customFormat="1" ht="47.25" x14ac:dyDescent="0.25">
      <c r="A551" s="358"/>
      <c r="B551" s="361"/>
      <c r="C551" s="366"/>
      <c r="D551" s="156" t="s">
        <v>399</v>
      </c>
      <c r="E551" s="156" t="s">
        <v>60</v>
      </c>
      <c r="F551" s="156" t="s">
        <v>60</v>
      </c>
      <c r="G551" s="238">
        <f>MROUND(H551*L551*I551/K551,0.000000001)</f>
        <v>1.8669000000000002E-2</v>
      </c>
      <c r="H551" s="158">
        <f t="shared" si="122"/>
        <v>35</v>
      </c>
      <c r="I551" s="159">
        <f t="shared" si="114"/>
        <v>1.6002E-4</v>
      </c>
      <c r="J551" s="160"/>
      <c r="K551" s="161">
        <f>K550</f>
        <v>3</v>
      </c>
      <c r="L551" s="250">
        <v>10</v>
      </c>
      <c r="M551" s="163" t="str">
        <f>CONCATENATE(H551," ",F551,"*",L551,"мес.","*",I551,"/",K551,"чел.")</f>
        <v>35 шт.*10мес.*0,00016002/3чел.</v>
      </c>
      <c r="N551" s="164">
        <f t="shared" si="119"/>
        <v>3107.903028571428</v>
      </c>
      <c r="O551" s="165">
        <f t="shared" si="120"/>
        <v>58.021442</v>
      </c>
      <c r="P551" s="166"/>
      <c r="Q551" s="166">
        <f t="shared" si="117"/>
        <v>174.06432599999999</v>
      </c>
      <c r="R551" s="71"/>
    </row>
    <row r="552" spans="1:18" s="61" customFormat="1" ht="47.25" x14ac:dyDescent="0.25">
      <c r="A552" s="358"/>
      <c r="B552" s="361"/>
      <c r="C552" s="366"/>
      <c r="D552" s="156" t="s">
        <v>36</v>
      </c>
      <c r="E552" s="156" t="s">
        <v>31</v>
      </c>
      <c r="F552" s="156" t="s">
        <v>224</v>
      </c>
      <c r="G552" s="238">
        <f>MROUND(H552*L552*I552/K552,0.00000001)</f>
        <v>2.3042880000000002E-2</v>
      </c>
      <c r="H552" s="158">
        <f t="shared" si="122"/>
        <v>36</v>
      </c>
      <c r="I552" s="159">
        <f t="shared" si="114"/>
        <v>1.6002E-4</v>
      </c>
      <c r="J552" s="160"/>
      <c r="K552" s="161">
        <f>K551</f>
        <v>3</v>
      </c>
      <c r="L552" s="250">
        <v>12</v>
      </c>
      <c r="M552" s="163" t="str">
        <f>CONCATENATE(H552," ",F552,"*",L552,"мес.","*",I552,"/",K552,"чел.")</f>
        <v>36 устройств*12мес.*0,00016002/3чел.</v>
      </c>
      <c r="N552" s="164">
        <f t="shared" si="119"/>
        <v>2200</v>
      </c>
      <c r="O552" s="165">
        <f t="shared" si="120"/>
        <v>50.694336</v>
      </c>
      <c r="P552" s="166"/>
      <c r="Q552" s="166">
        <f t="shared" si="117"/>
        <v>152.08300800000001</v>
      </c>
      <c r="R552" s="71"/>
    </row>
    <row r="553" spans="1:18" s="61" customFormat="1" ht="31.5" x14ac:dyDescent="0.25">
      <c r="A553" s="358"/>
      <c r="B553" s="361"/>
      <c r="C553" s="366"/>
      <c r="D553" s="156" t="s">
        <v>99</v>
      </c>
      <c r="E553" s="156" t="s">
        <v>103</v>
      </c>
      <c r="F553" s="156" t="s">
        <v>225</v>
      </c>
      <c r="G553" s="238">
        <f>MROUND(H553*L553*I553/K553,0.00000001)</f>
        <v>2.0269200000000001E-2</v>
      </c>
      <c r="H553" s="158">
        <f t="shared" si="122"/>
        <v>380</v>
      </c>
      <c r="I553" s="159">
        <f t="shared" si="114"/>
        <v>1.6002E-4</v>
      </c>
      <c r="J553" s="160"/>
      <c r="K553" s="161">
        <f>K552</f>
        <v>3</v>
      </c>
      <c r="L553" s="250">
        <v>1</v>
      </c>
      <c r="M553" s="163" t="str">
        <f>CONCATENATE(H553," ",F553,"*",I553,"/",K553,"чел.")</f>
        <v>380 ед.*0,00016002/3чел.</v>
      </c>
      <c r="N553" s="164">
        <f t="shared" si="119"/>
        <v>15000</v>
      </c>
      <c r="O553" s="165">
        <f t="shared" si="120"/>
        <v>304.03800000000001</v>
      </c>
      <c r="P553" s="166"/>
      <c r="Q553" s="166">
        <f t="shared" si="117"/>
        <v>912.11400000000003</v>
      </c>
      <c r="R553" s="71"/>
    </row>
    <row r="554" spans="1:18" s="61" customFormat="1" x14ac:dyDescent="0.25">
      <c r="A554" s="358"/>
      <c r="B554" s="361"/>
      <c r="C554" s="366"/>
      <c r="D554" s="156" t="s">
        <v>27</v>
      </c>
      <c r="E554" s="156" t="s">
        <v>28</v>
      </c>
      <c r="F554" s="156" t="s">
        <v>28</v>
      </c>
      <c r="G554" s="238">
        <f>MROUND(H554*L554*I554/K554,0.000000001)</f>
        <v>0.3048381</v>
      </c>
      <c r="H554" s="160">
        <f t="shared" si="122"/>
        <v>5715</v>
      </c>
      <c r="I554" s="159">
        <f t="shared" si="114"/>
        <v>1.6002E-4</v>
      </c>
      <c r="J554" s="160"/>
      <c r="K554" s="161">
        <f>K553</f>
        <v>3</v>
      </c>
      <c r="L554" s="250">
        <v>1</v>
      </c>
      <c r="M554" s="163" t="str">
        <f>CONCATENATE(H554," ",F554,"*",I554,"/",K554,"чел.")</f>
        <v>5715 шт*0,00016002/3чел.</v>
      </c>
      <c r="N554" s="164">
        <f>N194</f>
        <v>400</v>
      </c>
      <c r="O554" s="165">
        <f t="shared" si="120"/>
        <v>121.93523999999999</v>
      </c>
      <c r="P554" s="166"/>
      <c r="Q554" s="166">
        <f t="shared" si="117"/>
        <v>365.80571999999995</v>
      </c>
      <c r="R554" s="71"/>
    </row>
    <row r="555" spans="1:18" s="61" customFormat="1" ht="31.5" x14ac:dyDescent="0.25">
      <c r="A555" s="358"/>
      <c r="B555" s="361"/>
      <c r="C555" s="367"/>
      <c r="D555" s="156" t="s">
        <v>104</v>
      </c>
      <c r="E555" s="156" t="s">
        <v>105</v>
      </c>
      <c r="F555" s="156" t="s">
        <v>226</v>
      </c>
      <c r="G555" s="238">
        <f>MROUND(H555*L555*I555/K555,0.00000001)</f>
        <v>1.9202400000000001E-3</v>
      </c>
      <c r="H555" s="160">
        <f t="shared" si="122"/>
        <v>36</v>
      </c>
      <c r="I555" s="159">
        <f t="shared" si="114"/>
        <v>1.6002E-4</v>
      </c>
      <c r="J555" s="160"/>
      <c r="K555" s="161">
        <f>K554</f>
        <v>3</v>
      </c>
      <c r="L555" s="250">
        <v>1</v>
      </c>
      <c r="M555" s="163" t="str">
        <f>CONCATENATE(H555," ",F555,"*",I555,"/",K555,"чел.")</f>
        <v>36 отключений*0,00016002/3чел.</v>
      </c>
      <c r="N555" s="164">
        <f>N75</f>
        <v>9810</v>
      </c>
      <c r="O555" s="165">
        <f t="shared" si="120"/>
        <v>18.837554000000001</v>
      </c>
      <c r="P555" s="166"/>
      <c r="Q555" s="166">
        <f t="shared" si="117"/>
        <v>56.512662000000006</v>
      </c>
      <c r="R555" s="71"/>
    </row>
    <row r="556" spans="1:18" s="61" customFormat="1" x14ac:dyDescent="0.25">
      <c r="A556" s="358"/>
      <c r="B556" s="361"/>
      <c r="C556" s="249" t="s">
        <v>304</v>
      </c>
      <c r="D556" s="240"/>
      <c r="E556" s="240"/>
      <c r="F556" s="240"/>
      <c r="G556" s="227"/>
      <c r="H556" s="228"/>
      <c r="I556" s="206"/>
      <c r="J556" s="228"/>
      <c r="K556" s="207"/>
      <c r="L556" s="257"/>
      <c r="M556" s="209"/>
      <c r="N556" s="210"/>
      <c r="O556" s="198">
        <f>SUM(O540:O555)</f>
        <v>799.38314128000002</v>
      </c>
      <c r="P556" s="166"/>
      <c r="Q556" s="166"/>
      <c r="R556" s="71"/>
    </row>
    <row r="557" spans="1:18" s="61" customFormat="1" ht="31.5" x14ac:dyDescent="0.25">
      <c r="A557" s="358"/>
      <c r="B557" s="361"/>
      <c r="C557" s="221" t="s">
        <v>79</v>
      </c>
      <c r="D557" s="156" t="s">
        <v>37</v>
      </c>
      <c r="E557" s="156" t="s">
        <v>61</v>
      </c>
      <c r="F557" s="156" t="s">
        <v>227</v>
      </c>
      <c r="G557" s="238">
        <f>MROUND(H557*L557*I557/K557,0.000000001)</f>
        <v>2.1336E-4</v>
      </c>
      <c r="H557" s="158">
        <f>H77</f>
        <v>4</v>
      </c>
      <c r="I557" s="159">
        <f>I555</f>
        <v>1.6002E-4</v>
      </c>
      <c r="J557" s="160"/>
      <c r="K557" s="161">
        <f>K555</f>
        <v>3</v>
      </c>
      <c r="L557" s="250">
        <v>1</v>
      </c>
      <c r="M557" s="163" t="str">
        <f>CONCATENATE(H557," ",F557,"*",I557,"/",K557,"чел.")</f>
        <v>4 автобуса*0,00016002/3чел.</v>
      </c>
      <c r="N557" s="164">
        <f>N77</f>
        <v>93408.640000000014</v>
      </c>
      <c r="O557" s="165">
        <f>MROUND(G557*N557,0.000001)</f>
        <v>19.929666999999998</v>
      </c>
      <c r="P557" s="166"/>
      <c r="Q557" s="166">
        <f t="shared" si="117"/>
        <v>59.789000999999999</v>
      </c>
      <c r="R557" s="71"/>
    </row>
    <row r="558" spans="1:18" s="61" customFormat="1" x14ac:dyDescent="0.25">
      <c r="A558" s="358"/>
      <c r="B558" s="361"/>
      <c r="C558" s="218" t="s">
        <v>305</v>
      </c>
      <c r="D558" s="240"/>
      <c r="E558" s="240"/>
      <c r="F558" s="240"/>
      <c r="G558" s="227"/>
      <c r="H558" s="241"/>
      <c r="I558" s="206"/>
      <c r="J558" s="228"/>
      <c r="K558" s="207"/>
      <c r="L558" s="257"/>
      <c r="M558" s="209"/>
      <c r="N558" s="210"/>
      <c r="O558" s="198">
        <f>SUM(O557)</f>
        <v>19.929666999999998</v>
      </c>
      <c r="P558" s="166"/>
      <c r="Q558" s="166"/>
      <c r="R558" s="71"/>
    </row>
    <row r="559" spans="1:18" s="61" customFormat="1" x14ac:dyDescent="0.25">
      <c r="A559" s="358"/>
      <c r="B559" s="361"/>
      <c r="C559" s="364" t="s">
        <v>80</v>
      </c>
      <c r="D559" s="156" t="s">
        <v>38</v>
      </c>
      <c r="E559" s="156" t="s">
        <v>57</v>
      </c>
      <c r="F559" s="156" t="s">
        <v>228</v>
      </c>
      <c r="G559" s="238">
        <f>MROUND(H559*L559*I559/K559,0.000000001)</f>
        <v>2.3042880000000002E-2</v>
      </c>
      <c r="H559" s="158">
        <f>H79</f>
        <v>36</v>
      </c>
      <c r="I559" s="159">
        <f>I557</f>
        <v>1.6002E-4</v>
      </c>
      <c r="J559" s="160"/>
      <c r="K559" s="161">
        <f>K557</f>
        <v>3</v>
      </c>
      <c r="L559" s="250">
        <v>12</v>
      </c>
      <c r="M559" s="163" t="str">
        <f>CONCATENATE(H559," ",F559,"*",L559,"мес.","*",I559,"/",K559,"чел.")</f>
        <v>36 зданий*12мес.*0,00016002/3чел.</v>
      </c>
      <c r="N559" s="164">
        <f t="shared" ref="N559:N570" si="123">N79</f>
        <v>4694.6300000000019</v>
      </c>
      <c r="O559" s="165">
        <f>MROUND(G559*N559,0.000001)</f>
        <v>108.177796</v>
      </c>
      <c r="P559" s="166"/>
      <c r="Q559" s="166">
        <f t="shared" si="117"/>
        <v>324.533388</v>
      </c>
      <c r="R559" s="71"/>
    </row>
    <row r="560" spans="1:18" s="61" customFormat="1" ht="47.25" x14ac:dyDescent="0.25">
      <c r="A560" s="358"/>
      <c r="B560" s="361"/>
      <c r="C560" s="364"/>
      <c r="D560" s="156" t="s">
        <v>229</v>
      </c>
      <c r="E560" s="156" t="s">
        <v>60</v>
      </c>
      <c r="F560" s="156" t="s">
        <v>60</v>
      </c>
      <c r="G560" s="238">
        <f>MROUND(H560*L560*I560/K560,0.000001)</f>
        <v>0.127696</v>
      </c>
      <c r="H560" s="158">
        <f>H80</f>
        <v>2394</v>
      </c>
      <c r="I560" s="159">
        <f t="shared" si="114"/>
        <v>1.6002E-4</v>
      </c>
      <c r="J560" s="160"/>
      <c r="K560" s="161">
        <f>K559</f>
        <v>3</v>
      </c>
      <c r="L560" s="250">
        <v>1</v>
      </c>
      <c r="M560" s="163" t="str">
        <f t="shared" ref="M560:M567" si="124">CONCATENATE(H560," ",F560,"*",I560,"/",K560,"чел.")</f>
        <v>2394 шт.*0,00016002/3чел.</v>
      </c>
      <c r="N560" s="164">
        <f t="shared" si="123"/>
        <v>163.5</v>
      </c>
      <c r="O560" s="165">
        <f>MROUND(G560*N560,0.000001)</f>
        <v>20.878295999999999</v>
      </c>
      <c r="P560" s="166"/>
      <c r="Q560" s="166">
        <f t="shared" si="117"/>
        <v>62.634887999999997</v>
      </c>
      <c r="R560" s="71"/>
    </row>
    <row r="561" spans="1:18" s="61" customFormat="1" ht="47.25" x14ac:dyDescent="0.25">
      <c r="A561" s="358"/>
      <c r="B561" s="361"/>
      <c r="C561" s="364"/>
      <c r="D561" s="156" t="s">
        <v>405</v>
      </c>
      <c r="E561" s="156" t="s">
        <v>60</v>
      </c>
      <c r="F561" s="156" t="s">
        <v>406</v>
      </c>
      <c r="G561" s="238">
        <f>MROUND(H561*L561*I561/K561,0.00000001)</f>
        <v>1.9202400000000001E-3</v>
      </c>
      <c r="H561" s="158">
        <f>H321</f>
        <v>36</v>
      </c>
      <c r="I561" s="159">
        <f t="shared" si="114"/>
        <v>1.6002E-4</v>
      </c>
      <c r="J561" s="160"/>
      <c r="K561" s="161">
        <f>K560</f>
        <v>3</v>
      </c>
      <c r="L561" s="250">
        <v>1</v>
      </c>
      <c r="M561" s="163" t="str">
        <f t="shared" si="124"/>
        <v>36 лицензий*0,00016002/3чел.</v>
      </c>
      <c r="N561" s="164">
        <f t="shared" si="123"/>
        <v>11990</v>
      </c>
      <c r="O561" s="165">
        <f t="shared" ref="O561:O570" si="125">MROUND(G561*N561,0.000001)</f>
        <v>23.023678</v>
      </c>
      <c r="P561" s="166"/>
      <c r="Q561" s="166">
        <f t="shared" si="117"/>
        <v>69.071033999999997</v>
      </c>
      <c r="R561" s="71"/>
    </row>
    <row r="562" spans="1:18" s="61" customFormat="1" ht="63" x14ac:dyDescent="0.25">
      <c r="A562" s="358"/>
      <c r="B562" s="361"/>
      <c r="C562" s="364"/>
      <c r="D562" s="156" t="s">
        <v>39</v>
      </c>
      <c r="E562" s="156" t="s">
        <v>20</v>
      </c>
      <c r="F562" s="156" t="s">
        <v>234</v>
      </c>
      <c r="G562" s="238">
        <f>MROUND(H562*L562*I562/K562,0.000000001)</f>
        <v>6.2941200000000003E-3</v>
      </c>
      <c r="H562" s="158">
        <f>H82</f>
        <v>118</v>
      </c>
      <c r="I562" s="159">
        <f>I560</f>
        <v>1.6002E-4</v>
      </c>
      <c r="J562" s="160"/>
      <c r="K562" s="161">
        <f>K560</f>
        <v>3</v>
      </c>
      <c r="L562" s="250">
        <v>1</v>
      </c>
      <c r="M562" s="163" t="str">
        <f t="shared" si="124"/>
        <v>118 чел(заявленная потребность руководителями учреждений)*0,00016002/3чел.</v>
      </c>
      <c r="N562" s="164">
        <f t="shared" si="123"/>
        <v>763</v>
      </c>
      <c r="O562" s="165">
        <f t="shared" si="125"/>
        <v>4.8024139999999997</v>
      </c>
      <c r="P562" s="166"/>
      <c r="Q562" s="166">
        <f t="shared" si="117"/>
        <v>14.407242</v>
      </c>
      <c r="R562" s="71"/>
    </row>
    <row r="563" spans="1:18" s="61" customFormat="1" ht="63" x14ac:dyDescent="0.25">
      <c r="A563" s="358"/>
      <c r="B563" s="361"/>
      <c r="C563" s="364"/>
      <c r="D563" s="156" t="s">
        <v>40</v>
      </c>
      <c r="E563" s="156" t="s">
        <v>20</v>
      </c>
      <c r="F563" s="156" t="s">
        <v>234</v>
      </c>
      <c r="G563" s="238">
        <f>MROUND(H563*L563*I563/K563,0.000000001)</f>
        <v>5.2806600000000004E-3</v>
      </c>
      <c r="H563" s="158">
        <f>H83</f>
        <v>99</v>
      </c>
      <c r="I563" s="159">
        <f t="shared" si="114"/>
        <v>1.6002E-4</v>
      </c>
      <c r="J563" s="160"/>
      <c r="K563" s="161">
        <f t="shared" ref="K563:K570" si="126">K562</f>
        <v>3</v>
      </c>
      <c r="L563" s="250">
        <v>1</v>
      </c>
      <c r="M563" s="163" t="str">
        <f t="shared" si="124"/>
        <v>99 чел(заявленная потребность руководителями учреждений)*0,00016002/3чел.</v>
      </c>
      <c r="N563" s="164">
        <f t="shared" si="123"/>
        <v>1585.4545454545455</v>
      </c>
      <c r="O563" s="165">
        <f t="shared" si="125"/>
        <v>8.3722459999999987</v>
      </c>
      <c r="P563" s="166"/>
      <c r="Q563" s="166">
        <f t="shared" si="117"/>
        <v>25.116737999999998</v>
      </c>
      <c r="R563" s="71"/>
    </row>
    <row r="564" spans="1:18" s="61" customFormat="1" ht="63" x14ac:dyDescent="0.25">
      <c r="A564" s="358"/>
      <c r="B564" s="361"/>
      <c r="C564" s="364"/>
      <c r="D564" s="156" t="s">
        <v>100</v>
      </c>
      <c r="E564" s="156" t="s">
        <v>20</v>
      </c>
      <c r="F564" s="156" t="s">
        <v>234</v>
      </c>
      <c r="G564" s="238">
        <f>MROUND(H564*L564*I564/K564,0.0000000001)</f>
        <v>4.3205400000000003E-3</v>
      </c>
      <c r="H564" s="158">
        <f>H84</f>
        <v>81</v>
      </c>
      <c r="I564" s="159">
        <f t="shared" si="114"/>
        <v>1.6002E-4</v>
      </c>
      <c r="J564" s="160"/>
      <c r="K564" s="161">
        <f t="shared" si="126"/>
        <v>3</v>
      </c>
      <c r="L564" s="250">
        <v>1</v>
      </c>
      <c r="M564" s="163" t="str">
        <f t="shared" si="124"/>
        <v>81 чел(заявленная потребность руководителями учреждений)*0,00016002/3чел.</v>
      </c>
      <c r="N564" s="164">
        <f t="shared" si="123"/>
        <v>3488</v>
      </c>
      <c r="O564" s="165">
        <f t="shared" si="125"/>
        <v>15.070043999999999</v>
      </c>
      <c r="P564" s="166"/>
      <c r="Q564" s="166">
        <f t="shared" si="117"/>
        <v>45.210132000000002</v>
      </c>
      <c r="R564" s="71"/>
    </row>
    <row r="565" spans="1:18" s="61" customFormat="1" ht="110.25" x14ac:dyDescent="0.25">
      <c r="A565" s="358"/>
      <c r="B565" s="361"/>
      <c r="C565" s="364"/>
      <c r="D565" s="156" t="s">
        <v>235</v>
      </c>
      <c r="E565" s="156" t="s">
        <v>50</v>
      </c>
      <c r="F565" s="156" t="s">
        <v>230</v>
      </c>
      <c r="G565" s="238">
        <f>MROUND(H565*L565*I565/K565,0.00000001)</f>
        <v>1.9202400000000001E-3</v>
      </c>
      <c r="H565" s="158">
        <f>H325</f>
        <v>36</v>
      </c>
      <c r="I565" s="159">
        <f t="shared" si="114"/>
        <v>1.6002E-4</v>
      </c>
      <c r="J565" s="160"/>
      <c r="K565" s="161">
        <f t="shared" si="126"/>
        <v>3</v>
      </c>
      <c r="L565" s="250">
        <v>1</v>
      </c>
      <c r="M565" s="163" t="str">
        <f t="shared" si="124"/>
        <v>36 отчетов*0,00016002/3чел.</v>
      </c>
      <c r="N565" s="164">
        <f t="shared" si="123"/>
        <v>6540</v>
      </c>
      <c r="O565" s="165">
        <f t="shared" si="125"/>
        <v>12.55837</v>
      </c>
      <c r="P565" s="166"/>
      <c r="Q565" s="166">
        <f t="shared" si="117"/>
        <v>37.675110000000004</v>
      </c>
      <c r="R565" s="71"/>
    </row>
    <row r="566" spans="1:18" s="61" customFormat="1" ht="63" x14ac:dyDescent="0.25">
      <c r="A566" s="358"/>
      <c r="B566" s="361"/>
      <c r="C566" s="364"/>
      <c r="D566" s="156" t="s">
        <v>42</v>
      </c>
      <c r="E566" s="156" t="s">
        <v>51</v>
      </c>
      <c r="F566" s="156" t="s">
        <v>407</v>
      </c>
      <c r="G566" s="238">
        <f>MROUND(H566*L566*I566/K566,0.000001)</f>
        <v>1.0881E-2</v>
      </c>
      <c r="H566" s="158">
        <f>H86</f>
        <v>204</v>
      </c>
      <c r="I566" s="159">
        <f t="shared" si="114"/>
        <v>1.6002E-4</v>
      </c>
      <c r="J566" s="160"/>
      <c r="K566" s="161">
        <f t="shared" si="126"/>
        <v>3</v>
      </c>
      <c r="L566" s="250">
        <v>1</v>
      </c>
      <c r="M566" s="163" t="str">
        <f t="shared" si="124"/>
        <v>204 ед (заявленная потребность руководителями учреждений)*0,00016002/3чел.</v>
      </c>
      <c r="N566" s="164">
        <f t="shared" si="123"/>
        <v>1090</v>
      </c>
      <c r="O566" s="165">
        <f t="shared" si="125"/>
        <v>11.860289999999999</v>
      </c>
      <c r="P566" s="166"/>
      <c r="Q566" s="166">
        <f t="shared" si="117"/>
        <v>35.580869999999997</v>
      </c>
      <c r="R566" s="71"/>
    </row>
    <row r="567" spans="1:18" s="61" customFormat="1" ht="31.5" x14ac:dyDescent="0.25">
      <c r="A567" s="358"/>
      <c r="B567" s="361"/>
      <c r="C567" s="364"/>
      <c r="D567" s="156" t="s">
        <v>43</v>
      </c>
      <c r="E567" s="156" t="s">
        <v>52</v>
      </c>
      <c r="F567" s="156" t="s">
        <v>231</v>
      </c>
      <c r="G567" s="238">
        <f>MROUND(H567*L567*I567/K567,0.000000001)</f>
        <v>1.9202400000000001E-3</v>
      </c>
      <c r="H567" s="158">
        <f>H87</f>
        <v>36</v>
      </c>
      <c r="I567" s="159">
        <f t="shared" si="114"/>
        <v>1.6002E-4</v>
      </c>
      <c r="J567" s="160"/>
      <c r="K567" s="161">
        <f t="shared" si="126"/>
        <v>3</v>
      </c>
      <c r="L567" s="250">
        <v>1</v>
      </c>
      <c r="M567" s="163" t="str">
        <f t="shared" si="124"/>
        <v>36 ЭЦП*0,00016002/3чел.</v>
      </c>
      <c r="N567" s="164">
        <f t="shared" si="123"/>
        <v>7743.3599999999924</v>
      </c>
      <c r="O567" s="165">
        <f t="shared" si="125"/>
        <v>14.869109999999999</v>
      </c>
      <c r="P567" s="166"/>
      <c r="Q567" s="166">
        <f t="shared" si="117"/>
        <v>44.607329999999997</v>
      </c>
      <c r="R567" s="71"/>
    </row>
    <row r="568" spans="1:18" s="61" customFormat="1" ht="47.25" x14ac:dyDescent="0.25">
      <c r="A568" s="358"/>
      <c r="B568" s="361"/>
      <c r="C568" s="364"/>
      <c r="D568" s="156" t="s">
        <v>44</v>
      </c>
      <c r="E568" s="156" t="s">
        <v>85</v>
      </c>
      <c r="F568" s="156" t="s">
        <v>232</v>
      </c>
      <c r="G568" s="238">
        <f>MROUND(H568*L568*I568/K568,0.000001)</f>
        <v>6.4861000000000002E-2</v>
      </c>
      <c r="H568" s="158">
        <f>H88</f>
        <v>1216</v>
      </c>
      <c r="I568" s="159">
        <f t="shared" si="114"/>
        <v>1.6002E-4</v>
      </c>
      <c r="J568" s="160"/>
      <c r="K568" s="161">
        <f t="shared" si="126"/>
        <v>3</v>
      </c>
      <c r="L568" s="250">
        <v>1</v>
      </c>
      <c r="M568" s="163" t="str">
        <f>CONCATENATE(H568," ",F568,"*",L568,"мес.","*",I568,"/",K568,"чел.")</f>
        <v>1216 мед.осмотров в мес.*1мес.*0,00016002/3чел.</v>
      </c>
      <c r="N568" s="164">
        <f t="shared" si="123"/>
        <v>56.680000000000007</v>
      </c>
      <c r="O568" s="165">
        <f t="shared" si="125"/>
        <v>3.6763209999999997</v>
      </c>
      <c r="P568" s="166"/>
      <c r="Q568" s="166">
        <f t="shared" si="117"/>
        <v>11.028962999999999</v>
      </c>
      <c r="R568" s="71"/>
    </row>
    <row r="569" spans="1:18" s="61" customFormat="1" ht="63" x14ac:dyDescent="0.25">
      <c r="A569" s="358"/>
      <c r="B569" s="361"/>
      <c r="C569" s="364"/>
      <c r="D569" s="156" t="s">
        <v>45</v>
      </c>
      <c r="E569" s="156" t="s">
        <v>53</v>
      </c>
      <c r="F569" s="156" t="s">
        <v>233</v>
      </c>
      <c r="G569" s="238">
        <f>MROUND(H569*L569*I569/K569,0.000000001)</f>
        <v>2.56032E-3</v>
      </c>
      <c r="H569" s="158">
        <f>H89</f>
        <v>4</v>
      </c>
      <c r="I569" s="159">
        <f t="shared" si="114"/>
        <v>1.6002E-4</v>
      </c>
      <c r="J569" s="160"/>
      <c r="K569" s="161">
        <f t="shared" si="126"/>
        <v>3</v>
      </c>
      <c r="L569" s="250">
        <v>12</v>
      </c>
      <c r="M569" s="163" t="str">
        <f>CONCATENATE(H569," ",F569,"*",L569,"мес.","*",I569,"/",K569,"чел.")</f>
        <v>4  машины, оборудованных системой ГЛОНАСС*12мес.*0,00016002/3чел.</v>
      </c>
      <c r="N569" s="164">
        <f t="shared" si="123"/>
        <v>880.71999999999991</v>
      </c>
      <c r="O569" s="165">
        <f t="shared" si="125"/>
        <v>2.2549250000000001</v>
      </c>
      <c r="P569" s="166"/>
      <c r="Q569" s="166">
        <f t="shared" si="117"/>
        <v>6.7647750000000002</v>
      </c>
      <c r="R569" s="71"/>
    </row>
    <row r="570" spans="1:18" s="61" customFormat="1" ht="31.5" x14ac:dyDescent="0.25">
      <c r="A570" s="358"/>
      <c r="B570" s="361"/>
      <c r="C570" s="364"/>
      <c r="D570" s="156" t="s">
        <v>408</v>
      </c>
      <c r="E570" s="156" t="s">
        <v>20</v>
      </c>
      <c r="F570" s="156" t="s">
        <v>20</v>
      </c>
      <c r="G570" s="238">
        <f>MROUND(H570*L570*I570/K570,0.000000001)</f>
        <v>9.131808000000001E-2</v>
      </c>
      <c r="H570" s="158">
        <f>H90</f>
        <v>1712</v>
      </c>
      <c r="I570" s="159">
        <f t="shared" si="114"/>
        <v>1.6002E-4</v>
      </c>
      <c r="J570" s="160"/>
      <c r="K570" s="161">
        <f t="shared" si="126"/>
        <v>3</v>
      </c>
      <c r="L570" s="250">
        <v>1</v>
      </c>
      <c r="M570" s="163" t="str">
        <f>CONCATENATE(H570," ",F570,"*",L570," раз в год","*",I570,"/",K570,"чел.")</f>
        <v>1712 чел.*1 раз в год*0,00016002/3чел.</v>
      </c>
      <c r="N570" s="164">
        <f t="shared" si="123"/>
        <v>545</v>
      </c>
      <c r="O570" s="165">
        <f t="shared" si="125"/>
        <v>49.768353999999995</v>
      </c>
      <c r="P570" s="166"/>
      <c r="Q570" s="166">
        <f t="shared" si="117"/>
        <v>149.30506199999999</v>
      </c>
      <c r="R570" s="71"/>
    </row>
    <row r="571" spans="1:18" s="61" customFormat="1" x14ac:dyDescent="0.25">
      <c r="A571" s="358"/>
      <c r="B571" s="361"/>
      <c r="C571" s="364"/>
      <c r="D571" s="156" t="s">
        <v>373</v>
      </c>
      <c r="E571" s="156" t="s">
        <v>28</v>
      </c>
      <c r="F571" s="156" t="s">
        <v>28</v>
      </c>
      <c r="G571" s="157">
        <f>MROUND(H571*L571*I571/K571,0.000000001)</f>
        <v>1.9202400000000001E-3</v>
      </c>
      <c r="H571" s="158">
        <f>H92</f>
        <v>36</v>
      </c>
      <c r="I571" s="159">
        <f>I569</f>
        <v>1.6002E-4</v>
      </c>
      <c r="J571" s="160"/>
      <c r="K571" s="161">
        <f>K569</f>
        <v>3</v>
      </c>
      <c r="L571" s="162">
        <v>1</v>
      </c>
      <c r="M571" s="163" t="str">
        <f>CONCATENATE(H571," ",F571,"*",L571,"мес.","*",I571,"/",K571,"чел.")</f>
        <v>36 шт*1мес.*0,00016002/3чел.</v>
      </c>
      <c r="N571" s="164">
        <f>N92</f>
        <v>24000</v>
      </c>
      <c r="O571" s="165">
        <f>MROUND(G571*N571,0.000000001)</f>
        <v>46.085760000000001</v>
      </c>
      <c r="P571" s="166"/>
      <c r="Q571" s="166">
        <f t="shared" si="117"/>
        <v>138.25728000000001</v>
      </c>
      <c r="R571" s="71"/>
    </row>
    <row r="572" spans="1:18" s="61" customFormat="1" ht="31.5" x14ac:dyDescent="0.25">
      <c r="A572" s="358"/>
      <c r="B572" s="361"/>
      <c r="C572" s="364"/>
      <c r="D572" s="156" t="s">
        <v>106</v>
      </c>
      <c r="E572" s="156" t="s">
        <v>107</v>
      </c>
      <c r="F572" s="156"/>
      <c r="G572" s="238">
        <f>MROUND(H572*L572*I572/K572,0.000000001)</f>
        <v>0</v>
      </c>
      <c r="H572" s="158">
        <f>H91</f>
        <v>0</v>
      </c>
      <c r="I572" s="159">
        <f>I569</f>
        <v>1.6002E-4</v>
      </c>
      <c r="J572" s="160"/>
      <c r="K572" s="161">
        <f>K569</f>
        <v>3</v>
      </c>
      <c r="L572" s="250">
        <f>L91</f>
        <v>0</v>
      </c>
      <c r="M572" s="163"/>
      <c r="N572" s="164">
        <f>N91</f>
        <v>1256.0400600000007</v>
      </c>
      <c r="O572" s="165">
        <f>MROUND(G572*N572,0.000000001)</f>
        <v>0</v>
      </c>
      <c r="P572" s="166"/>
      <c r="Q572" s="166">
        <f t="shared" si="117"/>
        <v>0</v>
      </c>
      <c r="R572" s="71"/>
    </row>
    <row r="573" spans="1:18" s="61" customFormat="1" x14ac:dyDescent="0.25">
      <c r="A573" s="358"/>
      <c r="B573" s="361"/>
      <c r="C573" s="245" t="s">
        <v>296</v>
      </c>
      <c r="D573" s="240"/>
      <c r="E573" s="240"/>
      <c r="F573" s="240"/>
      <c r="G573" s="227"/>
      <c r="H573" s="241"/>
      <c r="I573" s="206"/>
      <c r="J573" s="228"/>
      <c r="K573" s="207"/>
      <c r="L573" s="257"/>
      <c r="M573" s="209"/>
      <c r="N573" s="210"/>
      <c r="O573" s="198">
        <f>SUM(O559:O572)</f>
        <v>321.39760399999994</v>
      </c>
      <c r="P573" s="166"/>
      <c r="Q573" s="166"/>
      <c r="R573" s="71"/>
    </row>
    <row r="574" spans="1:18" s="61" customFormat="1" ht="31.5" x14ac:dyDescent="0.25">
      <c r="A574" s="358"/>
      <c r="B574" s="361"/>
      <c r="C574" s="252" t="s">
        <v>237</v>
      </c>
      <c r="D574" s="156" t="s">
        <v>41</v>
      </c>
      <c r="E574" s="156" t="s">
        <v>61</v>
      </c>
      <c r="F574" s="156" t="s">
        <v>227</v>
      </c>
      <c r="G574" s="238">
        <f>MROUND(H574*L574*I574/K574,0.000000001)</f>
        <v>2.1336E-4</v>
      </c>
      <c r="H574" s="158">
        <f>H94</f>
        <v>4</v>
      </c>
      <c r="I574" s="159">
        <f>I572</f>
        <v>1.6002E-4</v>
      </c>
      <c r="J574" s="160"/>
      <c r="K574" s="161">
        <f>K572</f>
        <v>3</v>
      </c>
      <c r="L574" s="250">
        <v>1</v>
      </c>
      <c r="M574" s="163" t="str">
        <f>CONCATENATE(H574," ",F574,"*",I574,"/",K574,"чел.")</f>
        <v>4 автобуса*0,00016002/3чел.</v>
      </c>
      <c r="N574" s="164">
        <f>N94</f>
        <v>25724</v>
      </c>
      <c r="O574" s="165">
        <f>MROUND(G574*N574,0.000001)</f>
        <v>5.4884729999999999</v>
      </c>
      <c r="P574" s="166"/>
      <c r="Q574" s="166">
        <f t="shared" si="117"/>
        <v>16.465419000000001</v>
      </c>
      <c r="R574" s="71"/>
    </row>
    <row r="575" spans="1:18" s="61" customFormat="1" x14ac:dyDescent="0.25">
      <c r="A575" s="358"/>
      <c r="B575" s="361"/>
      <c r="C575" s="245" t="s">
        <v>297</v>
      </c>
      <c r="D575" s="240"/>
      <c r="E575" s="240"/>
      <c r="F575" s="240"/>
      <c r="G575" s="227"/>
      <c r="H575" s="241"/>
      <c r="I575" s="206"/>
      <c r="J575" s="228"/>
      <c r="K575" s="207"/>
      <c r="L575" s="257"/>
      <c r="M575" s="209"/>
      <c r="N575" s="210"/>
      <c r="O575" s="198">
        <f>SUM(O574)</f>
        <v>5.4884729999999999</v>
      </c>
      <c r="P575" s="166"/>
      <c r="Q575" s="166"/>
      <c r="R575" s="71"/>
    </row>
    <row r="576" spans="1:18" s="61" customFormat="1" ht="78.75" x14ac:dyDescent="0.25">
      <c r="A576" s="358"/>
      <c r="B576" s="361"/>
      <c r="C576" s="221" t="s">
        <v>236</v>
      </c>
      <c r="D576" s="156" t="s">
        <v>19</v>
      </c>
      <c r="E576" s="181" t="s">
        <v>20</v>
      </c>
      <c r="F576" s="181" t="s">
        <v>238</v>
      </c>
      <c r="G576" s="238">
        <f>MROUND(H576*L576*I576/K576,0.000001)</f>
        <v>0</v>
      </c>
      <c r="H576" s="158"/>
      <c r="I576" s="159">
        <f>I572</f>
        <v>1.6002E-4</v>
      </c>
      <c r="J576" s="160"/>
      <c r="K576" s="161">
        <f>K572</f>
        <v>3</v>
      </c>
      <c r="L576" s="250"/>
      <c r="M576" s="163"/>
      <c r="N576" s="164"/>
      <c r="O576" s="165">
        <f>MROUND(G576*N576,0.000001)</f>
        <v>0</v>
      </c>
      <c r="P576" s="166"/>
      <c r="Q576" s="166">
        <f t="shared" si="117"/>
        <v>0</v>
      </c>
      <c r="R576" s="71"/>
    </row>
    <row r="577" spans="1:18" s="62" customFormat="1" x14ac:dyDescent="0.25">
      <c r="A577" s="358"/>
      <c r="B577" s="361"/>
      <c r="C577" s="245" t="s">
        <v>298</v>
      </c>
      <c r="D577" s="240"/>
      <c r="E577" s="253"/>
      <c r="F577" s="253"/>
      <c r="G577" s="227"/>
      <c r="H577" s="241"/>
      <c r="I577" s="206"/>
      <c r="J577" s="228"/>
      <c r="K577" s="207"/>
      <c r="L577" s="257"/>
      <c r="M577" s="209"/>
      <c r="N577" s="210"/>
      <c r="O577" s="198">
        <f>SUM(O576)</f>
        <v>0</v>
      </c>
      <c r="P577" s="267"/>
      <c r="Q577" s="166"/>
      <c r="R577" s="71"/>
    </row>
    <row r="578" spans="1:18" s="61" customFormat="1" ht="30" x14ac:dyDescent="0.25">
      <c r="A578" s="358"/>
      <c r="B578" s="361"/>
      <c r="C578" s="365" t="s">
        <v>81</v>
      </c>
      <c r="D578" s="254" t="s">
        <v>410</v>
      </c>
      <c r="E578" s="156" t="s">
        <v>28</v>
      </c>
      <c r="F578" s="156" t="s">
        <v>28</v>
      </c>
      <c r="G578" s="238">
        <f>MROUND(H578*L578*I578/K578,0.0000000001)</f>
        <v>3.7338000000000003E-4</v>
      </c>
      <c r="H578" s="158">
        <f>H98</f>
        <v>7</v>
      </c>
      <c r="I578" s="159">
        <f>I572</f>
        <v>1.6002E-4</v>
      </c>
      <c r="J578" s="160"/>
      <c r="K578" s="161">
        <f>K572</f>
        <v>3</v>
      </c>
      <c r="L578" s="250">
        <v>1</v>
      </c>
      <c r="M578" s="163" t="str">
        <f>CONCATENATE(H578," ",F578,"*",I578,"/",K578,"чел.")</f>
        <v>7 шт*0,00016002/3чел.</v>
      </c>
      <c r="N578" s="164">
        <f>N98</f>
        <v>152142.85714285713</v>
      </c>
      <c r="O578" s="165">
        <f>MROUND(G578*N578,0.000001)</f>
        <v>56.807099999999998</v>
      </c>
      <c r="P578" s="166"/>
      <c r="Q578" s="166">
        <f t="shared" si="117"/>
        <v>170.4213</v>
      </c>
      <c r="R578" s="71"/>
    </row>
    <row r="579" spans="1:18" s="61" customFormat="1" x14ac:dyDescent="0.25">
      <c r="A579" s="358"/>
      <c r="B579" s="361"/>
      <c r="C579" s="366"/>
      <c r="D579" s="254" t="s">
        <v>325</v>
      </c>
      <c r="E579" s="156" t="s">
        <v>28</v>
      </c>
      <c r="F579" s="156" t="s">
        <v>28</v>
      </c>
      <c r="G579" s="157">
        <f>MROUND(H579*L579*I579/K579,0.0000000001)</f>
        <v>1.22682E-3</v>
      </c>
      <c r="H579" s="158">
        <f>$H$99</f>
        <v>23</v>
      </c>
      <c r="I579" s="159">
        <f>I578</f>
        <v>1.6002E-4</v>
      </c>
      <c r="J579" s="160"/>
      <c r="K579" s="161">
        <f>K578</f>
        <v>3</v>
      </c>
      <c r="L579" s="250">
        <v>1</v>
      </c>
      <c r="M579" s="163" t="str">
        <f>CONCATENATE(H579," ",F579,"*",I579,"/",K579,"чел.")</f>
        <v>23 шт*0,00016002/3чел.</v>
      </c>
      <c r="N579" s="164">
        <f>$N$99</f>
        <v>229039.13043478262</v>
      </c>
      <c r="O579" s="165">
        <f>MROUND(G579*N579,0.000001)</f>
        <v>280.98978599999998</v>
      </c>
      <c r="P579" s="166"/>
      <c r="Q579" s="166">
        <f t="shared" si="117"/>
        <v>842.96935799999994</v>
      </c>
      <c r="R579" s="71"/>
    </row>
    <row r="580" spans="1:18" s="61" customFormat="1" ht="30" x14ac:dyDescent="0.25">
      <c r="A580" s="358"/>
      <c r="B580" s="361"/>
      <c r="C580" s="366"/>
      <c r="D580" s="254" t="s">
        <v>411</v>
      </c>
      <c r="E580" s="156" t="s">
        <v>28</v>
      </c>
      <c r="F580" s="156" t="s">
        <v>28</v>
      </c>
      <c r="G580" s="238">
        <f>MROUND(H580*L580*I580/K580,0.00000001)</f>
        <v>3.7338000000000003E-4</v>
      </c>
      <c r="H580" s="158">
        <f>$H$100</f>
        <v>7</v>
      </c>
      <c r="I580" s="159">
        <f>I578</f>
        <v>1.6002E-4</v>
      </c>
      <c r="J580" s="160"/>
      <c r="K580" s="161">
        <f>K578</f>
        <v>3</v>
      </c>
      <c r="L580" s="250">
        <v>1</v>
      </c>
      <c r="M580" s="163" t="str">
        <f t="shared" ref="M580:M601" si="127">CONCATENATE(H580," ",F580,"*",I580,"/",K580,"чел.")</f>
        <v>7 шт*0,00016002/3чел.</v>
      </c>
      <c r="N580" s="164">
        <f t="shared" ref="N580:N601" si="128">N100</f>
        <v>82142.857142857145</v>
      </c>
      <c r="O580" s="165">
        <f t="shared" ref="O580:O601" si="129">MROUND(G580*N580,0.000001)</f>
        <v>30.670499999999997</v>
      </c>
      <c r="P580" s="166"/>
      <c r="Q580" s="166">
        <f t="shared" si="117"/>
        <v>92.011499999999984</v>
      </c>
      <c r="R580" s="71"/>
    </row>
    <row r="581" spans="1:18" s="61" customFormat="1" x14ac:dyDescent="0.25">
      <c r="A581" s="358"/>
      <c r="B581" s="361"/>
      <c r="C581" s="366"/>
      <c r="D581" s="255" t="s">
        <v>412</v>
      </c>
      <c r="E581" s="156" t="s">
        <v>28</v>
      </c>
      <c r="F581" s="156" t="s">
        <v>28</v>
      </c>
      <c r="G581" s="238">
        <f>MROUND(H581*L581*I581/K581,0.00000001)</f>
        <v>1.8669000000000001E-3</v>
      </c>
      <c r="H581" s="158">
        <f>$H$101</f>
        <v>35</v>
      </c>
      <c r="I581" s="159">
        <f>I580</f>
        <v>1.6002E-4</v>
      </c>
      <c r="J581" s="160"/>
      <c r="K581" s="161">
        <f>K580</f>
        <v>3</v>
      </c>
      <c r="L581" s="250">
        <v>1</v>
      </c>
      <c r="M581" s="163" t="str">
        <f t="shared" si="127"/>
        <v>35 шт*0,00016002/3чел.</v>
      </c>
      <c r="N581" s="164">
        <f t="shared" si="128"/>
        <v>126114.97142857143</v>
      </c>
      <c r="O581" s="165">
        <f t="shared" si="129"/>
        <v>235.44404</v>
      </c>
      <c r="P581" s="166"/>
      <c r="Q581" s="166">
        <f t="shared" si="117"/>
        <v>706.33212000000003</v>
      </c>
      <c r="R581" s="71"/>
    </row>
    <row r="582" spans="1:18" s="61" customFormat="1" ht="31.5" x14ac:dyDescent="0.25">
      <c r="A582" s="358"/>
      <c r="B582" s="361"/>
      <c r="C582" s="366"/>
      <c r="D582" s="255" t="s">
        <v>413</v>
      </c>
      <c r="E582" s="156" t="s">
        <v>28</v>
      </c>
      <c r="F582" s="156" t="s">
        <v>28</v>
      </c>
      <c r="G582" s="238">
        <f>MROUND(H582*L582*I582/K582,0.0000000001)</f>
        <v>8.0009999999999999E-4</v>
      </c>
      <c r="H582" s="158">
        <f>H102</f>
        <v>15</v>
      </c>
      <c r="I582" s="159">
        <f>I581</f>
        <v>1.6002E-4</v>
      </c>
      <c r="J582" s="160"/>
      <c r="K582" s="161">
        <f>K581</f>
        <v>3</v>
      </c>
      <c r="L582" s="250">
        <v>1</v>
      </c>
      <c r="M582" s="163" t="str">
        <f t="shared" si="127"/>
        <v>15 шт*0,00016002/3чел.</v>
      </c>
      <c r="N582" s="164">
        <f t="shared" si="128"/>
        <v>75333.333333333328</v>
      </c>
      <c r="O582" s="165">
        <f t="shared" si="129"/>
        <v>60.2742</v>
      </c>
      <c r="P582" s="166"/>
      <c r="Q582" s="166">
        <f t="shared" si="117"/>
        <v>180.82259999999999</v>
      </c>
      <c r="R582" s="71"/>
    </row>
    <row r="583" spans="1:18" s="61" customFormat="1" x14ac:dyDescent="0.25">
      <c r="A583" s="358"/>
      <c r="B583" s="361"/>
      <c r="C583" s="366"/>
      <c r="D583" s="254" t="s">
        <v>109</v>
      </c>
      <c r="E583" s="156" t="s">
        <v>28</v>
      </c>
      <c r="F583" s="156" t="s">
        <v>28</v>
      </c>
      <c r="G583" s="238">
        <f>MROUND(H583*L583*I583/K583,0.0000000001)</f>
        <v>8.5344000000000001E-4</v>
      </c>
      <c r="H583" s="158">
        <f>$H$103</f>
        <v>16</v>
      </c>
      <c r="I583" s="159">
        <f>I582</f>
        <v>1.6002E-4</v>
      </c>
      <c r="J583" s="160"/>
      <c r="K583" s="161">
        <f>K582</f>
        <v>3</v>
      </c>
      <c r="L583" s="250">
        <v>1</v>
      </c>
      <c r="M583" s="163" t="str">
        <f t="shared" si="127"/>
        <v>16 шт*0,00016002/3чел.</v>
      </c>
      <c r="N583" s="164">
        <f t="shared" si="128"/>
        <v>169687.5</v>
      </c>
      <c r="O583" s="165">
        <f t="shared" si="129"/>
        <v>144.81809999999999</v>
      </c>
      <c r="P583" s="166"/>
      <c r="Q583" s="166">
        <f t="shared" si="117"/>
        <v>434.45429999999999</v>
      </c>
      <c r="R583" s="71"/>
    </row>
    <row r="584" spans="1:18" s="61" customFormat="1" x14ac:dyDescent="0.25">
      <c r="A584" s="358"/>
      <c r="B584" s="361"/>
      <c r="C584" s="366"/>
      <c r="D584" s="254" t="s">
        <v>414</v>
      </c>
      <c r="E584" s="156" t="s">
        <v>28</v>
      </c>
      <c r="F584" s="156" t="s">
        <v>28</v>
      </c>
      <c r="G584" s="238">
        <f>MROUND(H584*L584*I584/K584,0.0000000001)</f>
        <v>4.8006000000000004E-4</v>
      </c>
      <c r="H584" s="158">
        <f>$H$104</f>
        <v>9</v>
      </c>
      <c r="I584" s="159">
        <f>I582</f>
        <v>1.6002E-4</v>
      </c>
      <c r="J584" s="160"/>
      <c r="K584" s="161">
        <f>K582</f>
        <v>3</v>
      </c>
      <c r="L584" s="250">
        <v>1</v>
      </c>
      <c r="M584" s="163" t="str">
        <f t="shared" si="127"/>
        <v>9 шт*0,00016002/3чел.</v>
      </c>
      <c r="N584" s="164">
        <f t="shared" si="128"/>
        <v>89333.333333333328</v>
      </c>
      <c r="O584" s="165">
        <f t="shared" si="129"/>
        <v>42.885359999999999</v>
      </c>
      <c r="P584" s="166"/>
      <c r="Q584" s="166">
        <f t="shared" si="117"/>
        <v>128.65608</v>
      </c>
      <c r="R584" s="71"/>
    </row>
    <row r="585" spans="1:18" s="61" customFormat="1" x14ac:dyDescent="0.25">
      <c r="A585" s="358"/>
      <c r="B585" s="361"/>
      <c r="C585" s="366"/>
      <c r="D585" s="254" t="s">
        <v>415</v>
      </c>
      <c r="E585" s="156" t="s">
        <v>28</v>
      </c>
      <c r="F585" s="156" t="s">
        <v>28</v>
      </c>
      <c r="G585" s="238">
        <f>MROUND(H585*L585*I585/K585,0.00000001)</f>
        <v>5.8673999999999998E-4</v>
      </c>
      <c r="H585" s="158">
        <f>$H$105</f>
        <v>11</v>
      </c>
      <c r="I585" s="159">
        <f t="shared" ref="I585:I594" si="130">I583</f>
        <v>1.6002E-4</v>
      </c>
      <c r="J585" s="160"/>
      <c r="K585" s="161">
        <f t="shared" ref="K585:K594" si="131">K583</f>
        <v>3</v>
      </c>
      <c r="L585" s="250">
        <v>1</v>
      </c>
      <c r="M585" s="163" t="str">
        <f t="shared" si="127"/>
        <v>11 шт*0,00016002/3чел.</v>
      </c>
      <c r="N585" s="164">
        <f t="shared" si="128"/>
        <v>122181.81818181818</v>
      </c>
      <c r="O585" s="165">
        <f t="shared" si="129"/>
        <v>71.688959999999994</v>
      </c>
      <c r="P585" s="166"/>
      <c r="Q585" s="166">
        <f t="shared" si="117"/>
        <v>215.06687999999997</v>
      </c>
      <c r="R585" s="71"/>
    </row>
    <row r="586" spans="1:18" s="61" customFormat="1" x14ac:dyDescent="0.25">
      <c r="A586" s="358"/>
      <c r="B586" s="361"/>
      <c r="C586" s="366"/>
      <c r="D586" s="254" t="s">
        <v>416</v>
      </c>
      <c r="E586" s="156" t="s">
        <v>28</v>
      </c>
      <c r="F586" s="156" t="s">
        <v>28</v>
      </c>
      <c r="G586" s="238">
        <f>MROUND(H586*L586*I586/K586,0.000000001)</f>
        <v>1.0668000000000001E-3</v>
      </c>
      <c r="H586" s="246">
        <f>$H$106</f>
        <v>20</v>
      </c>
      <c r="I586" s="159">
        <f t="shared" si="130"/>
        <v>1.6002E-4</v>
      </c>
      <c r="J586" s="160"/>
      <c r="K586" s="161">
        <f t="shared" si="131"/>
        <v>3</v>
      </c>
      <c r="L586" s="250">
        <v>1</v>
      </c>
      <c r="M586" s="163" t="str">
        <f t="shared" si="127"/>
        <v>20 шт*0,00016002/3чел.</v>
      </c>
      <c r="N586" s="164">
        <f t="shared" si="128"/>
        <v>52500</v>
      </c>
      <c r="O586" s="165">
        <f t="shared" si="129"/>
        <v>56.006999999999998</v>
      </c>
      <c r="P586" s="166"/>
      <c r="Q586" s="166">
        <f t="shared" si="117"/>
        <v>168.02099999999999</v>
      </c>
      <c r="R586" s="71"/>
    </row>
    <row r="587" spans="1:18" s="61" customFormat="1" x14ac:dyDescent="0.25">
      <c r="A587" s="358"/>
      <c r="B587" s="361"/>
      <c r="C587" s="366"/>
      <c r="D587" s="254" t="s">
        <v>417</v>
      </c>
      <c r="E587" s="156" t="s">
        <v>28</v>
      </c>
      <c r="F587" s="156" t="s">
        <v>28</v>
      </c>
      <c r="G587" s="238">
        <f>MROUND(H587*L587*I587/K587,0.00000001)</f>
        <v>9.0678000000000004E-4</v>
      </c>
      <c r="H587" s="158">
        <f>$H$107</f>
        <v>17</v>
      </c>
      <c r="I587" s="159">
        <f t="shared" si="130"/>
        <v>1.6002E-4</v>
      </c>
      <c r="J587" s="160"/>
      <c r="K587" s="161">
        <f t="shared" si="131"/>
        <v>3</v>
      </c>
      <c r="L587" s="250">
        <v>1</v>
      </c>
      <c r="M587" s="163" t="str">
        <f t="shared" si="127"/>
        <v>17 шт*0,00016002/3чел.</v>
      </c>
      <c r="N587" s="164">
        <f t="shared" si="128"/>
        <v>75000</v>
      </c>
      <c r="O587" s="165">
        <f t="shared" si="129"/>
        <v>68.008499999999998</v>
      </c>
      <c r="P587" s="166"/>
      <c r="Q587" s="166">
        <f t="shared" si="117"/>
        <v>204.02549999999999</v>
      </c>
      <c r="R587" s="71"/>
    </row>
    <row r="588" spans="1:18" s="61" customFormat="1" ht="30" x14ac:dyDescent="0.25">
      <c r="A588" s="358"/>
      <c r="B588" s="361"/>
      <c r="C588" s="366"/>
      <c r="D588" s="254" t="s">
        <v>418</v>
      </c>
      <c r="E588" s="156" t="s">
        <v>28</v>
      </c>
      <c r="F588" s="156" t="s">
        <v>28</v>
      </c>
      <c r="G588" s="238">
        <f>MROUND(H588*L588*I588/K588,0.00000001)</f>
        <v>4.8006000000000004E-4</v>
      </c>
      <c r="H588" s="158">
        <f>H108</f>
        <v>9</v>
      </c>
      <c r="I588" s="159">
        <f t="shared" si="130"/>
        <v>1.6002E-4</v>
      </c>
      <c r="J588" s="160"/>
      <c r="K588" s="161">
        <f t="shared" si="131"/>
        <v>3</v>
      </c>
      <c r="L588" s="250">
        <v>1</v>
      </c>
      <c r="M588" s="163" t="str">
        <f t="shared" si="127"/>
        <v>9 шт*0,00016002/3чел.</v>
      </c>
      <c r="N588" s="164">
        <f t="shared" si="128"/>
        <v>66666.666666666672</v>
      </c>
      <c r="O588" s="165">
        <f t="shared" si="129"/>
        <v>32.003999999999998</v>
      </c>
      <c r="P588" s="166"/>
      <c r="Q588" s="166">
        <f t="shared" si="117"/>
        <v>96.012</v>
      </c>
      <c r="R588" s="71"/>
    </row>
    <row r="589" spans="1:18" s="61" customFormat="1" x14ac:dyDescent="0.25">
      <c r="A589" s="358"/>
      <c r="B589" s="361"/>
      <c r="C589" s="366"/>
      <c r="D589" s="254" t="s">
        <v>324</v>
      </c>
      <c r="E589" s="156" t="s">
        <v>28</v>
      </c>
      <c r="F589" s="156" t="s">
        <v>28</v>
      </c>
      <c r="G589" s="238">
        <f>MROUND(H589*L589*I589/K589,0.000000001)</f>
        <v>9.6012000000000007E-4</v>
      </c>
      <c r="H589" s="158">
        <f>$H$109</f>
        <v>18</v>
      </c>
      <c r="I589" s="159">
        <f t="shared" si="130"/>
        <v>1.6002E-4</v>
      </c>
      <c r="J589" s="160"/>
      <c r="K589" s="161">
        <f t="shared" si="131"/>
        <v>3</v>
      </c>
      <c r="L589" s="250">
        <v>1</v>
      </c>
      <c r="M589" s="163" t="str">
        <f t="shared" si="127"/>
        <v>18 шт*0,00016002/3чел.</v>
      </c>
      <c r="N589" s="164">
        <f t="shared" si="128"/>
        <v>365277.77777777775</v>
      </c>
      <c r="O589" s="165">
        <f t="shared" si="129"/>
        <v>350.71049999999997</v>
      </c>
      <c r="P589" s="166"/>
      <c r="Q589" s="166">
        <f t="shared" ref="Q589:Q651" si="132">O589*K589</f>
        <v>1052.1315</v>
      </c>
      <c r="R589" s="71"/>
    </row>
    <row r="590" spans="1:18" s="61" customFormat="1" x14ac:dyDescent="0.25">
      <c r="A590" s="358"/>
      <c r="B590" s="361"/>
      <c r="C590" s="366"/>
      <c r="D590" s="254" t="s">
        <v>419</v>
      </c>
      <c r="E590" s="156" t="s">
        <v>28</v>
      </c>
      <c r="F590" s="156" t="s">
        <v>28</v>
      </c>
      <c r="G590" s="238">
        <f>MROUND(H590*L590*I590/K590,0.000000001)</f>
        <v>1.28016E-3</v>
      </c>
      <c r="H590" s="246">
        <f>$H$110</f>
        <v>24</v>
      </c>
      <c r="I590" s="159">
        <f t="shared" si="130"/>
        <v>1.6002E-4</v>
      </c>
      <c r="J590" s="160"/>
      <c r="K590" s="161">
        <f t="shared" si="131"/>
        <v>3</v>
      </c>
      <c r="L590" s="250">
        <v>1</v>
      </c>
      <c r="M590" s="163" t="str">
        <f t="shared" si="127"/>
        <v>24 шт*0,00016002/3чел.</v>
      </c>
      <c r="N590" s="164">
        <f t="shared" si="128"/>
        <v>32416.666666666668</v>
      </c>
      <c r="O590" s="165">
        <f t="shared" si="129"/>
        <v>41.498519999999999</v>
      </c>
      <c r="P590" s="166"/>
      <c r="Q590" s="166">
        <f t="shared" si="132"/>
        <v>124.49556</v>
      </c>
      <c r="R590" s="71"/>
    </row>
    <row r="591" spans="1:18" s="61" customFormat="1" x14ac:dyDescent="0.25">
      <c r="A591" s="358"/>
      <c r="B591" s="361"/>
      <c r="C591" s="366"/>
      <c r="D591" s="254" t="s">
        <v>420</v>
      </c>
      <c r="E591" s="156" t="s">
        <v>28</v>
      </c>
      <c r="F591" s="156" t="s">
        <v>28</v>
      </c>
      <c r="G591" s="238">
        <f>MROUND(H591*L591*I591/K591,0.000000001)</f>
        <v>8.0010000000000009E-4</v>
      </c>
      <c r="H591" s="158">
        <f>H111</f>
        <v>15</v>
      </c>
      <c r="I591" s="159">
        <f t="shared" si="130"/>
        <v>1.6002E-4</v>
      </c>
      <c r="J591" s="160"/>
      <c r="K591" s="161">
        <f t="shared" si="131"/>
        <v>3</v>
      </c>
      <c r="L591" s="250">
        <v>1</v>
      </c>
      <c r="M591" s="163" t="str">
        <f t="shared" si="127"/>
        <v>15 шт*0,00016002/3чел.</v>
      </c>
      <c r="N591" s="164">
        <f t="shared" si="128"/>
        <v>127666.66666666667</v>
      </c>
      <c r="O591" s="165">
        <f t="shared" si="129"/>
        <v>102.14609999999999</v>
      </c>
      <c r="P591" s="166"/>
      <c r="Q591" s="166">
        <f t="shared" si="132"/>
        <v>306.43829999999997</v>
      </c>
      <c r="R591" s="71"/>
    </row>
    <row r="592" spans="1:18" s="61" customFormat="1" x14ac:dyDescent="0.25">
      <c r="A592" s="358"/>
      <c r="B592" s="361"/>
      <c r="C592" s="366"/>
      <c r="D592" s="254" t="s">
        <v>421</v>
      </c>
      <c r="E592" s="156" t="s">
        <v>28</v>
      </c>
      <c r="F592" s="156" t="s">
        <v>28</v>
      </c>
      <c r="G592" s="238">
        <f>MROUND(H592*L592*I592/K592,0.00000001)</f>
        <v>1.5468599999999999E-3</v>
      </c>
      <c r="H592" s="158">
        <f>$H$112</f>
        <v>29</v>
      </c>
      <c r="I592" s="159">
        <f t="shared" si="130"/>
        <v>1.6002E-4</v>
      </c>
      <c r="J592" s="160"/>
      <c r="K592" s="161">
        <f t="shared" si="131"/>
        <v>3</v>
      </c>
      <c r="L592" s="250">
        <v>1</v>
      </c>
      <c r="M592" s="163" t="str">
        <f t="shared" si="127"/>
        <v>29 шт*0,00016002/3чел.</v>
      </c>
      <c r="N592" s="164">
        <f t="shared" si="128"/>
        <v>13517.241379310344</v>
      </c>
      <c r="O592" s="165">
        <f t="shared" si="129"/>
        <v>20.909279999999999</v>
      </c>
      <c r="P592" s="166"/>
      <c r="Q592" s="166">
        <f t="shared" si="132"/>
        <v>62.72784</v>
      </c>
      <c r="R592" s="71"/>
    </row>
    <row r="593" spans="1:18" s="61" customFormat="1" ht="30" x14ac:dyDescent="0.25">
      <c r="A593" s="358"/>
      <c r="B593" s="361"/>
      <c r="C593" s="366"/>
      <c r="D593" s="254" t="s">
        <v>422</v>
      </c>
      <c r="E593" s="156" t="s">
        <v>28</v>
      </c>
      <c r="F593" s="156" t="s">
        <v>28</v>
      </c>
      <c r="G593" s="266">
        <f>MROUND(H593*L593*I593/K593,0.00000001)</f>
        <v>9.6012000000000007E-4</v>
      </c>
      <c r="H593" s="158">
        <f>H473</f>
        <v>18</v>
      </c>
      <c r="I593" s="159">
        <f t="shared" si="130"/>
        <v>1.6002E-4</v>
      </c>
      <c r="J593" s="160"/>
      <c r="K593" s="161">
        <f t="shared" si="131"/>
        <v>3</v>
      </c>
      <c r="L593" s="250">
        <v>1</v>
      </c>
      <c r="M593" s="163" t="str">
        <f t="shared" si="127"/>
        <v>18 шт*0,00016002/3чел.</v>
      </c>
      <c r="N593" s="164">
        <f t="shared" si="128"/>
        <v>34944.444444444445</v>
      </c>
      <c r="O593" s="165">
        <f t="shared" si="129"/>
        <v>33.55086</v>
      </c>
      <c r="P593" s="166"/>
      <c r="Q593" s="166">
        <f t="shared" si="132"/>
        <v>100.65258</v>
      </c>
      <c r="R593" s="71"/>
    </row>
    <row r="594" spans="1:18" s="61" customFormat="1" x14ac:dyDescent="0.25">
      <c r="A594" s="358"/>
      <c r="B594" s="361"/>
      <c r="C594" s="366"/>
      <c r="D594" s="254" t="s">
        <v>423</v>
      </c>
      <c r="E594" s="156" t="s">
        <v>28</v>
      </c>
      <c r="F594" s="156" t="s">
        <v>28</v>
      </c>
      <c r="G594" s="238">
        <f>MROUND(H594*L594*I594/K594,0.000000001)</f>
        <v>1.0668000000000001E-3</v>
      </c>
      <c r="H594" s="158">
        <f>$H$114</f>
        <v>20</v>
      </c>
      <c r="I594" s="159">
        <f t="shared" si="130"/>
        <v>1.6002E-4</v>
      </c>
      <c r="J594" s="160"/>
      <c r="K594" s="161">
        <f t="shared" si="131"/>
        <v>3</v>
      </c>
      <c r="L594" s="250">
        <v>1</v>
      </c>
      <c r="M594" s="163" t="str">
        <f t="shared" si="127"/>
        <v>20 шт*0,00016002/3чел.</v>
      </c>
      <c r="N594" s="164">
        <f t="shared" si="128"/>
        <v>74500</v>
      </c>
      <c r="O594" s="165">
        <f t="shared" si="129"/>
        <v>79.476599999999991</v>
      </c>
      <c r="P594" s="166"/>
      <c r="Q594" s="166">
        <f t="shared" si="132"/>
        <v>238.42979999999997</v>
      </c>
      <c r="R594" s="71"/>
    </row>
    <row r="595" spans="1:18" s="61" customFormat="1" x14ac:dyDescent="0.25">
      <c r="A595" s="358"/>
      <c r="B595" s="361"/>
      <c r="C595" s="366"/>
      <c r="D595" s="254" t="s">
        <v>424</v>
      </c>
      <c r="E595" s="156" t="s">
        <v>28</v>
      </c>
      <c r="F595" s="156" t="s">
        <v>28</v>
      </c>
      <c r="G595" s="238">
        <f t="shared" ref="G595:G601" si="133">MROUND(H595*L595*I595/K595,0.00000001)</f>
        <v>1.8669000000000001E-3</v>
      </c>
      <c r="H595" s="158">
        <f>H115</f>
        <v>35</v>
      </c>
      <c r="I595" s="159">
        <f>I584</f>
        <v>1.6002E-4</v>
      </c>
      <c r="J595" s="160"/>
      <c r="K595" s="161">
        <f>K584</f>
        <v>3</v>
      </c>
      <c r="L595" s="250">
        <v>1</v>
      </c>
      <c r="M595" s="163" t="str">
        <f t="shared" si="127"/>
        <v>35 шт*0,00016002/3чел.</v>
      </c>
      <c r="N595" s="164">
        <f t="shared" si="128"/>
        <v>34285.714285714283</v>
      </c>
      <c r="O595" s="165">
        <f t="shared" si="129"/>
        <v>64.007999999999996</v>
      </c>
      <c r="P595" s="166"/>
      <c r="Q595" s="166">
        <f t="shared" si="132"/>
        <v>192.024</v>
      </c>
      <c r="R595" s="71"/>
    </row>
    <row r="596" spans="1:18" s="61" customFormat="1" x14ac:dyDescent="0.25">
      <c r="A596" s="358"/>
      <c r="B596" s="361"/>
      <c r="C596" s="366"/>
      <c r="D596" s="254" t="s">
        <v>425</v>
      </c>
      <c r="E596" s="156" t="s">
        <v>28</v>
      </c>
      <c r="F596" s="156" t="s">
        <v>28</v>
      </c>
      <c r="G596" s="277">
        <f t="shared" si="133"/>
        <v>1.8669000000000001E-3</v>
      </c>
      <c r="H596" s="158">
        <f>H116</f>
        <v>35</v>
      </c>
      <c r="I596" s="159">
        <f t="shared" ref="I596:I601" si="134">I595</f>
        <v>1.6002E-4</v>
      </c>
      <c r="J596" s="160"/>
      <c r="K596" s="161">
        <f t="shared" ref="K596:K601" si="135">K595</f>
        <v>3</v>
      </c>
      <c r="L596" s="250">
        <v>1</v>
      </c>
      <c r="M596" s="163" t="str">
        <f t="shared" si="127"/>
        <v>35 шт*0,00016002/3чел.</v>
      </c>
      <c r="N596" s="164">
        <f t="shared" si="128"/>
        <v>19102.857142857141</v>
      </c>
      <c r="O596" s="165">
        <f t="shared" si="129"/>
        <v>35.663123999999996</v>
      </c>
      <c r="P596" s="166"/>
      <c r="Q596" s="166">
        <f t="shared" si="132"/>
        <v>106.98937199999999</v>
      </c>
      <c r="R596" s="71"/>
    </row>
    <row r="597" spans="1:18" s="61" customFormat="1" x14ac:dyDescent="0.25">
      <c r="A597" s="358"/>
      <c r="B597" s="361"/>
      <c r="C597" s="366"/>
      <c r="D597" s="254" t="s">
        <v>108</v>
      </c>
      <c r="E597" s="156" t="s">
        <v>28</v>
      </c>
      <c r="F597" s="156" t="s">
        <v>28</v>
      </c>
      <c r="G597" s="238">
        <f t="shared" si="133"/>
        <v>4.6139100000000002E-2</v>
      </c>
      <c r="H597" s="158">
        <f>$H$117</f>
        <v>865</v>
      </c>
      <c r="I597" s="159">
        <f t="shared" si="134"/>
        <v>1.6002E-4</v>
      </c>
      <c r="J597" s="160"/>
      <c r="K597" s="161">
        <f t="shared" si="135"/>
        <v>3</v>
      </c>
      <c r="L597" s="250">
        <v>1</v>
      </c>
      <c r="M597" s="163" t="str">
        <f t="shared" si="127"/>
        <v>865 шт*0,00016002/3чел.</v>
      </c>
      <c r="N597" s="164">
        <f t="shared" si="128"/>
        <v>779.36416184971097</v>
      </c>
      <c r="O597" s="165">
        <f t="shared" si="129"/>
        <v>35.959161000000002</v>
      </c>
      <c r="P597" s="166"/>
      <c r="Q597" s="166">
        <f t="shared" si="132"/>
        <v>107.87748300000001</v>
      </c>
      <c r="R597" s="71"/>
    </row>
    <row r="598" spans="1:18" s="61" customFormat="1" x14ac:dyDescent="0.25">
      <c r="A598" s="358"/>
      <c r="B598" s="361"/>
      <c r="C598" s="366"/>
      <c r="D598" s="254" t="s">
        <v>426</v>
      </c>
      <c r="E598" s="156" t="s">
        <v>28</v>
      </c>
      <c r="F598" s="156" t="s">
        <v>28</v>
      </c>
      <c r="G598" s="238">
        <f t="shared" si="133"/>
        <v>2.3469599999999999E-3</v>
      </c>
      <c r="H598" s="158">
        <f>H118</f>
        <v>44</v>
      </c>
      <c r="I598" s="159">
        <f t="shared" si="134"/>
        <v>1.6002E-4</v>
      </c>
      <c r="J598" s="160"/>
      <c r="K598" s="161">
        <f t="shared" si="135"/>
        <v>3</v>
      </c>
      <c r="L598" s="250">
        <v>1</v>
      </c>
      <c r="M598" s="163" t="str">
        <f t="shared" si="127"/>
        <v>44 шт*0,00016002/3чел.</v>
      </c>
      <c r="N598" s="164">
        <f t="shared" si="128"/>
        <v>12416.954545454546</v>
      </c>
      <c r="O598" s="165">
        <f t="shared" si="129"/>
        <v>29.142095999999999</v>
      </c>
      <c r="P598" s="166"/>
      <c r="Q598" s="166">
        <f t="shared" si="132"/>
        <v>87.426288</v>
      </c>
      <c r="R598" s="71"/>
    </row>
    <row r="599" spans="1:18" s="61" customFormat="1" x14ac:dyDescent="0.25">
      <c r="A599" s="358"/>
      <c r="B599" s="361"/>
      <c r="C599" s="366"/>
      <c r="D599" s="254" t="s">
        <v>427</v>
      </c>
      <c r="E599" s="156" t="s">
        <v>28</v>
      </c>
      <c r="F599" s="156" t="s">
        <v>28</v>
      </c>
      <c r="G599" s="238">
        <f t="shared" si="133"/>
        <v>3.5204400000000001E-3</v>
      </c>
      <c r="H599" s="158">
        <f>H119</f>
        <v>66</v>
      </c>
      <c r="I599" s="159">
        <f t="shared" si="134"/>
        <v>1.6002E-4</v>
      </c>
      <c r="J599" s="160"/>
      <c r="K599" s="161">
        <f t="shared" si="135"/>
        <v>3</v>
      </c>
      <c r="L599" s="250">
        <v>1</v>
      </c>
      <c r="M599" s="163" t="str">
        <f t="shared" si="127"/>
        <v>66 шт*0,00016002/3чел.</v>
      </c>
      <c r="N599" s="164">
        <f t="shared" si="128"/>
        <v>13060.60606060606</v>
      </c>
      <c r="O599" s="165">
        <f t="shared" si="129"/>
        <v>45.979079999999996</v>
      </c>
      <c r="P599" s="166"/>
      <c r="Q599" s="166">
        <f t="shared" si="132"/>
        <v>137.93723999999997</v>
      </c>
      <c r="R599" s="71"/>
    </row>
    <row r="600" spans="1:18" s="61" customFormat="1" x14ac:dyDescent="0.25">
      <c r="A600" s="358"/>
      <c r="B600" s="361"/>
      <c r="C600" s="366"/>
      <c r="D600" s="254" t="s">
        <v>428</v>
      </c>
      <c r="E600" s="156" t="s">
        <v>28</v>
      </c>
      <c r="F600" s="156" t="s">
        <v>28</v>
      </c>
      <c r="G600" s="238">
        <f t="shared" si="133"/>
        <v>1.84023E-2</v>
      </c>
      <c r="H600" s="158">
        <f>H120</f>
        <v>345</v>
      </c>
      <c r="I600" s="159">
        <f t="shared" si="134"/>
        <v>1.6002E-4</v>
      </c>
      <c r="J600" s="160"/>
      <c r="K600" s="161">
        <f t="shared" si="135"/>
        <v>3</v>
      </c>
      <c r="L600" s="250">
        <v>1</v>
      </c>
      <c r="M600" s="163" t="str">
        <f t="shared" si="127"/>
        <v>345 шт*0,00016002/3чел.</v>
      </c>
      <c r="N600" s="164">
        <f t="shared" si="128"/>
        <v>8520.7246376811599</v>
      </c>
      <c r="O600" s="165">
        <f t="shared" si="129"/>
        <v>156.80093099999999</v>
      </c>
      <c r="P600" s="166"/>
      <c r="Q600" s="166">
        <f t="shared" si="132"/>
        <v>470.40279299999997</v>
      </c>
      <c r="R600" s="71"/>
    </row>
    <row r="601" spans="1:18" s="61" customFormat="1" x14ac:dyDescent="0.25">
      <c r="A601" s="358"/>
      <c r="B601" s="361"/>
      <c r="C601" s="366"/>
      <c r="D601" s="255" t="s">
        <v>429</v>
      </c>
      <c r="E601" s="156" t="s">
        <v>28</v>
      </c>
      <c r="F601" s="156" t="s">
        <v>28</v>
      </c>
      <c r="G601" s="238">
        <f t="shared" si="133"/>
        <v>2.6136599999999999E-3</v>
      </c>
      <c r="H601" s="158">
        <f>H121</f>
        <v>49</v>
      </c>
      <c r="I601" s="159">
        <f t="shared" si="134"/>
        <v>1.6002E-4</v>
      </c>
      <c r="J601" s="160"/>
      <c r="K601" s="161">
        <f t="shared" si="135"/>
        <v>3</v>
      </c>
      <c r="L601" s="250">
        <v>1</v>
      </c>
      <c r="M601" s="163" t="str">
        <f t="shared" si="127"/>
        <v>49 шт*0,00016002/3чел.</v>
      </c>
      <c r="N601" s="164">
        <f t="shared" si="128"/>
        <v>53775.510204081635</v>
      </c>
      <c r="O601" s="165">
        <f t="shared" si="129"/>
        <v>140.55089999999998</v>
      </c>
      <c r="P601" s="166"/>
      <c r="Q601" s="166">
        <f t="shared" si="132"/>
        <v>421.65269999999998</v>
      </c>
      <c r="R601" s="71"/>
    </row>
    <row r="602" spans="1:18" s="62" customFormat="1" x14ac:dyDescent="0.25">
      <c r="A602" s="358"/>
      <c r="B602" s="361"/>
      <c r="C602" s="249" t="s">
        <v>311</v>
      </c>
      <c r="D602" s="256"/>
      <c r="E602" s="240"/>
      <c r="F602" s="240"/>
      <c r="G602" s="227"/>
      <c r="H602" s="241"/>
      <c r="I602" s="206"/>
      <c r="J602" s="228"/>
      <c r="K602" s="207"/>
      <c r="L602" s="257"/>
      <c r="M602" s="209"/>
      <c r="N602" s="210"/>
      <c r="O602" s="198">
        <f>SUM(O578:O601)</f>
        <v>2215.992698</v>
      </c>
      <c r="P602" s="267"/>
      <c r="Q602" s="166"/>
      <c r="R602" s="71"/>
    </row>
    <row r="603" spans="1:18" s="61" customFormat="1" ht="110.25" x14ac:dyDescent="0.25">
      <c r="A603" s="358"/>
      <c r="B603" s="361"/>
      <c r="C603" s="221" t="s">
        <v>82</v>
      </c>
      <c r="D603" s="156" t="s">
        <v>46</v>
      </c>
      <c r="E603" s="156" t="s">
        <v>54</v>
      </c>
      <c r="F603" s="156" t="s">
        <v>285</v>
      </c>
      <c r="G603" s="238">
        <f>MROUND(H603*L603*I603/K603,0.000001)</f>
        <v>0.60327500000000001</v>
      </c>
      <c r="H603" s="242">
        <f>H123</f>
        <v>1028.181818181818</v>
      </c>
      <c r="I603" s="159">
        <f>I601</f>
        <v>1.6002E-4</v>
      </c>
      <c r="J603" s="160"/>
      <c r="K603" s="161">
        <f>K601</f>
        <v>3</v>
      </c>
      <c r="L603" s="225">
        <f>L243</f>
        <v>11</v>
      </c>
      <c r="M603" s="163" t="str">
        <f>CONCATENATE(H603," ",F603,"*",L603,"автобуса","*",I603,"/",K603,"чел.")</f>
        <v>1028,18181818182 л бензина АИ 92 (12,5л/день(зимой)*20дней*7мес+10л/день(летом)*20дней*4мес)*11автобуса*0,00016002/3чел.</v>
      </c>
      <c r="N603" s="164">
        <f>N123</f>
        <v>54.500000000000007</v>
      </c>
      <c r="O603" s="165">
        <f>MROUND(G603*N603,0.000001)</f>
        <v>32.878487999999997</v>
      </c>
      <c r="P603" s="166"/>
      <c r="Q603" s="166">
        <f t="shared" si="132"/>
        <v>98.635463999999985</v>
      </c>
      <c r="R603" s="71"/>
    </row>
    <row r="604" spans="1:18" s="62" customFormat="1" x14ac:dyDescent="0.25">
      <c r="A604" s="358"/>
      <c r="B604" s="361"/>
      <c r="C604" s="218" t="s">
        <v>309</v>
      </c>
      <c r="D604" s="240"/>
      <c r="E604" s="240"/>
      <c r="F604" s="240"/>
      <c r="G604" s="227"/>
      <c r="H604" s="241"/>
      <c r="I604" s="206"/>
      <c r="J604" s="228"/>
      <c r="K604" s="207"/>
      <c r="L604" s="257"/>
      <c r="M604" s="209"/>
      <c r="N604" s="210"/>
      <c r="O604" s="198">
        <f>SUM(O603)</f>
        <v>32.878487999999997</v>
      </c>
      <c r="P604" s="267"/>
      <c r="Q604" s="166"/>
      <c r="R604" s="71"/>
    </row>
    <row r="605" spans="1:18" s="61" customFormat="1" ht="47.25" x14ac:dyDescent="0.25">
      <c r="A605" s="358"/>
      <c r="B605" s="361"/>
      <c r="C605" s="221" t="s">
        <v>434</v>
      </c>
      <c r="D605" s="156" t="s">
        <v>436</v>
      </c>
      <c r="E605" s="156" t="s">
        <v>28</v>
      </c>
      <c r="F605" s="156" t="s">
        <v>437</v>
      </c>
      <c r="G605" s="157">
        <f>MROUND(H605*L605*I605/K605,0.000001)</f>
        <v>1.5469E-2</v>
      </c>
      <c r="H605" s="242">
        <f>$H$125</f>
        <v>290</v>
      </c>
      <c r="I605" s="159">
        <f>I603</f>
        <v>1.6002E-4</v>
      </c>
      <c r="J605" s="160"/>
      <c r="K605" s="161">
        <f>K603</f>
        <v>3</v>
      </c>
      <c r="L605" s="162">
        <v>1</v>
      </c>
      <c r="M605" s="163" t="str">
        <f>CONCATENATE(H605," ",F605,"*",L605,"автобуса","*",I605,"/",K605,"чел.")</f>
        <v>290 огнетушителей (потребность учреждений) *1автобуса*0,00016002/3чел.</v>
      </c>
      <c r="N605" s="164">
        <f>$N$125</f>
        <v>2000</v>
      </c>
      <c r="O605" s="165">
        <f>MROUND(G605*N605,0.000001)</f>
        <v>30.937999999999999</v>
      </c>
      <c r="P605" s="166"/>
      <c r="Q605" s="166">
        <f t="shared" si="132"/>
        <v>92.813999999999993</v>
      </c>
      <c r="R605" s="71"/>
    </row>
    <row r="606" spans="1:18" s="61" customFormat="1" x14ac:dyDescent="0.25">
      <c r="A606" s="358"/>
      <c r="B606" s="361"/>
      <c r="C606" s="218" t="s">
        <v>435</v>
      </c>
      <c r="D606" s="240"/>
      <c r="E606" s="240"/>
      <c r="F606" s="240"/>
      <c r="G606" s="251"/>
      <c r="H606" s="241"/>
      <c r="I606" s="206"/>
      <c r="J606" s="228"/>
      <c r="K606" s="207"/>
      <c r="L606" s="229"/>
      <c r="M606" s="209"/>
      <c r="N606" s="210"/>
      <c r="O606" s="198">
        <f>SUM(O605)</f>
        <v>30.937999999999999</v>
      </c>
      <c r="P606" s="166"/>
      <c r="Q606" s="166"/>
      <c r="R606" s="71"/>
    </row>
    <row r="607" spans="1:18" s="61" customFormat="1" ht="47.25" x14ac:dyDescent="0.25">
      <c r="A607" s="358"/>
      <c r="B607" s="361"/>
      <c r="C607" s="364" t="s">
        <v>118</v>
      </c>
      <c r="D607" s="156" t="s">
        <v>47</v>
      </c>
      <c r="E607" s="156" t="s">
        <v>28</v>
      </c>
      <c r="F607" s="156" t="s">
        <v>239</v>
      </c>
      <c r="G607" s="238">
        <f>MROUND(H607*L607*I607/K607,0.00000001)</f>
        <v>7.6809600000000006E-3</v>
      </c>
      <c r="H607" s="158">
        <f>H127</f>
        <v>144</v>
      </c>
      <c r="I607" s="159">
        <f>I603</f>
        <v>1.6002E-4</v>
      </c>
      <c r="J607" s="160"/>
      <c r="K607" s="161">
        <f>K603</f>
        <v>3</v>
      </c>
      <c r="L607" s="250">
        <v>1</v>
      </c>
      <c r="M607" s="163" t="str">
        <f>CONCATENATE(H607," ",F607,"*",I607,"/",K607,"чел.")</f>
        <v>144 манометров (потребность учреждений) *0,00016002/3чел.</v>
      </c>
      <c r="N607" s="164">
        <f>N127</f>
        <v>708.5</v>
      </c>
      <c r="O607" s="165">
        <f>MROUND(G607*N607,0.000001)</f>
        <v>5.4419599999999999</v>
      </c>
      <c r="P607" s="166"/>
      <c r="Q607" s="166">
        <f t="shared" si="132"/>
        <v>16.325879999999998</v>
      </c>
      <c r="R607" s="71"/>
    </row>
    <row r="608" spans="1:18" s="61" customFormat="1" ht="47.25" x14ac:dyDescent="0.25">
      <c r="A608" s="358"/>
      <c r="B608" s="361"/>
      <c r="C608" s="364"/>
      <c r="D608" s="255" t="s">
        <v>113</v>
      </c>
      <c r="E608" s="156" t="s">
        <v>28</v>
      </c>
      <c r="F608" s="156" t="s">
        <v>240</v>
      </c>
      <c r="G608" s="238">
        <f>MROUND(H608*L608*I608/K608,0.00000001)</f>
        <v>0.3048381</v>
      </c>
      <c r="H608" s="158">
        <f>H128</f>
        <v>5715</v>
      </c>
      <c r="I608" s="159">
        <f>I607</f>
        <v>1.6002E-4</v>
      </c>
      <c r="J608" s="160"/>
      <c r="K608" s="161">
        <f>K607</f>
        <v>3</v>
      </c>
      <c r="L608" s="250">
        <v>1</v>
      </c>
      <c r="M608" s="163" t="str">
        <f>CONCATENATE(H608," ",F608,"*",I608,"/",K608,"чел.")</f>
        <v>5715 светильников (потребность учреждений)*0,00016002/3чел.</v>
      </c>
      <c r="N608" s="164">
        <f>N128</f>
        <v>106.27500087489064</v>
      </c>
      <c r="O608" s="165">
        <f>MROUND(G608*N608,0.000001)</f>
        <v>32.396668999999996</v>
      </c>
      <c r="P608" s="166"/>
      <c r="Q608" s="166">
        <f t="shared" si="132"/>
        <v>97.19000699999998</v>
      </c>
      <c r="R608" s="71"/>
    </row>
    <row r="609" spans="1:18" s="62" customFormat="1" x14ac:dyDescent="0.25">
      <c r="A609" s="359"/>
      <c r="B609" s="362"/>
      <c r="C609" s="218" t="s">
        <v>310</v>
      </c>
      <c r="D609" s="256"/>
      <c r="E609" s="240"/>
      <c r="F609" s="240"/>
      <c r="G609" s="227"/>
      <c r="H609" s="241"/>
      <c r="I609" s="206"/>
      <c r="J609" s="228"/>
      <c r="K609" s="207"/>
      <c r="L609" s="257"/>
      <c r="M609" s="209"/>
      <c r="N609" s="210"/>
      <c r="O609" s="198">
        <f>SUM(O607:O608)</f>
        <v>37.838628999999997</v>
      </c>
      <c r="P609" s="267"/>
      <c r="Q609" s="166"/>
      <c r="R609" s="71"/>
    </row>
    <row r="610" spans="1:18" s="61" customFormat="1" x14ac:dyDescent="0.25">
      <c r="A610" s="357" t="str">
        <f>CONCATENATE(школы!$B$11,", ",школы!$C$11,", ",школы!$D$11)</f>
        <v xml:space="preserve">Реализация основных общеобразовательных программ начального общего образования, образовательная программа, обеспечивающая углубленное изучение отдельных учебных предметов, предметных областей (профильное обучение), </v>
      </c>
      <c r="B610" s="360" t="str">
        <f>школы!$A$11</f>
        <v>801012О.99.0.БА81АП40001</v>
      </c>
      <c r="C610" s="194"/>
      <c r="D610" s="363" t="s">
        <v>15</v>
      </c>
      <c r="E610" s="363"/>
      <c r="F610" s="363"/>
      <c r="G610" s="363"/>
      <c r="H610" s="195"/>
      <c r="I610" s="195"/>
      <c r="J610" s="195"/>
      <c r="K610" s="195"/>
      <c r="L610" s="196"/>
      <c r="M610" s="197"/>
      <c r="N610" s="164"/>
      <c r="O610" s="198">
        <f>O611+O616+O618</f>
        <v>9601.367604643001</v>
      </c>
      <c r="P610" s="166"/>
      <c r="Q610" s="166"/>
      <c r="R610" s="71"/>
    </row>
    <row r="611" spans="1:18" s="61" customFormat="1" x14ac:dyDescent="0.25">
      <c r="A611" s="358"/>
      <c r="B611" s="361"/>
      <c r="C611" s="194"/>
      <c r="D611" s="350" t="s">
        <v>62</v>
      </c>
      <c r="E611" s="350"/>
      <c r="F611" s="350"/>
      <c r="G611" s="350"/>
      <c r="H611" s="195"/>
      <c r="I611" s="195"/>
      <c r="J611" s="195"/>
      <c r="K611" s="195"/>
      <c r="L611" s="196"/>
      <c r="M611" s="197"/>
      <c r="N611" s="164"/>
      <c r="O611" s="165">
        <f>O613+O615</f>
        <v>9601.367604643001</v>
      </c>
      <c r="P611" s="166"/>
      <c r="Q611" s="166"/>
      <c r="R611" s="71"/>
    </row>
    <row r="612" spans="1:18" s="61" customFormat="1" x14ac:dyDescent="0.25">
      <c r="A612" s="358"/>
      <c r="B612" s="361"/>
      <c r="C612" s="194">
        <v>211</v>
      </c>
      <c r="D612" s="194" t="s">
        <v>86</v>
      </c>
      <c r="E612" s="199" t="s">
        <v>95</v>
      </c>
      <c r="F612" s="199" t="s">
        <v>95</v>
      </c>
      <c r="G612" s="275">
        <f>MROUND(H612*L612*I612/K612,0.0000000001)</f>
        <v>0.59001408659999999</v>
      </c>
      <c r="H612" s="201">
        <f>H12</f>
        <v>921.8</v>
      </c>
      <c r="I612" s="159">
        <f>школы!$K$11</f>
        <v>2.2775730000000001E-2</v>
      </c>
      <c r="J612" s="159"/>
      <c r="K612" s="161">
        <f>школы!$G$11</f>
        <v>427</v>
      </c>
      <c r="L612" s="202">
        <v>12</v>
      </c>
      <c r="M612" s="163" t="str">
        <f>CONCATENATE(H612," ",F612," ","в мес.","*",L612,"мес.","*",I612,"/",K612,"чел.")</f>
        <v>921,8 шт.ед в мес.*12мес.*0,02277573/427чел.</v>
      </c>
      <c r="N612" s="164">
        <f>N12</f>
        <v>12498.552905979601</v>
      </c>
      <c r="O612" s="165">
        <f>MROUND(G612*N612,0.000000001)</f>
        <v>7374.3222766430008</v>
      </c>
      <c r="P612" s="166"/>
      <c r="Q612" s="166">
        <f t="shared" si="132"/>
        <v>3148835.6121265613</v>
      </c>
      <c r="R612" s="71"/>
    </row>
    <row r="613" spans="1:18" s="62" customFormat="1" x14ac:dyDescent="0.25">
      <c r="A613" s="358"/>
      <c r="B613" s="361"/>
      <c r="C613" s="203" t="s">
        <v>288</v>
      </c>
      <c r="D613" s="203"/>
      <c r="E613" s="204"/>
      <c r="F613" s="204"/>
      <c r="G613" s="205"/>
      <c r="H613" s="206"/>
      <c r="I613" s="206"/>
      <c r="J613" s="206"/>
      <c r="K613" s="207"/>
      <c r="L613" s="208"/>
      <c r="M613" s="209"/>
      <c r="N613" s="210">
        <f>N612</f>
        <v>12498.552905979601</v>
      </c>
      <c r="O613" s="198">
        <f>O612</f>
        <v>7374.3222766430008</v>
      </c>
      <c r="P613" s="267"/>
      <c r="Q613" s="166"/>
      <c r="R613" s="71"/>
    </row>
    <row r="614" spans="1:18" s="61" customFormat="1" x14ac:dyDescent="0.25">
      <c r="A614" s="358"/>
      <c r="B614" s="361"/>
      <c r="C614" s="194">
        <v>213</v>
      </c>
      <c r="D614" s="194" t="s">
        <v>87</v>
      </c>
      <c r="E614" s="194" t="s">
        <v>88</v>
      </c>
      <c r="F614" s="194"/>
      <c r="G614" s="211">
        <v>30.2</v>
      </c>
      <c r="H614" s="159"/>
      <c r="I614" s="159"/>
      <c r="J614" s="159"/>
      <c r="K614" s="161">
        <f>K612</f>
        <v>427</v>
      </c>
      <c r="L614" s="202"/>
      <c r="M614" s="212"/>
      <c r="N614" s="164"/>
      <c r="O614" s="165">
        <f>MROUND(O612*0.302,0.000001)</f>
        <v>2227.0453279999997</v>
      </c>
      <c r="P614" s="166"/>
      <c r="Q614" s="166">
        <f>O614*K614</f>
        <v>950948.35505599983</v>
      </c>
      <c r="R614" s="71"/>
    </row>
    <row r="615" spans="1:18" s="62" customFormat="1" x14ac:dyDescent="0.25">
      <c r="A615" s="358"/>
      <c r="B615" s="361"/>
      <c r="C615" s="203" t="s">
        <v>289</v>
      </c>
      <c r="D615" s="203"/>
      <c r="E615" s="203"/>
      <c r="F615" s="203"/>
      <c r="G615" s="213"/>
      <c r="H615" s="214"/>
      <c r="I615" s="206"/>
      <c r="J615" s="214"/>
      <c r="K615" s="207"/>
      <c r="L615" s="215"/>
      <c r="M615" s="216"/>
      <c r="N615" s="210"/>
      <c r="O615" s="198">
        <f>O614</f>
        <v>2227.0453279999997</v>
      </c>
      <c r="P615" s="267"/>
      <c r="Q615" s="166"/>
      <c r="R615" s="71"/>
    </row>
    <row r="616" spans="1:18" s="61" customFormat="1" x14ac:dyDescent="0.25">
      <c r="A616" s="358"/>
      <c r="B616" s="361"/>
      <c r="C616" s="194"/>
      <c r="D616" s="356" t="s">
        <v>63</v>
      </c>
      <c r="E616" s="356"/>
      <c r="F616" s="356"/>
      <c r="G616" s="356"/>
      <c r="H616" s="195"/>
      <c r="I616" s="159"/>
      <c r="J616" s="195"/>
      <c r="K616" s="161"/>
      <c r="L616" s="196"/>
      <c r="M616" s="197"/>
      <c r="N616" s="164"/>
      <c r="O616" s="165"/>
      <c r="P616" s="166"/>
      <c r="Q616" s="166"/>
      <c r="R616" s="71"/>
    </row>
    <row r="617" spans="1:18" s="61" customFormat="1" x14ac:dyDescent="0.25">
      <c r="A617" s="358"/>
      <c r="B617" s="361"/>
      <c r="C617" s="194"/>
      <c r="D617" s="194"/>
      <c r="E617" s="194"/>
      <c r="F617" s="194"/>
      <c r="G617" s="217"/>
      <c r="H617" s="195"/>
      <c r="I617" s="159"/>
      <c r="J617" s="195"/>
      <c r="K617" s="161"/>
      <c r="L617" s="196"/>
      <c r="M617" s="197"/>
      <c r="N617" s="164"/>
      <c r="O617" s="165"/>
      <c r="P617" s="166"/>
      <c r="Q617" s="166"/>
      <c r="R617" s="71"/>
    </row>
    <row r="618" spans="1:18" s="61" customFormat="1" x14ac:dyDescent="0.25">
      <c r="A618" s="358"/>
      <c r="B618" s="361"/>
      <c r="C618" s="194"/>
      <c r="D618" s="350" t="s">
        <v>64</v>
      </c>
      <c r="E618" s="350"/>
      <c r="F618" s="350"/>
      <c r="G618" s="350"/>
      <c r="H618" s="195"/>
      <c r="I618" s="159"/>
      <c r="J618" s="195"/>
      <c r="K618" s="161"/>
      <c r="L618" s="196"/>
      <c r="M618" s="197"/>
      <c r="N618" s="164"/>
      <c r="O618" s="165"/>
      <c r="P618" s="166"/>
      <c r="Q618" s="166"/>
      <c r="R618" s="71"/>
    </row>
    <row r="619" spans="1:18" s="61" customFormat="1" x14ac:dyDescent="0.25">
      <c r="A619" s="358"/>
      <c r="B619" s="361"/>
      <c r="C619" s="194"/>
      <c r="D619" s="194"/>
      <c r="E619" s="194"/>
      <c r="F619" s="194"/>
      <c r="G619" s="217"/>
      <c r="H619" s="195"/>
      <c r="I619" s="159"/>
      <c r="J619" s="195"/>
      <c r="K619" s="161"/>
      <c r="L619" s="196"/>
      <c r="M619" s="197"/>
      <c r="N619" s="164"/>
      <c r="O619" s="165"/>
      <c r="P619" s="166"/>
      <c r="Q619" s="166"/>
      <c r="R619" s="71"/>
    </row>
    <row r="620" spans="1:18" s="61" customFormat="1" x14ac:dyDescent="0.25">
      <c r="A620" s="358"/>
      <c r="B620" s="361"/>
      <c r="C620" s="194"/>
      <c r="D620" s="355" t="s">
        <v>5</v>
      </c>
      <c r="E620" s="355"/>
      <c r="F620" s="355"/>
      <c r="G620" s="355"/>
      <c r="H620" s="195"/>
      <c r="I620" s="159"/>
      <c r="J620" s="195"/>
      <c r="K620" s="161"/>
      <c r="L620" s="196"/>
      <c r="M620" s="197"/>
      <c r="N620" s="164"/>
      <c r="O620" s="198">
        <f>O621+O631+O642+O644+O646+O648+O650</f>
        <v>51216.41619554699</v>
      </c>
      <c r="P620" s="166"/>
      <c r="Q620" s="166"/>
      <c r="R620" s="71"/>
    </row>
    <row r="621" spans="1:18" s="61" customFormat="1" x14ac:dyDescent="0.25">
      <c r="A621" s="358"/>
      <c r="B621" s="361"/>
      <c r="C621" s="221" t="s">
        <v>70</v>
      </c>
      <c r="D621" s="355" t="s">
        <v>6</v>
      </c>
      <c r="E621" s="355"/>
      <c r="F621" s="355"/>
      <c r="G621" s="355"/>
      <c r="H621" s="189"/>
      <c r="I621" s="159"/>
      <c r="J621" s="189"/>
      <c r="K621" s="161"/>
      <c r="L621" s="190"/>
      <c r="M621" s="197"/>
      <c r="N621" s="210"/>
      <c r="O621" s="198">
        <f>O630</f>
        <v>9227.443475799997</v>
      </c>
      <c r="P621" s="166"/>
      <c r="Q621" s="166"/>
      <c r="R621" s="71"/>
    </row>
    <row r="622" spans="1:18" s="61" customFormat="1" ht="31.5" x14ac:dyDescent="0.25">
      <c r="A622" s="358"/>
      <c r="B622" s="361"/>
      <c r="C622" s="221" t="s">
        <v>72</v>
      </c>
      <c r="D622" s="222" t="s">
        <v>7</v>
      </c>
      <c r="E622" s="223" t="s">
        <v>8</v>
      </c>
      <c r="F622" s="223" t="s">
        <v>8</v>
      </c>
      <c r="G622" s="238">
        <f>MROUND(H622*L622*I622/K622,0.00000000001)</f>
        <v>176.71840530595998</v>
      </c>
      <c r="H622" s="160">
        <f t="shared" ref="H622:H629" si="136">H22</f>
        <v>3313121.4264326878</v>
      </c>
      <c r="I622" s="159">
        <f>I612</f>
        <v>2.2775730000000001E-2</v>
      </c>
      <c r="J622" s="160"/>
      <c r="K622" s="161">
        <f>K612</f>
        <v>427</v>
      </c>
      <c r="L622" s="250">
        <v>1</v>
      </c>
      <c r="M622" s="163" t="str">
        <f t="shared" ref="M622:M627" si="137">CONCATENATE(H622," ",F622,"(лимиты выделенные УЖКХ) ","*",I622,"/",K622,"чел.")</f>
        <v>3313121,42643269 кВт час.(лимиты выделенные УЖКХ) *0,02277573/427чел.</v>
      </c>
      <c r="N622" s="164">
        <f t="shared" ref="N622:N629" si="138">N22</f>
        <v>10.418446162163715</v>
      </c>
      <c r="O622" s="165">
        <f t="shared" ref="O622:O629" si="139">MROUND(G622*N622,0.000001)</f>
        <v>1841.1311919999998</v>
      </c>
      <c r="P622" s="166"/>
      <c r="Q622" s="166">
        <f t="shared" si="132"/>
        <v>786163.01898399997</v>
      </c>
      <c r="R622" s="71"/>
    </row>
    <row r="623" spans="1:18" s="61" customFormat="1" ht="31.5" x14ac:dyDescent="0.25">
      <c r="A623" s="358"/>
      <c r="B623" s="361"/>
      <c r="C623" s="221" t="s">
        <v>73</v>
      </c>
      <c r="D623" s="222" t="s">
        <v>9</v>
      </c>
      <c r="E623" s="223" t="s">
        <v>10</v>
      </c>
      <c r="F623" s="223" t="s">
        <v>10</v>
      </c>
      <c r="G623" s="238">
        <f>MROUND(H623*L623*I623/K623,0.00000000001)</f>
        <v>1.7013731670799999</v>
      </c>
      <c r="H623" s="160">
        <f t="shared" si="136"/>
        <v>31897.39</v>
      </c>
      <c r="I623" s="159">
        <f t="shared" ref="I623:I690" si="140">I622</f>
        <v>2.2775730000000001E-2</v>
      </c>
      <c r="J623" s="160"/>
      <c r="K623" s="161">
        <f t="shared" ref="K623:K629" si="141">K622</f>
        <v>427</v>
      </c>
      <c r="L623" s="250">
        <v>1</v>
      </c>
      <c r="M623" s="163" t="str">
        <f t="shared" si="137"/>
        <v>31897,39 Гкал(лимиты выделенные УЖКХ) *0,02277573/427чел.</v>
      </c>
      <c r="N623" s="164">
        <f t="shared" si="138"/>
        <v>2845.3650600830792</v>
      </c>
      <c r="O623" s="165">
        <f t="shared" si="139"/>
        <v>4841.0277639999995</v>
      </c>
      <c r="P623" s="166"/>
      <c r="Q623" s="166">
        <f t="shared" si="132"/>
        <v>2067118.8552279999</v>
      </c>
      <c r="R623" s="71"/>
    </row>
    <row r="624" spans="1:18" s="61" customFormat="1" ht="31.5" x14ac:dyDescent="0.25">
      <c r="A624" s="358"/>
      <c r="B624" s="361"/>
      <c r="C624" s="364" t="s">
        <v>74</v>
      </c>
      <c r="D624" s="222" t="s">
        <v>12</v>
      </c>
      <c r="E624" s="222" t="s">
        <v>11</v>
      </c>
      <c r="F624" s="222" t="s">
        <v>11</v>
      </c>
      <c r="G624" s="238">
        <f>MROUND(H624*L624*I624/K624,0.00000000001)</f>
        <v>9.8530458925599991</v>
      </c>
      <c r="H624" s="224">
        <f t="shared" si="136"/>
        <v>184725.17</v>
      </c>
      <c r="I624" s="159">
        <f t="shared" si="140"/>
        <v>2.2775730000000001E-2</v>
      </c>
      <c r="J624" s="160"/>
      <c r="K624" s="161">
        <f t="shared" si="141"/>
        <v>427</v>
      </c>
      <c r="L624" s="250">
        <v>1</v>
      </c>
      <c r="M624" s="163" t="str">
        <f t="shared" si="137"/>
        <v>184725,17 м3(лимиты выделенные УЖКХ) *0,02277573/427чел.</v>
      </c>
      <c r="N624" s="164">
        <f t="shared" si="138"/>
        <v>51.830000102314166</v>
      </c>
      <c r="O624" s="165">
        <f t="shared" si="139"/>
        <v>510.68336999999997</v>
      </c>
      <c r="P624" s="166"/>
      <c r="Q624" s="166">
        <f t="shared" si="132"/>
        <v>218061.79898999998</v>
      </c>
      <c r="R624" s="71"/>
    </row>
    <row r="625" spans="1:18" s="61" customFormat="1" ht="47.25" x14ac:dyDescent="0.25">
      <c r="A625" s="358"/>
      <c r="B625" s="361"/>
      <c r="C625" s="364"/>
      <c r="D625" s="222" t="s">
        <v>17</v>
      </c>
      <c r="E625" s="222" t="s">
        <v>11</v>
      </c>
      <c r="F625" s="222" t="s">
        <v>11</v>
      </c>
      <c r="G625" s="238">
        <f>MROUND(H625*L625*I625/K625,0.00000000001)</f>
        <v>9.8530458925599991</v>
      </c>
      <c r="H625" s="160">
        <f t="shared" si="136"/>
        <v>184725.17</v>
      </c>
      <c r="I625" s="159">
        <f t="shared" si="140"/>
        <v>2.2775730000000001E-2</v>
      </c>
      <c r="J625" s="160"/>
      <c r="K625" s="161">
        <f t="shared" si="141"/>
        <v>427</v>
      </c>
      <c r="L625" s="162">
        <f>$L$25</f>
        <v>1</v>
      </c>
      <c r="M625" s="163" t="str">
        <f t="shared" si="137"/>
        <v>184725,17 м3(лимиты выделенные УЖКХ) *0,02277573/427чел.</v>
      </c>
      <c r="N625" s="164">
        <f t="shared" si="138"/>
        <v>78.76115753094173</v>
      </c>
      <c r="O625" s="165">
        <f t="shared" si="139"/>
        <v>776.03729999999996</v>
      </c>
      <c r="P625" s="166"/>
      <c r="Q625" s="166">
        <f t="shared" si="132"/>
        <v>331367.92709999997</v>
      </c>
      <c r="R625" s="71"/>
    </row>
    <row r="626" spans="1:18" s="61" customFormat="1" ht="31.5" x14ac:dyDescent="0.25">
      <c r="A626" s="358"/>
      <c r="B626" s="361"/>
      <c r="C626" s="364"/>
      <c r="D626" s="222" t="s">
        <v>13</v>
      </c>
      <c r="E626" s="222" t="s">
        <v>11</v>
      </c>
      <c r="F626" s="222" t="s">
        <v>11</v>
      </c>
      <c r="G626" s="238">
        <f>MROUND(H626*L626*I626/K626,0.00000000001)</f>
        <v>9.8530458925599991</v>
      </c>
      <c r="H626" s="160">
        <f t="shared" si="136"/>
        <v>184725.17</v>
      </c>
      <c r="I626" s="159">
        <f t="shared" si="140"/>
        <v>2.2775730000000001E-2</v>
      </c>
      <c r="J626" s="160"/>
      <c r="K626" s="161">
        <f t="shared" si="141"/>
        <v>427</v>
      </c>
      <c r="L626" s="162">
        <v>1</v>
      </c>
      <c r="M626" s="163" t="str">
        <f t="shared" si="137"/>
        <v>184725,17 м3(лимиты выделенные УЖКХ) *0,02277573/427чел.</v>
      </c>
      <c r="N626" s="164">
        <f t="shared" si="138"/>
        <v>107.41979263410609</v>
      </c>
      <c r="O626" s="165">
        <f>MROUND(G626*N626,0.00000001)</f>
        <v>1058.41214659</v>
      </c>
      <c r="P626" s="166"/>
      <c r="Q626" s="166">
        <f t="shared" si="132"/>
        <v>451941.98659392999</v>
      </c>
      <c r="R626" s="71"/>
    </row>
    <row r="627" spans="1:18" s="61" customFormat="1" ht="31.5" x14ac:dyDescent="0.25">
      <c r="A627" s="358"/>
      <c r="B627" s="361"/>
      <c r="C627" s="221" t="s">
        <v>75</v>
      </c>
      <c r="D627" s="222" t="s">
        <v>18</v>
      </c>
      <c r="E627" s="222" t="s">
        <v>48</v>
      </c>
      <c r="F627" s="222" t="s">
        <v>48</v>
      </c>
      <c r="G627" s="238">
        <f>MROUND(H627*L627*I627/K627,0.0000000001)</f>
        <v>0.74074994840000008</v>
      </c>
      <c r="H627" s="160">
        <f t="shared" si="136"/>
        <v>13887.6</v>
      </c>
      <c r="I627" s="159">
        <f t="shared" si="140"/>
        <v>2.2775730000000001E-2</v>
      </c>
      <c r="J627" s="160"/>
      <c r="K627" s="161">
        <f t="shared" si="141"/>
        <v>427</v>
      </c>
      <c r="L627" s="250">
        <v>1</v>
      </c>
      <c r="M627" s="163" t="str">
        <f t="shared" si="137"/>
        <v>13887,6 тыс. м3(лимиты выделенные УЖКХ) *0,02277573/427чел.</v>
      </c>
      <c r="N627" s="164">
        <f t="shared" si="138"/>
        <v>29.231582850888564</v>
      </c>
      <c r="O627" s="165">
        <f t="shared" si="139"/>
        <v>21.653292999999998</v>
      </c>
      <c r="P627" s="166"/>
      <c r="Q627" s="166">
        <f t="shared" si="132"/>
        <v>9245.9561109999995</v>
      </c>
      <c r="R627" s="71"/>
    </row>
    <row r="628" spans="1:18" s="61" customFormat="1" x14ac:dyDescent="0.25">
      <c r="A628" s="358"/>
      <c r="B628" s="361"/>
      <c r="C628" s="364" t="s">
        <v>216</v>
      </c>
      <c r="D628" s="222" t="s">
        <v>23</v>
      </c>
      <c r="E628" s="222" t="s">
        <v>11</v>
      </c>
      <c r="F628" s="222" t="s">
        <v>11</v>
      </c>
      <c r="G628" s="238">
        <f>MROUND(H628*L628*I628/K628,0.000000000001)</f>
        <v>0.17967970751099999</v>
      </c>
      <c r="H628" s="160">
        <f t="shared" si="136"/>
        <v>3368.6400000000003</v>
      </c>
      <c r="I628" s="159">
        <f t="shared" si="140"/>
        <v>2.2775730000000001E-2</v>
      </c>
      <c r="J628" s="160"/>
      <c r="K628" s="161">
        <f t="shared" si="141"/>
        <v>427</v>
      </c>
      <c r="L628" s="162">
        <f>L627</f>
        <v>1</v>
      </c>
      <c r="M628" s="163" t="str">
        <f>CONCATENATE(H628," ",F628," ","*",I628,"/",K628,"чел.")</f>
        <v>3368,64 м3 *0,02277573/427чел.</v>
      </c>
      <c r="N628" s="164">
        <f t="shared" si="138"/>
        <v>742.21370939013957</v>
      </c>
      <c r="O628" s="165">
        <f>MROUND(G628*N628,0.00000001)</f>
        <v>133.36074221000001</v>
      </c>
      <c r="P628" s="166"/>
      <c r="Q628" s="166">
        <f t="shared" si="132"/>
        <v>56945.036923670006</v>
      </c>
      <c r="R628" s="71"/>
    </row>
    <row r="629" spans="1:18" s="61" customFormat="1" ht="47.25" x14ac:dyDescent="0.25">
      <c r="A629" s="358"/>
      <c r="B629" s="361"/>
      <c r="C629" s="364"/>
      <c r="D629" s="222" t="s">
        <v>24</v>
      </c>
      <c r="E629" s="222" t="s">
        <v>25</v>
      </c>
      <c r="F629" s="222" t="s">
        <v>217</v>
      </c>
      <c r="G629" s="238">
        <f>MROUND(H629*L629*I629/K629,0.000000000001)</f>
        <v>7.8408250819999997E-3</v>
      </c>
      <c r="H629" s="160">
        <f t="shared" si="136"/>
        <v>147</v>
      </c>
      <c r="I629" s="159">
        <f t="shared" si="140"/>
        <v>2.2775730000000001E-2</v>
      </c>
      <c r="J629" s="160"/>
      <c r="K629" s="161">
        <f t="shared" si="141"/>
        <v>427</v>
      </c>
      <c r="L629" s="250">
        <f>L628</f>
        <v>1</v>
      </c>
      <c r="M629" s="163" t="str">
        <f>CONCATENATE(H629," ",F629,"(потребность из расчета 4 контейнера для уборки территории весной и осенью на 1 учреждение)","*",I629,"/",K629,"чел.")</f>
        <v>147 контейнера(потребность из расчета 4 контейнера для уборки территории весной и осенью на 1 учреждение)*0,02277573/427чел.</v>
      </c>
      <c r="N629" s="164">
        <f t="shared" si="138"/>
        <v>5756.7497959183638</v>
      </c>
      <c r="O629" s="165">
        <f t="shared" si="139"/>
        <v>45.137667999999998</v>
      </c>
      <c r="P629" s="166"/>
      <c r="Q629" s="166">
        <f t="shared" si="132"/>
        <v>19273.784236</v>
      </c>
      <c r="R629" s="71"/>
    </row>
    <row r="630" spans="1:18" s="62" customFormat="1" x14ac:dyDescent="0.25">
      <c r="A630" s="358"/>
      <c r="B630" s="361"/>
      <c r="C630" s="218" t="s">
        <v>290</v>
      </c>
      <c r="D630" s="226"/>
      <c r="E630" s="226"/>
      <c r="F630" s="226"/>
      <c r="G630" s="227"/>
      <c r="H630" s="228"/>
      <c r="I630" s="206"/>
      <c r="J630" s="228"/>
      <c r="K630" s="207"/>
      <c r="L630" s="257"/>
      <c r="M630" s="209"/>
      <c r="N630" s="210"/>
      <c r="O630" s="198">
        <f>SUM(O622:O629)</f>
        <v>9227.443475799997</v>
      </c>
      <c r="P630" s="267"/>
      <c r="Q630" s="166"/>
      <c r="R630" s="71"/>
    </row>
    <row r="631" spans="1:18" s="61" customFormat="1" x14ac:dyDescent="0.25">
      <c r="A631" s="358"/>
      <c r="B631" s="361"/>
      <c r="C631" s="221"/>
      <c r="D631" s="356" t="s">
        <v>14</v>
      </c>
      <c r="E631" s="356"/>
      <c r="F631" s="356"/>
      <c r="G631" s="356"/>
      <c r="H631" s="188"/>
      <c r="I631" s="159"/>
      <c r="J631" s="188"/>
      <c r="K631" s="161"/>
      <c r="L631" s="250"/>
      <c r="M631" s="230"/>
      <c r="N631" s="164"/>
      <c r="O631" s="198">
        <f>O639+O640+O635</f>
        <v>38428.823246586988</v>
      </c>
      <c r="P631" s="166"/>
      <c r="Q631" s="166"/>
      <c r="R631" s="71"/>
    </row>
    <row r="632" spans="1:18" s="61" customFormat="1" x14ac:dyDescent="0.25">
      <c r="A632" s="358"/>
      <c r="B632" s="361"/>
      <c r="C632" s="221" t="s">
        <v>379</v>
      </c>
      <c r="D632" s="231" t="s">
        <v>49</v>
      </c>
      <c r="E632" s="231" t="s">
        <v>22</v>
      </c>
      <c r="F632" s="231" t="s">
        <v>22</v>
      </c>
      <c r="G632" s="238">
        <f>MROUND(H632*L632*I632/K632,0.000000001)</f>
        <v>0</v>
      </c>
      <c r="H632" s="160"/>
      <c r="I632" s="159">
        <f>I627</f>
        <v>2.2775730000000001E-2</v>
      </c>
      <c r="J632" s="160"/>
      <c r="K632" s="161">
        <f>K627</f>
        <v>427</v>
      </c>
      <c r="L632" s="250"/>
      <c r="M632" s="163"/>
      <c r="N632" s="164">
        <f>N32</f>
        <v>0</v>
      </c>
      <c r="O632" s="165">
        <f>MROUND(G632*N632,0.00000001)</f>
        <v>0</v>
      </c>
      <c r="P632" s="166"/>
      <c r="Q632" s="166">
        <f t="shared" si="132"/>
        <v>0</v>
      </c>
      <c r="R632" s="71"/>
    </row>
    <row r="633" spans="1:18" s="61" customFormat="1" x14ac:dyDescent="0.25">
      <c r="A633" s="358"/>
      <c r="B633" s="361"/>
      <c r="C633" s="221" t="s">
        <v>379</v>
      </c>
      <c r="D633" s="231" t="s">
        <v>49</v>
      </c>
      <c r="E633" s="231" t="s">
        <v>28</v>
      </c>
      <c r="F633" s="231" t="s">
        <v>28</v>
      </c>
      <c r="G633" s="238">
        <f>MROUND(H633*L633*I633/K633,0.00000000000001)</f>
        <v>2.6669473068E-4</v>
      </c>
      <c r="H633" s="160">
        <f>H33</f>
        <v>5</v>
      </c>
      <c r="I633" s="159">
        <f t="shared" si="140"/>
        <v>2.2775730000000001E-2</v>
      </c>
      <c r="J633" s="160"/>
      <c r="K633" s="161">
        <f>K632</f>
        <v>427</v>
      </c>
      <c r="L633" s="250">
        <v>1</v>
      </c>
      <c r="M633" s="163" t="str">
        <f>CONCATENATE(H633," ",F633,"*",I633,"/",K633,"чел.")</f>
        <v>5 шт*0,02277573/427чел.</v>
      </c>
      <c r="N633" s="164">
        <f>N33</f>
        <v>28120000</v>
      </c>
      <c r="O633" s="165">
        <f>MROUND(G633*N633,0.00000001)</f>
        <v>7499.45582672</v>
      </c>
      <c r="P633" s="166"/>
      <c r="Q633" s="166">
        <f t="shared" si="132"/>
        <v>3202267.6380094402</v>
      </c>
      <c r="R633" s="71"/>
    </row>
    <row r="634" spans="1:18" s="61" customFormat="1" x14ac:dyDescent="0.25">
      <c r="A634" s="358"/>
      <c r="B634" s="361"/>
      <c r="C634" s="221" t="s">
        <v>379</v>
      </c>
      <c r="D634" s="231" t="s">
        <v>49</v>
      </c>
      <c r="E634" s="231" t="s">
        <v>101</v>
      </c>
      <c r="F634" s="231" t="s">
        <v>101</v>
      </c>
      <c r="G634" s="238">
        <f>MROUND(H634*L634*I634/K634,0.000000001)</f>
        <v>0</v>
      </c>
      <c r="H634" s="160"/>
      <c r="I634" s="159">
        <f t="shared" si="140"/>
        <v>2.2775730000000001E-2</v>
      </c>
      <c r="J634" s="160"/>
      <c r="K634" s="161">
        <f>K633</f>
        <v>427</v>
      </c>
      <c r="L634" s="250"/>
      <c r="M634" s="163"/>
      <c r="N634" s="164">
        <f>N34</f>
        <v>0</v>
      </c>
      <c r="O634" s="165">
        <f>MROUND(G634*N634,0.00000001)</f>
        <v>0</v>
      </c>
      <c r="P634" s="166"/>
      <c r="Q634" s="166">
        <f t="shared" si="132"/>
        <v>0</v>
      </c>
      <c r="R634" s="71"/>
    </row>
    <row r="635" spans="1:18" s="62" customFormat="1" x14ac:dyDescent="0.25">
      <c r="A635" s="358"/>
      <c r="B635" s="361"/>
      <c r="C635" s="218" t="s">
        <v>381</v>
      </c>
      <c r="D635" s="232"/>
      <c r="E635" s="232"/>
      <c r="F635" s="232"/>
      <c r="G635" s="227"/>
      <c r="H635" s="228"/>
      <c r="I635" s="206"/>
      <c r="J635" s="228"/>
      <c r="K635" s="207"/>
      <c r="L635" s="257"/>
      <c r="M635" s="209"/>
      <c r="N635" s="210"/>
      <c r="O635" s="198">
        <f>SUM(O632:O634)</f>
        <v>7499.45582672</v>
      </c>
      <c r="P635" s="267"/>
      <c r="Q635" s="166"/>
      <c r="R635" s="71"/>
    </row>
    <row r="636" spans="1:18" s="61" customFormat="1" x14ac:dyDescent="0.25">
      <c r="A636" s="358"/>
      <c r="B636" s="361"/>
      <c r="C636" s="221" t="s">
        <v>76</v>
      </c>
      <c r="D636" s="231" t="s">
        <v>49</v>
      </c>
      <c r="E636" s="231" t="s">
        <v>22</v>
      </c>
      <c r="F636" s="231" t="s">
        <v>22</v>
      </c>
      <c r="G636" s="238">
        <f>MROUND(H636*L636*I636/K636,0.000000000000001)</f>
        <v>3.9053186860060904</v>
      </c>
      <c r="H636" s="160">
        <f>H36</f>
        <v>73217.02</v>
      </c>
      <c r="I636" s="159">
        <f>I634</f>
        <v>2.2775730000000001E-2</v>
      </c>
      <c r="J636" s="160"/>
      <c r="K636" s="161">
        <f>K634</f>
        <v>427</v>
      </c>
      <c r="L636" s="250">
        <v>1</v>
      </c>
      <c r="M636" s="163" t="str">
        <f>CONCATENATE(H636," ",F636,"*",I636,"/",K636,"чел.")</f>
        <v>73217,02 м2*0,02277573/427чел.</v>
      </c>
      <c r="N636" s="164">
        <f>N36</f>
        <v>3335.1026185604301</v>
      </c>
      <c r="O636" s="165">
        <f>MROUND(G636*N636,0.00000000001)</f>
        <v>13024.63857601189</v>
      </c>
      <c r="P636" s="166"/>
      <c r="Q636" s="166">
        <f t="shared" si="132"/>
        <v>5561520.6719570775</v>
      </c>
      <c r="R636" s="71"/>
    </row>
    <row r="637" spans="1:18" s="61" customFormat="1" x14ac:dyDescent="0.25">
      <c r="A637" s="358"/>
      <c r="B637" s="361"/>
      <c r="C637" s="221"/>
      <c r="D637" s="231" t="s">
        <v>49</v>
      </c>
      <c r="E637" s="231" t="s">
        <v>28</v>
      </c>
      <c r="F637" s="231" t="s">
        <v>28</v>
      </c>
      <c r="G637" s="238">
        <f>MROUND(H637*L637*I637/K637,0.000000000001)</f>
        <v>0.22135662646400001</v>
      </c>
      <c r="H637" s="160">
        <f>H37</f>
        <v>4150</v>
      </c>
      <c r="I637" s="159">
        <f t="shared" si="140"/>
        <v>2.2775730000000001E-2</v>
      </c>
      <c r="J637" s="160"/>
      <c r="K637" s="161">
        <f>K636</f>
        <v>427</v>
      </c>
      <c r="L637" s="250">
        <v>1</v>
      </c>
      <c r="M637" s="163" t="str">
        <f>CONCATENATE(H637," ",F637,"*",I637,"/",K637,"чел.")</f>
        <v>4150 шт*0,02277573/427чел.</v>
      </c>
      <c r="N637" s="164">
        <f>N37</f>
        <v>71617.619331325302</v>
      </c>
      <c r="O637" s="165">
        <f>MROUND(G637*N637,0.0000000001)</f>
        <v>15853.034610565101</v>
      </c>
      <c r="P637" s="166"/>
      <c r="Q637" s="166">
        <f t="shared" si="132"/>
        <v>6769245.7787112975</v>
      </c>
      <c r="R637" s="71"/>
    </row>
    <row r="638" spans="1:18" s="61" customFormat="1" x14ac:dyDescent="0.25">
      <c r="A638" s="358"/>
      <c r="B638" s="361"/>
      <c r="C638" s="221"/>
      <c r="D638" s="231" t="s">
        <v>49</v>
      </c>
      <c r="E638" s="231" t="s">
        <v>101</v>
      </c>
      <c r="F638" s="231" t="s">
        <v>101</v>
      </c>
      <c r="G638" s="238">
        <f>MROUND(H638*L638*I638/K638,0.000000001)</f>
        <v>0.76136011700000006</v>
      </c>
      <c r="H638" s="160">
        <f>H38</f>
        <v>14274</v>
      </c>
      <c r="I638" s="159">
        <f t="shared" si="140"/>
        <v>2.2775730000000001E-2</v>
      </c>
      <c r="J638" s="160"/>
      <c r="K638" s="161">
        <f>K637</f>
        <v>427</v>
      </c>
      <c r="L638" s="250">
        <v>1</v>
      </c>
      <c r="M638" s="163" t="str">
        <f>CONCATENATE(H638," ",F638,"*",I638,"/",K638,"чел.")</f>
        <v>14274 погон.м.*0,02277573/427чел.</v>
      </c>
      <c r="N638" s="164">
        <f>N38</f>
        <v>2694.7750315258509</v>
      </c>
      <c r="O638" s="165">
        <f>MROUND(G638*N638,0.00000001)</f>
        <v>2051.6942332899998</v>
      </c>
      <c r="P638" s="166"/>
      <c r="Q638" s="166">
        <f t="shared" si="132"/>
        <v>876073.43761482998</v>
      </c>
      <c r="R638" s="71"/>
    </row>
    <row r="639" spans="1:18" s="62" customFormat="1" x14ac:dyDescent="0.25">
      <c r="A639" s="358"/>
      <c r="B639" s="361"/>
      <c r="C639" s="218" t="s">
        <v>302</v>
      </c>
      <c r="D639" s="232"/>
      <c r="E639" s="232"/>
      <c r="F639" s="232"/>
      <c r="G639" s="227"/>
      <c r="H639" s="228"/>
      <c r="I639" s="206"/>
      <c r="J639" s="228"/>
      <c r="K639" s="207"/>
      <c r="L639" s="257"/>
      <c r="M639" s="209"/>
      <c r="N639" s="210"/>
      <c r="O639" s="198">
        <f>SUM(O636:O638)</f>
        <v>30929.367419866991</v>
      </c>
      <c r="P639" s="267"/>
      <c r="Q639" s="166"/>
      <c r="R639" s="71"/>
    </row>
    <row r="640" spans="1:18" s="61" customFormat="1" x14ac:dyDescent="0.25">
      <c r="A640" s="358"/>
      <c r="B640" s="361"/>
      <c r="C640" s="221" t="s">
        <v>77</v>
      </c>
      <c r="D640" s="231"/>
      <c r="E640" s="231"/>
      <c r="F640" s="231"/>
      <c r="G640" s="238">
        <f>MROUND(H640*L640*I640/K640,0.00000000001)</f>
        <v>0</v>
      </c>
      <c r="H640" s="160">
        <f>H400</f>
        <v>0</v>
      </c>
      <c r="I640" s="159">
        <f>I638</f>
        <v>2.2775730000000001E-2</v>
      </c>
      <c r="J640" s="160"/>
      <c r="K640" s="161">
        <f>K638</f>
        <v>427</v>
      </c>
      <c r="L640" s="250"/>
      <c r="M640" s="163"/>
      <c r="N640" s="164">
        <f>N400</f>
        <v>0</v>
      </c>
      <c r="O640" s="165">
        <f>MROUND(G640*N640,0.000000001)</f>
        <v>0</v>
      </c>
      <c r="P640" s="166"/>
      <c r="Q640" s="166">
        <f t="shared" si="132"/>
        <v>0</v>
      </c>
      <c r="R640" s="71"/>
    </row>
    <row r="641" spans="1:41" s="62" customFormat="1" x14ac:dyDescent="0.25">
      <c r="A641" s="358"/>
      <c r="B641" s="361"/>
      <c r="C641" s="218" t="s">
        <v>304</v>
      </c>
      <c r="D641" s="232"/>
      <c r="E641" s="232"/>
      <c r="F641" s="232"/>
      <c r="G641" s="227"/>
      <c r="H641" s="228"/>
      <c r="I641" s="206"/>
      <c r="J641" s="228"/>
      <c r="K641" s="207"/>
      <c r="L641" s="257"/>
      <c r="M641" s="209"/>
      <c r="N641" s="210"/>
      <c r="O641" s="198">
        <f>O640</f>
        <v>0</v>
      </c>
      <c r="P641" s="267"/>
      <c r="Q641" s="166"/>
      <c r="R641" s="71"/>
    </row>
    <row r="642" spans="1:41" s="61" customFormat="1" x14ac:dyDescent="0.25">
      <c r="A642" s="358"/>
      <c r="B642" s="361"/>
      <c r="C642" s="221"/>
      <c r="D642" s="350" t="s">
        <v>65</v>
      </c>
      <c r="E642" s="350"/>
      <c r="F642" s="350"/>
      <c r="G642" s="350"/>
      <c r="H642" s="195"/>
      <c r="I642" s="159"/>
      <c r="J642" s="195"/>
      <c r="K642" s="161"/>
      <c r="L642" s="196"/>
      <c r="M642" s="230"/>
      <c r="N642" s="164"/>
      <c r="O642" s="165">
        <f t="shared" ref="O642:O649" si="142">MROUND(G642*N642,0.000001)</f>
        <v>0</v>
      </c>
      <c r="P642" s="166"/>
      <c r="Q642" s="166"/>
      <c r="R642" s="71"/>
    </row>
    <row r="643" spans="1:41" s="61" customFormat="1" x14ac:dyDescent="0.25">
      <c r="A643" s="358"/>
      <c r="B643" s="361"/>
      <c r="C643" s="221"/>
      <c r="D643" s="194"/>
      <c r="E643" s="194"/>
      <c r="F643" s="194"/>
      <c r="G643" s="217"/>
      <c r="H643" s="195"/>
      <c r="I643" s="159"/>
      <c r="J643" s="195"/>
      <c r="K643" s="161"/>
      <c r="L643" s="196"/>
      <c r="M643" s="230"/>
      <c r="N643" s="164"/>
      <c r="O643" s="165">
        <f t="shared" si="142"/>
        <v>0</v>
      </c>
      <c r="P643" s="166"/>
      <c r="Q643" s="166"/>
      <c r="R643" s="71"/>
    </row>
    <row r="644" spans="1:41" s="61" customFormat="1" x14ac:dyDescent="0.25">
      <c r="A644" s="358"/>
      <c r="B644" s="361"/>
      <c r="C644" s="221" t="s">
        <v>357</v>
      </c>
      <c r="D644" s="368" t="s">
        <v>66</v>
      </c>
      <c r="E644" s="368"/>
      <c r="F644" s="368"/>
      <c r="G644" s="368"/>
      <c r="H644" s="195"/>
      <c r="I644" s="159"/>
      <c r="J644" s="195"/>
      <c r="K644" s="161"/>
      <c r="L644" s="234"/>
      <c r="M644" s="230"/>
      <c r="N644" s="164"/>
      <c r="O644" s="198">
        <f>O645</f>
        <v>9.6474019999999996</v>
      </c>
      <c r="P644" s="166"/>
      <c r="Q644" s="166"/>
      <c r="R644" s="71"/>
    </row>
    <row r="645" spans="1:41" s="61" customFormat="1" ht="47.25" x14ac:dyDescent="0.25">
      <c r="A645" s="358"/>
      <c r="B645" s="361"/>
      <c r="C645" s="221"/>
      <c r="D645" s="222" t="s">
        <v>374</v>
      </c>
      <c r="E645" s="194" t="s">
        <v>28</v>
      </c>
      <c r="F645" s="194" t="s">
        <v>28</v>
      </c>
      <c r="G645" s="217">
        <f>MROUND(H645*L645*I645/K645,0.000000001)</f>
        <v>7.6808080000000008E-3</v>
      </c>
      <c r="H645" s="201">
        <f>H45</f>
        <v>36</v>
      </c>
      <c r="I645" s="159">
        <f>I640</f>
        <v>2.2775730000000001E-2</v>
      </c>
      <c r="J645" s="195"/>
      <c r="K645" s="161">
        <f>K640</f>
        <v>427</v>
      </c>
      <c r="L645" s="235">
        <f>L45</f>
        <v>4</v>
      </c>
      <c r="M645" s="163" t="str">
        <f>CONCATENATE(H645," ",F645,"*",I645,"/",K645,"чел.")</f>
        <v>36 шт*0,02277573/427чел.</v>
      </c>
      <c r="N645" s="164">
        <f>N45</f>
        <v>1256.0400000000006</v>
      </c>
      <c r="O645" s="165">
        <f>MROUND(G645*N645,0.000001)</f>
        <v>9.6474019999999996</v>
      </c>
      <c r="P645" s="166"/>
      <c r="Q645" s="166">
        <f t="shared" si="132"/>
        <v>4119.440654</v>
      </c>
      <c r="R645" s="71"/>
    </row>
    <row r="646" spans="1:41" s="61" customFormat="1" x14ac:dyDescent="0.25">
      <c r="A646" s="358"/>
      <c r="B646" s="361"/>
      <c r="C646" s="221"/>
      <c r="D646" s="368" t="s">
        <v>67</v>
      </c>
      <c r="E646" s="368"/>
      <c r="F646" s="368"/>
      <c r="G646" s="368"/>
      <c r="H646" s="195"/>
      <c r="I646" s="159"/>
      <c r="J646" s="195"/>
      <c r="K646" s="161"/>
      <c r="L646" s="196"/>
      <c r="M646" s="230"/>
      <c r="N646" s="164"/>
      <c r="O646" s="165">
        <f t="shared" si="142"/>
        <v>0</v>
      </c>
      <c r="P646" s="166"/>
      <c r="Q646" s="166"/>
      <c r="R646" s="71"/>
    </row>
    <row r="647" spans="1:41" s="61" customFormat="1" x14ac:dyDescent="0.25">
      <c r="A647" s="358"/>
      <c r="B647" s="361"/>
      <c r="C647" s="221"/>
      <c r="D647" s="194"/>
      <c r="E647" s="194"/>
      <c r="F647" s="194"/>
      <c r="G647" s="217"/>
      <c r="H647" s="195"/>
      <c r="I647" s="159"/>
      <c r="J647" s="195"/>
      <c r="K647" s="161"/>
      <c r="L647" s="196"/>
      <c r="M647" s="230"/>
      <c r="N647" s="164"/>
      <c r="O647" s="165">
        <f t="shared" si="142"/>
        <v>0</v>
      </c>
      <c r="P647" s="166"/>
      <c r="Q647" s="166"/>
      <c r="R647" s="71"/>
    </row>
    <row r="648" spans="1:41" s="61" customFormat="1" x14ac:dyDescent="0.25">
      <c r="A648" s="358"/>
      <c r="B648" s="361"/>
      <c r="C648" s="221"/>
      <c r="D648" s="350" t="s">
        <v>68</v>
      </c>
      <c r="E648" s="350"/>
      <c r="F648" s="350"/>
      <c r="G648" s="350"/>
      <c r="H648" s="195"/>
      <c r="I648" s="159"/>
      <c r="J648" s="195"/>
      <c r="K648" s="161"/>
      <c r="L648" s="196"/>
      <c r="M648" s="230"/>
      <c r="N648" s="164"/>
      <c r="O648" s="165">
        <f t="shared" si="142"/>
        <v>0</v>
      </c>
      <c r="P648" s="166"/>
      <c r="Q648" s="166"/>
      <c r="R648" s="71"/>
    </row>
    <row r="649" spans="1:41" s="61" customFormat="1" x14ac:dyDescent="0.25">
      <c r="A649" s="358"/>
      <c r="B649" s="361"/>
      <c r="C649" s="221"/>
      <c r="D649" s="156"/>
      <c r="E649" s="156"/>
      <c r="F649" s="156"/>
      <c r="G649" s="236"/>
      <c r="H649" s="195"/>
      <c r="I649" s="159"/>
      <c r="J649" s="195"/>
      <c r="K649" s="161"/>
      <c r="L649" s="196"/>
      <c r="M649" s="230"/>
      <c r="N649" s="164"/>
      <c r="O649" s="165">
        <f t="shared" si="142"/>
        <v>0</v>
      </c>
      <c r="P649" s="166"/>
      <c r="Q649" s="166"/>
      <c r="R649" s="71"/>
    </row>
    <row r="650" spans="1:41" s="61" customFormat="1" x14ac:dyDescent="0.25">
      <c r="A650" s="358"/>
      <c r="B650" s="361"/>
      <c r="C650" s="221"/>
      <c r="D650" s="368" t="s">
        <v>69</v>
      </c>
      <c r="E650" s="368"/>
      <c r="F650" s="368"/>
      <c r="G650" s="368"/>
      <c r="H650" s="187"/>
      <c r="I650" s="159"/>
      <c r="J650" s="187"/>
      <c r="K650" s="161"/>
      <c r="L650" s="276"/>
      <c r="M650" s="230"/>
      <c r="N650" s="164"/>
      <c r="O650" s="198">
        <f>O652+O659+O676+O678+O693+O695+O697+O722+O724+O729+O726</f>
        <v>3550.50207116</v>
      </c>
      <c r="P650" s="166"/>
      <c r="Q650" s="166"/>
      <c r="R650" s="71"/>
    </row>
    <row r="651" spans="1:41" s="61" customFormat="1" x14ac:dyDescent="0.25">
      <c r="A651" s="358"/>
      <c r="B651" s="361"/>
      <c r="C651" s="221">
        <v>224</v>
      </c>
      <c r="D651" s="156" t="s">
        <v>21</v>
      </c>
      <c r="E651" s="156" t="s">
        <v>22</v>
      </c>
      <c r="F651" s="156" t="s">
        <v>22</v>
      </c>
      <c r="G651" s="238">
        <f>MROUND(H651*L651*I651/K651,0.000000001)</f>
        <v>0</v>
      </c>
      <c r="H651" s="158">
        <f>H51</f>
        <v>0</v>
      </c>
      <c r="I651" s="159">
        <f>I645</f>
        <v>2.2775730000000001E-2</v>
      </c>
      <c r="J651" s="160"/>
      <c r="K651" s="161">
        <f>K645</f>
        <v>427</v>
      </c>
      <c r="L651" s="250"/>
      <c r="M651" s="163"/>
      <c r="N651" s="164">
        <f>N171</f>
        <v>0</v>
      </c>
      <c r="O651" s="165">
        <f>MROUND(G651*N651,0.000001)</f>
        <v>0</v>
      </c>
      <c r="P651" s="166"/>
      <c r="Q651" s="166">
        <f t="shared" si="132"/>
        <v>0</v>
      </c>
      <c r="R651" s="71"/>
    </row>
    <row r="652" spans="1:41" s="62" customFormat="1" x14ac:dyDescent="0.25">
      <c r="A652" s="358"/>
      <c r="B652" s="361"/>
      <c r="C652" s="218" t="s">
        <v>293</v>
      </c>
      <c r="D652" s="240"/>
      <c r="E652" s="240"/>
      <c r="F652" s="240"/>
      <c r="G652" s="227"/>
      <c r="H652" s="241"/>
      <c r="I652" s="206"/>
      <c r="J652" s="228"/>
      <c r="K652" s="207"/>
      <c r="L652" s="257"/>
      <c r="M652" s="209"/>
      <c r="N652" s="210"/>
      <c r="O652" s="198">
        <f>SUM(O651)</f>
        <v>0</v>
      </c>
      <c r="P652" s="267"/>
      <c r="Q652" s="166"/>
      <c r="R652" s="71"/>
    </row>
    <row r="653" spans="1:41" s="61" customFormat="1" ht="31.5" x14ac:dyDescent="0.25">
      <c r="A653" s="358"/>
      <c r="B653" s="361"/>
      <c r="C653" s="364" t="s">
        <v>78</v>
      </c>
      <c r="D653" s="156" t="s">
        <v>26</v>
      </c>
      <c r="E653" s="156" t="s">
        <v>22</v>
      </c>
      <c r="F653" s="156" t="s">
        <v>22</v>
      </c>
      <c r="G653" s="238">
        <f>MROUND(H653*L653*I653/K653,0.000001)</f>
        <v>16.539339999999999</v>
      </c>
      <c r="H653" s="158">
        <f>H53</f>
        <v>25840</v>
      </c>
      <c r="I653" s="159">
        <f>I651</f>
        <v>2.2775730000000001E-2</v>
      </c>
      <c r="J653" s="160"/>
      <c r="K653" s="161">
        <f>K651</f>
        <v>427</v>
      </c>
      <c r="L653" s="250">
        <v>12</v>
      </c>
      <c r="M653" s="163" t="str">
        <f>CONCATENATE(H653," ",F653,"(обрабатываемая площадь в мес.)","*",L653,"мес.","*",I653,"/",K653,"чел.")</f>
        <v>25840 м2(обрабатываемая площадь в мес.)*12мес.*0,02277573/427чел.</v>
      </c>
      <c r="N653" s="164">
        <f>N53</f>
        <v>1.1553999935500519</v>
      </c>
      <c r="O653" s="165">
        <f t="shared" ref="O653:O658" si="143">MROUND(G653*N653,0.000001)</f>
        <v>19.109552999999998</v>
      </c>
      <c r="P653" s="166"/>
      <c r="Q653" s="166">
        <f t="shared" ref="Q653:Q715" si="144">O653*K653</f>
        <v>8159.7791309999993</v>
      </c>
      <c r="R653" s="71"/>
    </row>
    <row r="654" spans="1:41" s="61" customFormat="1" ht="31.5" x14ac:dyDescent="0.25">
      <c r="A654" s="358"/>
      <c r="B654" s="361"/>
      <c r="C654" s="364"/>
      <c r="D654" s="156" t="s">
        <v>96</v>
      </c>
      <c r="E654" s="156" t="s">
        <v>22</v>
      </c>
      <c r="F654" s="156" t="s">
        <v>22</v>
      </c>
      <c r="G654" s="238">
        <f>MROUND(H654*L654*I654/K654,0.000001)</f>
        <v>8.5609009999999994</v>
      </c>
      <c r="H654" s="158">
        <f>H54</f>
        <v>13375</v>
      </c>
      <c r="I654" s="159">
        <f t="shared" si="140"/>
        <v>2.2775730000000001E-2</v>
      </c>
      <c r="J654" s="160"/>
      <c r="K654" s="161">
        <f>K653</f>
        <v>427</v>
      </c>
      <c r="L654" s="250">
        <v>12</v>
      </c>
      <c r="M654" s="163" t="str">
        <f>CONCATENATE(H654," ",F654,"(обрабатываемая площадь в мес.)","*",L654,"мес.","*",I654,"/",K654,"чел.")</f>
        <v>13375 м2(обрабатываемая площадь в мес.)*12мес.*0,02277573/427чел.</v>
      </c>
      <c r="N654" s="164">
        <f>N54</f>
        <v>1.8530000000000004</v>
      </c>
      <c r="O654" s="165">
        <f t="shared" si="143"/>
        <v>15.863349999999999</v>
      </c>
      <c r="P654" s="166"/>
      <c r="Q654" s="166">
        <f t="shared" si="144"/>
        <v>6773.6504499999992</v>
      </c>
      <c r="R654" s="71"/>
    </row>
    <row r="655" spans="1:41" s="135" customFormat="1" ht="31.5" x14ac:dyDescent="0.25">
      <c r="A655" s="358"/>
      <c r="B655" s="361"/>
      <c r="C655" s="364"/>
      <c r="D655" s="156" t="s">
        <v>385</v>
      </c>
      <c r="E655" s="156" t="s">
        <v>22</v>
      </c>
      <c r="F655" s="156" t="s">
        <v>22</v>
      </c>
      <c r="G655" s="238">
        <f>MROUND(H655*L655*I655/K655,0.000001)</f>
        <v>17.121801999999999</v>
      </c>
      <c r="H655" s="242">
        <f>$H$55</f>
        <v>13375</v>
      </c>
      <c r="I655" s="159">
        <f t="shared" si="140"/>
        <v>2.2775730000000001E-2</v>
      </c>
      <c r="J655" s="160"/>
      <c r="K655" s="161">
        <f>K654</f>
        <v>427</v>
      </c>
      <c r="L655" s="162">
        <v>24</v>
      </c>
      <c r="M655" s="163" t="str">
        <f>CONCATENATE(H655," ",F655,"(обрабатываемая площадь в год)","*",L655," раза в год.","*",I655,"/",K655,"чел.")</f>
        <v>13375 м2(обрабатываемая площадь в год)*24 раза в год.*0,02277573/427чел.</v>
      </c>
      <c r="N655" s="164">
        <f>$N$55</f>
        <v>2.2889999999999993</v>
      </c>
      <c r="O655" s="165">
        <f t="shared" si="143"/>
        <v>39.191804999999995</v>
      </c>
      <c r="P655" s="166"/>
      <c r="Q655" s="166">
        <f t="shared" si="144"/>
        <v>16734.900734999999</v>
      </c>
      <c r="R655" s="71"/>
      <c r="S655" s="61"/>
      <c r="T655" s="61"/>
      <c r="U655" s="61"/>
      <c r="V655" s="61"/>
      <c r="W655" s="61"/>
      <c r="X655" s="61"/>
      <c r="Y655" s="61"/>
      <c r="Z655" s="61"/>
      <c r="AA655" s="61"/>
      <c r="AB655" s="61"/>
      <c r="AC655" s="61"/>
      <c r="AD655" s="61"/>
      <c r="AE655" s="61"/>
      <c r="AF655" s="61"/>
      <c r="AG655" s="61"/>
      <c r="AH655" s="61"/>
      <c r="AI655" s="61"/>
      <c r="AJ655" s="61"/>
      <c r="AK655" s="61"/>
      <c r="AL655" s="61"/>
      <c r="AM655" s="61"/>
      <c r="AN655" s="61"/>
      <c r="AO655" s="61"/>
    </row>
    <row r="656" spans="1:41" s="135" customFormat="1" ht="31.5" x14ac:dyDescent="0.25">
      <c r="A656" s="358"/>
      <c r="B656" s="361"/>
      <c r="C656" s="364"/>
      <c r="D656" s="156" t="s">
        <v>394</v>
      </c>
      <c r="E656" s="156" t="s">
        <v>22</v>
      </c>
      <c r="F656" s="156" t="s">
        <v>22</v>
      </c>
      <c r="G656" s="238">
        <f>MROUND(H656*L656*I656/K656,0.000001)</f>
        <v>16.539339999999999</v>
      </c>
      <c r="H656" s="243">
        <f>$H$56</f>
        <v>25840</v>
      </c>
      <c r="I656" s="159">
        <f t="shared" si="140"/>
        <v>2.2775730000000001E-2</v>
      </c>
      <c r="J656" s="160"/>
      <c r="K656" s="161">
        <f>K655</f>
        <v>427</v>
      </c>
      <c r="L656" s="162">
        <v>12</v>
      </c>
      <c r="M656" s="163" t="str">
        <f>CONCATENATE(H656," ",F656,"(обрабатываемая площадь в мес.)","*",L656,"мес.","*",I656,"/",K656,"чел.")</f>
        <v>25840 м2(обрабатываемая площадь в мес.)*12мес.*0,02277573/427чел.</v>
      </c>
      <c r="N656" s="164">
        <f>$N$56</f>
        <v>0.54499999999999993</v>
      </c>
      <c r="O656" s="165">
        <f t="shared" si="143"/>
        <v>9.0139399999999998</v>
      </c>
      <c r="P656" s="166"/>
      <c r="Q656" s="166">
        <f t="shared" si="144"/>
        <v>3848.9523799999997</v>
      </c>
      <c r="R656" s="71"/>
      <c r="S656" s="61"/>
      <c r="T656" s="61"/>
      <c r="U656" s="61"/>
      <c r="V656" s="61"/>
      <c r="W656" s="61"/>
      <c r="X656" s="61"/>
      <c r="Y656" s="61"/>
      <c r="Z656" s="61"/>
      <c r="AA656" s="61"/>
      <c r="AB656" s="61"/>
      <c r="AC656" s="61"/>
      <c r="AD656" s="61"/>
      <c r="AE656" s="61"/>
      <c r="AF656" s="61"/>
      <c r="AG656" s="61"/>
      <c r="AH656" s="61"/>
      <c r="AI656" s="61"/>
      <c r="AJ656" s="61"/>
      <c r="AK656" s="61"/>
      <c r="AL656" s="61"/>
      <c r="AM656" s="61"/>
      <c r="AN656" s="61"/>
      <c r="AO656" s="61"/>
    </row>
    <row r="657" spans="1:41" s="135" customFormat="1" ht="31.5" x14ac:dyDescent="0.25">
      <c r="A657" s="358"/>
      <c r="B657" s="361"/>
      <c r="C657" s="364"/>
      <c r="D657" s="156" t="s">
        <v>395</v>
      </c>
      <c r="E657" s="156" t="s">
        <v>98</v>
      </c>
      <c r="F657" s="156" t="s">
        <v>98</v>
      </c>
      <c r="G657" s="238">
        <f>MROUND(H657*L657*I657/K657,0.0000000001)</f>
        <v>1.0102396E-3</v>
      </c>
      <c r="H657" s="242">
        <f>$H$57</f>
        <v>18.939999999999998</v>
      </c>
      <c r="I657" s="159">
        <f t="shared" si="140"/>
        <v>2.2775730000000001E-2</v>
      </c>
      <c r="J657" s="160"/>
      <c r="K657" s="161">
        <f>K653</f>
        <v>427</v>
      </c>
      <c r="L657" s="162">
        <v>1</v>
      </c>
      <c r="M657" s="163" t="str">
        <f>CONCATENATE(H657," ",F657,"(обрабатываемая площадь в год)","*",L657," раз в год","*",I657,"/",K657,"чел.")</f>
        <v>18,94 Га(обрабатываемая площадь в год)*1 раз в год*0,02277573/427чел.</v>
      </c>
      <c r="N657" s="164">
        <f>$N$57</f>
        <v>545</v>
      </c>
      <c r="O657" s="165">
        <f t="shared" si="143"/>
        <v>0.55058099999999999</v>
      </c>
      <c r="P657" s="166"/>
      <c r="Q657" s="166">
        <f t="shared" si="144"/>
        <v>235.09808699999999</v>
      </c>
      <c r="R657" s="71"/>
      <c r="S657" s="61"/>
      <c r="T657" s="61"/>
      <c r="U657" s="61"/>
      <c r="V657" s="61"/>
      <c r="W657" s="61"/>
      <c r="X657" s="61"/>
      <c r="Y657" s="61"/>
      <c r="Z657" s="61"/>
      <c r="AA657" s="61"/>
      <c r="AB657" s="61"/>
      <c r="AC657" s="61"/>
      <c r="AD657" s="61"/>
      <c r="AE657" s="61"/>
      <c r="AF657" s="61"/>
      <c r="AG657" s="61"/>
      <c r="AH657" s="61"/>
      <c r="AI657" s="61"/>
      <c r="AJ657" s="61"/>
      <c r="AK657" s="61"/>
      <c r="AL657" s="61"/>
      <c r="AM657" s="61"/>
      <c r="AN657" s="61"/>
      <c r="AO657" s="61"/>
    </row>
    <row r="658" spans="1:41" s="61" customFormat="1" ht="31.5" x14ac:dyDescent="0.25">
      <c r="A658" s="358"/>
      <c r="B658" s="361"/>
      <c r="C658" s="364"/>
      <c r="D658" s="156" t="s">
        <v>97</v>
      </c>
      <c r="E658" s="156" t="s">
        <v>98</v>
      </c>
      <c r="F658" s="156" t="s">
        <v>98</v>
      </c>
      <c r="G658" s="238">
        <f>MROUND(H658*L658*I658/K658,0.000000001)</f>
        <v>1.0102400000000001E-3</v>
      </c>
      <c r="H658" s="242">
        <f>H58</f>
        <v>18.939999999999998</v>
      </c>
      <c r="I658" s="244">
        <f>I654</f>
        <v>2.2775730000000001E-2</v>
      </c>
      <c r="J658" s="160"/>
      <c r="K658" s="161">
        <f>K654</f>
        <v>427</v>
      </c>
      <c r="L658" s="250">
        <v>1</v>
      </c>
      <c r="M658" s="163" t="str">
        <f>CONCATENATE(H658," ",F658,"(обрабатываемая площадь в мес.)","*",L658,"мес.","*",I658,"/",K658,"чел.")</f>
        <v>18,94 Га(обрабатываемая площадь в мес.)*1мес.*0,02277573/427чел.</v>
      </c>
      <c r="N658" s="164">
        <f>N58</f>
        <v>2965.979936642027</v>
      </c>
      <c r="O658" s="165">
        <f t="shared" si="143"/>
        <v>2.9963519999999999</v>
      </c>
      <c r="P658" s="166"/>
      <c r="Q658" s="166">
        <f t="shared" si="144"/>
        <v>1279.4423039999999</v>
      </c>
      <c r="R658" s="71"/>
    </row>
    <row r="659" spans="1:41" s="62" customFormat="1" x14ac:dyDescent="0.25">
      <c r="A659" s="358"/>
      <c r="B659" s="361"/>
      <c r="C659" s="245" t="s">
        <v>303</v>
      </c>
      <c r="D659" s="240"/>
      <c r="E659" s="240"/>
      <c r="F659" s="240"/>
      <c r="G659" s="227"/>
      <c r="H659" s="241"/>
      <c r="I659" s="206"/>
      <c r="J659" s="228"/>
      <c r="K659" s="207"/>
      <c r="L659" s="257"/>
      <c r="M659" s="209"/>
      <c r="N659" s="210"/>
      <c r="O659" s="198">
        <f>SUM(O653:O658)</f>
        <v>86.725580999999991</v>
      </c>
      <c r="P659" s="267"/>
      <c r="Q659" s="166"/>
      <c r="R659" s="71"/>
    </row>
    <row r="660" spans="1:41" s="61" customFormat="1" ht="63" x14ac:dyDescent="0.25">
      <c r="A660" s="358"/>
      <c r="B660" s="361"/>
      <c r="C660" s="365" t="s">
        <v>77</v>
      </c>
      <c r="D660" s="156" t="s">
        <v>29</v>
      </c>
      <c r="E660" s="156" t="s">
        <v>58</v>
      </c>
      <c r="F660" s="156" t="s">
        <v>218</v>
      </c>
      <c r="G660" s="238">
        <f>MROUND(H660*L660*I660/K660,0.00000001)</f>
        <v>3.2003399999999999E-3</v>
      </c>
      <c r="H660" s="158">
        <v>15</v>
      </c>
      <c r="I660" s="159">
        <f>I658</f>
        <v>2.2775730000000001E-2</v>
      </c>
      <c r="J660" s="160"/>
      <c r="K660" s="161">
        <f>K658</f>
        <v>427</v>
      </c>
      <c r="L660" s="162">
        <v>4</v>
      </c>
      <c r="M660" s="163" t="str">
        <f>CONCATENATE(H660," ",F660,"*",L660," раза в год","*",I660,"/",K660,"чел.")</f>
        <v>15 установок*4 раза в год*0,02277573/427чел.</v>
      </c>
      <c r="N660" s="164">
        <f t="shared" ref="N660:N673" si="145">N60</f>
        <v>721.75483333333329</v>
      </c>
      <c r="O660" s="165">
        <f t="shared" ref="O660:O675" si="146">MROUND(G660*N660,0.000001)</f>
        <v>2.3098609999999997</v>
      </c>
      <c r="P660" s="166"/>
      <c r="Q660" s="166">
        <f t="shared" si="144"/>
        <v>986.3106469999999</v>
      </c>
      <c r="R660" s="71"/>
    </row>
    <row r="661" spans="1:41" s="61" customFormat="1" ht="47.25" x14ac:dyDescent="0.25">
      <c r="A661" s="358"/>
      <c r="B661" s="361"/>
      <c r="C661" s="366"/>
      <c r="D661" s="156" t="s">
        <v>30</v>
      </c>
      <c r="E661" s="156" t="s">
        <v>58</v>
      </c>
      <c r="F661" s="156" t="s">
        <v>218</v>
      </c>
      <c r="G661" s="238">
        <f>MROUND(H661*L661*I661/K661,0.00000001)</f>
        <v>1.6001699999999999E-3</v>
      </c>
      <c r="H661" s="158">
        <v>15</v>
      </c>
      <c r="I661" s="159">
        <f t="shared" si="140"/>
        <v>2.2775730000000001E-2</v>
      </c>
      <c r="J661" s="160"/>
      <c r="K661" s="161">
        <f>K660</f>
        <v>427</v>
      </c>
      <c r="L661" s="250">
        <v>2</v>
      </c>
      <c r="M661" s="163" t="str">
        <f>CONCATENATE(H661," ",F661,"*",L661,"полуг.","*",I661,"/",K661,"чел.")</f>
        <v>15 установок*2полуг.*0,02277573/427чел.</v>
      </c>
      <c r="N661" s="164">
        <f t="shared" si="145"/>
        <v>721.75266666666664</v>
      </c>
      <c r="O661" s="165">
        <f t="shared" si="146"/>
        <v>1.154927</v>
      </c>
      <c r="P661" s="166"/>
      <c r="Q661" s="166">
        <f t="shared" si="144"/>
        <v>493.15382900000003</v>
      </c>
      <c r="R661" s="71"/>
    </row>
    <row r="662" spans="1:41" s="61" customFormat="1" ht="31.5" x14ac:dyDescent="0.25">
      <c r="A662" s="358"/>
      <c r="B662" s="361"/>
      <c r="C662" s="366"/>
      <c r="D662" s="156" t="s">
        <v>397</v>
      </c>
      <c r="E662" s="156" t="s">
        <v>433</v>
      </c>
      <c r="F662" s="156" t="s">
        <v>433</v>
      </c>
      <c r="G662" s="238">
        <f>MROUND(H662*L662*I662/K662,0.000001)</f>
        <v>3.2002999999999997E-2</v>
      </c>
      <c r="H662" s="158">
        <f>H62</f>
        <v>600</v>
      </c>
      <c r="I662" s="159">
        <f t="shared" si="140"/>
        <v>2.2775730000000001E-2</v>
      </c>
      <c r="J662" s="160"/>
      <c r="K662" s="161">
        <f>K661</f>
        <v>427</v>
      </c>
      <c r="L662" s="162">
        <v>1</v>
      </c>
      <c r="M662" s="163" t="str">
        <f>CONCATENATE(H662," ",F662,"(обрабатываемая площадь в год)","*",L662," раз в год","*",I662,"/",K662,"чел.")</f>
        <v>600 м2.(обрабатываемая площадь в год)*1 раз в год*0,02277573/427чел.</v>
      </c>
      <c r="N662" s="164">
        <f t="shared" si="145"/>
        <v>300</v>
      </c>
      <c r="O662" s="165">
        <f t="shared" si="146"/>
        <v>9.6008999999999993</v>
      </c>
      <c r="P662" s="166"/>
      <c r="Q662" s="166">
        <f t="shared" si="144"/>
        <v>4099.5842999999995</v>
      </c>
      <c r="R662" s="71"/>
    </row>
    <row r="663" spans="1:41" s="61" customFormat="1" ht="47.25" x14ac:dyDescent="0.25">
      <c r="A663" s="358"/>
      <c r="B663" s="361"/>
      <c r="C663" s="366"/>
      <c r="D663" s="156" t="s">
        <v>32</v>
      </c>
      <c r="E663" s="156" t="s">
        <v>55</v>
      </c>
      <c r="F663" s="156" t="s">
        <v>219</v>
      </c>
      <c r="G663" s="238">
        <f>MROUND(H663*L663*I663/K663,0.000000001)</f>
        <v>7.6808080000000008E-3</v>
      </c>
      <c r="H663" s="158">
        <f>H63</f>
        <v>36</v>
      </c>
      <c r="I663" s="159">
        <f>I662</f>
        <v>2.2775730000000001E-2</v>
      </c>
      <c r="J663" s="160"/>
      <c r="K663" s="161">
        <f>K662</f>
        <v>427</v>
      </c>
      <c r="L663" s="250">
        <v>4</v>
      </c>
      <c r="M663" s="163" t="str">
        <f>CONCATENATE(H663," ",F663,"*",L663,"кв.","*",I663,"/",K663,"чел.")</f>
        <v>36 системы*4кв.*0,02277573/427чел.</v>
      </c>
      <c r="N663" s="164">
        <f t="shared" si="145"/>
        <v>6924.5277777777774</v>
      </c>
      <c r="O663" s="165">
        <f t="shared" si="146"/>
        <v>53.185967999999995</v>
      </c>
      <c r="P663" s="166"/>
      <c r="Q663" s="166">
        <f t="shared" si="144"/>
        <v>22710.408335999997</v>
      </c>
      <c r="R663" s="71"/>
    </row>
    <row r="664" spans="1:41" s="61" customFormat="1" ht="63" x14ac:dyDescent="0.25">
      <c r="A664" s="358"/>
      <c r="B664" s="361"/>
      <c r="C664" s="366"/>
      <c r="D664" s="156" t="s">
        <v>33</v>
      </c>
      <c r="E664" s="156" t="s">
        <v>56</v>
      </c>
      <c r="F664" s="156" t="s">
        <v>220</v>
      </c>
      <c r="G664" s="238">
        <f>MROUND(H664*L664*I664/K664,0.000000001)</f>
        <v>1.9202020000000002E-3</v>
      </c>
      <c r="H664" s="158">
        <f>$H$64</f>
        <v>36</v>
      </c>
      <c r="I664" s="159">
        <f>I662</f>
        <v>2.2775730000000001E-2</v>
      </c>
      <c r="J664" s="160"/>
      <c r="K664" s="161">
        <f>K662</f>
        <v>427</v>
      </c>
      <c r="L664" s="162">
        <v>1</v>
      </c>
      <c r="M664" s="163" t="str">
        <f>CONCATENATE(H664," ",F664,"*",L664," раз в год","*",I664,"/",K664,"чел.")</f>
        <v>36 дымоходов*1 раз в год*0,02277573/427чел.</v>
      </c>
      <c r="N664" s="164">
        <f t="shared" si="145"/>
        <v>6540</v>
      </c>
      <c r="O664" s="165">
        <f t="shared" si="146"/>
        <v>12.558121</v>
      </c>
      <c r="P664" s="166"/>
      <c r="Q664" s="166">
        <f t="shared" si="144"/>
        <v>5362.3176670000003</v>
      </c>
      <c r="R664" s="71"/>
    </row>
    <row r="665" spans="1:41" s="61" customFormat="1" x14ac:dyDescent="0.25">
      <c r="A665" s="358"/>
      <c r="B665" s="361"/>
      <c r="C665" s="366"/>
      <c r="D665" s="194" t="s">
        <v>398</v>
      </c>
      <c r="E665" s="156" t="s">
        <v>60</v>
      </c>
      <c r="F665" s="156" t="s">
        <v>60</v>
      </c>
      <c r="G665" s="238">
        <f>MROUND(H665*L665*I665/K665,0.000000001)</f>
        <v>1.8668630000000001E-3</v>
      </c>
      <c r="H665" s="246">
        <f t="shared" ref="H665:H675" si="147">H65</f>
        <v>35</v>
      </c>
      <c r="I665" s="159">
        <f t="shared" si="140"/>
        <v>2.2775730000000001E-2</v>
      </c>
      <c r="J665" s="160"/>
      <c r="K665" s="161">
        <f>K664</f>
        <v>427</v>
      </c>
      <c r="L665" s="250">
        <v>1</v>
      </c>
      <c r="M665" s="163" t="str">
        <f>CONCATENATE(H665," ",F665,"*",I665,"/",K665,"чел.")</f>
        <v>35 шт.*0,02277573/427чел.</v>
      </c>
      <c r="N665" s="164">
        <f t="shared" si="145"/>
        <v>11009</v>
      </c>
      <c r="O665" s="165">
        <f t="shared" si="146"/>
        <v>20.552294999999997</v>
      </c>
      <c r="P665" s="166"/>
      <c r="Q665" s="166">
        <f t="shared" si="144"/>
        <v>8775.829964999999</v>
      </c>
      <c r="R665" s="71"/>
    </row>
    <row r="666" spans="1:41" s="61" customFormat="1" ht="47.25" x14ac:dyDescent="0.25">
      <c r="A666" s="358"/>
      <c r="B666" s="361"/>
      <c r="C666" s="366"/>
      <c r="D666" s="156" t="s">
        <v>401</v>
      </c>
      <c r="E666" s="156" t="s">
        <v>60</v>
      </c>
      <c r="F666" s="156" t="s">
        <v>402</v>
      </c>
      <c r="G666" s="238">
        <f>MROUND(H666*L666*I666/K666,0.000001)</f>
        <v>3.7339999999999999E-3</v>
      </c>
      <c r="H666" s="246">
        <f t="shared" si="147"/>
        <v>35</v>
      </c>
      <c r="I666" s="159">
        <f t="shared" si="140"/>
        <v>2.2775730000000001E-2</v>
      </c>
      <c r="J666" s="160"/>
      <c r="K666" s="161">
        <f>K665</f>
        <v>427</v>
      </c>
      <c r="L666" s="162">
        <v>2</v>
      </c>
      <c r="M666" s="163" t="str">
        <f>CONCATENATE(H666," ",F666,"*",L666," раз в год","*",I666,"/",K666,"чел.")</f>
        <v>35 противопожарных водопроводов*2 раз в год*0,02277573/427чел.</v>
      </c>
      <c r="N666" s="164">
        <f t="shared" si="145"/>
        <v>5450</v>
      </c>
      <c r="O666" s="165">
        <f t="shared" si="146"/>
        <v>20.350300000000001</v>
      </c>
      <c r="P666" s="166"/>
      <c r="Q666" s="166">
        <f t="shared" si="144"/>
        <v>8689.5781000000006</v>
      </c>
      <c r="R666" s="71"/>
    </row>
    <row r="667" spans="1:41" s="61" customFormat="1" ht="31.5" x14ac:dyDescent="0.25">
      <c r="A667" s="358"/>
      <c r="B667" s="361"/>
      <c r="C667" s="366"/>
      <c r="D667" s="156" t="s">
        <v>221</v>
      </c>
      <c r="E667" s="156" t="s">
        <v>60</v>
      </c>
      <c r="F667" s="156" t="s">
        <v>60</v>
      </c>
      <c r="G667" s="238">
        <f>MROUND(H667*L667*I667/K667,0.000000001)</f>
        <v>1.1521212000000001E-2</v>
      </c>
      <c r="H667" s="158">
        <f t="shared" si="147"/>
        <v>18</v>
      </c>
      <c r="I667" s="159">
        <f t="shared" si="140"/>
        <v>2.2775730000000001E-2</v>
      </c>
      <c r="J667" s="160"/>
      <c r="K667" s="161">
        <f>K666</f>
        <v>427</v>
      </c>
      <c r="L667" s="250">
        <v>12</v>
      </c>
      <c r="M667" s="163" t="str">
        <f>CONCATENATE(H667," ",F667,"*",L667,"мес.","*",I667,"/",K667,"чел.")</f>
        <v>18 шт.*12мес.*0,02277573/427чел.</v>
      </c>
      <c r="N667" s="164">
        <f t="shared" si="145"/>
        <v>6288.0888888888885</v>
      </c>
      <c r="O667" s="165">
        <f t="shared" si="146"/>
        <v>72.446404999999999</v>
      </c>
      <c r="P667" s="166"/>
      <c r="Q667" s="166">
        <f t="shared" si="144"/>
        <v>30934.614934999998</v>
      </c>
      <c r="R667" s="71"/>
    </row>
    <row r="668" spans="1:41" s="61" customFormat="1" ht="47.25" x14ac:dyDescent="0.25">
      <c r="A668" s="358"/>
      <c r="B668" s="361"/>
      <c r="C668" s="366"/>
      <c r="D668" s="156" t="s">
        <v>34</v>
      </c>
      <c r="E668" s="156" t="s">
        <v>59</v>
      </c>
      <c r="F668" s="156" t="s">
        <v>28</v>
      </c>
      <c r="G668" s="238">
        <f>MROUND(H668*L668*I668/K668,0.0000000001)</f>
        <v>1.066779E-4</v>
      </c>
      <c r="H668" s="158">
        <f t="shared" si="147"/>
        <v>2</v>
      </c>
      <c r="I668" s="159">
        <f t="shared" si="140"/>
        <v>2.2775730000000001E-2</v>
      </c>
      <c r="J668" s="160"/>
      <c r="K668" s="161">
        <f>K667</f>
        <v>427</v>
      </c>
      <c r="L668" s="250">
        <v>1</v>
      </c>
      <c r="M668" s="163" t="str">
        <f>CONCATENATE(H668," ",F668,"*",I668,"/",K668,"чел.")</f>
        <v>2 шт*0,02277573/427чел.</v>
      </c>
      <c r="N668" s="164">
        <f t="shared" si="145"/>
        <v>7500</v>
      </c>
      <c r="O668" s="165">
        <f t="shared" si="146"/>
        <v>0.80008400000000002</v>
      </c>
      <c r="P668" s="166"/>
      <c r="Q668" s="166">
        <f t="shared" si="144"/>
        <v>341.63586800000002</v>
      </c>
      <c r="R668" s="71"/>
    </row>
    <row r="669" spans="1:41" s="61" customFormat="1" ht="47.25" x14ac:dyDescent="0.25">
      <c r="A669" s="358"/>
      <c r="B669" s="361"/>
      <c r="C669" s="366"/>
      <c r="D669" s="156" t="s">
        <v>222</v>
      </c>
      <c r="E669" s="156" t="s">
        <v>60</v>
      </c>
      <c r="F669" s="156" t="s">
        <v>60</v>
      </c>
      <c r="G669" s="238">
        <f>MROUND(H669*L669*I669/K669,0.00000000001)</f>
        <v>1.8668631099999999E-3</v>
      </c>
      <c r="H669" s="248">
        <f t="shared" si="147"/>
        <v>35</v>
      </c>
      <c r="I669" s="159">
        <f t="shared" si="140"/>
        <v>2.2775730000000001E-2</v>
      </c>
      <c r="J669" s="160"/>
      <c r="K669" s="161">
        <f>K668</f>
        <v>427</v>
      </c>
      <c r="L669" s="250">
        <v>1</v>
      </c>
      <c r="M669" s="163" t="str">
        <f>CONCATENATE(H669," ",F669,"*",I669,"/",K669,"чел.")</f>
        <v>35 шт.*0,02277573/427чел.</v>
      </c>
      <c r="N669" s="164">
        <f t="shared" si="145"/>
        <v>8189.7714285714283</v>
      </c>
      <c r="O669" s="165">
        <f>MROUND(G669*N669,0.00000001)</f>
        <v>15.289182160000001</v>
      </c>
      <c r="P669" s="166"/>
      <c r="Q669" s="166">
        <f t="shared" si="144"/>
        <v>6528.4807823200008</v>
      </c>
      <c r="R669" s="71"/>
    </row>
    <row r="670" spans="1:41" s="61" customFormat="1" ht="31.5" x14ac:dyDescent="0.25">
      <c r="A670" s="358"/>
      <c r="B670" s="361"/>
      <c r="C670" s="366"/>
      <c r="D670" s="156" t="s">
        <v>35</v>
      </c>
      <c r="E670" s="156" t="s">
        <v>102</v>
      </c>
      <c r="F670" s="156" t="s">
        <v>223</v>
      </c>
      <c r="G670" s="238">
        <f>MROUND(H670*L670*I670/K670,0.00000001)</f>
        <v>1.8668600000000001E-3</v>
      </c>
      <c r="H670" s="158">
        <f t="shared" si="147"/>
        <v>35</v>
      </c>
      <c r="I670" s="159">
        <f>I668</f>
        <v>2.2775730000000001E-2</v>
      </c>
      <c r="J670" s="160"/>
      <c r="K670" s="161">
        <f>K668</f>
        <v>427</v>
      </c>
      <c r="L670" s="250">
        <v>1</v>
      </c>
      <c r="M670" s="163" t="str">
        <f>CONCATENATE(H670," ",F670,"*",I670,"/",K670,"чел.")</f>
        <v>35 замеров*0,02277573/427чел.</v>
      </c>
      <c r="N670" s="164">
        <f t="shared" si="145"/>
        <v>20142.857142857141</v>
      </c>
      <c r="O670" s="165">
        <f t="shared" si="146"/>
        <v>37.603893999999997</v>
      </c>
      <c r="P670" s="166"/>
      <c r="Q670" s="166">
        <f t="shared" si="144"/>
        <v>16056.862737999998</v>
      </c>
      <c r="R670" s="71"/>
    </row>
    <row r="671" spans="1:41" s="61" customFormat="1" ht="47.25" x14ac:dyDescent="0.25">
      <c r="A671" s="358"/>
      <c r="B671" s="361"/>
      <c r="C671" s="366"/>
      <c r="D671" s="156" t="s">
        <v>399</v>
      </c>
      <c r="E671" s="156" t="s">
        <v>60</v>
      </c>
      <c r="F671" s="156" t="s">
        <v>60</v>
      </c>
      <c r="G671" s="238">
        <f>MROUND(H671*L671*I671/K671,0.000000001)</f>
        <v>1.8668631000000002E-2</v>
      </c>
      <c r="H671" s="158">
        <f t="shared" si="147"/>
        <v>35</v>
      </c>
      <c r="I671" s="159">
        <f t="shared" si="140"/>
        <v>2.2775730000000001E-2</v>
      </c>
      <c r="J671" s="160"/>
      <c r="K671" s="161">
        <f>K670</f>
        <v>427</v>
      </c>
      <c r="L671" s="250">
        <v>10</v>
      </c>
      <c r="M671" s="163" t="str">
        <f>CONCATENATE(H671," ",F671,"*",L671,"мес.","*",I671,"/",K671,"чел.")</f>
        <v>35 шт.*10мес.*0,02277573/427чел.</v>
      </c>
      <c r="N671" s="164">
        <f t="shared" si="145"/>
        <v>3107.903028571428</v>
      </c>
      <c r="O671" s="165">
        <f t="shared" si="146"/>
        <v>58.020294999999997</v>
      </c>
      <c r="P671" s="166"/>
      <c r="Q671" s="166">
        <f t="shared" si="144"/>
        <v>24774.665965</v>
      </c>
      <c r="R671" s="71"/>
    </row>
    <row r="672" spans="1:41" s="61" customFormat="1" ht="47.25" x14ac:dyDescent="0.25">
      <c r="A672" s="358"/>
      <c r="B672" s="361"/>
      <c r="C672" s="366"/>
      <c r="D672" s="156" t="s">
        <v>36</v>
      </c>
      <c r="E672" s="156" t="s">
        <v>31</v>
      </c>
      <c r="F672" s="156" t="s">
        <v>224</v>
      </c>
      <c r="G672" s="238">
        <f>MROUND(H672*L672*I672/K672,0.00000001)</f>
        <v>2.3042420000000001E-2</v>
      </c>
      <c r="H672" s="158">
        <f t="shared" si="147"/>
        <v>36</v>
      </c>
      <c r="I672" s="159">
        <f t="shared" si="140"/>
        <v>2.2775730000000001E-2</v>
      </c>
      <c r="J672" s="160"/>
      <c r="K672" s="161">
        <f>K671</f>
        <v>427</v>
      </c>
      <c r="L672" s="250">
        <v>12</v>
      </c>
      <c r="M672" s="163" t="str">
        <f>CONCATENATE(H672," ",F672,"*",L672,"мес.","*",I672,"/",K672,"чел.")</f>
        <v>36 устройств*12мес.*0,02277573/427чел.</v>
      </c>
      <c r="N672" s="164">
        <f t="shared" si="145"/>
        <v>2200</v>
      </c>
      <c r="O672" s="165">
        <f t="shared" si="146"/>
        <v>50.693323999999997</v>
      </c>
      <c r="P672" s="166"/>
      <c r="Q672" s="166">
        <f t="shared" si="144"/>
        <v>21646.049348</v>
      </c>
      <c r="R672" s="71"/>
    </row>
    <row r="673" spans="1:18" s="61" customFormat="1" ht="31.5" x14ac:dyDescent="0.25">
      <c r="A673" s="358"/>
      <c r="B673" s="361"/>
      <c r="C673" s="366"/>
      <c r="D673" s="156" t="s">
        <v>99</v>
      </c>
      <c r="E673" s="156" t="s">
        <v>103</v>
      </c>
      <c r="F673" s="156" t="s">
        <v>225</v>
      </c>
      <c r="G673" s="238">
        <f>MROUND(H673*L673*I673/K673,0.00000001)</f>
        <v>2.02688E-2</v>
      </c>
      <c r="H673" s="158">
        <f t="shared" si="147"/>
        <v>380</v>
      </c>
      <c r="I673" s="159">
        <f t="shared" si="140"/>
        <v>2.2775730000000001E-2</v>
      </c>
      <c r="J673" s="160"/>
      <c r="K673" s="161">
        <f>K672</f>
        <v>427</v>
      </c>
      <c r="L673" s="250">
        <v>1</v>
      </c>
      <c r="M673" s="163" t="str">
        <f>CONCATENATE(H673," ",F673,"*",I673,"/",K673,"чел.")</f>
        <v>380 ед.*0,02277573/427чел.</v>
      </c>
      <c r="N673" s="164">
        <f t="shared" si="145"/>
        <v>15000</v>
      </c>
      <c r="O673" s="165">
        <f t="shared" si="146"/>
        <v>304.03199999999998</v>
      </c>
      <c r="P673" s="166"/>
      <c r="Q673" s="166">
        <f t="shared" si="144"/>
        <v>129821.66399999999</v>
      </c>
      <c r="R673" s="71"/>
    </row>
    <row r="674" spans="1:18" s="61" customFormat="1" x14ac:dyDescent="0.25">
      <c r="A674" s="358"/>
      <c r="B674" s="361"/>
      <c r="C674" s="366"/>
      <c r="D674" s="156" t="s">
        <v>27</v>
      </c>
      <c r="E674" s="156" t="s">
        <v>28</v>
      </c>
      <c r="F674" s="156" t="s">
        <v>28</v>
      </c>
      <c r="G674" s="238">
        <f>MROUND(H674*L674*I674/K674,0.000000001)</f>
        <v>0.30483207700000003</v>
      </c>
      <c r="H674" s="160">
        <f t="shared" si="147"/>
        <v>5715</v>
      </c>
      <c r="I674" s="159">
        <f t="shared" si="140"/>
        <v>2.2775730000000001E-2</v>
      </c>
      <c r="J674" s="160"/>
      <c r="K674" s="161">
        <f>K673</f>
        <v>427</v>
      </c>
      <c r="L674" s="250">
        <v>1</v>
      </c>
      <c r="M674" s="163" t="str">
        <f>CONCATENATE(H674," ",F674,"*",I674,"/",K674,"чел.")</f>
        <v>5715 шт*0,02277573/427чел.</v>
      </c>
      <c r="N674" s="164">
        <f>N194</f>
        <v>400</v>
      </c>
      <c r="O674" s="165">
        <f t="shared" si="146"/>
        <v>121.93283099999999</v>
      </c>
      <c r="P674" s="166"/>
      <c r="Q674" s="166">
        <f t="shared" si="144"/>
        <v>52065.318836999999</v>
      </c>
      <c r="R674" s="71"/>
    </row>
    <row r="675" spans="1:18" s="61" customFormat="1" ht="31.5" x14ac:dyDescent="0.25">
      <c r="A675" s="358"/>
      <c r="B675" s="361"/>
      <c r="C675" s="367"/>
      <c r="D675" s="156" t="s">
        <v>104</v>
      </c>
      <c r="E675" s="156" t="s">
        <v>105</v>
      </c>
      <c r="F675" s="156" t="s">
        <v>226</v>
      </c>
      <c r="G675" s="238">
        <f>MROUND(H675*L675*I675/K675,0.00000001)</f>
        <v>1.9201999999999999E-3</v>
      </c>
      <c r="H675" s="160">
        <f t="shared" si="147"/>
        <v>36</v>
      </c>
      <c r="I675" s="159">
        <f t="shared" si="140"/>
        <v>2.2775730000000001E-2</v>
      </c>
      <c r="J675" s="160"/>
      <c r="K675" s="161">
        <f>K674</f>
        <v>427</v>
      </c>
      <c r="L675" s="250">
        <v>1</v>
      </c>
      <c r="M675" s="163" t="str">
        <f>CONCATENATE(H675," ",F675,"*",I675,"/",K675,"чел.")</f>
        <v>36 отключений*0,02277573/427чел.</v>
      </c>
      <c r="N675" s="164">
        <f>N75</f>
        <v>9810</v>
      </c>
      <c r="O675" s="165">
        <f t="shared" si="146"/>
        <v>18.837161999999999</v>
      </c>
      <c r="P675" s="166"/>
      <c r="Q675" s="166">
        <f t="shared" si="144"/>
        <v>8043.4681739999996</v>
      </c>
      <c r="R675" s="71"/>
    </row>
    <row r="676" spans="1:18" s="62" customFormat="1" x14ac:dyDescent="0.25">
      <c r="A676" s="358"/>
      <c r="B676" s="361"/>
      <c r="C676" s="249" t="s">
        <v>304</v>
      </c>
      <c r="D676" s="240"/>
      <c r="E676" s="240"/>
      <c r="F676" s="240"/>
      <c r="G676" s="227"/>
      <c r="H676" s="228"/>
      <c r="I676" s="206"/>
      <c r="J676" s="228"/>
      <c r="K676" s="207"/>
      <c r="L676" s="257"/>
      <c r="M676" s="209"/>
      <c r="N676" s="210"/>
      <c r="O676" s="198">
        <f>SUM(O660:O675)</f>
        <v>799.36754915999995</v>
      </c>
      <c r="P676" s="267"/>
      <c r="Q676" s="166"/>
      <c r="R676" s="71"/>
    </row>
    <row r="677" spans="1:18" s="61" customFormat="1" ht="31.5" x14ac:dyDescent="0.25">
      <c r="A677" s="358"/>
      <c r="B677" s="361"/>
      <c r="C677" s="221" t="s">
        <v>79</v>
      </c>
      <c r="D677" s="156" t="s">
        <v>37</v>
      </c>
      <c r="E677" s="156" t="s">
        <v>61</v>
      </c>
      <c r="F677" s="156" t="s">
        <v>227</v>
      </c>
      <c r="G677" s="238">
        <f>MROUND(H677*L677*I677/K677,0.000000001)</f>
        <v>2.1335600000000002E-4</v>
      </c>
      <c r="H677" s="158">
        <f>H77</f>
        <v>4</v>
      </c>
      <c r="I677" s="159">
        <f>I675</f>
        <v>2.2775730000000001E-2</v>
      </c>
      <c r="J677" s="160"/>
      <c r="K677" s="161">
        <f>K675</f>
        <v>427</v>
      </c>
      <c r="L677" s="250">
        <v>1</v>
      </c>
      <c r="M677" s="163" t="str">
        <f>CONCATENATE(H677," ",F677,"*",I677,"/",K677,"чел.")</f>
        <v>4 автобуса*0,02277573/427чел.</v>
      </c>
      <c r="N677" s="164">
        <f>N77</f>
        <v>93408.640000000014</v>
      </c>
      <c r="O677" s="165">
        <f>MROUND(G677*N677,0.000001)</f>
        <v>19.929293999999999</v>
      </c>
      <c r="P677" s="166"/>
      <c r="Q677" s="166">
        <f t="shared" si="144"/>
        <v>8509.8085379999993</v>
      </c>
      <c r="R677" s="71"/>
    </row>
    <row r="678" spans="1:18" s="62" customFormat="1" x14ac:dyDescent="0.25">
      <c r="A678" s="358"/>
      <c r="B678" s="361"/>
      <c r="C678" s="218" t="s">
        <v>305</v>
      </c>
      <c r="D678" s="240"/>
      <c r="E678" s="240"/>
      <c r="F678" s="240"/>
      <c r="G678" s="227"/>
      <c r="H678" s="241"/>
      <c r="I678" s="206"/>
      <c r="J678" s="228"/>
      <c r="K678" s="207"/>
      <c r="L678" s="257"/>
      <c r="M678" s="209"/>
      <c r="N678" s="210"/>
      <c r="O678" s="198">
        <f>SUM(O677)</f>
        <v>19.929293999999999</v>
      </c>
      <c r="P678" s="267"/>
      <c r="Q678" s="166"/>
      <c r="R678" s="71"/>
    </row>
    <row r="679" spans="1:18" s="61" customFormat="1" x14ac:dyDescent="0.25">
      <c r="A679" s="358"/>
      <c r="B679" s="361"/>
      <c r="C679" s="364" t="s">
        <v>80</v>
      </c>
      <c r="D679" s="156" t="s">
        <v>38</v>
      </c>
      <c r="E679" s="156" t="s">
        <v>57</v>
      </c>
      <c r="F679" s="156" t="s">
        <v>228</v>
      </c>
      <c r="G679" s="238">
        <f>MROUND(H679*L679*I679/K679,0.000000001)</f>
        <v>2.3042425000000002E-2</v>
      </c>
      <c r="H679" s="158">
        <f>H79</f>
        <v>36</v>
      </c>
      <c r="I679" s="159">
        <f>I677</f>
        <v>2.2775730000000001E-2</v>
      </c>
      <c r="J679" s="160"/>
      <c r="K679" s="161">
        <f>K677</f>
        <v>427</v>
      </c>
      <c r="L679" s="250">
        <v>12</v>
      </c>
      <c r="M679" s="163" t="str">
        <f>CONCATENATE(H679," ",F679,"*",L679,"мес.","*",I679,"/",K679,"чел.")</f>
        <v>36 зданий*12мес.*0,02277573/427чел.</v>
      </c>
      <c r="N679" s="164">
        <f t="shared" ref="N679:N690" si="148">N79</f>
        <v>4694.6300000000019</v>
      </c>
      <c r="O679" s="165">
        <f>MROUND(G679*N679,0.000001)</f>
        <v>108.17565999999999</v>
      </c>
      <c r="P679" s="166"/>
      <c r="Q679" s="166">
        <f t="shared" si="144"/>
        <v>46191.006819999995</v>
      </c>
      <c r="R679" s="71"/>
    </row>
    <row r="680" spans="1:18" s="61" customFormat="1" ht="47.25" x14ac:dyDescent="0.25">
      <c r="A680" s="358"/>
      <c r="B680" s="361"/>
      <c r="C680" s="364"/>
      <c r="D680" s="156" t="s">
        <v>229</v>
      </c>
      <c r="E680" s="156" t="s">
        <v>60</v>
      </c>
      <c r="F680" s="156" t="s">
        <v>60</v>
      </c>
      <c r="G680" s="238">
        <f>MROUND(H680*L680*I680/K680,0.000001)</f>
        <v>0.127693</v>
      </c>
      <c r="H680" s="158">
        <f>H80</f>
        <v>2394</v>
      </c>
      <c r="I680" s="159">
        <f t="shared" si="140"/>
        <v>2.2775730000000001E-2</v>
      </c>
      <c r="J680" s="160"/>
      <c r="K680" s="161">
        <f>K679</f>
        <v>427</v>
      </c>
      <c r="L680" s="250">
        <v>1</v>
      </c>
      <c r="M680" s="163" t="str">
        <f t="shared" ref="M680:M687" si="149">CONCATENATE(H680," ",F680,"*",I680,"/",K680,"чел.")</f>
        <v>2394 шт.*0,02277573/427чел.</v>
      </c>
      <c r="N680" s="164">
        <f t="shared" si="148"/>
        <v>163.5</v>
      </c>
      <c r="O680" s="165">
        <f>MROUND(G680*N680,0.000001)</f>
        <v>20.877806</v>
      </c>
      <c r="P680" s="166"/>
      <c r="Q680" s="166">
        <f t="shared" si="144"/>
        <v>8914.8231620000006</v>
      </c>
      <c r="R680" s="71"/>
    </row>
    <row r="681" spans="1:18" s="61" customFormat="1" ht="47.25" x14ac:dyDescent="0.25">
      <c r="A681" s="358"/>
      <c r="B681" s="361"/>
      <c r="C681" s="364"/>
      <c r="D681" s="156" t="s">
        <v>405</v>
      </c>
      <c r="E681" s="156" t="s">
        <v>60</v>
      </c>
      <c r="F681" s="156" t="s">
        <v>406</v>
      </c>
      <c r="G681" s="238">
        <f>MROUND(H681*L681*I681/K681,0.00000001)</f>
        <v>1.9201999999999999E-3</v>
      </c>
      <c r="H681" s="158">
        <f>H321</f>
        <v>36</v>
      </c>
      <c r="I681" s="159">
        <f t="shared" si="140"/>
        <v>2.2775730000000001E-2</v>
      </c>
      <c r="J681" s="160"/>
      <c r="K681" s="161">
        <f>K680</f>
        <v>427</v>
      </c>
      <c r="L681" s="250">
        <v>1</v>
      </c>
      <c r="M681" s="163" t="str">
        <f t="shared" si="149"/>
        <v>36 лицензий*0,02277573/427чел.</v>
      </c>
      <c r="N681" s="164">
        <f t="shared" si="148"/>
        <v>11990</v>
      </c>
      <c r="O681" s="165">
        <f t="shared" ref="O681:O690" si="150">MROUND(G681*N681,0.000001)</f>
        <v>23.023198000000001</v>
      </c>
      <c r="P681" s="166"/>
      <c r="Q681" s="166">
        <f t="shared" si="144"/>
        <v>9830.905546</v>
      </c>
      <c r="R681" s="71"/>
    </row>
    <row r="682" spans="1:18" s="61" customFormat="1" ht="63" x14ac:dyDescent="0.25">
      <c r="A682" s="358"/>
      <c r="B682" s="361"/>
      <c r="C682" s="364"/>
      <c r="D682" s="156" t="s">
        <v>39</v>
      </c>
      <c r="E682" s="156" t="s">
        <v>20</v>
      </c>
      <c r="F682" s="156" t="s">
        <v>234</v>
      </c>
      <c r="G682" s="238">
        <f>MROUND(H682*L682*I682/K682,0.00000001)</f>
        <v>6.2940000000000001E-3</v>
      </c>
      <c r="H682" s="158">
        <f>H202</f>
        <v>118</v>
      </c>
      <c r="I682" s="159">
        <f>I680</f>
        <v>2.2775730000000001E-2</v>
      </c>
      <c r="J682" s="160"/>
      <c r="K682" s="161">
        <f>K680</f>
        <v>427</v>
      </c>
      <c r="L682" s="250">
        <v>1</v>
      </c>
      <c r="M682" s="163" t="str">
        <f t="shared" si="149"/>
        <v>118 чел(заявленная потребность руководителями учреждений)*0,02277573/427чел.</v>
      </c>
      <c r="N682" s="164">
        <f t="shared" si="148"/>
        <v>763</v>
      </c>
      <c r="O682" s="165">
        <f t="shared" si="150"/>
        <v>4.8023220000000002</v>
      </c>
      <c r="P682" s="166"/>
      <c r="Q682" s="166">
        <f t="shared" si="144"/>
        <v>2050.5914940000002</v>
      </c>
      <c r="R682" s="71"/>
    </row>
    <row r="683" spans="1:18" s="61" customFormat="1" ht="63" x14ac:dyDescent="0.25">
      <c r="A683" s="358"/>
      <c r="B683" s="361"/>
      <c r="C683" s="364"/>
      <c r="D683" s="156" t="s">
        <v>40</v>
      </c>
      <c r="E683" s="156" t="s">
        <v>20</v>
      </c>
      <c r="F683" s="156" t="s">
        <v>234</v>
      </c>
      <c r="G683" s="238">
        <f>MROUND(H683*L683*I683/K683,0.000000001)</f>
        <v>5.2805560000000005E-3</v>
      </c>
      <c r="H683" s="158">
        <f>H203</f>
        <v>99</v>
      </c>
      <c r="I683" s="159">
        <f t="shared" si="140"/>
        <v>2.2775730000000001E-2</v>
      </c>
      <c r="J683" s="160"/>
      <c r="K683" s="161">
        <f t="shared" ref="K683:K690" si="151">K682</f>
        <v>427</v>
      </c>
      <c r="L683" s="250">
        <v>1</v>
      </c>
      <c r="M683" s="163" t="str">
        <f t="shared" si="149"/>
        <v>99 чел(заявленная потребность руководителями учреждений)*0,02277573/427чел.</v>
      </c>
      <c r="N683" s="164">
        <f t="shared" si="148"/>
        <v>1585.4545454545455</v>
      </c>
      <c r="O683" s="165">
        <f t="shared" si="150"/>
        <v>8.3720819999999989</v>
      </c>
      <c r="P683" s="166"/>
      <c r="Q683" s="166">
        <f t="shared" si="144"/>
        <v>3574.8790139999996</v>
      </c>
      <c r="R683" s="71"/>
    </row>
    <row r="684" spans="1:18" s="61" customFormat="1" ht="63" x14ac:dyDescent="0.25">
      <c r="A684" s="358"/>
      <c r="B684" s="361"/>
      <c r="C684" s="364"/>
      <c r="D684" s="156" t="s">
        <v>100</v>
      </c>
      <c r="E684" s="156" t="s">
        <v>20</v>
      </c>
      <c r="F684" s="156" t="s">
        <v>234</v>
      </c>
      <c r="G684" s="238">
        <f>MROUND(H684*L684*I684/K684,0.0000000001)</f>
        <v>4.3204545999999998E-3</v>
      </c>
      <c r="H684" s="158">
        <f>H204</f>
        <v>81</v>
      </c>
      <c r="I684" s="159">
        <f t="shared" si="140"/>
        <v>2.2775730000000001E-2</v>
      </c>
      <c r="J684" s="160"/>
      <c r="K684" s="161">
        <f t="shared" si="151"/>
        <v>427</v>
      </c>
      <c r="L684" s="250">
        <v>1</v>
      </c>
      <c r="M684" s="163" t="str">
        <f t="shared" si="149"/>
        <v>81 чел(заявленная потребность руководителями учреждений)*0,02277573/427чел.</v>
      </c>
      <c r="N684" s="164">
        <f t="shared" si="148"/>
        <v>3488</v>
      </c>
      <c r="O684" s="165">
        <f t="shared" si="150"/>
        <v>15.069745999999999</v>
      </c>
      <c r="P684" s="166"/>
      <c r="Q684" s="166">
        <f t="shared" si="144"/>
        <v>6434.7815419999997</v>
      </c>
      <c r="R684" s="71"/>
    </row>
    <row r="685" spans="1:18" s="61" customFormat="1" ht="110.25" x14ac:dyDescent="0.25">
      <c r="A685" s="358"/>
      <c r="B685" s="361"/>
      <c r="C685" s="364"/>
      <c r="D685" s="156" t="s">
        <v>235</v>
      </c>
      <c r="E685" s="156" t="s">
        <v>50</v>
      </c>
      <c r="F685" s="156" t="s">
        <v>230</v>
      </c>
      <c r="G685" s="238">
        <f>MROUND(H685*L685*I685/K685,0.00000001)</f>
        <v>1.9201999999999999E-3</v>
      </c>
      <c r="H685" s="158">
        <f>H445</f>
        <v>36</v>
      </c>
      <c r="I685" s="159">
        <f t="shared" si="140"/>
        <v>2.2775730000000001E-2</v>
      </c>
      <c r="J685" s="160"/>
      <c r="K685" s="161">
        <f t="shared" si="151"/>
        <v>427</v>
      </c>
      <c r="L685" s="250">
        <v>1</v>
      </c>
      <c r="M685" s="163" t="str">
        <f t="shared" si="149"/>
        <v>36 отчетов*0,02277573/427чел.</v>
      </c>
      <c r="N685" s="164">
        <f t="shared" si="148"/>
        <v>6540</v>
      </c>
      <c r="O685" s="165">
        <f t="shared" si="150"/>
        <v>12.558107999999999</v>
      </c>
      <c r="P685" s="166"/>
      <c r="Q685" s="166">
        <f t="shared" si="144"/>
        <v>5362.3121159999992</v>
      </c>
      <c r="R685" s="71"/>
    </row>
    <row r="686" spans="1:18" s="61" customFormat="1" ht="63" x14ac:dyDescent="0.25">
      <c r="A686" s="358"/>
      <c r="B686" s="361"/>
      <c r="C686" s="364"/>
      <c r="D686" s="156" t="s">
        <v>42</v>
      </c>
      <c r="E686" s="156" t="s">
        <v>51</v>
      </c>
      <c r="F686" s="156" t="s">
        <v>407</v>
      </c>
      <c r="G686" s="238">
        <f>MROUND(H686*L686*I686/K686,0.000001)</f>
        <v>1.0881E-2</v>
      </c>
      <c r="H686" s="158">
        <f>H206</f>
        <v>204</v>
      </c>
      <c r="I686" s="159">
        <f t="shared" si="140"/>
        <v>2.2775730000000001E-2</v>
      </c>
      <c r="J686" s="160"/>
      <c r="K686" s="161">
        <f t="shared" si="151"/>
        <v>427</v>
      </c>
      <c r="L686" s="250">
        <v>1</v>
      </c>
      <c r="M686" s="163" t="str">
        <f t="shared" si="149"/>
        <v>204 ед (заявленная потребность руководителями учреждений)*0,02277573/427чел.</v>
      </c>
      <c r="N686" s="164">
        <f t="shared" si="148"/>
        <v>1090</v>
      </c>
      <c r="O686" s="165">
        <f t="shared" si="150"/>
        <v>11.860289999999999</v>
      </c>
      <c r="P686" s="166"/>
      <c r="Q686" s="166">
        <f t="shared" si="144"/>
        <v>5064.3438299999998</v>
      </c>
      <c r="R686" s="71"/>
    </row>
    <row r="687" spans="1:18" s="61" customFormat="1" ht="31.5" x14ac:dyDescent="0.25">
      <c r="A687" s="358"/>
      <c r="B687" s="361"/>
      <c r="C687" s="364"/>
      <c r="D687" s="156" t="s">
        <v>43</v>
      </c>
      <c r="E687" s="156" t="s">
        <v>52</v>
      </c>
      <c r="F687" s="156" t="s">
        <v>231</v>
      </c>
      <c r="G687" s="238">
        <f>MROUND(H687*L687*I687/K687,0.000000001)</f>
        <v>1.9202020000000002E-3</v>
      </c>
      <c r="H687" s="158">
        <f>H87</f>
        <v>36</v>
      </c>
      <c r="I687" s="159">
        <f t="shared" si="140"/>
        <v>2.2775730000000001E-2</v>
      </c>
      <c r="J687" s="160"/>
      <c r="K687" s="161">
        <f t="shared" si="151"/>
        <v>427</v>
      </c>
      <c r="L687" s="250">
        <v>1</v>
      </c>
      <c r="M687" s="163" t="str">
        <f t="shared" si="149"/>
        <v>36 ЭЦП*0,02277573/427чел.</v>
      </c>
      <c r="N687" s="164">
        <f t="shared" si="148"/>
        <v>7743.3599999999924</v>
      </c>
      <c r="O687" s="165">
        <f t="shared" si="150"/>
        <v>14.868815</v>
      </c>
      <c r="P687" s="166"/>
      <c r="Q687" s="166">
        <f t="shared" si="144"/>
        <v>6348.9840050000003</v>
      </c>
      <c r="R687" s="71"/>
    </row>
    <row r="688" spans="1:18" s="61" customFormat="1" ht="47.25" x14ac:dyDescent="0.25">
      <c r="A688" s="358"/>
      <c r="B688" s="361"/>
      <c r="C688" s="364"/>
      <c r="D688" s="156" t="s">
        <v>44</v>
      </c>
      <c r="E688" s="156" t="s">
        <v>85</v>
      </c>
      <c r="F688" s="156" t="s">
        <v>232</v>
      </c>
      <c r="G688" s="238">
        <f>MROUND(H688*L688*I688/K688,0.000001)</f>
        <v>6.4860000000000001E-2</v>
      </c>
      <c r="H688" s="158">
        <f>H88</f>
        <v>1216</v>
      </c>
      <c r="I688" s="159">
        <f t="shared" si="140"/>
        <v>2.2775730000000001E-2</v>
      </c>
      <c r="J688" s="160"/>
      <c r="K688" s="161">
        <f t="shared" si="151"/>
        <v>427</v>
      </c>
      <c r="L688" s="250">
        <v>1</v>
      </c>
      <c r="M688" s="163" t="str">
        <f>CONCATENATE(H688," ",F688,"*",L688,"мес.","*",I688,"/",K688,"чел.")</f>
        <v>1216 мед.осмотров в мес.*1мес.*0,02277573/427чел.</v>
      </c>
      <c r="N688" s="164">
        <f t="shared" si="148"/>
        <v>56.680000000000007</v>
      </c>
      <c r="O688" s="165">
        <f t="shared" si="150"/>
        <v>3.6762649999999999</v>
      </c>
      <c r="P688" s="166"/>
      <c r="Q688" s="166">
        <f t="shared" si="144"/>
        <v>1569.765155</v>
      </c>
      <c r="R688" s="71"/>
    </row>
    <row r="689" spans="1:18" s="61" customFormat="1" ht="63" x14ac:dyDescent="0.25">
      <c r="A689" s="358"/>
      <c r="B689" s="361"/>
      <c r="C689" s="364"/>
      <c r="D689" s="156" t="s">
        <v>45</v>
      </c>
      <c r="E689" s="156" t="s">
        <v>53</v>
      </c>
      <c r="F689" s="156" t="s">
        <v>233</v>
      </c>
      <c r="G689" s="238">
        <f>MROUND(H689*L689*I689/K689,0.000000001)</f>
        <v>2.560269E-3</v>
      </c>
      <c r="H689" s="158">
        <f>H209</f>
        <v>4</v>
      </c>
      <c r="I689" s="159">
        <f t="shared" si="140"/>
        <v>2.2775730000000001E-2</v>
      </c>
      <c r="J689" s="160"/>
      <c r="K689" s="161">
        <f t="shared" si="151"/>
        <v>427</v>
      </c>
      <c r="L689" s="250">
        <v>12</v>
      </c>
      <c r="M689" s="163" t="str">
        <f>CONCATENATE(H689," ",F689,"*",L689,"мес.","*",I689,"/",K689,"чел.")</f>
        <v>4  машины, оборудованных системой ГЛОНАСС*12мес.*0,02277573/427чел.</v>
      </c>
      <c r="N689" s="164">
        <f t="shared" si="148"/>
        <v>880.71999999999991</v>
      </c>
      <c r="O689" s="165">
        <f t="shared" si="150"/>
        <v>2.25488</v>
      </c>
      <c r="P689" s="166"/>
      <c r="Q689" s="166">
        <f t="shared" si="144"/>
        <v>962.83375999999998</v>
      </c>
      <c r="R689" s="71"/>
    </row>
    <row r="690" spans="1:18" s="61" customFormat="1" ht="31.5" x14ac:dyDescent="0.25">
      <c r="A690" s="358"/>
      <c r="B690" s="361"/>
      <c r="C690" s="364"/>
      <c r="D690" s="156" t="s">
        <v>408</v>
      </c>
      <c r="E690" s="156" t="s">
        <v>20</v>
      </c>
      <c r="F690" s="156" t="s">
        <v>20</v>
      </c>
      <c r="G690" s="238">
        <f>MROUND(H690*L690*I690/K690,0.000000001)</f>
        <v>9.1316276000000002E-2</v>
      </c>
      <c r="H690" s="158">
        <f>H90</f>
        <v>1712</v>
      </c>
      <c r="I690" s="159">
        <f t="shared" si="140"/>
        <v>2.2775730000000001E-2</v>
      </c>
      <c r="J690" s="160"/>
      <c r="K690" s="161">
        <f t="shared" si="151"/>
        <v>427</v>
      </c>
      <c r="L690" s="250">
        <v>1</v>
      </c>
      <c r="M690" s="163" t="str">
        <f>CONCATENATE(H690," ",F690,"*",L690," раз в год","*",I690,"/",K690,"чел.")</f>
        <v>1712 чел.*1 раз в год*0,02277573/427чел.</v>
      </c>
      <c r="N690" s="164">
        <f t="shared" si="148"/>
        <v>545</v>
      </c>
      <c r="O690" s="165">
        <f t="shared" si="150"/>
        <v>49.76737</v>
      </c>
      <c r="P690" s="166"/>
      <c r="Q690" s="166">
        <f t="shared" si="144"/>
        <v>21250.666990000002</v>
      </c>
      <c r="R690" s="71"/>
    </row>
    <row r="691" spans="1:18" s="61" customFormat="1" x14ac:dyDescent="0.25">
      <c r="A691" s="358"/>
      <c r="B691" s="361"/>
      <c r="C691" s="364"/>
      <c r="D691" s="156" t="s">
        <v>373</v>
      </c>
      <c r="E691" s="156" t="s">
        <v>28</v>
      </c>
      <c r="F691" s="156" t="s">
        <v>28</v>
      </c>
      <c r="G691" s="157">
        <f>MROUND(H691*L691*I691/K691,0.000000001)</f>
        <v>1.9202020000000002E-3</v>
      </c>
      <c r="H691" s="158">
        <f>H92</f>
        <v>36</v>
      </c>
      <c r="I691" s="159">
        <f>I689</f>
        <v>2.2775730000000001E-2</v>
      </c>
      <c r="J691" s="160"/>
      <c r="K691" s="161">
        <f>K689</f>
        <v>427</v>
      </c>
      <c r="L691" s="162">
        <v>1</v>
      </c>
      <c r="M691" s="163" t="str">
        <f>CONCATENATE(H691," ",F691,"*",L691,"мес.","*",I691,"/",K691,"чел.")</f>
        <v>36 шт*1мес.*0,02277573/427чел.</v>
      </c>
      <c r="N691" s="164">
        <f>N92</f>
        <v>24000</v>
      </c>
      <c r="O691" s="165">
        <f>MROUND(G691*N691,0.000000001)</f>
        <v>46.084848000000001</v>
      </c>
      <c r="P691" s="166"/>
      <c r="Q691" s="166">
        <f t="shared" si="144"/>
        <v>19678.230095999999</v>
      </c>
      <c r="R691" s="71"/>
    </row>
    <row r="692" spans="1:18" s="61" customFormat="1" ht="31.5" x14ac:dyDescent="0.25">
      <c r="A692" s="358"/>
      <c r="B692" s="361"/>
      <c r="C692" s="364"/>
      <c r="D692" s="156" t="s">
        <v>106</v>
      </c>
      <c r="E692" s="156" t="s">
        <v>107</v>
      </c>
      <c r="F692" s="156"/>
      <c r="G692" s="238">
        <f>MROUND(H692*L692*I692/K692,0.000000001)</f>
        <v>0</v>
      </c>
      <c r="H692" s="158">
        <f>H91</f>
        <v>0</v>
      </c>
      <c r="I692" s="159">
        <f>I689</f>
        <v>2.2775730000000001E-2</v>
      </c>
      <c r="J692" s="160"/>
      <c r="K692" s="161">
        <f>K689</f>
        <v>427</v>
      </c>
      <c r="L692" s="250">
        <f>L91</f>
        <v>0</v>
      </c>
      <c r="M692" s="163"/>
      <c r="N692" s="164">
        <f>N91</f>
        <v>1256.0400600000007</v>
      </c>
      <c r="O692" s="165">
        <f>MROUND(G692*N692,0.000000001)</f>
        <v>0</v>
      </c>
      <c r="P692" s="166"/>
      <c r="Q692" s="166">
        <f t="shared" si="144"/>
        <v>0</v>
      </c>
      <c r="R692" s="71"/>
    </row>
    <row r="693" spans="1:18" s="62" customFormat="1" x14ac:dyDescent="0.25">
      <c r="A693" s="358"/>
      <c r="B693" s="361"/>
      <c r="C693" s="245" t="s">
        <v>296</v>
      </c>
      <c r="D693" s="240"/>
      <c r="E693" s="240"/>
      <c r="F693" s="240"/>
      <c r="G693" s="227"/>
      <c r="H693" s="241"/>
      <c r="I693" s="206"/>
      <c r="J693" s="228"/>
      <c r="K693" s="207"/>
      <c r="L693" s="257"/>
      <c r="M693" s="209"/>
      <c r="N693" s="210"/>
      <c r="O693" s="198">
        <f>SUM(O679:O692)</f>
        <v>321.39139000000006</v>
      </c>
      <c r="P693" s="267"/>
      <c r="Q693" s="166"/>
      <c r="R693" s="71"/>
    </row>
    <row r="694" spans="1:18" s="61" customFormat="1" ht="31.5" x14ac:dyDescent="0.25">
      <c r="A694" s="358"/>
      <c r="B694" s="361"/>
      <c r="C694" s="252" t="s">
        <v>237</v>
      </c>
      <c r="D694" s="156" t="s">
        <v>41</v>
      </c>
      <c r="E694" s="156" t="s">
        <v>61</v>
      </c>
      <c r="F694" s="156" t="s">
        <v>227</v>
      </c>
      <c r="G694" s="238">
        <f>MROUND(H694*L694*I694/K694,0.000000001)</f>
        <v>2.1335600000000002E-4</v>
      </c>
      <c r="H694" s="158">
        <f>H94</f>
        <v>4</v>
      </c>
      <c r="I694" s="159">
        <f>I692</f>
        <v>2.2775730000000001E-2</v>
      </c>
      <c r="J694" s="160"/>
      <c r="K694" s="161">
        <f>K692</f>
        <v>427</v>
      </c>
      <c r="L694" s="250">
        <v>1</v>
      </c>
      <c r="M694" s="163" t="str">
        <f>CONCATENATE(H694," ",F694,"*",I694,"/",K694,"чел.")</f>
        <v>4 автобуса*0,02277573/427чел.</v>
      </c>
      <c r="N694" s="164">
        <f>N94</f>
        <v>25724</v>
      </c>
      <c r="O694" s="165">
        <f>MROUND(G694*N694,0.000001)</f>
        <v>5.4883699999999997</v>
      </c>
      <c r="P694" s="166"/>
      <c r="Q694" s="166">
        <f t="shared" si="144"/>
        <v>2343.5339899999999</v>
      </c>
      <c r="R694" s="71"/>
    </row>
    <row r="695" spans="1:18" s="62" customFormat="1" x14ac:dyDescent="0.25">
      <c r="A695" s="358"/>
      <c r="B695" s="361"/>
      <c r="C695" s="245" t="s">
        <v>297</v>
      </c>
      <c r="D695" s="240"/>
      <c r="E695" s="240"/>
      <c r="F695" s="240"/>
      <c r="G695" s="227"/>
      <c r="H695" s="241"/>
      <c r="I695" s="206"/>
      <c r="J695" s="228"/>
      <c r="K695" s="207"/>
      <c r="L695" s="257"/>
      <c r="M695" s="209"/>
      <c r="N695" s="210"/>
      <c r="O695" s="198">
        <f>SUM(O694)</f>
        <v>5.4883699999999997</v>
      </c>
      <c r="P695" s="267"/>
      <c r="Q695" s="166"/>
      <c r="R695" s="71"/>
    </row>
    <row r="696" spans="1:18" s="61" customFormat="1" ht="78.75" x14ac:dyDescent="0.25">
      <c r="A696" s="358"/>
      <c r="B696" s="361"/>
      <c r="C696" s="221" t="s">
        <v>236</v>
      </c>
      <c r="D696" s="156" t="s">
        <v>19</v>
      </c>
      <c r="E696" s="181" t="s">
        <v>20</v>
      </c>
      <c r="F696" s="181" t="s">
        <v>238</v>
      </c>
      <c r="G696" s="238">
        <f>MROUND(H696*L696*I696/K696,0.000001)</f>
        <v>0</v>
      </c>
      <c r="H696" s="158"/>
      <c r="I696" s="159">
        <f>I692</f>
        <v>2.2775730000000001E-2</v>
      </c>
      <c r="J696" s="160"/>
      <c r="K696" s="161">
        <f>K692</f>
        <v>427</v>
      </c>
      <c r="L696" s="250"/>
      <c r="M696" s="163"/>
      <c r="N696" s="164"/>
      <c r="O696" s="165">
        <f>MROUND(G696*N696,0.000001)</f>
        <v>0</v>
      </c>
      <c r="P696" s="166"/>
      <c r="Q696" s="166">
        <f t="shared" si="144"/>
        <v>0</v>
      </c>
      <c r="R696" s="71"/>
    </row>
    <row r="697" spans="1:18" s="62" customFormat="1" x14ac:dyDescent="0.25">
      <c r="A697" s="358"/>
      <c r="B697" s="361"/>
      <c r="C697" s="245" t="s">
        <v>298</v>
      </c>
      <c r="D697" s="240"/>
      <c r="E697" s="253"/>
      <c r="F697" s="253"/>
      <c r="G697" s="227"/>
      <c r="H697" s="241"/>
      <c r="I697" s="206"/>
      <c r="J697" s="228"/>
      <c r="K697" s="207"/>
      <c r="L697" s="257"/>
      <c r="M697" s="209"/>
      <c r="N697" s="210"/>
      <c r="O697" s="198">
        <f>SUM(O696)</f>
        <v>0</v>
      </c>
      <c r="P697" s="267"/>
      <c r="Q697" s="166"/>
      <c r="R697" s="71"/>
    </row>
    <row r="698" spans="1:18" s="61" customFormat="1" ht="30" x14ac:dyDescent="0.25">
      <c r="A698" s="358"/>
      <c r="B698" s="361"/>
      <c r="C698" s="365" t="s">
        <v>81</v>
      </c>
      <c r="D698" s="254" t="s">
        <v>410</v>
      </c>
      <c r="E698" s="156" t="s">
        <v>28</v>
      </c>
      <c r="F698" s="156" t="s">
        <v>28</v>
      </c>
      <c r="G698" s="238">
        <f>MROUND(H698*L698*I698/K698,0.0000000001)</f>
        <v>3.733726E-4</v>
      </c>
      <c r="H698" s="158">
        <f>H98</f>
        <v>7</v>
      </c>
      <c r="I698" s="159">
        <f>I692</f>
        <v>2.2775730000000001E-2</v>
      </c>
      <c r="J698" s="160"/>
      <c r="K698" s="161">
        <f>K692</f>
        <v>427</v>
      </c>
      <c r="L698" s="250">
        <v>1</v>
      </c>
      <c r="M698" s="163" t="str">
        <f>CONCATENATE(H698," ",F698,"*",I698,"/",K698,"чел.")</f>
        <v>7 шт*0,02277573/427чел.</v>
      </c>
      <c r="N698" s="164">
        <f>N98</f>
        <v>152142.85714285713</v>
      </c>
      <c r="O698" s="165">
        <f>MROUND(G698*N698,0.000001)</f>
        <v>56.805973999999999</v>
      </c>
      <c r="P698" s="166"/>
      <c r="Q698" s="166">
        <f t="shared" si="144"/>
        <v>24256.150898</v>
      </c>
      <c r="R698" s="71"/>
    </row>
    <row r="699" spans="1:18" s="61" customFormat="1" x14ac:dyDescent="0.25">
      <c r="A699" s="358"/>
      <c r="B699" s="361"/>
      <c r="C699" s="366"/>
      <c r="D699" s="254" t="s">
        <v>325</v>
      </c>
      <c r="E699" s="156" t="s">
        <v>28</v>
      </c>
      <c r="F699" s="156" t="s">
        <v>28</v>
      </c>
      <c r="G699" s="157">
        <f>MROUND(H699*L699*I699/K699,0.0000000001)</f>
        <v>1.2267958E-3</v>
      </c>
      <c r="H699" s="158">
        <f>$H$99</f>
        <v>23</v>
      </c>
      <c r="I699" s="159">
        <f>I698</f>
        <v>2.2775730000000001E-2</v>
      </c>
      <c r="J699" s="160"/>
      <c r="K699" s="161">
        <f>K698</f>
        <v>427</v>
      </c>
      <c r="L699" s="250">
        <v>1</v>
      </c>
      <c r="M699" s="163" t="str">
        <f>CONCATENATE(H699," ",F699,"*",I699,"/",K699,"чел.")</f>
        <v>23 шт*0,02277573/427чел.</v>
      </c>
      <c r="N699" s="164">
        <f>$N$99</f>
        <v>229039.13043478262</v>
      </c>
      <c r="O699" s="165">
        <f>MROUND(G699*N699,0.000001)</f>
        <v>280.98424299999999</v>
      </c>
      <c r="P699" s="166"/>
      <c r="Q699" s="166">
        <f t="shared" si="144"/>
        <v>119980.271761</v>
      </c>
      <c r="R699" s="71"/>
    </row>
    <row r="700" spans="1:18" s="61" customFormat="1" ht="30" x14ac:dyDescent="0.25">
      <c r="A700" s="358"/>
      <c r="B700" s="361"/>
      <c r="C700" s="366"/>
      <c r="D700" s="254" t="s">
        <v>411</v>
      </c>
      <c r="E700" s="156" t="s">
        <v>28</v>
      </c>
      <c r="F700" s="156" t="s">
        <v>28</v>
      </c>
      <c r="G700" s="238">
        <f>MROUND(H700*L700*I700/K700,0.00000001)</f>
        <v>3.7336999999999998E-4</v>
      </c>
      <c r="H700" s="158">
        <f>$H$100</f>
        <v>7</v>
      </c>
      <c r="I700" s="159">
        <f>I698</f>
        <v>2.2775730000000001E-2</v>
      </c>
      <c r="J700" s="160"/>
      <c r="K700" s="161">
        <f>K698</f>
        <v>427</v>
      </c>
      <c r="L700" s="250">
        <v>1</v>
      </c>
      <c r="M700" s="163" t="str">
        <f t="shared" ref="M700:M721" si="152">CONCATENATE(H700," ",F700,"*",I700,"/",K700,"чел.")</f>
        <v>7 шт*0,02277573/427чел.</v>
      </c>
      <c r="N700" s="164">
        <f t="shared" ref="N700:N714" si="153">N100</f>
        <v>82142.857142857145</v>
      </c>
      <c r="O700" s="165">
        <f t="shared" ref="O700:O721" si="154">MROUND(G700*N700,0.000001)</f>
        <v>30.669678999999999</v>
      </c>
      <c r="P700" s="166"/>
      <c r="Q700" s="166">
        <f t="shared" si="144"/>
        <v>13095.952932999999</v>
      </c>
      <c r="R700" s="71"/>
    </row>
    <row r="701" spans="1:18" s="61" customFormat="1" x14ac:dyDescent="0.25">
      <c r="A701" s="358"/>
      <c r="B701" s="361"/>
      <c r="C701" s="366"/>
      <c r="D701" s="255" t="s">
        <v>412</v>
      </c>
      <c r="E701" s="156" t="s">
        <v>28</v>
      </c>
      <c r="F701" s="156" t="s">
        <v>28</v>
      </c>
      <c r="G701" s="238">
        <f>MROUND(H701*L701*I701/K701,0.00000001)</f>
        <v>1.8668600000000001E-3</v>
      </c>
      <c r="H701" s="158">
        <f>$H$101</f>
        <v>35</v>
      </c>
      <c r="I701" s="159">
        <f>I700</f>
        <v>2.2775730000000001E-2</v>
      </c>
      <c r="J701" s="160"/>
      <c r="K701" s="161">
        <f>K700</f>
        <v>427</v>
      </c>
      <c r="L701" s="250">
        <v>1</v>
      </c>
      <c r="M701" s="163" t="str">
        <f t="shared" si="152"/>
        <v>35 шт*0,02277573/427чел.</v>
      </c>
      <c r="N701" s="164">
        <f t="shared" si="153"/>
        <v>126114.97142857143</v>
      </c>
      <c r="O701" s="165">
        <f t="shared" si="154"/>
        <v>235.438996</v>
      </c>
      <c r="P701" s="166"/>
      <c r="Q701" s="166">
        <f t="shared" si="144"/>
        <v>100532.451292</v>
      </c>
      <c r="R701" s="71"/>
    </row>
    <row r="702" spans="1:18" s="61" customFormat="1" ht="31.5" x14ac:dyDescent="0.25">
      <c r="A702" s="358"/>
      <c r="B702" s="361"/>
      <c r="C702" s="366"/>
      <c r="D702" s="255" t="s">
        <v>413</v>
      </c>
      <c r="E702" s="156" t="s">
        <v>28</v>
      </c>
      <c r="F702" s="156" t="s">
        <v>28</v>
      </c>
      <c r="G702" s="238">
        <f>MROUND(H702*L702*I702/K702,0.0000000001)</f>
        <v>8.0008420000000002E-4</v>
      </c>
      <c r="H702" s="158">
        <f>H102</f>
        <v>15</v>
      </c>
      <c r="I702" s="159">
        <f>I701</f>
        <v>2.2775730000000001E-2</v>
      </c>
      <c r="J702" s="160"/>
      <c r="K702" s="161">
        <f>K701</f>
        <v>427</v>
      </c>
      <c r="L702" s="250">
        <v>1</v>
      </c>
      <c r="M702" s="163" t="str">
        <f t="shared" si="152"/>
        <v>15 шт*0,02277573/427чел.</v>
      </c>
      <c r="N702" s="164">
        <f t="shared" si="153"/>
        <v>75333.333333333328</v>
      </c>
      <c r="O702" s="165">
        <f t="shared" si="154"/>
        <v>60.273009999999999</v>
      </c>
      <c r="P702" s="166"/>
      <c r="Q702" s="166">
        <f t="shared" si="144"/>
        <v>25736.575270000001</v>
      </c>
      <c r="R702" s="71"/>
    </row>
    <row r="703" spans="1:18" s="61" customFormat="1" x14ac:dyDescent="0.25">
      <c r="A703" s="358"/>
      <c r="B703" s="361"/>
      <c r="C703" s="366"/>
      <c r="D703" s="254" t="s">
        <v>109</v>
      </c>
      <c r="E703" s="156" t="s">
        <v>28</v>
      </c>
      <c r="F703" s="156" t="s">
        <v>28</v>
      </c>
      <c r="G703" s="238">
        <f>MROUND(H703*L703*I703/K703,0.0000000001)</f>
        <v>8.534231E-4</v>
      </c>
      <c r="H703" s="158">
        <f>$H$103</f>
        <v>16</v>
      </c>
      <c r="I703" s="159">
        <f>I702</f>
        <v>2.2775730000000001E-2</v>
      </c>
      <c r="J703" s="160"/>
      <c r="K703" s="161">
        <f>K702</f>
        <v>427</v>
      </c>
      <c r="L703" s="250">
        <v>1</v>
      </c>
      <c r="M703" s="163" t="str">
        <f t="shared" si="152"/>
        <v>16 шт*0,02277573/427чел.</v>
      </c>
      <c r="N703" s="164">
        <f t="shared" si="153"/>
        <v>169687.5</v>
      </c>
      <c r="O703" s="165">
        <f t="shared" si="154"/>
        <v>144.81523199999998</v>
      </c>
      <c r="P703" s="166"/>
      <c r="Q703" s="166">
        <f t="shared" si="144"/>
        <v>61836.104063999992</v>
      </c>
      <c r="R703" s="71"/>
    </row>
    <row r="704" spans="1:18" s="61" customFormat="1" x14ac:dyDescent="0.25">
      <c r="A704" s="358"/>
      <c r="B704" s="361"/>
      <c r="C704" s="366"/>
      <c r="D704" s="254" t="s">
        <v>414</v>
      </c>
      <c r="E704" s="156" t="s">
        <v>28</v>
      </c>
      <c r="F704" s="156" t="s">
        <v>28</v>
      </c>
      <c r="G704" s="238">
        <f>MROUND(H704*L704*I704/K704,0.0000000001)</f>
        <v>4.8005049999999999E-4</v>
      </c>
      <c r="H704" s="158">
        <f>$H$104</f>
        <v>9</v>
      </c>
      <c r="I704" s="159">
        <f>I702</f>
        <v>2.2775730000000001E-2</v>
      </c>
      <c r="J704" s="160"/>
      <c r="K704" s="161">
        <f>K702</f>
        <v>427</v>
      </c>
      <c r="L704" s="250">
        <v>1</v>
      </c>
      <c r="M704" s="163" t="str">
        <f t="shared" si="152"/>
        <v>9 шт*0,02277573/427чел.</v>
      </c>
      <c r="N704" s="164">
        <f t="shared" si="153"/>
        <v>89333.333333333328</v>
      </c>
      <c r="O704" s="165">
        <f t="shared" si="154"/>
        <v>42.884510999999996</v>
      </c>
      <c r="P704" s="166"/>
      <c r="Q704" s="166">
        <f t="shared" si="144"/>
        <v>18311.686196999999</v>
      </c>
      <c r="R704" s="71"/>
    </row>
    <row r="705" spans="1:18" s="61" customFormat="1" x14ac:dyDescent="0.25">
      <c r="A705" s="358"/>
      <c r="B705" s="361"/>
      <c r="C705" s="366"/>
      <c r="D705" s="254" t="s">
        <v>415</v>
      </c>
      <c r="E705" s="156" t="s">
        <v>28</v>
      </c>
      <c r="F705" s="156" t="s">
        <v>28</v>
      </c>
      <c r="G705" s="238">
        <f>MROUND(H705*L705*I705/K705,0.00000001)</f>
        <v>5.8673000000000004E-4</v>
      </c>
      <c r="H705" s="158">
        <f>$H$105</f>
        <v>11</v>
      </c>
      <c r="I705" s="159">
        <f t="shared" ref="I705:I714" si="155">I703</f>
        <v>2.2775730000000001E-2</v>
      </c>
      <c r="J705" s="160"/>
      <c r="K705" s="161">
        <f t="shared" ref="K705:K714" si="156">K703</f>
        <v>427</v>
      </c>
      <c r="L705" s="250">
        <v>1</v>
      </c>
      <c r="M705" s="163" t="str">
        <f t="shared" si="152"/>
        <v>11 шт*0,02277573/427чел.</v>
      </c>
      <c r="N705" s="164">
        <f t="shared" si="153"/>
        <v>122181.81818181818</v>
      </c>
      <c r="O705" s="165">
        <f t="shared" si="154"/>
        <v>71.687737999999996</v>
      </c>
      <c r="P705" s="166"/>
      <c r="Q705" s="166">
        <f t="shared" si="144"/>
        <v>30610.664126</v>
      </c>
      <c r="R705" s="71"/>
    </row>
    <row r="706" spans="1:18" s="61" customFormat="1" x14ac:dyDescent="0.25">
      <c r="A706" s="358"/>
      <c r="B706" s="361"/>
      <c r="C706" s="366"/>
      <c r="D706" s="254" t="s">
        <v>416</v>
      </c>
      <c r="E706" s="156" t="s">
        <v>28</v>
      </c>
      <c r="F706" s="156" t="s">
        <v>28</v>
      </c>
      <c r="G706" s="238">
        <f>MROUND(H706*L706*I706/K706,0.000000001)</f>
        <v>1.0667790000000001E-3</v>
      </c>
      <c r="H706" s="246">
        <f>$H$106</f>
        <v>20</v>
      </c>
      <c r="I706" s="159">
        <f t="shared" si="155"/>
        <v>2.2775730000000001E-2</v>
      </c>
      <c r="J706" s="160"/>
      <c r="K706" s="161">
        <f t="shared" si="156"/>
        <v>427</v>
      </c>
      <c r="L706" s="250">
        <v>1</v>
      </c>
      <c r="M706" s="163" t="str">
        <f t="shared" si="152"/>
        <v>20 шт*0,02277573/427чел.</v>
      </c>
      <c r="N706" s="164">
        <f t="shared" si="153"/>
        <v>52500</v>
      </c>
      <c r="O706" s="165">
        <f t="shared" si="154"/>
        <v>56.005897999999995</v>
      </c>
      <c r="P706" s="166"/>
      <c r="Q706" s="166">
        <f t="shared" si="144"/>
        <v>23914.518445999998</v>
      </c>
      <c r="R706" s="71"/>
    </row>
    <row r="707" spans="1:18" s="61" customFormat="1" x14ac:dyDescent="0.25">
      <c r="A707" s="358"/>
      <c r="B707" s="361"/>
      <c r="C707" s="366"/>
      <c r="D707" s="254" t="s">
        <v>417</v>
      </c>
      <c r="E707" s="156" t="s">
        <v>28</v>
      </c>
      <c r="F707" s="156" t="s">
        <v>28</v>
      </c>
      <c r="G707" s="238">
        <f>MROUND(H707*L707*I707/K707,0.00000001)</f>
        <v>9.0676000000000005E-4</v>
      </c>
      <c r="H707" s="158">
        <f>$H$107</f>
        <v>17</v>
      </c>
      <c r="I707" s="159">
        <f t="shared" si="155"/>
        <v>2.2775730000000001E-2</v>
      </c>
      <c r="J707" s="160"/>
      <c r="K707" s="161">
        <f t="shared" si="156"/>
        <v>427</v>
      </c>
      <c r="L707" s="250">
        <v>1</v>
      </c>
      <c r="M707" s="163" t="str">
        <f t="shared" si="152"/>
        <v>17 шт*0,02277573/427чел.</v>
      </c>
      <c r="N707" s="164">
        <f t="shared" si="153"/>
        <v>75000</v>
      </c>
      <c r="O707" s="165">
        <f t="shared" si="154"/>
        <v>68.006999999999991</v>
      </c>
      <c r="P707" s="166"/>
      <c r="Q707" s="166">
        <f t="shared" si="144"/>
        <v>29038.988999999998</v>
      </c>
      <c r="R707" s="71"/>
    </row>
    <row r="708" spans="1:18" s="61" customFormat="1" ht="30" x14ac:dyDescent="0.25">
      <c r="A708" s="358"/>
      <c r="B708" s="361"/>
      <c r="C708" s="366"/>
      <c r="D708" s="254" t="s">
        <v>418</v>
      </c>
      <c r="E708" s="156" t="s">
        <v>28</v>
      </c>
      <c r="F708" s="156" t="s">
        <v>28</v>
      </c>
      <c r="G708" s="238">
        <f>MROUND(H708*L708*I708/K708,0.00000001)</f>
        <v>4.8004999999999999E-4</v>
      </c>
      <c r="H708" s="158">
        <f>H108</f>
        <v>9</v>
      </c>
      <c r="I708" s="159">
        <f t="shared" si="155"/>
        <v>2.2775730000000001E-2</v>
      </c>
      <c r="J708" s="160"/>
      <c r="K708" s="161">
        <f t="shared" si="156"/>
        <v>427</v>
      </c>
      <c r="L708" s="250">
        <v>1</v>
      </c>
      <c r="M708" s="163" t="str">
        <f t="shared" si="152"/>
        <v>9 шт*0,02277573/427чел.</v>
      </c>
      <c r="N708" s="164">
        <f t="shared" si="153"/>
        <v>66666.666666666672</v>
      </c>
      <c r="O708" s="165">
        <f t="shared" si="154"/>
        <v>32.003332999999998</v>
      </c>
      <c r="P708" s="166"/>
      <c r="Q708" s="166">
        <f t="shared" si="144"/>
        <v>13665.423191</v>
      </c>
      <c r="R708" s="71"/>
    </row>
    <row r="709" spans="1:18" s="61" customFormat="1" x14ac:dyDescent="0.25">
      <c r="A709" s="358"/>
      <c r="B709" s="361"/>
      <c r="C709" s="366"/>
      <c r="D709" s="254" t="s">
        <v>324</v>
      </c>
      <c r="E709" s="156" t="s">
        <v>28</v>
      </c>
      <c r="F709" s="156" t="s">
        <v>28</v>
      </c>
      <c r="G709" s="238">
        <f>MROUND(H709*L709*I709/K709,0.000000001)</f>
        <v>9.601010000000001E-4</v>
      </c>
      <c r="H709" s="158">
        <f>$H$109</f>
        <v>18</v>
      </c>
      <c r="I709" s="159">
        <f t="shared" si="155"/>
        <v>2.2775730000000001E-2</v>
      </c>
      <c r="J709" s="160"/>
      <c r="K709" s="161">
        <f t="shared" si="156"/>
        <v>427</v>
      </c>
      <c r="L709" s="250">
        <v>1</v>
      </c>
      <c r="M709" s="163" t="str">
        <f t="shared" si="152"/>
        <v>18 шт*0,02277573/427чел.</v>
      </c>
      <c r="N709" s="164">
        <f t="shared" si="153"/>
        <v>365277.77777777775</v>
      </c>
      <c r="O709" s="165">
        <f t="shared" si="154"/>
        <v>350.70355999999998</v>
      </c>
      <c r="P709" s="166"/>
      <c r="Q709" s="166">
        <f t="shared" si="144"/>
        <v>149750.42012</v>
      </c>
      <c r="R709" s="71"/>
    </row>
    <row r="710" spans="1:18" s="61" customFormat="1" x14ac:dyDescent="0.25">
      <c r="A710" s="358"/>
      <c r="B710" s="361"/>
      <c r="C710" s="366"/>
      <c r="D710" s="254" t="s">
        <v>419</v>
      </c>
      <c r="E710" s="156" t="s">
        <v>28</v>
      </c>
      <c r="F710" s="156" t="s">
        <v>28</v>
      </c>
      <c r="G710" s="238">
        <f>MROUND(H710*L710*I710/K710,0.000000001)</f>
        <v>1.2801350000000002E-3</v>
      </c>
      <c r="H710" s="246">
        <f>$H$110</f>
        <v>24</v>
      </c>
      <c r="I710" s="159">
        <f t="shared" si="155"/>
        <v>2.2775730000000001E-2</v>
      </c>
      <c r="J710" s="160"/>
      <c r="K710" s="161">
        <f t="shared" si="156"/>
        <v>427</v>
      </c>
      <c r="L710" s="250">
        <v>1</v>
      </c>
      <c r="M710" s="163" t="str">
        <f t="shared" si="152"/>
        <v>24 шт*0,02277573/427чел.</v>
      </c>
      <c r="N710" s="164">
        <f t="shared" si="153"/>
        <v>32416.666666666668</v>
      </c>
      <c r="O710" s="165">
        <f t="shared" si="154"/>
        <v>41.497709999999998</v>
      </c>
      <c r="P710" s="166"/>
      <c r="Q710" s="166">
        <f t="shared" si="144"/>
        <v>17719.52217</v>
      </c>
      <c r="R710" s="71"/>
    </row>
    <row r="711" spans="1:18" s="61" customFormat="1" x14ac:dyDescent="0.25">
      <c r="A711" s="358"/>
      <c r="B711" s="361"/>
      <c r="C711" s="366"/>
      <c r="D711" s="254" t="s">
        <v>420</v>
      </c>
      <c r="E711" s="156" t="s">
        <v>28</v>
      </c>
      <c r="F711" s="156" t="s">
        <v>28</v>
      </c>
      <c r="G711" s="238">
        <f>MROUND(H711*L711*I711/K711,0.000000001)</f>
        <v>8.0008400000000006E-4</v>
      </c>
      <c r="H711" s="158">
        <f>H111</f>
        <v>15</v>
      </c>
      <c r="I711" s="159">
        <f t="shared" si="155"/>
        <v>2.2775730000000001E-2</v>
      </c>
      <c r="J711" s="160"/>
      <c r="K711" s="161">
        <f t="shared" si="156"/>
        <v>427</v>
      </c>
      <c r="L711" s="250">
        <v>1</v>
      </c>
      <c r="M711" s="163" t="str">
        <f t="shared" si="152"/>
        <v>15 шт*0,02277573/427чел.</v>
      </c>
      <c r="N711" s="164">
        <f t="shared" si="153"/>
        <v>127666.66666666667</v>
      </c>
      <c r="O711" s="165">
        <f t="shared" si="154"/>
        <v>102.14405699999999</v>
      </c>
      <c r="P711" s="166"/>
      <c r="Q711" s="166">
        <f t="shared" si="144"/>
        <v>43615.512338999994</v>
      </c>
      <c r="R711" s="71"/>
    </row>
    <row r="712" spans="1:18" s="61" customFormat="1" x14ac:dyDescent="0.25">
      <c r="A712" s="358"/>
      <c r="B712" s="361"/>
      <c r="C712" s="366"/>
      <c r="D712" s="254" t="s">
        <v>421</v>
      </c>
      <c r="E712" s="156" t="s">
        <v>28</v>
      </c>
      <c r="F712" s="156" t="s">
        <v>28</v>
      </c>
      <c r="G712" s="238">
        <f>MROUND(H712*L712*I712/K712,0.00000001)</f>
        <v>1.5468300000000001E-3</v>
      </c>
      <c r="H712" s="158">
        <f>$H$112</f>
        <v>29</v>
      </c>
      <c r="I712" s="159">
        <f t="shared" si="155"/>
        <v>2.2775730000000001E-2</v>
      </c>
      <c r="J712" s="160"/>
      <c r="K712" s="161">
        <f t="shared" si="156"/>
        <v>427</v>
      </c>
      <c r="L712" s="250">
        <v>1</v>
      </c>
      <c r="M712" s="163" t="str">
        <f t="shared" si="152"/>
        <v>29 шт*0,02277573/427чел.</v>
      </c>
      <c r="N712" s="164">
        <f t="shared" si="153"/>
        <v>13517.241379310344</v>
      </c>
      <c r="O712" s="165">
        <f t="shared" si="154"/>
        <v>20.908873999999997</v>
      </c>
      <c r="P712" s="166"/>
      <c r="Q712" s="166">
        <f t="shared" si="144"/>
        <v>8928.0891979999997</v>
      </c>
      <c r="R712" s="71"/>
    </row>
    <row r="713" spans="1:18" s="61" customFormat="1" ht="30" x14ac:dyDescent="0.25">
      <c r="A713" s="358"/>
      <c r="B713" s="361"/>
      <c r="C713" s="366"/>
      <c r="D713" s="254" t="s">
        <v>422</v>
      </c>
      <c r="E713" s="156" t="s">
        <v>28</v>
      </c>
      <c r="F713" s="156" t="s">
        <v>28</v>
      </c>
      <c r="G713" s="266">
        <f>MROUND(H713*L713*I713/K713,0.00000001)</f>
        <v>9.6009999999999997E-4</v>
      </c>
      <c r="H713" s="158">
        <f>H593</f>
        <v>18</v>
      </c>
      <c r="I713" s="159">
        <f t="shared" si="155"/>
        <v>2.2775730000000001E-2</v>
      </c>
      <c r="J713" s="160"/>
      <c r="K713" s="161">
        <f t="shared" si="156"/>
        <v>427</v>
      </c>
      <c r="L713" s="250">
        <v>1</v>
      </c>
      <c r="M713" s="163" t="str">
        <f t="shared" si="152"/>
        <v>18 шт*0,02277573/427чел.</v>
      </c>
      <c r="N713" s="164">
        <f t="shared" si="153"/>
        <v>34944.444444444445</v>
      </c>
      <c r="O713" s="165">
        <f t="shared" si="154"/>
        <v>33.550160999999996</v>
      </c>
      <c r="P713" s="166"/>
      <c r="Q713" s="166">
        <f t="shared" si="144"/>
        <v>14325.918746999998</v>
      </c>
      <c r="R713" s="71"/>
    </row>
    <row r="714" spans="1:18" s="61" customFormat="1" x14ac:dyDescent="0.25">
      <c r="A714" s="358"/>
      <c r="B714" s="361"/>
      <c r="C714" s="366"/>
      <c r="D714" s="254" t="s">
        <v>423</v>
      </c>
      <c r="E714" s="156" t="s">
        <v>28</v>
      </c>
      <c r="F714" s="156" t="s">
        <v>28</v>
      </c>
      <c r="G714" s="238">
        <f>MROUND(H714*L714*I714/K714,0.000000001)</f>
        <v>1.0667790000000001E-3</v>
      </c>
      <c r="H714" s="158">
        <f>$H$114</f>
        <v>20</v>
      </c>
      <c r="I714" s="159">
        <f t="shared" si="155"/>
        <v>2.2775730000000001E-2</v>
      </c>
      <c r="J714" s="160"/>
      <c r="K714" s="161">
        <f t="shared" si="156"/>
        <v>427</v>
      </c>
      <c r="L714" s="250">
        <v>1</v>
      </c>
      <c r="M714" s="163" t="str">
        <f t="shared" si="152"/>
        <v>20 шт*0,02277573/427чел.</v>
      </c>
      <c r="N714" s="164">
        <f t="shared" si="153"/>
        <v>74500</v>
      </c>
      <c r="O714" s="165">
        <f t="shared" si="154"/>
        <v>79.475036000000003</v>
      </c>
      <c r="P714" s="166"/>
      <c r="Q714" s="166">
        <f t="shared" si="144"/>
        <v>33935.840371999999</v>
      </c>
      <c r="R714" s="71"/>
    </row>
    <row r="715" spans="1:18" s="61" customFormat="1" x14ac:dyDescent="0.25">
      <c r="A715" s="358"/>
      <c r="B715" s="361"/>
      <c r="C715" s="366"/>
      <c r="D715" s="254" t="s">
        <v>424</v>
      </c>
      <c r="E715" s="156" t="s">
        <v>28</v>
      </c>
      <c r="F715" s="156" t="s">
        <v>28</v>
      </c>
      <c r="G715" s="238">
        <f t="shared" ref="G715:G721" si="157">MROUND(H715*L715*I715/K715,0.00000001)</f>
        <v>1.8668600000000001E-3</v>
      </c>
      <c r="H715" s="158">
        <f>H235</f>
        <v>35</v>
      </c>
      <c r="I715" s="159">
        <f>I704</f>
        <v>2.2775730000000001E-2</v>
      </c>
      <c r="J715" s="160"/>
      <c r="K715" s="161">
        <f>K704</f>
        <v>427</v>
      </c>
      <c r="L715" s="250">
        <v>1</v>
      </c>
      <c r="M715" s="163" t="str">
        <f t="shared" si="152"/>
        <v>35 шт*0,02277573/427чел.</v>
      </c>
      <c r="N715" s="164">
        <f>N235</f>
        <v>34285.714285714283</v>
      </c>
      <c r="O715" s="165">
        <f t="shared" si="154"/>
        <v>64.006629000000004</v>
      </c>
      <c r="P715" s="166"/>
      <c r="Q715" s="166">
        <f t="shared" si="144"/>
        <v>27330.830583000003</v>
      </c>
      <c r="R715" s="71"/>
    </row>
    <row r="716" spans="1:18" s="61" customFormat="1" x14ac:dyDescent="0.25">
      <c r="A716" s="358"/>
      <c r="B716" s="361"/>
      <c r="C716" s="366"/>
      <c r="D716" s="254" t="s">
        <v>425</v>
      </c>
      <c r="E716" s="156" t="s">
        <v>28</v>
      </c>
      <c r="F716" s="156" t="s">
        <v>28</v>
      </c>
      <c r="G716" s="277">
        <f t="shared" si="157"/>
        <v>1.8668600000000001E-3</v>
      </c>
      <c r="H716" s="158">
        <f>H116</f>
        <v>35</v>
      </c>
      <c r="I716" s="159">
        <f t="shared" ref="I716:I721" si="158">I715</f>
        <v>2.2775730000000001E-2</v>
      </c>
      <c r="J716" s="160"/>
      <c r="K716" s="161">
        <f t="shared" ref="K716:K721" si="159">K715</f>
        <v>427</v>
      </c>
      <c r="L716" s="250">
        <v>1</v>
      </c>
      <c r="M716" s="163" t="str">
        <f t="shared" si="152"/>
        <v>35 шт*0,02277573/427чел.</v>
      </c>
      <c r="N716" s="164">
        <f t="shared" ref="N716:N721" si="160">N116</f>
        <v>19102.857142857141</v>
      </c>
      <c r="O716" s="165">
        <f t="shared" si="154"/>
        <v>35.66236</v>
      </c>
      <c r="P716" s="166"/>
      <c r="Q716" s="166">
        <f t="shared" ref="Q716:Q778" si="161">O716*K716</f>
        <v>15227.827719999999</v>
      </c>
      <c r="R716" s="71"/>
    </row>
    <row r="717" spans="1:18" s="61" customFormat="1" x14ac:dyDescent="0.25">
      <c r="A717" s="358"/>
      <c r="B717" s="361"/>
      <c r="C717" s="366"/>
      <c r="D717" s="254" t="s">
        <v>108</v>
      </c>
      <c r="E717" s="156" t="s">
        <v>28</v>
      </c>
      <c r="F717" s="156" t="s">
        <v>28</v>
      </c>
      <c r="G717" s="238">
        <f t="shared" si="157"/>
        <v>4.6138190000000003E-2</v>
      </c>
      <c r="H717" s="158">
        <f>$H$117</f>
        <v>865</v>
      </c>
      <c r="I717" s="159">
        <f t="shared" si="158"/>
        <v>2.2775730000000001E-2</v>
      </c>
      <c r="J717" s="160"/>
      <c r="K717" s="161">
        <f t="shared" si="159"/>
        <v>427</v>
      </c>
      <c r="L717" s="250">
        <v>1</v>
      </c>
      <c r="M717" s="163" t="str">
        <f t="shared" si="152"/>
        <v>865 шт*0,02277573/427чел.</v>
      </c>
      <c r="N717" s="164">
        <f t="shared" si="160"/>
        <v>779.36416184971097</v>
      </c>
      <c r="O717" s="165">
        <f t="shared" si="154"/>
        <v>35.958452000000001</v>
      </c>
      <c r="P717" s="166"/>
      <c r="Q717" s="166">
        <f t="shared" si="161"/>
        <v>15354.259004000001</v>
      </c>
      <c r="R717" s="71"/>
    </row>
    <row r="718" spans="1:18" s="61" customFormat="1" x14ac:dyDescent="0.25">
      <c r="A718" s="358"/>
      <c r="B718" s="361"/>
      <c r="C718" s="366"/>
      <c r="D718" s="254" t="s">
        <v>426</v>
      </c>
      <c r="E718" s="156" t="s">
        <v>28</v>
      </c>
      <c r="F718" s="156" t="s">
        <v>28</v>
      </c>
      <c r="G718" s="238">
        <f t="shared" si="157"/>
        <v>2.3469100000000002E-3</v>
      </c>
      <c r="H718" s="158">
        <f>H118</f>
        <v>44</v>
      </c>
      <c r="I718" s="159">
        <f t="shared" si="158"/>
        <v>2.2775730000000001E-2</v>
      </c>
      <c r="J718" s="160"/>
      <c r="K718" s="161">
        <f t="shared" si="159"/>
        <v>427</v>
      </c>
      <c r="L718" s="250">
        <v>1</v>
      </c>
      <c r="M718" s="163" t="str">
        <f t="shared" si="152"/>
        <v>44 шт*0,02277573/427чел.</v>
      </c>
      <c r="N718" s="164">
        <f t="shared" si="160"/>
        <v>12416.954545454546</v>
      </c>
      <c r="O718" s="165">
        <f t="shared" si="154"/>
        <v>29.141475</v>
      </c>
      <c r="P718" s="166"/>
      <c r="Q718" s="166">
        <f t="shared" si="161"/>
        <v>12443.409825000001</v>
      </c>
      <c r="R718" s="71"/>
    </row>
    <row r="719" spans="1:18" s="61" customFormat="1" x14ac:dyDescent="0.25">
      <c r="A719" s="358"/>
      <c r="B719" s="361"/>
      <c r="C719" s="366"/>
      <c r="D719" s="254" t="s">
        <v>427</v>
      </c>
      <c r="E719" s="156" t="s">
        <v>28</v>
      </c>
      <c r="F719" s="156" t="s">
        <v>28</v>
      </c>
      <c r="G719" s="238">
        <f t="shared" si="157"/>
        <v>3.5203700000000001E-3</v>
      </c>
      <c r="H719" s="158">
        <f>H119</f>
        <v>66</v>
      </c>
      <c r="I719" s="159">
        <f t="shared" si="158"/>
        <v>2.2775730000000001E-2</v>
      </c>
      <c r="J719" s="160"/>
      <c r="K719" s="161">
        <f t="shared" si="159"/>
        <v>427</v>
      </c>
      <c r="L719" s="250">
        <v>1</v>
      </c>
      <c r="M719" s="163" t="str">
        <f t="shared" si="152"/>
        <v>66 шт*0,02277573/427чел.</v>
      </c>
      <c r="N719" s="164">
        <f t="shared" si="160"/>
        <v>13060.60606060606</v>
      </c>
      <c r="O719" s="165">
        <f t="shared" si="154"/>
        <v>45.978165999999995</v>
      </c>
      <c r="P719" s="166"/>
      <c r="Q719" s="166">
        <f t="shared" si="161"/>
        <v>19632.676881999996</v>
      </c>
      <c r="R719" s="71"/>
    </row>
    <row r="720" spans="1:18" s="61" customFormat="1" x14ac:dyDescent="0.25">
      <c r="A720" s="358"/>
      <c r="B720" s="361"/>
      <c r="C720" s="366"/>
      <c r="D720" s="254" t="s">
        <v>428</v>
      </c>
      <c r="E720" s="156" t="s">
        <v>28</v>
      </c>
      <c r="F720" s="156" t="s">
        <v>28</v>
      </c>
      <c r="G720" s="238">
        <f t="shared" si="157"/>
        <v>1.8401940000000002E-2</v>
      </c>
      <c r="H720" s="158">
        <f>H120</f>
        <v>345</v>
      </c>
      <c r="I720" s="159">
        <f t="shared" si="158"/>
        <v>2.2775730000000001E-2</v>
      </c>
      <c r="J720" s="160"/>
      <c r="K720" s="161">
        <f t="shared" si="159"/>
        <v>427</v>
      </c>
      <c r="L720" s="250">
        <v>1</v>
      </c>
      <c r="M720" s="163" t="str">
        <f t="shared" si="152"/>
        <v>345 шт*0,02277573/427чел.</v>
      </c>
      <c r="N720" s="164">
        <f t="shared" si="160"/>
        <v>8520.7246376811599</v>
      </c>
      <c r="O720" s="165">
        <f t="shared" si="154"/>
        <v>156.797864</v>
      </c>
      <c r="P720" s="166"/>
      <c r="Q720" s="166">
        <f t="shared" si="161"/>
        <v>66952.687927999999</v>
      </c>
      <c r="R720" s="71"/>
    </row>
    <row r="721" spans="1:18" s="61" customFormat="1" x14ac:dyDescent="0.25">
      <c r="A721" s="358"/>
      <c r="B721" s="361"/>
      <c r="C721" s="366"/>
      <c r="D721" s="255" t="s">
        <v>429</v>
      </c>
      <c r="E721" s="156" t="s">
        <v>28</v>
      </c>
      <c r="F721" s="156" t="s">
        <v>28</v>
      </c>
      <c r="G721" s="238">
        <f t="shared" si="157"/>
        <v>2.6136100000000002E-3</v>
      </c>
      <c r="H721" s="158">
        <f>H121</f>
        <v>49</v>
      </c>
      <c r="I721" s="159">
        <f t="shared" si="158"/>
        <v>2.2775730000000001E-2</v>
      </c>
      <c r="J721" s="160"/>
      <c r="K721" s="161">
        <f t="shared" si="159"/>
        <v>427</v>
      </c>
      <c r="L721" s="250">
        <v>1</v>
      </c>
      <c r="M721" s="163" t="str">
        <f t="shared" si="152"/>
        <v>49 шт*0,02277573/427чел.</v>
      </c>
      <c r="N721" s="164">
        <f t="shared" si="160"/>
        <v>53775.510204081635</v>
      </c>
      <c r="O721" s="165">
        <f t="shared" si="154"/>
        <v>140.54821099999998</v>
      </c>
      <c r="P721" s="166"/>
      <c r="Q721" s="166">
        <f t="shared" si="161"/>
        <v>60014.086096999992</v>
      </c>
      <c r="R721" s="71"/>
    </row>
    <row r="722" spans="1:18" s="62" customFormat="1" x14ac:dyDescent="0.25">
      <c r="A722" s="358"/>
      <c r="B722" s="361"/>
      <c r="C722" s="249" t="s">
        <v>311</v>
      </c>
      <c r="D722" s="256"/>
      <c r="E722" s="240"/>
      <c r="F722" s="240"/>
      <c r="G722" s="227"/>
      <c r="H722" s="241"/>
      <c r="I722" s="206"/>
      <c r="J722" s="228"/>
      <c r="K722" s="207"/>
      <c r="L722" s="257"/>
      <c r="M722" s="209"/>
      <c r="N722" s="210"/>
      <c r="O722" s="198">
        <f>SUM(O698:O721)</f>
        <v>2215.9481689999998</v>
      </c>
      <c r="P722" s="267"/>
      <c r="Q722" s="166"/>
      <c r="R722" s="71"/>
    </row>
    <row r="723" spans="1:18" s="61" customFormat="1" ht="110.25" x14ac:dyDescent="0.25">
      <c r="A723" s="358"/>
      <c r="B723" s="361"/>
      <c r="C723" s="221" t="s">
        <v>82</v>
      </c>
      <c r="D723" s="156" t="s">
        <v>46</v>
      </c>
      <c r="E723" s="156" t="s">
        <v>54</v>
      </c>
      <c r="F723" s="156" t="s">
        <v>285</v>
      </c>
      <c r="G723" s="238">
        <f>MROUND(H723*L723*I723/K723,0.000001)</f>
        <v>0.60326299999999999</v>
      </c>
      <c r="H723" s="242">
        <f>H123</f>
        <v>1028.181818181818</v>
      </c>
      <c r="I723" s="159">
        <f>I721</f>
        <v>2.2775730000000001E-2</v>
      </c>
      <c r="J723" s="160"/>
      <c r="K723" s="161">
        <f>K721</f>
        <v>427</v>
      </c>
      <c r="L723" s="225">
        <f>L363</f>
        <v>11</v>
      </c>
      <c r="M723" s="163" t="str">
        <f>CONCATENATE(H723," ",F723,"*",L723,"автобуса","*",I723,"/",K723,"чел.")</f>
        <v>1028,18181818182 л бензина АИ 92 (12,5л/день(зимой)*20дней*7мес+10л/день(летом)*20дней*4мес)*11автобуса*0,02277573/427чел.</v>
      </c>
      <c r="N723" s="164">
        <f>N123</f>
        <v>54.500000000000007</v>
      </c>
      <c r="O723" s="165">
        <f>MROUND(G723*N723,0.000001)</f>
        <v>32.877834</v>
      </c>
      <c r="P723" s="166"/>
      <c r="Q723" s="166">
        <f t="shared" si="161"/>
        <v>14038.835118000001</v>
      </c>
      <c r="R723" s="71"/>
    </row>
    <row r="724" spans="1:18" s="62" customFormat="1" x14ac:dyDescent="0.25">
      <c r="A724" s="358"/>
      <c r="B724" s="361"/>
      <c r="C724" s="218" t="s">
        <v>309</v>
      </c>
      <c r="D724" s="240"/>
      <c r="E724" s="240"/>
      <c r="F724" s="240"/>
      <c r="G724" s="227"/>
      <c r="H724" s="241"/>
      <c r="I724" s="206"/>
      <c r="J724" s="228"/>
      <c r="K724" s="207"/>
      <c r="L724" s="257"/>
      <c r="M724" s="209"/>
      <c r="N724" s="210"/>
      <c r="O724" s="198">
        <f>SUM(O723)</f>
        <v>32.877834</v>
      </c>
      <c r="P724" s="267"/>
      <c r="Q724" s="166"/>
      <c r="R724" s="71"/>
    </row>
    <row r="725" spans="1:18" s="61" customFormat="1" ht="47.25" x14ac:dyDescent="0.25">
      <c r="A725" s="358"/>
      <c r="B725" s="361"/>
      <c r="C725" s="221" t="s">
        <v>434</v>
      </c>
      <c r="D725" s="156" t="s">
        <v>436</v>
      </c>
      <c r="E725" s="156" t="s">
        <v>28</v>
      </c>
      <c r="F725" s="156" t="s">
        <v>437</v>
      </c>
      <c r="G725" s="157">
        <f>MROUND(H725*L725*I725/K725,0.000001)</f>
        <v>1.5467999999999999E-2</v>
      </c>
      <c r="H725" s="242">
        <f>$H$125</f>
        <v>290</v>
      </c>
      <c r="I725" s="159">
        <f>I723</f>
        <v>2.2775730000000001E-2</v>
      </c>
      <c r="J725" s="160"/>
      <c r="K725" s="161">
        <f>K723</f>
        <v>427</v>
      </c>
      <c r="L725" s="162">
        <v>1</v>
      </c>
      <c r="M725" s="163" t="str">
        <f>CONCATENATE(H725," ",F725,"*",L725,"автобуса","*",I725,"/",K725,"чел.")</f>
        <v>290 огнетушителей (потребность учреждений) *1автобуса*0,02277573/427чел.</v>
      </c>
      <c r="N725" s="164">
        <f>$N$125</f>
        <v>2000</v>
      </c>
      <c r="O725" s="165">
        <f>MROUND(G725*N725,0.000001)</f>
        <v>30.936</v>
      </c>
      <c r="P725" s="166"/>
      <c r="Q725" s="166">
        <f t="shared" si="161"/>
        <v>13209.672</v>
      </c>
      <c r="R725" s="71"/>
    </row>
    <row r="726" spans="1:18" s="61" customFormat="1" x14ac:dyDescent="0.25">
      <c r="A726" s="358"/>
      <c r="B726" s="361"/>
      <c r="C726" s="218" t="s">
        <v>435</v>
      </c>
      <c r="D726" s="240"/>
      <c r="E726" s="240"/>
      <c r="F726" s="240"/>
      <c r="G726" s="251"/>
      <c r="H726" s="241"/>
      <c r="I726" s="206"/>
      <c r="J726" s="228"/>
      <c r="K726" s="207"/>
      <c r="L726" s="229"/>
      <c r="M726" s="209"/>
      <c r="N726" s="210"/>
      <c r="O726" s="198">
        <f>SUM(O725)</f>
        <v>30.936</v>
      </c>
      <c r="P726" s="166"/>
      <c r="Q726" s="166"/>
      <c r="R726" s="71"/>
    </row>
    <row r="727" spans="1:18" s="61" customFormat="1" ht="47.25" x14ac:dyDescent="0.25">
      <c r="A727" s="358"/>
      <c r="B727" s="361"/>
      <c r="C727" s="364" t="s">
        <v>118</v>
      </c>
      <c r="D727" s="156" t="s">
        <v>47</v>
      </c>
      <c r="E727" s="156" t="s">
        <v>28</v>
      </c>
      <c r="F727" s="156" t="s">
        <v>239</v>
      </c>
      <c r="G727" s="238">
        <f>MROUND(H727*L727*I727/K727,0.00000001)</f>
        <v>7.6808100000000006E-3</v>
      </c>
      <c r="H727" s="158">
        <f>H127</f>
        <v>144</v>
      </c>
      <c r="I727" s="159">
        <f>I723</f>
        <v>2.2775730000000001E-2</v>
      </c>
      <c r="J727" s="160"/>
      <c r="K727" s="161">
        <f>K723</f>
        <v>427</v>
      </c>
      <c r="L727" s="250">
        <v>1</v>
      </c>
      <c r="M727" s="163" t="str">
        <f>CONCATENATE(H727," ",F727,"*",I727,"/",K727,"чел.")</f>
        <v>144 манометров (потребность учреждений) *0,02277573/427чел.</v>
      </c>
      <c r="N727" s="164">
        <f>N127</f>
        <v>708.5</v>
      </c>
      <c r="O727" s="165">
        <f>MROUND(G727*N727,0.000001)</f>
        <v>5.4418540000000002</v>
      </c>
      <c r="P727" s="166"/>
      <c r="Q727" s="166">
        <f t="shared" si="161"/>
        <v>2323.6716580000002</v>
      </c>
      <c r="R727" s="71"/>
    </row>
    <row r="728" spans="1:18" s="61" customFormat="1" ht="47.25" x14ac:dyDescent="0.25">
      <c r="A728" s="358"/>
      <c r="B728" s="361"/>
      <c r="C728" s="364"/>
      <c r="D728" s="255" t="s">
        <v>113</v>
      </c>
      <c r="E728" s="156" t="s">
        <v>28</v>
      </c>
      <c r="F728" s="156" t="s">
        <v>240</v>
      </c>
      <c r="G728" s="238">
        <f>MROUND(H728*L728*I728/K728,0.00000001)</f>
        <v>0.30483208000000001</v>
      </c>
      <c r="H728" s="158">
        <f>H128</f>
        <v>5715</v>
      </c>
      <c r="I728" s="159">
        <f>I727</f>
        <v>2.2775730000000001E-2</v>
      </c>
      <c r="J728" s="160"/>
      <c r="K728" s="161">
        <f>K727</f>
        <v>427</v>
      </c>
      <c r="L728" s="250">
        <v>1</v>
      </c>
      <c r="M728" s="163" t="str">
        <f>CONCATENATE(H728," ",F728,"*",I728,"/",K728,"чел.")</f>
        <v>5715 светильников (потребность учреждений)*0,02277573/427чел.</v>
      </c>
      <c r="N728" s="164">
        <f>N128</f>
        <v>106.27500087489064</v>
      </c>
      <c r="O728" s="165">
        <f>MROUND(G728*N728,0.000001)</f>
        <v>32.396029999999996</v>
      </c>
      <c r="P728" s="166"/>
      <c r="Q728" s="166">
        <f t="shared" si="161"/>
        <v>13833.104809999999</v>
      </c>
      <c r="R728" s="71"/>
    </row>
    <row r="729" spans="1:18" s="62" customFormat="1" x14ac:dyDescent="0.25">
      <c r="A729" s="359"/>
      <c r="B729" s="362"/>
      <c r="C729" s="218" t="s">
        <v>310</v>
      </c>
      <c r="D729" s="256"/>
      <c r="E729" s="240"/>
      <c r="F729" s="240"/>
      <c r="G729" s="227"/>
      <c r="H729" s="241"/>
      <c r="I729" s="206"/>
      <c r="J729" s="228"/>
      <c r="K729" s="207"/>
      <c r="L729" s="257"/>
      <c r="M729" s="209"/>
      <c r="N729" s="210"/>
      <c r="O729" s="198">
        <f>SUM(O727:O728)</f>
        <v>37.837883999999995</v>
      </c>
      <c r="P729" s="267"/>
      <c r="Q729" s="166"/>
      <c r="R729" s="71"/>
    </row>
    <row r="730" spans="1:18" s="61" customFormat="1" x14ac:dyDescent="0.25">
      <c r="A730" s="357" t="str">
        <f>CONCATENATE(школы!$B$12,", ",школы!$C$12,", ",школы!$D$12)</f>
        <v>Реализация основных общеобразовательных программ основного общего образования, адаптированная образовательная программа, дети-инвалиды</v>
      </c>
      <c r="B730" s="360" t="str">
        <f>школы!$A$12</f>
        <v>11791000100500101006101</v>
      </c>
      <c r="C730" s="194"/>
      <c r="D730" s="363" t="s">
        <v>15</v>
      </c>
      <c r="E730" s="363"/>
      <c r="F730" s="363"/>
      <c r="G730" s="363"/>
      <c r="H730" s="195"/>
      <c r="I730" s="195"/>
      <c r="J730" s="195"/>
      <c r="K730" s="195"/>
      <c r="L730" s="196"/>
      <c r="M730" s="197"/>
      <c r="N730" s="164"/>
      <c r="O730" s="198">
        <f>O731+O736+O738</f>
        <v>7525.6646699440007</v>
      </c>
      <c r="P730" s="166"/>
      <c r="Q730" s="166"/>
      <c r="R730" s="71"/>
    </row>
    <row r="731" spans="1:18" s="61" customFormat="1" x14ac:dyDescent="0.25">
      <c r="A731" s="358"/>
      <c r="B731" s="361"/>
      <c r="C731" s="194"/>
      <c r="D731" s="350" t="s">
        <v>62</v>
      </c>
      <c r="E731" s="350"/>
      <c r="F731" s="350"/>
      <c r="G731" s="350"/>
      <c r="H731" s="195"/>
      <c r="I731" s="195"/>
      <c r="J731" s="195"/>
      <c r="K731" s="195"/>
      <c r="L731" s="196"/>
      <c r="M731" s="197"/>
      <c r="N731" s="164"/>
      <c r="O731" s="165">
        <f>O733+O735</f>
        <v>7525.6646699440007</v>
      </c>
      <c r="P731" s="166"/>
      <c r="Q731" s="166"/>
      <c r="R731" s="71"/>
    </row>
    <row r="732" spans="1:18" s="61" customFormat="1" x14ac:dyDescent="0.25">
      <c r="A732" s="358"/>
      <c r="B732" s="361"/>
      <c r="C732" s="194">
        <v>211</v>
      </c>
      <c r="D732" s="194" t="s">
        <v>86</v>
      </c>
      <c r="E732" s="199" t="s">
        <v>95</v>
      </c>
      <c r="F732" s="199" t="s">
        <v>95</v>
      </c>
      <c r="G732" s="275">
        <f>MROUND(H732*L732*I732/K732,0.0000000001)</f>
        <v>0.46245996920000004</v>
      </c>
      <c r="H732" s="201">
        <f>H12</f>
        <v>921.8</v>
      </c>
      <c r="I732" s="159">
        <f>школы!$K$12</f>
        <v>3.261E-3</v>
      </c>
      <c r="J732" s="159"/>
      <c r="K732" s="161">
        <f>школы!$G$12</f>
        <v>78</v>
      </c>
      <c r="L732" s="202">
        <v>12</v>
      </c>
      <c r="M732" s="163" t="str">
        <f>CONCATENATE(H732," ",F732," ","в мес.","*",L732,"мес.","*",I732,"/",K732,"чел.")</f>
        <v>921,8 шт.ед в мес.*12мес.*0,003261/78чел.</v>
      </c>
      <c r="N732" s="164">
        <f>N12</f>
        <v>12498.552905979601</v>
      </c>
      <c r="O732" s="165">
        <f>MROUND(G732*N732,0.000000001)</f>
        <v>5780.0803919440004</v>
      </c>
      <c r="P732" s="166"/>
      <c r="Q732" s="166">
        <f t="shared" si="161"/>
        <v>450846.27057163202</v>
      </c>
      <c r="R732" s="71"/>
    </row>
    <row r="733" spans="1:18" s="62" customFormat="1" x14ac:dyDescent="0.25">
      <c r="A733" s="358"/>
      <c r="B733" s="361"/>
      <c r="C733" s="203" t="s">
        <v>288</v>
      </c>
      <c r="D733" s="203"/>
      <c r="E733" s="204"/>
      <c r="F733" s="204"/>
      <c r="G733" s="205"/>
      <c r="H733" s="206"/>
      <c r="I733" s="206"/>
      <c r="J733" s="206"/>
      <c r="K733" s="207"/>
      <c r="L733" s="208"/>
      <c r="M733" s="209"/>
      <c r="N733" s="210">
        <f>N732</f>
        <v>12498.552905979601</v>
      </c>
      <c r="O733" s="198">
        <f>O732</f>
        <v>5780.0803919440004</v>
      </c>
      <c r="P733" s="267"/>
      <c r="Q733" s="166"/>
      <c r="R733" s="71"/>
    </row>
    <row r="734" spans="1:18" s="61" customFormat="1" x14ac:dyDescent="0.25">
      <c r="A734" s="358"/>
      <c r="B734" s="361"/>
      <c r="C734" s="194">
        <v>213</v>
      </c>
      <c r="D734" s="194" t="s">
        <v>87</v>
      </c>
      <c r="E734" s="194" t="s">
        <v>88</v>
      </c>
      <c r="F734" s="194"/>
      <c r="G734" s="211">
        <v>30.2</v>
      </c>
      <c r="H734" s="159"/>
      <c r="I734" s="159"/>
      <c r="J734" s="159"/>
      <c r="K734" s="161">
        <f>K732</f>
        <v>78</v>
      </c>
      <c r="L734" s="202"/>
      <c r="M734" s="212"/>
      <c r="N734" s="164"/>
      <c r="O734" s="165">
        <f>MROUND(O732*0.302,0.000001)</f>
        <v>1745.5842779999998</v>
      </c>
      <c r="P734" s="166"/>
      <c r="Q734" s="166">
        <f>O734*K734</f>
        <v>136155.57368399997</v>
      </c>
      <c r="R734" s="71"/>
    </row>
    <row r="735" spans="1:18" s="61" customFormat="1" x14ac:dyDescent="0.25">
      <c r="A735" s="358"/>
      <c r="B735" s="361"/>
      <c r="C735" s="203" t="s">
        <v>289</v>
      </c>
      <c r="D735" s="194"/>
      <c r="E735" s="194"/>
      <c r="F735" s="194"/>
      <c r="G735" s="217"/>
      <c r="H735" s="195"/>
      <c r="I735" s="159"/>
      <c r="J735" s="195"/>
      <c r="K735" s="161"/>
      <c r="L735" s="196"/>
      <c r="M735" s="197"/>
      <c r="N735" s="210"/>
      <c r="O735" s="198">
        <f>O734</f>
        <v>1745.5842779999998</v>
      </c>
      <c r="P735" s="166"/>
      <c r="Q735" s="166"/>
      <c r="R735" s="71"/>
    </row>
    <row r="736" spans="1:18" s="61" customFormat="1" x14ac:dyDescent="0.25">
      <c r="A736" s="358"/>
      <c r="B736" s="361"/>
      <c r="C736" s="194"/>
      <c r="D736" s="356" t="s">
        <v>63</v>
      </c>
      <c r="E736" s="356"/>
      <c r="F736" s="356"/>
      <c r="G736" s="356"/>
      <c r="H736" s="195"/>
      <c r="I736" s="159"/>
      <c r="J736" s="195"/>
      <c r="K736" s="161"/>
      <c r="L736" s="196"/>
      <c r="M736" s="197"/>
      <c r="N736" s="164"/>
      <c r="O736" s="165"/>
      <c r="P736" s="166"/>
      <c r="Q736" s="166"/>
      <c r="R736" s="71"/>
    </row>
    <row r="737" spans="1:18" s="61" customFormat="1" x14ac:dyDescent="0.25">
      <c r="A737" s="358"/>
      <c r="B737" s="361"/>
      <c r="C737" s="194"/>
      <c r="D737" s="194"/>
      <c r="E737" s="194"/>
      <c r="F737" s="194"/>
      <c r="G737" s="217"/>
      <c r="H737" s="195"/>
      <c r="I737" s="159"/>
      <c r="J737" s="195"/>
      <c r="K737" s="161"/>
      <c r="L737" s="196"/>
      <c r="M737" s="197"/>
      <c r="N737" s="164"/>
      <c r="O737" s="165"/>
      <c r="P737" s="166"/>
      <c r="Q737" s="166"/>
      <c r="R737" s="71"/>
    </row>
    <row r="738" spans="1:18" s="61" customFormat="1" x14ac:dyDescent="0.25">
      <c r="A738" s="358"/>
      <c r="B738" s="361"/>
      <c r="C738" s="194"/>
      <c r="D738" s="350" t="s">
        <v>64</v>
      </c>
      <c r="E738" s="350"/>
      <c r="F738" s="350"/>
      <c r="G738" s="350"/>
      <c r="H738" s="195"/>
      <c r="I738" s="159"/>
      <c r="J738" s="195"/>
      <c r="K738" s="161"/>
      <c r="L738" s="196"/>
      <c r="M738" s="197"/>
      <c r="N738" s="164"/>
      <c r="O738" s="165"/>
      <c r="P738" s="166"/>
      <c r="Q738" s="166"/>
      <c r="R738" s="71"/>
    </row>
    <row r="739" spans="1:18" s="61" customFormat="1" x14ac:dyDescent="0.25">
      <c r="A739" s="358"/>
      <c r="B739" s="361"/>
      <c r="C739" s="194"/>
      <c r="D739" s="194"/>
      <c r="E739" s="194"/>
      <c r="F739" s="194"/>
      <c r="G739" s="217"/>
      <c r="H739" s="195"/>
      <c r="I739" s="159"/>
      <c r="J739" s="195"/>
      <c r="K739" s="161"/>
      <c r="L739" s="196"/>
      <c r="M739" s="197"/>
      <c r="N739" s="164"/>
      <c r="O739" s="165"/>
      <c r="P739" s="166"/>
      <c r="Q739" s="166"/>
      <c r="R739" s="71"/>
    </row>
    <row r="740" spans="1:18" s="61" customFormat="1" x14ac:dyDescent="0.25">
      <c r="A740" s="358"/>
      <c r="B740" s="361"/>
      <c r="C740" s="194"/>
      <c r="D740" s="355" t="s">
        <v>5</v>
      </c>
      <c r="E740" s="355"/>
      <c r="F740" s="355"/>
      <c r="G740" s="355"/>
      <c r="H740" s="195"/>
      <c r="I740" s="159"/>
      <c r="J740" s="195"/>
      <c r="K740" s="161"/>
      <c r="L740" s="196"/>
      <c r="M740" s="197"/>
      <c r="N740" s="164"/>
      <c r="O740" s="198">
        <f>O741+O751+O762+O764+O766+O768+O770</f>
        <v>40144.030467006967</v>
      </c>
      <c r="P740" s="166"/>
      <c r="Q740" s="166"/>
      <c r="R740" s="71"/>
    </row>
    <row r="741" spans="1:18" s="61" customFormat="1" x14ac:dyDescent="0.25">
      <c r="A741" s="358"/>
      <c r="B741" s="361"/>
      <c r="C741" s="218" t="s">
        <v>70</v>
      </c>
      <c r="D741" s="355" t="s">
        <v>6</v>
      </c>
      <c r="E741" s="355"/>
      <c r="F741" s="355"/>
      <c r="G741" s="355"/>
      <c r="H741" s="189"/>
      <c r="I741" s="159"/>
      <c r="J741" s="189"/>
      <c r="K741" s="161"/>
      <c r="L741" s="190"/>
      <c r="M741" s="197"/>
      <c r="N741" s="210"/>
      <c r="O741" s="198">
        <f>O750</f>
        <v>7232.5785475000002</v>
      </c>
      <c r="P741" s="166"/>
      <c r="Q741" s="166"/>
      <c r="R741" s="71"/>
    </row>
    <row r="742" spans="1:18" s="61" customFormat="1" ht="31.5" x14ac:dyDescent="0.25">
      <c r="A742" s="358"/>
      <c r="B742" s="361"/>
      <c r="C742" s="221" t="s">
        <v>72</v>
      </c>
      <c r="D742" s="222" t="s">
        <v>7</v>
      </c>
      <c r="E742" s="223" t="s">
        <v>8</v>
      </c>
      <c r="F742" s="223" t="s">
        <v>8</v>
      </c>
      <c r="G742" s="238">
        <f>MROUND(H742*L742*I742/K742,0.00000000001)</f>
        <v>138.51396117432</v>
      </c>
      <c r="H742" s="160">
        <f t="shared" ref="H742:H749" si="162">H22</f>
        <v>3313121.4264326878</v>
      </c>
      <c r="I742" s="159">
        <f>I732</f>
        <v>3.261E-3</v>
      </c>
      <c r="J742" s="160"/>
      <c r="K742" s="161">
        <f>K732</f>
        <v>78</v>
      </c>
      <c r="L742" s="250">
        <v>1</v>
      </c>
      <c r="M742" s="163" t="str">
        <f t="shared" ref="M742:M747" si="163">CONCATENATE(H742," ",F742,"(лимиты выделенные УЖКХ) ","*",I742,"/",K742,"чел.")</f>
        <v>3313121,42643269 кВт час.(лимиты выделенные УЖКХ) *0,003261/78чел.</v>
      </c>
      <c r="N742" s="164">
        <f t="shared" ref="N742:N749" si="164">N22</f>
        <v>10.418446162163715</v>
      </c>
      <c r="O742" s="165">
        <f t="shared" ref="O742:O749" si="165">MROUND(G742*N742,0.000001)</f>
        <v>1443.1002469999999</v>
      </c>
      <c r="P742" s="166"/>
      <c r="Q742" s="166">
        <f t="shared" si="161"/>
        <v>112561.81926599999</v>
      </c>
      <c r="R742" s="71"/>
    </row>
    <row r="743" spans="1:18" s="61" customFormat="1" ht="31.5" x14ac:dyDescent="0.25">
      <c r="A743" s="358"/>
      <c r="B743" s="361"/>
      <c r="C743" s="221" t="s">
        <v>73</v>
      </c>
      <c r="D743" s="222" t="s">
        <v>9</v>
      </c>
      <c r="E743" s="223" t="s">
        <v>10</v>
      </c>
      <c r="F743" s="223" t="s">
        <v>10</v>
      </c>
      <c r="G743" s="238">
        <f>MROUND(H743*L743*I743/K743,0.00000000001)</f>
        <v>1.3335562665399998</v>
      </c>
      <c r="H743" s="160">
        <f t="shared" si="162"/>
        <v>31897.39</v>
      </c>
      <c r="I743" s="159">
        <f t="shared" ref="I743:I810" si="166">I742</f>
        <v>3.261E-3</v>
      </c>
      <c r="J743" s="160"/>
      <c r="K743" s="161">
        <f t="shared" ref="K743:K749" si="167">K742</f>
        <v>78</v>
      </c>
      <c r="L743" s="250">
        <v>1</v>
      </c>
      <c r="M743" s="163" t="str">
        <f t="shared" si="163"/>
        <v>31897,39 Гкал(лимиты выделенные УЖКХ) *0,003261/78чел.</v>
      </c>
      <c r="N743" s="164">
        <f t="shared" si="164"/>
        <v>2845.3650600830792</v>
      </c>
      <c r="O743" s="165">
        <f t="shared" si="165"/>
        <v>3794.4544059999998</v>
      </c>
      <c r="P743" s="166"/>
      <c r="Q743" s="166">
        <f t="shared" si="161"/>
        <v>295967.44366799999</v>
      </c>
      <c r="R743" s="71"/>
    </row>
    <row r="744" spans="1:18" s="61" customFormat="1" ht="31.5" x14ac:dyDescent="0.25">
      <c r="A744" s="358"/>
      <c r="B744" s="361"/>
      <c r="C744" s="364" t="s">
        <v>74</v>
      </c>
      <c r="D744" s="222" t="s">
        <v>12</v>
      </c>
      <c r="E744" s="222" t="s">
        <v>11</v>
      </c>
      <c r="F744" s="222" t="s">
        <v>11</v>
      </c>
      <c r="G744" s="238">
        <f>MROUND(H744*L744*I744/K744,0.00000000001)</f>
        <v>7.7229330688499997</v>
      </c>
      <c r="H744" s="224">
        <f t="shared" si="162"/>
        <v>184725.17</v>
      </c>
      <c r="I744" s="159">
        <f t="shared" si="166"/>
        <v>3.261E-3</v>
      </c>
      <c r="J744" s="160"/>
      <c r="K744" s="161">
        <f t="shared" si="167"/>
        <v>78</v>
      </c>
      <c r="L744" s="250">
        <v>1</v>
      </c>
      <c r="M744" s="163" t="str">
        <f t="shared" si="163"/>
        <v>184725,17 м3(лимиты выделенные УЖКХ) *0,003261/78чел.</v>
      </c>
      <c r="N744" s="164">
        <f t="shared" si="164"/>
        <v>51.830000102314166</v>
      </c>
      <c r="O744" s="165">
        <f t="shared" si="165"/>
        <v>400.27962199999996</v>
      </c>
      <c r="P744" s="166"/>
      <c r="Q744" s="166">
        <f t="shared" si="161"/>
        <v>31221.810515999998</v>
      </c>
      <c r="R744" s="71"/>
    </row>
    <row r="745" spans="1:18" s="61" customFormat="1" ht="47.25" x14ac:dyDescent="0.25">
      <c r="A745" s="358"/>
      <c r="B745" s="361"/>
      <c r="C745" s="364"/>
      <c r="D745" s="222" t="s">
        <v>17</v>
      </c>
      <c r="E745" s="222" t="s">
        <v>11</v>
      </c>
      <c r="F745" s="222" t="s">
        <v>11</v>
      </c>
      <c r="G745" s="238">
        <f>MROUND(H745*L745*I745/K745,0.00000000001)</f>
        <v>7.7229330688499997</v>
      </c>
      <c r="H745" s="160">
        <f t="shared" si="162"/>
        <v>184725.17</v>
      </c>
      <c r="I745" s="159">
        <f t="shared" si="166"/>
        <v>3.261E-3</v>
      </c>
      <c r="J745" s="160"/>
      <c r="K745" s="161">
        <f t="shared" si="167"/>
        <v>78</v>
      </c>
      <c r="L745" s="162">
        <f>$L$25</f>
        <v>1</v>
      </c>
      <c r="M745" s="163" t="str">
        <f t="shared" si="163"/>
        <v>184725,17 м3(лимиты выделенные УЖКХ) *0,003261/78чел.</v>
      </c>
      <c r="N745" s="164">
        <f t="shared" si="164"/>
        <v>78.76115753094173</v>
      </c>
      <c r="O745" s="165">
        <f t="shared" si="165"/>
        <v>608.26714800000002</v>
      </c>
      <c r="P745" s="166"/>
      <c r="Q745" s="166">
        <f t="shared" si="161"/>
        <v>47444.837544000002</v>
      </c>
      <c r="R745" s="71"/>
    </row>
    <row r="746" spans="1:18" s="61" customFormat="1" ht="31.5" x14ac:dyDescent="0.25">
      <c r="A746" s="358"/>
      <c r="B746" s="361"/>
      <c r="C746" s="364"/>
      <c r="D746" s="222" t="s">
        <v>13</v>
      </c>
      <c r="E746" s="222" t="s">
        <v>11</v>
      </c>
      <c r="F746" s="222" t="s">
        <v>11</v>
      </c>
      <c r="G746" s="238">
        <f>MROUND(H746*L746*I746/K746,0.00000000001)</f>
        <v>7.7229330688499997</v>
      </c>
      <c r="H746" s="160">
        <f t="shared" si="162"/>
        <v>184725.17</v>
      </c>
      <c r="I746" s="159">
        <f t="shared" si="166"/>
        <v>3.261E-3</v>
      </c>
      <c r="J746" s="160"/>
      <c r="K746" s="161">
        <f t="shared" si="167"/>
        <v>78</v>
      </c>
      <c r="L746" s="162">
        <v>1</v>
      </c>
      <c r="M746" s="163" t="str">
        <f t="shared" si="163"/>
        <v>184725,17 м3(лимиты выделенные УЖКХ) *0,003261/78чел.</v>
      </c>
      <c r="N746" s="164">
        <f t="shared" si="164"/>
        <v>107.41979263410609</v>
      </c>
      <c r="O746" s="165">
        <f>MROUND(G746*N746,0.00000001)</f>
        <v>829.59586878000005</v>
      </c>
      <c r="P746" s="166"/>
      <c r="Q746" s="166">
        <f t="shared" si="161"/>
        <v>64708.477764840005</v>
      </c>
      <c r="R746" s="71"/>
    </row>
    <row r="747" spans="1:18" s="61" customFormat="1" ht="31.5" x14ac:dyDescent="0.25">
      <c r="A747" s="358"/>
      <c r="B747" s="361"/>
      <c r="C747" s="221" t="s">
        <v>75</v>
      </c>
      <c r="D747" s="222" t="s">
        <v>18</v>
      </c>
      <c r="E747" s="222" t="s">
        <v>48</v>
      </c>
      <c r="F747" s="222" t="s">
        <v>48</v>
      </c>
      <c r="G747" s="238">
        <f>MROUND(H747*L747*I747/K747,0.0000000001)</f>
        <v>0.58060850770000005</v>
      </c>
      <c r="H747" s="160">
        <f t="shared" si="162"/>
        <v>13887.6</v>
      </c>
      <c r="I747" s="159">
        <f t="shared" si="166"/>
        <v>3.261E-3</v>
      </c>
      <c r="J747" s="160"/>
      <c r="K747" s="161">
        <f t="shared" si="167"/>
        <v>78</v>
      </c>
      <c r="L747" s="250">
        <v>1</v>
      </c>
      <c r="M747" s="163" t="str">
        <f t="shared" si="163"/>
        <v>13887,6 тыс. м3(лимиты выделенные УЖКХ) *0,003261/78чел.</v>
      </c>
      <c r="N747" s="164">
        <f t="shared" si="164"/>
        <v>29.231582850888564</v>
      </c>
      <c r="O747" s="165">
        <f t="shared" si="165"/>
        <v>16.972106</v>
      </c>
      <c r="P747" s="166"/>
      <c r="Q747" s="166">
        <f t="shared" si="161"/>
        <v>1323.8242680000001</v>
      </c>
      <c r="R747" s="71"/>
    </row>
    <row r="748" spans="1:18" s="61" customFormat="1" x14ac:dyDescent="0.25">
      <c r="A748" s="358"/>
      <c r="B748" s="361"/>
      <c r="C748" s="364" t="s">
        <v>216</v>
      </c>
      <c r="D748" s="222" t="s">
        <v>23</v>
      </c>
      <c r="E748" s="222" t="s">
        <v>11</v>
      </c>
      <c r="F748" s="222" t="s">
        <v>11</v>
      </c>
      <c r="G748" s="238">
        <f>MROUND(H748*L748*I748/K748,0.000000000001)</f>
        <v>0.14083506461500001</v>
      </c>
      <c r="H748" s="160">
        <f t="shared" si="162"/>
        <v>3368.6400000000003</v>
      </c>
      <c r="I748" s="159">
        <f t="shared" si="166"/>
        <v>3.261E-3</v>
      </c>
      <c r="J748" s="160"/>
      <c r="K748" s="161">
        <f t="shared" si="167"/>
        <v>78</v>
      </c>
      <c r="L748" s="162">
        <f>L747</f>
        <v>1</v>
      </c>
      <c r="M748" s="163" t="str">
        <f>CONCATENATE(H748," ",F748," ","*",I748,"/",K748,"чел.")</f>
        <v>3368,64 м3 *0,003261/78чел.</v>
      </c>
      <c r="N748" s="164">
        <f t="shared" si="164"/>
        <v>742.21370939013957</v>
      </c>
      <c r="O748" s="165">
        <f>MROUND(G748*N748,0.00000001)</f>
        <v>104.52971572</v>
      </c>
      <c r="P748" s="166"/>
      <c r="Q748" s="166">
        <f t="shared" si="161"/>
        <v>8153.3178261599996</v>
      </c>
      <c r="R748" s="71"/>
    </row>
    <row r="749" spans="1:18" s="61" customFormat="1" ht="47.25" x14ac:dyDescent="0.25">
      <c r="A749" s="358"/>
      <c r="B749" s="361"/>
      <c r="C749" s="364"/>
      <c r="D749" s="222" t="s">
        <v>24</v>
      </c>
      <c r="E749" s="222" t="s">
        <v>25</v>
      </c>
      <c r="F749" s="222" t="s">
        <v>217</v>
      </c>
      <c r="G749" s="238">
        <f>MROUND(H749*L749*I749/K749,0.000000000001)</f>
        <v>6.1457307690000003E-3</v>
      </c>
      <c r="H749" s="160">
        <f t="shared" si="162"/>
        <v>147</v>
      </c>
      <c r="I749" s="159">
        <f t="shared" si="166"/>
        <v>3.261E-3</v>
      </c>
      <c r="J749" s="160"/>
      <c r="K749" s="161">
        <f t="shared" si="167"/>
        <v>78</v>
      </c>
      <c r="L749" s="250">
        <f>L748</f>
        <v>1</v>
      </c>
      <c r="M749" s="163" t="str">
        <f>CONCATENATE(H749," ",F749,"(потребность из расчета 4 контейнера для уборки территории весной и осенью на 1 учреждение)","*",I749,"/",K749,"чел.")</f>
        <v>147 контейнера(потребность из расчета 4 контейнера для уборки территории весной и осенью на 1 учреждение)*0,003261/78чел.</v>
      </c>
      <c r="N749" s="164">
        <f t="shared" si="164"/>
        <v>5756.7497959183638</v>
      </c>
      <c r="O749" s="165">
        <f t="shared" si="165"/>
        <v>35.379433999999996</v>
      </c>
      <c r="P749" s="166"/>
      <c r="Q749" s="166">
        <f t="shared" si="161"/>
        <v>2759.5958519999999</v>
      </c>
      <c r="R749" s="71"/>
    </row>
    <row r="750" spans="1:18" s="62" customFormat="1" x14ac:dyDescent="0.25">
      <c r="A750" s="358"/>
      <c r="B750" s="361"/>
      <c r="C750" s="218" t="s">
        <v>290</v>
      </c>
      <c r="D750" s="226"/>
      <c r="E750" s="226"/>
      <c r="F750" s="226"/>
      <c r="G750" s="227"/>
      <c r="H750" s="228"/>
      <c r="I750" s="206"/>
      <c r="J750" s="228"/>
      <c r="K750" s="207"/>
      <c r="L750" s="257"/>
      <c r="M750" s="209"/>
      <c r="N750" s="210"/>
      <c r="O750" s="198">
        <f>SUM(O742:O749)</f>
        <v>7232.5785475000002</v>
      </c>
      <c r="P750" s="267"/>
      <c r="Q750" s="166"/>
      <c r="R750" s="71"/>
    </row>
    <row r="751" spans="1:18" s="61" customFormat="1" x14ac:dyDescent="0.25">
      <c r="A751" s="358"/>
      <c r="B751" s="361"/>
      <c r="C751" s="221"/>
      <c r="D751" s="356" t="s">
        <v>14</v>
      </c>
      <c r="E751" s="356"/>
      <c r="F751" s="356"/>
      <c r="G751" s="356"/>
      <c r="H751" s="188"/>
      <c r="I751" s="159"/>
      <c r="J751" s="188"/>
      <c r="K751" s="161"/>
      <c r="L751" s="250"/>
      <c r="M751" s="230"/>
      <c r="N751" s="164"/>
      <c r="O751" s="198">
        <f>O759+O760+O755</f>
        <v>30120.962906976969</v>
      </c>
      <c r="P751" s="166"/>
      <c r="Q751" s="166"/>
      <c r="R751" s="71"/>
    </row>
    <row r="752" spans="1:18" s="61" customFormat="1" x14ac:dyDescent="0.25">
      <c r="A752" s="358"/>
      <c r="B752" s="361"/>
      <c r="C752" s="221" t="s">
        <v>379</v>
      </c>
      <c r="D752" s="231" t="s">
        <v>49</v>
      </c>
      <c r="E752" s="231" t="s">
        <v>22</v>
      </c>
      <c r="F752" s="231" t="s">
        <v>22</v>
      </c>
      <c r="G752" s="238">
        <f>MROUND(H752*L752*I752/K752,0.000000001)</f>
        <v>0</v>
      </c>
      <c r="H752" s="160"/>
      <c r="I752" s="159">
        <f>I747</f>
        <v>3.261E-3</v>
      </c>
      <c r="J752" s="160"/>
      <c r="K752" s="161">
        <f>K747</f>
        <v>78</v>
      </c>
      <c r="L752" s="250"/>
      <c r="M752" s="163"/>
      <c r="N752" s="164">
        <f>N32</f>
        <v>0</v>
      </c>
      <c r="O752" s="165">
        <f>MROUND(G752*N752,0.00000001)</f>
        <v>0</v>
      </c>
      <c r="P752" s="166"/>
      <c r="Q752" s="166">
        <f t="shared" si="161"/>
        <v>0</v>
      </c>
      <c r="R752" s="71"/>
    </row>
    <row r="753" spans="1:18" s="61" customFormat="1" x14ac:dyDescent="0.25">
      <c r="A753" s="358"/>
      <c r="B753" s="361"/>
      <c r="C753" s="221" t="s">
        <v>379</v>
      </c>
      <c r="D753" s="231" t="s">
        <v>49</v>
      </c>
      <c r="E753" s="231" t="s">
        <v>28</v>
      </c>
      <c r="F753" s="231" t="s">
        <v>28</v>
      </c>
      <c r="G753" s="238">
        <f>MROUND(H753*L753*I753/K753,0.00000000000000001)</f>
        <v>2.0903846153846002E-4</v>
      </c>
      <c r="H753" s="160">
        <f>H33</f>
        <v>5</v>
      </c>
      <c r="I753" s="159">
        <f t="shared" si="166"/>
        <v>3.261E-3</v>
      </c>
      <c r="J753" s="160"/>
      <c r="K753" s="161">
        <f>K752</f>
        <v>78</v>
      </c>
      <c r="L753" s="250">
        <v>1</v>
      </c>
      <c r="M753" s="163" t="str">
        <f>CONCATENATE(H753," ",F753,"*",I753,"/",K753,"чел.")</f>
        <v>5 шт*0,003261/78чел.</v>
      </c>
      <c r="N753" s="164">
        <f>N33</f>
        <v>28120000</v>
      </c>
      <c r="O753" s="165">
        <f>MROUND(G753*N753,0.00000001)</f>
        <v>5878.16153846</v>
      </c>
      <c r="P753" s="166"/>
      <c r="Q753" s="166">
        <f t="shared" si="161"/>
        <v>458496.59999988001</v>
      </c>
      <c r="R753" s="71"/>
    </row>
    <row r="754" spans="1:18" s="61" customFormat="1" x14ac:dyDescent="0.25">
      <c r="A754" s="358"/>
      <c r="B754" s="361"/>
      <c r="C754" s="221" t="s">
        <v>379</v>
      </c>
      <c r="D754" s="231" t="s">
        <v>49</v>
      </c>
      <c r="E754" s="231" t="s">
        <v>101</v>
      </c>
      <c r="F754" s="231" t="s">
        <v>101</v>
      </c>
      <c r="G754" s="238">
        <f>MROUND(H754*L754*I754/K754,0.000000001)</f>
        <v>0</v>
      </c>
      <c r="H754" s="160"/>
      <c r="I754" s="159">
        <f t="shared" si="166"/>
        <v>3.261E-3</v>
      </c>
      <c r="J754" s="160"/>
      <c r="K754" s="161">
        <f>K753</f>
        <v>78</v>
      </c>
      <c r="L754" s="250"/>
      <c r="M754" s="163"/>
      <c r="N754" s="164">
        <f>N34</f>
        <v>0</v>
      </c>
      <c r="O754" s="165">
        <f>MROUND(G754*N754,0.00000001)</f>
        <v>0</v>
      </c>
      <c r="P754" s="166"/>
      <c r="Q754" s="166">
        <f t="shared" si="161"/>
        <v>0</v>
      </c>
      <c r="R754" s="71"/>
    </row>
    <row r="755" spans="1:18" s="62" customFormat="1" x14ac:dyDescent="0.25">
      <c r="A755" s="358"/>
      <c r="B755" s="361"/>
      <c r="C755" s="218" t="s">
        <v>380</v>
      </c>
      <c r="D755" s="232"/>
      <c r="E755" s="232"/>
      <c r="F755" s="232"/>
      <c r="G755" s="227"/>
      <c r="H755" s="228"/>
      <c r="I755" s="206"/>
      <c r="J755" s="228"/>
      <c r="K755" s="207"/>
      <c r="L755" s="257"/>
      <c r="M755" s="209"/>
      <c r="N755" s="210"/>
      <c r="O755" s="198">
        <f>SUM(O752:O754)</f>
        <v>5878.16153846</v>
      </c>
      <c r="P755" s="267"/>
      <c r="Q755" s="166"/>
      <c r="R755" s="71"/>
    </row>
    <row r="756" spans="1:18" s="61" customFormat="1" x14ac:dyDescent="0.25">
      <c r="A756" s="358"/>
      <c r="B756" s="361"/>
      <c r="C756" s="221" t="s">
        <v>76</v>
      </c>
      <c r="D756" s="231" t="s">
        <v>49</v>
      </c>
      <c r="E756" s="231" t="s">
        <v>22</v>
      </c>
      <c r="F756" s="231" t="s">
        <v>22</v>
      </c>
      <c r="G756" s="238">
        <f>MROUND(H756*L756*I756/K756,0.000000000000001)</f>
        <v>3.0610346438461544</v>
      </c>
      <c r="H756" s="160">
        <f>H36</f>
        <v>73217.02</v>
      </c>
      <c r="I756" s="159">
        <f>I752</f>
        <v>3.261E-3</v>
      </c>
      <c r="J756" s="160"/>
      <c r="K756" s="161">
        <f>K754</f>
        <v>78</v>
      </c>
      <c r="L756" s="250">
        <v>1</v>
      </c>
      <c r="M756" s="163" t="str">
        <f>CONCATENATE(H756," ",F756,"*",I756,"/",K756,"чел.")</f>
        <v>73217,02 м2*0,003261/78чел.</v>
      </c>
      <c r="N756" s="164">
        <f>N36</f>
        <v>3335.1026185604301</v>
      </c>
      <c r="O756" s="165">
        <f>MROUND(G756*N756,0.00000000001)</f>
        <v>10208.864656195499</v>
      </c>
      <c r="P756" s="166"/>
      <c r="Q756" s="166">
        <f t="shared" si="161"/>
        <v>796291.44318324898</v>
      </c>
      <c r="R756" s="71"/>
    </row>
    <row r="757" spans="1:18" s="61" customFormat="1" x14ac:dyDescent="0.25">
      <c r="A757" s="358"/>
      <c r="B757" s="361"/>
      <c r="C757" s="221"/>
      <c r="D757" s="231" t="s">
        <v>49</v>
      </c>
      <c r="E757" s="231" t="s">
        <v>28</v>
      </c>
      <c r="F757" s="231" t="s">
        <v>28</v>
      </c>
      <c r="G757" s="238">
        <f>MROUND(H757*L757*I757/K757,0.000000000001)</f>
        <v>0.17350192307699999</v>
      </c>
      <c r="H757" s="160">
        <f>H37</f>
        <v>4150</v>
      </c>
      <c r="I757" s="159">
        <f t="shared" si="166"/>
        <v>3.261E-3</v>
      </c>
      <c r="J757" s="160"/>
      <c r="K757" s="161">
        <f>K756</f>
        <v>78</v>
      </c>
      <c r="L757" s="250">
        <v>1</v>
      </c>
      <c r="M757" s="163" t="str">
        <f>CONCATENATE(H757," ",F757,"*",I757,"/",K757,"чел.")</f>
        <v>4150 шт*0,003261/78чел.</v>
      </c>
      <c r="N757" s="164">
        <f>N37</f>
        <v>71617.619331325302</v>
      </c>
      <c r="O757" s="165">
        <f>MROUND(G757*N757,0.00000000001)</f>
        <v>12425.794680181469</v>
      </c>
      <c r="P757" s="166"/>
      <c r="Q757" s="166">
        <f t="shared" si="161"/>
        <v>969211.98505415453</v>
      </c>
      <c r="R757" s="71"/>
    </row>
    <row r="758" spans="1:18" s="61" customFormat="1" x14ac:dyDescent="0.25">
      <c r="A758" s="358"/>
      <c r="B758" s="361"/>
      <c r="C758" s="221"/>
      <c r="D758" s="231" t="s">
        <v>49</v>
      </c>
      <c r="E758" s="231" t="s">
        <v>101</v>
      </c>
      <c r="F758" s="231" t="s">
        <v>101</v>
      </c>
      <c r="G758" s="238">
        <f>MROUND(H758*L758*I758/K758,0.000000001)</f>
        <v>0.59676300000000004</v>
      </c>
      <c r="H758" s="160">
        <f>H38</f>
        <v>14274</v>
      </c>
      <c r="I758" s="159">
        <f t="shared" si="166"/>
        <v>3.261E-3</v>
      </c>
      <c r="J758" s="160"/>
      <c r="K758" s="161">
        <f>K757</f>
        <v>78</v>
      </c>
      <c r="L758" s="250">
        <v>1</v>
      </c>
      <c r="M758" s="163" t="str">
        <f>CONCATENATE(H758," ",F758,"*",I758,"/",K758,"чел.")</f>
        <v>14274 погон.м.*0,003261/78чел.</v>
      </c>
      <c r="N758" s="164">
        <f>N38</f>
        <v>2694.7750315258509</v>
      </c>
      <c r="O758" s="165">
        <f>MROUND(G758*N758,0.00000001)</f>
        <v>1608.1420321400001</v>
      </c>
      <c r="P758" s="166"/>
      <c r="Q758" s="166">
        <f t="shared" si="161"/>
        <v>125435.07850692001</v>
      </c>
      <c r="R758" s="71"/>
    </row>
    <row r="759" spans="1:18" s="62" customFormat="1" x14ac:dyDescent="0.25">
      <c r="A759" s="358"/>
      <c r="B759" s="361"/>
      <c r="C759" s="218" t="s">
        <v>291</v>
      </c>
      <c r="D759" s="232"/>
      <c r="E759" s="232"/>
      <c r="F759" s="232"/>
      <c r="G759" s="227"/>
      <c r="H759" s="228"/>
      <c r="I759" s="206"/>
      <c r="J759" s="228"/>
      <c r="K759" s="207"/>
      <c r="L759" s="257"/>
      <c r="M759" s="209"/>
      <c r="N759" s="210"/>
      <c r="O759" s="198">
        <f>SUM(O756:O758)</f>
        <v>24242.801368516968</v>
      </c>
      <c r="P759" s="267"/>
      <c r="Q759" s="166"/>
      <c r="R759" s="71"/>
    </row>
    <row r="760" spans="1:18" s="61" customFormat="1" x14ac:dyDescent="0.25">
      <c r="A760" s="358"/>
      <c r="B760" s="361"/>
      <c r="C760" s="221" t="s">
        <v>77</v>
      </c>
      <c r="D760" s="231"/>
      <c r="E760" s="231"/>
      <c r="F760" s="231"/>
      <c r="G760" s="238">
        <f>MROUND(H760*L760*I760/K760,0.00000000001)</f>
        <v>0</v>
      </c>
      <c r="H760" s="160">
        <f>H520</f>
        <v>0</v>
      </c>
      <c r="I760" s="159">
        <f>I758</f>
        <v>3.261E-3</v>
      </c>
      <c r="J760" s="160"/>
      <c r="K760" s="161">
        <f>K758</f>
        <v>78</v>
      </c>
      <c r="L760" s="250"/>
      <c r="M760" s="163"/>
      <c r="N760" s="164">
        <f>N520</f>
        <v>0</v>
      </c>
      <c r="O760" s="165">
        <f>MROUND(G760*N760,0.000000001)</f>
        <v>0</v>
      </c>
      <c r="P760" s="166"/>
      <c r="Q760" s="166">
        <f t="shared" si="161"/>
        <v>0</v>
      </c>
      <c r="R760" s="71"/>
    </row>
    <row r="761" spans="1:18" s="61" customFormat="1" x14ac:dyDescent="0.25">
      <c r="A761" s="358"/>
      <c r="B761" s="361"/>
      <c r="C761" s="218" t="s">
        <v>292</v>
      </c>
      <c r="D761" s="232"/>
      <c r="E761" s="232"/>
      <c r="F761" s="232"/>
      <c r="G761" s="227"/>
      <c r="H761" s="228"/>
      <c r="I761" s="206"/>
      <c r="J761" s="228"/>
      <c r="K761" s="207"/>
      <c r="L761" s="257"/>
      <c r="M761" s="209"/>
      <c r="N761" s="210"/>
      <c r="O761" s="198">
        <f>O760</f>
        <v>0</v>
      </c>
      <c r="P761" s="166"/>
      <c r="Q761" s="166"/>
      <c r="R761" s="71"/>
    </row>
    <row r="762" spans="1:18" s="61" customFormat="1" x14ac:dyDescent="0.25">
      <c r="A762" s="358"/>
      <c r="B762" s="361"/>
      <c r="C762" s="221"/>
      <c r="D762" s="350" t="s">
        <v>65</v>
      </c>
      <c r="E762" s="350"/>
      <c r="F762" s="350"/>
      <c r="G762" s="350"/>
      <c r="H762" s="195"/>
      <c r="I762" s="159"/>
      <c r="J762" s="195"/>
      <c r="K762" s="161"/>
      <c r="L762" s="196"/>
      <c r="M762" s="230"/>
      <c r="N762" s="164"/>
      <c r="O762" s="165">
        <f t="shared" ref="O762:O769" si="168">MROUND(G762*N762,0.000001)</f>
        <v>0</v>
      </c>
      <c r="P762" s="166"/>
      <c r="Q762" s="166"/>
      <c r="R762" s="71"/>
    </row>
    <row r="763" spans="1:18" s="61" customFormat="1" x14ac:dyDescent="0.25">
      <c r="A763" s="358"/>
      <c r="B763" s="361"/>
      <c r="C763" s="221"/>
      <c r="D763" s="194"/>
      <c r="E763" s="194"/>
      <c r="F763" s="194"/>
      <c r="G763" s="217"/>
      <c r="H763" s="195"/>
      <c r="I763" s="159"/>
      <c r="J763" s="195"/>
      <c r="K763" s="161"/>
      <c r="L763" s="196"/>
      <c r="M763" s="230"/>
      <c r="N763" s="164"/>
      <c r="O763" s="165">
        <f t="shared" si="168"/>
        <v>0</v>
      </c>
      <c r="P763" s="166"/>
      <c r="Q763" s="166"/>
      <c r="R763" s="71"/>
    </row>
    <row r="764" spans="1:18" s="61" customFormat="1" x14ac:dyDescent="0.25">
      <c r="A764" s="358"/>
      <c r="B764" s="361"/>
      <c r="C764" s="221" t="s">
        <v>357</v>
      </c>
      <c r="D764" s="368" t="s">
        <v>66</v>
      </c>
      <c r="E764" s="368"/>
      <c r="F764" s="368"/>
      <c r="G764" s="368"/>
      <c r="H764" s="195"/>
      <c r="I764" s="159"/>
      <c r="J764" s="195"/>
      <c r="K764" s="161"/>
      <c r="L764" s="234"/>
      <c r="M764" s="230"/>
      <c r="N764" s="164"/>
      <c r="O764" s="198">
        <f>O765</f>
        <v>7.5617479999999997</v>
      </c>
      <c r="P764" s="166"/>
      <c r="Q764" s="166"/>
      <c r="R764" s="71"/>
    </row>
    <row r="765" spans="1:18" s="61" customFormat="1" ht="47.25" x14ac:dyDescent="0.25">
      <c r="A765" s="358"/>
      <c r="B765" s="361"/>
      <c r="C765" s="221"/>
      <c r="D765" s="222" t="s">
        <v>374</v>
      </c>
      <c r="E765" s="194" t="s">
        <v>28</v>
      </c>
      <c r="F765" s="194" t="s">
        <v>28</v>
      </c>
      <c r="G765" s="217">
        <f>MROUND(H765*L765*I765/K765,0.000000001)</f>
        <v>6.0203080000000003E-3</v>
      </c>
      <c r="H765" s="201">
        <f>H165</f>
        <v>36</v>
      </c>
      <c r="I765" s="159">
        <f>I760</f>
        <v>3.261E-3</v>
      </c>
      <c r="J765" s="195"/>
      <c r="K765" s="161">
        <f>K760</f>
        <v>78</v>
      </c>
      <c r="L765" s="235">
        <f>L165</f>
        <v>4</v>
      </c>
      <c r="M765" s="163" t="str">
        <f>CONCATENATE(H765," ",F765,"*",I765,"/",K765,"чел.")</f>
        <v>36 шт*0,003261/78чел.</v>
      </c>
      <c r="N765" s="164">
        <f>N165</f>
        <v>1256.0400000000006</v>
      </c>
      <c r="O765" s="165">
        <f>MROUND(G765*N765,0.000001)</f>
        <v>7.5617479999999997</v>
      </c>
      <c r="P765" s="166"/>
      <c r="Q765" s="166">
        <f t="shared" si="161"/>
        <v>589.81634399999996</v>
      </c>
      <c r="R765" s="71"/>
    </row>
    <row r="766" spans="1:18" s="61" customFormat="1" x14ac:dyDescent="0.25">
      <c r="A766" s="358"/>
      <c r="B766" s="361"/>
      <c r="C766" s="221"/>
      <c r="D766" s="368" t="s">
        <v>67</v>
      </c>
      <c r="E766" s="368"/>
      <c r="F766" s="368"/>
      <c r="G766" s="368"/>
      <c r="H766" s="195"/>
      <c r="I766" s="159"/>
      <c r="J766" s="195"/>
      <c r="K766" s="161"/>
      <c r="L766" s="196"/>
      <c r="M766" s="230"/>
      <c r="N766" s="164"/>
      <c r="O766" s="165">
        <f t="shared" si="168"/>
        <v>0</v>
      </c>
      <c r="P766" s="166"/>
      <c r="Q766" s="166"/>
      <c r="R766" s="71"/>
    </row>
    <row r="767" spans="1:18" s="61" customFormat="1" x14ac:dyDescent="0.25">
      <c r="A767" s="358"/>
      <c r="B767" s="361"/>
      <c r="C767" s="221"/>
      <c r="D767" s="194"/>
      <c r="E767" s="194"/>
      <c r="F767" s="194"/>
      <c r="G767" s="217"/>
      <c r="H767" s="195"/>
      <c r="I767" s="159"/>
      <c r="J767" s="195"/>
      <c r="K767" s="161"/>
      <c r="L767" s="196"/>
      <c r="M767" s="230"/>
      <c r="N767" s="164"/>
      <c r="O767" s="165">
        <f t="shared" si="168"/>
        <v>0</v>
      </c>
      <c r="P767" s="166"/>
      <c r="Q767" s="166"/>
      <c r="R767" s="71"/>
    </row>
    <row r="768" spans="1:18" s="61" customFormat="1" x14ac:dyDescent="0.25">
      <c r="A768" s="358"/>
      <c r="B768" s="361"/>
      <c r="C768" s="221"/>
      <c r="D768" s="350" t="s">
        <v>68</v>
      </c>
      <c r="E768" s="350"/>
      <c r="F768" s="350"/>
      <c r="G768" s="350"/>
      <c r="H768" s="195"/>
      <c r="I768" s="159"/>
      <c r="J768" s="195"/>
      <c r="K768" s="161"/>
      <c r="L768" s="196"/>
      <c r="M768" s="230"/>
      <c r="N768" s="164"/>
      <c r="O768" s="165">
        <f t="shared" si="168"/>
        <v>0</v>
      </c>
      <c r="P768" s="166"/>
      <c r="Q768" s="166"/>
      <c r="R768" s="71"/>
    </row>
    <row r="769" spans="1:41" s="61" customFormat="1" x14ac:dyDescent="0.25">
      <c r="A769" s="358"/>
      <c r="B769" s="361"/>
      <c r="C769" s="221"/>
      <c r="D769" s="156"/>
      <c r="E769" s="156"/>
      <c r="F769" s="156"/>
      <c r="G769" s="236"/>
      <c r="H769" s="195"/>
      <c r="I769" s="159"/>
      <c r="J769" s="195"/>
      <c r="K769" s="161"/>
      <c r="L769" s="196"/>
      <c r="M769" s="230"/>
      <c r="N769" s="164"/>
      <c r="O769" s="165">
        <f t="shared" si="168"/>
        <v>0</v>
      </c>
      <c r="P769" s="166"/>
      <c r="Q769" s="166"/>
      <c r="R769" s="71"/>
    </row>
    <row r="770" spans="1:41" s="61" customFormat="1" x14ac:dyDescent="0.25">
      <c r="A770" s="358"/>
      <c r="B770" s="361"/>
      <c r="C770" s="221"/>
      <c r="D770" s="368" t="s">
        <v>69</v>
      </c>
      <c r="E770" s="368"/>
      <c r="F770" s="368"/>
      <c r="G770" s="368"/>
      <c r="H770" s="187"/>
      <c r="I770" s="159"/>
      <c r="J770" s="187"/>
      <c r="K770" s="161"/>
      <c r="L770" s="276"/>
      <c r="M770" s="230"/>
      <c r="N770" s="164"/>
      <c r="O770" s="198">
        <f>O772+O779+O796+O798+O813+O815+O817+O842+O844+O849+O846</f>
        <v>2782.9272645300002</v>
      </c>
      <c r="P770" s="166"/>
      <c r="Q770" s="166"/>
      <c r="R770" s="71"/>
    </row>
    <row r="771" spans="1:41" s="61" customFormat="1" x14ac:dyDescent="0.25">
      <c r="A771" s="358"/>
      <c r="B771" s="361"/>
      <c r="C771" s="221">
        <v>224</v>
      </c>
      <c r="D771" s="156" t="s">
        <v>21</v>
      </c>
      <c r="E771" s="156" t="s">
        <v>22</v>
      </c>
      <c r="F771" s="156" t="s">
        <v>22</v>
      </c>
      <c r="G771" s="238">
        <f>MROUND(H771*L771*I771/K771,0.000001)</f>
        <v>0</v>
      </c>
      <c r="H771" s="158">
        <f>H51</f>
        <v>0</v>
      </c>
      <c r="I771" s="159">
        <f>I765</f>
        <v>3.261E-3</v>
      </c>
      <c r="J771" s="160"/>
      <c r="K771" s="161">
        <f>K765</f>
        <v>78</v>
      </c>
      <c r="L771" s="250"/>
      <c r="M771" s="163"/>
      <c r="N771" s="164">
        <f>N171</f>
        <v>0</v>
      </c>
      <c r="O771" s="165">
        <f>MROUND(G771*N771,0.000001)</f>
        <v>0</v>
      </c>
      <c r="P771" s="166"/>
      <c r="Q771" s="166">
        <f t="shared" si="161"/>
        <v>0</v>
      </c>
      <c r="R771" s="71"/>
    </row>
    <row r="772" spans="1:41" s="62" customFormat="1" x14ac:dyDescent="0.25">
      <c r="A772" s="358"/>
      <c r="B772" s="361"/>
      <c r="C772" s="218" t="s">
        <v>293</v>
      </c>
      <c r="D772" s="240"/>
      <c r="E772" s="240"/>
      <c r="F772" s="240"/>
      <c r="G772" s="227"/>
      <c r="H772" s="241"/>
      <c r="I772" s="206"/>
      <c r="J772" s="228"/>
      <c r="K772" s="207"/>
      <c r="L772" s="257"/>
      <c r="M772" s="209"/>
      <c r="N772" s="210"/>
      <c r="O772" s="198">
        <f>SUM(O771)</f>
        <v>0</v>
      </c>
      <c r="P772" s="267"/>
      <c r="Q772" s="166"/>
      <c r="R772" s="71"/>
    </row>
    <row r="773" spans="1:41" s="61" customFormat="1" ht="31.5" x14ac:dyDescent="0.25">
      <c r="A773" s="358"/>
      <c r="B773" s="361"/>
      <c r="C773" s="364" t="s">
        <v>78</v>
      </c>
      <c r="D773" s="156" t="s">
        <v>26</v>
      </c>
      <c r="E773" s="156" t="s">
        <v>22</v>
      </c>
      <c r="F773" s="156" t="s">
        <v>22</v>
      </c>
      <c r="G773" s="238">
        <f>MROUND(H773*L773*I773/K773,0.000001)</f>
        <v>12.963728999999999</v>
      </c>
      <c r="H773" s="158">
        <f>H53</f>
        <v>25840</v>
      </c>
      <c r="I773" s="159">
        <f>I771</f>
        <v>3.261E-3</v>
      </c>
      <c r="J773" s="160"/>
      <c r="K773" s="161">
        <f>K771</f>
        <v>78</v>
      </c>
      <c r="L773" s="250">
        <v>12</v>
      </c>
      <c r="M773" s="163" t="str">
        <f>CONCATENATE(H773," ",F773,"(обрабатываемая площадь в мес.)","*",L773,"мес.","*",I773,"/",K773,"чел.")</f>
        <v>25840 м2(обрабатываемая площадь в мес.)*12мес.*0,003261/78чел.</v>
      </c>
      <c r="N773" s="164">
        <f>N53</f>
        <v>1.1553999935500519</v>
      </c>
      <c r="O773" s="165">
        <f t="shared" ref="O773:O778" si="169">MROUND(G773*N773,0.000001)</f>
        <v>14.978292</v>
      </c>
      <c r="P773" s="166"/>
      <c r="Q773" s="166">
        <f t="shared" si="161"/>
        <v>1168.3067759999999</v>
      </c>
      <c r="R773" s="71"/>
    </row>
    <row r="774" spans="1:41" s="61" customFormat="1" ht="31.5" x14ac:dyDescent="0.25">
      <c r="A774" s="358"/>
      <c r="B774" s="361"/>
      <c r="C774" s="364"/>
      <c r="D774" s="156" t="s">
        <v>96</v>
      </c>
      <c r="E774" s="156" t="s">
        <v>22</v>
      </c>
      <c r="F774" s="156" t="s">
        <v>22</v>
      </c>
      <c r="G774" s="238">
        <f>MROUND(H774*L774*I774/K774,0.000001)</f>
        <v>6.7101349999999993</v>
      </c>
      <c r="H774" s="158">
        <f>H54</f>
        <v>13375</v>
      </c>
      <c r="I774" s="159">
        <f t="shared" si="166"/>
        <v>3.261E-3</v>
      </c>
      <c r="J774" s="160"/>
      <c r="K774" s="161">
        <f>K773</f>
        <v>78</v>
      </c>
      <c r="L774" s="250">
        <v>12</v>
      </c>
      <c r="M774" s="163" t="str">
        <f>CONCATENATE(H774," ",F774,"(обрабатываемая площадь в мес.)","*",L774,"мес.","*",I774,"/",K774,"чел.")</f>
        <v>13375 м2(обрабатываемая площадь в мес.)*12мес.*0,003261/78чел.</v>
      </c>
      <c r="N774" s="164">
        <f>N54</f>
        <v>1.8530000000000004</v>
      </c>
      <c r="O774" s="165">
        <f t="shared" si="169"/>
        <v>12.43388</v>
      </c>
      <c r="P774" s="166"/>
      <c r="Q774" s="166">
        <f t="shared" si="161"/>
        <v>969.84264000000007</v>
      </c>
      <c r="R774" s="71"/>
    </row>
    <row r="775" spans="1:41" s="135" customFormat="1" ht="31.5" x14ac:dyDescent="0.25">
      <c r="A775" s="358"/>
      <c r="B775" s="361"/>
      <c r="C775" s="364"/>
      <c r="D775" s="156" t="s">
        <v>385</v>
      </c>
      <c r="E775" s="156" t="s">
        <v>22</v>
      </c>
      <c r="F775" s="156" t="s">
        <v>22</v>
      </c>
      <c r="G775" s="238">
        <f>MROUND(H775*L775*I775/K775,0.000001)</f>
        <v>13.420268999999999</v>
      </c>
      <c r="H775" s="242">
        <f>$H$55</f>
        <v>13375</v>
      </c>
      <c r="I775" s="159">
        <f t="shared" si="166"/>
        <v>3.261E-3</v>
      </c>
      <c r="J775" s="160"/>
      <c r="K775" s="161">
        <f>K774</f>
        <v>78</v>
      </c>
      <c r="L775" s="162">
        <v>24</v>
      </c>
      <c r="M775" s="163" t="str">
        <f>CONCATENATE(H775," ",F775,"(обрабатываемая площадь в год)","*",L775," раза в год.","*",I775,"/",K775,"чел.")</f>
        <v>13375 м2(обрабатываемая площадь в год)*24 раза в год.*0,003261/78чел.</v>
      </c>
      <c r="N775" s="164">
        <f>$N$55</f>
        <v>2.2889999999999993</v>
      </c>
      <c r="O775" s="165">
        <f t="shared" si="169"/>
        <v>30.718995999999997</v>
      </c>
      <c r="P775" s="166"/>
      <c r="Q775" s="166">
        <f t="shared" si="161"/>
        <v>2396.0816879999998</v>
      </c>
      <c r="R775" s="71"/>
      <c r="S775" s="61"/>
      <c r="T775" s="61"/>
      <c r="U775" s="61"/>
      <c r="V775" s="61"/>
      <c r="W775" s="61"/>
      <c r="X775" s="61"/>
      <c r="Y775" s="61"/>
      <c r="Z775" s="61"/>
      <c r="AA775" s="61"/>
      <c r="AB775" s="61"/>
      <c r="AC775" s="61"/>
      <c r="AD775" s="61"/>
      <c r="AE775" s="61"/>
      <c r="AF775" s="61"/>
      <c r="AG775" s="61"/>
      <c r="AH775" s="61"/>
      <c r="AI775" s="61"/>
      <c r="AJ775" s="61"/>
      <c r="AK775" s="61"/>
      <c r="AL775" s="61"/>
      <c r="AM775" s="61"/>
      <c r="AN775" s="61"/>
      <c r="AO775" s="61"/>
    </row>
    <row r="776" spans="1:41" s="135" customFormat="1" ht="31.5" x14ac:dyDescent="0.25">
      <c r="A776" s="358"/>
      <c r="B776" s="361"/>
      <c r="C776" s="364"/>
      <c r="D776" s="156" t="s">
        <v>394</v>
      </c>
      <c r="E776" s="156" t="s">
        <v>22</v>
      </c>
      <c r="F776" s="156" t="s">
        <v>22</v>
      </c>
      <c r="G776" s="238">
        <f>MROUND(H776*L776*I776/K776,0.000001)</f>
        <v>12.963728999999999</v>
      </c>
      <c r="H776" s="243">
        <f>$H$56</f>
        <v>25840</v>
      </c>
      <c r="I776" s="159">
        <f t="shared" si="166"/>
        <v>3.261E-3</v>
      </c>
      <c r="J776" s="160"/>
      <c r="K776" s="161">
        <f>K775</f>
        <v>78</v>
      </c>
      <c r="L776" s="162">
        <v>12</v>
      </c>
      <c r="M776" s="163" t="str">
        <f>CONCATENATE(H776," ",F776,"(обрабатываемая площадь в мес.)","*",L776,"мес.","*",I776,"/",K776,"чел.")</f>
        <v>25840 м2(обрабатываемая площадь в мес.)*12мес.*0,003261/78чел.</v>
      </c>
      <c r="N776" s="164">
        <f>$N$56</f>
        <v>0.54499999999999993</v>
      </c>
      <c r="O776" s="165">
        <f t="shared" si="169"/>
        <v>7.065232</v>
      </c>
      <c r="P776" s="166"/>
      <c r="Q776" s="166">
        <f t="shared" si="161"/>
        <v>551.08809599999995</v>
      </c>
      <c r="R776" s="71"/>
      <c r="S776" s="61"/>
      <c r="T776" s="61"/>
      <c r="U776" s="61"/>
      <c r="V776" s="61"/>
      <c r="W776" s="61"/>
      <c r="X776" s="61"/>
      <c r="Y776" s="61"/>
      <c r="Z776" s="61"/>
      <c r="AA776" s="61"/>
      <c r="AB776" s="61"/>
      <c r="AC776" s="61"/>
      <c r="AD776" s="61"/>
      <c r="AE776" s="61"/>
      <c r="AF776" s="61"/>
      <c r="AG776" s="61"/>
      <c r="AH776" s="61"/>
      <c r="AI776" s="61"/>
      <c r="AJ776" s="61"/>
      <c r="AK776" s="61"/>
      <c r="AL776" s="61"/>
      <c r="AM776" s="61"/>
      <c r="AN776" s="61"/>
      <c r="AO776" s="61"/>
    </row>
    <row r="777" spans="1:41" s="135" customFormat="1" ht="31.5" x14ac:dyDescent="0.25">
      <c r="A777" s="358"/>
      <c r="B777" s="361"/>
      <c r="C777" s="364"/>
      <c r="D777" s="156" t="s">
        <v>395</v>
      </c>
      <c r="E777" s="156" t="s">
        <v>98</v>
      </c>
      <c r="F777" s="156" t="s">
        <v>98</v>
      </c>
      <c r="G777" s="238">
        <f>MROUND(H777*L777*I777/K777,0.000000001)</f>
        <v>7.91838E-4</v>
      </c>
      <c r="H777" s="242">
        <f>$H$57</f>
        <v>18.939999999999998</v>
      </c>
      <c r="I777" s="159">
        <f t="shared" si="166"/>
        <v>3.261E-3</v>
      </c>
      <c r="J777" s="160"/>
      <c r="K777" s="161">
        <f>K776</f>
        <v>78</v>
      </c>
      <c r="L777" s="162">
        <v>1</v>
      </c>
      <c r="M777" s="163" t="str">
        <f>CONCATENATE(H777," ",F777,"(обрабатываемая площадь в год)","*",L777," раз в год","*",I777,"/",K777,"чел.")</f>
        <v>18,94 Га(обрабатываемая площадь в год)*1 раз в год*0,003261/78чел.</v>
      </c>
      <c r="N777" s="164">
        <f>$N$57</f>
        <v>545</v>
      </c>
      <c r="O777" s="165">
        <f t="shared" si="169"/>
        <v>0.43155199999999999</v>
      </c>
      <c r="P777" s="166"/>
      <c r="Q777" s="166">
        <f t="shared" si="161"/>
        <v>33.661056000000002</v>
      </c>
      <c r="R777" s="71"/>
      <c r="S777" s="61"/>
      <c r="T777" s="61"/>
      <c r="U777" s="61"/>
      <c r="V777" s="61"/>
      <c r="W777" s="61"/>
      <c r="X777" s="61"/>
      <c r="Y777" s="61"/>
      <c r="Z777" s="61"/>
      <c r="AA777" s="61"/>
      <c r="AB777" s="61"/>
      <c r="AC777" s="61"/>
      <c r="AD777" s="61"/>
      <c r="AE777" s="61"/>
      <c r="AF777" s="61"/>
      <c r="AG777" s="61"/>
      <c r="AH777" s="61"/>
      <c r="AI777" s="61"/>
      <c r="AJ777" s="61"/>
      <c r="AK777" s="61"/>
      <c r="AL777" s="61"/>
      <c r="AM777" s="61"/>
      <c r="AN777" s="61"/>
      <c r="AO777" s="61"/>
    </row>
    <row r="778" spans="1:41" s="61" customFormat="1" ht="31.5" x14ac:dyDescent="0.25">
      <c r="A778" s="358"/>
      <c r="B778" s="361"/>
      <c r="C778" s="364"/>
      <c r="D778" s="156" t="s">
        <v>97</v>
      </c>
      <c r="E778" s="156" t="s">
        <v>98</v>
      </c>
      <c r="F778" s="156" t="s">
        <v>98</v>
      </c>
      <c r="G778" s="238">
        <f>MROUND(H778*L778*I778/K778,0.0000000001)</f>
        <v>7.9183770000000001E-4</v>
      </c>
      <c r="H778" s="242">
        <f>H58</f>
        <v>18.939999999999998</v>
      </c>
      <c r="I778" s="244">
        <f>I774</f>
        <v>3.261E-3</v>
      </c>
      <c r="J778" s="160"/>
      <c r="K778" s="161">
        <f>K774</f>
        <v>78</v>
      </c>
      <c r="L778" s="250">
        <v>1</v>
      </c>
      <c r="M778" s="163" t="str">
        <f>CONCATENATE(H778," ",F778,"(обрабатываемая площадь в мес.)","*",L778,"мес.","*",I778,"/",K778,"чел.")</f>
        <v>18,94 Га(обрабатываемая площадь в мес.)*1мес.*0,003261/78чел.</v>
      </c>
      <c r="N778" s="164">
        <f>N58</f>
        <v>2965.979936642027</v>
      </c>
      <c r="O778" s="165">
        <f t="shared" si="169"/>
        <v>2.3485749999999999</v>
      </c>
      <c r="P778" s="166"/>
      <c r="Q778" s="166">
        <f t="shared" si="161"/>
        <v>183.18885</v>
      </c>
      <c r="R778" s="71"/>
    </row>
    <row r="779" spans="1:41" s="61" customFormat="1" x14ac:dyDescent="0.25">
      <c r="A779" s="358"/>
      <c r="B779" s="361"/>
      <c r="C779" s="245" t="s">
        <v>294</v>
      </c>
      <c r="D779" s="240"/>
      <c r="E779" s="240"/>
      <c r="F779" s="240"/>
      <c r="G779" s="227"/>
      <c r="H779" s="241"/>
      <c r="I779" s="206"/>
      <c r="J779" s="228"/>
      <c r="K779" s="207"/>
      <c r="L779" s="257"/>
      <c r="M779" s="209"/>
      <c r="N779" s="210"/>
      <c r="O779" s="198">
        <f>SUM(O773:O778)</f>
        <v>67.97652699999999</v>
      </c>
      <c r="P779" s="166"/>
      <c r="Q779" s="166"/>
      <c r="R779" s="71"/>
    </row>
    <row r="780" spans="1:41" s="61" customFormat="1" ht="63" x14ac:dyDescent="0.25">
      <c r="A780" s="358"/>
      <c r="B780" s="361"/>
      <c r="C780" s="365" t="s">
        <v>77</v>
      </c>
      <c r="D780" s="156" t="s">
        <v>29</v>
      </c>
      <c r="E780" s="156" t="s">
        <v>58</v>
      </c>
      <c r="F780" s="156" t="s">
        <v>218</v>
      </c>
      <c r="G780" s="238">
        <f>MROUND(H780*L780*I780/K780,0.00000001)</f>
        <v>2.5084600000000001E-3</v>
      </c>
      <c r="H780" s="158">
        <v>15</v>
      </c>
      <c r="I780" s="159">
        <f>I778</f>
        <v>3.261E-3</v>
      </c>
      <c r="J780" s="160"/>
      <c r="K780" s="161">
        <f>K778</f>
        <v>78</v>
      </c>
      <c r="L780" s="162">
        <v>4</v>
      </c>
      <c r="M780" s="163" t="str">
        <f>CONCATENATE(H780," ",F780,"*",L780," раза в год","*",I780,"/",K780,"чел.")</f>
        <v>15 установок*4 раза в год*0,003261/78чел.</v>
      </c>
      <c r="N780" s="164">
        <f t="shared" ref="N780:N790" si="170">N60</f>
        <v>721.75483333333329</v>
      </c>
      <c r="O780" s="165">
        <f t="shared" ref="O780:O795" si="171">MROUND(G780*N780,0.000001)</f>
        <v>1.8104929999999999</v>
      </c>
      <c r="P780" s="166"/>
      <c r="Q780" s="166">
        <f t="shared" ref="Q780:Q841" si="172">O780*K780</f>
        <v>141.21845399999998</v>
      </c>
      <c r="R780" s="71"/>
    </row>
    <row r="781" spans="1:41" s="61" customFormat="1" ht="47.25" x14ac:dyDescent="0.25">
      <c r="A781" s="358"/>
      <c r="B781" s="361"/>
      <c r="C781" s="366"/>
      <c r="D781" s="156" t="s">
        <v>30</v>
      </c>
      <c r="E781" s="156" t="s">
        <v>58</v>
      </c>
      <c r="F781" s="156" t="s">
        <v>218</v>
      </c>
      <c r="G781" s="238">
        <f>MROUND(H781*L781*I781/K781,0.00000001)</f>
        <v>1.2542300000000001E-3</v>
      </c>
      <c r="H781" s="158">
        <v>15</v>
      </c>
      <c r="I781" s="159">
        <f t="shared" si="166"/>
        <v>3.261E-3</v>
      </c>
      <c r="J781" s="160"/>
      <c r="K781" s="161">
        <f t="shared" ref="K781:K789" si="173">K780</f>
        <v>78</v>
      </c>
      <c r="L781" s="250">
        <v>2</v>
      </c>
      <c r="M781" s="163" t="str">
        <f>CONCATENATE(H781," ",F781,"*",L781,"полуг.","*",I781,"/",K781,"чел.")</f>
        <v>15 установок*2полуг.*0,003261/78чел.</v>
      </c>
      <c r="N781" s="164">
        <f t="shared" si="170"/>
        <v>721.75266666666664</v>
      </c>
      <c r="O781" s="165">
        <f t="shared" si="171"/>
        <v>0.90524399999999994</v>
      </c>
      <c r="P781" s="166"/>
      <c r="Q781" s="166">
        <f t="shared" si="172"/>
        <v>70.609031999999999</v>
      </c>
      <c r="R781" s="71"/>
    </row>
    <row r="782" spans="1:41" s="61" customFormat="1" ht="31.5" x14ac:dyDescent="0.25">
      <c r="A782" s="358"/>
      <c r="B782" s="361"/>
      <c r="C782" s="366"/>
      <c r="D782" s="156" t="s">
        <v>397</v>
      </c>
      <c r="E782" s="156" t="s">
        <v>433</v>
      </c>
      <c r="F782" s="156" t="s">
        <v>433</v>
      </c>
      <c r="G782" s="238">
        <f>MROUND(H782*L782*I782/K782,0.000001)</f>
        <v>2.5085E-2</v>
      </c>
      <c r="H782" s="158">
        <f>H62</f>
        <v>600</v>
      </c>
      <c r="I782" s="159">
        <f t="shared" si="166"/>
        <v>3.261E-3</v>
      </c>
      <c r="J782" s="160"/>
      <c r="K782" s="161">
        <f t="shared" si="173"/>
        <v>78</v>
      </c>
      <c r="L782" s="162">
        <v>1</v>
      </c>
      <c r="M782" s="163" t="str">
        <f>CONCATENATE(H782," ",F782,"(обрабатываемая площадь в год)","*",L782," раз в год","*",I782,"/",K782,"чел.")</f>
        <v>600 м2.(обрабатываемая площадь в год)*1 раз в год*0,003261/78чел.</v>
      </c>
      <c r="N782" s="164">
        <f t="shared" si="170"/>
        <v>300</v>
      </c>
      <c r="O782" s="165">
        <f t="shared" si="171"/>
        <v>7.5255000000000001</v>
      </c>
      <c r="P782" s="166"/>
      <c r="Q782" s="166">
        <f t="shared" si="172"/>
        <v>586.98900000000003</v>
      </c>
      <c r="R782" s="71"/>
    </row>
    <row r="783" spans="1:41" s="61" customFormat="1" ht="47.25" x14ac:dyDescent="0.25">
      <c r="A783" s="358"/>
      <c r="B783" s="361"/>
      <c r="C783" s="366"/>
      <c r="D783" s="156" t="s">
        <v>32</v>
      </c>
      <c r="E783" s="156" t="s">
        <v>55</v>
      </c>
      <c r="F783" s="156" t="s">
        <v>219</v>
      </c>
      <c r="G783" s="238">
        <f>MROUND(H783*L783*I783/K783,0.000000001)</f>
        <v>6.0203080000000003E-3</v>
      </c>
      <c r="H783" s="158">
        <f>H63</f>
        <v>36</v>
      </c>
      <c r="I783" s="159">
        <f>I782</f>
        <v>3.261E-3</v>
      </c>
      <c r="J783" s="160"/>
      <c r="K783" s="161">
        <f t="shared" si="173"/>
        <v>78</v>
      </c>
      <c r="L783" s="250">
        <v>4</v>
      </c>
      <c r="M783" s="163" t="str">
        <f>CONCATENATE(H783," ",F783,"*",L783,"кв.","*",I783,"/",K783,"чел.")</f>
        <v>36 системы*4кв.*0,003261/78чел.</v>
      </c>
      <c r="N783" s="164">
        <f t="shared" si="170"/>
        <v>6924.5277777777774</v>
      </c>
      <c r="O783" s="165">
        <f t="shared" si="171"/>
        <v>41.68779</v>
      </c>
      <c r="P783" s="166"/>
      <c r="Q783" s="166">
        <f t="shared" si="172"/>
        <v>3251.6476200000002</v>
      </c>
      <c r="R783" s="71"/>
    </row>
    <row r="784" spans="1:41" s="61" customFormat="1" ht="63" x14ac:dyDescent="0.25">
      <c r="A784" s="358"/>
      <c r="B784" s="361"/>
      <c r="C784" s="366"/>
      <c r="D784" s="156" t="s">
        <v>33</v>
      </c>
      <c r="E784" s="156" t="s">
        <v>56</v>
      </c>
      <c r="F784" s="156" t="s">
        <v>220</v>
      </c>
      <c r="G784" s="238">
        <f>MROUND(H784*L784*I784/K784,0.000000001)</f>
        <v>1.5050770000000001E-3</v>
      </c>
      <c r="H784" s="158">
        <f>$H$64</f>
        <v>36</v>
      </c>
      <c r="I784" s="159">
        <f>I783</f>
        <v>3.261E-3</v>
      </c>
      <c r="J784" s="160"/>
      <c r="K784" s="161">
        <f t="shared" si="173"/>
        <v>78</v>
      </c>
      <c r="L784" s="162">
        <v>1</v>
      </c>
      <c r="M784" s="163" t="str">
        <f>CONCATENATE(H784," ",F784,"*",L784," раз в год","*",I784,"/",K784,"чел.")</f>
        <v>36 дымоходов*1 раз в год*0,003261/78чел.</v>
      </c>
      <c r="N784" s="164">
        <f t="shared" si="170"/>
        <v>6540</v>
      </c>
      <c r="O784" s="165">
        <f t="shared" si="171"/>
        <v>9.8432040000000001</v>
      </c>
      <c r="P784" s="166"/>
      <c r="Q784" s="166">
        <f t="shared" si="172"/>
        <v>767.76991199999998</v>
      </c>
      <c r="R784" s="71"/>
    </row>
    <row r="785" spans="1:18" s="61" customFormat="1" x14ac:dyDescent="0.25">
      <c r="A785" s="358"/>
      <c r="B785" s="361"/>
      <c r="C785" s="366"/>
      <c r="D785" s="194" t="s">
        <v>398</v>
      </c>
      <c r="E785" s="156" t="s">
        <v>60</v>
      </c>
      <c r="F785" s="156" t="s">
        <v>60</v>
      </c>
      <c r="G785" s="238">
        <f>MROUND(H785*L785*I785/K785,0.000000001)</f>
        <v>1.4632690000000001E-3</v>
      </c>
      <c r="H785" s="246">
        <f t="shared" ref="H785:H790" si="174">H65</f>
        <v>35</v>
      </c>
      <c r="I785" s="159">
        <f t="shared" si="166"/>
        <v>3.261E-3</v>
      </c>
      <c r="J785" s="160"/>
      <c r="K785" s="161">
        <f t="shared" si="173"/>
        <v>78</v>
      </c>
      <c r="L785" s="250">
        <v>1</v>
      </c>
      <c r="M785" s="163" t="str">
        <f>CONCATENATE(H785," ",F785,"*",I785,"/",K785,"чел.")</f>
        <v>35 шт.*0,003261/78чел.</v>
      </c>
      <c r="N785" s="164">
        <f t="shared" si="170"/>
        <v>11009</v>
      </c>
      <c r="O785" s="165">
        <f t="shared" si="171"/>
        <v>16.109127999999998</v>
      </c>
      <c r="P785" s="166"/>
      <c r="Q785" s="166">
        <f t="shared" si="172"/>
        <v>1256.5119839999998</v>
      </c>
      <c r="R785" s="71"/>
    </row>
    <row r="786" spans="1:18" s="61" customFormat="1" ht="47.25" x14ac:dyDescent="0.25">
      <c r="A786" s="358"/>
      <c r="B786" s="361"/>
      <c r="C786" s="366"/>
      <c r="D786" s="156" t="s">
        <v>401</v>
      </c>
      <c r="E786" s="156" t="s">
        <v>60</v>
      </c>
      <c r="F786" s="156" t="s">
        <v>402</v>
      </c>
      <c r="G786" s="238">
        <f>MROUND(H786*L786*I786/K786,0.000001)</f>
        <v>2.9269999999999999E-3</v>
      </c>
      <c r="H786" s="246">
        <f t="shared" si="174"/>
        <v>35</v>
      </c>
      <c r="I786" s="159">
        <f t="shared" si="166"/>
        <v>3.261E-3</v>
      </c>
      <c r="J786" s="160"/>
      <c r="K786" s="161">
        <f t="shared" si="173"/>
        <v>78</v>
      </c>
      <c r="L786" s="162">
        <v>2</v>
      </c>
      <c r="M786" s="163" t="str">
        <f>CONCATENATE(H786," ",F786,"*",L786," раз в год","*",I786,"/",K786,"чел.")</f>
        <v>35 противопожарных водопроводов*2 раз в год*0,003261/78чел.</v>
      </c>
      <c r="N786" s="164">
        <f t="shared" si="170"/>
        <v>5450</v>
      </c>
      <c r="O786" s="165">
        <f t="shared" si="171"/>
        <v>15.95215</v>
      </c>
      <c r="P786" s="166"/>
      <c r="Q786" s="166">
        <f t="shared" si="172"/>
        <v>1244.2676999999999</v>
      </c>
      <c r="R786" s="71"/>
    </row>
    <row r="787" spans="1:18" s="61" customFormat="1" ht="31.5" x14ac:dyDescent="0.25">
      <c r="A787" s="358"/>
      <c r="B787" s="361"/>
      <c r="C787" s="366"/>
      <c r="D787" s="156" t="s">
        <v>221</v>
      </c>
      <c r="E787" s="156" t="s">
        <v>60</v>
      </c>
      <c r="F787" s="156" t="s">
        <v>60</v>
      </c>
      <c r="G787" s="238">
        <f>MROUND(H787*L787*I787/K787,0.000000001)</f>
        <v>9.0304620000000013E-3</v>
      </c>
      <c r="H787" s="158">
        <f t="shared" si="174"/>
        <v>18</v>
      </c>
      <c r="I787" s="159">
        <f t="shared" si="166"/>
        <v>3.261E-3</v>
      </c>
      <c r="J787" s="160"/>
      <c r="K787" s="161">
        <f t="shared" si="173"/>
        <v>78</v>
      </c>
      <c r="L787" s="250">
        <v>12</v>
      </c>
      <c r="M787" s="163" t="str">
        <f>CONCATENATE(H787," ",F787,"*",L787,"мес.","*",I787,"/",K787,"чел.")</f>
        <v>18 шт.*12мес.*0,003261/78чел.</v>
      </c>
      <c r="N787" s="164">
        <f t="shared" si="170"/>
        <v>6288.0888888888885</v>
      </c>
      <c r="O787" s="165">
        <f t="shared" si="171"/>
        <v>56.784347999999994</v>
      </c>
      <c r="P787" s="166"/>
      <c r="Q787" s="166">
        <f t="shared" si="172"/>
        <v>4429.1791439999997</v>
      </c>
      <c r="R787" s="71"/>
    </row>
    <row r="788" spans="1:18" s="61" customFormat="1" ht="47.25" x14ac:dyDescent="0.25">
      <c r="A788" s="358"/>
      <c r="B788" s="361"/>
      <c r="C788" s="366"/>
      <c r="D788" s="156" t="s">
        <v>34</v>
      </c>
      <c r="E788" s="156" t="s">
        <v>59</v>
      </c>
      <c r="F788" s="156" t="s">
        <v>28</v>
      </c>
      <c r="G788" s="238">
        <f>MROUND(H788*L788*I788/K788,0.000000001)</f>
        <v>8.3615000000000005E-5</v>
      </c>
      <c r="H788" s="158">
        <f t="shared" si="174"/>
        <v>2</v>
      </c>
      <c r="I788" s="159">
        <f t="shared" si="166"/>
        <v>3.261E-3</v>
      </c>
      <c r="J788" s="160"/>
      <c r="K788" s="161">
        <f t="shared" si="173"/>
        <v>78</v>
      </c>
      <c r="L788" s="250">
        <v>1</v>
      </c>
      <c r="M788" s="163" t="str">
        <f>CONCATENATE(H788," ",F788,"*",I788,"/",K788,"чел.")</f>
        <v>2 шт*0,003261/78чел.</v>
      </c>
      <c r="N788" s="164">
        <f t="shared" si="170"/>
        <v>7500</v>
      </c>
      <c r="O788" s="165">
        <f t="shared" si="171"/>
        <v>0.62711299999999992</v>
      </c>
      <c r="P788" s="166"/>
      <c r="Q788" s="166">
        <f t="shared" si="172"/>
        <v>48.914813999999993</v>
      </c>
      <c r="R788" s="71"/>
    </row>
    <row r="789" spans="1:18" s="61" customFormat="1" ht="47.25" x14ac:dyDescent="0.25">
      <c r="A789" s="358"/>
      <c r="B789" s="361"/>
      <c r="C789" s="366"/>
      <c r="D789" s="156" t="s">
        <v>222</v>
      </c>
      <c r="E789" s="156" t="s">
        <v>60</v>
      </c>
      <c r="F789" s="156" t="s">
        <v>60</v>
      </c>
      <c r="G789" s="238">
        <f>MROUND(H789*L789*I789/K789,0.00000000001)</f>
        <v>1.4632692299999998E-3</v>
      </c>
      <c r="H789" s="248">
        <f t="shared" si="174"/>
        <v>35</v>
      </c>
      <c r="I789" s="159">
        <f t="shared" si="166"/>
        <v>3.261E-3</v>
      </c>
      <c r="J789" s="160"/>
      <c r="K789" s="161">
        <f t="shared" si="173"/>
        <v>78</v>
      </c>
      <c r="L789" s="250">
        <v>1</v>
      </c>
      <c r="M789" s="163" t="str">
        <f>CONCATENATE(H789," ",F789,"*",I789,"/",K789,"чел.")</f>
        <v>35 шт.*0,003261/78чел.</v>
      </c>
      <c r="N789" s="164">
        <f t="shared" si="170"/>
        <v>8189.7714285714283</v>
      </c>
      <c r="O789" s="165">
        <f>MROUND(G789*N789,0.00000001)</f>
        <v>11.98384053</v>
      </c>
      <c r="P789" s="166"/>
      <c r="Q789" s="166">
        <f t="shared" si="172"/>
        <v>934.73956134000002</v>
      </c>
      <c r="R789" s="71"/>
    </row>
    <row r="790" spans="1:18" s="61" customFormat="1" ht="31.5" x14ac:dyDescent="0.25">
      <c r="A790" s="358"/>
      <c r="B790" s="361"/>
      <c r="C790" s="366"/>
      <c r="D790" s="156" t="s">
        <v>35</v>
      </c>
      <c r="E790" s="156" t="s">
        <v>102</v>
      </c>
      <c r="F790" s="156" t="s">
        <v>223</v>
      </c>
      <c r="G790" s="238">
        <f>MROUND(H790*L790*I790/K790,0.00000001)</f>
        <v>1.46327E-3</v>
      </c>
      <c r="H790" s="158">
        <f t="shared" si="174"/>
        <v>35</v>
      </c>
      <c r="I790" s="159">
        <f>I788</f>
        <v>3.261E-3</v>
      </c>
      <c r="J790" s="160"/>
      <c r="K790" s="161">
        <f>K788</f>
        <v>78</v>
      </c>
      <c r="L790" s="250">
        <v>1</v>
      </c>
      <c r="M790" s="163" t="str">
        <f>CONCATENATE(H790," ",F790,"*",I790,"/",K790,"чел.")</f>
        <v>35 замеров*0,003261/78чел.</v>
      </c>
      <c r="N790" s="164">
        <f t="shared" si="170"/>
        <v>20142.857142857141</v>
      </c>
      <c r="O790" s="165">
        <f t="shared" si="171"/>
        <v>29.474439</v>
      </c>
      <c r="P790" s="166"/>
      <c r="Q790" s="166">
        <f t="shared" si="172"/>
        <v>2299.0062419999999</v>
      </c>
      <c r="R790" s="71"/>
    </row>
    <row r="791" spans="1:18" s="61" customFormat="1" ht="47.25" x14ac:dyDescent="0.25">
      <c r="A791" s="358"/>
      <c r="B791" s="361"/>
      <c r="C791" s="366"/>
      <c r="D791" s="156" t="s">
        <v>399</v>
      </c>
      <c r="E791" s="156" t="s">
        <v>60</v>
      </c>
      <c r="F791" s="156" t="s">
        <v>60</v>
      </c>
      <c r="G791" s="238">
        <f>MROUND(H791*L791*I791/K791,0.000000001)</f>
        <v>1.4632692000000001E-2</v>
      </c>
      <c r="H791" s="158">
        <f>H191</f>
        <v>35</v>
      </c>
      <c r="I791" s="159">
        <f t="shared" si="166"/>
        <v>3.261E-3</v>
      </c>
      <c r="J791" s="160"/>
      <c r="K791" s="161">
        <f>K790</f>
        <v>78</v>
      </c>
      <c r="L791" s="250">
        <v>10</v>
      </c>
      <c r="M791" s="163" t="str">
        <f>CONCATENATE(H791," ",F791,"*",L791,"мес.","*",I791,"/",K791,"чел.")</f>
        <v>35 шт.*10мес.*0,003261/78чел.</v>
      </c>
      <c r="N791" s="164">
        <f>N191</f>
        <v>3107.903028571428</v>
      </c>
      <c r="O791" s="165">
        <f t="shared" si="171"/>
        <v>45.476987999999999</v>
      </c>
      <c r="P791" s="166"/>
      <c r="Q791" s="166">
        <f t="shared" si="172"/>
        <v>3547.2050639999998</v>
      </c>
      <c r="R791" s="71"/>
    </row>
    <row r="792" spans="1:18" s="61" customFormat="1" ht="47.25" x14ac:dyDescent="0.25">
      <c r="A792" s="358"/>
      <c r="B792" s="361"/>
      <c r="C792" s="366"/>
      <c r="D792" s="156" t="s">
        <v>36</v>
      </c>
      <c r="E792" s="156" t="s">
        <v>31</v>
      </c>
      <c r="F792" s="156" t="s">
        <v>224</v>
      </c>
      <c r="G792" s="238">
        <f>MROUND(H792*L792*I792/K792,0.00000001)</f>
        <v>1.8060920000000001E-2</v>
      </c>
      <c r="H792" s="158">
        <f>H72</f>
        <v>36</v>
      </c>
      <c r="I792" s="159">
        <f t="shared" si="166"/>
        <v>3.261E-3</v>
      </c>
      <c r="J792" s="160"/>
      <c r="K792" s="161">
        <f>K791</f>
        <v>78</v>
      </c>
      <c r="L792" s="250">
        <v>12</v>
      </c>
      <c r="M792" s="163" t="str">
        <f>CONCATENATE(H792," ",F792,"*",L792,"мес.","*",I792,"/",K792,"чел.")</f>
        <v>36 устройств*12мес.*0,003261/78чел.</v>
      </c>
      <c r="N792" s="164">
        <f>N72</f>
        <v>2200</v>
      </c>
      <c r="O792" s="165">
        <f t="shared" si="171"/>
        <v>39.734023999999998</v>
      </c>
      <c r="P792" s="166"/>
      <c r="Q792" s="166">
        <f t="shared" si="172"/>
        <v>3099.2538719999998</v>
      </c>
      <c r="R792" s="71"/>
    </row>
    <row r="793" spans="1:18" s="61" customFormat="1" ht="31.5" x14ac:dyDescent="0.25">
      <c r="A793" s="358"/>
      <c r="B793" s="361"/>
      <c r="C793" s="366"/>
      <c r="D793" s="156" t="s">
        <v>99</v>
      </c>
      <c r="E793" s="156" t="s">
        <v>103</v>
      </c>
      <c r="F793" s="156" t="s">
        <v>225</v>
      </c>
      <c r="G793" s="238">
        <f>MROUND(H793*L793*I793/K793,0.00000001)</f>
        <v>1.5886919999999999E-2</v>
      </c>
      <c r="H793" s="158">
        <f>H73</f>
        <v>380</v>
      </c>
      <c r="I793" s="159">
        <f t="shared" si="166"/>
        <v>3.261E-3</v>
      </c>
      <c r="J793" s="160"/>
      <c r="K793" s="161">
        <f>K792</f>
        <v>78</v>
      </c>
      <c r="L793" s="250">
        <v>1</v>
      </c>
      <c r="M793" s="163" t="str">
        <f>CONCATENATE(H793," ",F793,"*",I793,"/",K793,"чел.")</f>
        <v>380 ед.*0,003261/78чел.</v>
      </c>
      <c r="N793" s="164">
        <f>N73</f>
        <v>15000</v>
      </c>
      <c r="O793" s="165">
        <f t="shared" si="171"/>
        <v>238.3038</v>
      </c>
      <c r="P793" s="166"/>
      <c r="Q793" s="166">
        <f t="shared" si="172"/>
        <v>18587.696400000001</v>
      </c>
      <c r="R793" s="71"/>
    </row>
    <row r="794" spans="1:18" s="61" customFormat="1" x14ac:dyDescent="0.25">
      <c r="A794" s="358"/>
      <c r="B794" s="361"/>
      <c r="C794" s="366"/>
      <c r="D794" s="156" t="s">
        <v>27</v>
      </c>
      <c r="E794" s="156" t="s">
        <v>28</v>
      </c>
      <c r="F794" s="156" t="s">
        <v>28</v>
      </c>
      <c r="G794" s="238">
        <f>MROUND(H794*L794*I794/K794,0.0000000001)</f>
        <v>0.23893096150000001</v>
      </c>
      <c r="H794" s="160">
        <f>H74</f>
        <v>5715</v>
      </c>
      <c r="I794" s="159">
        <f t="shared" si="166"/>
        <v>3.261E-3</v>
      </c>
      <c r="J794" s="160"/>
      <c r="K794" s="161">
        <f>K793</f>
        <v>78</v>
      </c>
      <c r="L794" s="250">
        <v>1</v>
      </c>
      <c r="M794" s="163" t="str">
        <f>CONCATENATE(H794," ",F794,"*",I794,"/",K794,"чел.")</f>
        <v>5715 шт*0,003261/78чел.</v>
      </c>
      <c r="N794" s="164">
        <f>N194</f>
        <v>400</v>
      </c>
      <c r="O794" s="165">
        <f t="shared" si="171"/>
        <v>95.572384999999997</v>
      </c>
      <c r="P794" s="166"/>
      <c r="Q794" s="166">
        <f t="shared" si="172"/>
        <v>7454.6460299999999</v>
      </c>
      <c r="R794" s="71"/>
    </row>
    <row r="795" spans="1:18" s="61" customFormat="1" ht="31.5" x14ac:dyDescent="0.25">
      <c r="A795" s="358"/>
      <c r="B795" s="361"/>
      <c r="C795" s="367"/>
      <c r="D795" s="156" t="s">
        <v>104</v>
      </c>
      <c r="E795" s="156" t="s">
        <v>105</v>
      </c>
      <c r="F795" s="156" t="s">
        <v>226</v>
      </c>
      <c r="G795" s="238">
        <f>MROUND(H795*L795*I795/K795,0.00000001)</f>
        <v>1.50508E-3</v>
      </c>
      <c r="H795" s="160">
        <f>H75</f>
        <v>36</v>
      </c>
      <c r="I795" s="159">
        <f t="shared" si="166"/>
        <v>3.261E-3</v>
      </c>
      <c r="J795" s="160"/>
      <c r="K795" s="161">
        <f>K794</f>
        <v>78</v>
      </c>
      <c r="L795" s="250">
        <v>1</v>
      </c>
      <c r="M795" s="163" t="str">
        <f>CONCATENATE(H795," ",F795,"*",I795,"/",K795,"чел.")</f>
        <v>36 отключений*0,003261/78чел.</v>
      </c>
      <c r="N795" s="164">
        <f>N75</f>
        <v>9810</v>
      </c>
      <c r="O795" s="165">
        <f t="shared" si="171"/>
        <v>14.764835</v>
      </c>
      <c r="P795" s="166"/>
      <c r="Q795" s="166">
        <f t="shared" si="172"/>
        <v>1151.6571300000001</v>
      </c>
      <c r="R795" s="71"/>
    </row>
    <row r="796" spans="1:18" s="61" customFormat="1" x14ac:dyDescent="0.25">
      <c r="A796" s="358"/>
      <c r="B796" s="361"/>
      <c r="C796" s="249" t="s">
        <v>292</v>
      </c>
      <c r="D796" s="240"/>
      <c r="E796" s="240"/>
      <c r="F796" s="240"/>
      <c r="G796" s="227"/>
      <c r="H796" s="228"/>
      <c r="I796" s="206"/>
      <c r="J796" s="228"/>
      <c r="K796" s="207"/>
      <c r="L796" s="257"/>
      <c r="M796" s="209"/>
      <c r="N796" s="210"/>
      <c r="O796" s="198">
        <f>SUM(O780:O795)</f>
        <v>626.55528153</v>
      </c>
      <c r="P796" s="166"/>
      <c r="Q796" s="166"/>
      <c r="R796" s="71"/>
    </row>
    <row r="797" spans="1:18" s="61" customFormat="1" ht="31.5" x14ac:dyDescent="0.25">
      <c r="A797" s="358"/>
      <c r="B797" s="361"/>
      <c r="C797" s="221" t="s">
        <v>79</v>
      </c>
      <c r="D797" s="156" t="s">
        <v>37</v>
      </c>
      <c r="E797" s="156" t="s">
        <v>61</v>
      </c>
      <c r="F797" s="156" t="s">
        <v>227</v>
      </c>
      <c r="G797" s="238">
        <f>MROUND(H797*L797*I797/K797,0.000000001)</f>
        <v>1.67231E-4</v>
      </c>
      <c r="H797" s="158">
        <f>H77</f>
        <v>4</v>
      </c>
      <c r="I797" s="159">
        <f>I795</f>
        <v>3.261E-3</v>
      </c>
      <c r="J797" s="160"/>
      <c r="K797" s="161">
        <f>K795</f>
        <v>78</v>
      </c>
      <c r="L797" s="250">
        <v>1</v>
      </c>
      <c r="M797" s="163" t="str">
        <f>CONCATENATE(H797," ",F797,"*",I797,"/",K797,"чел.")</f>
        <v>4 автобуса*0,003261/78чел.</v>
      </c>
      <c r="N797" s="164">
        <f>N77</f>
        <v>93408.640000000014</v>
      </c>
      <c r="O797" s="165">
        <f>MROUND(G797*N797,0.000001)</f>
        <v>15.62082</v>
      </c>
      <c r="P797" s="166"/>
      <c r="Q797" s="166">
        <f t="shared" si="172"/>
        <v>1218.4239600000001</v>
      </c>
      <c r="R797" s="71"/>
    </row>
    <row r="798" spans="1:18" s="62" customFormat="1" x14ac:dyDescent="0.25">
      <c r="A798" s="358"/>
      <c r="B798" s="361"/>
      <c r="C798" s="218" t="s">
        <v>295</v>
      </c>
      <c r="D798" s="240"/>
      <c r="E798" s="240"/>
      <c r="F798" s="240"/>
      <c r="G798" s="227"/>
      <c r="H798" s="241"/>
      <c r="I798" s="206"/>
      <c r="J798" s="228"/>
      <c r="K798" s="207"/>
      <c r="L798" s="257"/>
      <c r="M798" s="209"/>
      <c r="N798" s="210"/>
      <c r="O798" s="198">
        <f>SUM(O797)</f>
        <v>15.62082</v>
      </c>
      <c r="P798" s="267"/>
      <c r="Q798" s="166"/>
      <c r="R798" s="71"/>
    </row>
    <row r="799" spans="1:18" s="61" customFormat="1" x14ac:dyDescent="0.25">
      <c r="A799" s="358"/>
      <c r="B799" s="361"/>
      <c r="C799" s="364" t="s">
        <v>80</v>
      </c>
      <c r="D799" s="156" t="s">
        <v>38</v>
      </c>
      <c r="E799" s="156" t="s">
        <v>57</v>
      </c>
      <c r="F799" s="156" t="s">
        <v>228</v>
      </c>
      <c r="G799" s="238">
        <f>MROUND(H799*L799*I799/K799,0.0000000001)</f>
        <v>1.8060923100000001E-2</v>
      </c>
      <c r="H799" s="158">
        <f>H79</f>
        <v>36</v>
      </c>
      <c r="I799" s="159">
        <f>I797</f>
        <v>3.261E-3</v>
      </c>
      <c r="J799" s="160"/>
      <c r="K799" s="161">
        <f>K797</f>
        <v>78</v>
      </c>
      <c r="L799" s="250">
        <v>12</v>
      </c>
      <c r="M799" s="163" t="str">
        <f>CONCATENATE(H799," ",F799,"*",L799,"мес.","*",I799,"/",K799,"чел.")</f>
        <v>36 зданий*12мес.*0,003261/78чел.</v>
      </c>
      <c r="N799" s="164">
        <f t="shared" ref="N799:N810" si="175">N79</f>
        <v>4694.6300000000019</v>
      </c>
      <c r="O799" s="165">
        <f>MROUND(G799*N799,0.000001)</f>
        <v>84.789350999999996</v>
      </c>
      <c r="P799" s="166"/>
      <c r="Q799" s="166">
        <f t="shared" si="172"/>
        <v>6613.5693780000001</v>
      </c>
      <c r="R799" s="71"/>
    </row>
    <row r="800" spans="1:18" s="61" customFormat="1" ht="47.25" x14ac:dyDescent="0.25">
      <c r="A800" s="358"/>
      <c r="B800" s="361"/>
      <c r="C800" s="364"/>
      <c r="D800" s="156" t="s">
        <v>229</v>
      </c>
      <c r="E800" s="156" t="s">
        <v>60</v>
      </c>
      <c r="F800" s="156" t="s">
        <v>60</v>
      </c>
      <c r="G800" s="238">
        <f>MROUND(H800*L800*I800/K800,0.000001)</f>
        <v>0.100088</v>
      </c>
      <c r="H800" s="158">
        <f>H80</f>
        <v>2394</v>
      </c>
      <c r="I800" s="159">
        <f t="shared" si="166"/>
        <v>3.261E-3</v>
      </c>
      <c r="J800" s="160"/>
      <c r="K800" s="161">
        <f>K799</f>
        <v>78</v>
      </c>
      <c r="L800" s="250">
        <v>1</v>
      </c>
      <c r="M800" s="163" t="str">
        <f t="shared" ref="M800:M807" si="176">CONCATENATE(H800," ",F800,"*",I800,"/",K800,"чел.")</f>
        <v>2394 шт.*0,003261/78чел.</v>
      </c>
      <c r="N800" s="164">
        <f t="shared" si="175"/>
        <v>163.5</v>
      </c>
      <c r="O800" s="165">
        <f>MROUND(G800*N800,0.000001)</f>
        <v>16.364387999999998</v>
      </c>
      <c r="P800" s="166"/>
      <c r="Q800" s="166">
        <f t="shared" si="172"/>
        <v>1276.4222639999998</v>
      </c>
      <c r="R800" s="71"/>
    </row>
    <row r="801" spans="1:18" s="61" customFormat="1" ht="47.25" x14ac:dyDescent="0.25">
      <c r="A801" s="358"/>
      <c r="B801" s="361"/>
      <c r="C801" s="364"/>
      <c r="D801" s="156" t="s">
        <v>405</v>
      </c>
      <c r="E801" s="156" t="s">
        <v>60</v>
      </c>
      <c r="F801" s="156" t="s">
        <v>406</v>
      </c>
      <c r="G801" s="238">
        <f>MROUND(H801*L801*I801/K801,0.00000001)</f>
        <v>1.50508E-3</v>
      </c>
      <c r="H801" s="158">
        <f>H321</f>
        <v>36</v>
      </c>
      <c r="I801" s="159">
        <f t="shared" si="166"/>
        <v>3.261E-3</v>
      </c>
      <c r="J801" s="160"/>
      <c r="K801" s="161">
        <f>K800</f>
        <v>78</v>
      </c>
      <c r="L801" s="250">
        <v>1</v>
      </c>
      <c r="M801" s="163" t="str">
        <f t="shared" si="176"/>
        <v>36 лицензий*0,003261/78чел.</v>
      </c>
      <c r="N801" s="164">
        <f t="shared" si="175"/>
        <v>11990</v>
      </c>
      <c r="O801" s="165">
        <f t="shared" ref="O801:O810" si="177">MROUND(G801*N801,0.000001)</f>
        <v>18.045908999999998</v>
      </c>
      <c r="P801" s="166"/>
      <c r="Q801" s="166">
        <f t="shared" si="172"/>
        <v>1407.5809019999999</v>
      </c>
      <c r="R801" s="71"/>
    </row>
    <row r="802" spans="1:18" s="61" customFormat="1" ht="63" x14ac:dyDescent="0.25">
      <c r="A802" s="358"/>
      <c r="B802" s="361"/>
      <c r="C802" s="364"/>
      <c r="D802" s="156" t="s">
        <v>39</v>
      </c>
      <c r="E802" s="156" t="s">
        <v>20</v>
      </c>
      <c r="F802" s="156" t="s">
        <v>234</v>
      </c>
      <c r="G802" s="238">
        <f>MROUND(H802*L802*I802/K802,0.000000001)</f>
        <v>4.933308E-3</v>
      </c>
      <c r="H802" s="158">
        <f>H322</f>
        <v>118</v>
      </c>
      <c r="I802" s="159">
        <f>I800</f>
        <v>3.261E-3</v>
      </c>
      <c r="J802" s="160"/>
      <c r="K802" s="161">
        <f>K800</f>
        <v>78</v>
      </c>
      <c r="L802" s="250">
        <v>1</v>
      </c>
      <c r="M802" s="163" t="str">
        <f t="shared" si="176"/>
        <v>118 чел(заявленная потребность руководителями учреждений)*0,003261/78чел.</v>
      </c>
      <c r="N802" s="164">
        <f t="shared" si="175"/>
        <v>763</v>
      </c>
      <c r="O802" s="165">
        <f t="shared" si="177"/>
        <v>3.7641139999999997</v>
      </c>
      <c r="P802" s="166"/>
      <c r="Q802" s="166">
        <f t="shared" si="172"/>
        <v>293.60089199999999</v>
      </c>
      <c r="R802" s="71"/>
    </row>
    <row r="803" spans="1:18" s="61" customFormat="1" ht="63" x14ac:dyDescent="0.25">
      <c r="A803" s="358"/>
      <c r="B803" s="361"/>
      <c r="C803" s="364"/>
      <c r="D803" s="156" t="s">
        <v>40</v>
      </c>
      <c r="E803" s="156" t="s">
        <v>20</v>
      </c>
      <c r="F803" s="156" t="s">
        <v>234</v>
      </c>
      <c r="G803" s="238">
        <f>MROUND(H803*L803*I803/K803,0.000000001)</f>
        <v>4.1389620000000004E-3</v>
      </c>
      <c r="H803" s="158">
        <f>H323</f>
        <v>99</v>
      </c>
      <c r="I803" s="159">
        <f t="shared" si="166"/>
        <v>3.261E-3</v>
      </c>
      <c r="J803" s="160"/>
      <c r="K803" s="161">
        <f t="shared" ref="K803:K810" si="178">K802</f>
        <v>78</v>
      </c>
      <c r="L803" s="250">
        <v>1</v>
      </c>
      <c r="M803" s="163" t="str">
        <f t="shared" si="176"/>
        <v>99 чел(заявленная потребность руководителями учреждений)*0,003261/78чел.</v>
      </c>
      <c r="N803" s="164">
        <f t="shared" si="175"/>
        <v>1585.4545454545455</v>
      </c>
      <c r="O803" s="165">
        <f t="shared" si="177"/>
        <v>6.5621359999999997</v>
      </c>
      <c r="P803" s="166"/>
      <c r="Q803" s="166">
        <f t="shared" si="172"/>
        <v>511.846608</v>
      </c>
      <c r="R803" s="71"/>
    </row>
    <row r="804" spans="1:18" s="61" customFormat="1" ht="63" x14ac:dyDescent="0.25">
      <c r="A804" s="358"/>
      <c r="B804" s="361"/>
      <c r="C804" s="364"/>
      <c r="D804" s="156" t="s">
        <v>100</v>
      </c>
      <c r="E804" s="156" t="s">
        <v>20</v>
      </c>
      <c r="F804" s="156" t="s">
        <v>234</v>
      </c>
      <c r="G804" s="238">
        <f>MROUND(H804*L804*I804/K804,0.00000000001)</f>
        <v>3.3864230799999996E-3</v>
      </c>
      <c r="H804" s="158">
        <f>H324</f>
        <v>81</v>
      </c>
      <c r="I804" s="159">
        <f t="shared" si="166"/>
        <v>3.261E-3</v>
      </c>
      <c r="J804" s="160"/>
      <c r="K804" s="161">
        <f t="shared" si="178"/>
        <v>78</v>
      </c>
      <c r="L804" s="250">
        <v>1</v>
      </c>
      <c r="M804" s="163" t="str">
        <f t="shared" si="176"/>
        <v>81 чел(заявленная потребность руководителями учреждений)*0,003261/78чел.</v>
      </c>
      <c r="N804" s="164">
        <f t="shared" si="175"/>
        <v>3488</v>
      </c>
      <c r="O804" s="165">
        <f t="shared" si="177"/>
        <v>11.811843999999999</v>
      </c>
      <c r="P804" s="166"/>
      <c r="Q804" s="166">
        <f t="shared" si="172"/>
        <v>921.32383199999992</v>
      </c>
      <c r="R804" s="71"/>
    </row>
    <row r="805" spans="1:18" s="61" customFormat="1" ht="110.25" x14ac:dyDescent="0.25">
      <c r="A805" s="358"/>
      <c r="B805" s="361"/>
      <c r="C805" s="364"/>
      <c r="D805" s="156" t="s">
        <v>235</v>
      </c>
      <c r="E805" s="156" t="s">
        <v>50</v>
      </c>
      <c r="F805" s="156" t="s">
        <v>230</v>
      </c>
      <c r="G805" s="238">
        <f>MROUND(H805*L805*I805/K805,0.00000001)</f>
        <v>1.50508E-3</v>
      </c>
      <c r="H805" s="158">
        <f>H565</f>
        <v>36</v>
      </c>
      <c r="I805" s="159">
        <f t="shared" si="166"/>
        <v>3.261E-3</v>
      </c>
      <c r="J805" s="160"/>
      <c r="K805" s="161">
        <f t="shared" si="178"/>
        <v>78</v>
      </c>
      <c r="L805" s="250">
        <v>1</v>
      </c>
      <c r="M805" s="163" t="str">
        <f t="shared" si="176"/>
        <v>36 отчетов*0,003261/78чел.</v>
      </c>
      <c r="N805" s="164">
        <f t="shared" si="175"/>
        <v>6540</v>
      </c>
      <c r="O805" s="165">
        <f t="shared" si="177"/>
        <v>9.8432230000000001</v>
      </c>
      <c r="P805" s="166"/>
      <c r="Q805" s="166">
        <f t="shared" si="172"/>
        <v>767.77139399999999</v>
      </c>
      <c r="R805" s="71"/>
    </row>
    <row r="806" spans="1:18" s="61" customFormat="1" ht="63" x14ac:dyDescent="0.25">
      <c r="A806" s="358"/>
      <c r="B806" s="361"/>
      <c r="C806" s="364"/>
      <c r="D806" s="156" t="s">
        <v>42</v>
      </c>
      <c r="E806" s="156" t="s">
        <v>51</v>
      </c>
      <c r="F806" s="156" t="s">
        <v>407</v>
      </c>
      <c r="G806" s="238">
        <f>MROUND(H806*L806*I806/K806,0.000001)</f>
        <v>8.5290000000000001E-3</v>
      </c>
      <c r="H806" s="158">
        <f>H326</f>
        <v>204</v>
      </c>
      <c r="I806" s="159">
        <f t="shared" si="166"/>
        <v>3.261E-3</v>
      </c>
      <c r="J806" s="160"/>
      <c r="K806" s="161">
        <f t="shared" si="178"/>
        <v>78</v>
      </c>
      <c r="L806" s="250">
        <v>1</v>
      </c>
      <c r="M806" s="163" t="str">
        <f t="shared" si="176"/>
        <v>204 ед (заявленная потребность руководителями учреждений)*0,003261/78чел.</v>
      </c>
      <c r="N806" s="164">
        <f t="shared" si="175"/>
        <v>1090</v>
      </c>
      <c r="O806" s="165">
        <f t="shared" si="177"/>
        <v>9.2966099999999994</v>
      </c>
      <c r="P806" s="166"/>
      <c r="Q806" s="166">
        <f t="shared" si="172"/>
        <v>725.13558</v>
      </c>
      <c r="R806" s="71"/>
    </row>
    <row r="807" spans="1:18" s="61" customFormat="1" ht="31.5" x14ac:dyDescent="0.25">
      <c r="A807" s="358"/>
      <c r="B807" s="361"/>
      <c r="C807" s="364"/>
      <c r="D807" s="156" t="s">
        <v>43</v>
      </c>
      <c r="E807" s="156" t="s">
        <v>52</v>
      </c>
      <c r="F807" s="156" t="s">
        <v>231</v>
      </c>
      <c r="G807" s="238">
        <f>MROUND(H807*L807*I807/K807,0.000000001)</f>
        <v>1.5050770000000001E-3</v>
      </c>
      <c r="H807" s="158">
        <f>H87</f>
        <v>36</v>
      </c>
      <c r="I807" s="159">
        <f t="shared" si="166"/>
        <v>3.261E-3</v>
      </c>
      <c r="J807" s="160"/>
      <c r="K807" s="161">
        <f t="shared" si="178"/>
        <v>78</v>
      </c>
      <c r="L807" s="250">
        <v>1</v>
      </c>
      <c r="M807" s="163" t="str">
        <f t="shared" si="176"/>
        <v>36 ЭЦП*0,003261/78чел.</v>
      </c>
      <c r="N807" s="164">
        <f t="shared" si="175"/>
        <v>7743.3599999999924</v>
      </c>
      <c r="O807" s="165">
        <f t="shared" si="177"/>
        <v>11.654352999999999</v>
      </c>
      <c r="P807" s="166"/>
      <c r="Q807" s="166">
        <f t="shared" si="172"/>
        <v>909.03953399999989</v>
      </c>
      <c r="R807" s="71"/>
    </row>
    <row r="808" spans="1:18" s="61" customFormat="1" ht="47.25" x14ac:dyDescent="0.25">
      <c r="A808" s="358"/>
      <c r="B808" s="361"/>
      <c r="C808" s="364"/>
      <c r="D808" s="156" t="s">
        <v>44</v>
      </c>
      <c r="E808" s="156" t="s">
        <v>85</v>
      </c>
      <c r="F808" s="156" t="s">
        <v>232</v>
      </c>
      <c r="G808" s="238">
        <f>MROUND(H808*L808*I808/K808,0.000001)</f>
        <v>5.0837999999999994E-2</v>
      </c>
      <c r="H808" s="158">
        <f>H88</f>
        <v>1216</v>
      </c>
      <c r="I808" s="159">
        <f t="shared" si="166"/>
        <v>3.261E-3</v>
      </c>
      <c r="J808" s="160"/>
      <c r="K808" s="161">
        <f t="shared" si="178"/>
        <v>78</v>
      </c>
      <c r="L808" s="250">
        <v>1</v>
      </c>
      <c r="M808" s="163" t="str">
        <f>CONCATENATE(H808," ",F808,"*",L808,"мес.","*",I808,"/",K808,"чел.")</f>
        <v>1216 мед.осмотров в мес.*1мес.*0,003261/78чел.</v>
      </c>
      <c r="N808" s="164">
        <f t="shared" si="175"/>
        <v>56.680000000000007</v>
      </c>
      <c r="O808" s="165">
        <f t="shared" si="177"/>
        <v>2.8814979999999997</v>
      </c>
      <c r="P808" s="166"/>
      <c r="Q808" s="166">
        <f t="shared" si="172"/>
        <v>224.75684399999997</v>
      </c>
      <c r="R808" s="71"/>
    </row>
    <row r="809" spans="1:18" s="61" customFormat="1" ht="63" x14ac:dyDescent="0.25">
      <c r="A809" s="358"/>
      <c r="B809" s="361"/>
      <c r="C809" s="364"/>
      <c r="D809" s="156" t="s">
        <v>45</v>
      </c>
      <c r="E809" s="156" t="s">
        <v>53</v>
      </c>
      <c r="F809" s="156" t="s">
        <v>233</v>
      </c>
      <c r="G809" s="238">
        <f>MROUND(H809*L809*I809/K809,0.0000000001)</f>
        <v>2.0067691999999999E-3</v>
      </c>
      <c r="H809" s="158">
        <f>H329</f>
        <v>4</v>
      </c>
      <c r="I809" s="159">
        <f t="shared" si="166"/>
        <v>3.261E-3</v>
      </c>
      <c r="J809" s="160"/>
      <c r="K809" s="161">
        <f t="shared" si="178"/>
        <v>78</v>
      </c>
      <c r="L809" s="250">
        <v>12</v>
      </c>
      <c r="M809" s="163" t="str">
        <f>CONCATENATE(H809," ",F809,"*",L809,"мес.","*",I809,"/",K809,"чел.")</f>
        <v>4  машины, оборудованных системой ГЛОНАСС*12мес.*0,003261/78чел.</v>
      </c>
      <c r="N809" s="164">
        <f t="shared" si="175"/>
        <v>880.71999999999991</v>
      </c>
      <c r="O809" s="165">
        <f t="shared" si="177"/>
        <v>1.7674019999999999</v>
      </c>
      <c r="P809" s="166"/>
      <c r="Q809" s="166">
        <f t="shared" si="172"/>
        <v>137.85735599999998</v>
      </c>
      <c r="R809" s="71"/>
    </row>
    <row r="810" spans="1:18" s="61" customFormat="1" ht="31.5" x14ac:dyDescent="0.25">
      <c r="A810" s="358"/>
      <c r="B810" s="361"/>
      <c r="C810" s="364"/>
      <c r="D810" s="156" t="s">
        <v>408</v>
      </c>
      <c r="E810" s="156" t="s">
        <v>20</v>
      </c>
      <c r="F810" s="156" t="s">
        <v>20</v>
      </c>
      <c r="G810" s="238">
        <f>MROUND(H810*L810*I810/K810,0.00000001)</f>
        <v>7.1574769999999996E-2</v>
      </c>
      <c r="H810" s="158">
        <f>H90</f>
        <v>1712</v>
      </c>
      <c r="I810" s="159">
        <f t="shared" si="166"/>
        <v>3.261E-3</v>
      </c>
      <c r="J810" s="160"/>
      <c r="K810" s="161">
        <f t="shared" si="178"/>
        <v>78</v>
      </c>
      <c r="L810" s="250">
        <v>1</v>
      </c>
      <c r="M810" s="163" t="str">
        <f>CONCATENATE(H810," ",F810,"*",L810," раз в год","*",I810,"/",K810,"чел.")</f>
        <v>1712 чел.*1 раз в год*0,003261/78чел.</v>
      </c>
      <c r="N810" s="164">
        <f t="shared" si="175"/>
        <v>545</v>
      </c>
      <c r="O810" s="165">
        <f t="shared" si="177"/>
        <v>39.008249999999997</v>
      </c>
      <c r="P810" s="166"/>
      <c r="Q810" s="166">
        <f t="shared" si="172"/>
        <v>3042.6434999999997</v>
      </c>
      <c r="R810" s="71"/>
    </row>
    <row r="811" spans="1:18" s="61" customFormat="1" x14ac:dyDescent="0.25">
      <c r="A811" s="358"/>
      <c r="B811" s="361"/>
      <c r="C811" s="364"/>
      <c r="D811" s="156" t="s">
        <v>373</v>
      </c>
      <c r="E811" s="156" t="s">
        <v>28</v>
      </c>
      <c r="F811" s="156" t="s">
        <v>28</v>
      </c>
      <c r="G811" s="157">
        <f>MROUND(H811*L811*I811/K811,0.000000001)</f>
        <v>1.5050770000000001E-3</v>
      </c>
      <c r="H811" s="158">
        <f>H92</f>
        <v>36</v>
      </c>
      <c r="I811" s="159">
        <f>I809</f>
        <v>3.261E-3</v>
      </c>
      <c r="J811" s="160"/>
      <c r="K811" s="161">
        <f>K809</f>
        <v>78</v>
      </c>
      <c r="L811" s="162">
        <v>1</v>
      </c>
      <c r="M811" s="163" t="str">
        <f>CONCATENATE(H811," ",F811,"*",L811,"мес.","*",I811,"/",K811,"чел.")</f>
        <v>36 шт*1мес.*0,003261/78чел.</v>
      </c>
      <c r="N811" s="164">
        <f>N92</f>
        <v>24000</v>
      </c>
      <c r="O811" s="165">
        <f>MROUND(G811*N811,0.000000001)</f>
        <v>36.121848</v>
      </c>
      <c r="P811" s="166"/>
      <c r="Q811" s="166">
        <f t="shared" si="172"/>
        <v>2817.504144</v>
      </c>
      <c r="R811" s="71"/>
    </row>
    <row r="812" spans="1:18" s="61" customFormat="1" ht="31.5" x14ac:dyDescent="0.25">
      <c r="A812" s="358"/>
      <c r="B812" s="361"/>
      <c r="C812" s="364"/>
      <c r="D812" s="156" t="s">
        <v>106</v>
      </c>
      <c r="E812" s="156" t="s">
        <v>107</v>
      </c>
      <c r="F812" s="156"/>
      <c r="G812" s="238">
        <f>MROUND(H812*L812*I812/K812,0.000000001)</f>
        <v>0</v>
      </c>
      <c r="H812" s="158">
        <f>H91</f>
        <v>0</v>
      </c>
      <c r="I812" s="159">
        <f>I809</f>
        <v>3.261E-3</v>
      </c>
      <c r="J812" s="160"/>
      <c r="K812" s="161">
        <f>K809</f>
        <v>78</v>
      </c>
      <c r="L812" s="250">
        <f>L91</f>
        <v>0</v>
      </c>
      <c r="M812" s="163"/>
      <c r="N812" s="164">
        <f>N91</f>
        <v>1256.0400600000007</v>
      </c>
      <c r="O812" s="165">
        <f>MROUND(G812*N812,0.000000001)</f>
        <v>0</v>
      </c>
      <c r="P812" s="166"/>
      <c r="Q812" s="166">
        <f t="shared" si="172"/>
        <v>0</v>
      </c>
      <c r="R812" s="71"/>
    </row>
    <row r="813" spans="1:18" s="62" customFormat="1" x14ac:dyDescent="0.25">
      <c r="A813" s="358"/>
      <c r="B813" s="361"/>
      <c r="C813" s="245" t="s">
        <v>296</v>
      </c>
      <c r="D813" s="240"/>
      <c r="E813" s="240"/>
      <c r="F813" s="240"/>
      <c r="G813" s="227"/>
      <c r="H813" s="241"/>
      <c r="I813" s="206"/>
      <c r="J813" s="228"/>
      <c r="K813" s="207"/>
      <c r="L813" s="257"/>
      <c r="M813" s="209"/>
      <c r="N813" s="210"/>
      <c r="O813" s="198">
        <f>SUM(O799:O812)</f>
        <v>251.91092599999999</v>
      </c>
      <c r="P813" s="267"/>
      <c r="Q813" s="166"/>
      <c r="R813" s="71"/>
    </row>
    <row r="814" spans="1:18" s="61" customFormat="1" ht="31.5" x14ac:dyDescent="0.25">
      <c r="A814" s="358"/>
      <c r="B814" s="361"/>
      <c r="C814" s="252" t="s">
        <v>237</v>
      </c>
      <c r="D814" s="156" t="s">
        <v>41</v>
      </c>
      <c r="E814" s="156" t="s">
        <v>61</v>
      </c>
      <c r="F814" s="156" t="s">
        <v>227</v>
      </c>
      <c r="G814" s="238">
        <f>MROUND(H814*L814*I814/K814,0.000000001)</f>
        <v>1.67231E-4</v>
      </c>
      <c r="H814" s="158">
        <f>H94</f>
        <v>4</v>
      </c>
      <c r="I814" s="159">
        <f>I812</f>
        <v>3.261E-3</v>
      </c>
      <c r="J814" s="160"/>
      <c r="K814" s="161">
        <f>K812</f>
        <v>78</v>
      </c>
      <c r="L814" s="250">
        <v>1</v>
      </c>
      <c r="M814" s="163" t="str">
        <f>CONCATENATE(H814," ",F814,"*",I814,"/",K814,"чел.")</f>
        <v>4 автобуса*0,003261/78чел.</v>
      </c>
      <c r="N814" s="164">
        <f>N94</f>
        <v>25724</v>
      </c>
      <c r="O814" s="165">
        <f>MROUND(G814*N814,0.000001)</f>
        <v>4.30185</v>
      </c>
      <c r="P814" s="166"/>
      <c r="Q814" s="166">
        <f t="shared" si="172"/>
        <v>335.54430000000002</v>
      </c>
      <c r="R814" s="71"/>
    </row>
    <row r="815" spans="1:18" s="62" customFormat="1" x14ac:dyDescent="0.25">
      <c r="A815" s="358"/>
      <c r="B815" s="361"/>
      <c r="C815" s="245" t="s">
        <v>297</v>
      </c>
      <c r="D815" s="240"/>
      <c r="E815" s="240"/>
      <c r="F815" s="240"/>
      <c r="G815" s="227"/>
      <c r="H815" s="241"/>
      <c r="I815" s="206"/>
      <c r="J815" s="228"/>
      <c r="K815" s="207"/>
      <c r="L815" s="257"/>
      <c r="M815" s="209"/>
      <c r="N815" s="210"/>
      <c r="O815" s="198">
        <f>SUM(O814)</f>
        <v>4.30185</v>
      </c>
      <c r="P815" s="267"/>
      <c r="Q815" s="166"/>
      <c r="R815" s="71"/>
    </row>
    <row r="816" spans="1:18" s="61" customFormat="1" ht="78.75" x14ac:dyDescent="0.25">
      <c r="A816" s="358"/>
      <c r="B816" s="361"/>
      <c r="C816" s="221" t="s">
        <v>236</v>
      </c>
      <c r="D816" s="156" t="s">
        <v>19</v>
      </c>
      <c r="E816" s="181" t="s">
        <v>20</v>
      </c>
      <c r="F816" s="181" t="s">
        <v>238</v>
      </c>
      <c r="G816" s="238">
        <f>MROUND(H816*L816*I816/K816,0.000001)</f>
        <v>0</v>
      </c>
      <c r="H816" s="158"/>
      <c r="I816" s="159">
        <f>I812</f>
        <v>3.261E-3</v>
      </c>
      <c r="J816" s="160"/>
      <c r="K816" s="161">
        <f>K812</f>
        <v>78</v>
      </c>
      <c r="L816" s="250"/>
      <c r="M816" s="163"/>
      <c r="N816" s="164"/>
      <c r="O816" s="165">
        <f>MROUND(G816*N816,0.000001)</f>
        <v>0</v>
      </c>
      <c r="P816" s="166"/>
      <c r="Q816" s="166">
        <f t="shared" si="172"/>
        <v>0</v>
      </c>
      <c r="R816" s="71"/>
    </row>
    <row r="817" spans="1:18" s="62" customFormat="1" x14ac:dyDescent="0.25">
      <c r="A817" s="358"/>
      <c r="B817" s="361"/>
      <c r="C817" s="245" t="s">
        <v>298</v>
      </c>
      <c r="D817" s="240"/>
      <c r="E817" s="253"/>
      <c r="F817" s="253"/>
      <c r="G817" s="227"/>
      <c r="H817" s="241"/>
      <c r="I817" s="206"/>
      <c r="J817" s="228"/>
      <c r="K817" s="207"/>
      <c r="L817" s="257"/>
      <c r="M817" s="209"/>
      <c r="N817" s="210"/>
      <c r="O817" s="198">
        <f>SUM(O816)</f>
        <v>0</v>
      </c>
      <c r="P817" s="267"/>
      <c r="Q817" s="166"/>
      <c r="R817" s="71"/>
    </row>
    <row r="818" spans="1:18" s="61" customFormat="1" ht="30" x14ac:dyDescent="0.25">
      <c r="A818" s="358"/>
      <c r="B818" s="361"/>
      <c r="C818" s="365" t="s">
        <v>81</v>
      </c>
      <c r="D818" s="254" t="s">
        <v>410</v>
      </c>
      <c r="E818" s="156" t="s">
        <v>28</v>
      </c>
      <c r="F818" s="156" t="s">
        <v>28</v>
      </c>
      <c r="G818" s="238">
        <f>MROUND(H818*L818*I818/K818,0.0000000001)</f>
        <v>2.9265380000000003E-4</v>
      </c>
      <c r="H818" s="158">
        <f>H98</f>
        <v>7</v>
      </c>
      <c r="I818" s="159">
        <f>I812</f>
        <v>3.261E-3</v>
      </c>
      <c r="J818" s="160"/>
      <c r="K818" s="161">
        <f>K812</f>
        <v>78</v>
      </c>
      <c r="L818" s="250">
        <v>1</v>
      </c>
      <c r="M818" s="163" t="str">
        <f>CONCATENATE(H818," ",F818,"*",I818,"/",K818,"чел.")</f>
        <v>7 шт*0,003261/78чел.</v>
      </c>
      <c r="N818" s="164">
        <f>N98</f>
        <v>152142.85714285713</v>
      </c>
      <c r="O818" s="165">
        <f>MROUND(G818*N818,0.000001)</f>
        <v>44.525185</v>
      </c>
      <c r="P818" s="166"/>
      <c r="Q818" s="166">
        <f t="shared" si="172"/>
        <v>3472.96443</v>
      </c>
      <c r="R818" s="71"/>
    </row>
    <row r="819" spans="1:18" s="61" customFormat="1" x14ac:dyDescent="0.25">
      <c r="A819" s="358"/>
      <c r="B819" s="361"/>
      <c r="C819" s="366"/>
      <c r="D819" s="254" t="s">
        <v>325</v>
      </c>
      <c r="E819" s="156" t="s">
        <v>28</v>
      </c>
      <c r="F819" s="156" t="s">
        <v>28</v>
      </c>
      <c r="G819" s="157">
        <f>MROUND(H819*L819*I819/K819,0.0000000001)</f>
        <v>9.6157689999999999E-4</v>
      </c>
      <c r="H819" s="158">
        <f>$H$99</f>
        <v>23</v>
      </c>
      <c r="I819" s="159">
        <f>I818</f>
        <v>3.261E-3</v>
      </c>
      <c r="J819" s="160"/>
      <c r="K819" s="161">
        <f>K818</f>
        <v>78</v>
      </c>
      <c r="L819" s="250">
        <v>1</v>
      </c>
      <c r="M819" s="163" t="str">
        <f>CONCATENATE(H819," ",F819,"*",I819,"/",K819,"чел.")</f>
        <v>23 шт*0,003261/78чел.</v>
      </c>
      <c r="N819" s="164">
        <f>$N$99</f>
        <v>229039.13043478262</v>
      </c>
      <c r="O819" s="165">
        <f>MROUND(G819*N819,0.000001)</f>
        <v>220.23873699999999</v>
      </c>
      <c r="P819" s="166"/>
      <c r="Q819" s="166">
        <f t="shared" si="172"/>
        <v>17178.621486</v>
      </c>
      <c r="R819" s="71"/>
    </row>
    <row r="820" spans="1:18" s="61" customFormat="1" ht="30" x14ac:dyDescent="0.25">
      <c r="A820" s="358"/>
      <c r="B820" s="361"/>
      <c r="C820" s="366"/>
      <c r="D820" s="254" t="s">
        <v>411</v>
      </c>
      <c r="E820" s="156" t="s">
        <v>28</v>
      </c>
      <c r="F820" s="156" t="s">
        <v>28</v>
      </c>
      <c r="G820" s="238">
        <f>MROUND(H820*L820*I820/K820,0.00000001)</f>
        <v>2.9264999999999998E-4</v>
      </c>
      <c r="H820" s="158">
        <f>$H$100</f>
        <v>7</v>
      </c>
      <c r="I820" s="159">
        <f>I818</f>
        <v>3.261E-3</v>
      </c>
      <c r="J820" s="160"/>
      <c r="K820" s="161">
        <f>K818</f>
        <v>78</v>
      </c>
      <c r="L820" s="250">
        <v>1</v>
      </c>
      <c r="M820" s="163" t="str">
        <f t="shared" ref="M820:M841" si="179">CONCATENATE(H820," ",F820,"*",I820,"/",K820,"чел.")</f>
        <v>7 шт*0,003261/78чел.</v>
      </c>
      <c r="N820" s="164">
        <f t="shared" ref="N820:N834" si="180">N100</f>
        <v>82142.857142857145</v>
      </c>
      <c r="O820" s="165">
        <f t="shared" ref="O820:O841" si="181">MROUND(G820*N820,0.000001)</f>
        <v>24.039106999999998</v>
      </c>
      <c r="P820" s="166"/>
      <c r="Q820" s="166">
        <f t="shared" si="172"/>
        <v>1875.0503459999998</v>
      </c>
      <c r="R820" s="71"/>
    </row>
    <row r="821" spans="1:18" s="61" customFormat="1" x14ac:dyDescent="0.25">
      <c r="A821" s="358"/>
      <c r="B821" s="361"/>
      <c r="C821" s="366"/>
      <c r="D821" s="255" t="s">
        <v>412</v>
      </c>
      <c r="E821" s="156" t="s">
        <v>28</v>
      </c>
      <c r="F821" s="156" t="s">
        <v>28</v>
      </c>
      <c r="G821" s="238">
        <f>MROUND(H821*L821*I821/K821,0.00000001)</f>
        <v>1.46327E-3</v>
      </c>
      <c r="H821" s="158">
        <f>$H$101</f>
        <v>35</v>
      </c>
      <c r="I821" s="159">
        <f>I820</f>
        <v>3.261E-3</v>
      </c>
      <c r="J821" s="160"/>
      <c r="K821" s="161">
        <f>K820</f>
        <v>78</v>
      </c>
      <c r="L821" s="250">
        <v>1</v>
      </c>
      <c r="M821" s="163" t="str">
        <f t="shared" si="179"/>
        <v>35 шт*0,003261/78чел.</v>
      </c>
      <c r="N821" s="164">
        <f t="shared" si="180"/>
        <v>126114.97142857143</v>
      </c>
      <c r="O821" s="165">
        <f t="shared" si="181"/>
        <v>184.540254</v>
      </c>
      <c r="P821" s="166"/>
      <c r="Q821" s="166">
        <f t="shared" si="172"/>
        <v>14394.139812000001</v>
      </c>
      <c r="R821" s="71"/>
    </row>
    <row r="822" spans="1:18" s="61" customFormat="1" ht="31.5" x14ac:dyDescent="0.25">
      <c r="A822" s="358"/>
      <c r="B822" s="361"/>
      <c r="C822" s="366"/>
      <c r="D822" s="255" t="s">
        <v>413</v>
      </c>
      <c r="E822" s="156" t="s">
        <v>28</v>
      </c>
      <c r="F822" s="156" t="s">
        <v>28</v>
      </c>
      <c r="G822" s="238">
        <f>MROUND(H822*L822*I822/K822,0.0000000001)</f>
        <v>6.2711540000000006E-4</v>
      </c>
      <c r="H822" s="158">
        <f>H102</f>
        <v>15</v>
      </c>
      <c r="I822" s="159">
        <f>I821</f>
        <v>3.261E-3</v>
      </c>
      <c r="J822" s="160"/>
      <c r="K822" s="161">
        <f>K821</f>
        <v>78</v>
      </c>
      <c r="L822" s="250">
        <v>1</v>
      </c>
      <c r="M822" s="163" t="str">
        <f t="shared" si="179"/>
        <v>15 шт*0,003261/78чел.</v>
      </c>
      <c r="N822" s="164">
        <f t="shared" si="180"/>
        <v>75333.333333333328</v>
      </c>
      <c r="O822" s="165">
        <f t="shared" si="181"/>
        <v>47.242692999999996</v>
      </c>
      <c r="P822" s="166"/>
      <c r="Q822" s="166">
        <f t="shared" si="172"/>
        <v>3684.9300539999995</v>
      </c>
      <c r="R822" s="71"/>
    </row>
    <row r="823" spans="1:18" s="61" customFormat="1" x14ac:dyDescent="0.25">
      <c r="A823" s="358"/>
      <c r="B823" s="361"/>
      <c r="C823" s="366"/>
      <c r="D823" s="254" t="s">
        <v>109</v>
      </c>
      <c r="E823" s="156" t="s">
        <v>28</v>
      </c>
      <c r="F823" s="156" t="s">
        <v>28</v>
      </c>
      <c r="G823" s="238">
        <f>MROUND(H823*L823*I823/K823,0.0000000001)</f>
        <v>6.6892310000000001E-4</v>
      </c>
      <c r="H823" s="158">
        <f>$H$103</f>
        <v>16</v>
      </c>
      <c r="I823" s="159">
        <f>I822</f>
        <v>3.261E-3</v>
      </c>
      <c r="J823" s="160"/>
      <c r="K823" s="161">
        <f>K822</f>
        <v>78</v>
      </c>
      <c r="L823" s="250">
        <v>1</v>
      </c>
      <c r="M823" s="163" t="str">
        <f t="shared" si="179"/>
        <v>16 шт*0,003261/78чел.</v>
      </c>
      <c r="N823" s="164">
        <f t="shared" si="180"/>
        <v>169687.5</v>
      </c>
      <c r="O823" s="165">
        <f t="shared" si="181"/>
        <v>113.50788899999999</v>
      </c>
      <c r="P823" s="166"/>
      <c r="Q823" s="166">
        <f t="shared" si="172"/>
        <v>8853.6153419999991</v>
      </c>
      <c r="R823" s="71"/>
    </row>
    <row r="824" spans="1:18" s="61" customFormat="1" x14ac:dyDescent="0.25">
      <c r="A824" s="358"/>
      <c r="B824" s="361"/>
      <c r="C824" s="366"/>
      <c r="D824" s="254" t="s">
        <v>414</v>
      </c>
      <c r="E824" s="156" t="s">
        <v>28</v>
      </c>
      <c r="F824" s="156" t="s">
        <v>28</v>
      </c>
      <c r="G824" s="238">
        <f>MROUND(H824*L824*I824/K824,0.0000000001)</f>
        <v>3.762692E-4</v>
      </c>
      <c r="H824" s="158">
        <f>$H$104</f>
        <v>9</v>
      </c>
      <c r="I824" s="159">
        <f>I822</f>
        <v>3.261E-3</v>
      </c>
      <c r="J824" s="160"/>
      <c r="K824" s="161">
        <f>K822</f>
        <v>78</v>
      </c>
      <c r="L824" s="250">
        <v>1</v>
      </c>
      <c r="M824" s="163" t="str">
        <f t="shared" si="179"/>
        <v>9 шт*0,003261/78чел.</v>
      </c>
      <c r="N824" s="164">
        <f t="shared" si="180"/>
        <v>89333.333333333328</v>
      </c>
      <c r="O824" s="165">
        <f t="shared" si="181"/>
        <v>33.613382000000001</v>
      </c>
      <c r="P824" s="166"/>
      <c r="Q824" s="166">
        <f t="shared" si="172"/>
        <v>2621.8437960000001</v>
      </c>
      <c r="R824" s="71"/>
    </row>
    <row r="825" spans="1:18" s="61" customFormat="1" x14ac:dyDescent="0.25">
      <c r="A825" s="358"/>
      <c r="B825" s="361"/>
      <c r="C825" s="366"/>
      <c r="D825" s="254" t="s">
        <v>415</v>
      </c>
      <c r="E825" s="156" t="s">
        <v>28</v>
      </c>
      <c r="F825" s="156" t="s">
        <v>28</v>
      </c>
      <c r="G825" s="238">
        <f>MROUND(H825*L825*I825/K825,0.00000001)</f>
        <v>4.5988000000000002E-4</v>
      </c>
      <c r="H825" s="158">
        <f>$H$105</f>
        <v>11</v>
      </c>
      <c r="I825" s="159">
        <f t="shared" ref="I825:I834" si="182">I823</f>
        <v>3.261E-3</v>
      </c>
      <c r="J825" s="160"/>
      <c r="K825" s="161">
        <f t="shared" ref="K825:K834" si="183">K823</f>
        <v>78</v>
      </c>
      <c r="L825" s="250">
        <v>1</v>
      </c>
      <c r="M825" s="163" t="str">
        <f t="shared" si="179"/>
        <v>11 шт*0,003261/78чел.</v>
      </c>
      <c r="N825" s="164">
        <f t="shared" si="180"/>
        <v>122181.81818181818</v>
      </c>
      <c r="O825" s="165">
        <f t="shared" si="181"/>
        <v>56.188974999999999</v>
      </c>
      <c r="P825" s="166"/>
      <c r="Q825" s="166">
        <f t="shared" si="172"/>
        <v>4382.7400500000003</v>
      </c>
      <c r="R825" s="71"/>
    </row>
    <row r="826" spans="1:18" s="61" customFormat="1" x14ac:dyDescent="0.25">
      <c r="A826" s="358"/>
      <c r="B826" s="361"/>
      <c r="C826" s="366"/>
      <c r="D826" s="254" t="s">
        <v>416</v>
      </c>
      <c r="E826" s="156" t="s">
        <v>28</v>
      </c>
      <c r="F826" s="156" t="s">
        <v>28</v>
      </c>
      <c r="G826" s="238">
        <f>MROUND(H826*L826*I826/K826,0.000000001)</f>
        <v>8.3615400000000009E-4</v>
      </c>
      <c r="H826" s="246">
        <f>$H$106</f>
        <v>20</v>
      </c>
      <c r="I826" s="159">
        <f t="shared" si="182"/>
        <v>3.261E-3</v>
      </c>
      <c r="J826" s="160"/>
      <c r="K826" s="161">
        <f t="shared" si="183"/>
        <v>78</v>
      </c>
      <c r="L826" s="250">
        <v>1</v>
      </c>
      <c r="M826" s="163" t="str">
        <f t="shared" si="179"/>
        <v>20 шт*0,003261/78чел.</v>
      </c>
      <c r="N826" s="164">
        <f t="shared" si="180"/>
        <v>52500</v>
      </c>
      <c r="O826" s="165">
        <f t="shared" si="181"/>
        <v>43.898084999999995</v>
      </c>
      <c r="P826" s="166"/>
      <c r="Q826" s="166">
        <f t="shared" si="172"/>
        <v>3424.0506299999997</v>
      </c>
      <c r="R826" s="71"/>
    </row>
    <row r="827" spans="1:18" s="61" customFormat="1" x14ac:dyDescent="0.25">
      <c r="A827" s="358"/>
      <c r="B827" s="361"/>
      <c r="C827" s="366"/>
      <c r="D827" s="254" t="s">
        <v>417</v>
      </c>
      <c r="E827" s="156" t="s">
        <v>28</v>
      </c>
      <c r="F827" s="156" t="s">
        <v>28</v>
      </c>
      <c r="G827" s="238">
        <f>MROUND(H827*L827*I827/K827,0.00000001)</f>
        <v>7.1073000000000002E-4</v>
      </c>
      <c r="H827" s="158">
        <f>$H$107</f>
        <v>17</v>
      </c>
      <c r="I827" s="159">
        <f t="shared" si="182"/>
        <v>3.261E-3</v>
      </c>
      <c r="J827" s="160"/>
      <c r="K827" s="161">
        <f t="shared" si="183"/>
        <v>78</v>
      </c>
      <c r="L827" s="250">
        <v>1</v>
      </c>
      <c r="M827" s="163" t="str">
        <f t="shared" si="179"/>
        <v>17 шт*0,003261/78чел.</v>
      </c>
      <c r="N827" s="164">
        <f t="shared" si="180"/>
        <v>75000</v>
      </c>
      <c r="O827" s="165">
        <f t="shared" si="181"/>
        <v>53.304749999999999</v>
      </c>
      <c r="P827" s="166"/>
      <c r="Q827" s="166">
        <f t="shared" si="172"/>
        <v>4157.7704999999996</v>
      </c>
      <c r="R827" s="71"/>
    </row>
    <row r="828" spans="1:18" s="61" customFormat="1" ht="30" x14ac:dyDescent="0.25">
      <c r="A828" s="358"/>
      <c r="B828" s="361"/>
      <c r="C828" s="366"/>
      <c r="D828" s="254" t="s">
        <v>418</v>
      </c>
      <c r="E828" s="156" t="s">
        <v>28</v>
      </c>
      <c r="F828" s="156" t="s">
        <v>28</v>
      </c>
      <c r="G828" s="238">
        <f>MROUND(H828*L828*I828/K828,0.00000001)</f>
        <v>3.7627E-4</v>
      </c>
      <c r="H828" s="158">
        <f>H108</f>
        <v>9</v>
      </c>
      <c r="I828" s="159">
        <f t="shared" si="182"/>
        <v>3.261E-3</v>
      </c>
      <c r="J828" s="160"/>
      <c r="K828" s="161">
        <f t="shared" si="183"/>
        <v>78</v>
      </c>
      <c r="L828" s="250">
        <v>1</v>
      </c>
      <c r="M828" s="163" t="str">
        <f t="shared" si="179"/>
        <v>9 шт*0,003261/78чел.</v>
      </c>
      <c r="N828" s="164">
        <f t="shared" si="180"/>
        <v>66666.666666666672</v>
      </c>
      <c r="O828" s="165">
        <f t="shared" si="181"/>
        <v>25.084667</v>
      </c>
      <c r="P828" s="166"/>
      <c r="Q828" s="166">
        <f t="shared" si="172"/>
        <v>1956.604026</v>
      </c>
      <c r="R828" s="71"/>
    </row>
    <row r="829" spans="1:18" s="61" customFormat="1" x14ac:dyDescent="0.25">
      <c r="A829" s="358"/>
      <c r="B829" s="361"/>
      <c r="C829" s="366"/>
      <c r="D829" s="254" t="s">
        <v>324</v>
      </c>
      <c r="E829" s="156" t="s">
        <v>28</v>
      </c>
      <c r="F829" s="156" t="s">
        <v>28</v>
      </c>
      <c r="G829" s="238">
        <f>MROUND(H829*L829*I829/K829,0.000000001)</f>
        <v>7.5253800000000008E-4</v>
      </c>
      <c r="H829" s="158">
        <f>$H$109</f>
        <v>18</v>
      </c>
      <c r="I829" s="159">
        <f t="shared" si="182"/>
        <v>3.261E-3</v>
      </c>
      <c r="J829" s="160"/>
      <c r="K829" s="161">
        <f t="shared" si="183"/>
        <v>78</v>
      </c>
      <c r="L829" s="250">
        <v>1</v>
      </c>
      <c r="M829" s="163" t="str">
        <f t="shared" si="179"/>
        <v>18 шт*0,003261/78чел.</v>
      </c>
      <c r="N829" s="164">
        <f t="shared" si="180"/>
        <v>365277.77777777775</v>
      </c>
      <c r="O829" s="165">
        <f t="shared" si="181"/>
        <v>274.88540799999998</v>
      </c>
      <c r="P829" s="166"/>
      <c r="Q829" s="166">
        <f t="shared" si="172"/>
        <v>21441.061824</v>
      </c>
      <c r="R829" s="71"/>
    </row>
    <row r="830" spans="1:18" s="61" customFormat="1" x14ac:dyDescent="0.25">
      <c r="A830" s="358"/>
      <c r="B830" s="361"/>
      <c r="C830" s="366"/>
      <c r="D830" s="254" t="s">
        <v>419</v>
      </c>
      <c r="E830" s="156" t="s">
        <v>28</v>
      </c>
      <c r="F830" s="156" t="s">
        <v>28</v>
      </c>
      <c r="G830" s="238">
        <f>MROUND(H830*L830*I830/K830,0.000000001)</f>
        <v>1.0033850000000001E-3</v>
      </c>
      <c r="H830" s="246">
        <f>$H$110</f>
        <v>24</v>
      </c>
      <c r="I830" s="159">
        <f t="shared" si="182"/>
        <v>3.261E-3</v>
      </c>
      <c r="J830" s="160"/>
      <c r="K830" s="161">
        <f t="shared" si="183"/>
        <v>78</v>
      </c>
      <c r="L830" s="250">
        <v>1</v>
      </c>
      <c r="M830" s="163" t="str">
        <f t="shared" si="179"/>
        <v>24 шт*0,003261/78чел.</v>
      </c>
      <c r="N830" s="164">
        <f t="shared" si="180"/>
        <v>32416.666666666668</v>
      </c>
      <c r="O830" s="165">
        <f t="shared" si="181"/>
        <v>32.526396999999996</v>
      </c>
      <c r="P830" s="166"/>
      <c r="Q830" s="166">
        <f t="shared" si="172"/>
        <v>2537.0589659999996</v>
      </c>
      <c r="R830" s="71"/>
    </row>
    <row r="831" spans="1:18" s="61" customFormat="1" x14ac:dyDescent="0.25">
      <c r="A831" s="358"/>
      <c r="B831" s="361"/>
      <c r="C831" s="366"/>
      <c r="D831" s="254" t="s">
        <v>420</v>
      </c>
      <c r="E831" s="156" t="s">
        <v>28</v>
      </c>
      <c r="F831" s="156" t="s">
        <v>28</v>
      </c>
      <c r="G831" s="238">
        <f>MROUND(H831*L831*I831/K831,0.000000001)</f>
        <v>6.2711500000000003E-4</v>
      </c>
      <c r="H831" s="158">
        <f>H111</f>
        <v>15</v>
      </c>
      <c r="I831" s="159">
        <f t="shared" si="182"/>
        <v>3.261E-3</v>
      </c>
      <c r="J831" s="160"/>
      <c r="K831" s="161">
        <f t="shared" si="183"/>
        <v>78</v>
      </c>
      <c r="L831" s="250">
        <v>1</v>
      </c>
      <c r="M831" s="163" t="str">
        <f t="shared" si="179"/>
        <v>15 шт*0,003261/78чел.</v>
      </c>
      <c r="N831" s="164">
        <f t="shared" si="180"/>
        <v>127666.66666666667</v>
      </c>
      <c r="O831" s="165">
        <f t="shared" si="181"/>
        <v>80.06168199999999</v>
      </c>
      <c r="P831" s="166"/>
      <c r="Q831" s="166">
        <f t="shared" si="172"/>
        <v>6244.8111959999997</v>
      </c>
      <c r="R831" s="71"/>
    </row>
    <row r="832" spans="1:18" s="61" customFormat="1" x14ac:dyDescent="0.25">
      <c r="A832" s="358"/>
      <c r="B832" s="361"/>
      <c r="C832" s="366"/>
      <c r="D832" s="254" t="s">
        <v>421</v>
      </c>
      <c r="E832" s="156" t="s">
        <v>28</v>
      </c>
      <c r="F832" s="156" t="s">
        <v>28</v>
      </c>
      <c r="G832" s="238">
        <f>MROUND(H832*L832*I832/K832,0.00000001)</f>
        <v>1.2124200000000001E-3</v>
      </c>
      <c r="H832" s="158">
        <f>$H$112</f>
        <v>29</v>
      </c>
      <c r="I832" s="159">
        <f t="shared" si="182"/>
        <v>3.261E-3</v>
      </c>
      <c r="J832" s="160"/>
      <c r="K832" s="161">
        <f t="shared" si="183"/>
        <v>78</v>
      </c>
      <c r="L832" s="250">
        <v>1</v>
      </c>
      <c r="M832" s="163" t="str">
        <f t="shared" si="179"/>
        <v>29 шт*0,003261/78чел.</v>
      </c>
      <c r="N832" s="164">
        <f t="shared" si="180"/>
        <v>13517.241379310344</v>
      </c>
      <c r="O832" s="165">
        <f t="shared" si="181"/>
        <v>16.388573999999998</v>
      </c>
      <c r="P832" s="166"/>
      <c r="Q832" s="166">
        <f t="shared" si="172"/>
        <v>1278.3087719999999</v>
      </c>
      <c r="R832" s="71"/>
    </row>
    <row r="833" spans="1:18" s="61" customFormat="1" ht="30" x14ac:dyDescent="0.25">
      <c r="A833" s="358"/>
      <c r="B833" s="361"/>
      <c r="C833" s="366"/>
      <c r="D833" s="254" t="s">
        <v>422</v>
      </c>
      <c r="E833" s="156" t="s">
        <v>28</v>
      </c>
      <c r="F833" s="156" t="s">
        <v>28</v>
      </c>
      <c r="G833" s="266">
        <f>MROUND(H833*L833*I833/K833,0.00000001)</f>
        <v>7.5254E-4</v>
      </c>
      <c r="H833" s="158">
        <f>H713</f>
        <v>18</v>
      </c>
      <c r="I833" s="159">
        <f t="shared" si="182"/>
        <v>3.261E-3</v>
      </c>
      <c r="J833" s="160"/>
      <c r="K833" s="161">
        <f t="shared" si="183"/>
        <v>78</v>
      </c>
      <c r="L833" s="250">
        <v>1</v>
      </c>
      <c r="M833" s="163" t="str">
        <f t="shared" si="179"/>
        <v>18 шт*0,003261/78чел.</v>
      </c>
      <c r="N833" s="164">
        <f t="shared" si="180"/>
        <v>34944.444444444445</v>
      </c>
      <c r="O833" s="165">
        <f t="shared" si="181"/>
        <v>26.297091999999999</v>
      </c>
      <c r="P833" s="166"/>
      <c r="Q833" s="166">
        <f t="shared" si="172"/>
        <v>2051.1731759999998</v>
      </c>
      <c r="R833" s="71"/>
    </row>
    <row r="834" spans="1:18" s="61" customFormat="1" x14ac:dyDescent="0.25">
      <c r="A834" s="358"/>
      <c r="B834" s="361"/>
      <c r="C834" s="366"/>
      <c r="D834" s="254" t="s">
        <v>423</v>
      </c>
      <c r="E834" s="156" t="s">
        <v>28</v>
      </c>
      <c r="F834" s="156" t="s">
        <v>28</v>
      </c>
      <c r="G834" s="238">
        <f>MROUND(H834*L834*I834/K834,0.000000001)</f>
        <v>8.3615400000000009E-4</v>
      </c>
      <c r="H834" s="158">
        <f>$H$114</f>
        <v>20</v>
      </c>
      <c r="I834" s="159">
        <f t="shared" si="182"/>
        <v>3.261E-3</v>
      </c>
      <c r="J834" s="160"/>
      <c r="K834" s="161">
        <f t="shared" si="183"/>
        <v>78</v>
      </c>
      <c r="L834" s="250">
        <v>1</v>
      </c>
      <c r="M834" s="163" t="str">
        <f t="shared" si="179"/>
        <v>20 шт*0,003261/78чел.</v>
      </c>
      <c r="N834" s="164">
        <f t="shared" si="180"/>
        <v>74500</v>
      </c>
      <c r="O834" s="165">
        <f t="shared" si="181"/>
        <v>62.293472999999999</v>
      </c>
      <c r="P834" s="166"/>
      <c r="Q834" s="166">
        <f t="shared" si="172"/>
        <v>4858.8908940000001</v>
      </c>
      <c r="R834" s="71"/>
    </row>
    <row r="835" spans="1:18" s="61" customFormat="1" x14ac:dyDescent="0.25">
      <c r="A835" s="358"/>
      <c r="B835" s="361"/>
      <c r="C835" s="366"/>
      <c r="D835" s="254" t="s">
        <v>424</v>
      </c>
      <c r="E835" s="156" t="s">
        <v>28</v>
      </c>
      <c r="F835" s="156" t="s">
        <v>28</v>
      </c>
      <c r="G835" s="238">
        <f t="shared" ref="G835:G841" si="184">MROUND(H835*L835*I835/K835,0.00000001)</f>
        <v>1.46327E-3</v>
      </c>
      <c r="H835" s="158">
        <f>H355</f>
        <v>35</v>
      </c>
      <c r="I835" s="159">
        <f>I824</f>
        <v>3.261E-3</v>
      </c>
      <c r="J835" s="160"/>
      <c r="K835" s="161">
        <f>K824</f>
        <v>78</v>
      </c>
      <c r="L835" s="250">
        <v>1</v>
      </c>
      <c r="M835" s="163" t="str">
        <f t="shared" si="179"/>
        <v>35 шт*0,003261/78чел.</v>
      </c>
      <c r="N835" s="164">
        <f>N355</f>
        <v>34285.714285714283</v>
      </c>
      <c r="O835" s="165">
        <f t="shared" si="181"/>
        <v>50.169256999999995</v>
      </c>
      <c r="P835" s="166"/>
      <c r="Q835" s="166">
        <f t="shared" si="172"/>
        <v>3913.2020459999994</v>
      </c>
      <c r="R835" s="71"/>
    </row>
    <row r="836" spans="1:18" s="61" customFormat="1" x14ac:dyDescent="0.25">
      <c r="A836" s="358"/>
      <c r="B836" s="361"/>
      <c r="C836" s="366"/>
      <c r="D836" s="254" t="s">
        <v>425</v>
      </c>
      <c r="E836" s="156" t="s">
        <v>28</v>
      </c>
      <c r="F836" s="156" t="s">
        <v>28</v>
      </c>
      <c r="G836" s="277">
        <f t="shared" si="184"/>
        <v>1.46327E-3</v>
      </c>
      <c r="H836" s="158">
        <f>H116</f>
        <v>35</v>
      </c>
      <c r="I836" s="159">
        <f t="shared" ref="I836:I841" si="185">I835</f>
        <v>3.261E-3</v>
      </c>
      <c r="J836" s="160"/>
      <c r="K836" s="161">
        <f t="shared" ref="K836:K841" si="186">K835</f>
        <v>78</v>
      </c>
      <c r="L836" s="250">
        <v>1</v>
      </c>
      <c r="M836" s="163" t="str">
        <f t="shared" si="179"/>
        <v>35 шт*0,003261/78чел.</v>
      </c>
      <c r="N836" s="164">
        <f t="shared" ref="N836:N841" si="187">N116</f>
        <v>19102.857142857141</v>
      </c>
      <c r="O836" s="165">
        <f t="shared" si="181"/>
        <v>27.952638</v>
      </c>
      <c r="P836" s="166"/>
      <c r="Q836" s="166">
        <f t="shared" si="172"/>
        <v>2180.3057640000002</v>
      </c>
      <c r="R836" s="71"/>
    </row>
    <row r="837" spans="1:18" s="61" customFormat="1" x14ac:dyDescent="0.25">
      <c r="A837" s="358"/>
      <c r="B837" s="361"/>
      <c r="C837" s="366"/>
      <c r="D837" s="254" t="s">
        <v>108</v>
      </c>
      <c r="E837" s="156" t="s">
        <v>28</v>
      </c>
      <c r="F837" s="156" t="s">
        <v>28</v>
      </c>
      <c r="G837" s="238">
        <f t="shared" si="184"/>
        <v>3.6163649999999999E-2</v>
      </c>
      <c r="H837" s="158">
        <f>$H$117</f>
        <v>865</v>
      </c>
      <c r="I837" s="159">
        <f t="shared" si="185"/>
        <v>3.261E-3</v>
      </c>
      <c r="J837" s="160"/>
      <c r="K837" s="161">
        <f t="shared" si="186"/>
        <v>78</v>
      </c>
      <c r="L837" s="250">
        <v>1</v>
      </c>
      <c r="M837" s="163" t="str">
        <f t="shared" si="179"/>
        <v>865 шт*0,003261/78чел.</v>
      </c>
      <c r="N837" s="164">
        <f t="shared" si="187"/>
        <v>779.36416184971097</v>
      </c>
      <c r="O837" s="165">
        <f t="shared" si="181"/>
        <v>28.184652999999997</v>
      </c>
      <c r="P837" s="166"/>
      <c r="Q837" s="166">
        <f t="shared" si="172"/>
        <v>2198.4029339999997</v>
      </c>
      <c r="R837" s="71"/>
    </row>
    <row r="838" spans="1:18" s="61" customFormat="1" x14ac:dyDescent="0.25">
      <c r="A838" s="358"/>
      <c r="B838" s="361"/>
      <c r="C838" s="366"/>
      <c r="D838" s="254" t="s">
        <v>426</v>
      </c>
      <c r="E838" s="156" t="s">
        <v>28</v>
      </c>
      <c r="F838" s="156" t="s">
        <v>28</v>
      </c>
      <c r="G838" s="238">
        <f t="shared" si="184"/>
        <v>1.83954E-3</v>
      </c>
      <c r="H838" s="158">
        <f>H118</f>
        <v>44</v>
      </c>
      <c r="I838" s="159">
        <f t="shared" si="185"/>
        <v>3.261E-3</v>
      </c>
      <c r="J838" s="160"/>
      <c r="K838" s="161">
        <f t="shared" si="186"/>
        <v>78</v>
      </c>
      <c r="L838" s="250">
        <v>1</v>
      </c>
      <c r="M838" s="163" t="str">
        <f t="shared" si="179"/>
        <v>44 шт*0,003261/78чел.</v>
      </c>
      <c r="N838" s="164">
        <f t="shared" si="187"/>
        <v>12416.954545454546</v>
      </c>
      <c r="O838" s="165">
        <f t="shared" si="181"/>
        <v>22.841484999999999</v>
      </c>
      <c r="P838" s="166"/>
      <c r="Q838" s="166">
        <f t="shared" si="172"/>
        <v>1781.6358299999999</v>
      </c>
      <c r="R838" s="71"/>
    </row>
    <row r="839" spans="1:18" s="61" customFormat="1" x14ac:dyDescent="0.25">
      <c r="A839" s="358"/>
      <c r="B839" s="361"/>
      <c r="C839" s="366"/>
      <c r="D839" s="254" t="s">
        <v>427</v>
      </c>
      <c r="E839" s="156" t="s">
        <v>28</v>
      </c>
      <c r="F839" s="156" t="s">
        <v>28</v>
      </c>
      <c r="G839" s="238">
        <f t="shared" si="184"/>
        <v>2.7593100000000001E-3</v>
      </c>
      <c r="H839" s="158">
        <f>H119</f>
        <v>66</v>
      </c>
      <c r="I839" s="159">
        <f t="shared" si="185"/>
        <v>3.261E-3</v>
      </c>
      <c r="J839" s="160"/>
      <c r="K839" s="161">
        <f t="shared" si="186"/>
        <v>78</v>
      </c>
      <c r="L839" s="250">
        <v>1</v>
      </c>
      <c r="M839" s="163" t="str">
        <f t="shared" si="179"/>
        <v>66 шт*0,003261/78чел.</v>
      </c>
      <c r="N839" s="164">
        <f t="shared" si="187"/>
        <v>13060.60606060606</v>
      </c>
      <c r="O839" s="165">
        <f t="shared" si="181"/>
        <v>36.038260999999999</v>
      </c>
      <c r="P839" s="166"/>
      <c r="Q839" s="166">
        <f t="shared" si="172"/>
        <v>2810.9843579999997</v>
      </c>
      <c r="R839" s="71"/>
    </row>
    <row r="840" spans="1:18" s="61" customFormat="1" x14ac:dyDescent="0.25">
      <c r="A840" s="358"/>
      <c r="B840" s="361"/>
      <c r="C840" s="366"/>
      <c r="D840" s="254" t="s">
        <v>428</v>
      </c>
      <c r="E840" s="156" t="s">
        <v>28</v>
      </c>
      <c r="F840" s="156" t="s">
        <v>28</v>
      </c>
      <c r="G840" s="238">
        <f t="shared" si="184"/>
        <v>1.442365E-2</v>
      </c>
      <c r="H840" s="158">
        <f>H120</f>
        <v>345</v>
      </c>
      <c r="I840" s="159">
        <f t="shared" si="185"/>
        <v>3.261E-3</v>
      </c>
      <c r="J840" s="160"/>
      <c r="K840" s="161">
        <f t="shared" si="186"/>
        <v>78</v>
      </c>
      <c r="L840" s="250">
        <v>1</v>
      </c>
      <c r="M840" s="163" t="str">
        <f t="shared" si="179"/>
        <v>345 шт*0,003261/78чел.</v>
      </c>
      <c r="N840" s="164">
        <f t="shared" si="187"/>
        <v>8520.7246376811599</v>
      </c>
      <c r="O840" s="165">
        <f t="shared" si="181"/>
        <v>122.89994999999999</v>
      </c>
      <c r="P840" s="166"/>
      <c r="Q840" s="166">
        <f t="shared" si="172"/>
        <v>9586.1960999999992</v>
      </c>
      <c r="R840" s="71"/>
    </row>
    <row r="841" spans="1:18" s="61" customFormat="1" x14ac:dyDescent="0.25">
      <c r="A841" s="358"/>
      <c r="B841" s="361"/>
      <c r="C841" s="366"/>
      <c r="D841" s="255" t="s">
        <v>429</v>
      </c>
      <c r="E841" s="156" t="s">
        <v>28</v>
      </c>
      <c r="F841" s="156" t="s">
        <v>28</v>
      </c>
      <c r="G841" s="238">
        <f t="shared" si="184"/>
        <v>2.0485799999999999E-3</v>
      </c>
      <c r="H841" s="158">
        <f>H121</f>
        <v>49</v>
      </c>
      <c r="I841" s="159">
        <f t="shared" si="185"/>
        <v>3.261E-3</v>
      </c>
      <c r="J841" s="160"/>
      <c r="K841" s="161">
        <f t="shared" si="186"/>
        <v>78</v>
      </c>
      <c r="L841" s="250">
        <v>1</v>
      </c>
      <c r="M841" s="163" t="str">
        <f t="shared" si="179"/>
        <v>49 шт*0,003261/78чел.</v>
      </c>
      <c r="N841" s="164">
        <f t="shared" si="187"/>
        <v>53775.510204081635</v>
      </c>
      <c r="O841" s="165">
        <f t="shared" si="181"/>
        <v>110.16343499999999</v>
      </c>
      <c r="P841" s="166"/>
      <c r="Q841" s="166">
        <f t="shared" si="172"/>
        <v>8592.7479299999995</v>
      </c>
      <c r="R841" s="71"/>
    </row>
    <row r="842" spans="1:18" s="62" customFormat="1" x14ac:dyDescent="0.25">
      <c r="A842" s="358"/>
      <c r="B842" s="361"/>
      <c r="C842" s="249" t="s">
        <v>299</v>
      </c>
      <c r="D842" s="256"/>
      <c r="E842" s="240"/>
      <c r="F842" s="240"/>
      <c r="G842" s="227"/>
      <c r="H842" s="241"/>
      <c r="I842" s="206"/>
      <c r="J842" s="228"/>
      <c r="K842" s="207"/>
      <c r="L842" s="257"/>
      <c r="M842" s="209"/>
      <c r="N842" s="210"/>
      <c r="O842" s="198">
        <f>SUM(O818:O841)</f>
        <v>1736.886029</v>
      </c>
      <c r="P842" s="267"/>
      <c r="Q842" s="166"/>
      <c r="R842" s="71"/>
    </row>
    <row r="843" spans="1:18" s="61" customFormat="1" ht="110.25" x14ac:dyDescent="0.25">
      <c r="A843" s="358"/>
      <c r="B843" s="361"/>
      <c r="C843" s="221" t="s">
        <v>82</v>
      </c>
      <c r="D843" s="156" t="s">
        <v>46</v>
      </c>
      <c r="E843" s="156" t="s">
        <v>54</v>
      </c>
      <c r="F843" s="156" t="s">
        <v>285</v>
      </c>
      <c r="G843" s="238">
        <f>MROUND(H843*L843*I843/K843,0.000001)</f>
        <v>0.47284499999999996</v>
      </c>
      <c r="H843" s="242">
        <f>H123</f>
        <v>1028.181818181818</v>
      </c>
      <c r="I843" s="159">
        <f>I841</f>
        <v>3.261E-3</v>
      </c>
      <c r="J843" s="160"/>
      <c r="K843" s="161">
        <f>K841</f>
        <v>78</v>
      </c>
      <c r="L843" s="225">
        <f>L483</f>
        <v>11</v>
      </c>
      <c r="M843" s="163" t="str">
        <f>CONCATENATE(H843," ",F843,"*",L843,"автобуса","*",I843,"/",K843,"чел.")</f>
        <v>1028,18181818182 л бензина АИ 92 (12,5л/день(зимой)*20дней*7мес+10л/день(летом)*20дней*4мес)*11автобуса*0,003261/78чел.</v>
      </c>
      <c r="N843" s="164">
        <f>N123</f>
        <v>54.500000000000007</v>
      </c>
      <c r="O843" s="165">
        <f>MROUND(G843*N843,0.000001)</f>
        <v>25.770052999999997</v>
      </c>
      <c r="P843" s="166"/>
      <c r="Q843" s="166">
        <f t="shared" ref="Q843:Q904" si="188">O843*K843</f>
        <v>2010.0641339999997</v>
      </c>
      <c r="R843" s="71"/>
    </row>
    <row r="844" spans="1:18" s="62" customFormat="1" x14ac:dyDescent="0.25">
      <c r="A844" s="358"/>
      <c r="B844" s="361"/>
      <c r="C844" s="218" t="s">
        <v>300</v>
      </c>
      <c r="D844" s="240"/>
      <c r="E844" s="240"/>
      <c r="F844" s="240"/>
      <c r="G844" s="227"/>
      <c r="H844" s="241"/>
      <c r="I844" s="206"/>
      <c r="J844" s="228"/>
      <c r="K844" s="207"/>
      <c r="L844" s="257"/>
      <c r="M844" s="209"/>
      <c r="N844" s="210"/>
      <c r="O844" s="198">
        <f>SUM(O843)</f>
        <v>25.770052999999997</v>
      </c>
      <c r="P844" s="267"/>
      <c r="Q844" s="166"/>
      <c r="R844" s="71"/>
    </row>
    <row r="845" spans="1:18" s="61" customFormat="1" ht="47.25" x14ac:dyDescent="0.25">
      <c r="A845" s="358"/>
      <c r="B845" s="361"/>
      <c r="C845" s="221" t="s">
        <v>434</v>
      </c>
      <c r="D845" s="156" t="s">
        <v>436</v>
      </c>
      <c r="E845" s="156" t="s">
        <v>28</v>
      </c>
      <c r="F845" s="156" t="s">
        <v>437</v>
      </c>
      <c r="G845" s="157">
        <f>MROUND(H845*L845*I845/K845,0.000001)</f>
        <v>1.2123999999999999E-2</v>
      </c>
      <c r="H845" s="242">
        <f>$H$125</f>
        <v>290</v>
      </c>
      <c r="I845" s="159">
        <f>I843</f>
        <v>3.261E-3</v>
      </c>
      <c r="J845" s="160"/>
      <c r="K845" s="161">
        <f>K843</f>
        <v>78</v>
      </c>
      <c r="L845" s="162">
        <v>1</v>
      </c>
      <c r="M845" s="163" t="str">
        <f>CONCATENATE(H845," ",F845,"*",L845,"автобуса","*",I845,"/",K845,"чел.")</f>
        <v>290 огнетушителей (потребность учреждений) *1автобуса*0,003261/78чел.</v>
      </c>
      <c r="N845" s="164">
        <f>$N$125</f>
        <v>2000</v>
      </c>
      <c r="O845" s="165">
        <f>MROUND(G845*N845,0.000001)</f>
        <v>24.247999999999998</v>
      </c>
      <c r="P845" s="166"/>
      <c r="Q845" s="166">
        <f t="shared" si="188"/>
        <v>1891.3439999999998</v>
      </c>
      <c r="R845" s="71"/>
    </row>
    <row r="846" spans="1:18" s="61" customFormat="1" x14ac:dyDescent="0.25">
      <c r="A846" s="358"/>
      <c r="B846" s="361"/>
      <c r="C846" s="218" t="s">
        <v>435</v>
      </c>
      <c r="D846" s="240"/>
      <c r="E846" s="240"/>
      <c r="F846" s="240"/>
      <c r="G846" s="251"/>
      <c r="H846" s="241"/>
      <c r="I846" s="206"/>
      <c r="J846" s="228"/>
      <c r="K846" s="207"/>
      <c r="L846" s="229"/>
      <c r="M846" s="209"/>
      <c r="N846" s="210"/>
      <c r="O846" s="198">
        <f>SUM(O845)</f>
        <v>24.247999999999998</v>
      </c>
      <c r="P846" s="166"/>
      <c r="Q846" s="166"/>
      <c r="R846" s="71"/>
    </row>
    <row r="847" spans="1:18" s="61" customFormat="1" ht="47.25" x14ac:dyDescent="0.25">
      <c r="A847" s="358"/>
      <c r="B847" s="361"/>
      <c r="C847" s="364" t="s">
        <v>118</v>
      </c>
      <c r="D847" s="156" t="s">
        <v>47</v>
      </c>
      <c r="E847" s="156" t="s">
        <v>28</v>
      </c>
      <c r="F847" s="156" t="s">
        <v>239</v>
      </c>
      <c r="G847" s="238">
        <f>MROUND(H847*L847*I847/K847,0.00000001)</f>
        <v>6.0203100000000001E-3</v>
      </c>
      <c r="H847" s="158">
        <f>H127</f>
        <v>144</v>
      </c>
      <c r="I847" s="159">
        <f>I843</f>
        <v>3.261E-3</v>
      </c>
      <c r="J847" s="160"/>
      <c r="K847" s="161">
        <f>K843</f>
        <v>78</v>
      </c>
      <c r="L847" s="250">
        <v>1</v>
      </c>
      <c r="M847" s="163" t="str">
        <f>CONCATENATE(H847," ",F847,"*",I847,"/",K847,"чел.")</f>
        <v>144 манометров (потребность учреждений) *0,003261/78чел.</v>
      </c>
      <c r="N847" s="164">
        <f>N127</f>
        <v>708.5</v>
      </c>
      <c r="O847" s="165">
        <f>MROUND(G847*N847,0.000001)</f>
        <v>4.26539</v>
      </c>
      <c r="P847" s="166"/>
      <c r="Q847" s="166">
        <f t="shared" si="188"/>
        <v>332.70042000000001</v>
      </c>
      <c r="R847" s="71"/>
    </row>
    <row r="848" spans="1:18" s="61" customFormat="1" ht="47.25" x14ac:dyDescent="0.25">
      <c r="A848" s="358"/>
      <c r="B848" s="361"/>
      <c r="C848" s="364"/>
      <c r="D848" s="255" t="s">
        <v>113</v>
      </c>
      <c r="E848" s="156" t="s">
        <v>28</v>
      </c>
      <c r="F848" s="156" t="s">
        <v>240</v>
      </c>
      <c r="G848" s="238">
        <f>MROUND(H848*L848*I848/K848,0.00000001)</f>
        <v>0.23893096</v>
      </c>
      <c r="H848" s="158">
        <f>H128</f>
        <v>5715</v>
      </c>
      <c r="I848" s="159">
        <f>I847</f>
        <v>3.261E-3</v>
      </c>
      <c r="J848" s="160"/>
      <c r="K848" s="161">
        <f>K847</f>
        <v>78</v>
      </c>
      <c r="L848" s="250">
        <v>1</v>
      </c>
      <c r="M848" s="163" t="str">
        <f>CONCATENATE(H848," ",F848,"*",I848,"/",K848,"чел.")</f>
        <v>5715 светильников (потребность учреждений)*0,003261/78чел.</v>
      </c>
      <c r="N848" s="164">
        <f>N128</f>
        <v>106.27500087489064</v>
      </c>
      <c r="O848" s="165">
        <f>MROUND(G848*N848,0.000001)</f>
        <v>25.392388</v>
      </c>
      <c r="P848" s="166"/>
      <c r="Q848" s="166">
        <f t="shared" si="188"/>
        <v>1980.606264</v>
      </c>
      <c r="R848" s="71"/>
    </row>
    <row r="849" spans="1:18" s="62" customFormat="1" x14ac:dyDescent="0.25">
      <c r="A849" s="359"/>
      <c r="B849" s="362"/>
      <c r="C849" s="218" t="s">
        <v>301</v>
      </c>
      <c r="D849" s="256"/>
      <c r="E849" s="240"/>
      <c r="F849" s="240"/>
      <c r="G849" s="227"/>
      <c r="H849" s="241"/>
      <c r="I849" s="206"/>
      <c r="J849" s="228"/>
      <c r="K849" s="207"/>
      <c r="L849" s="257"/>
      <c r="M849" s="209"/>
      <c r="N849" s="210"/>
      <c r="O849" s="198">
        <f>SUM(O847:O848)</f>
        <v>29.657778</v>
      </c>
      <c r="P849" s="267"/>
      <c r="Q849" s="166"/>
      <c r="R849" s="71"/>
    </row>
    <row r="850" spans="1:18" s="61" customFormat="1" x14ac:dyDescent="0.25">
      <c r="A850" s="357" t="str">
        <f>CONCATENATE(школы!$B$13,", ",школы!$C$13,", ",школы!$D$13)</f>
        <v>Реализация основных общеобразовательных программ основного общего образования, адаптированная образовательная программа, обучающиеся с ограниченными возможностями здоровья (ОВЗ)</v>
      </c>
      <c r="B850" s="360" t="str">
        <f>школы!$A$13</f>
        <v>802111О.99.0.БА96АА00001</v>
      </c>
      <c r="C850" s="194"/>
      <c r="D850" s="363" t="s">
        <v>15</v>
      </c>
      <c r="E850" s="363"/>
      <c r="F850" s="363"/>
      <c r="G850" s="363"/>
      <c r="H850" s="195"/>
      <c r="I850" s="195"/>
      <c r="J850" s="195"/>
      <c r="K850" s="195"/>
      <c r="L850" s="196"/>
      <c r="M850" s="197"/>
      <c r="N850" s="164"/>
      <c r="O850" s="198">
        <f>O851+O856+O858</f>
        <v>7525.418386845</v>
      </c>
      <c r="P850" s="166"/>
      <c r="Q850" s="166"/>
      <c r="R850" s="71"/>
    </row>
    <row r="851" spans="1:18" s="61" customFormat="1" x14ac:dyDescent="0.25">
      <c r="A851" s="358"/>
      <c r="B851" s="361"/>
      <c r="C851" s="194"/>
      <c r="D851" s="350" t="s">
        <v>62</v>
      </c>
      <c r="E851" s="350"/>
      <c r="F851" s="350"/>
      <c r="G851" s="350"/>
      <c r="H851" s="195"/>
      <c r="I851" s="195"/>
      <c r="J851" s="195"/>
      <c r="K851" s="195"/>
      <c r="L851" s="196"/>
      <c r="M851" s="197"/>
      <c r="N851" s="164"/>
      <c r="O851" s="165">
        <f>O853+O855</f>
        <v>7525.418386845</v>
      </c>
      <c r="P851" s="166"/>
      <c r="Q851" s="166"/>
      <c r="R851" s="71"/>
    </row>
    <row r="852" spans="1:18" s="61" customFormat="1" x14ac:dyDescent="0.25">
      <c r="A852" s="358"/>
      <c r="B852" s="361"/>
      <c r="C852" s="194">
        <v>211</v>
      </c>
      <c r="D852" s="194" t="s">
        <v>86</v>
      </c>
      <c r="E852" s="199" t="s">
        <v>95</v>
      </c>
      <c r="F852" s="199" t="s">
        <v>95</v>
      </c>
      <c r="G852" s="275">
        <f>MROUND(H852*L852*I852/K852,0.0000000001)</f>
        <v>0.46244483480000004</v>
      </c>
      <c r="H852" s="201">
        <f>H12</f>
        <v>921.8</v>
      </c>
      <c r="I852" s="159">
        <f>школы!$K$13</f>
        <v>2.1153999999999999E-2</v>
      </c>
      <c r="J852" s="159"/>
      <c r="K852" s="161">
        <f>школы!$G$13</f>
        <v>506</v>
      </c>
      <c r="L852" s="202">
        <v>12</v>
      </c>
      <c r="M852" s="163" t="str">
        <f>CONCATENATE(H852," ",F852," ","в мес.","*",L852,"мес.","*",I852,"/",K852,"чел.")</f>
        <v>921,8 шт.ед в мес.*12мес.*0,021154/506чел.</v>
      </c>
      <c r="N852" s="164">
        <f>N12</f>
        <v>12498.552905979601</v>
      </c>
      <c r="O852" s="165">
        <f>MROUND(G852*N852,0.000000001)</f>
        <v>5779.891233845</v>
      </c>
      <c r="P852" s="166"/>
      <c r="Q852" s="166">
        <f t="shared" si="188"/>
        <v>2924624.96432557</v>
      </c>
      <c r="R852" s="71"/>
    </row>
    <row r="853" spans="1:18" s="62" customFormat="1" x14ac:dyDescent="0.25">
      <c r="A853" s="358"/>
      <c r="B853" s="361"/>
      <c r="C853" s="203" t="s">
        <v>288</v>
      </c>
      <c r="D853" s="203"/>
      <c r="E853" s="204"/>
      <c r="F853" s="204"/>
      <c r="G853" s="205"/>
      <c r="H853" s="206"/>
      <c r="I853" s="206"/>
      <c r="J853" s="206"/>
      <c r="K853" s="207"/>
      <c r="L853" s="208"/>
      <c r="M853" s="209"/>
      <c r="N853" s="210">
        <f>N852</f>
        <v>12498.552905979601</v>
      </c>
      <c r="O853" s="198">
        <f>O852</f>
        <v>5779.891233845</v>
      </c>
      <c r="P853" s="267"/>
      <c r="Q853" s="166"/>
      <c r="R853" s="71"/>
    </row>
    <row r="854" spans="1:18" s="61" customFormat="1" x14ac:dyDescent="0.25">
      <c r="A854" s="358"/>
      <c r="B854" s="361"/>
      <c r="C854" s="194">
        <v>213</v>
      </c>
      <c r="D854" s="194" t="s">
        <v>87</v>
      </c>
      <c r="E854" s="194" t="s">
        <v>88</v>
      </c>
      <c r="F854" s="194"/>
      <c r="G854" s="211">
        <v>30.2</v>
      </c>
      <c r="H854" s="159"/>
      <c r="I854" s="159"/>
      <c r="J854" s="159"/>
      <c r="K854" s="161">
        <f>K852</f>
        <v>506</v>
      </c>
      <c r="L854" s="202"/>
      <c r="M854" s="212"/>
      <c r="N854" s="164"/>
      <c r="O854" s="165">
        <f>MROUND(O852*0.302,0.000001)</f>
        <v>1745.527153</v>
      </c>
      <c r="P854" s="166"/>
      <c r="Q854" s="166">
        <f>O854*K854</f>
        <v>883236.73941799998</v>
      </c>
      <c r="R854" s="71"/>
    </row>
    <row r="855" spans="1:18" s="62" customFormat="1" x14ac:dyDescent="0.25">
      <c r="A855" s="358"/>
      <c r="B855" s="361"/>
      <c r="C855" s="203" t="s">
        <v>289</v>
      </c>
      <c r="D855" s="203"/>
      <c r="E855" s="203"/>
      <c r="F855" s="203"/>
      <c r="G855" s="213"/>
      <c r="H855" s="214"/>
      <c r="I855" s="206"/>
      <c r="J855" s="214"/>
      <c r="K855" s="207"/>
      <c r="L855" s="215"/>
      <c r="M855" s="216"/>
      <c r="N855" s="210"/>
      <c r="O855" s="198">
        <f>O854</f>
        <v>1745.527153</v>
      </c>
      <c r="P855" s="267"/>
      <c r="Q855" s="166"/>
      <c r="R855" s="71"/>
    </row>
    <row r="856" spans="1:18" s="61" customFormat="1" x14ac:dyDescent="0.25">
      <c r="A856" s="358"/>
      <c r="B856" s="361"/>
      <c r="C856" s="194"/>
      <c r="D856" s="356" t="s">
        <v>63</v>
      </c>
      <c r="E856" s="356"/>
      <c r="F856" s="356"/>
      <c r="G856" s="356"/>
      <c r="H856" s="195"/>
      <c r="I856" s="159"/>
      <c r="J856" s="195"/>
      <c r="K856" s="161"/>
      <c r="L856" s="196"/>
      <c r="M856" s="197"/>
      <c r="N856" s="164"/>
      <c r="O856" s="165"/>
      <c r="P856" s="166"/>
      <c r="Q856" s="166"/>
      <c r="R856" s="71"/>
    </row>
    <row r="857" spans="1:18" s="61" customFormat="1" x14ac:dyDescent="0.25">
      <c r="A857" s="358"/>
      <c r="B857" s="361"/>
      <c r="C857" s="194"/>
      <c r="D857" s="194"/>
      <c r="E857" s="194"/>
      <c r="F857" s="194"/>
      <c r="G857" s="217"/>
      <c r="H857" s="195"/>
      <c r="I857" s="159"/>
      <c r="J857" s="195"/>
      <c r="K857" s="161"/>
      <c r="L857" s="196"/>
      <c r="M857" s="197"/>
      <c r="N857" s="164"/>
      <c r="O857" s="165"/>
      <c r="P857" s="166"/>
      <c r="Q857" s="166"/>
      <c r="R857" s="71"/>
    </row>
    <row r="858" spans="1:18" s="61" customFormat="1" x14ac:dyDescent="0.25">
      <c r="A858" s="358"/>
      <c r="B858" s="361"/>
      <c r="C858" s="194"/>
      <c r="D858" s="350" t="s">
        <v>64</v>
      </c>
      <c r="E858" s="350"/>
      <c r="F858" s="350"/>
      <c r="G858" s="350"/>
      <c r="H858" s="195"/>
      <c r="I858" s="159"/>
      <c r="J858" s="195"/>
      <c r="K858" s="161"/>
      <c r="L858" s="196"/>
      <c r="M858" s="197"/>
      <c r="N858" s="164"/>
      <c r="O858" s="165"/>
      <c r="P858" s="166"/>
      <c r="Q858" s="166"/>
      <c r="R858" s="71"/>
    </row>
    <row r="859" spans="1:18" s="61" customFormat="1" x14ac:dyDescent="0.25">
      <c r="A859" s="358"/>
      <c r="B859" s="361"/>
      <c r="C859" s="194"/>
      <c r="D859" s="194"/>
      <c r="E859" s="194"/>
      <c r="F859" s="194"/>
      <c r="G859" s="217"/>
      <c r="H859" s="195"/>
      <c r="I859" s="159"/>
      <c r="J859" s="195"/>
      <c r="K859" s="161"/>
      <c r="L859" s="196"/>
      <c r="M859" s="197"/>
      <c r="N859" s="164"/>
      <c r="O859" s="165"/>
      <c r="P859" s="166"/>
      <c r="Q859" s="166"/>
      <c r="R859" s="71"/>
    </row>
    <row r="860" spans="1:18" s="61" customFormat="1" x14ac:dyDescent="0.25">
      <c r="A860" s="358"/>
      <c r="B860" s="361"/>
      <c r="C860" s="194"/>
      <c r="D860" s="355" t="s">
        <v>5</v>
      </c>
      <c r="E860" s="355"/>
      <c r="F860" s="355"/>
      <c r="G860" s="355"/>
      <c r="H860" s="195"/>
      <c r="I860" s="159"/>
      <c r="J860" s="195"/>
      <c r="K860" s="161"/>
      <c r="L860" s="196"/>
      <c r="M860" s="197"/>
      <c r="N860" s="164"/>
      <c r="O860" s="198">
        <f>O861+O871+O882+O884+O886+O888+O890</f>
        <v>40142.712017021251</v>
      </c>
      <c r="P860" s="166"/>
      <c r="Q860" s="166"/>
      <c r="R860" s="71"/>
    </row>
    <row r="861" spans="1:18" s="61" customFormat="1" x14ac:dyDescent="0.25">
      <c r="A861" s="358"/>
      <c r="B861" s="361"/>
      <c r="C861" s="221" t="s">
        <v>70</v>
      </c>
      <c r="D861" s="355" t="s">
        <v>6</v>
      </c>
      <c r="E861" s="355"/>
      <c r="F861" s="355"/>
      <c r="G861" s="355"/>
      <c r="H861" s="189"/>
      <c r="I861" s="159"/>
      <c r="J861" s="189"/>
      <c r="K861" s="161"/>
      <c r="L861" s="190"/>
      <c r="M861" s="197"/>
      <c r="N861" s="210"/>
      <c r="O861" s="198">
        <f>O870</f>
        <v>7232.3418543399994</v>
      </c>
      <c r="P861" s="166"/>
      <c r="Q861" s="166"/>
      <c r="R861" s="71"/>
    </row>
    <row r="862" spans="1:18" s="61" customFormat="1" ht="31.5" x14ac:dyDescent="0.25">
      <c r="A862" s="358"/>
      <c r="B862" s="361"/>
      <c r="C862" s="221" t="s">
        <v>72</v>
      </c>
      <c r="D862" s="222" t="s">
        <v>7</v>
      </c>
      <c r="E862" s="223" t="s">
        <v>8</v>
      </c>
      <c r="F862" s="223" t="s">
        <v>8</v>
      </c>
      <c r="G862" s="238">
        <f>MROUND(H862*L862*I862/K862,0.00000000001)</f>
        <v>138.50942817146</v>
      </c>
      <c r="H862" s="160">
        <f>H142</f>
        <v>3313121.4264326878</v>
      </c>
      <c r="I862" s="159">
        <f>I852</f>
        <v>2.1153999999999999E-2</v>
      </c>
      <c r="J862" s="160"/>
      <c r="K862" s="161">
        <f>K852</f>
        <v>506</v>
      </c>
      <c r="L862" s="250">
        <v>1</v>
      </c>
      <c r="M862" s="163" t="str">
        <f t="shared" ref="M862:M867" si="189">CONCATENATE(H862," ",F862,"(лимиты выделенные УЖКХ) ","*",I862,"/",K862,"чел.")</f>
        <v>3313121,42643269 кВт час.(лимиты выделенные УЖКХ) *0,021154/506чел.</v>
      </c>
      <c r="N862" s="164">
        <f>N142</f>
        <v>10.418446162163715</v>
      </c>
      <c r="O862" s="165">
        <f t="shared" ref="O862:O869" si="190">MROUND(G862*N862,0.000001)</f>
        <v>1443.0530199999998</v>
      </c>
      <c r="P862" s="166"/>
      <c r="Q862" s="166">
        <f t="shared" si="188"/>
        <v>730184.82811999996</v>
      </c>
      <c r="R862" s="71"/>
    </row>
    <row r="863" spans="1:18" s="61" customFormat="1" ht="31.5" x14ac:dyDescent="0.25">
      <c r="A863" s="358"/>
      <c r="B863" s="361"/>
      <c r="C863" s="221" t="s">
        <v>73</v>
      </c>
      <c r="D863" s="222" t="s">
        <v>9</v>
      </c>
      <c r="E863" s="223" t="s">
        <v>10</v>
      </c>
      <c r="F863" s="223" t="s">
        <v>10</v>
      </c>
      <c r="G863" s="238">
        <f>MROUND(H863*L863*I863/K863,0.00000000001)</f>
        <v>1.33351262462</v>
      </c>
      <c r="H863" s="160">
        <f t="shared" ref="H863:H868" si="191">H23</f>
        <v>31897.39</v>
      </c>
      <c r="I863" s="159">
        <f t="shared" ref="I863:I915" si="192">I862</f>
        <v>2.1153999999999999E-2</v>
      </c>
      <c r="J863" s="160"/>
      <c r="K863" s="161">
        <f t="shared" ref="K863:K869" si="193">K862</f>
        <v>506</v>
      </c>
      <c r="L863" s="250">
        <v>1</v>
      </c>
      <c r="M863" s="163" t="str">
        <f t="shared" si="189"/>
        <v>31897,39 Гкал(лимиты выделенные УЖКХ) *0,021154/506чел.</v>
      </c>
      <c r="N863" s="164">
        <f t="shared" ref="N863:N868" si="194">N23</f>
        <v>2845.3650600830792</v>
      </c>
      <c r="O863" s="165">
        <f t="shared" si="190"/>
        <v>3794.3302289999997</v>
      </c>
      <c r="P863" s="166"/>
      <c r="Q863" s="166">
        <f t="shared" si="188"/>
        <v>1919931.0958739999</v>
      </c>
      <c r="R863" s="71"/>
    </row>
    <row r="864" spans="1:18" s="61" customFormat="1" ht="31.5" x14ac:dyDescent="0.25">
      <c r="A864" s="358"/>
      <c r="B864" s="361"/>
      <c r="C864" s="364" t="s">
        <v>74</v>
      </c>
      <c r="D864" s="222" t="s">
        <v>12</v>
      </c>
      <c r="E864" s="222" t="s">
        <v>11</v>
      </c>
      <c r="F864" s="222" t="s">
        <v>11</v>
      </c>
      <c r="G864" s="238">
        <f>MROUND(H864*L864*I864/K864,0.00000000001)</f>
        <v>7.7226803284199992</v>
      </c>
      <c r="H864" s="224">
        <f t="shared" si="191"/>
        <v>184725.17</v>
      </c>
      <c r="I864" s="159">
        <f t="shared" si="192"/>
        <v>2.1153999999999999E-2</v>
      </c>
      <c r="J864" s="160"/>
      <c r="K864" s="161">
        <f t="shared" si="193"/>
        <v>506</v>
      </c>
      <c r="L864" s="250">
        <v>1</v>
      </c>
      <c r="M864" s="163" t="str">
        <f t="shared" si="189"/>
        <v>184725,17 м3(лимиты выделенные УЖКХ) *0,021154/506чел.</v>
      </c>
      <c r="N864" s="164">
        <f t="shared" si="194"/>
        <v>51.830000102314166</v>
      </c>
      <c r="O864" s="165">
        <f t="shared" si="190"/>
        <v>400.26652200000001</v>
      </c>
      <c r="P864" s="166"/>
      <c r="Q864" s="166">
        <f t="shared" si="188"/>
        <v>202534.860132</v>
      </c>
      <c r="R864" s="71"/>
    </row>
    <row r="865" spans="1:18" s="61" customFormat="1" ht="47.25" x14ac:dyDescent="0.25">
      <c r="A865" s="358"/>
      <c r="B865" s="361"/>
      <c r="C865" s="364"/>
      <c r="D865" s="222" t="s">
        <v>17</v>
      </c>
      <c r="E865" s="222" t="s">
        <v>11</v>
      </c>
      <c r="F865" s="222" t="s">
        <v>11</v>
      </c>
      <c r="G865" s="238">
        <f>MROUND(H865*L865*I865/K865,0.00000000001)</f>
        <v>7.7226803284199992</v>
      </c>
      <c r="H865" s="160">
        <f t="shared" si="191"/>
        <v>184725.17</v>
      </c>
      <c r="I865" s="159">
        <f t="shared" si="192"/>
        <v>2.1153999999999999E-2</v>
      </c>
      <c r="J865" s="160"/>
      <c r="K865" s="161">
        <f t="shared" si="193"/>
        <v>506</v>
      </c>
      <c r="L865" s="162">
        <f>$L$25</f>
        <v>1</v>
      </c>
      <c r="M865" s="163" t="str">
        <f t="shared" si="189"/>
        <v>184725,17 м3(лимиты выделенные УЖКХ) *0,021154/506чел.</v>
      </c>
      <c r="N865" s="164">
        <f t="shared" si="194"/>
        <v>78.76115753094173</v>
      </c>
      <c r="O865" s="165">
        <f t="shared" si="190"/>
        <v>608.24724200000003</v>
      </c>
      <c r="P865" s="166"/>
      <c r="Q865" s="166">
        <f t="shared" si="188"/>
        <v>307773.104452</v>
      </c>
      <c r="R865" s="71"/>
    </row>
    <row r="866" spans="1:18" s="61" customFormat="1" ht="31.5" x14ac:dyDescent="0.25">
      <c r="A866" s="358"/>
      <c r="B866" s="361"/>
      <c r="C866" s="364"/>
      <c r="D866" s="222" t="s">
        <v>13</v>
      </c>
      <c r="E866" s="222" t="s">
        <v>11</v>
      </c>
      <c r="F866" s="222" t="s">
        <v>11</v>
      </c>
      <c r="G866" s="238">
        <f>MROUND(H866*L866*I866/K866,0.00000000001)</f>
        <v>7.7226803284199992</v>
      </c>
      <c r="H866" s="160">
        <f t="shared" si="191"/>
        <v>184725.17</v>
      </c>
      <c r="I866" s="159">
        <f t="shared" si="192"/>
        <v>2.1153999999999999E-2</v>
      </c>
      <c r="J866" s="160"/>
      <c r="K866" s="161">
        <f t="shared" si="193"/>
        <v>506</v>
      </c>
      <c r="L866" s="162">
        <v>1</v>
      </c>
      <c r="M866" s="163" t="str">
        <f t="shared" si="189"/>
        <v>184725,17 м3(лимиты выделенные УЖКХ) *0,021154/506чел.</v>
      </c>
      <c r="N866" s="164">
        <f t="shared" si="194"/>
        <v>107.41979263410609</v>
      </c>
      <c r="O866" s="165">
        <f>MROUND(G866*N866,0.00000001)</f>
        <v>829.56871946000001</v>
      </c>
      <c r="P866" s="166"/>
      <c r="Q866" s="166">
        <f t="shared" si="188"/>
        <v>419761.77204676002</v>
      </c>
      <c r="R866" s="71"/>
    </row>
    <row r="867" spans="1:18" s="61" customFormat="1" ht="31.5" x14ac:dyDescent="0.25">
      <c r="A867" s="358"/>
      <c r="B867" s="361"/>
      <c r="C867" s="221" t="s">
        <v>75</v>
      </c>
      <c r="D867" s="222" t="s">
        <v>18</v>
      </c>
      <c r="E867" s="222" t="s">
        <v>48</v>
      </c>
      <c r="F867" s="222" t="s">
        <v>48</v>
      </c>
      <c r="G867" s="238">
        <f>MROUND(H867*L867*I867/K867,0.0000000001)</f>
        <v>0.58058950669999998</v>
      </c>
      <c r="H867" s="160">
        <f t="shared" si="191"/>
        <v>13887.6</v>
      </c>
      <c r="I867" s="159">
        <f t="shared" si="192"/>
        <v>2.1153999999999999E-2</v>
      </c>
      <c r="J867" s="160"/>
      <c r="K867" s="161">
        <f t="shared" si="193"/>
        <v>506</v>
      </c>
      <c r="L867" s="250">
        <v>1</v>
      </c>
      <c r="M867" s="163" t="str">
        <f t="shared" si="189"/>
        <v>13887,6 тыс. м3(лимиты выделенные УЖКХ) *0,021154/506чел.</v>
      </c>
      <c r="N867" s="164">
        <f t="shared" si="194"/>
        <v>29.231582850888564</v>
      </c>
      <c r="O867" s="165">
        <f t="shared" si="190"/>
        <v>16.971550000000001</v>
      </c>
      <c r="P867" s="166"/>
      <c r="Q867" s="166">
        <f t="shared" si="188"/>
        <v>8587.6043000000009</v>
      </c>
      <c r="R867" s="71"/>
    </row>
    <row r="868" spans="1:18" s="61" customFormat="1" x14ac:dyDescent="0.25">
      <c r="A868" s="358"/>
      <c r="B868" s="361"/>
      <c r="C868" s="364" t="s">
        <v>216</v>
      </c>
      <c r="D868" s="222" t="s">
        <v>23</v>
      </c>
      <c r="E868" s="222" t="s">
        <v>11</v>
      </c>
      <c r="F868" s="222" t="s">
        <v>11</v>
      </c>
      <c r="G868" s="238">
        <f>MROUND(H868*L868*I868/K868,0.000000000001)</f>
        <v>0.140830455652</v>
      </c>
      <c r="H868" s="160">
        <f t="shared" si="191"/>
        <v>3368.6400000000003</v>
      </c>
      <c r="I868" s="159">
        <f t="shared" si="192"/>
        <v>2.1153999999999999E-2</v>
      </c>
      <c r="J868" s="160"/>
      <c r="K868" s="161">
        <f t="shared" si="193"/>
        <v>506</v>
      </c>
      <c r="L868" s="162">
        <f>L867</f>
        <v>1</v>
      </c>
      <c r="M868" s="163" t="str">
        <f>CONCATENATE(H868," ",F868," ","*",I868,"/",K868,"чел.")</f>
        <v>3368,64 м3 *0,021154/506чел.</v>
      </c>
      <c r="N868" s="164">
        <f t="shared" si="194"/>
        <v>742.21370939013957</v>
      </c>
      <c r="O868" s="165">
        <f>MROUND(G868*N868,0.00000001)</f>
        <v>104.52629488000001</v>
      </c>
      <c r="P868" s="166"/>
      <c r="Q868" s="166">
        <f t="shared" si="188"/>
        <v>52890.305209280006</v>
      </c>
      <c r="R868" s="71"/>
    </row>
    <row r="869" spans="1:18" s="61" customFormat="1" ht="47.25" x14ac:dyDescent="0.25">
      <c r="A869" s="358"/>
      <c r="B869" s="361"/>
      <c r="C869" s="364"/>
      <c r="D869" s="222" t="s">
        <v>24</v>
      </c>
      <c r="E869" s="222" t="s">
        <v>25</v>
      </c>
      <c r="F869" s="222" t="s">
        <v>217</v>
      </c>
      <c r="G869" s="238">
        <f>MROUND(H869*L869*I869/K869,0.000000000001)</f>
        <v>6.1455296440000003E-3</v>
      </c>
      <c r="H869" s="160">
        <f>H149</f>
        <v>147</v>
      </c>
      <c r="I869" s="159">
        <f t="shared" si="192"/>
        <v>2.1153999999999999E-2</v>
      </c>
      <c r="J869" s="160"/>
      <c r="K869" s="161">
        <f t="shared" si="193"/>
        <v>506</v>
      </c>
      <c r="L869" s="250">
        <f>L868</f>
        <v>1</v>
      </c>
      <c r="M869" s="163" t="str">
        <f>CONCATENATE(H869," ",F869,"(потребность из расчета 4 контейнера для уборки территории весной и осенью на 1 учреждение)","*",I869,"/",K869,"чел.")</f>
        <v>147 контейнера(потребность из расчета 4 контейнера для уборки территории весной и осенью на 1 учреждение)*0,021154/506чел.</v>
      </c>
      <c r="N869" s="164">
        <f>N149</f>
        <v>5756.7497959183638</v>
      </c>
      <c r="O869" s="165">
        <f t="shared" si="190"/>
        <v>35.378276999999997</v>
      </c>
      <c r="P869" s="166"/>
      <c r="Q869" s="166">
        <f t="shared" si="188"/>
        <v>17901.408162</v>
      </c>
      <c r="R869" s="71"/>
    </row>
    <row r="870" spans="1:18" s="62" customFormat="1" x14ac:dyDescent="0.25">
      <c r="A870" s="358"/>
      <c r="B870" s="361"/>
      <c r="C870" s="218" t="s">
        <v>290</v>
      </c>
      <c r="D870" s="226"/>
      <c r="E870" s="226"/>
      <c r="F870" s="226"/>
      <c r="G870" s="227"/>
      <c r="H870" s="228"/>
      <c r="I870" s="206"/>
      <c r="J870" s="228"/>
      <c r="K870" s="207"/>
      <c r="L870" s="257"/>
      <c r="M870" s="209"/>
      <c r="N870" s="210"/>
      <c r="O870" s="198">
        <f>SUM(O862:O869)</f>
        <v>7232.3418543399994</v>
      </c>
      <c r="P870" s="267"/>
      <c r="Q870" s="166"/>
      <c r="R870" s="71"/>
    </row>
    <row r="871" spans="1:18" s="61" customFormat="1" x14ac:dyDescent="0.25">
      <c r="A871" s="358"/>
      <c r="B871" s="361"/>
      <c r="C871" s="221"/>
      <c r="D871" s="356" t="s">
        <v>14</v>
      </c>
      <c r="E871" s="356"/>
      <c r="F871" s="356"/>
      <c r="G871" s="356"/>
      <c r="H871" s="188"/>
      <c r="I871" s="159"/>
      <c r="J871" s="188"/>
      <c r="K871" s="161"/>
      <c r="L871" s="250"/>
      <c r="M871" s="230"/>
      <c r="N871" s="164"/>
      <c r="O871" s="198">
        <f>O879+O880+O875</f>
        <v>30119.977168361249</v>
      </c>
      <c r="P871" s="166"/>
      <c r="Q871" s="166"/>
      <c r="R871" s="71"/>
    </row>
    <row r="872" spans="1:18" s="61" customFormat="1" x14ac:dyDescent="0.25">
      <c r="A872" s="358"/>
      <c r="B872" s="361"/>
      <c r="C872" s="221" t="s">
        <v>379</v>
      </c>
      <c r="D872" s="231" t="s">
        <v>49</v>
      </c>
      <c r="E872" s="231" t="s">
        <v>22</v>
      </c>
      <c r="F872" s="231" t="s">
        <v>22</v>
      </c>
      <c r="G872" s="238">
        <f>MROUND(H872*L872*I872/K872,0.000000001)</f>
        <v>0</v>
      </c>
      <c r="H872" s="160"/>
      <c r="I872" s="159">
        <f>I867</f>
        <v>2.1153999999999999E-2</v>
      </c>
      <c r="J872" s="160"/>
      <c r="K872" s="161">
        <f>K867</f>
        <v>506</v>
      </c>
      <c r="L872" s="250"/>
      <c r="M872" s="163"/>
      <c r="N872" s="164">
        <f>N32</f>
        <v>0</v>
      </c>
      <c r="O872" s="165">
        <f>MROUND(G872*N872,0.00000001)</f>
        <v>0</v>
      </c>
      <c r="P872" s="166"/>
      <c r="Q872" s="166">
        <f t="shared" si="188"/>
        <v>0</v>
      </c>
      <c r="R872" s="71"/>
    </row>
    <row r="873" spans="1:18" s="61" customFormat="1" x14ac:dyDescent="0.25">
      <c r="A873" s="358"/>
      <c r="B873" s="361"/>
      <c r="C873" s="221" t="s">
        <v>379</v>
      </c>
      <c r="D873" s="231" t="s">
        <v>49</v>
      </c>
      <c r="E873" s="231" t="s">
        <v>28</v>
      </c>
      <c r="F873" s="231" t="s">
        <v>28</v>
      </c>
      <c r="G873" s="238">
        <f>MROUND(H873*L873*I873/K873,0.00000000000001)</f>
        <v>2.0903162054999999E-4</v>
      </c>
      <c r="H873" s="160">
        <f>H33</f>
        <v>5</v>
      </c>
      <c r="I873" s="159">
        <f t="shared" si="192"/>
        <v>2.1153999999999999E-2</v>
      </c>
      <c r="J873" s="160"/>
      <c r="K873" s="161">
        <f>K872</f>
        <v>506</v>
      </c>
      <c r="L873" s="250">
        <v>1</v>
      </c>
      <c r="M873" s="163" t="str">
        <f>CONCATENATE(H873," ",F873,"*",I873,"/",K873,"чел.")</f>
        <v>5 шт*0,021154/506чел.</v>
      </c>
      <c r="N873" s="164">
        <f>N33</f>
        <v>28120000</v>
      </c>
      <c r="O873" s="165">
        <f>MROUND(G873*N873,0.00000001)</f>
        <v>5877.9691698699999</v>
      </c>
      <c r="P873" s="166"/>
      <c r="Q873" s="166">
        <f t="shared" si="188"/>
        <v>2974252.3999542198</v>
      </c>
      <c r="R873" s="71"/>
    </row>
    <row r="874" spans="1:18" s="61" customFormat="1" x14ac:dyDescent="0.25">
      <c r="A874" s="358"/>
      <c r="B874" s="361"/>
      <c r="C874" s="221" t="s">
        <v>379</v>
      </c>
      <c r="D874" s="231" t="s">
        <v>49</v>
      </c>
      <c r="E874" s="231" t="s">
        <v>101</v>
      </c>
      <c r="F874" s="231" t="s">
        <v>101</v>
      </c>
      <c r="G874" s="238">
        <f>MROUND(H874*L874*I874/K874,0.000000001)</f>
        <v>0</v>
      </c>
      <c r="H874" s="160"/>
      <c r="I874" s="159">
        <f t="shared" si="192"/>
        <v>2.1153999999999999E-2</v>
      </c>
      <c r="J874" s="160"/>
      <c r="K874" s="161">
        <f>K873</f>
        <v>506</v>
      </c>
      <c r="L874" s="250"/>
      <c r="M874" s="163"/>
      <c r="N874" s="164">
        <f>N34</f>
        <v>0</v>
      </c>
      <c r="O874" s="165">
        <f>MROUND(G874*N874,0.00000001)</f>
        <v>0</v>
      </c>
      <c r="P874" s="166"/>
      <c r="Q874" s="166">
        <f t="shared" si="188"/>
        <v>0</v>
      </c>
      <c r="R874" s="71"/>
    </row>
    <row r="875" spans="1:18" s="62" customFormat="1" x14ac:dyDescent="0.25">
      <c r="A875" s="358"/>
      <c r="B875" s="361"/>
      <c r="C875" s="218" t="s">
        <v>380</v>
      </c>
      <c r="D875" s="232"/>
      <c r="E875" s="232"/>
      <c r="F875" s="232"/>
      <c r="G875" s="227"/>
      <c r="H875" s="228"/>
      <c r="I875" s="206"/>
      <c r="J875" s="228"/>
      <c r="K875" s="207"/>
      <c r="L875" s="257"/>
      <c r="M875" s="209"/>
      <c r="N875" s="210"/>
      <c r="O875" s="198">
        <f>SUM(O872:O874)</f>
        <v>5877.9691698699999</v>
      </c>
      <c r="P875" s="267"/>
      <c r="Q875" s="166"/>
      <c r="R875" s="71"/>
    </row>
    <row r="876" spans="1:18" s="61" customFormat="1" x14ac:dyDescent="0.25">
      <c r="A876" s="358"/>
      <c r="B876" s="361"/>
      <c r="C876" s="221" t="s">
        <v>76</v>
      </c>
      <c r="D876" s="231" t="s">
        <v>49</v>
      </c>
      <c r="E876" s="231" t="s">
        <v>22</v>
      </c>
      <c r="F876" s="231" t="s">
        <v>22</v>
      </c>
      <c r="G876" s="238">
        <f>MROUND(H876*L876*I876/K876,0.000000000000001)</f>
        <v>3.0609344685375492</v>
      </c>
      <c r="H876" s="160">
        <f>H36</f>
        <v>73217.02</v>
      </c>
      <c r="I876" s="159">
        <f>I872</f>
        <v>2.1153999999999999E-2</v>
      </c>
      <c r="J876" s="160"/>
      <c r="K876" s="161">
        <f>K874</f>
        <v>506</v>
      </c>
      <c r="L876" s="250">
        <v>1</v>
      </c>
      <c r="M876" s="163" t="str">
        <f>CONCATENATE(H876," ",F876,"*",I876,"/",K876,"чел.")</f>
        <v>73217,02 м2*0,021154/506чел.</v>
      </c>
      <c r="N876" s="164">
        <f>N36</f>
        <v>3335.1026185604301</v>
      </c>
      <c r="O876" s="165">
        <f>MROUND(G876*N876,0.00000000001)</f>
        <v>10208.530561261459</v>
      </c>
      <c r="P876" s="166"/>
      <c r="Q876" s="166">
        <f t="shared" si="188"/>
        <v>5165516.4639982982</v>
      </c>
      <c r="R876" s="71"/>
    </row>
    <row r="877" spans="1:18" s="61" customFormat="1" x14ac:dyDescent="0.25">
      <c r="A877" s="358"/>
      <c r="B877" s="361"/>
      <c r="C877" s="221"/>
      <c r="D877" s="231" t="s">
        <v>49</v>
      </c>
      <c r="E877" s="231" t="s">
        <v>28</v>
      </c>
      <c r="F877" s="231" t="s">
        <v>28</v>
      </c>
      <c r="G877" s="238">
        <f>MROUND(H877*L877*I877/K877,0.000000000001)</f>
        <v>0.17349624505899999</v>
      </c>
      <c r="H877" s="160">
        <f>H37</f>
        <v>4150</v>
      </c>
      <c r="I877" s="159">
        <f t="shared" si="192"/>
        <v>2.1153999999999999E-2</v>
      </c>
      <c r="J877" s="160"/>
      <c r="K877" s="161">
        <f>K876</f>
        <v>506</v>
      </c>
      <c r="L877" s="250">
        <v>1</v>
      </c>
      <c r="M877" s="163" t="str">
        <f>CONCATENATE(H877," ",F877,"*",I877,"/",K877,"чел.")</f>
        <v>4150 шт*0,021154/506чел.</v>
      </c>
      <c r="N877" s="164">
        <f>N37</f>
        <v>71617.619331325302</v>
      </c>
      <c r="O877" s="165">
        <f>MROUND(G877*N877,0.00000000001)</f>
        <v>12425.388034049789</v>
      </c>
      <c r="P877" s="166"/>
      <c r="Q877" s="166">
        <f t="shared" si="188"/>
        <v>6287246.3452291936</v>
      </c>
      <c r="R877" s="71"/>
    </row>
    <row r="878" spans="1:18" s="61" customFormat="1" x14ac:dyDescent="0.25">
      <c r="A878" s="358"/>
      <c r="B878" s="361"/>
      <c r="C878" s="221"/>
      <c r="D878" s="231" t="s">
        <v>49</v>
      </c>
      <c r="E878" s="231" t="s">
        <v>101</v>
      </c>
      <c r="F878" s="231" t="s">
        <v>101</v>
      </c>
      <c r="G878" s="238">
        <f>MROUND(H878*L878*I878/K878,0.000000001)</f>
        <v>0.59674347000000005</v>
      </c>
      <c r="H878" s="160">
        <f>H38</f>
        <v>14274</v>
      </c>
      <c r="I878" s="159">
        <f t="shared" si="192"/>
        <v>2.1153999999999999E-2</v>
      </c>
      <c r="J878" s="160"/>
      <c r="K878" s="161">
        <f>K877</f>
        <v>506</v>
      </c>
      <c r="L878" s="250">
        <v>1</v>
      </c>
      <c r="M878" s="163" t="str">
        <f>CONCATENATE(H878," ",F878,"*",I878,"/",K878,"чел.")</f>
        <v>14274 погон.м.*0,021154/506чел.</v>
      </c>
      <c r="N878" s="164">
        <f>N38</f>
        <v>2694.7750315258509</v>
      </c>
      <c r="O878" s="165">
        <f>MROUND(G878*N878,0.00000001)</f>
        <v>1608.0894031800001</v>
      </c>
      <c r="P878" s="166"/>
      <c r="Q878" s="166">
        <f t="shared" si="188"/>
        <v>813693.23800908006</v>
      </c>
      <c r="R878" s="71"/>
    </row>
    <row r="879" spans="1:18" s="62" customFormat="1" x14ac:dyDescent="0.25">
      <c r="A879" s="358"/>
      <c r="B879" s="361"/>
      <c r="C879" s="218" t="s">
        <v>291</v>
      </c>
      <c r="D879" s="232"/>
      <c r="E879" s="232"/>
      <c r="F879" s="232"/>
      <c r="G879" s="227"/>
      <c r="H879" s="228"/>
      <c r="I879" s="206"/>
      <c r="J879" s="228"/>
      <c r="K879" s="207"/>
      <c r="L879" s="257"/>
      <c r="M879" s="209"/>
      <c r="N879" s="210"/>
      <c r="O879" s="198">
        <f>SUM(O876:O878)</f>
        <v>24242.007998491248</v>
      </c>
      <c r="P879" s="267"/>
      <c r="Q879" s="166"/>
      <c r="R879" s="71"/>
    </row>
    <row r="880" spans="1:18" s="61" customFormat="1" x14ac:dyDescent="0.25">
      <c r="A880" s="358"/>
      <c r="B880" s="361"/>
      <c r="C880" s="221" t="s">
        <v>77</v>
      </c>
      <c r="D880" s="231"/>
      <c r="E880" s="231"/>
      <c r="F880" s="231"/>
      <c r="G880" s="238">
        <f>MROUND(H880*L880*I880/K880,0.00000000001)</f>
        <v>0</v>
      </c>
      <c r="H880" s="160">
        <f>H640</f>
        <v>0</v>
      </c>
      <c r="I880" s="159">
        <f>I878</f>
        <v>2.1153999999999999E-2</v>
      </c>
      <c r="J880" s="160"/>
      <c r="K880" s="161">
        <f>K878</f>
        <v>506</v>
      </c>
      <c r="L880" s="250"/>
      <c r="M880" s="163"/>
      <c r="N880" s="164">
        <f>N640</f>
        <v>0</v>
      </c>
      <c r="O880" s="165">
        <f>MROUND(G880*N880,0.000000001)</f>
        <v>0</v>
      </c>
      <c r="P880" s="166"/>
      <c r="Q880" s="166">
        <f t="shared" si="188"/>
        <v>0</v>
      </c>
      <c r="R880" s="71"/>
    </row>
    <row r="881" spans="1:41" s="62" customFormat="1" x14ac:dyDescent="0.25">
      <c r="A881" s="358"/>
      <c r="B881" s="361"/>
      <c r="C881" s="218" t="s">
        <v>292</v>
      </c>
      <c r="D881" s="232"/>
      <c r="E881" s="232"/>
      <c r="F881" s="232"/>
      <c r="G881" s="227"/>
      <c r="H881" s="228"/>
      <c r="I881" s="206"/>
      <c r="J881" s="228"/>
      <c r="K881" s="207"/>
      <c r="L881" s="257"/>
      <c r="M881" s="209"/>
      <c r="N881" s="210"/>
      <c r="O881" s="198">
        <f>O880</f>
        <v>0</v>
      </c>
      <c r="P881" s="267"/>
      <c r="Q881" s="166"/>
      <c r="R881" s="71"/>
    </row>
    <row r="882" spans="1:41" s="61" customFormat="1" x14ac:dyDescent="0.25">
      <c r="A882" s="358"/>
      <c r="B882" s="361"/>
      <c r="C882" s="221"/>
      <c r="D882" s="350" t="s">
        <v>65</v>
      </c>
      <c r="E882" s="350"/>
      <c r="F882" s="350"/>
      <c r="G882" s="350"/>
      <c r="H882" s="195"/>
      <c r="I882" s="159"/>
      <c r="J882" s="195"/>
      <c r="K882" s="161"/>
      <c r="L882" s="196"/>
      <c r="M882" s="230"/>
      <c r="N882" s="164"/>
      <c r="O882" s="165">
        <f t="shared" ref="O882:O889" si="195">MROUND(G882*N882,0.000001)</f>
        <v>0</v>
      </c>
      <c r="P882" s="166"/>
      <c r="Q882" s="166"/>
      <c r="R882" s="71"/>
    </row>
    <row r="883" spans="1:41" s="61" customFormat="1" x14ac:dyDescent="0.25">
      <c r="A883" s="358"/>
      <c r="B883" s="361"/>
      <c r="C883" s="221"/>
      <c r="D883" s="194"/>
      <c r="E883" s="194"/>
      <c r="F883" s="194"/>
      <c r="G883" s="217"/>
      <c r="H883" s="195"/>
      <c r="I883" s="159"/>
      <c r="J883" s="195"/>
      <c r="K883" s="161"/>
      <c r="L883" s="196"/>
      <c r="M883" s="230"/>
      <c r="N883" s="164"/>
      <c r="O883" s="165">
        <f t="shared" si="195"/>
        <v>0</v>
      </c>
      <c r="P883" s="166"/>
      <c r="Q883" s="166"/>
      <c r="R883" s="71"/>
    </row>
    <row r="884" spans="1:41" s="61" customFormat="1" x14ac:dyDescent="0.25">
      <c r="A884" s="358"/>
      <c r="B884" s="361"/>
      <c r="C884" s="221" t="s">
        <v>357</v>
      </c>
      <c r="D884" s="368" t="s">
        <v>66</v>
      </c>
      <c r="E884" s="368"/>
      <c r="F884" s="368"/>
      <c r="G884" s="368"/>
      <c r="H884" s="195"/>
      <c r="I884" s="159"/>
      <c r="J884" s="195"/>
      <c r="K884" s="161"/>
      <c r="L884" s="234"/>
      <c r="M884" s="230"/>
      <c r="N884" s="164"/>
      <c r="O884" s="198">
        <f>O885</f>
        <v>7.5614999999999997</v>
      </c>
      <c r="P884" s="166"/>
      <c r="Q884" s="166"/>
      <c r="R884" s="71"/>
    </row>
    <row r="885" spans="1:41" s="61" customFormat="1" ht="47.25" x14ac:dyDescent="0.25">
      <c r="A885" s="358"/>
      <c r="B885" s="361"/>
      <c r="C885" s="221"/>
      <c r="D885" s="222" t="s">
        <v>374</v>
      </c>
      <c r="E885" s="194" t="s">
        <v>28</v>
      </c>
      <c r="F885" s="194" t="s">
        <v>28</v>
      </c>
      <c r="G885" s="217">
        <f>MROUND(H885*L885*I885/K885,0.000000001)</f>
        <v>6.0201110000000007E-3</v>
      </c>
      <c r="H885" s="201">
        <f>H285</f>
        <v>36</v>
      </c>
      <c r="I885" s="159">
        <f>I880</f>
        <v>2.1153999999999999E-2</v>
      </c>
      <c r="J885" s="195"/>
      <c r="K885" s="161">
        <f>K880</f>
        <v>506</v>
      </c>
      <c r="L885" s="235">
        <f>L285</f>
        <v>4</v>
      </c>
      <c r="M885" s="163" t="str">
        <f>CONCATENATE(H885," ",F885,"*",I885,"/",K885,"чел.")</f>
        <v>36 шт*0,021154/506чел.</v>
      </c>
      <c r="N885" s="164">
        <f>N285</f>
        <v>1256.0400000000006</v>
      </c>
      <c r="O885" s="165">
        <f>MROUND(G885*N885,0.000001)</f>
        <v>7.5614999999999997</v>
      </c>
      <c r="P885" s="166"/>
      <c r="Q885" s="166">
        <f t="shared" si="188"/>
        <v>3826.1189999999997</v>
      </c>
      <c r="R885" s="71"/>
    </row>
    <row r="886" spans="1:41" s="61" customFormat="1" x14ac:dyDescent="0.25">
      <c r="A886" s="358"/>
      <c r="B886" s="361"/>
      <c r="C886" s="221"/>
      <c r="D886" s="368" t="s">
        <v>67</v>
      </c>
      <c r="E886" s="368"/>
      <c r="F886" s="368"/>
      <c r="G886" s="368"/>
      <c r="H886" s="195"/>
      <c r="I886" s="159"/>
      <c r="J886" s="195"/>
      <c r="K886" s="161"/>
      <c r="L886" s="196"/>
      <c r="M886" s="230"/>
      <c r="N886" s="164"/>
      <c r="O886" s="165">
        <f t="shared" si="195"/>
        <v>0</v>
      </c>
      <c r="P886" s="166"/>
      <c r="Q886" s="166"/>
      <c r="R886" s="71"/>
    </row>
    <row r="887" spans="1:41" s="61" customFormat="1" x14ac:dyDescent="0.25">
      <c r="A887" s="358"/>
      <c r="B887" s="361"/>
      <c r="C887" s="221"/>
      <c r="D887" s="194"/>
      <c r="E887" s="194"/>
      <c r="F887" s="194"/>
      <c r="G887" s="217"/>
      <c r="H887" s="195"/>
      <c r="I887" s="159"/>
      <c r="J887" s="195"/>
      <c r="K887" s="161"/>
      <c r="L887" s="196"/>
      <c r="M887" s="230"/>
      <c r="N887" s="164"/>
      <c r="O887" s="165">
        <f t="shared" si="195"/>
        <v>0</v>
      </c>
      <c r="P887" s="166"/>
      <c r="Q887" s="166"/>
      <c r="R887" s="71"/>
    </row>
    <row r="888" spans="1:41" s="61" customFormat="1" x14ac:dyDescent="0.25">
      <c r="A888" s="358"/>
      <c r="B888" s="361"/>
      <c r="C888" s="221"/>
      <c r="D888" s="350" t="s">
        <v>68</v>
      </c>
      <c r="E888" s="350"/>
      <c r="F888" s="350"/>
      <c r="G888" s="350"/>
      <c r="H888" s="195"/>
      <c r="I888" s="159"/>
      <c r="J888" s="195"/>
      <c r="K888" s="161"/>
      <c r="L888" s="196"/>
      <c r="M888" s="230"/>
      <c r="N888" s="164"/>
      <c r="O888" s="165">
        <f t="shared" si="195"/>
        <v>0</v>
      </c>
      <c r="P888" s="166"/>
      <c r="Q888" s="166"/>
      <c r="R888" s="71"/>
    </row>
    <row r="889" spans="1:41" s="61" customFormat="1" x14ac:dyDescent="0.25">
      <c r="A889" s="358"/>
      <c r="B889" s="361"/>
      <c r="C889" s="221"/>
      <c r="D889" s="156"/>
      <c r="E889" s="156"/>
      <c r="F889" s="156"/>
      <c r="G889" s="236"/>
      <c r="H889" s="195"/>
      <c r="I889" s="159"/>
      <c r="J889" s="195"/>
      <c r="K889" s="161"/>
      <c r="L889" s="196"/>
      <c r="M889" s="230"/>
      <c r="N889" s="164"/>
      <c r="O889" s="165">
        <f t="shared" si="195"/>
        <v>0</v>
      </c>
      <c r="P889" s="166"/>
      <c r="Q889" s="166"/>
      <c r="R889" s="71"/>
    </row>
    <row r="890" spans="1:41" s="61" customFormat="1" x14ac:dyDescent="0.25">
      <c r="A890" s="358"/>
      <c r="B890" s="361"/>
      <c r="C890" s="221"/>
      <c r="D890" s="368" t="s">
        <v>69</v>
      </c>
      <c r="E890" s="368"/>
      <c r="F890" s="368"/>
      <c r="G890" s="368"/>
      <c r="H890" s="187"/>
      <c r="I890" s="159"/>
      <c r="J890" s="187"/>
      <c r="K890" s="161"/>
      <c r="L890" s="276"/>
      <c r="M890" s="230"/>
      <c r="N890" s="164"/>
      <c r="O890" s="198">
        <f>O892+O899+O916+O918+O933+O935+O937+O962+O964+O969+O966</f>
        <v>2782.8314943200007</v>
      </c>
      <c r="P890" s="166"/>
      <c r="Q890" s="166"/>
      <c r="R890" s="71"/>
    </row>
    <row r="891" spans="1:41" s="61" customFormat="1" x14ac:dyDescent="0.25">
      <c r="A891" s="358"/>
      <c r="B891" s="361"/>
      <c r="C891" s="221">
        <v>224</v>
      </c>
      <c r="D891" s="156" t="s">
        <v>21</v>
      </c>
      <c r="E891" s="156" t="s">
        <v>22</v>
      </c>
      <c r="F891" s="156" t="s">
        <v>22</v>
      </c>
      <c r="G891" s="238">
        <f>MROUND(H891*L891*I891/K891,0.0000000001)</f>
        <v>0</v>
      </c>
      <c r="H891" s="158">
        <f>H51</f>
        <v>0</v>
      </c>
      <c r="I891" s="159">
        <f>I885</f>
        <v>2.1153999999999999E-2</v>
      </c>
      <c r="J891" s="160"/>
      <c r="K891" s="161">
        <f>K885</f>
        <v>506</v>
      </c>
      <c r="L891" s="250"/>
      <c r="M891" s="163"/>
      <c r="N891" s="164">
        <f>N171</f>
        <v>0</v>
      </c>
      <c r="O891" s="165">
        <f>MROUND(G891*N891,0.000001)</f>
        <v>0</v>
      </c>
      <c r="P891" s="166"/>
      <c r="Q891" s="166">
        <f t="shared" si="188"/>
        <v>0</v>
      </c>
      <c r="R891" s="71"/>
    </row>
    <row r="892" spans="1:41" s="62" customFormat="1" x14ac:dyDescent="0.25">
      <c r="A892" s="358"/>
      <c r="B892" s="361"/>
      <c r="C892" s="218" t="s">
        <v>293</v>
      </c>
      <c r="D892" s="240"/>
      <c r="E892" s="240"/>
      <c r="F892" s="240"/>
      <c r="G892" s="227"/>
      <c r="H892" s="241"/>
      <c r="I892" s="206"/>
      <c r="J892" s="228"/>
      <c r="K892" s="207"/>
      <c r="L892" s="257"/>
      <c r="M892" s="209"/>
      <c r="N892" s="210"/>
      <c r="O892" s="198">
        <f>SUM(O891)</f>
        <v>0</v>
      </c>
      <c r="P892" s="267"/>
      <c r="Q892" s="166"/>
      <c r="R892" s="71"/>
    </row>
    <row r="893" spans="1:41" s="61" customFormat="1" ht="31.5" x14ac:dyDescent="0.25">
      <c r="A893" s="358"/>
      <c r="B893" s="361"/>
      <c r="C893" s="364" t="s">
        <v>78</v>
      </c>
      <c r="D893" s="156" t="s">
        <v>26</v>
      </c>
      <c r="E893" s="156" t="s">
        <v>22</v>
      </c>
      <c r="F893" s="156" t="s">
        <v>22</v>
      </c>
      <c r="G893" s="238">
        <f>MROUND(H893*L893*I893/K893,0.000001)</f>
        <v>12.963305</v>
      </c>
      <c r="H893" s="158">
        <f>H53</f>
        <v>25840</v>
      </c>
      <c r="I893" s="159">
        <f>I891</f>
        <v>2.1153999999999999E-2</v>
      </c>
      <c r="J893" s="160"/>
      <c r="K893" s="161">
        <f>K891</f>
        <v>506</v>
      </c>
      <c r="L893" s="250">
        <v>12</v>
      </c>
      <c r="M893" s="163" t="str">
        <f>CONCATENATE(H893," ",F893,"(обрабатываемая площадь в мес.)","*",L893,"мес.","*",I893,"/",K893,"чел.")</f>
        <v>25840 м2(обрабатываемая площадь в мес.)*12мес.*0,021154/506чел.</v>
      </c>
      <c r="N893" s="164">
        <f>N53</f>
        <v>1.1553999935500519</v>
      </c>
      <c r="O893" s="165">
        <f t="shared" ref="O893:O898" si="196">MROUND(G893*N893,0.000001)</f>
        <v>14.977803</v>
      </c>
      <c r="P893" s="166"/>
      <c r="Q893" s="166">
        <f t="shared" si="188"/>
        <v>7578.7683179999995</v>
      </c>
      <c r="R893" s="71"/>
    </row>
    <row r="894" spans="1:41" s="61" customFormat="1" ht="31.5" x14ac:dyDescent="0.25">
      <c r="A894" s="358"/>
      <c r="B894" s="361"/>
      <c r="C894" s="364"/>
      <c r="D894" s="156" t="s">
        <v>96</v>
      </c>
      <c r="E894" s="156" t="s">
        <v>22</v>
      </c>
      <c r="F894" s="156" t="s">
        <v>22</v>
      </c>
      <c r="G894" s="238">
        <f>MROUND(H894*L894*I894/K894,0.000001)</f>
        <v>6.7099149999999996</v>
      </c>
      <c r="H894" s="158">
        <f>H54</f>
        <v>13375</v>
      </c>
      <c r="I894" s="159">
        <f t="shared" si="192"/>
        <v>2.1153999999999999E-2</v>
      </c>
      <c r="J894" s="160"/>
      <c r="K894" s="161">
        <f>K893</f>
        <v>506</v>
      </c>
      <c r="L894" s="250">
        <v>12</v>
      </c>
      <c r="M894" s="163" t="str">
        <f>CONCATENATE(H894," ",F894,"(обрабатываемая площадь в мес.)","*",L894,"мес.","*",I894,"/",K894,"чел.")</f>
        <v>13375 м2(обрабатываемая площадь в мес.)*12мес.*0,021154/506чел.</v>
      </c>
      <c r="N894" s="164">
        <f>N54</f>
        <v>1.8530000000000004</v>
      </c>
      <c r="O894" s="165">
        <f t="shared" si="196"/>
        <v>12.433472</v>
      </c>
      <c r="P894" s="166"/>
      <c r="Q894" s="166">
        <f t="shared" si="188"/>
        <v>6291.336832</v>
      </c>
      <c r="R894" s="71"/>
    </row>
    <row r="895" spans="1:41" s="135" customFormat="1" ht="31.5" x14ac:dyDescent="0.25">
      <c r="A895" s="358"/>
      <c r="B895" s="361"/>
      <c r="C895" s="364"/>
      <c r="D895" s="156" t="s">
        <v>385</v>
      </c>
      <c r="E895" s="156" t="s">
        <v>22</v>
      </c>
      <c r="F895" s="156" t="s">
        <v>22</v>
      </c>
      <c r="G895" s="238">
        <f>MROUND(H895*L895*I895/K895,0.000001)</f>
        <v>13.419829999999999</v>
      </c>
      <c r="H895" s="242">
        <f>$H$55</f>
        <v>13375</v>
      </c>
      <c r="I895" s="159">
        <f t="shared" si="192"/>
        <v>2.1153999999999999E-2</v>
      </c>
      <c r="J895" s="160"/>
      <c r="K895" s="161">
        <f>K894</f>
        <v>506</v>
      </c>
      <c r="L895" s="162">
        <v>24</v>
      </c>
      <c r="M895" s="163" t="str">
        <f>CONCATENATE(H895," ",F895,"(обрабатываемая площадь в год)","*",L895," раза в год.","*",I895,"/",K895,"чел.")</f>
        <v>13375 м2(обрабатываемая площадь в год)*24 раза в год.*0,021154/506чел.</v>
      </c>
      <c r="N895" s="164">
        <f>$N$55</f>
        <v>2.2889999999999993</v>
      </c>
      <c r="O895" s="165">
        <f t="shared" si="196"/>
        <v>30.717990999999998</v>
      </c>
      <c r="P895" s="166"/>
      <c r="Q895" s="166">
        <f t="shared" si="188"/>
        <v>15543.303445999998</v>
      </c>
      <c r="R895" s="71"/>
      <c r="S895" s="61"/>
      <c r="T895" s="61"/>
      <c r="U895" s="61"/>
      <c r="V895" s="61"/>
      <c r="W895" s="61"/>
      <c r="X895" s="61"/>
      <c r="Y895" s="61"/>
      <c r="Z895" s="61"/>
      <c r="AA895" s="61"/>
      <c r="AB895" s="61"/>
      <c r="AC895" s="61"/>
      <c r="AD895" s="61"/>
      <c r="AE895" s="61"/>
      <c r="AF895" s="61"/>
      <c r="AG895" s="61"/>
      <c r="AH895" s="61"/>
      <c r="AI895" s="61"/>
      <c r="AJ895" s="61"/>
      <c r="AK895" s="61"/>
      <c r="AL895" s="61"/>
      <c r="AM895" s="61"/>
      <c r="AN895" s="61"/>
      <c r="AO895" s="61"/>
    </row>
    <row r="896" spans="1:41" s="135" customFormat="1" ht="31.5" x14ac:dyDescent="0.25">
      <c r="A896" s="358"/>
      <c r="B896" s="361"/>
      <c r="C896" s="364"/>
      <c r="D896" s="156" t="s">
        <v>394</v>
      </c>
      <c r="E896" s="156" t="s">
        <v>22</v>
      </c>
      <c r="F896" s="156" t="s">
        <v>22</v>
      </c>
      <c r="G896" s="238">
        <f>MROUND(H896*L896*I896/K896,0.000001)</f>
        <v>12.963305</v>
      </c>
      <c r="H896" s="243">
        <f>$H$56</f>
        <v>25840</v>
      </c>
      <c r="I896" s="159">
        <f t="shared" si="192"/>
        <v>2.1153999999999999E-2</v>
      </c>
      <c r="J896" s="160"/>
      <c r="K896" s="161">
        <f>K895</f>
        <v>506</v>
      </c>
      <c r="L896" s="162">
        <v>12</v>
      </c>
      <c r="M896" s="163" t="str">
        <f>CONCATENATE(H896," ",F896,"(обрабатываемая площадь в мес.)","*",L896,"мес.","*",I896,"/",K896,"чел.")</f>
        <v>25840 м2(обрабатываемая площадь в мес.)*12мес.*0,021154/506чел.</v>
      </c>
      <c r="N896" s="164">
        <f>$N$56</f>
        <v>0.54499999999999993</v>
      </c>
      <c r="O896" s="165">
        <f t="shared" si="196"/>
        <v>7.0650009999999996</v>
      </c>
      <c r="P896" s="166"/>
      <c r="Q896" s="166">
        <f t="shared" si="188"/>
        <v>3574.8905059999997</v>
      </c>
      <c r="R896" s="71"/>
      <c r="S896" s="61"/>
      <c r="T896" s="61"/>
      <c r="U896" s="61"/>
      <c r="V896" s="61"/>
      <c r="W896" s="61"/>
      <c r="X896" s="61"/>
      <c r="Y896" s="61"/>
      <c r="Z896" s="61"/>
      <c r="AA896" s="61"/>
      <c r="AB896" s="61"/>
      <c r="AC896" s="61"/>
      <c r="AD896" s="61"/>
      <c r="AE896" s="61"/>
      <c r="AF896" s="61"/>
      <c r="AG896" s="61"/>
      <c r="AH896" s="61"/>
      <c r="AI896" s="61"/>
      <c r="AJ896" s="61"/>
      <c r="AK896" s="61"/>
      <c r="AL896" s="61"/>
      <c r="AM896" s="61"/>
      <c r="AN896" s="61"/>
      <c r="AO896" s="61"/>
    </row>
    <row r="897" spans="1:41" s="135" customFormat="1" ht="31.5" x14ac:dyDescent="0.25">
      <c r="A897" s="358"/>
      <c r="B897" s="361"/>
      <c r="C897" s="364"/>
      <c r="D897" s="156" t="s">
        <v>395</v>
      </c>
      <c r="E897" s="156" t="s">
        <v>98</v>
      </c>
      <c r="F897" s="156" t="s">
        <v>98</v>
      </c>
      <c r="G897" s="238">
        <f>MROUND(H897*L897*I897/K897,0.0000000001)</f>
        <v>7.9181180000000007E-4</v>
      </c>
      <c r="H897" s="242">
        <f>$H$57</f>
        <v>18.939999999999998</v>
      </c>
      <c r="I897" s="159">
        <f t="shared" si="192"/>
        <v>2.1153999999999999E-2</v>
      </c>
      <c r="J897" s="160"/>
      <c r="K897" s="161">
        <f>K896</f>
        <v>506</v>
      </c>
      <c r="L897" s="162">
        <v>1</v>
      </c>
      <c r="M897" s="163" t="str">
        <f>CONCATENATE(H897," ",F897,"(обрабатываемая площадь в год)","*",L897," раз в год","*",I897,"/",K897,"чел.")</f>
        <v>18,94 Га(обрабатываемая площадь в год)*1 раз в год*0,021154/506чел.</v>
      </c>
      <c r="N897" s="164">
        <f>$N$57</f>
        <v>545</v>
      </c>
      <c r="O897" s="165">
        <f t="shared" si="196"/>
        <v>0.431537</v>
      </c>
      <c r="P897" s="166"/>
      <c r="Q897" s="166">
        <f t="shared" si="188"/>
        <v>218.357722</v>
      </c>
      <c r="R897" s="71"/>
      <c r="S897" s="61"/>
      <c r="T897" s="61"/>
      <c r="U897" s="61"/>
      <c r="V897" s="61"/>
      <c r="W897" s="61"/>
      <c r="X897" s="61"/>
      <c r="Y897" s="61"/>
      <c r="Z897" s="61"/>
      <c r="AA897" s="61"/>
      <c r="AB897" s="61"/>
      <c r="AC897" s="61"/>
      <c r="AD897" s="61"/>
      <c r="AE897" s="61"/>
      <c r="AF897" s="61"/>
      <c r="AG897" s="61"/>
      <c r="AH897" s="61"/>
      <c r="AI897" s="61"/>
      <c r="AJ897" s="61"/>
      <c r="AK897" s="61"/>
      <c r="AL897" s="61"/>
      <c r="AM897" s="61"/>
      <c r="AN897" s="61"/>
      <c r="AO897" s="61"/>
    </row>
    <row r="898" spans="1:41" s="61" customFormat="1" ht="31.5" x14ac:dyDescent="0.25">
      <c r="A898" s="358"/>
      <c r="B898" s="361"/>
      <c r="C898" s="364"/>
      <c r="D898" s="156" t="s">
        <v>97</v>
      </c>
      <c r="E898" s="156" t="s">
        <v>98</v>
      </c>
      <c r="F898" s="156" t="s">
        <v>98</v>
      </c>
      <c r="G898" s="238">
        <f>MROUND(H898*L898*I898/K898,0.000000001)</f>
        <v>7.9181200000000003E-4</v>
      </c>
      <c r="H898" s="242">
        <f>H58</f>
        <v>18.939999999999998</v>
      </c>
      <c r="I898" s="244">
        <f>I894</f>
        <v>2.1153999999999999E-2</v>
      </c>
      <c r="J898" s="160"/>
      <c r="K898" s="161">
        <f>K894</f>
        <v>506</v>
      </c>
      <c r="L898" s="250">
        <v>1</v>
      </c>
      <c r="M898" s="163" t="str">
        <f>CONCATENATE(H898," ",F898,"(обрабатываемая площадь в мес.)","*",L898,"мес.","*",I898,"/",K898,"чел.")</f>
        <v>18,94 Га(обрабатываемая площадь в мес.)*1мес.*0,021154/506чел.</v>
      </c>
      <c r="N898" s="164">
        <f>N58</f>
        <v>2965.979936642027</v>
      </c>
      <c r="O898" s="165">
        <f t="shared" si="196"/>
        <v>2.3484989999999999</v>
      </c>
      <c r="P898" s="166"/>
      <c r="Q898" s="166">
        <f t="shared" si="188"/>
        <v>1188.340494</v>
      </c>
      <c r="R898" s="71"/>
    </row>
    <row r="899" spans="1:41" s="62" customFormat="1" x14ac:dyDescent="0.25">
      <c r="A899" s="358"/>
      <c r="B899" s="361"/>
      <c r="C899" s="245" t="s">
        <v>294</v>
      </c>
      <c r="D899" s="240"/>
      <c r="E899" s="240"/>
      <c r="F899" s="240"/>
      <c r="G899" s="227"/>
      <c r="H899" s="241"/>
      <c r="I899" s="206"/>
      <c r="J899" s="228"/>
      <c r="K899" s="207"/>
      <c r="L899" s="257"/>
      <c r="M899" s="209"/>
      <c r="N899" s="210"/>
      <c r="O899" s="198">
        <f>SUM(O893:O898)</f>
        <v>67.974303000000006</v>
      </c>
      <c r="P899" s="267"/>
      <c r="Q899" s="166"/>
      <c r="R899" s="71"/>
    </row>
    <row r="900" spans="1:41" s="61" customFormat="1" ht="63" x14ac:dyDescent="0.25">
      <c r="A900" s="358"/>
      <c r="B900" s="361"/>
      <c r="C900" s="365" t="s">
        <v>77</v>
      </c>
      <c r="D900" s="156" t="s">
        <v>29</v>
      </c>
      <c r="E900" s="156" t="s">
        <v>58</v>
      </c>
      <c r="F900" s="156" t="s">
        <v>218</v>
      </c>
      <c r="G900" s="238">
        <f>MROUND(H900*L900*I900/K900,0.00000001)</f>
        <v>2.5083800000000002E-3</v>
      </c>
      <c r="H900" s="158">
        <v>15</v>
      </c>
      <c r="I900" s="159">
        <f>I898</f>
        <v>2.1153999999999999E-2</v>
      </c>
      <c r="J900" s="160"/>
      <c r="K900" s="161">
        <f>K898</f>
        <v>506</v>
      </c>
      <c r="L900" s="162">
        <v>4</v>
      </c>
      <c r="M900" s="163" t="str">
        <f>CONCATENATE(H900," ",F900,"*",L900," раза в год","*",I900,"/",K900,"чел.")</f>
        <v>15 установок*4 раза в год*0,021154/506чел.</v>
      </c>
      <c r="N900" s="164">
        <f>N60</f>
        <v>721.75483333333329</v>
      </c>
      <c r="O900" s="165">
        <f t="shared" ref="O900:O915" si="197">MROUND(G900*N900,0.000001)</f>
        <v>1.810435</v>
      </c>
      <c r="P900" s="166"/>
      <c r="Q900" s="166">
        <f t="shared" si="188"/>
        <v>916.08010999999999</v>
      </c>
      <c r="R900" s="71"/>
    </row>
    <row r="901" spans="1:41" s="61" customFormat="1" ht="47.25" x14ac:dyDescent="0.25">
      <c r="A901" s="358"/>
      <c r="B901" s="361"/>
      <c r="C901" s="366"/>
      <c r="D901" s="156" t="s">
        <v>30</v>
      </c>
      <c r="E901" s="156" t="s">
        <v>58</v>
      </c>
      <c r="F901" s="156" t="s">
        <v>218</v>
      </c>
      <c r="G901" s="238">
        <f>MROUND(H901*L901*I901/K901,0.00000001)</f>
        <v>1.2541900000000001E-3</v>
      </c>
      <c r="H901" s="158">
        <v>15</v>
      </c>
      <c r="I901" s="159">
        <f t="shared" si="192"/>
        <v>2.1153999999999999E-2</v>
      </c>
      <c r="J901" s="160"/>
      <c r="K901" s="161">
        <f t="shared" ref="K901:K909" si="198">K900</f>
        <v>506</v>
      </c>
      <c r="L901" s="250">
        <v>2</v>
      </c>
      <c r="M901" s="163" t="str">
        <f>CONCATENATE(H901," ",F901,"*",L901,"полуг.","*",I901,"/",K901,"чел.")</f>
        <v>15 установок*2полуг.*0,021154/506чел.</v>
      </c>
      <c r="N901" s="164">
        <f>N181</f>
        <v>721.75266666666664</v>
      </c>
      <c r="O901" s="165">
        <f t="shared" si="197"/>
        <v>0.90521499999999999</v>
      </c>
      <c r="P901" s="166"/>
      <c r="Q901" s="166">
        <f t="shared" si="188"/>
        <v>458.03879000000001</v>
      </c>
      <c r="R901" s="71"/>
    </row>
    <row r="902" spans="1:41" s="61" customFormat="1" ht="31.5" x14ac:dyDescent="0.25">
      <c r="A902" s="358"/>
      <c r="B902" s="361"/>
      <c r="C902" s="366"/>
      <c r="D902" s="156" t="s">
        <v>397</v>
      </c>
      <c r="E902" s="156" t="s">
        <v>433</v>
      </c>
      <c r="F902" s="156" t="s">
        <v>433</v>
      </c>
      <c r="G902" s="238">
        <f>MROUND(H902*L902*I902/K902,0.000001)</f>
        <v>2.5083999999999999E-2</v>
      </c>
      <c r="H902" s="158">
        <f>H62</f>
        <v>600</v>
      </c>
      <c r="I902" s="159">
        <f t="shared" si="192"/>
        <v>2.1153999999999999E-2</v>
      </c>
      <c r="J902" s="160"/>
      <c r="K902" s="161">
        <f t="shared" si="198"/>
        <v>506</v>
      </c>
      <c r="L902" s="162">
        <v>1</v>
      </c>
      <c r="M902" s="163" t="str">
        <f>CONCATENATE(H902," ",F902,"(обрабатываемая площадь в год)","*",L902," раз в год","*",I902,"/",K902,"чел.")</f>
        <v>600 м2.(обрабатываемая площадь в год)*1 раз в год*0,021154/506чел.</v>
      </c>
      <c r="N902" s="164">
        <f>N62</f>
        <v>300</v>
      </c>
      <c r="O902" s="165">
        <f t="shared" si="197"/>
        <v>7.5251999999999999</v>
      </c>
      <c r="P902" s="166"/>
      <c r="Q902" s="166">
        <f t="shared" si="188"/>
        <v>3807.7512000000002</v>
      </c>
      <c r="R902" s="71"/>
    </row>
    <row r="903" spans="1:41" s="61" customFormat="1" ht="47.25" x14ac:dyDescent="0.25">
      <c r="A903" s="358"/>
      <c r="B903" s="361"/>
      <c r="C903" s="366"/>
      <c r="D903" s="156" t="s">
        <v>32</v>
      </c>
      <c r="E903" s="156" t="s">
        <v>55</v>
      </c>
      <c r="F903" s="156" t="s">
        <v>219</v>
      </c>
      <c r="G903" s="238">
        <f>MROUND(H903*L903*I903/K903,0.000000001)</f>
        <v>6.0201110000000007E-3</v>
      </c>
      <c r="H903" s="158">
        <f>H183</f>
        <v>36</v>
      </c>
      <c r="I903" s="159">
        <f>I902</f>
        <v>2.1153999999999999E-2</v>
      </c>
      <c r="J903" s="160"/>
      <c r="K903" s="161">
        <f t="shared" si="198"/>
        <v>506</v>
      </c>
      <c r="L903" s="250">
        <v>4</v>
      </c>
      <c r="M903" s="163" t="str">
        <f>CONCATENATE(H903," ",F903,"*",L903,"кв.","*",I903,"/",K903,"чел.")</f>
        <v>36 системы*4кв.*0,021154/506чел.</v>
      </c>
      <c r="N903" s="164">
        <f>N183</f>
        <v>6924.5277777777774</v>
      </c>
      <c r="O903" s="165">
        <f t="shared" si="197"/>
        <v>41.686425999999997</v>
      </c>
      <c r="P903" s="166"/>
      <c r="Q903" s="166">
        <f t="shared" si="188"/>
        <v>21093.331555999997</v>
      </c>
      <c r="R903" s="71"/>
    </row>
    <row r="904" spans="1:41" s="61" customFormat="1" ht="63" x14ac:dyDescent="0.25">
      <c r="A904" s="358"/>
      <c r="B904" s="361"/>
      <c r="C904" s="366"/>
      <c r="D904" s="156" t="s">
        <v>33</v>
      </c>
      <c r="E904" s="156" t="s">
        <v>56</v>
      </c>
      <c r="F904" s="156" t="s">
        <v>220</v>
      </c>
      <c r="G904" s="238">
        <f>MROUND(H904*L904*I904/K904,0.000000001)</f>
        <v>1.5050280000000001E-3</v>
      </c>
      <c r="H904" s="158">
        <f>$H$64</f>
        <v>36</v>
      </c>
      <c r="I904" s="159">
        <f>I903</f>
        <v>2.1153999999999999E-2</v>
      </c>
      <c r="J904" s="160"/>
      <c r="K904" s="161">
        <f t="shared" si="198"/>
        <v>506</v>
      </c>
      <c r="L904" s="162">
        <v>1</v>
      </c>
      <c r="M904" s="163" t="str">
        <f>CONCATENATE(H904," ",F904,"*",L904," раз в год","*",I904,"/",K904,"чел.")</f>
        <v>36 дымоходов*1 раз в год*0,021154/506чел.</v>
      </c>
      <c r="N904" s="164">
        <f t="shared" ref="N904:N910" si="199">N64</f>
        <v>6540</v>
      </c>
      <c r="O904" s="165">
        <f t="shared" si="197"/>
        <v>9.8428829999999987</v>
      </c>
      <c r="P904" s="166"/>
      <c r="Q904" s="166">
        <f t="shared" si="188"/>
        <v>4980.4987979999996</v>
      </c>
      <c r="R904" s="71"/>
    </row>
    <row r="905" spans="1:41" s="61" customFormat="1" x14ac:dyDescent="0.25">
      <c r="A905" s="358"/>
      <c r="B905" s="361"/>
      <c r="C905" s="366"/>
      <c r="D905" s="194" t="s">
        <v>398</v>
      </c>
      <c r="E905" s="156" t="s">
        <v>60</v>
      </c>
      <c r="F905" s="156" t="s">
        <v>60</v>
      </c>
      <c r="G905" s="238">
        <f>MROUND(H905*L905*I905/K905,0.000000001)</f>
        <v>1.463221E-3</v>
      </c>
      <c r="H905" s="246">
        <f>H65</f>
        <v>35</v>
      </c>
      <c r="I905" s="159">
        <f t="shared" si="192"/>
        <v>2.1153999999999999E-2</v>
      </c>
      <c r="J905" s="160"/>
      <c r="K905" s="161">
        <f t="shared" si="198"/>
        <v>506</v>
      </c>
      <c r="L905" s="250">
        <v>1</v>
      </c>
      <c r="M905" s="163" t="str">
        <f>CONCATENATE(H905," ",F905,"*",I905,"/",K905,"чел.")</f>
        <v>35 шт.*0,021154/506чел.</v>
      </c>
      <c r="N905" s="164">
        <f t="shared" si="199"/>
        <v>11009</v>
      </c>
      <c r="O905" s="165">
        <f t="shared" si="197"/>
        <v>16.108599999999999</v>
      </c>
      <c r="P905" s="166"/>
      <c r="Q905" s="166">
        <f t="shared" ref="Q905:Q968" si="200">O905*K905</f>
        <v>8150.9515999999994</v>
      </c>
      <c r="R905" s="71"/>
    </row>
    <row r="906" spans="1:41" s="61" customFormat="1" ht="47.25" x14ac:dyDescent="0.25">
      <c r="A906" s="358"/>
      <c r="B906" s="361"/>
      <c r="C906" s="366"/>
      <c r="D906" s="156" t="s">
        <v>401</v>
      </c>
      <c r="E906" s="156" t="s">
        <v>60</v>
      </c>
      <c r="F906" s="156" t="s">
        <v>402</v>
      </c>
      <c r="G906" s="238">
        <f>MROUND(H906*L906*I906/K906,0.000001)</f>
        <v>2.9259999999999998E-3</v>
      </c>
      <c r="H906" s="246">
        <f>H66</f>
        <v>35</v>
      </c>
      <c r="I906" s="159">
        <f t="shared" si="192"/>
        <v>2.1153999999999999E-2</v>
      </c>
      <c r="J906" s="160"/>
      <c r="K906" s="161">
        <f t="shared" si="198"/>
        <v>506</v>
      </c>
      <c r="L906" s="162">
        <v>2</v>
      </c>
      <c r="M906" s="163" t="str">
        <f>CONCATENATE(H906," ",F906,"*",L906," раз в год","*",I906,"/",K906,"чел.")</f>
        <v>35 противопожарных водопроводов*2 раз в год*0,021154/506чел.</v>
      </c>
      <c r="N906" s="164">
        <f t="shared" si="199"/>
        <v>5450</v>
      </c>
      <c r="O906" s="165">
        <f t="shared" si="197"/>
        <v>15.9467</v>
      </c>
      <c r="P906" s="166"/>
      <c r="Q906" s="166">
        <f t="shared" si="200"/>
        <v>8069.0302000000001</v>
      </c>
      <c r="R906" s="71"/>
    </row>
    <row r="907" spans="1:41" s="61" customFormat="1" ht="31.5" x14ac:dyDescent="0.25">
      <c r="A907" s="358"/>
      <c r="B907" s="361"/>
      <c r="C907" s="366"/>
      <c r="D907" s="156" t="s">
        <v>221</v>
      </c>
      <c r="E907" s="156" t="s">
        <v>60</v>
      </c>
      <c r="F907" s="156" t="s">
        <v>60</v>
      </c>
      <c r="G907" s="238">
        <f>MROUND(H907*L907*I907/K907,0.000000001)</f>
        <v>9.0301660000000009E-3</v>
      </c>
      <c r="H907" s="158">
        <f>H67</f>
        <v>18</v>
      </c>
      <c r="I907" s="159">
        <f t="shared" si="192"/>
        <v>2.1153999999999999E-2</v>
      </c>
      <c r="J907" s="160"/>
      <c r="K907" s="161">
        <f t="shared" si="198"/>
        <v>506</v>
      </c>
      <c r="L907" s="250">
        <v>12</v>
      </c>
      <c r="M907" s="163" t="str">
        <f>CONCATENATE(H907," ",F907,"*",L907,"мес.","*",I907,"/",K907,"чел.")</f>
        <v>18 шт.*12мес.*0,021154/506чел.</v>
      </c>
      <c r="N907" s="164">
        <f t="shared" si="199"/>
        <v>6288.0888888888885</v>
      </c>
      <c r="O907" s="165">
        <f t="shared" si="197"/>
        <v>56.782485999999999</v>
      </c>
      <c r="P907" s="166"/>
      <c r="Q907" s="166">
        <f t="shared" si="200"/>
        <v>28731.937915999999</v>
      </c>
      <c r="R907" s="71"/>
    </row>
    <row r="908" spans="1:41" s="61" customFormat="1" ht="47.25" x14ac:dyDescent="0.25">
      <c r="A908" s="358"/>
      <c r="B908" s="361"/>
      <c r="C908" s="366"/>
      <c r="D908" s="156" t="s">
        <v>34</v>
      </c>
      <c r="E908" s="156" t="s">
        <v>59</v>
      </c>
      <c r="F908" s="156" t="s">
        <v>28</v>
      </c>
      <c r="G908" s="238">
        <f>MROUND(H908*L908*I908/K908,0.0000000001)</f>
        <v>8.36126E-5</v>
      </c>
      <c r="H908" s="158">
        <f>H68</f>
        <v>2</v>
      </c>
      <c r="I908" s="159">
        <f t="shared" si="192"/>
        <v>2.1153999999999999E-2</v>
      </c>
      <c r="J908" s="160"/>
      <c r="K908" s="161">
        <f t="shared" si="198"/>
        <v>506</v>
      </c>
      <c r="L908" s="250">
        <v>1</v>
      </c>
      <c r="M908" s="163" t="str">
        <f>CONCATENATE(H908," ",F908,"*",I908,"/",K908,"чел.")</f>
        <v>2 шт*0,021154/506чел.</v>
      </c>
      <c r="N908" s="164">
        <f t="shared" si="199"/>
        <v>7500</v>
      </c>
      <c r="O908" s="165">
        <f t="shared" si="197"/>
        <v>0.62709499999999996</v>
      </c>
      <c r="P908" s="166"/>
      <c r="Q908" s="166">
        <f t="shared" si="200"/>
        <v>317.31007</v>
      </c>
      <c r="R908" s="71"/>
    </row>
    <row r="909" spans="1:41" s="61" customFormat="1" ht="47.25" x14ac:dyDescent="0.25">
      <c r="A909" s="358"/>
      <c r="B909" s="361"/>
      <c r="C909" s="366"/>
      <c r="D909" s="156" t="s">
        <v>222</v>
      </c>
      <c r="E909" s="156" t="s">
        <v>60</v>
      </c>
      <c r="F909" s="156" t="s">
        <v>60</v>
      </c>
      <c r="G909" s="238">
        <f>MROUND(H909*L909*I909/K909,0.00000000001)</f>
        <v>1.46322134E-3</v>
      </c>
      <c r="H909" s="248">
        <f>H189</f>
        <v>35</v>
      </c>
      <c r="I909" s="159">
        <f t="shared" si="192"/>
        <v>2.1153999999999999E-2</v>
      </c>
      <c r="J909" s="160"/>
      <c r="K909" s="161">
        <f t="shared" si="198"/>
        <v>506</v>
      </c>
      <c r="L909" s="250">
        <v>1</v>
      </c>
      <c r="M909" s="163" t="str">
        <f>CONCATENATE(H909," ",F909,"*",I909,"/",K909,"чел.")</f>
        <v>35 шт.*0,021154/506чел.</v>
      </c>
      <c r="N909" s="164">
        <f t="shared" si="199"/>
        <v>8189.7714285714283</v>
      </c>
      <c r="O909" s="165">
        <f>MROUND(G909*N909,0.00000001)</f>
        <v>11.983448320000001</v>
      </c>
      <c r="P909" s="166"/>
      <c r="Q909" s="166">
        <f t="shared" si="200"/>
        <v>6063.6248499200001</v>
      </c>
      <c r="R909" s="71"/>
    </row>
    <row r="910" spans="1:41" s="61" customFormat="1" ht="31.5" x14ac:dyDescent="0.25">
      <c r="A910" s="358"/>
      <c r="B910" s="361"/>
      <c r="C910" s="366"/>
      <c r="D910" s="156" t="s">
        <v>35</v>
      </c>
      <c r="E910" s="156" t="s">
        <v>102</v>
      </c>
      <c r="F910" s="156" t="s">
        <v>223</v>
      </c>
      <c r="G910" s="238">
        <f>MROUND(H910*L910*I910/K910,0.00000001)</f>
        <v>1.4632200000000001E-3</v>
      </c>
      <c r="H910" s="158">
        <f>H70</f>
        <v>35</v>
      </c>
      <c r="I910" s="159">
        <f>I908</f>
        <v>2.1153999999999999E-2</v>
      </c>
      <c r="J910" s="160"/>
      <c r="K910" s="161">
        <f>K908</f>
        <v>506</v>
      </c>
      <c r="L910" s="250">
        <v>1</v>
      </c>
      <c r="M910" s="163" t="str">
        <f>CONCATENATE(H910," ",F910,"*",I910,"/",K910,"чел.")</f>
        <v>35 замеров*0,021154/506чел.</v>
      </c>
      <c r="N910" s="164">
        <f t="shared" si="199"/>
        <v>20142.857142857141</v>
      </c>
      <c r="O910" s="165">
        <f t="shared" si="197"/>
        <v>29.473430999999998</v>
      </c>
      <c r="P910" s="166"/>
      <c r="Q910" s="166">
        <f t="shared" si="200"/>
        <v>14913.556085999999</v>
      </c>
      <c r="R910" s="71"/>
    </row>
    <row r="911" spans="1:41" s="61" customFormat="1" ht="47.25" x14ac:dyDescent="0.25">
      <c r="A911" s="358"/>
      <c r="B911" s="361"/>
      <c r="C911" s="366"/>
      <c r="D911" s="156" t="s">
        <v>399</v>
      </c>
      <c r="E911" s="156" t="s">
        <v>60</v>
      </c>
      <c r="F911" s="156" t="s">
        <v>60</v>
      </c>
      <c r="G911" s="238">
        <f>MROUND(H911*L911*I911/K911,0.000000001)</f>
        <v>1.4632213000000002E-2</v>
      </c>
      <c r="H911" s="158">
        <f>H311</f>
        <v>35</v>
      </c>
      <c r="I911" s="159">
        <f t="shared" si="192"/>
        <v>2.1153999999999999E-2</v>
      </c>
      <c r="J911" s="160"/>
      <c r="K911" s="161">
        <f>K910</f>
        <v>506</v>
      </c>
      <c r="L911" s="250">
        <v>10</v>
      </c>
      <c r="M911" s="163" t="str">
        <f>CONCATENATE(H911," ",F911,"*",L911,"мес.","*",I911,"/",K911,"чел.")</f>
        <v>35 шт.*10мес.*0,021154/506чел.</v>
      </c>
      <c r="N911" s="164">
        <f>N311</f>
        <v>3107.903028571428</v>
      </c>
      <c r="O911" s="165">
        <f t="shared" si="197"/>
        <v>45.475498999999999</v>
      </c>
      <c r="P911" s="166"/>
      <c r="Q911" s="166">
        <f t="shared" si="200"/>
        <v>23010.602493999999</v>
      </c>
      <c r="R911" s="71"/>
    </row>
    <row r="912" spans="1:41" s="61" customFormat="1" ht="47.25" x14ac:dyDescent="0.25">
      <c r="A912" s="358"/>
      <c r="B912" s="361"/>
      <c r="C912" s="366"/>
      <c r="D912" s="156" t="s">
        <v>36</v>
      </c>
      <c r="E912" s="156" t="s">
        <v>31</v>
      </c>
      <c r="F912" s="156" t="s">
        <v>224</v>
      </c>
      <c r="G912" s="238">
        <f>MROUND(H912*L912*I912/K912,0.00000001)</f>
        <v>1.8060329999999999E-2</v>
      </c>
      <c r="H912" s="158">
        <f>H192</f>
        <v>36</v>
      </c>
      <c r="I912" s="159">
        <f t="shared" si="192"/>
        <v>2.1153999999999999E-2</v>
      </c>
      <c r="J912" s="160"/>
      <c r="K912" s="161">
        <f>K911</f>
        <v>506</v>
      </c>
      <c r="L912" s="250">
        <v>12</v>
      </c>
      <c r="M912" s="163" t="str">
        <f>CONCATENATE(H912," ",F912,"*",L912,"мес.","*",I912,"/",K912,"чел.")</f>
        <v>36 устройств*12мес.*0,021154/506чел.</v>
      </c>
      <c r="N912" s="164">
        <f>N72</f>
        <v>2200</v>
      </c>
      <c r="O912" s="165">
        <f t="shared" si="197"/>
        <v>39.732726</v>
      </c>
      <c r="P912" s="166"/>
      <c r="Q912" s="166">
        <f t="shared" si="200"/>
        <v>20104.759355999999</v>
      </c>
      <c r="R912" s="71"/>
    </row>
    <row r="913" spans="1:18" s="61" customFormat="1" ht="31.5" x14ac:dyDescent="0.25">
      <c r="A913" s="358"/>
      <c r="B913" s="361"/>
      <c r="C913" s="366"/>
      <c r="D913" s="156" t="s">
        <v>99</v>
      </c>
      <c r="E913" s="156" t="s">
        <v>103</v>
      </c>
      <c r="F913" s="156" t="s">
        <v>225</v>
      </c>
      <c r="G913" s="238">
        <f>MROUND(H913*L913*I913/K913,0.00000001)</f>
        <v>1.5886400000000002E-2</v>
      </c>
      <c r="H913" s="158">
        <f>H73</f>
        <v>380</v>
      </c>
      <c r="I913" s="159">
        <f t="shared" si="192"/>
        <v>2.1153999999999999E-2</v>
      </c>
      <c r="J913" s="160"/>
      <c r="K913" s="161">
        <f>K912</f>
        <v>506</v>
      </c>
      <c r="L913" s="250">
        <v>1</v>
      </c>
      <c r="M913" s="163" t="str">
        <f>CONCATENATE(H913," ",F913,"*",I913,"/",K913,"чел.")</f>
        <v>380 ед.*0,021154/506чел.</v>
      </c>
      <c r="N913" s="164">
        <f>N73</f>
        <v>15000</v>
      </c>
      <c r="O913" s="165">
        <f t="shared" si="197"/>
        <v>238.29599999999999</v>
      </c>
      <c r="P913" s="166"/>
      <c r="Q913" s="166">
        <f t="shared" si="200"/>
        <v>120577.776</v>
      </c>
      <c r="R913" s="71"/>
    </row>
    <row r="914" spans="1:18" s="61" customFormat="1" x14ac:dyDescent="0.25">
      <c r="A914" s="358"/>
      <c r="B914" s="361"/>
      <c r="C914" s="366"/>
      <c r="D914" s="156" t="s">
        <v>27</v>
      </c>
      <c r="E914" s="156" t="s">
        <v>28</v>
      </c>
      <c r="F914" s="156" t="s">
        <v>28</v>
      </c>
      <c r="G914" s="238">
        <f>MROUND(H914*L914*I914/K914,0.000000001)</f>
        <v>0.23892314200000001</v>
      </c>
      <c r="H914" s="160">
        <f>H74</f>
        <v>5715</v>
      </c>
      <c r="I914" s="159">
        <f t="shared" si="192"/>
        <v>2.1153999999999999E-2</v>
      </c>
      <c r="J914" s="160"/>
      <c r="K914" s="161">
        <f>K913</f>
        <v>506</v>
      </c>
      <c r="L914" s="250">
        <v>1</v>
      </c>
      <c r="M914" s="163" t="str">
        <f>CONCATENATE(H914," ",F914,"*",I914,"/",K914,"чел.")</f>
        <v>5715 шт*0,021154/506чел.</v>
      </c>
      <c r="N914" s="164">
        <f>N194</f>
        <v>400</v>
      </c>
      <c r="O914" s="165">
        <f t="shared" si="197"/>
        <v>95.569256999999993</v>
      </c>
      <c r="P914" s="166"/>
      <c r="Q914" s="166">
        <f t="shared" si="200"/>
        <v>48358.044041999994</v>
      </c>
      <c r="R914" s="71"/>
    </row>
    <row r="915" spans="1:18" s="61" customFormat="1" ht="31.5" x14ac:dyDescent="0.25">
      <c r="A915" s="358"/>
      <c r="B915" s="361"/>
      <c r="C915" s="367"/>
      <c r="D915" s="156" t="s">
        <v>104</v>
      </c>
      <c r="E915" s="156" t="s">
        <v>105</v>
      </c>
      <c r="F915" s="156" t="s">
        <v>226</v>
      </c>
      <c r="G915" s="238">
        <f>MROUND(H915*L915*I915/K915,0.00000001)</f>
        <v>1.5050300000000001E-3</v>
      </c>
      <c r="H915" s="160">
        <f>H75</f>
        <v>36</v>
      </c>
      <c r="I915" s="159">
        <f t="shared" si="192"/>
        <v>2.1153999999999999E-2</v>
      </c>
      <c r="J915" s="160"/>
      <c r="K915" s="161">
        <f>K914</f>
        <v>506</v>
      </c>
      <c r="L915" s="250">
        <v>1</v>
      </c>
      <c r="M915" s="163" t="str">
        <f>CONCATENATE(H915," ",F915,"*",I915,"/",K915,"чел.")</f>
        <v>36 отключений*0,021154/506чел.</v>
      </c>
      <c r="N915" s="164">
        <f>N75</f>
        <v>9810</v>
      </c>
      <c r="O915" s="165">
        <f t="shared" si="197"/>
        <v>14.764343999999999</v>
      </c>
      <c r="P915" s="166"/>
      <c r="Q915" s="166">
        <f t="shared" si="200"/>
        <v>7470.7580639999996</v>
      </c>
      <c r="R915" s="71"/>
    </row>
    <row r="916" spans="1:18" s="62" customFormat="1" x14ac:dyDescent="0.25">
      <c r="A916" s="358"/>
      <c r="B916" s="361"/>
      <c r="C916" s="249" t="s">
        <v>292</v>
      </c>
      <c r="D916" s="240"/>
      <c r="E916" s="240"/>
      <c r="F916" s="240"/>
      <c r="G916" s="227"/>
      <c r="H916" s="228"/>
      <c r="I916" s="206"/>
      <c r="J916" s="228"/>
      <c r="K916" s="207"/>
      <c r="L916" s="257"/>
      <c r="M916" s="209"/>
      <c r="N916" s="210"/>
      <c r="O916" s="198">
        <f>SUM(O900:O915)</f>
        <v>626.52974532000007</v>
      </c>
      <c r="P916" s="267"/>
      <c r="Q916" s="166"/>
      <c r="R916" s="71"/>
    </row>
    <row r="917" spans="1:18" s="61" customFormat="1" ht="31.5" x14ac:dyDescent="0.25">
      <c r="A917" s="358"/>
      <c r="B917" s="361"/>
      <c r="C917" s="221" t="s">
        <v>79</v>
      </c>
      <c r="D917" s="156" t="s">
        <v>37</v>
      </c>
      <c r="E917" s="156" t="s">
        <v>61</v>
      </c>
      <c r="F917" s="156" t="s">
        <v>227</v>
      </c>
      <c r="G917" s="238">
        <f>MROUND(H917*L917*I917/K917,0.000000001)</f>
        <v>1.6722500000000001E-4</v>
      </c>
      <c r="H917" s="158">
        <f>H77</f>
        <v>4</v>
      </c>
      <c r="I917" s="159">
        <f>I915</f>
        <v>2.1153999999999999E-2</v>
      </c>
      <c r="J917" s="160"/>
      <c r="K917" s="161">
        <f>K915</f>
        <v>506</v>
      </c>
      <c r="L917" s="250">
        <v>1</v>
      </c>
      <c r="M917" s="163" t="str">
        <f>CONCATENATE(H917," ",F917,"*",I917,"/",K917,"чел.")</f>
        <v>4 автобуса*0,021154/506чел.</v>
      </c>
      <c r="N917" s="164">
        <f>N77</f>
        <v>93408.640000000014</v>
      </c>
      <c r="O917" s="165">
        <f>MROUND(G917*N917,0.000001)</f>
        <v>15.62026</v>
      </c>
      <c r="P917" s="166"/>
      <c r="Q917" s="166">
        <f t="shared" si="200"/>
        <v>7903.8515600000001</v>
      </c>
      <c r="R917" s="71"/>
    </row>
    <row r="918" spans="1:18" s="62" customFormat="1" x14ac:dyDescent="0.25">
      <c r="A918" s="358"/>
      <c r="B918" s="361"/>
      <c r="C918" s="218" t="s">
        <v>295</v>
      </c>
      <c r="D918" s="240"/>
      <c r="E918" s="240"/>
      <c r="F918" s="240"/>
      <c r="G918" s="227"/>
      <c r="H918" s="241"/>
      <c r="I918" s="206"/>
      <c r="J918" s="228"/>
      <c r="K918" s="207"/>
      <c r="L918" s="257"/>
      <c r="M918" s="209"/>
      <c r="N918" s="210"/>
      <c r="O918" s="198">
        <f>SUM(O917)</f>
        <v>15.62026</v>
      </c>
      <c r="P918" s="267"/>
      <c r="Q918" s="166"/>
      <c r="R918" s="71"/>
    </row>
    <row r="919" spans="1:18" s="61" customFormat="1" x14ac:dyDescent="0.25">
      <c r="A919" s="358"/>
      <c r="B919" s="361"/>
      <c r="C919" s="364" t="s">
        <v>80</v>
      </c>
      <c r="D919" s="156" t="s">
        <v>38</v>
      </c>
      <c r="E919" s="156" t="s">
        <v>57</v>
      </c>
      <c r="F919" s="156" t="s">
        <v>228</v>
      </c>
      <c r="G919" s="238">
        <f>MROUND(H919*L919*I919/K919,0.000000001)</f>
        <v>1.8060332000000002E-2</v>
      </c>
      <c r="H919" s="158">
        <f>H79</f>
        <v>36</v>
      </c>
      <c r="I919" s="159">
        <f>I917</f>
        <v>2.1153999999999999E-2</v>
      </c>
      <c r="J919" s="160"/>
      <c r="K919" s="161">
        <f>K917</f>
        <v>506</v>
      </c>
      <c r="L919" s="250">
        <v>12</v>
      </c>
      <c r="M919" s="163" t="str">
        <f>CONCATENATE(H919," ",F919,"*",L919,"мес.","*",I919,"/",K919,"чел.")</f>
        <v>36 зданий*12мес.*0,021154/506чел.</v>
      </c>
      <c r="N919" s="164">
        <f t="shared" ref="N919:N930" si="201">N79</f>
        <v>4694.6300000000019</v>
      </c>
      <c r="O919" s="165">
        <f>MROUND(G919*N919,0.000001)</f>
        <v>84.786575999999997</v>
      </c>
      <c r="P919" s="166"/>
      <c r="Q919" s="166">
        <f t="shared" si="200"/>
        <v>42902.007455999999</v>
      </c>
      <c r="R919" s="71"/>
    </row>
    <row r="920" spans="1:18" s="61" customFormat="1" ht="47.25" x14ac:dyDescent="0.25">
      <c r="A920" s="358"/>
      <c r="B920" s="361"/>
      <c r="C920" s="364"/>
      <c r="D920" s="156" t="s">
        <v>229</v>
      </c>
      <c r="E920" s="156" t="s">
        <v>60</v>
      </c>
      <c r="F920" s="156" t="s">
        <v>60</v>
      </c>
      <c r="G920" s="238">
        <f>MROUND(H920*L920*I920/K920,0.000001)</f>
        <v>0.10008399999999999</v>
      </c>
      <c r="H920" s="158">
        <f>H80</f>
        <v>2394</v>
      </c>
      <c r="I920" s="159">
        <f>I919</f>
        <v>2.1153999999999999E-2</v>
      </c>
      <c r="J920" s="160"/>
      <c r="K920" s="161">
        <f>K919</f>
        <v>506</v>
      </c>
      <c r="L920" s="250">
        <v>1</v>
      </c>
      <c r="M920" s="163" t="str">
        <f t="shared" ref="M920:M927" si="202">CONCATENATE(H920," ",F920,"*",I920,"/",K920,"чел.")</f>
        <v>2394 шт.*0,021154/506чел.</v>
      </c>
      <c r="N920" s="164">
        <f t="shared" si="201"/>
        <v>163.5</v>
      </c>
      <c r="O920" s="165">
        <f>MROUND(G920*N920,0.000001)</f>
        <v>16.363734000000001</v>
      </c>
      <c r="P920" s="166"/>
      <c r="Q920" s="166">
        <f t="shared" si="200"/>
        <v>8280.0494040000012</v>
      </c>
      <c r="R920" s="71"/>
    </row>
    <row r="921" spans="1:18" s="61" customFormat="1" ht="47.25" x14ac:dyDescent="0.25">
      <c r="A921" s="358"/>
      <c r="B921" s="361"/>
      <c r="C921" s="364"/>
      <c r="D921" s="156" t="s">
        <v>405</v>
      </c>
      <c r="E921" s="156" t="s">
        <v>60</v>
      </c>
      <c r="F921" s="156" t="s">
        <v>406</v>
      </c>
      <c r="G921" s="238">
        <f>MROUND(H921*L921*I921/K921,0.00000001)</f>
        <v>1.5050300000000001E-3</v>
      </c>
      <c r="H921" s="158">
        <f>H321</f>
        <v>36</v>
      </c>
      <c r="I921" s="159">
        <f>I920</f>
        <v>2.1153999999999999E-2</v>
      </c>
      <c r="J921" s="160"/>
      <c r="K921" s="161">
        <f>K920</f>
        <v>506</v>
      </c>
      <c r="L921" s="250">
        <v>1</v>
      </c>
      <c r="M921" s="163" t="str">
        <f t="shared" si="202"/>
        <v>36 лицензий*0,021154/506чел.</v>
      </c>
      <c r="N921" s="164">
        <f t="shared" si="201"/>
        <v>11990</v>
      </c>
      <c r="O921" s="165">
        <f t="shared" ref="O921:O930" si="203">MROUND(G921*N921,0.000001)</f>
        <v>18.045310000000001</v>
      </c>
      <c r="P921" s="166"/>
      <c r="Q921" s="166">
        <f t="shared" si="200"/>
        <v>9130.9268599999996</v>
      </c>
      <c r="R921" s="71"/>
    </row>
    <row r="922" spans="1:18" s="61" customFormat="1" ht="63" x14ac:dyDescent="0.25">
      <c r="A922" s="358"/>
      <c r="B922" s="361"/>
      <c r="C922" s="364"/>
      <c r="D922" s="156" t="s">
        <v>39</v>
      </c>
      <c r="E922" s="156" t="s">
        <v>20</v>
      </c>
      <c r="F922" s="156" t="s">
        <v>234</v>
      </c>
      <c r="G922" s="238">
        <f>MROUND(H922*L922*I922/K922,0.000000001)</f>
        <v>4.9331460000000002E-3</v>
      </c>
      <c r="H922" s="158">
        <f>H442</f>
        <v>118</v>
      </c>
      <c r="I922" s="159">
        <f>I920</f>
        <v>2.1153999999999999E-2</v>
      </c>
      <c r="J922" s="160"/>
      <c r="K922" s="161">
        <f>K920</f>
        <v>506</v>
      </c>
      <c r="L922" s="250">
        <v>1</v>
      </c>
      <c r="M922" s="163" t="str">
        <f t="shared" si="202"/>
        <v>118 чел(заявленная потребность руководителями учреждений)*0,021154/506чел.</v>
      </c>
      <c r="N922" s="164">
        <f t="shared" si="201"/>
        <v>763</v>
      </c>
      <c r="O922" s="165">
        <f t="shared" si="203"/>
        <v>3.7639899999999997</v>
      </c>
      <c r="P922" s="166"/>
      <c r="Q922" s="166">
        <f t="shared" si="200"/>
        <v>1904.5789399999999</v>
      </c>
      <c r="R922" s="71"/>
    </row>
    <row r="923" spans="1:18" s="61" customFormat="1" ht="63" x14ac:dyDescent="0.25">
      <c r="A923" s="358"/>
      <c r="B923" s="361"/>
      <c r="C923" s="364"/>
      <c r="D923" s="156" t="s">
        <v>40</v>
      </c>
      <c r="E923" s="156" t="s">
        <v>20</v>
      </c>
      <c r="F923" s="156" t="s">
        <v>234</v>
      </c>
      <c r="G923" s="238">
        <f>MROUND(H923*L923*I923/K923,0.000000001)</f>
        <v>4.138826E-3</v>
      </c>
      <c r="H923" s="158">
        <f>H443</f>
        <v>99</v>
      </c>
      <c r="I923" s="159">
        <f t="shared" ref="I923:I930" si="204">I922</f>
        <v>2.1153999999999999E-2</v>
      </c>
      <c r="J923" s="160"/>
      <c r="K923" s="161">
        <f t="shared" ref="K923:K930" si="205">K922</f>
        <v>506</v>
      </c>
      <c r="L923" s="250">
        <v>1</v>
      </c>
      <c r="M923" s="163" t="str">
        <f t="shared" si="202"/>
        <v>99 чел(заявленная потребность руководителями учреждений)*0,021154/506чел.</v>
      </c>
      <c r="N923" s="164">
        <f t="shared" si="201"/>
        <v>1585.4545454545455</v>
      </c>
      <c r="O923" s="165">
        <f t="shared" si="203"/>
        <v>6.5619199999999998</v>
      </c>
      <c r="P923" s="166"/>
      <c r="Q923" s="166">
        <f t="shared" si="200"/>
        <v>3320.3315199999997</v>
      </c>
      <c r="R923" s="71"/>
    </row>
    <row r="924" spans="1:18" s="61" customFormat="1" ht="63" x14ac:dyDescent="0.25">
      <c r="A924" s="358"/>
      <c r="B924" s="361"/>
      <c r="C924" s="364"/>
      <c r="D924" s="156" t="s">
        <v>100</v>
      </c>
      <c r="E924" s="156" t="s">
        <v>20</v>
      </c>
      <c r="F924" s="156" t="s">
        <v>234</v>
      </c>
      <c r="G924" s="238">
        <f>MROUND(H924*L924*I924/K924,0.000000001)</f>
        <v>3.3863120000000003E-3</v>
      </c>
      <c r="H924" s="158">
        <f>H444</f>
        <v>81</v>
      </c>
      <c r="I924" s="159">
        <f t="shared" si="204"/>
        <v>2.1153999999999999E-2</v>
      </c>
      <c r="J924" s="160"/>
      <c r="K924" s="161">
        <f t="shared" si="205"/>
        <v>506</v>
      </c>
      <c r="L924" s="250">
        <v>1</v>
      </c>
      <c r="M924" s="163" t="str">
        <f t="shared" si="202"/>
        <v>81 чел(заявленная потребность руководителями учреждений)*0,021154/506чел.</v>
      </c>
      <c r="N924" s="164">
        <f t="shared" si="201"/>
        <v>3488</v>
      </c>
      <c r="O924" s="165">
        <f t="shared" si="203"/>
        <v>11.811456</v>
      </c>
      <c r="P924" s="166"/>
      <c r="Q924" s="166">
        <f t="shared" si="200"/>
        <v>5976.5967359999995</v>
      </c>
      <c r="R924" s="71"/>
    </row>
    <row r="925" spans="1:18" s="61" customFormat="1" ht="110.25" x14ac:dyDescent="0.25">
      <c r="A925" s="358"/>
      <c r="B925" s="361"/>
      <c r="C925" s="364"/>
      <c r="D925" s="156" t="s">
        <v>235</v>
      </c>
      <c r="E925" s="156" t="s">
        <v>50</v>
      </c>
      <c r="F925" s="156" t="s">
        <v>230</v>
      </c>
      <c r="G925" s="238">
        <f>MROUND(H925*L925*I925/K925,0.00000001)</f>
        <v>1.5050300000000001E-3</v>
      </c>
      <c r="H925" s="158">
        <f>H685</f>
        <v>36</v>
      </c>
      <c r="I925" s="159">
        <f t="shared" si="204"/>
        <v>2.1153999999999999E-2</v>
      </c>
      <c r="J925" s="160"/>
      <c r="K925" s="161">
        <f t="shared" si="205"/>
        <v>506</v>
      </c>
      <c r="L925" s="250">
        <v>1</v>
      </c>
      <c r="M925" s="163" t="str">
        <f t="shared" si="202"/>
        <v>36 отчетов*0,021154/506чел.</v>
      </c>
      <c r="N925" s="164">
        <f t="shared" si="201"/>
        <v>6540</v>
      </c>
      <c r="O925" s="165">
        <f t="shared" si="203"/>
        <v>9.8428959999999996</v>
      </c>
      <c r="P925" s="166"/>
      <c r="Q925" s="166">
        <f t="shared" si="200"/>
        <v>4980.5053760000001</v>
      </c>
      <c r="R925" s="71"/>
    </row>
    <row r="926" spans="1:18" s="61" customFormat="1" ht="63" x14ac:dyDescent="0.25">
      <c r="A926" s="358"/>
      <c r="B926" s="361"/>
      <c r="C926" s="364"/>
      <c r="D926" s="156" t="s">
        <v>42</v>
      </c>
      <c r="E926" s="156" t="s">
        <v>51</v>
      </c>
      <c r="F926" s="156" t="s">
        <v>407</v>
      </c>
      <c r="G926" s="238">
        <f>MROUND(H926*L926*I926/K926,0.000001)</f>
        <v>8.5279999999999991E-3</v>
      </c>
      <c r="H926" s="158">
        <f>H446</f>
        <v>204</v>
      </c>
      <c r="I926" s="159">
        <f t="shared" si="204"/>
        <v>2.1153999999999999E-2</v>
      </c>
      <c r="J926" s="160"/>
      <c r="K926" s="161">
        <f t="shared" si="205"/>
        <v>506</v>
      </c>
      <c r="L926" s="250">
        <v>1</v>
      </c>
      <c r="M926" s="163" t="str">
        <f t="shared" si="202"/>
        <v>204 ед (заявленная потребность руководителями учреждений)*0,021154/506чел.</v>
      </c>
      <c r="N926" s="164">
        <f t="shared" si="201"/>
        <v>1090</v>
      </c>
      <c r="O926" s="165">
        <f t="shared" si="203"/>
        <v>9.2955199999999998</v>
      </c>
      <c r="P926" s="166"/>
      <c r="Q926" s="166">
        <f t="shared" si="200"/>
        <v>4703.5331200000001</v>
      </c>
      <c r="R926" s="71"/>
    </row>
    <row r="927" spans="1:18" s="61" customFormat="1" ht="31.5" x14ac:dyDescent="0.25">
      <c r="A927" s="358"/>
      <c r="B927" s="361"/>
      <c r="C927" s="364"/>
      <c r="D927" s="156" t="s">
        <v>43</v>
      </c>
      <c r="E927" s="156" t="s">
        <v>52</v>
      </c>
      <c r="F927" s="156" t="s">
        <v>231</v>
      </c>
      <c r="G927" s="238">
        <f>MROUND(H927*L927*I927/K927,0.000000001)</f>
        <v>1.5050280000000001E-3</v>
      </c>
      <c r="H927" s="158">
        <f>H87</f>
        <v>36</v>
      </c>
      <c r="I927" s="159">
        <f t="shared" si="204"/>
        <v>2.1153999999999999E-2</v>
      </c>
      <c r="J927" s="160"/>
      <c r="K927" s="161">
        <f t="shared" si="205"/>
        <v>506</v>
      </c>
      <c r="L927" s="250">
        <v>1</v>
      </c>
      <c r="M927" s="163" t="str">
        <f t="shared" si="202"/>
        <v>36 ЭЦП*0,021154/506чел.</v>
      </c>
      <c r="N927" s="164">
        <f t="shared" si="201"/>
        <v>7743.3599999999924</v>
      </c>
      <c r="O927" s="165">
        <f t="shared" si="203"/>
        <v>11.653974</v>
      </c>
      <c r="P927" s="166"/>
      <c r="Q927" s="166">
        <f t="shared" si="200"/>
        <v>5896.910844</v>
      </c>
      <c r="R927" s="71"/>
    </row>
    <row r="928" spans="1:18" s="61" customFormat="1" ht="47.25" x14ac:dyDescent="0.25">
      <c r="A928" s="358"/>
      <c r="B928" s="361"/>
      <c r="C928" s="364"/>
      <c r="D928" s="156" t="s">
        <v>44</v>
      </c>
      <c r="E928" s="156" t="s">
        <v>85</v>
      </c>
      <c r="F928" s="156" t="s">
        <v>232</v>
      </c>
      <c r="G928" s="238">
        <f>MROUND(H928*L928*I928/K928,0.000001)</f>
        <v>5.0835999999999999E-2</v>
      </c>
      <c r="H928" s="158">
        <f>H88</f>
        <v>1216</v>
      </c>
      <c r="I928" s="159">
        <f t="shared" si="204"/>
        <v>2.1153999999999999E-2</v>
      </c>
      <c r="J928" s="160"/>
      <c r="K928" s="161">
        <f t="shared" si="205"/>
        <v>506</v>
      </c>
      <c r="L928" s="250">
        <v>1</v>
      </c>
      <c r="M928" s="163" t="str">
        <f>CONCATENATE(H928," ",F928,"*",L928,"мес.","*",I928,"/",K928,"чел.")</f>
        <v>1216 мед.осмотров в мес.*1мес.*0,021154/506чел.</v>
      </c>
      <c r="N928" s="164">
        <f t="shared" si="201"/>
        <v>56.680000000000007</v>
      </c>
      <c r="O928" s="165">
        <f t="shared" si="203"/>
        <v>2.8813839999999997</v>
      </c>
      <c r="P928" s="166"/>
      <c r="Q928" s="166">
        <f t="shared" si="200"/>
        <v>1457.9803039999999</v>
      </c>
      <c r="R928" s="71"/>
    </row>
    <row r="929" spans="1:18" s="61" customFormat="1" ht="63" x14ac:dyDescent="0.25">
      <c r="A929" s="358"/>
      <c r="B929" s="361"/>
      <c r="C929" s="364"/>
      <c r="D929" s="156" t="s">
        <v>45</v>
      </c>
      <c r="E929" s="156" t="s">
        <v>53</v>
      </c>
      <c r="F929" s="156" t="s">
        <v>233</v>
      </c>
      <c r="G929" s="238">
        <f>MROUND(H929*L929*I929/K929,0.000000001)</f>
        <v>2.0067040000000002E-3</v>
      </c>
      <c r="H929" s="158">
        <f>H449</f>
        <v>4</v>
      </c>
      <c r="I929" s="159">
        <f t="shared" si="204"/>
        <v>2.1153999999999999E-2</v>
      </c>
      <c r="J929" s="160"/>
      <c r="K929" s="161">
        <f t="shared" si="205"/>
        <v>506</v>
      </c>
      <c r="L929" s="250">
        <v>12</v>
      </c>
      <c r="M929" s="163" t="str">
        <f>CONCATENATE(H929," ",F929,"*",L929,"мес.","*",I929,"/",K929,"чел.")</f>
        <v>4  машины, оборудованных системой ГЛОНАСС*12мес.*0,021154/506чел.</v>
      </c>
      <c r="N929" s="164">
        <f t="shared" si="201"/>
        <v>880.71999999999991</v>
      </c>
      <c r="O929" s="165">
        <f t="shared" si="203"/>
        <v>1.767344</v>
      </c>
      <c r="P929" s="166"/>
      <c r="Q929" s="166">
        <f t="shared" si="200"/>
        <v>894.27606400000002</v>
      </c>
      <c r="R929" s="71"/>
    </row>
    <row r="930" spans="1:18" s="61" customFormat="1" ht="31.5" x14ac:dyDescent="0.25">
      <c r="A930" s="358"/>
      <c r="B930" s="361"/>
      <c r="C930" s="364"/>
      <c r="D930" s="156" t="s">
        <v>408</v>
      </c>
      <c r="E930" s="156" t="s">
        <v>20</v>
      </c>
      <c r="F930" s="156" t="s">
        <v>20</v>
      </c>
      <c r="G930" s="238">
        <f>MROUND(H930*L930*I930/K930,0.000000001)</f>
        <v>7.1572427000000008E-2</v>
      </c>
      <c r="H930" s="158">
        <f>H90</f>
        <v>1712</v>
      </c>
      <c r="I930" s="159">
        <f t="shared" si="204"/>
        <v>2.1153999999999999E-2</v>
      </c>
      <c r="J930" s="160"/>
      <c r="K930" s="161">
        <f t="shared" si="205"/>
        <v>506</v>
      </c>
      <c r="L930" s="250">
        <v>1</v>
      </c>
      <c r="M930" s="163" t="str">
        <f>CONCATENATE(H930," ",F930,"*",L930," раз в год","*",I930,"/",K930,"чел.")</f>
        <v>1712 чел.*1 раз в год*0,021154/506чел.</v>
      </c>
      <c r="N930" s="164">
        <f t="shared" si="201"/>
        <v>545</v>
      </c>
      <c r="O930" s="165">
        <f t="shared" si="203"/>
        <v>39.006972999999995</v>
      </c>
      <c r="P930" s="166"/>
      <c r="Q930" s="166">
        <f t="shared" si="200"/>
        <v>19737.528337999996</v>
      </c>
      <c r="R930" s="71"/>
    </row>
    <row r="931" spans="1:18" s="61" customFormat="1" x14ac:dyDescent="0.25">
      <c r="A931" s="358"/>
      <c r="B931" s="361"/>
      <c r="C931" s="364"/>
      <c r="D931" s="156" t="s">
        <v>373</v>
      </c>
      <c r="E931" s="156" t="s">
        <v>28</v>
      </c>
      <c r="F931" s="156" t="s">
        <v>28</v>
      </c>
      <c r="G931" s="157">
        <f>MROUND(H931*L931*I931/K931,0.000000001)</f>
        <v>1.5050280000000001E-3</v>
      </c>
      <c r="H931" s="158">
        <f>H92</f>
        <v>36</v>
      </c>
      <c r="I931" s="159">
        <f>I929</f>
        <v>2.1153999999999999E-2</v>
      </c>
      <c r="J931" s="160"/>
      <c r="K931" s="161">
        <f>K929</f>
        <v>506</v>
      </c>
      <c r="L931" s="162">
        <v>1</v>
      </c>
      <c r="M931" s="163" t="str">
        <f>CONCATENATE(H931," ",F931,"*",L931,"мес.","*",I931,"/",K931,"чел.")</f>
        <v>36 шт*1мес.*0,021154/506чел.</v>
      </c>
      <c r="N931" s="164">
        <f>N92</f>
        <v>24000</v>
      </c>
      <c r="O931" s="165">
        <f>MROUND(G931*N931,0.000000001)</f>
        <v>36.120671999999999</v>
      </c>
      <c r="P931" s="166"/>
      <c r="Q931" s="166">
        <f t="shared" si="200"/>
        <v>18277.060032000001</v>
      </c>
      <c r="R931" s="71"/>
    </row>
    <row r="932" spans="1:18" s="61" customFormat="1" ht="31.5" x14ac:dyDescent="0.25">
      <c r="A932" s="358"/>
      <c r="B932" s="361"/>
      <c r="C932" s="364"/>
      <c r="D932" s="156" t="s">
        <v>106</v>
      </c>
      <c r="E932" s="156" t="s">
        <v>107</v>
      </c>
      <c r="F932" s="156"/>
      <c r="G932" s="238">
        <f>MROUND(H932*L932*I932/K932,0.000000001)</f>
        <v>0</v>
      </c>
      <c r="H932" s="158">
        <f>H91</f>
        <v>0</v>
      </c>
      <c r="I932" s="159">
        <f>I929</f>
        <v>2.1153999999999999E-2</v>
      </c>
      <c r="J932" s="160"/>
      <c r="K932" s="161">
        <f>K929</f>
        <v>506</v>
      </c>
      <c r="L932" s="250">
        <f>L91</f>
        <v>0</v>
      </c>
      <c r="M932" s="163"/>
      <c r="N932" s="164">
        <f>N91</f>
        <v>1256.0400600000007</v>
      </c>
      <c r="O932" s="165">
        <f>MROUND(G932*N932,0.000000001)</f>
        <v>0</v>
      </c>
      <c r="P932" s="166"/>
      <c r="Q932" s="166">
        <f t="shared" si="200"/>
        <v>0</v>
      </c>
      <c r="R932" s="71"/>
    </row>
    <row r="933" spans="1:18" s="62" customFormat="1" x14ac:dyDescent="0.25">
      <c r="A933" s="358"/>
      <c r="B933" s="361"/>
      <c r="C933" s="245" t="s">
        <v>296</v>
      </c>
      <c r="D933" s="240"/>
      <c r="E933" s="240"/>
      <c r="F933" s="240"/>
      <c r="G933" s="227"/>
      <c r="H933" s="241"/>
      <c r="I933" s="206"/>
      <c r="J933" s="228"/>
      <c r="K933" s="207"/>
      <c r="L933" s="257"/>
      <c r="M933" s="209"/>
      <c r="N933" s="210"/>
      <c r="O933" s="198">
        <f>SUM(O919:O932)</f>
        <v>251.901749</v>
      </c>
      <c r="P933" s="267"/>
      <c r="Q933" s="166"/>
      <c r="R933" s="71"/>
    </row>
    <row r="934" spans="1:18" s="61" customFormat="1" ht="31.5" x14ac:dyDescent="0.25">
      <c r="A934" s="358"/>
      <c r="B934" s="361"/>
      <c r="C934" s="252" t="s">
        <v>237</v>
      </c>
      <c r="D934" s="156" t="s">
        <v>41</v>
      </c>
      <c r="E934" s="156" t="s">
        <v>61</v>
      </c>
      <c r="F934" s="156" t="s">
        <v>227</v>
      </c>
      <c r="G934" s="238">
        <f>MROUND(H934*L934*I934/K934,0.000000001)</f>
        <v>1.6722500000000001E-4</v>
      </c>
      <c r="H934" s="158">
        <f>H94</f>
        <v>4</v>
      </c>
      <c r="I934" s="159">
        <f>I932</f>
        <v>2.1153999999999999E-2</v>
      </c>
      <c r="J934" s="160"/>
      <c r="K934" s="161">
        <f>K932</f>
        <v>506</v>
      </c>
      <c r="L934" s="250">
        <v>1</v>
      </c>
      <c r="M934" s="163" t="str">
        <f>CONCATENATE(H934," ",F934,"*",I934,"/",K934,"чел.")</f>
        <v>4 автобуса*0,021154/506чел.</v>
      </c>
      <c r="N934" s="164">
        <f>N94</f>
        <v>25724</v>
      </c>
      <c r="O934" s="165">
        <f>MROUND(G934*N934,0.000001)</f>
        <v>4.3016959999999997</v>
      </c>
      <c r="P934" s="166"/>
      <c r="Q934" s="166">
        <f t="shared" si="200"/>
        <v>2176.6581759999999</v>
      </c>
      <c r="R934" s="71"/>
    </row>
    <row r="935" spans="1:18" s="62" customFormat="1" x14ac:dyDescent="0.25">
      <c r="A935" s="358"/>
      <c r="B935" s="361"/>
      <c r="C935" s="245" t="s">
        <v>297</v>
      </c>
      <c r="D935" s="240"/>
      <c r="E935" s="240"/>
      <c r="F935" s="240"/>
      <c r="G935" s="227"/>
      <c r="H935" s="241"/>
      <c r="I935" s="206"/>
      <c r="J935" s="228"/>
      <c r="K935" s="207"/>
      <c r="L935" s="257"/>
      <c r="M935" s="209"/>
      <c r="N935" s="210"/>
      <c r="O935" s="198">
        <f>SUM(O934)</f>
        <v>4.3016959999999997</v>
      </c>
      <c r="P935" s="267"/>
      <c r="Q935" s="166"/>
      <c r="R935" s="71"/>
    </row>
    <row r="936" spans="1:18" s="61" customFormat="1" ht="78.75" x14ac:dyDescent="0.25">
      <c r="A936" s="358"/>
      <c r="B936" s="361"/>
      <c r="C936" s="221" t="s">
        <v>236</v>
      </c>
      <c r="D936" s="156" t="s">
        <v>19</v>
      </c>
      <c r="E936" s="181" t="s">
        <v>20</v>
      </c>
      <c r="F936" s="181" t="s">
        <v>238</v>
      </c>
      <c r="G936" s="238">
        <f>MROUND(H936*L936*I936/K936,0.000001)</f>
        <v>0</v>
      </c>
      <c r="H936" s="158"/>
      <c r="I936" s="159">
        <f>I932</f>
        <v>2.1153999999999999E-2</v>
      </c>
      <c r="J936" s="160"/>
      <c r="K936" s="161">
        <f>K932</f>
        <v>506</v>
      </c>
      <c r="L936" s="250"/>
      <c r="M936" s="163"/>
      <c r="N936" s="164"/>
      <c r="O936" s="165">
        <f>MROUND(G936*N936,0.000001)</f>
        <v>0</v>
      </c>
      <c r="P936" s="166"/>
      <c r="Q936" s="166">
        <f t="shared" si="200"/>
        <v>0</v>
      </c>
      <c r="R936" s="71"/>
    </row>
    <row r="937" spans="1:18" s="62" customFormat="1" x14ac:dyDescent="0.25">
      <c r="A937" s="358"/>
      <c r="B937" s="361"/>
      <c r="C937" s="245" t="s">
        <v>298</v>
      </c>
      <c r="D937" s="240"/>
      <c r="E937" s="253"/>
      <c r="F937" s="253"/>
      <c r="G937" s="227"/>
      <c r="H937" s="241"/>
      <c r="I937" s="206"/>
      <c r="J937" s="228"/>
      <c r="K937" s="207"/>
      <c r="L937" s="257"/>
      <c r="M937" s="209"/>
      <c r="N937" s="210"/>
      <c r="O937" s="198">
        <f>SUM(O936)</f>
        <v>0</v>
      </c>
      <c r="P937" s="267"/>
      <c r="Q937" s="166"/>
      <c r="R937" s="71"/>
    </row>
    <row r="938" spans="1:18" s="61" customFormat="1" ht="30" x14ac:dyDescent="0.25">
      <c r="A938" s="358"/>
      <c r="B938" s="361"/>
      <c r="C938" s="365" t="s">
        <v>81</v>
      </c>
      <c r="D938" s="254" t="s">
        <v>410</v>
      </c>
      <c r="E938" s="156" t="s">
        <v>28</v>
      </c>
      <c r="F938" s="156" t="s">
        <v>28</v>
      </c>
      <c r="G938" s="238">
        <f>MROUND(H938*L938*I938/K938,0.0000000001)</f>
        <v>2.9264429999999999E-4</v>
      </c>
      <c r="H938" s="158">
        <f>H98</f>
        <v>7</v>
      </c>
      <c r="I938" s="159">
        <f>I932</f>
        <v>2.1153999999999999E-2</v>
      </c>
      <c r="J938" s="160"/>
      <c r="K938" s="161">
        <f>K932</f>
        <v>506</v>
      </c>
      <c r="L938" s="250">
        <v>1</v>
      </c>
      <c r="M938" s="163" t="str">
        <f>CONCATENATE(H938," ",F938,"*",I938,"/",K938,"чел.")</f>
        <v>7 шт*0,021154/506чел.</v>
      </c>
      <c r="N938" s="164">
        <f>N98</f>
        <v>152142.85714285713</v>
      </c>
      <c r="O938" s="165">
        <f>MROUND(G938*N938,0.000001)</f>
        <v>44.523739999999997</v>
      </c>
      <c r="P938" s="166"/>
      <c r="Q938" s="166">
        <f t="shared" si="200"/>
        <v>22529.012439999999</v>
      </c>
      <c r="R938" s="71"/>
    </row>
    <row r="939" spans="1:18" s="61" customFormat="1" x14ac:dyDescent="0.25">
      <c r="A939" s="358"/>
      <c r="B939" s="361"/>
      <c r="C939" s="366"/>
      <c r="D939" s="254" t="s">
        <v>325</v>
      </c>
      <c r="E939" s="156" t="s">
        <v>28</v>
      </c>
      <c r="F939" s="156" t="s">
        <v>28</v>
      </c>
      <c r="G939" s="157">
        <f>MROUND(H939*L939*I939/K939,0.0000000001)</f>
        <v>9.6154550000000002E-4</v>
      </c>
      <c r="H939" s="158">
        <f>$H$99</f>
        <v>23</v>
      </c>
      <c r="I939" s="159">
        <f>I938</f>
        <v>2.1153999999999999E-2</v>
      </c>
      <c r="J939" s="160"/>
      <c r="K939" s="161">
        <f>K938</f>
        <v>506</v>
      </c>
      <c r="L939" s="250">
        <v>1</v>
      </c>
      <c r="M939" s="163" t="str">
        <f>CONCATENATE(H939," ",F939,"*",I939,"/",K939,"чел.")</f>
        <v>23 шт*0,021154/506чел.</v>
      </c>
      <c r="N939" s="164">
        <f>$N$99</f>
        <v>229039.13043478262</v>
      </c>
      <c r="O939" s="165">
        <f>MROUND(G939*N939,0.000001)</f>
        <v>220.23154499999998</v>
      </c>
      <c r="P939" s="166"/>
      <c r="Q939" s="166">
        <f t="shared" si="200"/>
        <v>111437.16176999999</v>
      </c>
      <c r="R939" s="71"/>
    </row>
    <row r="940" spans="1:18" s="61" customFormat="1" ht="30" x14ac:dyDescent="0.25">
      <c r="A940" s="358"/>
      <c r="B940" s="361"/>
      <c r="C940" s="366"/>
      <c r="D940" s="254" t="s">
        <v>411</v>
      </c>
      <c r="E940" s="156" t="s">
        <v>28</v>
      </c>
      <c r="F940" s="156" t="s">
        <v>28</v>
      </c>
      <c r="G940" s="238">
        <f>MROUND(H940*L940*I940/K940,0.00000001)</f>
        <v>2.9263999999999999E-4</v>
      </c>
      <c r="H940" s="158">
        <f>$H$100</f>
        <v>7</v>
      </c>
      <c r="I940" s="159">
        <f>I938</f>
        <v>2.1153999999999999E-2</v>
      </c>
      <c r="J940" s="160"/>
      <c r="K940" s="161">
        <f>K938</f>
        <v>506</v>
      </c>
      <c r="L940" s="250">
        <v>1</v>
      </c>
      <c r="M940" s="163" t="str">
        <f t="shared" ref="M940:M961" si="206">CONCATENATE(H940," ",F940,"*",I940,"/",K940,"чел.")</f>
        <v>7 шт*0,021154/506чел.</v>
      </c>
      <c r="N940" s="164">
        <f t="shared" ref="N940:N954" si="207">N100</f>
        <v>82142.857142857145</v>
      </c>
      <c r="O940" s="165">
        <f t="shared" ref="O940:O961" si="208">MROUND(G940*N940,0.000001)</f>
        <v>24.038285999999999</v>
      </c>
      <c r="P940" s="166"/>
      <c r="Q940" s="166">
        <f t="shared" si="200"/>
        <v>12163.372716</v>
      </c>
      <c r="R940" s="71"/>
    </row>
    <row r="941" spans="1:18" s="61" customFormat="1" x14ac:dyDescent="0.25">
      <c r="A941" s="358"/>
      <c r="B941" s="361"/>
      <c r="C941" s="366"/>
      <c r="D941" s="255" t="s">
        <v>412</v>
      </c>
      <c r="E941" s="156" t="s">
        <v>28</v>
      </c>
      <c r="F941" s="156" t="s">
        <v>28</v>
      </c>
      <c r="G941" s="238">
        <f>MROUND(H941*L941*I941/K941,0.00000001)</f>
        <v>1.4632200000000001E-3</v>
      </c>
      <c r="H941" s="158">
        <f>$H$101</f>
        <v>35</v>
      </c>
      <c r="I941" s="159">
        <f>I940</f>
        <v>2.1153999999999999E-2</v>
      </c>
      <c r="J941" s="160"/>
      <c r="K941" s="161">
        <f>K940</f>
        <v>506</v>
      </c>
      <c r="L941" s="250">
        <v>1</v>
      </c>
      <c r="M941" s="163" t="str">
        <f t="shared" si="206"/>
        <v>35 шт*0,021154/506чел.</v>
      </c>
      <c r="N941" s="164">
        <f t="shared" si="207"/>
        <v>126114.97142857143</v>
      </c>
      <c r="O941" s="165">
        <f t="shared" si="208"/>
        <v>184.53394799999998</v>
      </c>
      <c r="P941" s="166"/>
      <c r="Q941" s="166">
        <f t="shared" si="200"/>
        <v>93374.177687999996</v>
      </c>
      <c r="R941" s="71"/>
    </row>
    <row r="942" spans="1:18" s="61" customFormat="1" ht="31.5" x14ac:dyDescent="0.25">
      <c r="A942" s="358"/>
      <c r="B942" s="361"/>
      <c r="C942" s="366"/>
      <c r="D942" s="255" t="s">
        <v>413</v>
      </c>
      <c r="E942" s="156" t="s">
        <v>28</v>
      </c>
      <c r="F942" s="156" t="s">
        <v>28</v>
      </c>
      <c r="G942" s="238">
        <f>MROUND(H942*L942*I942/K942,0.0000000001)</f>
        <v>6.2709490000000001E-4</v>
      </c>
      <c r="H942" s="158">
        <f>H102</f>
        <v>15</v>
      </c>
      <c r="I942" s="159">
        <f>I941</f>
        <v>2.1153999999999999E-2</v>
      </c>
      <c r="J942" s="160"/>
      <c r="K942" s="161">
        <f>K941</f>
        <v>506</v>
      </c>
      <c r="L942" s="250">
        <v>1</v>
      </c>
      <c r="M942" s="163" t="str">
        <f t="shared" si="206"/>
        <v>15 шт*0,021154/506чел.</v>
      </c>
      <c r="N942" s="164">
        <f t="shared" si="207"/>
        <v>75333.333333333328</v>
      </c>
      <c r="O942" s="165">
        <f t="shared" si="208"/>
        <v>47.241149</v>
      </c>
      <c r="P942" s="166"/>
      <c r="Q942" s="166">
        <f t="shared" si="200"/>
        <v>23904.021393999999</v>
      </c>
      <c r="R942" s="71"/>
    </row>
    <row r="943" spans="1:18" s="61" customFormat="1" x14ac:dyDescent="0.25">
      <c r="A943" s="358"/>
      <c r="B943" s="361"/>
      <c r="C943" s="366"/>
      <c r="D943" s="254" t="s">
        <v>109</v>
      </c>
      <c r="E943" s="156" t="s">
        <v>28</v>
      </c>
      <c r="F943" s="156" t="s">
        <v>28</v>
      </c>
      <c r="G943" s="238">
        <f>MROUND(H943*L943*I943/K943,0.0000000001)</f>
        <v>6.6890120000000003E-4</v>
      </c>
      <c r="H943" s="158">
        <f>$H$103</f>
        <v>16</v>
      </c>
      <c r="I943" s="159">
        <f>I942</f>
        <v>2.1153999999999999E-2</v>
      </c>
      <c r="J943" s="160"/>
      <c r="K943" s="161">
        <f>K942</f>
        <v>506</v>
      </c>
      <c r="L943" s="250">
        <v>1</v>
      </c>
      <c r="M943" s="163" t="str">
        <f t="shared" si="206"/>
        <v>16 шт*0,021154/506чел.</v>
      </c>
      <c r="N943" s="164">
        <f t="shared" si="207"/>
        <v>169687.5</v>
      </c>
      <c r="O943" s="165">
        <f t="shared" si="208"/>
        <v>113.504172</v>
      </c>
      <c r="P943" s="166"/>
      <c r="Q943" s="166">
        <f t="shared" si="200"/>
        <v>57433.111032000001</v>
      </c>
      <c r="R943" s="71"/>
    </row>
    <row r="944" spans="1:18" s="61" customFormat="1" x14ac:dyDescent="0.25">
      <c r="A944" s="358"/>
      <c r="B944" s="361"/>
      <c r="C944" s="366"/>
      <c r="D944" s="254" t="s">
        <v>414</v>
      </c>
      <c r="E944" s="156" t="s">
        <v>28</v>
      </c>
      <c r="F944" s="156" t="s">
        <v>28</v>
      </c>
      <c r="G944" s="238">
        <f>MROUND(H944*L944*I944/K944,0.0000000001)</f>
        <v>3.7625690000000003E-4</v>
      </c>
      <c r="H944" s="158">
        <f>$H$104</f>
        <v>9</v>
      </c>
      <c r="I944" s="159">
        <f>I942</f>
        <v>2.1153999999999999E-2</v>
      </c>
      <c r="J944" s="160"/>
      <c r="K944" s="161">
        <f>K942</f>
        <v>506</v>
      </c>
      <c r="L944" s="250">
        <v>1</v>
      </c>
      <c r="M944" s="163" t="str">
        <f t="shared" si="206"/>
        <v>9 шт*0,021154/506чел.</v>
      </c>
      <c r="N944" s="164">
        <f t="shared" si="207"/>
        <v>89333.333333333328</v>
      </c>
      <c r="O944" s="165">
        <f t="shared" si="208"/>
        <v>33.612282999999998</v>
      </c>
      <c r="P944" s="166"/>
      <c r="Q944" s="166">
        <f t="shared" si="200"/>
        <v>17007.815198</v>
      </c>
      <c r="R944" s="71"/>
    </row>
    <row r="945" spans="1:18" s="61" customFormat="1" x14ac:dyDescent="0.25">
      <c r="A945" s="358"/>
      <c r="B945" s="361"/>
      <c r="C945" s="366"/>
      <c r="D945" s="254" t="s">
        <v>415</v>
      </c>
      <c r="E945" s="156" t="s">
        <v>28</v>
      </c>
      <c r="F945" s="156" t="s">
        <v>28</v>
      </c>
      <c r="G945" s="238">
        <f>MROUND(H945*L945*I945/K945,0.00000001)</f>
        <v>4.5987000000000003E-4</v>
      </c>
      <c r="H945" s="158">
        <f>$H$105</f>
        <v>11</v>
      </c>
      <c r="I945" s="159">
        <f t="shared" ref="I945:I954" si="209">I943</f>
        <v>2.1153999999999999E-2</v>
      </c>
      <c r="J945" s="160"/>
      <c r="K945" s="161">
        <f t="shared" ref="K945:K954" si="210">K943</f>
        <v>506</v>
      </c>
      <c r="L945" s="250">
        <v>1</v>
      </c>
      <c r="M945" s="163" t="str">
        <f t="shared" si="206"/>
        <v>11 шт*0,021154/506чел.</v>
      </c>
      <c r="N945" s="164">
        <f t="shared" si="207"/>
        <v>122181.81818181818</v>
      </c>
      <c r="O945" s="165">
        <f t="shared" si="208"/>
        <v>56.187753000000001</v>
      </c>
      <c r="P945" s="166"/>
      <c r="Q945" s="166">
        <f t="shared" si="200"/>
        <v>28431.003017999999</v>
      </c>
      <c r="R945" s="71"/>
    </row>
    <row r="946" spans="1:18" s="61" customFormat="1" x14ac:dyDescent="0.25">
      <c r="A946" s="358"/>
      <c r="B946" s="361"/>
      <c r="C946" s="366"/>
      <c r="D946" s="254" t="s">
        <v>416</v>
      </c>
      <c r="E946" s="156" t="s">
        <v>28</v>
      </c>
      <c r="F946" s="156" t="s">
        <v>28</v>
      </c>
      <c r="G946" s="238">
        <f>MROUND(H946*L946*I946/K946,0.000000001)</f>
        <v>8.3612600000000008E-4</v>
      </c>
      <c r="H946" s="246">
        <f>$H$106</f>
        <v>20</v>
      </c>
      <c r="I946" s="159">
        <f t="shared" si="209"/>
        <v>2.1153999999999999E-2</v>
      </c>
      <c r="J946" s="160"/>
      <c r="K946" s="161">
        <f t="shared" si="210"/>
        <v>506</v>
      </c>
      <c r="L946" s="250">
        <v>1</v>
      </c>
      <c r="M946" s="163" t="str">
        <f t="shared" si="206"/>
        <v>20 шт*0,021154/506чел.</v>
      </c>
      <c r="N946" s="164">
        <f t="shared" si="207"/>
        <v>52500</v>
      </c>
      <c r="O946" s="165">
        <f t="shared" si="208"/>
        <v>43.896614999999997</v>
      </c>
      <c r="P946" s="166"/>
      <c r="Q946" s="166">
        <f t="shared" si="200"/>
        <v>22211.687189999997</v>
      </c>
      <c r="R946" s="71"/>
    </row>
    <row r="947" spans="1:18" s="61" customFormat="1" x14ac:dyDescent="0.25">
      <c r="A947" s="358"/>
      <c r="B947" s="361"/>
      <c r="C947" s="366"/>
      <c r="D947" s="254" t="s">
        <v>417</v>
      </c>
      <c r="E947" s="156" t="s">
        <v>28</v>
      </c>
      <c r="F947" s="156" t="s">
        <v>28</v>
      </c>
      <c r="G947" s="238">
        <f>MROUND(H947*L947*I947/K947,0.00000001)</f>
        <v>7.1071000000000003E-4</v>
      </c>
      <c r="H947" s="158">
        <f>$H$107</f>
        <v>17</v>
      </c>
      <c r="I947" s="159">
        <f t="shared" si="209"/>
        <v>2.1153999999999999E-2</v>
      </c>
      <c r="J947" s="160"/>
      <c r="K947" s="161">
        <f t="shared" si="210"/>
        <v>506</v>
      </c>
      <c r="L947" s="250">
        <v>1</v>
      </c>
      <c r="M947" s="163" t="str">
        <f t="shared" si="206"/>
        <v>17 шт*0,021154/506чел.</v>
      </c>
      <c r="N947" s="164">
        <f t="shared" si="207"/>
        <v>75000</v>
      </c>
      <c r="O947" s="165">
        <f t="shared" si="208"/>
        <v>53.303249999999998</v>
      </c>
      <c r="P947" s="166"/>
      <c r="Q947" s="166">
        <f t="shared" si="200"/>
        <v>26971.444499999998</v>
      </c>
      <c r="R947" s="71"/>
    </row>
    <row r="948" spans="1:18" s="61" customFormat="1" ht="30" x14ac:dyDescent="0.25">
      <c r="A948" s="358"/>
      <c r="B948" s="361"/>
      <c r="C948" s="366"/>
      <c r="D948" s="254" t="s">
        <v>418</v>
      </c>
      <c r="E948" s="156" t="s">
        <v>28</v>
      </c>
      <c r="F948" s="156" t="s">
        <v>28</v>
      </c>
      <c r="G948" s="238">
        <f>MROUND(H948*L948*I948/K948,0.00000001)</f>
        <v>3.7626000000000001E-4</v>
      </c>
      <c r="H948" s="158">
        <f>H108</f>
        <v>9</v>
      </c>
      <c r="I948" s="159">
        <f t="shared" si="209"/>
        <v>2.1153999999999999E-2</v>
      </c>
      <c r="J948" s="160"/>
      <c r="K948" s="161">
        <f t="shared" si="210"/>
        <v>506</v>
      </c>
      <c r="L948" s="250">
        <v>1</v>
      </c>
      <c r="M948" s="163" t="str">
        <f t="shared" si="206"/>
        <v>9 шт*0,021154/506чел.</v>
      </c>
      <c r="N948" s="164">
        <f t="shared" si="207"/>
        <v>66666.666666666672</v>
      </c>
      <c r="O948" s="165">
        <f t="shared" si="208"/>
        <v>25.084</v>
      </c>
      <c r="P948" s="166"/>
      <c r="Q948" s="166">
        <f t="shared" si="200"/>
        <v>12692.503999999999</v>
      </c>
      <c r="R948" s="71"/>
    </row>
    <row r="949" spans="1:18" s="61" customFormat="1" x14ac:dyDescent="0.25">
      <c r="A949" s="358"/>
      <c r="B949" s="361"/>
      <c r="C949" s="366"/>
      <c r="D949" s="254" t="s">
        <v>324</v>
      </c>
      <c r="E949" s="156" t="s">
        <v>28</v>
      </c>
      <c r="F949" s="156" t="s">
        <v>28</v>
      </c>
      <c r="G949" s="238">
        <f>MROUND(H949*L949*I949/K949,0.000000001)</f>
        <v>7.5251400000000003E-4</v>
      </c>
      <c r="H949" s="158">
        <f>$H$109</f>
        <v>18</v>
      </c>
      <c r="I949" s="159">
        <f t="shared" si="209"/>
        <v>2.1153999999999999E-2</v>
      </c>
      <c r="J949" s="160"/>
      <c r="K949" s="161">
        <f t="shared" si="210"/>
        <v>506</v>
      </c>
      <c r="L949" s="250">
        <v>1</v>
      </c>
      <c r="M949" s="163" t="str">
        <f t="shared" si="206"/>
        <v>18 шт*0,021154/506чел.</v>
      </c>
      <c r="N949" s="164">
        <f t="shared" si="207"/>
        <v>365277.77777777775</v>
      </c>
      <c r="O949" s="165">
        <f t="shared" si="208"/>
        <v>274.876642</v>
      </c>
      <c r="P949" s="166"/>
      <c r="Q949" s="166">
        <f t="shared" si="200"/>
        <v>139087.58085200001</v>
      </c>
      <c r="R949" s="71"/>
    </row>
    <row r="950" spans="1:18" s="61" customFormat="1" x14ac:dyDescent="0.25">
      <c r="A950" s="358"/>
      <c r="B950" s="361"/>
      <c r="C950" s="366"/>
      <c r="D950" s="254" t="s">
        <v>419</v>
      </c>
      <c r="E950" s="156" t="s">
        <v>28</v>
      </c>
      <c r="F950" s="156" t="s">
        <v>28</v>
      </c>
      <c r="G950" s="238">
        <f>MROUND(H950*L950*I950/K950,0.000000001)</f>
        <v>1.0033520000000001E-3</v>
      </c>
      <c r="H950" s="246">
        <f>$H$110</f>
        <v>24</v>
      </c>
      <c r="I950" s="159">
        <f t="shared" si="209"/>
        <v>2.1153999999999999E-2</v>
      </c>
      <c r="J950" s="160"/>
      <c r="K950" s="161">
        <f t="shared" si="210"/>
        <v>506</v>
      </c>
      <c r="L950" s="250">
        <v>1</v>
      </c>
      <c r="M950" s="163" t="str">
        <f t="shared" si="206"/>
        <v>24 шт*0,021154/506чел.</v>
      </c>
      <c r="N950" s="164">
        <f t="shared" si="207"/>
        <v>32416.666666666668</v>
      </c>
      <c r="O950" s="165">
        <f t="shared" si="208"/>
        <v>32.525326999999997</v>
      </c>
      <c r="P950" s="166"/>
      <c r="Q950" s="166">
        <f t="shared" si="200"/>
        <v>16457.815461999999</v>
      </c>
      <c r="R950" s="71"/>
    </row>
    <row r="951" spans="1:18" s="61" customFormat="1" x14ac:dyDescent="0.25">
      <c r="A951" s="358"/>
      <c r="B951" s="361"/>
      <c r="C951" s="366"/>
      <c r="D951" s="254" t="s">
        <v>420</v>
      </c>
      <c r="E951" s="156" t="s">
        <v>28</v>
      </c>
      <c r="F951" s="156" t="s">
        <v>28</v>
      </c>
      <c r="G951" s="238">
        <f>MROUND(H951*L951*I951/K951,0.000000001)</f>
        <v>6.2709500000000004E-4</v>
      </c>
      <c r="H951" s="158">
        <f>H111</f>
        <v>15</v>
      </c>
      <c r="I951" s="159">
        <f t="shared" si="209"/>
        <v>2.1153999999999999E-2</v>
      </c>
      <c r="J951" s="160"/>
      <c r="K951" s="161">
        <f t="shared" si="210"/>
        <v>506</v>
      </c>
      <c r="L951" s="250">
        <v>1</v>
      </c>
      <c r="M951" s="163" t="str">
        <f t="shared" si="206"/>
        <v>15 шт*0,021154/506чел.</v>
      </c>
      <c r="N951" s="164">
        <f t="shared" si="207"/>
        <v>127666.66666666667</v>
      </c>
      <c r="O951" s="165">
        <f t="shared" si="208"/>
        <v>80.059128000000001</v>
      </c>
      <c r="P951" s="166"/>
      <c r="Q951" s="166">
        <f t="shared" si="200"/>
        <v>40509.918768000003</v>
      </c>
      <c r="R951" s="71"/>
    </row>
    <row r="952" spans="1:18" s="61" customFormat="1" x14ac:dyDescent="0.25">
      <c r="A952" s="358"/>
      <c r="B952" s="361"/>
      <c r="C952" s="366"/>
      <c r="D952" s="254" t="s">
        <v>421</v>
      </c>
      <c r="E952" s="156" t="s">
        <v>28</v>
      </c>
      <c r="F952" s="156" t="s">
        <v>28</v>
      </c>
      <c r="G952" s="238">
        <f>MROUND(H952*L952*I952/K952,0.00000001)</f>
        <v>1.2123800000000001E-3</v>
      </c>
      <c r="H952" s="158">
        <f>$H$112</f>
        <v>29</v>
      </c>
      <c r="I952" s="159">
        <f t="shared" si="209"/>
        <v>2.1153999999999999E-2</v>
      </c>
      <c r="J952" s="160"/>
      <c r="K952" s="161">
        <f t="shared" si="210"/>
        <v>506</v>
      </c>
      <c r="L952" s="250">
        <v>1</v>
      </c>
      <c r="M952" s="163" t="str">
        <f t="shared" si="206"/>
        <v>29 шт*0,021154/506чел.</v>
      </c>
      <c r="N952" s="164">
        <f t="shared" si="207"/>
        <v>13517.241379310344</v>
      </c>
      <c r="O952" s="165">
        <f t="shared" si="208"/>
        <v>16.388033</v>
      </c>
      <c r="P952" s="166"/>
      <c r="Q952" s="166">
        <f t="shared" si="200"/>
        <v>8292.3446980000008</v>
      </c>
      <c r="R952" s="71"/>
    </row>
    <row r="953" spans="1:18" s="61" customFormat="1" ht="30" x14ac:dyDescent="0.25">
      <c r="A953" s="358"/>
      <c r="B953" s="361"/>
      <c r="C953" s="366"/>
      <c r="D953" s="254" t="s">
        <v>422</v>
      </c>
      <c r="E953" s="156" t="s">
        <v>28</v>
      </c>
      <c r="F953" s="156" t="s">
        <v>28</v>
      </c>
      <c r="G953" s="266">
        <f>MROUND(H953*L953*I953/K953,0.00000001)</f>
        <v>7.5250999999999996E-4</v>
      </c>
      <c r="H953" s="158">
        <f>H833</f>
        <v>18</v>
      </c>
      <c r="I953" s="159">
        <f t="shared" si="209"/>
        <v>2.1153999999999999E-2</v>
      </c>
      <c r="J953" s="160"/>
      <c r="K953" s="161">
        <f t="shared" si="210"/>
        <v>506</v>
      </c>
      <c r="L953" s="250">
        <v>1</v>
      </c>
      <c r="M953" s="163" t="str">
        <f t="shared" si="206"/>
        <v>18 шт*0,021154/506чел.</v>
      </c>
      <c r="N953" s="164">
        <f t="shared" si="207"/>
        <v>34944.444444444445</v>
      </c>
      <c r="O953" s="165">
        <f t="shared" si="208"/>
        <v>26.296043999999998</v>
      </c>
      <c r="P953" s="166"/>
      <c r="Q953" s="166">
        <f t="shared" si="200"/>
        <v>13305.798263999999</v>
      </c>
      <c r="R953" s="71"/>
    </row>
    <row r="954" spans="1:18" s="61" customFormat="1" x14ac:dyDescent="0.25">
      <c r="A954" s="358"/>
      <c r="B954" s="361"/>
      <c r="C954" s="366"/>
      <c r="D954" s="254" t="s">
        <v>423</v>
      </c>
      <c r="E954" s="156" t="s">
        <v>28</v>
      </c>
      <c r="F954" s="156" t="s">
        <v>28</v>
      </c>
      <c r="G954" s="238">
        <f>MROUND(H954*L954*I954/K954,0.000000001)</f>
        <v>8.3612600000000008E-4</v>
      </c>
      <c r="H954" s="158">
        <f>$H$114</f>
        <v>20</v>
      </c>
      <c r="I954" s="159">
        <f t="shared" si="209"/>
        <v>2.1153999999999999E-2</v>
      </c>
      <c r="J954" s="160"/>
      <c r="K954" s="161">
        <f t="shared" si="210"/>
        <v>506</v>
      </c>
      <c r="L954" s="250">
        <v>1</v>
      </c>
      <c r="M954" s="163" t="str">
        <f t="shared" si="206"/>
        <v>20 шт*0,021154/506чел.</v>
      </c>
      <c r="N954" s="164">
        <f t="shared" si="207"/>
        <v>74500</v>
      </c>
      <c r="O954" s="165">
        <f t="shared" si="208"/>
        <v>62.291387</v>
      </c>
      <c r="P954" s="166"/>
      <c r="Q954" s="166">
        <f t="shared" si="200"/>
        <v>31519.441822000001</v>
      </c>
      <c r="R954" s="71"/>
    </row>
    <row r="955" spans="1:18" s="61" customFormat="1" x14ac:dyDescent="0.25">
      <c r="A955" s="358"/>
      <c r="B955" s="361"/>
      <c r="C955" s="366"/>
      <c r="D955" s="254" t="s">
        <v>424</v>
      </c>
      <c r="E955" s="156" t="s">
        <v>28</v>
      </c>
      <c r="F955" s="156" t="s">
        <v>28</v>
      </c>
      <c r="G955" s="238">
        <f t="shared" ref="G955:G961" si="211">MROUND(H955*L955*I955/K955,0.00000001)</f>
        <v>1.4632200000000001E-3</v>
      </c>
      <c r="H955" s="158">
        <f>H475</f>
        <v>35</v>
      </c>
      <c r="I955" s="159">
        <f>I944</f>
        <v>2.1153999999999999E-2</v>
      </c>
      <c r="J955" s="160"/>
      <c r="K955" s="161">
        <f>K944</f>
        <v>506</v>
      </c>
      <c r="L955" s="250">
        <v>1</v>
      </c>
      <c r="M955" s="163" t="str">
        <f t="shared" si="206"/>
        <v>35 шт*0,021154/506чел.</v>
      </c>
      <c r="N955" s="164">
        <f>N475</f>
        <v>34285.714285714283</v>
      </c>
      <c r="O955" s="165">
        <f t="shared" si="208"/>
        <v>50.167542999999995</v>
      </c>
      <c r="P955" s="166"/>
      <c r="Q955" s="166">
        <f t="shared" si="200"/>
        <v>25384.776757999996</v>
      </c>
      <c r="R955" s="71"/>
    </row>
    <row r="956" spans="1:18" s="61" customFormat="1" x14ac:dyDescent="0.25">
      <c r="A956" s="358"/>
      <c r="B956" s="361"/>
      <c r="C956" s="366"/>
      <c r="D956" s="254" t="s">
        <v>425</v>
      </c>
      <c r="E956" s="156" t="s">
        <v>28</v>
      </c>
      <c r="F956" s="156" t="s">
        <v>28</v>
      </c>
      <c r="G956" s="277">
        <f t="shared" si="211"/>
        <v>1.4632200000000001E-3</v>
      </c>
      <c r="H956" s="158">
        <f>H116</f>
        <v>35</v>
      </c>
      <c r="I956" s="159">
        <f t="shared" ref="I956:I961" si="212">I955</f>
        <v>2.1153999999999999E-2</v>
      </c>
      <c r="J956" s="160"/>
      <c r="K956" s="161">
        <f t="shared" ref="K956:K961" si="213">K955</f>
        <v>506</v>
      </c>
      <c r="L956" s="250">
        <v>1</v>
      </c>
      <c r="M956" s="163" t="str">
        <f t="shared" si="206"/>
        <v>35 шт*0,021154/506чел.</v>
      </c>
      <c r="N956" s="164">
        <f t="shared" ref="N956:N961" si="214">N116</f>
        <v>19102.857142857141</v>
      </c>
      <c r="O956" s="165">
        <f t="shared" si="208"/>
        <v>27.951682999999999</v>
      </c>
      <c r="P956" s="166"/>
      <c r="Q956" s="166">
        <f t="shared" si="200"/>
        <v>14143.551598</v>
      </c>
      <c r="R956" s="71"/>
    </row>
    <row r="957" spans="1:18" s="61" customFormat="1" x14ac:dyDescent="0.25">
      <c r="A957" s="358"/>
      <c r="B957" s="361"/>
      <c r="C957" s="366"/>
      <c r="D957" s="254" t="s">
        <v>108</v>
      </c>
      <c r="E957" s="156" t="s">
        <v>28</v>
      </c>
      <c r="F957" s="156" t="s">
        <v>28</v>
      </c>
      <c r="G957" s="238">
        <f t="shared" si="211"/>
        <v>3.6162470000000002E-2</v>
      </c>
      <c r="H957" s="158">
        <f>$H$117</f>
        <v>865</v>
      </c>
      <c r="I957" s="159">
        <f t="shared" si="212"/>
        <v>2.1153999999999999E-2</v>
      </c>
      <c r="J957" s="160"/>
      <c r="K957" s="161">
        <f t="shared" si="213"/>
        <v>506</v>
      </c>
      <c r="L957" s="250">
        <v>1</v>
      </c>
      <c r="M957" s="163" t="str">
        <f t="shared" si="206"/>
        <v>865 шт*0,021154/506чел.</v>
      </c>
      <c r="N957" s="164">
        <f t="shared" si="214"/>
        <v>779.36416184971097</v>
      </c>
      <c r="O957" s="165">
        <f t="shared" si="208"/>
        <v>28.183733</v>
      </c>
      <c r="P957" s="166"/>
      <c r="Q957" s="166">
        <f t="shared" si="200"/>
        <v>14260.968897999999</v>
      </c>
      <c r="R957" s="71"/>
    </row>
    <row r="958" spans="1:18" s="61" customFormat="1" x14ac:dyDescent="0.25">
      <c r="A958" s="358"/>
      <c r="B958" s="361"/>
      <c r="C958" s="366"/>
      <c r="D958" s="254" t="s">
        <v>426</v>
      </c>
      <c r="E958" s="156" t="s">
        <v>28</v>
      </c>
      <c r="F958" s="156" t="s">
        <v>28</v>
      </c>
      <c r="G958" s="238">
        <f t="shared" si="211"/>
        <v>1.8394800000000001E-3</v>
      </c>
      <c r="H958" s="158">
        <f>H238</f>
        <v>44</v>
      </c>
      <c r="I958" s="159">
        <f t="shared" si="212"/>
        <v>2.1153999999999999E-2</v>
      </c>
      <c r="J958" s="160"/>
      <c r="K958" s="161">
        <f t="shared" si="213"/>
        <v>506</v>
      </c>
      <c r="L958" s="250">
        <v>1</v>
      </c>
      <c r="M958" s="163" t="str">
        <f t="shared" si="206"/>
        <v>44 шт*0,021154/506чел.</v>
      </c>
      <c r="N958" s="164">
        <f t="shared" si="214"/>
        <v>12416.954545454546</v>
      </c>
      <c r="O958" s="165">
        <f t="shared" si="208"/>
        <v>22.84074</v>
      </c>
      <c r="P958" s="166"/>
      <c r="Q958" s="166">
        <f t="shared" si="200"/>
        <v>11557.41444</v>
      </c>
      <c r="R958" s="71"/>
    </row>
    <row r="959" spans="1:18" s="61" customFormat="1" x14ac:dyDescent="0.25">
      <c r="A959" s="358"/>
      <c r="B959" s="361"/>
      <c r="C959" s="366"/>
      <c r="D959" s="254" t="s">
        <v>427</v>
      </c>
      <c r="E959" s="156" t="s">
        <v>28</v>
      </c>
      <c r="F959" s="156" t="s">
        <v>28</v>
      </c>
      <c r="G959" s="238">
        <f t="shared" si="211"/>
        <v>2.7592200000000002E-3</v>
      </c>
      <c r="H959" s="158">
        <f>H119</f>
        <v>66</v>
      </c>
      <c r="I959" s="159">
        <f t="shared" si="212"/>
        <v>2.1153999999999999E-2</v>
      </c>
      <c r="J959" s="160"/>
      <c r="K959" s="161">
        <f t="shared" si="213"/>
        <v>506</v>
      </c>
      <c r="L959" s="250">
        <v>1</v>
      </c>
      <c r="M959" s="163" t="str">
        <f t="shared" si="206"/>
        <v>66 шт*0,021154/506чел.</v>
      </c>
      <c r="N959" s="164">
        <f t="shared" si="214"/>
        <v>13060.60606060606</v>
      </c>
      <c r="O959" s="165">
        <f t="shared" si="208"/>
        <v>36.037084999999998</v>
      </c>
      <c r="P959" s="166"/>
      <c r="Q959" s="166">
        <f t="shared" si="200"/>
        <v>18234.765009999999</v>
      </c>
      <c r="R959" s="71"/>
    </row>
    <row r="960" spans="1:18" s="61" customFormat="1" x14ac:dyDescent="0.25">
      <c r="A960" s="358"/>
      <c r="B960" s="361"/>
      <c r="C960" s="366"/>
      <c r="D960" s="254" t="s">
        <v>428</v>
      </c>
      <c r="E960" s="156" t="s">
        <v>28</v>
      </c>
      <c r="F960" s="156" t="s">
        <v>28</v>
      </c>
      <c r="G960" s="238">
        <f t="shared" si="211"/>
        <v>1.4423180000000001E-2</v>
      </c>
      <c r="H960" s="158">
        <f>H120</f>
        <v>345</v>
      </c>
      <c r="I960" s="159">
        <f t="shared" si="212"/>
        <v>2.1153999999999999E-2</v>
      </c>
      <c r="J960" s="160"/>
      <c r="K960" s="161">
        <f t="shared" si="213"/>
        <v>506</v>
      </c>
      <c r="L960" s="250">
        <v>1</v>
      </c>
      <c r="M960" s="163" t="str">
        <f t="shared" si="206"/>
        <v>345 шт*0,021154/506чел.</v>
      </c>
      <c r="N960" s="164">
        <f t="shared" si="214"/>
        <v>8520.7246376811599</v>
      </c>
      <c r="O960" s="165">
        <f t="shared" si="208"/>
        <v>122.895945</v>
      </c>
      <c r="P960" s="166"/>
      <c r="Q960" s="166">
        <f t="shared" si="200"/>
        <v>62185.348169999997</v>
      </c>
      <c r="R960" s="71"/>
    </row>
    <row r="961" spans="1:18" s="61" customFormat="1" x14ac:dyDescent="0.25">
      <c r="A961" s="358"/>
      <c r="B961" s="361"/>
      <c r="C961" s="366"/>
      <c r="D961" s="255" t="s">
        <v>429</v>
      </c>
      <c r="E961" s="156" t="s">
        <v>28</v>
      </c>
      <c r="F961" s="156" t="s">
        <v>28</v>
      </c>
      <c r="G961" s="238">
        <f t="shared" si="211"/>
        <v>2.0485099999999999E-3</v>
      </c>
      <c r="H961" s="158">
        <f>H121</f>
        <v>49</v>
      </c>
      <c r="I961" s="159">
        <f t="shared" si="212"/>
        <v>2.1153999999999999E-2</v>
      </c>
      <c r="J961" s="160"/>
      <c r="K961" s="161">
        <f t="shared" si="213"/>
        <v>506</v>
      </c>
      <c r="L961" s="250">
        <v>1</v>
      </c>
      <c r="M961" s="163" t="str">
        <f t="shared" si="206"/>
        <v>49 шт*0,021154/506чел.</v>
      </c>
      <c r="N961" s="164">
        <f t="shared" si="214"/>
        <v>53775.510204081635</v>
      </c>
      <c r="O961" s="165">
        <f t="shared" si="208"/>
        <v>110.15966999999999</v>
      </c>
      <c r="P961" s="166"/>
      <c r="Q961" s="166">
        <f t="shared" si="200"/>
        <v>55740.793019999997</v>
      </c>
      <c r="R961" s="71"/>
    </row>
    <row r="962" spans="1:18" s="62" customFormat="1" x14ac:dyDescent="0.25">
      <c r="A962" s="358"/>
      <c r="B962" s="361"/>
      <c r="C962" s="249" t="s">
        <v>299</v>
      </c>
      <c r="D962" s="256"/>
      <c r="E962" s="240"/>
      <c r="F962" s="240"/>
      <c r="G962" s="227"/>
      <c r="H962" s="241"/>
      <c r="I962" s="206"/>
      <c r="J962" s="228"/>
      <c r="K962" s="207"/>
      <c r="L962" s="257"/>
      <c r="M962" s="209"/>
      <c r="N962" s="210"/>
      <c r="O962" s="198">
        <f>SUM(O938:O961)</f>
        <v>1736.8297010000001</v>
      </c>
      <c r="P962" s="267"/>
      <c r="Q962" s="166"/>
      <c r="R962" s="71"/>
    </row>
    <row r="963" spans="1:18" s="61" customFormat="1" ht="110.25" x14ac:dyDescent="0.25">
      <c r="A963" s="358"/>
      <c r="B963" s="361"/>
      <c r="C963" s="221" t="s">
        <v>82</v>
      </c>
      <c r="D963" s="156" t="s">
        <v>46</v>
      </c>
      <c r="E963" s="156" t="s">
        <v>54</v>
      </c>
      <c r="F963" s="156" t="s">
        <v>285</v>
      </c>
      <c r="G963" s="238">
        <f>MROUND(H963*L963*I963/K963,0.000001)</f>
        <v>0.47282999999999997</v>
      </c>
      <c r="H963" s="242">
        <f>H123</f>
        <v>1028.181818181818</v>
      </c>
      <c r="I963" s="159">
        <f>I961</f>
        <v>2.1153999999999999E-2</v>
      </c>
      <c r="J963" s="160"/>
      <c r="K963" s="161">
        <f>K961</f>
        <v>506</v>
      </c>
      <c r="L963" s="225">
        <f>L603</f>
        <v>11</v>
      </c>
      <c r="M963" s="163" t="str">
        <f>CONCATENATE(H963," ",F963,"*",L963,"автобуса","*",I963,"/",K963,"чел.")</f>
        <v>1028,18181818182 л бензина АИ 92 (12,5л/день(зимой)*20дней*7мес+10л/день(летом)*20дней*4мес)*11автобуса*0,021154/506чел.</v>
      </c>
      <c r="N963" s="164">
        <f>N123</f>
        <v>54.500000000000007</v>
      </c>
      <c r="O963" s="165">
        <f>MROUND(G963*N963,0.000001)</f>
        <v>25.769234999999998</v>
      </c>
      <c r="P963" s="166"/>
      <c r="Q963" s="166">
        <f t="shared" si="200"/>
        <v>13039.232909999999</v>
      </c>
      <c r="R963" s="71"/>
    </row>
    <row r="964" spans="1:18" s="62" customFormat="1" x14ac:dyDescent="0.25">
      <c r="A964" s="358"/>
      <c r="B964" s="361"/>
      <c r="C964" s="218" t="s">
        <v>300</v>
      </c>
      <c r="D964" s="240"/>
      <c r="E964" s="240"/>
      <c r="F964" s="240"/>
      <c r="G964" s="227"/>
      <c r="H964" s="241"/>
      <c r="I964" s="206"/>
      <c r="J964" s="228"/>
      <c r="K964" s="207"/>
      <c r="L964" s="257"/>
      <c r="M964" s="209"/>
      <c r="N964" s="210"/>
      <c r="O964" s="198">
        <f>SUM(O963)</f>
        <v>25.769234999999998</v>
      </c>
      <c r="P964" s="267"/>
      <c r="Q964" s="166"/>
      <c r="R964" s="71"/>
    </row>
    <row r="965" spans="1:18" s="61" customFormat="1" ht="47.25" x14ac:dyDescent="0.25">
      <c r="A965" s="358"/>
      <c r="B965" s="361"/>
      <c r="C965" s="221" t="s">
        <v>434</v>
      </c>
      <c r="D965" s="156" t="s">
        <v>436</v>
      </c>
      <c r="E965" s="156" t="s">
        <v>28</v>
      </c>
      <c r="F965" s="156" t="s">
        <v>437</v>
      </c>
      <c r="G965" s="157">
        <f>MROUND(H965*L965*I965/K965,0.000001)</f>
        <v>1.2123999999999999E-2</v>
      </c>
      <c r="H965" s="242">
        <f>$H$125</f>
        <v>290</v>
      </c>
      <c r="I965" s="159">
        <f>I963</f>
        <v>2.1153999999999999E-2</v>
      </c>
      <c r="J965" s="160"/>
      <c r="K965" s="161">
        <f>K963</f>
        <v>506</v>
      </c>
      <c r="L965" s="162">
        <v>1</v>
      </c>
      <c r="M965" s="163" t="str">
        <f>CONCATENATE(H965," ",F965,"*",L965,"автобуса","*",I965,"/",K965,"чел.")</f>
        <v>290 огнетушителей (потребность учреждений) *1автобуса*0,021154/506чел.</v>
      </c>
      <c r="N965" s="164">
        <f>$N$125</f>
        <v>2000</v>
      </c>
      <c r="O965" s="165">
        <f>MROUND(G965*N965,0.000001)</f>
        <v>24.247999999999998</v>
      </c>
      <c r="P965" s="166"/>
      <c r="Q965" s="166">
        <f t="shared" si="200"/>
        <v>12269.487999999999</v>
      </c>
      <c r="R965" s="71"/>
    </row>
    <row r="966" spans="1:18" s="61" customFormat="1" x14ac:dyDescent="0.25">
      <c r="A966" s="358"/>
      <c r="B966" s="361"/>
      <c r="C966" s="218" t="s">
        <v>435</v>
      </c>
      <c r="D966" s="240"/>
      <c r="E966" s="240"/>
      <c r="F966" s="240"/>
      <c r="G966" s="251"/>
      <c r="H966" s="241"/>
      <c r="I966" s="206"/>
      <c r="J966" s="228"/>
      <c r="K966" s="207"/>
      <c r="L966" s="229"/>
      <c r="M966" s="209"/>
      <c r="N966" s="210"/>
      <c r="O966" s="198">
        <f>SUM(O965)</f>
        <v>24.247999999999998</v>
      </c>
      <c r="P966" s="166"/>
      <c r="Q966" s="166"/>
      <c r="R966" s="71"/>
    </row>
    <row r="967" spans="1:18" s="61" customFormat="1" ht="47.25" x14ac:dyDescent="0.25">
      <c r="A967" s="358"/>
      <c r="B967" s="361"/>
      <c r="C967" s="364" t="s">
        <v>118</v>
      </c>
      <c r="D967" s="156" t="s">
        <v>47</v>
      </c>
      <c r="E967" s="156" t="s">
        <v>28</v>
      </c>
      <c r="F967" s="156" t="s">
        <v>239</v>
      </c>
      <c r="G967" s="238">
        <f>MROUND(H967*L967*I967/K967,0.00000001)</f>
        <v>6.0201100000000004E-3</v>
      </c>
      <c r="H967" s="158">
        <f>H127</f>
        <v>144</v>
      </c>
      <c r="I967" s="159">
        <f>I963</f>
        <v>2.1153999999999999E-2</v>
      </c>
      <c r="J967" s="160"/>
      <c r="K967" s="161">
        <f>K963</f>
        <v>506</v>
      </c>
      <c r="L967" s="250">
        <v>1</v>
      </c>
      <c r="M967" s="163" t="str">
        <f>CONCATENATE(H967," ",F967,"*",I967,"/",K967,"чел.")</f>
        <v>144 манометров (потребность учреждений) *0,021154/506чел.</v>
      </c>
      <c r="N967" s="164">
        <f>N127</f>
        <v>708.5</v>
      </c>
      <c r="O967" s="165">
        <f>MROUND(G967*N967,0.000001)</f>
        <v>4.2652479999999997</v>
      </c>
      <c r="P967" s="166"/>
      <c r="Q967" s="166">
        <f t="shared" si="200"/>
        <v>2158.2154879999998</v>
      </c>
      <c r="R967" s="71"/>
    </row>
    <row r="968" spans="1:18" s="61" customFormat="1" ht="47.25" x14ac:dyDescent="0.25">
      <c r="A968" s="358"/>
      <c r="B968" s="361"/>
      <c r="C968" s="364"/>
      <c r="D968" s="255" t="s">
        <v>113</v>
      </c>
      <c r="E968" s="156" t="s">
        <v>28</v>
      </c>
      <c r="F968" s="156" t="s">
        <v>240</v>
      </c>
      <c r="G968" s="238">
        <f>MROUND(H968*L968*I968/K968,0.00000001)</f>
        <v>0.23892314000000001</v>
      </c>
      <c r="H968" s="158">
        <f>H128</f>
        <v>5715</v>
      </c>
      <c r="I968" s="159">
        <f>I967</f>
        <v>2.1153999999999999E-2</v>
      </c>
      <c r="J968" s="160"/>
      <c r="K968" s="161">
        <f>K967</f>
        <v>506</v>
      </c>
      <c r="L968" s="250">
        <v>1</v>
      </c>
      <c r="M968" s="163" t="str">
        <f>CONCATENATE(H968," ",F968,"*",I968,"/",K968,"чел.")</f>
        <v>5715 светильников (потребность учреждений)*0,021154/506чел.</v>
      </c>
      <c r="N968" s="164">
        <f>N128</f>
        <v>106.27500087489064</v>
      </c>
      <c r="O968" s="165">
        <f>MROUND(G968*N968,0.000001)</f>
        <v>25.391556999999999</v>
      </c>
      <c r="P968" s="166"/>
      <c r="Q968" s="166">
        <f t="shared" si="200"/>
        <v>12848.127842</v>
      </c>
      <c r="R968" s="71"/>
    </row>
    <row r="969" spans="1:18" s="62" customFormat="1" x14ac:dyDescent="0.25">
      <c r="A969" s="359"/>
      <c r="B969" s="362"/>
      <c r="C969" s="218" t="s">
        <v>301</v>
      </c>
      <c r="D969" s="256"/>
      <c r="E969" s="240"/>
      <c r="F969" s="240"/>
      <c r="G969" s="227"/>
      <c r="H969" s="241"/>
      <c r="I969" s="206"/>
      <c r="J969" s="228"/>
      <c r="K969" s="207"/>
      <c r="L969" s="257"/>
      <c r="M969" s="209"/>
      <c r="N969" s="210"/>
      <c r="O969" s="198">
        <f>SUM(O967:O968)</f>
        <v>29.656804999999999</v>
      </c>
      <c r="P969" s="267"/>
      <c r="Q969" s="166"/>
      <c r="R969" s="71"/>
    </row>
    <row r="970" spans="1:18" s="61" customFormat="1" x14ac:dyDescent="0.25">
      <c r="A970" s="357" t="str">
        <f>CONCATENATE(школы!$B$14,", ",школы!$C$14,", ",школы!$D$14)</f>
        <v>Реализация основных общеобразовательных программ основного общего образования, , дети-инвалиды</v>
      </c>
      <c r="B970" s="360" t="str">
        <f>школы!$A$14</f>
        <v>802111О.99.0.БА96АЭ08001</v>
      </c>
      <c r="C970" s="194"/>
      <c r="D970" s="363" t="s">
        <v>15</v>
      </c>
      <c r="E970" s="363"/>
      <c r="F970" s="363"/>
      <c r="G970" s="363"/>
      <c r="H970" s="195"/>
      <c r="I970" s="195"/>
      <c r="J970" s="195"/>
      <c r="K970" s="195"/>
      <c r="L970" s="196"/>
      <c r="M970" s="197"/>
      <c r="N970" s="164"/>
      <c r="O970" s="198">
        <f>O971+O976+O978</f>
        <v>8822.3737645149995</v>
      </c>
      <c r="P970" s="166"/>
      <c r="Q970" s="166"/>
      <c r="R970" s="71"/>
    </row>
    <row r="971" spans="1:18" s="61" customFormat="1" x14ac:dyDescent="0.25">
      <c r="A971" s="358"/>
      <c r="B971" s="361"/>
      <c r="C971" s="194"/>
      <c r="D971" s="350" t="s">
        <v>62</v>
      </c>
      <c r="E971" s="350"/>
      <c r="F971" s="350"/>
      <c r="G971" s="350"/>
      <c r="H971" s="195"/>
      <c r="I971" s="195"/>
      <c r="J971" s="195"/>
      <c r="K971" s="195"/>
      <c r="L971" s="196"/>
      <c r="M971" s="197"/>
      <c r="N971" s="164"/>
      <c r="O971" s="165">
        <f>O973+O975</f>
        <v>8822.3737645149995</v>
      </c>
      <c r="P971" s="166"/>
      <c r="Q971" s="166"/>
      <c r="R971" s="71"/>
    </row>
    <row r="972" spans="1:18" s="61" customFormat="1" x14ac:dyDescent="0.25">
      <c r="A972" s="358"/>
      <c r="B972" s="361"/>
      <c r="C972" s="194">
        <v>211</v>
      </c>
      <c r="D972" s="194" t="s">
        <v>86</v>
      </c>
      <c r="E972" s="199" t="s">
        <v>95</v>
      </c>
      <c r="F972" s="199" t="s">
        <v>95</v>
      </c>
      <c r="G972" s="275">
        <f>MROUND(H972*L972*I972/K972,0.0000000001)</f>
        <v>0.54214410000000002</v>
      </c>
      <c r="H972" s="201">
        <f>H132</f>
        <v>921.8</v>
      </c>
      <c r="I972" s="159">
        <f>школы!$K$14</f>
        <v>4.313E-3</v>
      </c>
      <c r="J972" s="159"/>
      <c r="K972" s="161">
        <f>школы!$G$14</f>
        <v>88</v>
      </c>
      <c r="L972" s="202">
        <v>12</v>
      </c>
      <c r="M972" s="163" t="str">
        <f>CONCATENATE(H972," ",F972," ","в мес.","*",L972,"мес.","*",I972,"/",K972,"чел.")</f>
        <v>921,8 шт.ед в мес.*12мес.*0,004313/88чел.</v>
      </c>
      <c r="N972" s="164">
        <f>N132</f>
        <v>12498.552905979601</v>
      </c>
      <c r="O972" s="165">
        <f>MROUND(G972*N972,0.000000001)</f>
        <v>6776.0167165150006</v>
      </c>
      <c r="P972" s="166"/>
      <c r="Q972" s="166">
        <f t="shared" ref="Q972:Q1031" si="215">O972*K972</f>
        <v>596289.4710533201</v>
      </c>
      <c r="R972" s="71"/>
    </row>
    <row r="973" spans="1:18" s="62" customFormat="1" x14ac:dyDescent="0.25">
      <c r="A973" s="358"/>
      <c r="B973" s="361"/>
      <c r="C973" s="203" t="s">
        <v>288</v>
      </c>
      <c r="D973" s="203"/>
      <c r="E973" s="204"/>
      <c r="F973" s="204"/>
      <c r="G973" s="205"/>
      <c r="H973" s="206"/>
      <c r="I973" s="206"/>
      <c r="J973" s="206"/>
      <c r="K973" s="207"/>
      <c r="L973" s="208"/>
      <c r="M973" s="209"/>
      <c r="N973" s="210">
        <f>N972</f>
        <v>12498.552905979601</v>
      </c>
      <c r="O973" s="198">
        <f>O972</f>
        <v>6776.0167165150006</v>
      </c>
      <c r="P973" s="267"/>
      <c r="Q973" s="166"/>
      <c r="R973" s="71"/>
    </row>
    <row r="974" spans="1:18" s="61" customFormat="1" x14ac:dyDescent="0.25">
      <c r="A974" s="358"/>
      <c r="B974" s="361"/>
      <c r="C974" s="194">
        <v>213</v>
      </c>
      <c r="D974" s="194" t="s">
        <v>87</v>
      </c>
      <c r="E974" s="194" t="s">
        <v>88</v>
      </c>
      <c r="F974" s="194"/>
      <c r="G974" s="211">
        <v>30.2</v>
      </c>
      <c r="H974" s="159"/>
      <c r="I974" s="159"/>
      <c r="J974" s="159"/>
      <c r="K974" s="161">
        <f>K972</f>
        <v>88</v>
      </c>
      <c r="L974" s="202"/>
      <c r="M974" s="212"/>
      <c r="N974" s="164"/>
      <c r="O974" s="165">
        <f>MROUND(O972*0.302,0.000001)</f>
        <v>2046.3570479999998</v>
      </c>
      <c r="P974" s="166"/>
      <c r="Q974" s="166">
        <f>O974*K974</f>
        <v>180079.420224</v>
      </c>
      <c r="R974" s="71"/>
    </row>
    <row r="975" spans="1:18" s="62" customFormat="1" x14ac:dyDescent="0.25">
      <c r="A975" s="358"/>
      <c r="B975" s="361"/>
      <c r="C975" s="203" t="s">
        <v>289</v>
      </c>
      <c r="D975" s="203"/>
      <c r="E975" s="203"/>
      <c r="F975" s="203"/>
      <c r="G975" s="213"/>
      <c r="H975" s="214"/>
      <c r="I975" s="206"/>
      <c r="J975" s="214"/>
      <c r="K975" s="207"/>
      <c r="L975" s="215"/>
      <c r="M975" s="216"/>
      <c r="N975" s="210"/>
      <c r="O975" s="198">
        <f>O974</f>
        <v>2046.3570479999998</v>
      </c>
      <c r="P975" s="267"/>
      <c r="Q975" s="166"/>
      <c r="R975" s="71"/>
    </row>
    <row r="976" spans="1:18" s="61" customFormat="1" x14ac:dyDescent="0.25">
      <c r="A976" s="358"/>
      <c r="B976" s="361"/>
      <c r="C976" s="194"/>
      <c r="D976" s="356" t="s">
        <v>63</v>
      </c>
      <c r="E976" s="356"/>
      <c r="F976" s="356"/>
      <c r="G976" s="356"/>
      <c r="H976" s="195"/>
      <c r="I976" s="159"/>
      <c r="J976" s="195"/>
      <c r="K976" s="161"/>
      <c r="L976" s="196"/>
      <c r="M976" s="197"/>
      <c r="N976" s="164"/>
      <c r="O976" s="165"/>
      <c r="P976" s="166"/>
      <c r="Q976" s="166"/>
      <c r="R976" s="71"/>
    </row>
    <row r="977" spans="1:18" s="61" customFormat="1" x14ac:dyDescent="0.25">
      <c r="A977" s="358"/>
      <c r="B977" s="361"/>
      <c r="C977" s="194"/>
      <c r="D977" s="194"/>
      <c r="E977" s="194"/>
      <c r="F977" s="194"/>
      <c r="G977" s="217"/>
      <c r="H977" s="195"/>
      <c r="I977" s="159"/>
      <c r="J977" s="195"/>
      <c r="K977" s="161"/>
      <c r="L977" s="196"/>
      <c r="M977" s="197"/>
      <c r="N977" s="164"/>
      <c r="O977" s="165"/>
      <c r="P977" s="166"/>
      <c r="Q977" s="166"/>
      <c r="R977" s="71"/>
    </row>
    <row r="978" spans="1:18" s="61" customFormat="1" x14ac:dyDescent="0.25">
      <c r="A978" s="358"/>
      <c r="B978" s="361"/>
      <c r="C978" s="194"/>
      <c r="D978" s="350" t="s">
        <v>64</v>
      </c>
      <c r="E978" s="350"/>
      <c r="F978" s="350"/>
      <c r="G978" s="350"/>
      <c r="H978" s="195"/>
      <c r="I978" s="159"/>
      <c r="J978" s="195"/>
      <c r="K978" s="161"/>
      <c r="L978" s="196"/>
      <c r="M978" s="197"/>
      <c r="N978" s="164"/>
      <c r="O978" s="165"/>
      <c r="P978" s="166"/>
      <c r="Q978" s="166"/>
      <c r="R978" s="71"/>
    </row>
    <row r="979" spans="1:18" s="61" customFormat="1" x14ac:dyDescent="0.25">
      <c r="A979" s="358"/>
      <c r="B979" s="361"/>
      <c r="C979" s="194"/>
      <c r="D979" s="194"/>
      <c r="E979" s="194"/>
      <c r="F979" s="194"/>
      <c r="G979" s="217"/>
      <c r="H979" s="195"/>
      <c r="I979" s="159"/>
      <c r="J979" s="195"/>
      <c r="K979" s="161"/>
      <c r="L979" s="196"/>
      <c r="M979" s="197"/>
      <c r="N979" s="164"/>
      <c r="O979" s="165"/>
      <c r="P979" s="166"/>
      <c r="Q979" s="166"/>
      <c r="R979" s="71"/>
    </row>
    <row r="980" spans="1:18" s="61" customFormat="1" x14ac:dyDescent="0.25">
      <c r="A980" s="358"/>
      <c r="B980" s="361"/>
      <c r="C980" s="194"/>
      <c r="D980" s="355" t="s">
        <v>5</v>
      </c>
      <c r="E980" s="355"/>
      <c r="F980" s="355"/>
      <c r="G980" s="355"/>
      <c r="H980" s="195"/>
      <c r="I980" s="159"/>
      <c r="J980" s="195"/>
      <c r="K980" s="161"/>
      <c r="L980" s="196"/>
      <c r="M980" s="197"/>
      <c r="N980" s="164"/>
      <c r="O980" s="198">
        <f>O981+O991+O1002+O1004+O1006+O1008+O1010</f>
        <v>47061.043593002199</v>
      </c>
      <c r="P980" s="166"/>
      <c r="Q980" s="166"/>
      <c r="R980" s="71"/>
    </row>
    <row r="981" spans="1:18" s="61" customFormat="1" x14ac:dyDescent="0.25">
      <c r="A981" s="358"/>
      <c r="B981" s="361"/>
      <c r="C981" s="221" t="s">
        <v>70</v>
      </c>
      <c r="D981" s="355" t="s">
        <v>6</v>
      </c>
      <c r="E981" s="355"/>
      <c r="F981" s="355"/>
      <c r="G981" s="355"/>
      <c r="H981" s="189"/>
      <c r="I981" s="159"/>
      <c r="J981" s="189"/>
      <c r="K981" s="161"/>
      <c r="L981" s="190"/>
      <c r="M981" s="197"/>
      <c r="N981" s="210"/>
      <c r="O981" s="198">
        <f>O990</f>
        <v>8478.7874582000022</v>
      </c>
      <c r="P981" s="166"/>
      <c r="Q981" s="166"/>
      <c r="R981" s="71"/>
    </row>
    <row r="982" spans="1:18" s="61" customFormat="1" ht="31.5" x14ac:dyDescent="0.25">
      <c r="A982" s="358"/>
      <c r="B982" s="361"/>
      <c r="C982" s="221" t="s">
        <v>72</v>
      </c>
      <c r="D982" s="222" t="s">
        <v>7</v>
      </c>
      <c r="E982" s="223" t="s">
        <v>8</v>
      </c>
      <c r="F982" s="223" t="s">
        <v>8</v>
      </c>
      <c r="G982" s="238">
        <f>MROUND(H982*L982*I982/K982,0.00000000001)</f>
        <v>162.38059900232</v>
      </c>
      <c r="H982" s="160">
        <f>H262</f>
        <v>3313121.4264326878</v>
      </c>
      <c r="I982" s="159">
        <f>I972</f>
        <v>4.313E-3</v>
      </c>
      <c r="J982" s="160"/>
      <c r="K982" s="161">
        <f>K972</f>
        <v>88</v>
      </c>
      <c r="L982" s="250">
        <v>1</v>
      </c>
      <c r="M982" s="163" t="str">
        <f t="shared" ref="M982:M987" si="216">CONCATENATE(H982," ",F982,"(лимиты выделенные УЖКХ) ","*",I982,"/",K982,"чел.")</f>
        <v>3313121,42643269 кВт час.(лимиты выделенные УЖКХ) *0,004313/88чел.</v>
      </c>
      <c r="N982" s="164">
        <f>N262</f>
        <v>10.418446162163715</v>
      </c>
      <c r="O982" s="165">
        <f t="shared" ref="O982:O989" si="217">MROUND(G982*N982,0.000001)</f>
        <v>1691.753528</v>
      </c>
      <c r="P982" s="166"/>
      <c r="Q982" s="166">
        <f t="shared" si="215"/>
        <v>148874.31046400001</v>
      </c>
      <c r="R982" s="71"/>
    </row>
    <row r="983" spans="1:18" s="61" customFormat="1" ht="31.5" x14ac:dyDescent="0.25">
      <c r="A983" s="358"/>
      <c r="B983" s="361"/>
      <c r="C983" s="221" t="s">
        <v>73</v>
      </c>
      <c r="D983" s="222" t="s">
        <v>9</v>
      </c>
      <c r="E983" s="223" t="s">
        <v>10</v>
      </c>
      <c r="F983" s="223" t="s">
        <v>10</v>
      </c>
      <c r="G983" s="238">
        <f>MROUND(H983*L983*I983/K983,0.00000000001)</f>
        <v>1.5633345803399998</v>
      </c>
      <c r="H983" s="160">
        <f t="shared" ref="H983:H988" si="218">H23</f>
        <v>31897.39</v>
      </c>
      <c r="I983" s="159">
        <f t="shared" ref="I983:I1035" si="219">I982</f>
        <v>4.313E-3</v>
      </c>
      <c r="J983" s="160"/>
      <c r="K983" s="161">
        <f t="shared" ref="K983:K989" si="220">K982</f>
        <v>88</v>
      </c>
      <c r="L983" s="250">
        <v>1</v>
      </c>
      <c r="M983" s="163" t="str">
        <f t="shared" si="216"/>
        <v>31897,39 Гкал(лимиты выделенные УЖКХ) *0,004313/88чел.</v>
      </c>
      <c r="N983" s="164">
        <f t="shared" ref="N983:N988" si="221">N23</f>
        <v>2845.3650600830792</v>
      </c>
      <c r="O983" s="165">
        <f t="shared" si="217"/>
        <v>4448.2575919999999</v>
      </c>
      <c r="P983" s="166"/>
      <c r="Q983" s="166">
        <f t="shared" si="215"/>
        <v>391446.66809599998</v>
      </c>
      <c r="R983" s="71"/>
    </row>
    <row r="984" spans="1:18" s="61" customFormat="1" ht="31.5" x14ac:dyDescent="0.25">
      <c r="A984" s="358"/>
      <c r="B984" s="361"/>
      <c r="C984" s="364" t="s">
        <v>74</v>
      </c>
      <c r="D984" s="222" t="s">
        <v>12</v>
      </c>
      <c r="E984" s="222" t="s">
        <v>11</v>
      </c>
      <c r="F984" s="222" t="s">
        <v>11</v>
      </c>
      <c r="G984" s="238">
        <f>MROUND(H984*L984*I984/K984,0.00000000001)</f>
        <v>9.0536324796599992</v>
      </c>
      <c r="H984" s="224">
        <f t="shared" si="218"/>
        <v>184725.17</v>
      </c>
      <c r="I984" s="159">
        <f t="shared" si="219"/>
        <v>4.313E-3</v>
      </c>
      <c r="J984" s="160"/>
      <c r="K984" s="161">
        <f t="shared" si="220"/>
        <v>88</v>
      </c>
      <c r="L984" s="250">
        <v>1</v>
      </c>
      <c r="M984" s="163" t="str">
        <f t="shared" si="216"/>
        <v>184725,17 м3(лимиты выделенные УЖКХ) *0,004313/88чел.</v>
      </c>
      <c r="N984" s="164">
        <f t="shared" si="221"/>
        <v>51.830000102314166</v>
      </c>
      <c r="O984" s="165">
        <f t="shared" si="217"/>
        <v>469.24977199999995</v>
      </c>
      <c r="P984" s="166"/>
      <c r="Q984" s="166">
        <f t="shared" si="215"/>
        <v>41293.979935999996</v>
      </c>
      <c r="R984" s="71"/>
    </row>
    <row r="985" spans="1:18" s="61" customFormat="1" ht="47.25" x14ac:dyDescent="0.25">
      <c r="A985" s="358"/>
      <c r="B985" s="361"/>
      <c r="C985" s="364"/>
      <c r="D985" s="222" t="s">
        <v>17</v>
      </c>
      <c r="E985" s="222" t="s">
        <v>11</v>
      </c>
      <c r="F985" s="222" t="s">
        <v>11</v>
      </c>
      <c r="G985" s="238">
        <f>MROUND(H985*L985*I985/K985,0.00000000001)</f>
        <v>9.0536324796599992</v>
      </c>
      <c r="H985" s="160">
        <f t="shared" si="218"/>
        <v>184725.17</v>
      </c>
      <c r="I985" s="159">
        <f t="shared" si="219"/>
        <v>4.313E-3</v>
      </c>
      <c r="J985" s="160"/>
      <c r="K985" s="161">
        <f t="shared" si="220"/>
        <v>88</v>
      </c>
      <c r="L985" s="162">
        <f>$L$25</f>
        <v>1</v>
      </c>
      <c r="M985" s="163" t="str">
        <f t="shared" si="216"/>
        <v>184725,17 м3(лимиты выделенные УЖКХ) *0,004313/88чел.</v>
      </c>
      <c r="N985" s="164">
        <f t="shared" si="221"/>
        <v>78.76115753094173</v>
      </c>
      <c r="O985" s="165">
        <f t="shared" si="217"/>
        <v>713.07457399999998</v>
      </c>
      <c r="P985" s="166"/>
      <c r="Q985" s="166">
        <f t="shared" si="215"/>
        <v>62750.562511999997</v>
      </c>
      <c r="R985" s="71"/>
    </row>
    <row r="986" spans="1:18" s="61" customFormat="1" ht="31.5" x14ac:dyDescent="0.25">
      <c r="A986" s="358"/>
      <c r="B986" s="361"/>
      <c r="C986" s="364"/>
      <c r="D986" s="222" t="s">
        <v>13</v>
      </c>
      <c r="E986" s="222" t="s">
        <v>11</v>
      </c>
      <c r="F986" s="222" t="s">
        <v>11</v>
      </c>
      <c r="G986" s="238">
        <f>MROUND(H986*L986*I986/K986,0.00000000001)</f>
        <v>9.0536324796599992</v>
      </c>
      <c r="H986" s="160">
        <f t="shared" si="218"/>
        <v>184725.17</v>
      </c>
      <c r="I986" s="159">
        <f t="shared" si="219"/>
        <v>4.313E-3</v>
      </c>
      <c r="J986" s="160"/>
      <c r="K986" s="161">
        <f t="shared" si="220"/>
        <v>88</v>
      </c>
      <c r="L986" s="162">
        <v>1</v>
      </c>
      <c r="M986" s="163" t="str">
        <f t="shared" si="216"/>
        <v>184725,17 м3(лимиты выделенные УЖКХ) *0,004313/88чел.</v>
      </c>
      <c r="N986" s="164">
        <f t="shared" si="221"/>
        <v>107.41979263410609</v>
      </c>
      <c r="O986" s="165">
        <f>MROUND(G986*N986,0.00000001)</f>
        <v>972.53932355000006</v>
      </c>
      <c r="P986" s="166"/>
      <c r="Q986" s="166">
        <f t="shared" si="215"/>
        <v>85583.460472400009</v>
      </c>
      <c r="R986" s="71"/>
    </row>
    <row r="987" spans="1:18" s="61" customFormat="1" ht="31.5" x14ac:dyDescent="0.25">
      <c r="A987" s="358"/>
      <c r="B987" s="361"/>
      <c r="C987" s="221" t="s">
        <v>75</v>
      </c>
      <c r="D987" s="222" t="s">
        <v>18</v>
      </c>
      <c r="E987" s="222" t="s">
        <v>48</v>
      </c>
      <c r="F987" s="222" t="s">
        <v>48</v>
      </c>
      <c r="G987" s="238">
        <f>MROUND(H987*L987*I987/K987,0.0000000001)</f>
        <v>0.6806502136</v>
      </c>
      <c r="H987" s="160">
        <f t="shared" si="218"/>
        <v>13887.6</v>
      </c>
      <c r="I987" s="159">
        <f t="shared" si="219"/>
        <v>4.313E-3</v>
      </c>
      <c r="J987" s="160"/>
      <c r="K987" s="161">
        <f t="shared" si="220"/>
        <v>88</v>
      </c>
      <c r="L987" s="250">
        <v>1</v>
      </c>
      <c r="M987" s="163" t="str">
        <f t="shared" si="216"/>
        <v>13887,6 тыс. м3(лимиты выделенные УЖКХ) *0,004313/88чел.</v>
      </c>
      <c r="N987" s="164">
        <f t="shared" si="221"/>
        <v>29.231582850888564</v>
      </c>
      <c r="O987" s="165">
        <f t="shared" si="217"/>
        <v>19.896483</v>
      </c>
      <c r="P987" s="166"/>
      <c r="Q987" s="166">
        <f t="shared" si="215"/>
        <v>1750.890504</v>
      </c>
      <c r="R987" s="71"/>
    </row>
    <row r="988" spans="1:18" s="61" customFormat="1" x14ac:dyDescent="0.25">
      <c r="A988" s="358"/>
      <c r="B988" s="361"/>
      <c r="C988" s="364" t="s">
        <v>216</v>
      </c>
      <c r="D988" s="222" t="s">
        <v>23</v>
      </c>
      <c r="E988" s="222" t="s">
        <v>11</v>
      </c>
      <c r="F988" s="222" t="s">
        <v>11</v>
      </c>
      <c r="G988" s="238">
        <f>MROUND(H988*L988*I988/K988,0.000000000001)</f>
        <v>0.16510163999999999</v>
      </c>
      <c r="H988" s="160">
        <f t="shared" si="218"/>
        <v>3368.6400000000003</v>
      </c>
      <c r="I988" s="159">
        <f t="shared" si="219"/>
        <v>4.313E-3</v>
      </c>
      <c r="J988" s="160"/>
      <c r="K988" s="161">
        <f t="shared" si="220"/>
        <v>88</v>
      </c>
      <c r="L988" s="162">
        <f>L987</f>
        <v>1</v>
      </c>
      <c r="M988" s="163" t="str">
        <f>CONCATENATE(H988," ",F988," ","*",I988,"/",K988,"чел.")</f>
        <v>3368,64 м3 *0,004313/88чел.</v>
      </c>
      <c r="N988" s="164">
        <f t="shared" si="221"/>
        <v>742.21370939013957</v>
      </c>
      <c r="O988" s="165">
        <f>MROUND(G988*N988,0.00000001)</f>
        <v>122.54070065000001</v>
      </c>
      <c r="P988" s="166"/>
      <c r="Q988" s="166">
        <f t="shared" si="215"/>
        <v>10783.5816572</v>
      </c>
      <c r="R988" s="71"/>
    </row>
    <row r="989" spans="1:18" s="61" customFormat="1" ht="47.25" x14ac:dyDescent="0.25">
      <c r="A989" s="358"/>
      <c r="B989" s="361"/>
      <c r="C989" s="364"/>
      <c r="D989" s="222" t="s">
        <v>24</v>
      </c>
      <c r="E989" s="222" t="s">
        <v>25</v>
      </c>
      <c r="F989" s="222" t="s">
        <v>217</v>
      </c>
      <c r="G989" s="238">
        <f>MROUND(H989*L989*I989/K989,0.000000000001)</f>
        <v>7.2046704550000002E-3</v>
      </c>
      <c r="H989" s="160">
        <f>H269</f>
        <v>147</v>
      </c>
      <c r="I989" s="159">
        <f t="shared" si="219"/>
        <v>4.313E-3</v>
      </c>
      <c r="J989" s="160"/>
      <c r="K989" s="161">
        <f t="shared" si="220"/>
        <v>88</v>
      </c>
      <c r="L989" s="250">
        <f>L988</f>
        <v>1</v>
      </c>
      <c r="M989" s="163" t="str">
        <f>CONCATENATE(H989," ",F989,"(потребность из расчета 4 контейнера для уборки территории весной и осенью на 1 учреждение)","*",I989,"/",K989,"чел.")</f>
        <v>147 контейнера(потребность из расчета 4 контейнера для уборки территории весной и осенью на 1 учреждение)*0,004313/88чел.</v>
      </c>
      <c r="N989" s="164">
        <f>N269</f>
        <v>5756.7497959183638</v>
      </c>
      <c r="O989" s="165">
        <f t="shared" si="217"/>
        <v>41.475484999999999</v>
      </c>
      <c r="P989" s="166"/>
      <c r="Q989" s="166">
        <f t="shared" si="215"/>
        <v>3649.8426799999997</v>
      </c>
      <c r="R989" s="71"/>
    </row>
    <row r="990" spans="1:18" s="62" customFormat="1" x14ac:dyDescent="0.25">
      <c r="A990" s="358"/>
      <c r="B990" s="361"/>
      <c r="C990" s="218" t="s">
        <v>290</v>
      </c>
      <c r="D990" s="226"/>
      <c r="E990" s="226"/>
      <c r="F990" s="226"/>
      <c r="G990" s="227"/>
      <c r="H990" s="228"/>
      <c r="I990" s="206"/>
      <c r="J990" s="228"/>
      <c r="K990" s="207"/>
      <c r="L990" s="257"/>
      <c r="M990" s="209"/>
      <c r="N990" s="210"/>
      <c r="O990" s="198">
        <f>SUM(O982:O989)</f>
        <v>8478.7874582000022</v>
      </c>
      <c r="P990" s="267"/>
      <c r="Q990" s="166"/>
      <c r="R990" s="71"/>
    </row>
    <row r="991" spans="1:18" s="61" customFormat="1" x14ac:dyDescent="0.25">
      <c r="A991" s="358"/>
      <c r="B991" s="361"/>
      <c r="C991" s="221"/>
      <c r="D991" s="356" t="s">
        <v>14</v>
      </c>
      <c r="E991" s="356"/>
      <c r="F991" s="356"/>
      <c r="G991" s="356"/>
      <c r="H991" s="188"/>
      <c r="I991" s="159"/>
      <c r="J991" s="188"/>
      <c r="K991" s="161"/>
      <c r="L991" s="250"/>
      <c r="M991" s="230"/>
      <c r="N991" s="164"/>
      <c r="O991" s="198">
        <f>O999+O1000+O995</f>
        <v>35310.9531924822</v>
      </c>
      <c r="P991" s="166"/>
      <c r="Q991" s="166"/>
      <c r="R991" s="71"/>
    </row>
    <row r="992" spans="1:18" s="61" customFormat="1" x14ac:dyDescent="0.25">
      <c r="A992" s="358"/>
      <c r="B992" s="361"/>
      <c r="C992" s="221" t="s">
        <v>379</v>
      </c>
      <c r="D992" s="231" t="s">
        <v>49</v>
      </c>
      <c r="E992" s="231" t="s">
        <v>22</v>
      </c>
      <c r="F992" s="231" t="s">
        <v>22</v>
      </c>
      <c r="G992" s="238">
        <f>MROUND(H992*L992*I992/K992,0.000000001)</f>
        <v>0</v>
      </c>
      <c r="H992" s="160"/>
      <c r="I992" s="159">
        <f>I987</f>
        <v>4.313E-3</v>
      </c>
      <c r="J992" s="160"/>
      <c r="K992" s="161">
        <f>K987</f>
        <v>88</v>
      </c>
      <c r="L992" s="250"/>
      <c r="M992" s="163"/>
      <c r="N992" s="164">
        <f>N152</f>
        <v>0</v>
      </c>
      <c r="O992" s="165">
        <f>MROUND(G992*N992,0.00000001)</f>
        <v>0</v>
      </c>
      <c r="P992" s="166"/>
      <c r="Q992" s="166">
        <f t="shared" si="215"/>
        <v>0</v>
      </c>
      <c r="R992" s="71"/>
    </row>
    <row r="993" spans="1:18" s="61" customFormat="1" x14ac:dyDescent="0.25">
      <c r="A993" s="358"/>
      <c r="B993" s="361"/>
      <c r="C993" s="221" t="s">
        <v>379</v>
      </c>
      <c r="D993" s="231" t="s">
        <v>49</v>
      </c>
      <c r="E993" s="231" t="s">
        <v>28</v>
      </c>
      <c r="F993" s="231" t="s">
        <v>28</v>
      </c>
      <c r="G993" s="238">
        <f>MROUND(H993*L993*I993/K993,0.000000000000001)</f>
        <v>2.4505681818200002E-4</v>
      </c>
      <c r="H993" s="160">
        <f>H153</f>
        <v>5</v>
      </c>
      <c r="I993" s="159">
        <f t="shared" si="219"/>
        <v>4.313E-3</v>
      </c>
      <c r="J993" s="160"/>
      <c r="K993" s="161">
        <f>K992</f>
        <v>88</v>
      </c>
      <c r="L993" s="250">
        <v>1</v>
      </c>
      <c r="M993" s="163" t="str">
        <f>CONCATENATE(H993," ",F993,"*",I993,"/",K993,"чел.")</f>
        <v>5 шт*0,004313/88чел.</v>
      </c>
      <c r="N993" s="164">
        <f>N153</f>
        <v>28120000</v>
      </c>
      <c r="O993" s="165">
        <f>MROUND(G993*N993,0.00000001)</f>
        <v>6890.9977272799997</v>
      </c>
      <c r="P993" s="166"/>
      <c r="Q993" s="166">
        <f t="shared" si="215"/>
        <v>606407.80000063998</v>
      </c>
      <c r="R993" s="71"/>
    </row>
    <row r="994" spans="1:18" s="61" customFormat="1" x14ac:dyDescent="0.25">
      <c r="A994" s="358"/>
      <c r="B994" s="361"/>
      <c r="C994" s="221" t="s">
        <v>379</v>
      </c>
      <c r="D994" s="231" t="s">
        <v>49</v>
      </c>
      <c r="E994" s="231" t="s">
        <v>101</v>
      </c>
      <c r="F994" s="231" t="s">
        <v>101</v>
      </c>
      <c r="G994" s="238">
        <f>MROUND(H994*L994*I994/K994,0.000000001)</f>
        <v>0</v>
      </c>
      <c r="H994" s="160"/>
      <c r="I994" s="159">
        <f t="shared" si="219"/>
        <v>4.313E-3</v>
      </c>
      <c r="J994" s="160"/>
      <c r="K994" s="161">
        <f>K993</f>
        <v>88</v>
      </c>
      <c r="L994" s="250"/>
      <c r="M994" s="163"/>
      <c r="N994" s="164">
        <f>N154</f>
        <v>0</v>
      </c>
      <c r="O994" s="165">
        <f>MROUND(G994*N994,0.00000001)</f>
        <v>0</v>
      </c>
      <c r="P994" s="166"/>
      <c r="Q994" s="166">
        <f t="shared" si="215"/>
        <v>0</v>
      </c>
      <c r="R994" s="71"/>
    </row>
    <row r="995" spans="1:18" s="62" customFormat="1" x14ac:dyDescent="0.25">
      <c r="A995" s="358"/>
      <c r="B995" s="361"/>
      <c r="C995" s="218" t="s">
        <v>380</v>
      </c>
      <c r="D995" s="232"/>
      <c r="E995" s="232"/>
      <c r="F995" s="232"/>
      <c r="G995" s="227"/>
      <c r="H995" s="228"/>
      <c r="I995" s="206"/>
      <c r="J995" s="228"/>
      <c r="K995" s="207"/>
      <c r="L995" s="257"/>
      <c r="M995" s="209"/>
      <c r="N995" s="210"/>
      <c r="O995" s="198">
        <f>SUM(O992:O994)</f>
        <v>6890.9977272799997</v>
      </c>
      <c r="P995" s="267"/>
      <c r="Q995" s="166"/>
      <c r="R995" s="71"/>
    </row>
    <row r="996" spans="1:18" s="61" customFormat="1" x14ac:dyDescent="0.25">
      <c r="A996" s="358"/>
      <c r="B996" s="361"/>
      <c r="C996" s="221" t="s">
        <v>76</v>
      </c>
      <c r="D996" s="231" t="s">
        <v>49</v>
      </c>
      <c r="E996" s="231" t="s">
        <v>22</v>
      </c>
      <c r="F996" s="231" t="s">
        <v>22</v>
      </c>
      <c r="G996" s="238">
        <f>MROUND(H996*L996*I996/K996,0.000000000000001)</f>
        <v>3.5884659915909101</v>
      </c>
      <c r="H996" s="160">
        <f>H156</f>
        <v>73217.02</v>
      </c>
      <c r="I996" s="159">
        <f>I992</f>
        <v>4.313E-3</v>
      </c>
      <c r="J996" s="160"/>
      <c r="K996" s="161">
        <f>K994</f>
        <v>88</v>
      </c>
      <c r="L996" s="250">
        <v>1</v>
      </c>
      <c r="M996" s="163" t="str">
        <f>CONCATENATE(H996," ",F996,"*",I996,"/",K996,"чел.")</f>
        <v>73217,02 м2*0,004313/88чел.</v>
      </c>
      <c r="N996" s="164">
        <f>N156</f>
        <v>3335.1026185604301</v>
      </c>
      <c r="O996" s="165">
        <f>MROUND(G996*N996,0.00000000001)</f>
        <v>11967.9023251699</v>
      </c>
      <c r="P996" s="166"/>
      <c r="Q996" s="166">
        <f t="shared" si="215"/>
        <v>1053175.4046149512</v>
      </c>
      <c r="R996" s="71"/>
    </row>
    <row r="997" spans="1:18" s="61" customFormat="1" x14ac:dyDescent="0.25">
      <c r="A997" s="358"/>
      <c r="B997" s="361"/>
      <c r="C997" s="221"/>
      <c r="D997" s="231" t="s">
        <v>49</v>
      </c>
      <c r="E997" s="231" t="s">
        <v>28</v>
      </c>
      <c r="F997" s="231" t="s">
        <v>28</v>
      </c>
      <c r="G997" s="238">
        <f>MROUND(H997*L997*I997/K997,0.000000000001)</f>
        <v>0.20339715909100001</v>
      </c>
      <c r="H997" s="160">
        <f>H157</f>
        <v>4150</v>
      </c>
      <c r="I997" s="159">
        <f t="shared" si="219"/>
        <v>4.313E-3</v>
      </c>
      <c r="J997" s="160"/>
      <c r="K997" s="161">
        <f>K996</f>
        <v>88</v>
      </c>
      <c r="L997" s="250">
        <v>1</v>
      </c>
      <c r="M997" s="163" t="str">
        <f>CONCATENATE(H997," ",F997,"*",I997,"/",K997,"чел.")</f>
        <v>4150 шт*0,004313/88чел.</v>
      </c>
      <c r="N997" s="164">
        <f>N157</f>
        <v>71617.619331325302</v>
      </c>
      <c r="O997" s="165">
        <f>MROUND(G997*N997,0.0000000001)</f>
        <v>14566.8203128523</v>
      </c>
      <c r="P997" s="166"/>
      <c r="Q997" s="166">
        <f t="shared" si="215"/>
        <v>1281880.1875310023</v>
      </c>
      <c r="R997" s="71"/>
    </row>
    <row r="998" spans="1:18" s="61" customFormat="1" x14ac:dyDescent="0.25">
      <c r="A998" s="358"/>
      <c r="B998" s="361"/>
      <c r="C998" s="221"/>
      <c r="D998" s="231" t="s">
        <v>49</v>
      </c>
      <c r="E998" s="231" t="s">
        <v>101</v>
      </c>
      <c r="F998" s="231" t="s">
        <v>101</v>
      </c>
      <c r="G998" s="238">
        <f>MROUND(H998*L998*I998/K998,0.000000001)</f>
        <v>0.69958820500000007</v>
      </c>
      <c r="H998" s="160">
        <f>H158</f>
        <v>14274</v>
      </c>
      <c r="I998" s="159">
        <f t="shared" si="219"/>
        <v>4.313E-3</v>
      </c>
      <c r="J998" s="160"/>
      <c r="K998" s="161">
        <f>K997</f>
        <v>88</v>
      </c>
      <c r="L998" s="250">
        <v>1</v>
      </c>
      <c r="M998" s="163" t="str">
        <f>CONCATENATE(H998," ",F998,"*",I998,"/",K998,"чел.")</f>
        <v>14274 погон.м.*0,004313/88чел.</v>
      </c>
      <c r="N998" s="164">
        <f>N158</f>
        <v>2694.7750315258509</v>
      </c>
      <c r="O998" s="165">
        <f>MROUND(G998*N998,0.00000001)</f>
        <v>1885.23282718</v>
      </c>
      <c r="P998" s="166"/>
      <c r="Q998" s="166">
        <f t="shared" si="215"/>
        <v>165900.48879184001</v>
      </c>
      <c r="R998" s="71"/>
    </row>
    <row r="999" spans="1:18" s="62" customFormat="1" x14ac:dyDescent="0.25">
      <c r="A999" s="358"/>
      <c r="B999" s="361"/>
      <c r="C999" s="218" t="s">
        <v>291</v>
      </c>
      <c r="D999" s="232"/>
      <c r="E999" s="232"/>
      <c r="F999" s="232"/>
      <c r="G999" s="227"/>
      <c r="H999" s="228"/>
      <c r="I999" s="206"/>
      <c r="J999" s="228"/>
      <c r="K999" s="207"/>
      <c r="L999" s="257"/>
      <c r="M999" s="209"/>
      <c r="N999" s="210"/>
      <c r="O999" s="198">
        <f>SUM(O996:O998)</f>
        <v>28419.955465202198</v>
      </c>
      <c r="P999" s="267"/>
      <c r="Q999" s="166"/>
      <c r="R999" s="71"/>
    </row>
    <row r="1000" spans="1:18" s="61" customFormat="1" x14ac:dyDescent="0.25">
      <c r="A1000" s="358"/>
      <c r="B1000" s="361"/>
      <c r="C1000" s="221" t="s">
        <v>77</v>
      </c>
      <c r="D1000" s="231"/>
      <c r="E1000" s="231"/>
      <c r="F1000" s="231"/>
      <c r="G1000" s="238">
        <f>MROUND(H1000*L1000*I1000/K1000,0.00000000001)</f>
        <v>0</v>
      </c>
      <c r="H1000" s="160">
        <f>H760</f>
        <v>0</v>
      </c>
      <c r="I1000" s="159">
        <f>I998</f>
        <v>4.313E-3</v>
      </c>
      <c r="J1000" s="160"/>
      <c r="K1000" s="161">
        <f>K998</f>
        <v>88</v>
      </c>
      <c r="L1000" s="250"/>
      <c r="M1000" s="163"/>
      <c r="N1000" s="164">
        <f>N760</f>
        <v>0</v>
      </c>
      <c r="O1000" s="165">
        <f>MROUND(G1000*N1000,0.000000001)</f>
        <v>0</v>
      </c>
      <c r="P1000" s="166"/>
      <c r="Q1000" s="166">
        <f t="shared" si="215"/>
        <v>0</v>
      </c>
      <c r="R1000" s="71"/>
    </row>
    <row r="1001" spans="1:18" s="62" customFormat="1" x14ac:dyDescent="0.25">
      <c r="A1001" s="358"/>
      <c r="B1001" s="361"/>
      <c r="C1001" s="218" t="s">
        <v>292</v>
      </c>
      <c r="D1001" s="232"/>
      <c r="E1001" s="232"/>
      <c r="F1001" s="232"/>
      <c r="G1001" s="227"/>
      <c r="H1001" s="228"/>
      <c r="I1001" s="206"/>
      <c r="J1001" s="228"/>
      <c r="K1001" s="207"/>
      <c r="L1001" s="257"/>
      <c r="M1001" s="209"/>
      <c r="N1001" s="210"/>
      <c r="O1001" s="198">
        <f>O1000</f>
        <v>0</v>
      </c>
      <c r="P1001" s="267"/>
      <c r="Q1001" s="166"/>
      <c r="R1001" s="71"/>
    </row>
    <row r="1002" spans="1:18" s="61" customFormat="1" x14ac:dyDescent="0.25">
      <c r="A1002" s="358"/>
      <c r="B1002" s="361"/>
      <c r="C1002" s="221"/>
      <c r="D1002" s="350" t="s">
        <v>65</v>
      </c>
      <c r="E1002" s="350"/>
      <c r="F1002" s="350"/>
      <c r="G1002" s="350"/>
      <c r="H1002" s="195"/>
      <c r="I1002" s="159"/>
      <c r="J1002" s="195"/>
      <c r="K1002" s="161"/>
      <c r="L1002" s="196"/>
      <c r="M1002" s="230"/>
      <c r="N1002" s="164"/>
      <c r="O1002" s="165">
        <f t="shared" ref="O1002:O1009" si="222">MROUND(G1002*N1002,0.000001)</f>
        <v>0</v>
      </c>
      <c r="P1002" s="166"/>
      <c r="Q1002" s="166"/>
      <c r="R1002" s="71"/>
    </row>
    <row r="1003" spans="1:18" s="61" customFormat="1" x14ac:dyDescent="0.25">
      <c r="A1003" s="358"/>
      <c r="B1003" s="361"/>
      <c r="C1003" s="221"/>
      <c r="D1003" s="194"/>
      <c r="E1003" s="194"/>
      <c r="F1003" s="194"/>
      <c r="G1003" s="217"/>
      <c r="H1003" s="195"/>
      <c r="I1003" s="159"/>
      <c r="J1003" s="195"/>
      <c r="K1003" s="161"/>
      <c r="L1003" s="196"/>
      <c r="M1003" s="230"/>
      <c r="N1003" s="164"/>
      <c r="O1003" s="165">
        <f t="shared" si="222"/>
        <v>0</v>
      </c>
      <c r="P1003" s="166"/>
      <c r="Q1003" s="166"/>
      <c r="R1003" s="71"/>
    </row>
    <row r="1004" spans="1:18" s="61" customFormat="1" x14ac:dyDescent="0.25">
      <c r="A1004" s="358"/>
      <c r="B1004" s="361"/>
      <c r="C1004" s="221" t="s">
        <v>357</v>
      </c>
      <c r="D1004" s="368" t="s">
        <v>66</v>
      </c>
      <c r="E1004" s="368"/>
      <c r="F1004" s="368"/>
      <c r="G1004" s="368"/>
      <c r="H1004" s="195"/>
      <c r="I1004" s="159"/>
      <c r="J1004" s="195"/>
      <c r="K1004" s="161"/>
      <c r="L1004" s="234"/>
      <c r="M1004" s="230"/>
      <c r="N1004" s="164"/>
      <c r="O1004" s="198">
        <f>O1005</f>
        <v>8.8646729999999998</v>
      </c>
      <c r="P1004" s="166"/>
      <c r="Q1004" s="166"/>
      <c r="R1004" s="71"/>
    </row>
    <row r="1005" spans="1:18" s="61" customFormat="1" ht="47.25" x14ac:dyDescent="0.25">
      <c r="A1005" s="358"/>
      <c r="B1005" s="361"/>
      <c r="C1005" s="221"/>
      <c r="D1005" s="222" t="s">
        <v>374</v>
      </c>
      <c r="E1005" s="194" t="s">
        <v>28</v>
      </c>
      <c r="F1005" s="194" t="s">
        <v>28</v>
      </c>
      <c r="G1005" s="217">
        <f>MROUND(H1005*L1005*I1005/K1005,0.000000001)</f>
        <v>7.0576360000000008E-3</v>
      </c>
      <c r="H1005" s="201">
        <f>H405</f>
        <v>36</v>
      </c>
      <c r="I1005" s="159">
        <f>I1000</f>
        <v>4.313E-3</v>
      </c>
      <c r="J1005" s="195"/>
      <c r="K1005" s="161">
        <f>K1000</f>
        <v>88</v>
      </c>
      <c r="L1005" s="235">
        <f>L405</f>
        <v>4</v>
      </c>
      <c r="M1005" s="163" t="str">
        <f>CONCATENATE(H1005," ",F1005,"*",I1005,"/",K1005,"чел.")</f>
        <v>36 шт*0,004313/88чел.</v>
      </c>
      <c r="N1005" s="164">
        <f>N405</f>
        <v>1256.0400000000006</v>
      </c>
      <c r="O1005" s="165">
        <f>MROUND(G1005*N1005,0.000001)</f>
        <v>8.8646729999999998</v>
      </c>
      <c r="P1005" s="166"/>
      <c r="Q1005" s="166">
        <f t="shared" si="215"/>
        <v>780.09122400000001</v>
      </c>
      <c r="R1005" s="71"/>
    </row>
    <row r="1006" spans="1:18" s="61" customFormat="1" x14ac:dyDescent="0.25">
      <c r="A1006" s="358"/>
      <c r="B1006" s="361"/>
      <c r="C1006" s="221"/>
      <c r="D1006" s="368" t="s">
        <v>67</v>
      </c>
      <c r="E1006" s="368"/>
      <c r="F1006" s="368"/>
      <c r="G1006" s="368"/>
      <c r="H1006" s="195"/>
      <c r="I1006" s="159"/>
      <c r="J1006" s="195"/>
      <c r="K1006" s="161"/>
      <c r="L1006" s="196"/>
      <c r="M1006" s="230"/>
      <c r="N1006" s="164"/>
      <c r="O1006" s="165">
        <f t="shared" si="222"/>
        <v>0</v>
      </c>
      <c r="P1006" s="166"/>
      <c r="Q1006" s="166"/>
      <c r="R1006" s="71"/>
    </row>
    <row r="1007" spans="1:18" s="61" customFormat="1" x14ac:dyDescent="0.25">
      <c r="A1007" s="358"/>
      <c r="B1007" s="361"/>
      <c r="C1007" s="221"/>
      <c r="D1007" s="194"/>
      <c r="E1007" s="194"/>
      <c r="F1007" s="194"/>
      <c r="G1007" s="217"/>
      <c r="H1007" s="195"/>
      <c r="I1007" s="159"/>
      <c r="J1007" s="195"/>
      <c r="K1007" s="161"/>
      <c r="L1007" s="196"/>
      <c r="M1007" s="230"/>
      <c r="N1007" s="164"/>
      <c r="O1007" s="165">
        <f t="shared" si="222"/>
        <v>0</v>
      </c>
      <c r="P1007" s="166"/>
      <c r="Q1007" s="166"/>
      <c r="R1007" s="71"/>
    </row>
    <row r="1008" spans="1:18" s="61" customFormat="1" x14ac:dyDescent="0.25">
      <c r="A1008" s="358"/>
      <c r="B1008" s="361"/>
      <c r="C1008" s="221"/>
      <c r="D1008" s="350" t="s">
        <v>68</v>
      </c>
      <c r="E1008" s="350"/>
      <c r="F1008" s="350"/>
      <c r="G1008" s="350"/>
      <c r="H1008" s="195"/>
      <c r="I1008" s="159"/>
      <c r="J1008" s="195"/>
      <c r="K1008" s="161"/>
      <c r="L1008" s="196"/>
      <c r="M1008" s="230"/>
      <c r="N1008" s="164"/>
      <c r="O1008" s="165">
        <f t="shared" si="222"/>
        <v>0</v>
      </c>
      <c r="P1008" s="166"/>
      <c r="Q1008" s="166"/>
      <c r="R1008" s="71"/>
    </row>
    <row r="1009" spans="1:41" s="61" customFormat="1" x14ac:dyDescent="0.25">
      <c r="A1009" s="358"/>
      <c r="B1009" s="361"/>
      <c r="C1009" s="221"/>
      <c r="D1009" s="156"/>
      <c r="E1009" s="156"/>
      <c r="F1009" s="156"/>
      <c r="G1009" s="236"/>
      <c r="H1009" s="195"/>
      <c r="I1009" s="159"/>
      <c r="J1009" s="195"/>
      <c r="K1009" s="161"/>
      <c r="L1009" s="196"/>
      <c r="M1009" s="230"/>
      <c r="N1009" s="164"/>
      <c r="O1009" s="165">
        <f t="shared" si="222"/>
        <v>0</v>
      </c>
      <c r="P1009" s="166"/>
      <c r="Q1009" s="166"/>
      <c r="R1009" s="71"/>
    </row>
    <row r="1010" spans="1:41" s="61" customFormat="1" x14ac:dyDescent="0.25">
      <c r="A1010" s="358"/>
      <c r="B1010" s="361"/>
      <c r="C1010" s="221"/>
      <c r="D1010" s="368" t="s">
        <v>69</v>
      </c>
      <c r="E1010" s="368"/>
      <c r="F1010" s="368"/>
      <c r="G1010" s="368"/>
      <c r="H1010" s="187"/>
      <c r="I1010" s="159"/>
      <c r="J1010" s="187"/>
      <c r="K1010" s="161"/>
      <c r="L1010" s="276"/>
      <c r="M1010" s="230"/>
      <c r="N1010" s="164"/>
      <c r="O1010" s="198">
        <f>O1012+O1019+O1036+O1038+O1053+O1055+O1057+O1082+O1084+O1089+O1086</f>
        <v>3262.4382693199996</v>
      </c>
      <c r="P1010" s="166"/>
      <c r="Q1010" s="166"/>
      <c r="R1010" s="71"/>
    </row>
    <row r="1011" spans="1:41" s="61" customFormat="1" x14ac:dyDescent="0.25">
      <c r="A1011" s="358"/>
      <c r="B1011" s="361"/>
      <c r="C1011" s="221">
        <v>224</v>
      </c>
      <c r="D1011" s="156" t="s">
        <v>21</v>
      </c>
      <c r="E1011" s="156" t="s">
        <v>22</v>
      </c>
      <c r="F1011" s="156" t="s">
        <v>22</v>
      </c>
      <c r="G1011" s="238">
        <f>MROUND(H1011*L1011*I1011/K1011,0.000001)</f>
        <v>0</v>
      </c>
      <c r="H1011" s="158">
        <f>H51</f>
        <v>0</v>
      </c>
      <c r="I1011" s="159">
        <f>I1005</f>
        <v>4.313E-3</v>
      </c>
      <c r="J1011" s="160"/>
      <c r="K1011" s="161">
        <f>K1005</f>
        <v>88</v>
      </c>
      <c r="L1011" s="250"/>
      <c r="M1011" s="163"/>
      <c r="N1011" s="164">
        <f>N171</f>
        <v>0</v>
      </c>
      <c r="O1011" s="165">
        <f>MROUND(G1011*N1011,0.000001)</f>
        <v>0</v>
      </c>
      <c r="P1011" s="166"/>
      <c r="Q1011" s="166">
        <f t="shared" si="215"/>
        <v>0</v>
      </c>
      <c r="R1011" s="71"/>
    </row>
    <row r="1012" spans="1:41" s="62" customFormat="1" x14ac:dyDescent="0.25">
      <c r="A1012" s="358"/>
      <c r="B1012" s="361"/>
      <c r="C1012" s="218" t="s">
        <v>293</v>
      </c>
      <c r="D1012" s="240"/>
      <c r="E1012" s="240"/>
      <c r="F1012" s="240"/>
      <c r="G1012" s="227"/>
      <c r="H1012" s="241"/>
      <c r="I1012" s="206"/>
      <c r="J1012" s="228"/>
      <c r="K1012" s="207"/>
      <c r="L1012" s="257"/>
      <c r="M1012" s="209"/>
      <c r="N1012" s="210"/>
      <c r="O1012" s="198">
        <f>SUM(O1011)</f>
        <v>0</v>
      </c>
      <c r="P1012" s="267"/>
      <c r="Q1012" s="166"/>
      <c r="R1012" s="71"/>
    </row>
    <row r="1013" spans="1:41" s="61" customFormat="1" ht="31.5" x14ac:dyDescent="0.25">
      <c r="A1013" s="358"/>
      <c r="B1013" s="361"/>
      <c r="C1013" s="364" t="s">
        <v>78</v>
      </c>
      <c r="D1013" s="156" t="s">
        <v>26</v>
      </c>
      <c r="E1013" s="156" t="s">
        <v>22</v>
      </c>
      <c r="F1013" s="156" t="s">
        <v>22</v>
      </c>
      <c r="G1013" s="238">
        <f>MROUND(H1013*L1013*I1013/K1013,0.000001)</f>
        <v>15.197443999999999</v>
      </c>
      <c r="H1013" s="158">
        <f>H53</f>
        <v>25840</v>
      </c>
      <c r="I1013" s="159">
        <f>I1011</f>
        <v>4.313E-3</v>
      </c>
      <c r="J1013" s="160"/>
      <c r="K1013" s="161">
        <f>K1011</f>
        <v>88</v>
      </c>
      <c r="L1013" s="250">
        <v>12</v>
      </c>
      <c r="M1013" s="163" t="str">
        <f>CONCATENATE(H1013," ",F1013,"(обрабатываемая площадь в мес.)","*",L1013,"мес.","*",I1013,"/",K1013,"чел.")</f>
        <v>25840 м2(обрабатываемая площадь в мес.)*12мес.*0,004313/88чел.</v>
      </c>
      <c r="N1013" s="164">
        <f>N53</f>
        <v>1.1553999935500519</v>
      </c>
      <c r="O1013" s="165">
        <f t="shared" ref="O1013:O1018" si="223">MROUND(G1013*N1013,0.000001)</f>
        <v>17.559127</v>
      </c>
      <c r="P1013" s="166"/>
      <c r="Q1013" s="166">
        <f t="shared" si="215"/>
        <v>1545.203176</v>
      </c>
      <c r="R1013" s="71"/>
    </row>
    <row r="1014" spans="1:41" s="61" customFormat="1" ht="31.5" x14ac:dyDescent="0.25">
      <c r="A1014" s="358"/>
      <c r="B1014" s="361"/>
      <c r="C1014" s="364"/>
      <c r="D1014" s="156" t="s">
        <v>96</v>
      </c>
      <c r="E1014" s="156" t="s">
        <v>22</v>
      </c>
      <c r="F1014" s="156" t="s">
        <v>22</v>
      </c>
      <c r="G1014" s="238">
        <f>MROUND(H1014*L1014*I1014/K1014,0.000001)</f>
        <v>7.8663239999999996</v>
      </c>
      <c r="H1014" s="158">
        <f>H54</f>
        <v>13375</v>
      </c>
      <c r="I1014" s="159">
        <f t="shared" si="219"/>
        <v>4.313E-3</v>
      </c>
      <c r="J1014" s="160"/>
      <c r="K1014" s="161">
        <f>K1013</f>
        <v>88</v>
      </c>
      <c r="L1014" s="250">
        <v>12</v>
      </c>
      <c r="M1014" s="163" t="str">
        <f>CONCATENATE(H1014," ",F1014,"(обрабатываемая площадь в мес.)","*",L1014,"мес.","*",I1014,"/",K1014,"чел.")</f>
        <v>13375 м2(обрабатываемая площадь в мес.)*12мес.*0,004313/88чел.</v>
      </c>
      <c r="N1014" s="164">
        <f>N54</f>
        <v>1.8530000000000004</v>
      </c>
      <c r="O1014" s="165">
        <f t="shared" si="223"/>
        <v>14.576298</v>
      </c>
      <c r="P1014" s="166"/>
      <c r="Q1014" s="166">
        <f t="shared" si="215"/>
        <v>1282.7142240000001</v>
      </c>
      <c r="R1014" s="71"/>
    </row>
    <row r="1015" spans="1:41" s="135" customFormat="1" ht="31.5" x14ac:dyDescent="0.25">
      <c r="A1015" s="358"/>
      <c r="B1015" s="361"/>
      <c r="C1015" s="364"/>
      <c r="D1015" s="156" t="s">
        <v>385</v>
      </c>
      <c r="E1015" s="156" t="s">
        <v>22</v>
      </c>
      <c r="F1015" s="156" t="s">
        <v>22</v>
      </c>
      <c r="G1015" s="238">
        <f>MROUND(H1015*L1015*I1015/K1015,0.000001)</f>
        <v>15.732647999999999</v>
      </c>
      <c r="H1015" s="242">
        <f>$H$55</f>
        <v>13375</v>
      </c>
      <c r="I1015" s="159">
        <f t="shared" si="219"/>
        <v>4.313E-3</v>
      </c>
      <c r="J1015" s="160"/>
      <c r="K1015" s="161">
        <f>K1014</f>
        <v>88</v>
      </c>
      <c r="L1015" s="162">
        <v>24</v>
      </c>
      <c r="M1015" s="163" t="str">
        <f>CONCATENATE(H1015," ",F1015,"(обрабатываемая площадь в год)","*",L1015," раза в год.","*",I1015,"/",K1015,"чел.")</f>
        <v>13375 м2(обрабатываемая площадь в год)*24 раза в год.*0,004313/88чел.</v>
      </c>
      <c r="N1015" s="164">
        <f>$N$55</f>
        <v>2.2889999999999993</v>
      </c>
      <c r="O1015" s="165">
        <f t="shared" si="223"/>
        <v>36.012031</v>
      </c>
      <c r="P1015" s="166"/>
      <c r="Q1015" s="166">
        <f t="shared" si="215"/>
        <v>3169.058728</v>
      </c>
      <c r="R1015" s="71"/>
      <c r="S1015" s="61"/>
      <c r="T1015" s="61"/>
      <c r="U1015" s="61"/>
      <c r="V1015" s="61"/>
      <c r="W1015" s="61"/>
      <c r="X1015" s="61"/>
      <c r="Y1015" s="61"/>
      <c r="Z1015" s="61"/>
      <c r="AA1015" s="61"/>
      <c r="AB1015" s="61"/>
      <c r="AC1015" s="61"/>
      <c r="AD1015" s="61"/>
      <c r="AE1015" s="61"/>
      <c r="AF1015" s="61"/>
      <c r="AG1015" s="61"/>
      <c r="AH1015" s="61"/>
      <c r="AI1015" s="61"/>
      <c r="AJ1015" s="61"/>
      <c r="AK1015" s="61"/>
      <c r="AL1015" s="61"/>
      <c r="AM1015" s="61"/>
      <c r="AN1015" s="61"/>
      <c r="AO1015" s="61"/>
    </row>
    <row r="1016" spans="1:41" s="135" customFormat="1" ht="31.5" x14ac:dyDescent="0.25">
      <c r="A1016" s="358"/>
      <c r="B1016" s="361"/>
      <c r="C1016" s="364"/>
      <c r="D1016" s="156" t="s">
        <v>394</v>
      </c>
      <c r="E1016" s="156" t="s">
        <v>22</v>
      </c>
      <c r="F1016" s="156" t="s">
        <v>22</v>
      </c>
      <c r="G1016" s="238">
        <f>MROUND(H1016*L1016*I1016/K1016,0.000001)</f>
        <v>15.197443999999999</v>
      </c>
      <c r="H1016" s="243">
        <f>$H$56</f>
        <v>25840</v>
      </c>
      <c r="I1016" s="159">
        <f t="shared" si="219"/>
        <v>4.313E-3</v>
      </c>
      <c r="J1016" s="160"/>
      <c r="K1016" s="161">
        <f>K1015</f>
        <v>88</v>
      </c>
      <c r="L1016" s="162">
        <v>12</v>
      </c>
      <c r="M1016" s="163" t="str">
        <f>CONCATENATE(H1016," ",F1016,"(обрабатываемая площадь в мес.)","*",L1016,"мес.","*",I1016,"/",K1016,"чел.")</f>
        <v>25840 м2(обрабатываемая площадь в мес.)*12мес.*0,004313/88чел.</v>
      </c>
      <c r="N1016" s="164">
        <f>$N$56</f>
        <v>0.54499999999999993</v>
      </c>
      <c r="O1016" s="165">
        <f t="shared" si="223"/>
        <v>8.2826070000000005</v>
      </c>
      <c r="P1016" s="166"/>
      <c r="Q1016" s="166">
        <f t="shared" si="215"/>
        <v>728.869416</v>
      </c>
      <c r="R1016" s="71"/>
      <c r="S1016" s="61"/>
      <c r="T1016" s="61"/>
      <c r="U1016" s="61"/>
      <c r="V1016" s="61"/>
      <c r="W1016" s="61"/>
      <c r="X1016" s="61"/>
      <c r="Y1016" s="61"/>
      <c r="Z1016" s="61"/>
      <c r="AA1016" s="61"/>
      <c r="AB1016" s="61"/>
      <c r="AC1016" s="61"/>
      <c r="AD1016" s="61"/>
      <c r="AE1016" s="61"/>
      <c r="AF1016" s="61"/>
      <c r="AG1016" s="61"/>
      <c r="AH1016" s="61"/>
      <c r="AI1016" s="61"/>
      <c r="AJ1016" s="61"/>
      <c r="AK1016" s="61"/>
      <c r="AL1016" s="61"/>
      <c r="AM1016" s="61"/>
      <c r="AN1016" s="61"/>
      <c r="AO1016" s="61"/>
    </row>
    <row r="1017" spans="1:41" s="135" customFormat="1" ht="31.5" x14ac:dyDescent="0.25">
      <c r="A1017" s="358"/>
      <c r="B1017" s="361"/>
      <c r="C1017" s="364"/>
      <c r="D1017" s="156" t="s">
        <v>395</v>
      </c>
      <c r="E1017" s="156" t="s">
        <v>98</v>
      </c>
      <c r="F1017" s="156" t="s">
        <v>98</v>
      </c>
      <c r="G1017" s="238">
        <f>MROUND(H1017*L1017*I1017/K1017,0.0000000001)</f>
        <v>9.2827520000000007E-4</v>
      </c>
      <c r="H1017" s="242">
        <f>$H$57</f>
        <v>18.939999999999998</v>
      </c>
      <c r="I1017" s="159">
        <f t="shared" si="219"/>
        <v>4.313E-3</v>
      </c>
      <c r="J1017" s="160"/>
      <c r="K1017" s="161">
        <f>K1016</f>
        <v>88</v>
      </c>
      <c r="L1017" s="162">
        <v>1</v>
      </c>
      <c r="M1017" s="163" t="str">
        <f>CONCATENATE(H1017," ",F1017,"(обрабатываемая площадь в год)","*",L1017," раз в год","*",I1017,"/",K1017,"чел.")</f>
        <v>18,94 Га(обрабатываемая площадь в год)*1 раз в год*0,004313/88чел.</v>
      </c>
      <c r="N1017" s="164">
        <f>$N$57</f>
        <v>545</v>
      </c>
      <c r="O1017" s="165">
        <f t="shared" si="223"/>
        <v>0.50590999999999997</v>
      </c>
      <c r="P1017" s="166"/>
      <c r="Q1017" s="166">
        <f t="shared" si="215"/>
        <v>44.52008</v>
      </c>
      <c r="R1017" s="71"/>
      <c r="S1017" s="61"/>
      <c r="T1017" s="61"/>
      <c r="U1017" s="61"/>
      <c r="V1017" s="61"/>
      <c r="W1017" s="61"/>
      <c r="X1017" s="61"/>
      <c r="Y1017" s="61"/>
      <c r="Z1017" s="61"/>
      <c r="AA1017" s="61"/>
      <c r="AB1017" s="61"/>
      <c r="AC1017" s="61"/>
      <c r="AD1017" s="61"/>
      <c r="AE1017" s="61"/>
      <c r="AF1017" s="61"/>
      <c r="AG1017" s="61"/>
      <c r="AH1017" s="61"/>
      <c r="AI1017" s="61"/>
      <c r="AJ1017" s="61"/>
      <c r="AK1017" s="61"/>
      <c r="AL1017" s="61"/>
      <c r="AM1017" s="61"/>
      <c r="AN1017" s="61"/>
      <c r="AO1017" s="61"/>
    </row>
    <row r="1018" spans="1:41" s="61" customFormat="1" ht="31.5" x14ac:dyDescent="0.25">
      <c r="A1018" s="358"/>
      <c r="B1018" s="361"/>
      <c r="C1018" s="364"/>
      <c r="D1018" s="156" t="s">
        <v>97</v>
      </c>
      <c r="E1018" s="156" t="s">
        <v>98</v>
      </c>
      <c r="F1018" s="156" t="s">
        <v>98</v>
      </c>
      <c r="G1018" s="238">
        <f>MROUND(H1018*L1018*I1018/K1018,0.000000001)</f>
        <v>9.2827500000000011E-4</v>
      </c>
      <c r="H1018" s="242">
        <f>H58</f>
        <v>18.939999999999998</v>
      </c>
      <c r="I1018" s="244">
        <f>I1014</f>
        <v>4.313E-3</v>
      </c>
      <c r="J1018" s="160"/>
      <c r="K1018" s="161">
        <f>K1014</f>
        <v>88</v>
      </c>
      <c r="L1018" s="250">
        <v>1</v>
      </c>
      <c r="M1018" s="163" t="str">
        <f>CONCATENATE(H1018," ",F1018,"(обрабатываемая площадь в мес.)","*",L1018,"мес.","*",I1018,"/",K1018,"чел.")</f>
        <v>18,94 Га(обрабатываемая площадь в мес.)*1мес.*0,004313/88чел.</v>
      </c>
      <c r="N1018" s="164">
        <f>N58</f>
        <v>2965.979936642027</v>
      </c>
      <c r="O1018" s="165">
        <f t="shared" si="223"/>
        <v>2.7532449999999997</v>
      </c>
      <c r="P1018" s="166"/>
      <c r="Q1018" s="166">
        <f t="shared" si="215"/>
        <v>242.28555999999998</v>
      </c>
      <c r="R1018" s="71"/>
    </row>
    <row r="1019" spans="1:41" s="62" customFormat="1" x14ac:dyDescent="0.25">
      <c r="A1019" s="358"/>
      <c r="B1019" s="361"/>
      <c r="C1019" s="245" t="s">
        <v>294</v>
      </c>
      <c r="D1019" s="240"/>
      <c r="E1019" s="240"/>
      <c r="F1019" s="240"/>
      <c r="G1019" s="227"/>
      <c r="H1019" s="241"/>
      <c r="I1019" s="206"/>
      <c r="J1019" s="228"/>
      <c r="K1019" s="207"/>
      <c r="L1019" s="257"/>
      <c r="M1019" s="209"/>
      <c r="N1019" s="210"/>
      <c r="O1019" s="198">
        <f>SUM(O1013:O1018)</f>
        <v>79.689218000000011</v>
      </c>
      <c r="P1019" s="267"/>
      <c r="Q1019" s="166"/>
      <c r="R1019" s="71"/>
    </row>
    <row r="1020" spans="1:41" s="61" customFormat="1" ht="63" x14ac:dyDescent="0.25">
      <c r="A1020" s="358"/>
      <c r="B1020" s="361"/>
      <c r="C1020" s="365" t="s">
        <v>77</v>
      </c>
      <c r="D1020" s="156" t="s">
        <v>29</v>
      </c>
      <c r="E1020" s="156" t="s">
        <v>58</v>
      </c>
      <c r="F1020" s="156" t="s">
        <v>218</v>
      </c>
      <c r="G1020" s="238">
        <f>MROUND(H1020*L1020*I1020/K1020,0.00000001)</f>
        <v>2.9406800000000002E-3</v>
      </c>
      <c r="H1020" s="158">
        <v>15</v>
      </c>
      <c r="I1020" s="159">
        <f>I1018</f>
        <v>4.313E-3</v>
      </c>
      <c r="J1020" s="160"/>
      <c r="K1020" s="161">
        <f>K1018</f>
        <v>88</v>
      </c>
      <c r="L1020" s="162">
        <v>4</v>
      </c>
      <c r="M1020" s="163" t="str">
        <f>CONCATENATE(H1020," ",F1020,"*",L1020," раза в год","*",I1020,"/",K1020,"чел.")</f>
        <v>15 установок*4 раза в год*0,004313/88чел.</v>
      </c>
      <c r="N1020" s="164">
        <f>N60</f>
        <v>721.75483333333329</v>
      </c>
      <c r="O1020" s="165">
        <f t="shared" ref="O1020:O1035" si="224">MROUND(G1020*N1020,0.000001)</f>
        <v>2.1224499999999997</v>
      </c>
      <c r="P1020" s="166"/>
      <c r="Q1020" s="166">
        <f t="shared" si="215"/>
        <v>186.77559999999997</v>
      </c>
      <c r="R1020" s="71"/>
    </row>
    <row r="1021" spans="1:41" s="61" customFormat="1" ht="47.25" x14ac:dyDescent="0.25">
      <c r="A1021" s="358"/>
      <c r="B1021" s="361"/>
      <c r="C1021" s="366"/>
      <c r="D1021" s="156" t="s">
        <v>30</v>
      </c>
      <c r="E1021" s="156" t="s">
        <v>58</v>
      </c>
      <c r="F1021" s="156" t="s">
        <v>218</v>
      </c>
      <c r="G1021" s="238">
        <f>MROUND(H1021*L1021*I1021/K1021,0.00000001)</f>
        <v>1.4703400000000001E-3</v>
      </c>
      <c r="H1021" s="158">
        <v>15</v>
      </c>
      <c r="I1021" s="159">
        <f t="shared" si="219"/>
        <v>4.313E-3</v>
      </c>
      <c r="J1021" s="160"/>
      <c r="K1021" s="161">
        <f t="shared" ref="K1021:K1029" si="225">K1020</f>
        <v>88</v>
      </c>
      <c r="L1021" s="250">
        <v>2</v>
      </c>
      <c r="M1021" s="163" t="str">
        <f>CONCATENATE(H1021," ",F1021,"*",L1021,"полуг.","*",I1021,"/",K1021,"чел.")</f>
        <v>15 установок*2полуг.*0,004313/88чел.</v>
      </c>
      <c r="N1021" s="164">
        <f>N301</f>
        <v>721.75266666666664</v>
      </c>
      <c r="O1021" s="165">
        <f t="shared" si="224"/>
        <v>1.0612219999999999</v>
      </c>
      <c r="P1021" s="166"/>
      <c r="Q1021" s="166">
        <f t="shared" si="215"/>
        <v>93.387535999999983</v>
      </c>
      <c r="R1021" s="71"/>
    </row>
    <row r="1022" spans="1:41" s="61" customFormat="1" ht="31.5" x14ac:dyDescent="0.25">
      <c r="A1022" s="358"/>
      <c r="B1022" s="361"/>
      <c r="C1022" s="366"/>
      <c r="D1022" s="156" t="s">
        <v>397</v>
      </c>
      <c r="E1022" s="156" t="s">
        <v>433</v>
      </c>
      <c r="F1022" s="156" t="s">
        <v>433</v>
      </c>
      <c r="G1022" s="238">
        <f>MROUND(H1022*L1022*I1022/K1022,0.000001)</f>
        <v>2.9406999999999999E-2</v>
      </c>
      <c r="H1022" s="158">
        <f>H62</f>
        <v>600</v>
      </c>
      <c r="I1022" s="159">
        <f t="shared" si="219"/>
        <v>4.313E-3</v>
      </c>
      <c r="J1022" s="160"/>
      <c r="K1022" s="161">
        <f t="shared" si="225"/>
        <v>88</v>
      </c>
      <c r="L1022" s="162">
        <v>1</v>
      </c>
      <c r="M1022" s="163" t="str">
        <f>CONCATENATE(H1022," ",F1022,"(обрабатываемая площадь в год)","*",L1022," раз в год","*",I1022,"/",K1022,"чел.")</f>
        <v>600 м2.(обрабатываемая площадь в год)*1 раз в год*0,004313/88чел.</v>
      </c>
      <c r="N1022" s="164">
        <f>N62</f>
        <v>300</v>
      </c>
      <c r="O1022" s="165">
        <f t="shared" si="224"/>
        <v>8.8220999999999989</v>
      </c>
      <c r="P1022" s="166"/>
      <c r="Q1022" s="166">
        <f t="shared" si="215"/>
        <v>776.34479999999985</v>
      </c>
      <c r="R1022" s="71"/>
    </row>
    <row r="1023" spans="1:41" s="61" customFormat="1" ht="47.25" x14ac:dyDescent="0.25">
      <c r="A1023" s="358"/>
      <c r="B1023" s="361"/>
      <c r="C1023" s="366"/>
      <c r="D1023" s="156" t="s">
        <v>32</v>
      </c>
      <c r="E1023" s="156" t="s">
        <v>55</v>
      </c>
      <c r="F1023" s="156" t="s">
        <v>219</v>
      </c>
      <c r="G1023" s="238">
        <f>MROUND(H1023*L1023*I1023/K1023,0.000000001)</f>
        <v>7.0576360000000008E-3</v>
      </c>
      <c r="H1023" s="158">
        <f>H303</f>
        <v>36</v>
      </c>
      <c r="I1023" s="159">
        <f>I1022</f>
        <v>4.313E-3</v>
      </c>
      <c r="J1023" s="160"/>
      <c r="K1023" s="161">
        <f t="shared" si="225"/>
        <v>88</v>
      </c>
      <c r="L1023" s="250">
        <v>4</v>
      </c>
      <c r="M1023" s="163" t="str">
        <f>CONCATENATE(H1023," ",F1023,"*",L1023,"кв.","*",I1023,"/",K1023,"чел.")</f>
        <v>36 системы*4кв.*0,004313/88чел.</v>
      </c>
      <c r="N1023" s="164">
        <f>N303</f>
        <v>6924.5277777777774</v>
      </c>
      <c r="O1023" s="165">
        <f t="shared" si="224"/>
        <v>48.870796999999996</v>
      </c>
      <c r="P1023" s="166"/>
      <c r="Q1023" s="166">
        <f t="shared" si="215"/>
        <v>4300.6301359999998</v>
      </c>
      <c r="R1023" s="71"/>
    </row>
    <row r="1024" spans="1:41" s="61" customFormat="1" ht="63" x14ac:dyDescent="0.25">
      <c r="A1024" s="358"/>
      <c r="B1024" s="361"/>
      <c r="C1024" s="366"/>
      <c r="D1024" s="156" t="s">
        <v>33</v>
      </c>
      <c r="E1024" s="156" t="s">
        <v>56</v>
      </c>
      <c r="F1024" s="156" t="s">
        <v>220</v>
      </c>
      <c r="G1024" s="238">
        <f>MROUND(H1024*L1024*I1024/K1024,0.000000001)</f>
        <v>1.7644090000000002E-3</v>
      </c>
      <c r="H1024" s="158">
        <f>$H$64</f>
        <v>36</v>
      </c>
      <c r="I1024" s="159">
        <f>I1023</f>
        <v>4.313E-3</v>
      </c>
      <c r="J1024" s="160"/>
      <c r="K1024" s="161">
        <f t="shared" si="225"/>
        <v>88</v>
      </c>
      <c r="L1024" s="162">
        <v>1</v>
      </c>
      <c r="M1024" s="163" t="str">
        <f>CONCATENATE(H1024," ",F1024,"*",L1024," раз в год","*",I1024,"/",K1024,"чел.")</f>
        <v>36 дымоходов*1 раз в год*0,004313/88чел.</v>
      </c>
      <c r="N1024" s="164">
        <f t="shared" ref="N1024:N1030" si="226">N64</f>
        <v>6540</v>
      </c>
      <c r="O1024" s="165">
        <f t="shared" si="224"/>
        <v>11.539235</v>
      </c>
      <c r="P1024" s="166"/>
      <c r="Q1024" s="166">
        <f t="shared" si="215"/>
        <v>1015.45268</v>
      </c>
      <c r="R1024" s="71"/>
    </row>
    <row r="1025" spans="1:18" s="61" customFormat="1" x14ac:dyDescent="0.25">
      <c r="A1025" s="358"/>
      <c r="B1025" s="361"/>
      <c r="C1025" s="366"/>
      <c r="D1025" s="194" t="s">
        <v>398</v>
      </c>
      <c r="E1025" s="156" t="s">
        <v>60</v>
      </c>
      <c r="F1025" s="156" t="s">
        <v>60</v>
      </c>
      <c r="G1025" s="238">
        <f>MROUND(H1025*L1025*I1025/K1025,0.000000001)</f>
        <v>1.7153980000000001E-3</v>
      </c>
      <c r="H1025" s="246">
        <f>H65</f>
        <v>35</v>
      </c>
      <c r="I1025" s="159">
        <f t="shared" si="219"/>
        <v>4.313E-3</v>
      </c>
      <c r="J1025" s="160"/>
      <c r="K1025" s="161">
        <f t="shared" si="225"/>
        <v>88</v>
      </c>
      <c r="L1025" s="250">
        <v>1</v>
      </c>
      <c r="M1025" s="163" t="str">
        <f>CONCATENATE(H1025," ",F1025,"*",I1025,"/",K1025,"чел.")</f>
        <v>35 шт.*0,004313/88чел.</v>
      </c>
      <c r="N1025" s="164">
        <f t="shared" si="226"/>
        <v>11009</v>
      </c>
      <c r="O1025" s="165">
        <f t="shared" si="224"/>
        <v>18.884816999999998</v>
      </c>
      <c r="P1025" s="166"/>
      <c r="Q1025" s="166">
        <f t="shared" si="215"/>
        <v>1661.8638959999998</v>
      </c>
      <c r="R1025" s="71"/>
    </row>
    <row r="1026" spans="1:18" s="61" customFormat="1" ht="47.25" x14ac:dyDescent="0.25">
      <c r="A1026" s="358"/>
      <c r="B1026" s="361"/>
      <c r="C1026" s="366"/>
      <c r="D1026" s="156" t="s">
        <v>401</v>
      </c>
      <c r="E1026" s="156" t="s">
        <v>60</v>
      </c>
      <c r="F1026" s="156" t="s">
        <v>402</v>
      </c>
      <c r="G1026" s="238">
        <f>MROUND(H1026*L1026*I1026/K1026,0.000001)</f>
        <v>3.431E-3</v>
      </c>
      <c r="H1026" s="246">
        <f>H66</f>
        <v>35</v>
      </c>
      <c r="I1026" s="159">
        <f t="shared" si="219"/>
        <v>4.313E-3</v>
      </c>
      <c r="J1026" s="160"/>
      <c r="K1026" s="161">
        <f t="shared" si="225"/>
        <v>88</v>
      </c>
      <c r="L1026" s="162">
        <v>2</v>
      </c>
      <c r="M1026" s="163" t="str">
        <f>CONCATENATE(H1026," ",F1026,"*",L1026," раз в год","*",I1026,"/",K1026,"чел.")</f>
        <v>35 противопожарных водопроводов*2 раз в год*0,004313/88чел.</v>
      </c>
      <c r="N1026" s="164">
        <f t="shared" si="226"/>
        <v>5450</v>
      </c>
      <c r="O1026" s="165">
        <f t="shared" si="224"/>
        <v>18.69895</v>
      </c>
      <c r="P1026" s="166"/>
      <c r="Q1026" s="166">
        <f t="shared" si="215"/>
        <v>1645.5075999999999</v>
      </c>
      <c r="R1026" s="71"/>
    </row>
    <row r="1027" spans="1:18" s="61" customFormat="1" ht="31.5" x14ac:dyDescent="0.25">
      <c r="A1027" s="358"/>
      <c r="B1027" s="361"/>
      <c r="C1027" s="366"/>
      <c r="D1027" s="156" t="s">
        <v>221</v>
      </c>
      <c r="E1027" s="156" t="s">
        <v>60</v>
      </c>
      <c r="F1027" s="156" t="s">
        <v>60</v>
      </c>
      <c r="G1027" s="238">
        <f>MROUND(H1027*L1027*I1027/K1027,0.000000001)</f>
        <v>1.0586455E-2</v>
      </c>
      <c r="H1027" s="158">
        <f>H67</f>
        <v>18</v>
      </c>
      <c r="I1027" s="159">
        <f t="shared" si="219"/>
        <v>4.313E-3</v>
      </c>
      <c r="J1027" s="160"/>
      <c r="K1027" s="161">
        <f t="shared" si="225"/>
        <v>88</v>
      </c>
      <c r="L1027" s="250">
        <v>12</v>
      </c>
      <c r="M1027" s="163" t="str">
        <f>CONCATENATE(H1027," ",F1027,"*",L1027,"мес.","*",I1027,"/",K1027,"чел.")</f>
        <v>18 шт.*12мес.*0,004313/88чел.</v>
      </c>
      <c r="N1027" s="164">
        <f t="shared" si="226"/>
        <v>6288.0888888888885</v>
      </c>
      <c r="O1027" s="165">
        <f t="shared" si="224"/>
        <v>66.568569999999994</v>
      </c>
      <c r="P1027" s="166"/>
      <c r="Q1027" s="166">
        <f t="shared" si="215"/>
        <v>5858.0341599999992</v>
      </c>
      <c r="R1027" s="71"/>
    </row>
    <row r="1028" spans="1:18" s="61" customFormat="1" ht="47.25" x14ac:dyDescent="0.25">
      <c r="A1028" s="358"/>
      <c r="B1028" s="361"/>
      <c r="C1028" s="366"/>
      <c r="D1028" s="156" t="s">
        <v>34</v>
      </c>
      <c r="E1028" s="156" t="s">
        <v>59</v>
      </c>
      <c r="F1028" s="156" t="s">
        <v>28</v>
      </c>
      <c r="G1028" s="238">
        <f>MROUND(H1028*L1028*I1028/K1028,0.0000000001)</f>
        <v>9.8022699999999999E-5</v>
      </c>
      <c r="H1028" s="158">
        <f>H68</f>
        <v>2</v>
      </c>
      <c r="I1028" s="159">
        <f t="shared" si="219"/>
        <v>4.313E-3</v>
      </c>
      <c r="J1028" s="160"/>
      <c r="K1028" s="161">
        <f t="shared" si="225"/>
        <v>88</v>
      </c>
      <c r="L1028" s="250">
        <v>1</v>
      </c>
      <c r="M1028" s="163" t="str">
        <f>CONCATENATE(H1028," ",F1028,"*",I1028,"/",K1028,"чел.")</f>
        <v>2 шт*0,004313/88чел.</v>
      </c>
      <c r="N1028" s="164">
        <f t="shared" si="226"/>
        <v>7500</v>
      </c>
      <c r="O1028" s="165">
        <f t="shared" si="224"/>
        <v>0.73516999999999999</v>
      </c>
      <c r="P1028" s="166"/>
      <c r="Q1028" s="166">
        <f t="shared" si="215"/>
        <v>64.694959999999995</v>
      </c>
      <c r="R1028" s="71"/>
    </row>
    <row r="1029" spans="1:18" s="61" customFormat="1" ht="47.25" x14ac:dyDescent="0.25">
      <c r="A1029" s="358"/>
      <c r="B1029" s="361"/>
      <c r="C1029" s="366"/>
      <c r="D1029" s="156" t="s">
        <v>222</v>
      </c>
      <c r="E1029" s="156" t="s">
        <v>60</v>
      </c>
      <c r="F1029" s="156" t="s">
        <v>60</v>
      </c>
      <c r="G1029" s="238">
        <f>MROUND(H1029*L1029*I1029/K1029,0.00000000001)</f>
        <v>1.7153977299999999E-3</v>
      </c>
      <c r="H1029" s="248">
        <f>H309</f>
        <v>35</v>
      </c>
      <c r="I1029" s="159">
        <f t="shared" si="219"/>
        <v>4.313E-3</v>
      </c>
      <c r="J1029" s="160"/>
      <c r="K1029" s="161">
        <f t="shared" si="225"/>
        <v>88</v>
      </c>
      <c r="L1029" s="250">
        <v>1</v>
      </c>
      <c r="M1029" s="163" t="str">
        <f>CONCATENATE(H1029," ",F1029,"*",I1029,"/",K1029,"чел.")</f>
        <v>35 шт.*0,004313/88чел.</v>
      </c>
      <c r="N1029" s="164">
        <f t="shared" si="226"/>
        <v>8189.7714285714283</v>
      </c>
      <c r="O1029" s="165">
        <f>MROUND(G1029*N1029,0.00000001)</f>
        <v>14.048715319999999</v>
      </c>
      <c r="P1029" s="166"/>
      <c r="Q1029" s="166">
        <f t="shared" si="215"/>
        <v>1236.2869481600001</v>
      </c>
      <c r="R1029" s="71"/>
    </row>
    <row r="1030" spans="1:18" s="61" customFormat="1" ht="31.5" x14ac:dyDescent="0.25">
      <c r="A1030" s="358"/>
      <c r="B1030" s="361"/>
      <c r="C1030" s="366"/>
      <c r="D1030" s="156" t="s">
        <v>35</v>
      </c>
      <c r="E1030" s="156" t="s">
        <v>102</v>
      </c>
      <c r="F1030" s="156" t="s">
        <v>223</v>
      </c>
      <c r="G1030" s="238">
        <f>MROUND(H1030*L1030*I1030/K1030,0.00000001)</f>
        <v>1.7154E-3</v>
      </c>
      <c r="H1030" s="158">
        <f>H70</f>
        <v>35</v>
      </c>
      <c r="I1030" s="159">
        <f>I1028</f>
        <v>4.313E-3</v>
      </c>
      <c r="J1030" s="160"/>
      <c r="K1030" s="161">
        <f>K1028</f>
        <v>88</v>
      </c>
      <c r="L1030" s="250">
        <v>1</v>
      </c>
      <c r="M1030" s="163" t="str">
        <f>CONCATENATE(H1030," ",F1030,"*",I1030,"/",K1030,"чел.")</f>
        <v>35 замеров*0,004313/88чел.</v>
      </c>
      <c r="N1030" s="164">
        <f t="shared" si="226"/>
        <v>20142.857142857141</v>
      </c>
      <c r="O1030" s="165">
        <f t="shared" si="224"/>
        <v>34.553056999999995</v>
      </c>
      <c r="P1030" s="166"/>
      <c r="Q1030" s="166">
        <f t="shared" si="215"/>
        <v>3040.6690159999998</v>
      </c>
      <c r="R1030" s="71"/>
    </row>
    <row r="1031" spans="1:18" s="61" customFormat="1" ht="47.25" x14ac:dyDescent="0.25">
      <c r="A1031" s="358"/>
      <c r="B1031" s="361"/>
      <c r="C1031" s="366"/>
      <c r="D1031" s="156" t="s">
        <v>399</v>
      </c>
      <c r="E1031" s="156" t="s">
        <v>60</v>
      </c>
      <c r="F1031" s="156" t="s">
        <v>60</v>
      </c>
      <c r="G1031" s="238">
        <f>MROUND(H1031*L1031*I1031/K1031,0.000000001)</f>
        <v>1.7153977000000001E-2</v>
      </c>
      <c r="H1031" s="158">
        <f>H431</f>
        <v>35</v>
      </c>
      <c r="I1031" s="159">
        <f t="shared" si="219"/>
        <v>4.313E-3</v>
      </c>
      <c r="J1031" s="160"/>
      <c r="K1031" s="161">
        <f>K1030</f>
        <v>88</v>
      </c>
      <c r="L1031" s="250">
        <v>10</v>
      </c>
      <c r="M1031" s="163" t="str">
        <f>CONCATENATE(H1031," ",F1031,"*",L1031,"мес.","*",I1031,"/",K1031,"чел.")</f>
        <v>35 шт.*10мес.*0,004313/88чел.</v>
      </c>
      <c r="N1031" s="164">
        <f>N431</f>
        <v>3107.903028571428</v>
      </c>
      <c r="O1031" s="165">
        <f t="shared" si="224"/>
        <v>53.312897</v>
      </c>
      <c r="P1031" s="166"/>
      <c r="Q1031" s="166">
        <f t="shared" si="215"/>
        <v>4691.534936</v>
      </c>
      <c r="R1031" s="71"/>
    </row>
    <row r="1032" spans="1:18" s="61" customFormat="1" ht="47.25" x14ac:dyDescent="0.25">
      <c r="A1032" s="358"/>
      <c r="B1032" s="361"/>
      <c r="C1032" s="366"/>
      <c r="D1032" s="156" t="s">
        <v>36</v>
      </c>
      <c r="E1032" s="156" t="s">
        <v>31</v>
      </c>
      <c r="F1032" s="156" t="s">
        <v>224</v>
      </c>
      <c r="G1032" s="238">
        <f>MROUND(H1032*L1032*I1032/K1032,0.00000001)</f>
        <v>2.117291E-2</v>
      </c>
      <c r="H1032" s="158">
        <f>H312</f>
        <v>36</v>
      </c>
      <c r="I1032" s="159">
        <f t="shared" si="219"/>
        <v>4.313E-3</v>
      </c>
      <c r="J1032" s="160"/>
      <c r="K1032" s="161">
        <f>K1031</f>
        <v>88</v>
      </c>
      <c r="L1032" s="250">
        <v>12</v>
      </c>
      <c r="M1032" s="163" t="str">
        <f>CONCATENATE(H1032," ",F1032,"*",L1032,"мес.","*",I1032,"/",K1032,"чел.")</f>
        <v>36 устройств*12мес.*0,004313/88чел.</v>
      </c>
      <c r="N1032" s="164">
        <f>N72</f>
        <v>2200</v>
      </c>
      <c r="O1032" s="165">
        <f t="shared" si="224"/>
        <v>46.580401999999999</v>
      </c>
      <c r="P1032" s="166"/>
      <c r="Q1032" s="166">
        <f t="shared" ref="Q1032:Q1092" si="227">O1032*K1032</f>
        <v>4099.0753759999998</v>
      </c>
      <c r="R1032" s="71"/>
    </row>
    <row r="1033" spans="1:18" s="61" customFormat="1" ht="31.5" x14ac:dyDescent="0.25">
      <c r="A1033" s="358"/>
      <c r="B1033" s="361"/>
      <c r="C1033" s="366"/>
      <c r="D1033" s="156" t="s">
        <v>99</v>
      </c>
      <c r="E1033" s="156" t="s">
        <v>103</v>
      </c>
      <c r="F1033" s="156" t="s">
        <v>225</v>
      </c>
      <c r="G1033" s="238">
        <f>MROUND(H1033*L1033*I1033/K1033,0.00000001)</f>
        <v>1.862432E-2</v>
      </c>
      <c r="H1033" s="158">
        <f>H73</f>
        <v>380</v>
      </c>
      <c r="I1033" s="159">
        <f t="shared" si="219"/>
        <v>4.313E-3</v>
      </c>
      <c r="J1033" s="160"/>
      <c r="K1033" s="161">
        <f>K1032</f>
        <v>88</v>
      </c>
      <c r="L1033" s="250">
        <v>1</v>
      </c>
      <c r="M1033" s="163" t="str">
        <f>CONCATENATE(H1033," ",F1033,"*",I1033,"/",K1033,"чел.")</f>
        <v>380 ед.*0,004313/88чел.</v>
      </c>
      <c r="N1033" s="164">
        <f>N73</f>
        <v>15000</v>
      </c>
      <c r="O1033" s="165">
        <f t="shared" si="224"/>
        <v>279.3648</v>
      </c>
      <c r="P1033" s="166"/>
      <c r="Q1033" s="166">
        <f t="shared" si="227"/>
        <v>24584.1024</v>
      </c>
      <c r="R1033" s="71"/>
    </row>
    <row r="1034" spans="1:18" s="61" customFormat="1" x14ac:dyDescent="0.25">
      <c r="A1034" s="358"/>
      <c r="B1034" s="361"/>
      <c r="C1034" s="366"/>
      <c r="D1034" s="156" t="s">
        <v>27</v>
      </c>
      <c r="E1034" s="156" t="s">
        <v>28</v>
      </c>
      <c r="F1034" s="156" t="s">
        <v>28</v>
      </c>
      <c r="G1034" s="238">
        <f>MROUND(H1034*L1034*I1034/K1034,0.000000001)</f>
        <v>0.28009994300000002</v>
      </c>
      <c r="H1034" s="160">
        <f>H74</f>
        <v>5715</v>
      </c>
      <c r="I1034" s="159">
        <f t="shared" si="219"/>
        <v>4.313E-3</v>
      </c>
      <c r="J1034" s="160"/>
      <c r="K1034" s="161">
        <f>K1033</f>
        <v>88</v>
      </c>
      <c r="L1034" s="250">
        <v>1</v>
      </c>
      <c r="M1034" s="163" t="str">
        <f>CONCATENATE(H1034," ",F1034,"*",I1034,"/",K1034,"чел.")</f>
        <v>5715 шт*0,004313/88чел.</v>
      </c>
      <c r="N1034" s="164">
        <f>N194</f>
        <v>400</v>
      </c>
      <c r="O1034" s="165">
        <f t="shared" si="224"/>
        <v>112.03997699999999</v>
      </c>
      <c r="P1034" s="166"/>
      <c r="Q1034" s="166">
        <f t="shared" si="227"/>
        <v>9859.5179759999992</v>
      </c>
      <c r="R1034" s="71"/>
    </row>
    <row r="1035" spans="1:18" s="61" customFormat="1" ht="31.5" x14ac:dyDescent="0.25">
      <c r="A1035" s="358"/>
      <c r="B1035" s="361"/>
      <c r="C1035" s="367"/>
      <c r="D1035" s="156" t="s">
        <v>104</v>
      </c>
      <c r="E1035" s="156" t="s">
        <v>105</v>
      </c>
      <c r="F1035" s="156" t="s">
        <v>226</v>
      </c>
      <c r="G1035" s="238">
        <f>MROUND(H1035*L1035*I1035/K1035,0.00000001)</f>
        <v>1.7644100000000001E-3</v>
      </c>
      <c r="H1035" s="160">
        <f>H75</f>
        <v>36</v>
      </c>
      <c r="I1035" s="159">
        <f t="shared" si="219"/>
        <v>4.313E-3</v>
      </c>
      <c r="J1035" s="160"/>
      <c r="K1035" s="161">
        <f>K1034</f>
        <v>88</v>
      </c>
      <c r="L1035" s="250">
        <v>1</v>
      </c>
      <c r="M1035" s="163" t="str">
        <f>CONCATENATE(H1035," ",F1035,"*",I1035,"/",K1035,"чел.")</f>
        <v>36 отключений*0,004313/88чел.</v>
      </c>
      <c r="N1035" s="164">
        <f>N75</f>
        <v>9810</v>
      </c>
      <c r="O1035" s="165">
        <f t="shared" si="224"/>
        <v>17.308861999999998</v>
      </c>
      <c r="P1035" s="166"/>
      <c r="Q1035" s="166">
        <f t="shared" si="227"/>
        <v>1523.1798559999997</v>
      </c>
      <c r="R1035" s="71"/>
    </row>
    <row r="1036" spans="1:18" s="62" customFormat="1" x14ac:dyDescent="0.25">
      <c r="A1036" s="358"/>
      <c r="B1036" s="361"/>
      <c r="C1036" s="249" t="s">
        <v>292</v>
      </c>
      <c r="D1036" s="240"/>
      <c r="E1036" s="240"/>
      <c r="F1036" s="240"/>
      <c r="G1036" s="227"/>
      <c r="H1036" s="228"/>
      <c r="I1036" s="206"/>
      <c r="J1036" s="228"/>
      <c r="K1036" s="207"/>
      <c r="L1036" s="257"/>
      <c r="M1036" s="209"/>
      <c r="N1036" s="210"/>
      <c r="O1036" s="198">
        <f>SUM(O1020:O1035)</f>
        <v>734.51202132000003</v>
      </c>
      <c r="P1036" s="267"/>
      <c r="Q1036" s="166"/>
      <c r="R1036" s="71"/>
    </row>
    <row r="1037" spans="1:18" s="61" customFormat="1" ht="31.5" x14ac:dyDescent="0.25">
      <c r="A1037" s="358"/>
      <c r="B1037" s="361"/>
      <c r="C1037" s="221" t="s">
        <v>79</v>
      </c>
      <c r="D1037" s="156" t="s">
        <v>37</v>
      </c>
      <c r="E1037" s="156" t="s">
        <v>61</v>
      </c>
      <c r="F1037" s="156" t="s">
        <v>227</v>
      </c>
      <c r="G1037" s="238">
        <f>MROUND(H1037*L1037*I1037/K1037,0.000000001)</f>
        <v>1.9604500000000002E-4</v>
      </c>
      <c r="H1037" s="158">
        <f>H77</f>
        <v>4</v>
      </c>
      <c r="I1037" s="159">
        <f>I1035</f>
        <v>4.313E-3</v>
      </c>
      <c r="J1037" s="160"/>
      <c r="K1037" s="161">
        <f>K1035</f>
        <v>88</v>
      </c>
      <c r="L1037" s="250">
        <v>1</v>
      </c>
      <c r="M1037" s="163" t="str">
        <f>CONCATENATE(H1037," ",F1037,"*",I1037,"/",K1037,"чел.")</f>
        <v>4 автобуса*0,004313/88чел.</v>
      </c>
      <c r="N1037" s="164">
        <f>N77</f>
        <v>93408.640000000014</v>
      </c>
      <c r="O1037" s="165">
        <f>MROUND(G1037*N1037,0.000001)</f>
        <v>18.312297000000001</v>
      </c>
      <c r="P1037" s="166"/>
      <c r="Q1037" s="166">
        <f t="shared" si="227"/>
        <v>1611.4821360000001</v>
      </c>
      <c r="R1037" s="71"/>
    </row>
    <row r="1038" spans="1:18" s="62" customFormat="1" x14ac:dyDescent="0.25">
      <c r="A1038" s="358"/>
      <c r="B1038" s="361"/>
      <c r="C1038" s="218" t="s">
        <v>295</v>
      </c>
      <c r="D1038" s="240"/>
      <c r="E1038" s="240"/>
      <c r="F1038" s="240"/>
      <c r="G1038" s="227"/>
      <c r="H1038" s="241"/>
      <c r="I1038" s="206"/>
      <c r="J1038" s="228"/>
      <c r="K1038" s="207"/>
      <c r="L1038" s="257"/>
      <c r="M1038" s="209"/>
      <c r="N1038" s="210"/>
      <c r="O1038" s="198">
        <f>SUM(O1037)</f>
        <v>18.312297000000001</v>
      </c>
      <c r="P1038" s="267"/>
      <c r="Q1038" s="166"/>
      <c r="R1038" s="71"/>
    </row>
    <row r="1039" spans="1:18" s="61" customFormat="1" x14ac:dyDescent="0.25">
      <c r="A1039" s="358"/>
      <c r="B1039" s="361"/>
      <c r="C1039" s="364" t="s">
        <v>80</v>
      </c>
      <c r="D1039" s="156" t="s">
        <v>38</v>
      </c>
      <c r="E1039" s="156" t="s">
        <v>57</v>
      </c>
      <c r="F1039" s="156" t="s">
        <v>228</v>
      </c>
      <c r="G1039" s="238">
        <f>MROUND(H1039*L1039*I1039/K1039,0.000000001)</f>
        <v>2.1172909E-2</v>
      </c>
      <c r="H1039" s="158">
        <f>H79</f>
        <v>36</v>
      </c>
      <c r="I1039" s="159">
        <f>I1037</f>
        <v>4.313E-3</v>
      </c>
      <c r="J1039" s="160"/>
      <c r="K1039" s="161">
        <f>K1037</f>
        <v>88</v>
      </c>
      <c r="L1039" s="250">
        <v>12</v>
      </c>
      <c r="M1039" s="163" t="str">
        <f>CONCATENATE(H1039," ",F1039,"*",L1039,"мес.","*",I1039,"/",K1039,"чел.")</f>
        <v>36 зданий*12мес.*0,004313/88чел.</v>
      </c>
      <c r="N1039" s="164">
        <f t="shared" ref="N1039:N1050" si="228">N79</f>
        <v>4694.6300000000019</v>
      </c>
      <c r="O1039" s="165">
        <f>MROUND(G1039*N1039,0.000001)</f>
        <v>99.398973999999995</v>
      </c>
      <c r="P1039" s="166"/>
      <c r="Q1039" s="166">
        <f t="shared" si="227"/>
        <v>8747.1097119999995</v>
      </c>
      <c r="R1039" s="71"/>
    </row>
    <row r="1040" spans="1:18" s="61" customFormat="1" ht="47.25" x14ac:dyDescent="0.25">
      <c r="A1040" s="358"/>
      <c r="B1040" s="361"/>
      <c r="C1040" s="364"/>
      <c r="D1040" s="156" t="s">
        <v>229</v>
      </c>
      <c r="E1040" s="156" t="s">
        <v>60</v>
      </c>
      <c r="F1040" s="156" t="s">
        <v>60</v>
      </c>
      <c r="G1040" s="238">
        <f>MROUND(H1040*L1040*I1040/K1040,0.000001)</f>
        <v>0.11733299999999999</v>
      </c>
      <c r="H1040" s="158">
        <f>H80</f>
        <v>2394</v>
      </c>
      <c r="I1040" s="159">
        <f>I1039</f>
        <v>4.313E-3</v>
      </c>
      <c r="J1040" s="160"/>
      <c r="K1040" s="161">
        <f>K1039</f>
        <v>88</v>
      </c>
      <c r="L1040" s="250">
        <v>1</v>
      </c>
      <c r="M1040" s="163" t="str">
        <f t="shared" ref="M1040:M1047" si="229">CONCATENATE(H1040," ",F1040,"*",I1040,"/",K1040,"чел.")</f>
        <v>2394 шт.*0,004313/88чел.</v>
      </c>
      <c r="N1040" s="164">
        <f t="shared" si="228"/>
        <v>163.5</v>
      </c>
      <c r="O1040" s="165">
        <f>MROUND(G1040*N1040,0.000001)</f>
        <v>19.183945999999999</v>
      </c>
      <c r="P1040" s="166"/>
      <c r="Q1040" s="166">
        <f t="shared" si="227"/>
        <v>1688.187248</v>
      </c>
      <c r="R1040" s="71"/>
    </row>
    <row r="1041" spans="1:18" s="61" customFormat="1" ht="47.25" x14ac:dyDescent="0.25">
      <c r="A1041" s="358"/>
      <c r="B1041" s="361"/>
      <c r="C1041" s="364"/>
      <c r="D1041" s="156" t="s">
        <v>405</v>
      </c>
      <c r="E1041" s="156" t="s">
        <v>60</v>
      </c>
      <c r="F1041" s="156" t="s">
        <v>406</v>
      </c>
      <c r="G1041" s="238">
        <f>MROUND(H1041*L1041*I1041/K1041,0.00000001)</f>
        <v>1.7644100000000001E-3</v>
      </c>
      <c r="H1041" s="158">
        <f>H321</f>
        <v>36</v>
      </c>
      <c r="I1041" s="159">
        <f>I1040</f>
        <v>4.313E-3</v>
      </c>
      <c r="J1041" s="160"/>
      <c r="K1041" s="161">
        <f>K1040</f>
        <v>88</v>
      </c>
      <c r="L1041" s="250">
        <v>1</v>
      </c>
      <c r="M1041" s="163" t="str">
        <f t="shared" si="229"/>
        <v>36 лицензий*0,004313/88чел.</v>
      </c>
      <c r="N1041" s="164">
        <f t="shared" si="228"/>
        <v>11990</v>
      </c>
      <c r="O1041" s="165">
        <f t="shared" ref="O1041:O1050" si="230">MROUND(G1041*N1041,0.000001)</f>
        <v>21.155276000000001</v>
      </c>
      <c r="P1041" s="166"/>
      <c r="Q1041" s="166">
        <f t="shared" si="227"/>
        <v>1861.6642879999999</v>
      </c>
      <c r="R1041" s="71"/>
    </row>
    <row r="1042" spans="1:18" s="61" customFormat="1" ht="63" x14ac:dyDescent="0.25">
      <c r="A1042" s="358"/>
      <c r="B1042" s="361"/>
      <c r="C1042" s="364"/>
      <c r="D1042" s="156" t="s">
        <v>39</v>
      </c>
      <c r="E1042" s="156" t="s">
        <v>20</v>
      </c>
      <c r="F1042" s="156" t="s">
        <v>234</v>
      </c>
      <c r="G1042" s="238">
        <f>MROUND(H1042*L1042*I1042/K1042,0.000000001)</f>
        <v>5.783341E-3</v>
      </c>
      <c r="H1042" s="158">
        <f>H562</f>
        <v>118</v>
      </c>
      <c r="I1042" s="159">
        <f>I1040</f>
        <v>4.313E-3</v>
      </c>
      <c r="J1042" s="160"/>
      <c r="K1042" s="161">
        <f>K1040</f>
        <v>88</v>
      </c>
      <c r="L1042" s="250">
        <v>1</v>
      </c>
      <c r="M1042" s="163" t="str">
        <f t="shared" si="229"/>
        <v>118 чел(заявленная потребность руководителями учреждений)*0,004313/88чел.</v>
      </c>
      <c r="N1042" s="164">
        <f t="shared" si="228"/>
        <v>763</v>
      </c>
      <c r="O1042" s="165">
        <f t="shared" si="230"/>
        <v>4.4126889999999994</v>
      </c>
      <c r="P1042" s="166"/>
      <c r="Q1042" s="166">
        <f t="shared" si="227"/>
        <v>388.31663199999997</v>
      </c>
      <c r="R1042" s="71"/>
    </row>
    <row r="1043" spans="1:18" s="61" customFormat="1" ht="63" x14ac:dyDescent="0.25">
      <c r="A1043" s="358"/>
      <c r="B1043" s="361"/>
      <c r="C1043" s="364"/>
      <c r="D1043" s="156" t="s">
        <v>40</v>
      </c>
      <c r="E1043" s="156" t="s">
        <v>20</v>
      </c>
      <c r="F1043" s="156" t="s">
        <v>234</v>
      </c>
      <c r="G1043" s="238">
        <f>MROUND(H1043*L1043*I1043/K1043,0.000000001)</f>
        <v>4.8521250000000005E-3</v>
      </c>
      <c r="H1043" s="158">
        <f>H563</f>
        <v>99</v>
      </c>
      <c r="I1043" s="159">
        <f t="shared" ref="I1043:I1050" si="231">I1042</f>
        <v>4.313E-3</v>
      </c>
      <c r="J1043" s="160"/>
      <c r="K1043" s="161">
        <f t="shared" ref="K1043:K1050" si="232">K1042</f>
        <v>88</v>
      </c>
      <c r="L1043" s="250">
        <v>1</v>
      </c>
      <c r="M1043" s="163" t="str">
        <f t="shared" si="229"/>
        <v>99 чел(заявленная потребность руководителями учреждений)*0,004313/88чел.</v>
      </c>
      <c r="N1043" s="164">
        <f t="shared" si="228"/>
        <v>1585.4545454545455</v>
      </c>
      <c r="O1043" s="165">
        <f t="shared" si="230"/>
        <v>7.6928239999999999</v>
      </c>
      <c r="P1043" s="166"/>
      <c r="Q1043" s="166">
        <f t="shared" si="227"/>
        <v>676.96851200000003</v>
      </c>
      <c r="R1043" s="71"/>
    </row>
    <row r="1044" spans="1:18" s="61" customFormat="1" ht="63" x14ac:dyDescent="0.25">
      <c r="A1044" s="358"/>
      <c r="B1044" s="361"/>
      <c r="C1044" s="364"/>
      <c r="D1044" s="156" t="s">
        <v>100</v>
      </c>
      <c r="E1044" s="156" t="s">
        <v>20</v>
      </c>
      <c r="F1044" s="156" t="s">
        <v>234</v>
      </c>
      <c r="G1044" s="238">
        <f>MROUND(H1044*L1044*I1044/K1044,0.0000000001)</f>
        <v>3.9699204999999998E-3</v>
      </c>
      <c r="H1044" s="158">
        <f>H564</f>
        <v>81</v>
      </c>
      <c r="I1044" s="159">
        <f t="shared" si="231"/>
        <v>4.313E-3</v>
      </c>
      <c r="J1044" s="160"/>
      <c r="K1044" s="161">
        <f t="shared" si="232"/>
        <v>88</v>
      </c>
      <c r="L1044" s="250">
        <v>1</v>
      </c>
      <c r="M1044" s="163" t="str">
        <f t="shared" si="229"/>
        <v>81 чел(заявленная потребность руководителями учреждений)*0,004313/88чел.</v>
      </c>
      <c r="N1044" s="164">
        <f t="shared" si="228"/>
        <v>3488</v>
      </c>
      <c r="O1044" s="165">
        <f t="shared" si="230"/>
        <v>13.847083</v>
      </c>
      <c r="P1044" s="166"/>
      <c r="Q1044" s="166">
        <f t="shared" si="227"/>
        <v>1218.543304</v>
      </c>
      <c r="R1044" s="71"/>
    </row>
    <row r="1045" spans="1:18" s="61" customFormat="1" ht="110.25" x14ac:dyDescent="0.25">
      <c r="A1045" s="358"/>
      <c r="B1045" s="361"/>
      <c r="C1045" s="364"/>
      <c r="D1045" s="156" t="s">
        <v>235</v>
      </c>
      <c r="E1045" s="156" t="s">
        <v>50</v>
      </c>
      <c r="F1045" s="156" t="s">
        <v>230</v>
      </c>
      <c r="G1045" s="238">
        <f>MROUND(H1045*L1045*I1045/K1045,0.00000001)</f>
        <v>1.7644100000000001E-3</v>
      </c>
      <c r="H1045" s="158">
        <f>H805</f>
        <v>36</v>
      </c>
      <c r="I1045" s="159">
        <f t="shared" si="231"/>
        <v>4.313E-3</v>
      </c>
      <c r="J1045" s="160"/>
      <c r="K1045" s="161">
        <f t="shared" si="232"/>
        <v>88</v>
      </c>
      <c r="L1045" s="250">
        <v>1</v>
      </c>
      <c r="M1045" s="163" t="str">
        <f t="shared" si="229"/>
        <v>36 отчетов*0,004313/88чел.</v>
      </c>
      <c r="N1045" s="164">
        <f t="shared" si="228"/>
        <v>6540</v>
      </c>
      <c r="O1045" s="165">
        <f t="shared" si="230"/>
        <v>11.539240999999999</v>
      </c>
      <c r="P1045" s="166"/>
      <c r="Q1045" s="166">
        <f t="shared" si="227"/>
        <v>1015.4532079999999</v>
      </c>
      <c r="R1045" s="71"/>
    </row>
    <row r="1046" spans="1:18" s="61" customFormat="1" ht="63" x14ac:dyDescent="0.25">
      <c r="A1046" s="358"/>
      <c r="B1046" s="361"/>
      <c r="C1046" s="364"/>
      <c r="D1046" s="156" t="s">
        <v>42</v>
      </c>
      <c r="E1046" s="156" t="s">
        <v>51</v>
      </c>
      <c r="F1046" s="156" t="s">
        <v>407</v>
      </c>
      <c r="G1046" s="238">
        <f>MROUND(H1046*L1046*I1046/K1046,0.000001)</f>
        <v>9.9979999999999999E-3</v>
      </c>
      <c r="H1046" s="158">
        <f>H566</f>
        <v>204</v>
      </c>
      <c r="I1046" s="159">
        <f t="shared" si="231"/>
        <v>4.313E-3</v>
      </c>
      <c r="J1046" s="160"/>
      <c r="K1046" s="161">
        <f t="shared" si="232"/>
        <v>88</v>
      </c>
      <c r="L1046" s="250">
        <v>1</v>
      </c>
      <c r="M1046" s="163" t="str">
        <f t="shared" si="229"/>
        <v>204 ед (заявленная потребность руководителями учреждений)*0,004313/88чел.</v>
      </c>
      <c r="N1046" s="164">
        <f t="shared" si="228"/>
        <v>1090</v>
      </c>
      <c r="O1046" s="165">
        <f t="shared" si="230"/>
        <v>10.897819999999999</v>
      </c>
      <c r="P1046" s="166"/>
      <c r="Q1046" s="166">
        <f t="shared" si="227"/>
        <v>959.00815999999998</v>
      </c>
      <c r="R1046" s="71"/>
    </row>
    <row r="1047" spans="1:18" s="61" customFormat="1" ht="31.5" x14ac:dyDescent="0.25">
      <c r="A1047" s="358"/>
      <c r="B1047" s="361"/>
      <c r="C1047" s="364"/>
      <c r="D1047" s="156" t="s">
        <v>43</v>
      </c>
      <c r="E1047" s="156" t="s">
        <v>52</v>
      </c>
      <c r="F1047" s="156" t="s">
        <v>231</v>
      </c>
      <c r="G1047" s="238">
        <f>MROUND(H1047*L1047*I1047/K1047,0.000000001)</f>
        <v>1.7644090000000002E-3</v>
      </c>
      <c r="H1047" s="158">
        <f>H87</f>
        <v>36</v>
      </c>
      <c r="I1047" s="159">
        <f t="shared" si="231"/>
        <v>4.313E-3</v>
      </c>
      <c r="J1047" s="160"/>
      <c r="K1047" s="161">
        <f t="shared" si="232"/>
        <v>88</v>
      </c>
      <c r="L1047" s="250">
        <v>1</v>
      </c>
      <c r="M1047" s="163" t="str">
        <f t="shared" si="229"/>
        <v>36 ЭЦП*0,004313/88чел.</v>
      </c>
      <c r="N1047" s="164">
        <f t="shared" si="228"/>
        <v>7743.3599999999924</v>
      </c>
      <c r="O1047" s="165">
        <f t="shared" si="230"/>
        <v>13.662453999999999</v>
      </c>
      <c r="P1047" s="166"/>
      <c r="Q1047" s="166">
        <f t="shared" si="227"/>
        <v>1202.2959519999999</v>
      </c>
      <c r="R1047" s="71"/>
    </row>
    <row r="1048" spans="1:18" s="61" customFormat="1" ht="47.25" x14ac:dyDescent="0.25">
      <c r="A1048" s="358"/>
      <c r="B1048" s="361"/>
      <c r="C1048" s="364"/>
      <c r="D1048" s="156" t="s">
        <v>44</v>
      </c>
      <c r="E1048" s="156" t="s">
        <v>85</v>
      </c>
      <c r="F1048" s="156" t="s">
        <v>232</v>
      </c>
      <c r="G1048" s="238">
        <f>MROUND(H1048*L1048*I1048/K1048,0.000001)</f>
        <v>5.9597999999999998E-2</v>
      </c>
      <c r="H1048" s="158">
        <f>H88</f>
        <v>1216</v>
      </c>
      <c r="I1048" s="159">
        <f t="shared" si="231"/>
        <v>4.313E-3</v>
      </c>
      <c r="J1048" s="160"/>
      <c r="K1048" s="161">
        <f t="shared" si="232"/>
        <v>88</v>
      </c>
      <c r="L1048" s="250">
        <v>1</v>
      </c>
      <c r="M1048" s="163" t="str">
        <f>CONCATENATE(H1048," ",F1048,"*",L1048,"мес.","*",I1048,"/",K1048,"чел.")</f>
        <v>1216 мед.осмотров в мес.*1мес.*0,004313/88чел.</v>
      </c>
      <c r="N1048" s="164">
        <f t="shared" si="228"/>
        <v>56.680000000000007</v>
      </c>
      <c r="O1048" s="165">
        <f t="shared" si="230"/>
        <v>3.378015</v>
      </c>
      <c r="P1048" s="166"/>
      <c r="Q1048" s="166">
        <f t="shared" si="227"/>
        <v>297.26531999999997</v>
      </c>
      <c r="R1048" s="71"/>
    </row>
    <row r="1049" spans="1:18" s="61" customFormat="1" ht="63" x14ac:dyDescent="0.25">
      <c r="A1049" s="358"/>
      <c r="B1049" s="361"/>
      <c r="C1049" s="364"/>
      <c r="D1049" s="156" t="s">
        <v>45</v>
      </c>
      <c r="E1049" s="156" t="s">
        <v>53</v>
      </c>
      <c r="F1049" s="156" t="s">
        <v>233</v>
      </c>
      <c r="G1049" s="238">
        <f>MROUND(H1049*L1049*I1049/K1049,0.000000001)</f>
        <v>2.3525450000000002E-3</v>
      </c>
      <c r="H1049" s="158">
        <f>H569</f>
        <v>4</v>
      </c>
      <c r="I1049" s="159">
        <f t="shared" si="231"/>
        <v>4.313E-3</v>
      </c>
      <c r="J1049" s="160"/>
      <c r="K1049" s="161">
        <f t="shared" si="232"/>
        <v>88</v>
      </c>
      <c r="L1049" s="250">
        <v>12</v>
      </c>
      <c r="M1049" s="163" t="str">
        <f>CONCATENATE(H1049," ",F1049,"*",L1049,"мес.","*",I1049,"/",K1049,"чел.")</f>
        <v>4  машины, оборудованных системой ГЛОНАСС*12мес.*0,004313/88чел.</v>
      </c>
      <c r="N1049" s="164">
        <f t="shared" si="228"/>
        <v>880.71999999999991</v>
      </c>
      <c r="O1049" s="165">
        <f t="shared" si="230"/>
        <v>2.071933</v>
      </c>
      <c r="P1049" s="166"/>
      <c r="Q1049" s="166">
        <f t="shared" si="227"/>
        <v>182.33010400000001</v>
      </c>
      <c r="R1049" s="71"/>
    </row>
    <row r="1050" spans="1:18" s="61" customFormat="1" ht="31.5" x14ac:dyDescent="0.25">
      <c r="A1050" s="358"/>
      <c r="B1050" s="361"/>
      <c r="C1050" s="364"/>
      <c r="D1050" s="156" t="s">
        <v>408</v>
      </c>
      <c r="E1050" s="156" t="s">
        <v>20</v>
      </c>
      <c r="F1050" s="156" t="s">
        <v>20</v>
      </c>
      <c r="G1050" s="238">
        <f>MROUND(H1050*L1050*I1050/K1050,0.00000001)</f>
        <v>8.3907450000000008E-2</v>
      </c>
      <c r="H1050" s="158">
        <f>H90</f>
        <v>1712</v>
      </c>
      <c r="I1050" s="159">
        <f t="shared" si="231"/>
        <v>4.313E-3</v>
      </c>
      <c r="J1050" s="160"/>
      <c r="K1050" s="161">
        <f t="shared" si="232"/>
        <v>88</v>
      </c>
      <c r="L1050" s="250">
        <v>1</v>
      </c>
      <c r="M1050" s="163" t="str">
        <f>CONCATENATE(H1050," ",F1050,"*",L1050," раз в год","*",I1050,"/",K1050,"чел.")</f>
        <v>1712 чел.*1 раз в год*0,004313/88чел.</v>
      </c>
      <c r="N1050" s="164">
        <f t="shared" si="228"/>
        <v>545</v>
      </c>
      <c r="O1050" s="165">
        <f t="shared" si="230"/>
        <v>45.729559999999999</v>
      </c>
      <c r="P1050" s="166"/>
      <c r="Q1050" s="166">
        <f t="shared" si="227"/>
        <v>4024.2012799999998</v>
      </c>
      <c r="R1050" s="71"/>
    </row>
    <row r="1051" spans="1:18" s="61" customFormat="1" x14ac:dyDescent="0.25">
      <c r="A1051" s="358"/>
      <c r="B1051" s="361"/>
      <c r="C1051" s="364"/>
      <c r="D1051" s="156" t="s">
        <v>373</v>
      </c>
      <c r="E1051" s="156" t="s">
        <v>28</v>
      </c>
      <c r="F1051" s="156" t="s">
        <v>28</v>
      </c>
      <c r="G1051" s="157">
        <f>MROUND(H1051*L1051*I1051/K1051,0.000000001)</f>
        <v>1.7644090000000002E-3</v>
      </c>
      <c r="H1051" s="158">
        <f>H92</f>
        <v>36</v>
      </c>
      <c r="I1051" s="159">
        <f>I1049</f>
        <v>4.313E-3</v>
      </c>
      <c r="J1051" s="160"/>
      <c r="K1051" s="161">
        <f>K1049</f>
        <v>88</v>
      </c>
      <c r="L1051" s="162">
        <v>1</v>
      </c>
      <c r="M1051" s="163" t="str">
        <f>CONCATENATE(H1051," ",F1051,"*",L1051,"мес.","*",I1051,"/",K1051,"чел.")</f>
        <v>36 шт*1мес.*0,004313/88чел.</v>
      </c>
      <c r="N1051" s="164">
        <f>N92</f>
        <v>24000</v>
      </c>
      <c r="O1051" s="165">
        <f>MROUND(G1051*N1051,0.000000001)</f>
        <v>42.345815999999999</v>
      </c>
      <c r="P1051" s="166"/>
      <c r="Q1051" s="166">
        <f t="shared" si="227"/>
        <v>3726.4318079999998</v>
      </c>
      <c r="R1051" s="71"/>
    </row>
    <row r="1052" spans="1:18" s="61" customFormat="1" ht="31.5" x14ac:dyDescent="0.25">
      <c r="A1052" s="358"/>
      <c r="B1052" s="361"/>
      <c r="C1052" s="364"/>
      <c r="D1052" s="156" t="s">
        <v>106</v>
      </c>
      <c r="E1052" s="156" t="s">
        <v>107</v>
      </c>
      <c r="F1052" s="156"/>
      <c r="G1052" s="238">
        <f>MROUND(H1052*L1052*I1052/K1052,0.000000001)</f>
        <v>0</v>
      </c>
      <c r="H1052" s="158">
        <f>H91</f>
        <v>0</v>
      </c>
      <c r="I1052" s="159">
        <f>I1049</f>
        <v>4.313E-3</v>
      </c>
      <c r="J1052" s="160"/>
      <c r="K1052" s="161">
        <f>K1049</f>
        <v>88</v>
      </c>
      <c r="L1052" s="250">
        <f>L91</f>
        <v>0</v>
      </c>
      <c r="M1052" s="163"/>
      <c r="N1052" s="164">
        <f>N91</f>
        <v>1256.0400600000007</v>
      </c>
      <c r="O1052" s="165">
        <f>MROUND(G1052*N1052,0.000000001)</f>
        <v>0</v>
      </c>
      <c r="P1052" s="166"/>
      <c r="Q1052" s="166">
        <f t="shared" si="227"/>
        <v>0</v>
      </c>
      <c r="R1052" s="71"/>
    </row>
    <row r="1053" spans="1:18" s="62" customFormat="1" x14ac:dyDescent="0.25">
      <c r="A1053" s="358"/>
      <c r="B1053" s="361"/>
      <c r="C1053" s="245" t="s">
        <v>296</v>
      </c>
      <c r="D1053" s="240"/>
      <c r="E1053" s="240"/>
      <c r="F1053" s="240"/>
      <c r="G1053" s="227"/>
      <c r="H1053" s="241"/>
      <c r="I1053" s="206"/>
      <c r="J1053" s="228"/>
      <c r="K1053" s="207"/>
      <c r="L1053" s="257"/>
      <c r="M1053" s="209"/>
      <c r="N1053" s="210"/>
      <c r="O1053" s="198">
        <f>SUM(O1039:O1052)</f>
        <v>295.315631</v>
      </c>
      <c r="P1053" s="267"/>
      <c r="Q1053" s="166"/>
      <c r="R1053" s="71"/>
    </row>
    <row r="1054" spans="1:18" s="61" customFormat="1" ht="31.5" x14ac:dyDescent="0.25">
      <c r="A1054" s="358"/>
      <c r="B1054" s="361"/>
      <c r="C1054" s="252" t="s">
        <v>237</v>
      </c>
      <c r="D1054" s="156" t="s">
        <v>41</v>
      </c>
      <c r="E1054" s="156" t="s">
        <v>61</v>
      </c>
      <c r="F1054" s="156" t="s">
        <v>227</v>
      </c>
      <c r="G1054" s="238">
        <f>MROUND(H1054*L1054*I1054/K1054,0.000000001)</f>
        <v>1.9604500000000002E-4</v>
      </c>
      <c r="H1054" s="158">
        <f>H94</f>
        <v>4</v>
      </c>
      <c r="I1054" s="159">
        <f>I1052</f>
        <v>4.313E-3</v>
      </c>
      <c r="J1054" s="160"/>
      <c r="K1054" s="161">
        <f>K1052</f>
        <v>88</v>
      </c>
      <c r="L1054" s="250">
        <v>1</v>
      </c>
      <c r="M1054" s="163" t="str">
        <f>CONCATENATE(H1054," ",F1054,"*",I1054,"/",K1054,"чел.")</f>
        <v>4 автобуса*0,004313/88чел.</v>
      </c>
      <c r="N1054" s="164">
        <f>N94</f>
        <v>25724</v>
      </c>
      <c r="O1054" s="165">
        <f>MROUND(G1054*N1054,0.000001)</f>
        <v>5.0430619999999999</v>
      </c>
      <c r="P1054" s="166"/>
      <c r="Q1054" s="166">
        <f t="shared" si="227"/>
        <v>443.78945599999997</v>
      </c>
      <c r="R1054" s="71"/>
    </row>
    <row r="1055" spans="1:18" s="62" customFormat="1" x14ac:dyDescent="0.25">
      <c r="A1055" s="358"/>
      <c r="B1055" s="361"/>
      <c r="C1055" s="245" t="s">
        <v>297</v>
      </c>
      <c r="D1055" s="240"/>
      <c r="E1055" s="240"/>
      <c r="F1055" s="240"/>
      <c r="G1055" s="227"/>
      <c r="H1055" s="241"/>
      <c r="I1055" s="206"/>
      <c r="J1055" s="228"/>
      <c r="K1055" s="207"/>
      <c r="L1055" s="257"/>
      <c r="M1055" s="209"/>
      <c r="N1055" s="210"/>
      <c r="O1055" s="198">
        <f>SUM(O1054)</f>
        <v>5.0430619999999999</v>
      </c>
      <c r="P1055" s="267"/>
      <c r="Q1055" s="166"/>
      <c r="R1055" s="71"/>
    </row>
    <row r="1056" spans="1:18" s="61" customFormat="1" ht="78.75" x14ac:dyDescent="0.25">
      <c r="A1056" s="358"/>
      <c r="B1056" s="361"/>
      <c r="C1056" s="221" t="s">
        <v>236</v>
      </c>
      <c r="D1056" s="156" t="s">
        <v>19</v>
      </c>
      <c r="E1056" s="181" t="s">
        <v>20</v>
      </c>
      <c r="F1056" s="181" t="s">
        <v>238</v>
      </c>
      <c r="G1056" s="238">
        <f>MROUND(H1056*L1056*I1056/K1056,0.000001)</f>
        <v>0</v>
      </c>
      <c r="H1056" s="158"/>
      <c r="I1056" s="159">
        <f>I1052</f>
        <v>4.313E-3</v>
      </c>
      <c r="J1056" s="160"/>
      <c r="K1056" s="161">
        <f>K1052</f>
        <v>88</v>
      </c>
      <c r="L1056" s="250"/>
      <c r="M1056" s="163"/>
      <c r="N1056" s="164"/>
      <c r="O1056" s="165">
        <f>MROUND(G1056*N1056,0.000001)</f>
        <v>0</v>
      </c>
      <c r="P1056" s="166"/>
      <c r="Q1056" s="166">
        <f t="shared" si="227"/>
        <v>0</v>
      </c>
      <c r="R1056" s="71"/>
    </row>
    <row r="1057" spans="1:18" s="62" customFormat="1" x14ac:dyDescent="0.25">
      <c r="A1057" s="358"/>
      <c r="B1057" s="361"/>
      <c r="C1057" s="245" t="s">
        <v>298</v>
      </c>
      <c r="D1057" s="240"/>
      <c r="E1057" s="253"/>
      <c r="F1057" s="253"/>
      <c r="G1057" s="227"/>
      <c r="H1057" s="241"/>
      <c r="I1057" s="206"/>
      <c r="J1057" s="228"/>
      <c r="K1057" s="207"/>
      <c r="L1057" s="257"/>
      <c r="M1057" s="209"/>
      <c r="N1057" s="210"/>
      <c r="O1057" s="198">
        <f>SUM(O1056)</f>
        <v>0</v>
      </c>
      <c r="P1057" s="267"/>
      <c r="Q1057" s="166"/>
      <c r="R1057" s="71"/>
    </row>
    <row r="1058" spans="1:18" s="61" customFormat="1" ht="30" x14ac:dyDescent="0.25">
      <c r="A1058" s="358"/>
      <c r="B1058" s="361"/>
      <c r="C1058" s="365" t="s">
        <v>81</v>
      </c>
      <c r="D1058" s="254" t="s">
        <v>410</v>
      </c>
      <c r="E1058" s="156" t="s">
        <v>28</v>
      </c>
      <c r="F1058" s="156" t="s">
        <v>28</v>
      </c>
      <c r="G1058" s="238">
        <f>MROUND(H1058*L1058*I1058/K1058,0.0000000001)</f>
        <v>3.4307949999999999E-4</v>
      </c>
      <c r="H1058" s="158">
        <f>H98</f>
        <v>7</v>
      </c>
      <c r="I1058" s="159">
        <f>I1052</f>
        <v>4.313E-3</v>
      </c>
      <c r="J1058" s="160"/>
      <c r="K1058" s="161">
        <f>K1052</f>
        <v>88</v>
      </c>
      <c r="L1058" s="250">
        <v>1</v>
      </c>
      <c r="M1058" s="163" t="str">
        <f>CONCATENATE(H1058," ",F1058,"*",I1058,"/",K1058,"чел.")</f>
        <v>7 шт*0,004313/88чел.</v>
      </c>
      <c r="N1058" s="164">
        <f>N98</f>
        <v>152142.85714285713</v>
      </c>
      <c r="O1058" s="165">
        <f>MROUND(G1058*N1058,0.000001)</f>
        <v>52.197094999999997</v>
      </c>
      <c r="P1058" s="166"/>
      <c r="Q1058" s="166">
        <f t="shared" si="227"/>
        <v>4593.3443600000001</v>
      </c>
      <c r="R1058" s="71"/>
    </row>
    <row r="1059" spans="1:18" s="61" customFormat="1" x14ac:dyDescent="0.25">
      <c r="A1059" s="358"/>
      <c r="B1059" s="361"/>
      <c r="C1059" s="366"/>
      <c r="D1059" s="254" t="s">
        <v>325</v>
      </c>
      <c r="E1059" s="156" t="s">
        <v>28</v>
      </c>
      <c r="F1059" s="156" t="s">
        <v>28</v>
      </c>
      <c r="G1059" s="157">
        <f>MROUND(H1059*L1059*I1059/K1059,0.0000000001)</f>
        <v>1.1272614E-3</v>
      </c>
      <c r="H1059" s="158">
        <f>$H$99</f>
        <v>23</v>
      </c>
      <c r="I1059" s="159">
        <f>I1058</f>
        <v>4.313E-3</v>
      </c>
      <c r="J1059" s="160"/>
      <c r="K1059" s="161">
        <f>K1058</f>
        <v>88</v>
      </c>
      <c r="L1059" s="250">
        <v>1</v>
      </c>
      <c r="M1059" s="163" t="str">
        <f>CONCATENATE(H1059," ",F1059,"*",I1059,"/",K1059,"чел.")</f>
        <v>23 шт*0,004313/88чел.</v>
      </c>
      <c r="N1059" s="164">
        <f>$N$99</f>
        <v>229039.13043478262</v>
      </c>
      <c r="O1059" s="165">
        <f>MROUND(G1059*N1059,0.000001)</f>
        <v>258.18697099999997</v>
      </c>
      <c r="P1059" s="166"/>
      <c r="Q1059" s="166">
        <f t="shared" si="227"/>
        <v>22720.453447999997</v>
      </c>
      <c r="R1059" s="71"/>
    </row>
    <row r="1060" spans="1:18" s="61" customFormat="1" ht="30" x14ac:dyDescent="0.25">
      <c r="A1060" s="358"/>
      <c r="B1060" s="361"/>
      <c r="C1060" s="366"/>
      <c r="D1060" s="254" t="s">
        <v>411</v>
      </c>
      <c r="E1060" s="156" t="s">
        <v>28</v>
      </c>
      <c r="F1060" s="156" t="s">
        <v>28</v>
      </c>
      <c r="G1060" s="238">
        <f>MROUND(H1060*L1060*I1060/K1060,0.00000001)</f>
        <v>3.4308E-4</v>
      </c>
      <c r="H1060" s="158">
        <f>$H$100</f>
        <v>7</v>
      </c>
      <c r="I1060" s="159">
        <f>I1058</f>
        <v>4.313E-3</v>
      </c>
      <c r="J1060" s="160"/>
      <c r="K1060" s="161">
        <f>K1058</f>
        <v>88</v>
      </c>
      <c r="L1060" s="250">
        <v>1</v>
      </c>
      <c r="M1060" s="163" t="str">
        <f t="shared" ref="M1060:M1081" si="233">CONCATENATE(H1060," ",F1060,"*",I1060,"/",K1060,"чел.")</f>
        <v>7 шт*0,004313/88чел.</v>
      </c>
      <c r="N1060" s="164">
        <f t="shared" ref="N1060:N1074" si="234">N100</f>
        <v>82142.857142857145</v>
      </c>
      <c r="O1060" s="165">
        <f t="shared" ref="O1060:O1081" si="235">MROUND(G1060*N1060,0.000001)</f>
        <v>28.181570999999998</v>
      </c>
      <c r="P1060" s="166"/>
      <c r="Q1060" s="166">
        <f t="shared" si="227"/>
        <v>2479.9782479999999</v>
      </c>
      <c r="R1060" s="71"/>
    </row>
    <row r="1061" spans="1:18" s="61" customFormat="1" x14ac:dyDescent="0.25">
      <c r="A1061" s="358"/>
      <c r="B1061" s="361"/>
      <c r="C1061" s="366"/>
      <c r="D1061" s="255" t="s">
        <v>412</v>
      </c>
      <c r="E1061" s="156" t="s">
        <v>28</v>
      </c>
      <c r="F1061" s="156" t="s">
        <v>28</v>
      </c>
      <c r="G1061" s="238">
        <f>MROUND(H1061*L1061*I1061/K1061,0.00000001)</f>
        <v>1.7154E-3</v>
      </c>
      <c r="H1061" s="158">
        <f>$H$101</f>
        <v>35</v>
      </c>
      <c r="I1061" s="159">
        <f>I1060</f>
        <v>4.313E-3</v>
      </c>
      <c r="J1061" s="160"/>
      <c r="K1061" s="161">
        <f>K1060</f>
        <v>88</v>
      </c>
      <c r="L1061" s="250">
        <v>1</v>
      </c>
      <c r="M1061" s="163" t="str">
        <f t="shared" si="233"/>
        <v>35 шт*0,004313/88чел.</v>
      </c>
      <c r="N1061" s="164">
        <f t="shared" si="234"/>
        <v>126114.97142857143</v>
      </c>
      <c r="O1061" s="165">
        <f t="shared" si="235"/>
        <v>216.33762199999998</v>
      </c>
      <c r="P1061" s="166"/>
      <c r="Q1061" s="166">
        <f t="shared" si="227"/>
        <v>19037.710735999997</v>
      </c>
      <c r="R1061" s="71"/>
    </row>
    <row r="1062" spans="1:18" s="61" customFormat="1" ht="31.5" x14ac:dyDescent="0.25">
      <c r="A1062" s="358"/>
      <c r="B1062" s="361"/>
      <c r="C1062" s="366"/>
      <c r="D1062" s="255" t="s">
        <v>413</v>
      </c>
      <c r="E1062" s="156" t="s">
        <v>28</v>
      </c>
      <c r="F1062" s="156" t="s">
        <v>28</v>
      </c>
      <c r="G1062" s="238">
        <f>MROUND(H1062*L1062*I1062/K1062,0.0000000001)</f>
        <v>7.351705E-4</v>
      </c>
      <c r="H1062" s="158">
        <f>H102</f>
        <v>15</v>
      </c>
      <c r="I1062" s="159">
        <f>I1061</f>
        <v>4.313E-3</v>
      </c>
      <c r="J1062" s="160"/>
      <c r="K1062" s="161">
        <f>K1061</f>
        <v>88</v>
      </c>
      <c r="L1062" s="250">
        <v>1</v>
      </c>
      <c r="M1062" s="163" t="str">
        <f t="shared" si="233"/>
        <v>15 шт*0,004313/88чел.</v>
      </c>
      <c r="N1062" s="164">
        <f t="shared" si="234"/>
        <v>75333.333333333328</v>
      </c>
      <c r="O1062" s="165">
        <f t="shared" si="235"/>
        <v>55.382843999999999</v>
      </c>
      <c r="P1062" s="166"/>
      <c r="Q1062" s="166">
        <f t="shared" si="227"/>
        <v>4873.6902719999998</v>
      </c>
      <c r="R1062" s="71"/>
    </row>
    <row r="1063" spans="1:18" s="61" customFormat="1" x14ac:dyDescent="0.25">
      <c r="A1063" s="358"/>
      <c r="B1063" s="361"/>
      <c r="C1063" s="366"/>
      <c r="D1063" s="254" t="s">
        <v>109</v>
      </c>
      <c r="E1063" s="156" t="s">
        <v>28</v>
      </c>
      <c r="F1063" s="156" t="s">
        <v>28</v>
      </c>
      <c r="G1063" s="238">
        <f>MROUND(H1063*L1063*I1063/K1063,0.0000000001)</f>
        <v>7.8418180000000006E-4</v>
      </c>
      <c r="H1063" s="158">
        <f>$H$103</f>
        <v>16</v>
      </c>
      <c r="I1063" s="159">
        <f>I1062</f>
        <v>4.313E-3</v>
      </c>
      <c r="J1063" s="160"/>
      <c r="K1063" s="161">
        <f>K1062</f>
        <v>88</v>
      </c>
      <c r="L1063" s="250">
        <v>1</v>
      </c>
      <c r="M1063" s="163" t="str">
        <f t="shared" si="233"/>
        <v>16 шт*0,004313/88чел.</v>
      </c>
      <c r="N1063" s="164">
        <f t="shared" si="234"/>
        <v>169687.5</v>
      </c>
      <c r="O1063" s="165">
        <f t="shared" si="235"/>
        <v>133.06584899999999</v>
      </c>
      <c r="P1063" s="166"/>
      <c r="Q1063" s="166">
        <f t="shared" si="227"/>
        <v>11709.794711999999</v>
      </c>
      <c r="R1063" s="71"/>
    </row>
    <row r="1064" spans="1:18" s="61" customFormat="1" x14ac:dyDescent="0.25">
      <c r="A1064" s="358"/>
      <c r="B1064" s="361"/>
      <c r="C1064" s="366"/>
      <c r="D1064" s="254" t="s">
        <v>414</v>
      </c>
      <c r="E1064" s="156" t="s">
        <v>28</v>
      </c>
      <c r="F1064" s="156" t="s">
        <v>28</v>
      </c>
      <c r="G1064" s="238">
        <f>MROUND(H1064*L1064*I1064/K1064,0.0000000001)</f>
        <v>4.4110230000000001E-4</v>
      </c>
      <c r="H1064" s="158">
        <f>$H$104</f>
        <v>9</v>
      </c>
      <c r="I1064" s="159">
        <f>I1062</f>
        <v>4.313E-3</v>
      </c>
      <c r="J1064" s="160"/>
      <c r="K1064" s="161">
        <f>K1062</f>
        <v>88</v>
      </c>
      <c r="L1064" s="250">
        <v>1</v>
      </c>
      <c r="M1064" s="163" t="str">
        <f t="shared" si="233"/>
        <v>9 шт*0,004313/88чел.</v>
      </c>
      <c r="N1064" s="164">
        <f t="shared" si="234"/>
        <v>89333.333333333328</v>
      </c>
      <c r="O1064" s="165">
        <f t="shared" si="235"/>
        <v>39.405138999999998</v>
      </c>
      <c r="P1064" s="166"/>
      <c r="Q1064" s="166">
        <f t="shared" si="227"/>
        <v>3467.6522319999999</v>
      </c>
      <c r="R1064" s="71"/>
    </row>
    <row r="1065" spans="1:18" s="61" customFormat="1" x14ac:dyDescent="0.25">
      <c r="A1065" s="358"/>
      <c r="B1065" s="361"/>
      <c r="C1065" s="366"/>
      <c r="D1065" s="254" t="s">
        <v>415</v>
      </c>
      <c r="E1065" s="156" t="s">
        <v>28</v>
      </c>
      <c r="F1065" s="156" t="s">
        <v>28</v>
      </c>
      <c r="G1065" s="238">
        <f>MROUND(H1065*L1065*I1065/K1065,0.00000001)</f>
        <v>5.3912999999999997E-4</v>
      </c>
      <c r="H1065" s="158">
        <f>$H$105</f>
        <v>11</v>
      </c>
      <c r="I1065" s="159">
        <f t="shared" ref="I1065:I1074" si="236">I1063</f>
        <v>4.313E-3</v>
      </c>
      <c r="J1065" s="160"/>
      <c r="K1065" s="161">
        <f t="shared" ref="K1065:K1074" si="237">K1063</f>
        <v>88</v>
      </c>
      <c r="L1065" s="250">
        <v>1</v>
      </c>
      <c r="M1065" s="163" t="str">
        <f t="shared" si="233"/>
        <v>11 шт*0,004313/88чел.</v>
      </c>
      <c r="N1065" s="164">
        <f t="shared" si="234"/>
        <v>122181.81818181818</v>
      </c>
      <c r="O1065" s="165">
        <f t="shared" si="235"/>
        <v>65.871883999999994</v>
      </c>
      <c r="P1065" s="166"/>
      <c r="Q1065" s="166">
        <f t="shared" si="227"/>
        <v>5796.7257919999993</v>
      </c>
      <c r="R1065" s="71"/>
    </row>
    <row r="1066" spans="1:18" s="61" customFormat="1" x14ac:dyDescent="0.25">
      <c r="A1066" s="358"/>
      <c r="B1066" s="361"/>
      <c r="C1066" s="366"/>
      <c r="D1066" s="254" t="s">
        <v>416</v>
      </c>
      <c r="E1066" s="156" t="s">
        <v>28</v>
      </c>
      <c r="F1066" s="156" t="s">
        <v>28</v>
      </c>
      <c r="G1066" s="238">
        <f>MROUND(H1066*L1066*I1066/K1066,0.000000001)</f>
        <v>9.8022699999999996E-4</v>
      </c>
      <c r="H1066" s="246">
        <f>$H$106</f>
        <v>20</v>
      </c>
      <c r="I1066" s="159">
        <f t="shared" si="236"/>
        <v>4.313E-3</v>
      </c>
      <c r="J1066" s="160"/>
      <c r="K1066" s="161">
        <f t="shared" si="237"/>
        <v>88</v>
      </c>
      <c r="L1066" s="250">
        <v>1</v>
      </c>
      <c r="M1066" s="163" t="str">
        <f t="shared" si="233"/>
        <v>20 шт*0,004313/88чел.</v>
      </c>
      <c r="N1066" s="164">
        <f t="shared" si="234"/>
        <v>52500</v>
      </c>
      <c r="O1066" s="165">
        <f t="shared" si="235"/>
        <v>51.461917999999997</v>
      </c>
      <c r="P1066" s="166"/>
      <c r="Q1066" s="166">
        <f t="shared" si="227"/>
        <v>4528.648784</v>
      </c>
      <c r="R1066" s="71"/>
    </row>
    <row r="1067" spans="1:18" s="61" customFormat="1" x14ac:dyDescent="0.25">
      <c r="A1067" s="358"/>
      <c r="B1067" s="361"/>
      <c r="C1067" s="366"/>
      <c r="D1067" s="254" t="s">
        <v>417</v>
      </c>
      <c r="E1067" s="156" t="s">
        <v>28</v>
      </c>
      <c r="F1067" s="156" t="s">
        <v>28</v>
      </c>
      <c r="G1067" s="238">
        <f>MROUND(H1067*L1067*I1067/K1067,0.00000001)</f>
        <v>8.3319000000000004E-4</v>
      </c>
      <c r="H1067" s="158">
        <f>$H$107</f>
        <v>17</v>
      </c>
      <c r="I1067" s="159">
        <f t="shared" si="236"/>
        <v>4.313E-3</v>
      </c>
      <c r="J1067" s="160"/>
      <c r="K1067" s="161">
        <f t="shared" si="237"/>
        <v>88</v>
      </c>
      <c r="L1067" s="250">
        <v>1</v>
      </c>
      <c r="M1067" s="163" t="str">
        <f t="shared" si="233"/>
        <v>17 шт*0,004313/88чел.</v>
      </c>
      <c r="N1067" s="164">
        <f t="shared" si="234"/>
        <v>75000</v>
      </c>
      <c r="O1067" s="165">
        <f t="shared" si="235"/>
        <v>62.489249999999998</v>
      </c>
      <c r="P1067" s="166"/>
      <c r="Q1067" s="166">
        <f t="shared" si="227"/>
        <v>5499.0540000000001</v>
      </c>
      <c r="R1067" s="71"/>
    </row>
    <row r="1068" spans="1:18" s="61" customFormat="1" ht="30" x14ac:dyDescent="0.25">
      <c r="A1068" s="358"/>
      <c r="B1068" s="361"/>
      <c r="C1068" s="366"/>
      <c r="D1068" s="254" t="s">
        <v>418</v>
      </c>
      <c r="E1068" s="156" t="s">
        <v>28</v>
      </c>
      <c r="F1068" s="156" t="s">
        <v>28</v>
      </c>
      <c r="G1068" s="238">
        <f>MROUND(H1068*L1068*I1068/K1068,0.00000001)</f>
        <v>4.4109999999999999E-4</v>
      </c>
      <c r="H1068" s="158">
        <f>H108</f>
        <v>9</v>
      </c>
      <c r="I1068" s="159">
        <f t="shared" si="236"/>
        <v>4.313E-3</v>
      </c>
      <c r="J1068" s="160"/>
      <c r="K1068" s="161">
        <f t="shared" si="237"/>
        <v>88</v>
      </c>
      <c r="L1068" s="250">
        <v>1</v>
      </c>
      <c r="M1068" s="163" t="str">
        <f t="shared" si="233"/>
        <v>9 шт*0,004313/88чел.</v>
      </c>
      <c r="N1068" s="164">
        <f t="shared" si="234"/>
        <v>66666.666666666672</v>
      </c>
      <c r="O1068" s="165">
        <f t="shared" si="235"/>
        <v>29.406666999999999</v>
      </c>
      <c r="P1068" s="166"/>
      <c r="Q1068" s="166">
        <f t="shared" si="227"/>
        <v>2587.7866960000001</v>
      </c>
      <c r="R1068" s="71"/>
    </row>
    <row r="1069" spans="1:18" s="61" customFormat="1" x14ac:dyDescent="0.25">
      <c r="A1069" s="358"/>
      <c r="B1069" s="361"/>
      <c r="C1069" s="366"/>
      <c r="D1069" s="254" t="s">
        <v>324</v>
      </c>
      <c r="E1069" s="156" t="s">
        <v>28</v>
      </c>
      <c r="F1069" s="156" t="s">
        <v>28</v>
      </c>
      <c r="G1069" s="238">
        <f>MROUND(H1069*L1069*I1069/K1069,0.000000001)</f>
        <v>8.8220500000000006E-4</v>
      </c>
      <c r="H1069" s="158">
        <f>$H$109</f>
        <v>18</v>
      </c>
      <c r="I1069" s="159">
        <f t="shared" si="236"/>
        <v>4.313E-3</v>
      </c>
      <c r="J1069" s="160"/>
      <c r="K1069" s="161">
        <f t="shared" si="237"/>
        <v>88</v>
      </c>
      <c r="L1069" s="250">
        <v>1</v>
      </c>
      <c r="M1069" s="163" t="str">
        <f t="shared" si="233"/>
        <v>18 шт*0,004313/88чел.</v>
      </c>
      <c r="N1069" s="164">
        <f t="shared" si="234"/>
        <v>365277.77777777775</v>
      </c>
      <c r="O1069" s="165">
        <f t="shared" si="235"/>
        <v>322.24988200000001</v>
      </c>
      <c r="P1069" s="166"/>
      <c r="Q1069" s="166">
        <f t="shared" si="227"/>
        <v>28357.989616000003</v>
      </c>
      <c r="R1069" s="71"/>
    </row>
    <row r="1070" spans="1:18" s="61" customFormat="1" x14ac:dyDescent="0.25">
      <c r="A1070" s="358"/>
      <c r="B1070" s="361"/>
      <c r="C1070" s="366"/>
      <c r="D1070" s="254" t="s">
        <v>419</v>
      </c>
      <c r="E1070" s="156" t="s">
        <v>28</v>
      </c>
      <c r="F1070" s="156" t="s">
        <v>28</v>
      </c>
      <c r="G1070" s="238">
        <f>MROUND(H1070*L1070*I1070/K1070,0.000000001)</f>
        <v>1.176273E-3</v>
      </c>
      <c r="H1070" s="246">
        <f>$H$110</f>
        <v>24</v>
      </c>
      <c r="I1070" s="159">
        <f t="shared" si="236"/>
        <v>4.313E-3</v>
      </c>
      <c r="J1070" s="160"/>
      <c r="K1070" s="161">
        <f t="shared" si="237"/>
        <v>88</v>
      </c>
      <c r="L1070" s="250">
        <v>1</v>
      </c>
      <c r="M1070" s="163" t="str">
        <f t="shared" si="233"/>
        <v>24 шт*0,004313/88чел.</v>
      </c>
      <c r="N1070" s="164">
        <f t="shared" si="234"/>
        <v>32416.666666666668</v>
      </c>
      <c r="O1070" s="165">
        <f t="shared" si="235"/>
        <v>38.130849999999995</v>
      </c>
      <c r="P1070" s="166"/>
      <c r="Q1070" s="166">
        <f t="shared" si="227"/>
        <v>3355.5147999999995</v>
      </c>
      <c r="R1070" s="71"/>
    </row>
    <row r="1071" spans="1:18" s="61" customFormat="1" x14ac:dyDescent="0.25">
      <c r="A1071" s="358"/>
      <c r="B1071" s="361"/>
      <c r="C1071" s="366"/>
      <c r="D1071" s="254" t="s">
        <v>420</v>
      </c>
      <c r="E1071" s="156" t="s">
        <v>28</v>
      </c>
      <c r="F1071" s="156" t="s">
        <v>28</v>
      </c>
      <c r="G1071" s="238">
        <f>MROUND(H1071*L1071*I1071/K1071,0.000000001)</f>
        <v>7.3517000000000005E-4</v>
      </c>
      <c r="H1071" s="158">
        <f>H111</f>
        <v>15</v>
      </c>
      <c r="I1071" s="159">
        <f t="shared" si="236"/>
        <v>4.313E-3</v>
      </c>
      <c r="J1071" s="160"/>
      <c r="K1071" s="161">
        <f t="shared" si="237"/>
        <v>88</v>
      </c>
      <c r="L1071" s="250">
        <v>1</v>
      </c>
      <c r="M1071" s="163" t="str">
        <f t="shared" si="233"/>
        <v>15 шт*0,004313/88чел.</v>
      </c>
      <c r="N1071" s="164">
        <f t="shared" si="234"/>
        <v>127666.66666666667</v>
      </c>
      <c r="O1071" s="165">
        <f t="shared" si="235"/>
        <v>93.856702999999996</v>
      </c>
      <c r="P1071" s="166"/>
      <c r="Q1071" s="166">
        <f t="shared" si="227"/>
        <v>8259.3898639999989</v>
      </c>
      <c r="R1071" s="71"/>
    </row>
    <row r="1072" spans="1:18" s="61" customFormat="1" x14ac:dyDescent="0.25">
      <c r="A1072" s="358"/>
      <c r="B1072" s="361"/>
      <c r="C1072" s="366"/>
      <c r="D1072" s="254" t="s">
        <v>421</v>
      </c>
      <c r="E1072" s="156" t="s">
        <v>28</v>
      </c>
      <c r="F1072" s="156" t="s">
        <v>28</v>
      </c>
      <c r="G1072" s="238">
        <f>MROUND(H1072*L1072*I1072/K1072,0.00000001)</f>
        <v>1.4213299999999999E-3</v>
      </c>
      <c r="H1072" s="158">
        <f>$H$112</f>
        <v>29</v>
      </c>
      <c r="I1072" s="159">
        <f t="shared" si="236"/>
        <v>4.313E-3</v>
      </c>
      <c r="J1072" s="160"/>
      <c r="K1072" s="161">
        <f t="shared" si="237"/>
        <v>88</v>
      </c>
      <c r="L1072" s="250">
        <v>1</v>
      </c>
      <c r="M1072" s="163" t="str">
        <f t="shared" si="233"/>
        <v>29 шт*0,004313/88чел.</v>
      </c>
      <c r="N1072" s="164">
        <f t="shared" si="234"/>
        <v>13517.241379310344</v>
      </c>
      <c r="O1072" s="165">
        <f t="shared" si="235"/>
        <v>19.212460999999998</v>
      </c>
      <c r="P1072" s="166"/>
      <c r="Q1072" s="166">
        <f t="shared" si="227"/>
        <v>1690.6965679999998</v>
      </c>
      <c r="R1072" s="71"/>
    </row>
    <row r="1073" spans="1:18" s="61" customFormat="1" ht="30" x14ac:dyDescent="0.25">
      <c r="A1073" s="358"/>
      <c r="B1073" s="361"/>
      <c r="C1073" s="366"/>
      <c r="D1073" s="254" t="s">
        <v>422</v>
      </c>
      <c r="E1073" s="156" t="s">
        <v>28</v>
      </c>
      <c r="F1073" s="156" t="s">
        <v>28</v>
      </c>
      <c r="G1073" s="266">
        <f>MROUND(H1073*L1073*I1073/K1073,0.00000001)</f>
        <v>8.8219999999999998E-4</v>
      </c>
      <c r="H1073" s="158">
        <f>H953</f>
        <v>18</v>
      </c>
      <c r="I1073" s="159">
        <f t="shared" si="236"/>
        <v>4.313E-3</v>
      </c>
      <c r="J1073" s="160"/>
      <c r="K1073" s="161">
        <f t="shared" si="237"/>
        <v>88</v>
      </c>
      <c r="L1073" s="250">
        <v>1</v>
      </c>
      <c r="M1073" s="163" t="str">
        <f t="shared" si="233"/>
        <v>18 шт*0,004313/88чел.</v>
      </c>
      <c r="N1073" s="164">
        <f t="shared" si="234"/>
        <v>34944.444444444445</v>
      </c>
      <c r="O1073" s="165">
        <f t="shared" si="235"/>
        <v>30.827988999999999</v>
      </c>
      <c r="P1073" s="166"/>
      <c r="Q1073" s="166">
        <f t="shared" si="227"/>
        <v>2712.8630319999997</v>
      </c>
      <c r="R1073" s="71"/>
    </row>
    <row r="1074" spans="1:18" s="61" customFormat="1" x14ac:dyDescent="0.25">
      <c r="A1074" s="358"/>
      <c r="B1074" s="361"/>
      <c r="C1074" s="366"/>
      <c r="D1074" s="254" t="s">
        <v>423</v>
      </c>
      <c r="E1074" s="156" t="s">
        <v>28</v>
      </c>
      <c r="F1074" s="156" t="s">
        <v>28</v>
      </c>
      <c r="G1074" s="238">
        <f>MROUND(H1074*L1074*I1074/K1074,0.000000001)</f>
        <v>9.8022699999999996E-4</v>
      </c>
      <c r="H1074" s="158">
        <f>$H$114</f>
        <v>20</v>
      </c>
      <c r="I1074" s="159">
        <f t="shared" si="236"/>
        <v>4.313E-3</v>
      </c>
      <c r="J1074" s="160"/>
      <c r="K1074" s="161">
        <f t="shared" si="237"/>
        <v>88</v>
      </c>
      <c r="L1074" s="250">
        <v>1</v>
      </c>
      <c r="M1074" s="163" t="str">
        <f t="shared" si="233"/>
        <v>20 шт*0,004313/88чел.</v>
      </c>
      <c r="N1074" s="164">
        <f t="shared" si="234"/>
        <v>74500</v>
      </c>
      <c r="O1074" s="165">
        <f t="shared" si="235"/>
        <v>73.026911999999996</v>
      </c>
      <c r="P1074" s="166"/>
      <c r="Q1074" s="166">
        <f t="shared" si="227"/>
        <v>6426.3682559999997</v>
      </c>
      <c r="R1074" s="71"/>
    </row>
    <row r="1075" spans="1:18" s="61" customFormat="1" x14ac:dyDescent="0.25">
      <c r="A1075" s="358"/>
      <c r="B1075" s="361"/>
      <c r="C1075" s="366"/>
      <c r="D1075" s="254" t="s">
        <v>424</v>
      </c>
      <c r="E1075" s="156" t="s">
        <v>28</v>
      </c>
      <c r="F1075" s="156" t="s">
        <v>28</v>
      </c>
      <c r="G1075" s="238">
        <f t="shared" ref="G1075:G1081" si="238">MROUND(H1075*L1075*I1075/K1075,0.00000001)</f>
        <v>1.7154E-3</v>
      </c>
      <c r="H1075" s="158">
        <f>H595</f>
        <v>35</v>
      </c>
      <c r="I1075" s="159">
        <f>I1064</f>
        <v>4.313E-3</v>
      </c>
      <c r="J1075" s="160"/>
      <c r="K1075" s="161">
        <f>K1064</f>
        <v>88</v>
      </c>
      <c r="L1075" s="250">
        <v>1</v>
      </c>
      <c r="M1075" s="163" t="str">
        <f t="shared" si="233"/>
        <v>35 шт*0,004313/88чел.</v>
      </c>
      <c r="N1075" s="164">
        <f>N595</f>
        <v>34285.714285714283</v>
      </c>
      <c r="O1075" s="165">
        <f t="shared" si="235"/>
        <v>58.813713999999997</v>
      </c>
      <c r="P1075" s="166"/>
      <c r="Q1075" s="166">
        <f t="shared" si="227"/>
        <v>5175.6068319999995</v>
      </c>
      <c r="R1075" s="71"/>
    </row>
    <row r="1076" spans="1:18" s="61" customFormat="1" x14ac:dyDescent="0.25">
      <c r="A1076" s="358"/>
      <c r="B1076" s="361"/>
      <c r="C1076" s="366"/>
      <c r="D1076" s="254" t="s">
        <v>425</v>
      </c>
      <c r="E1076" s="156" t="s">
        <v>28</v>
      </c>
      <c r="F1076" s="156" t="s">
        <v>28</v>
      </c>
      <c r="G1076" s="277">
        <f t="shared" si="238"/>
        <v>1.7154E-3</v>
      </c>
      <c r="H1076" s="158">
        <f>H116</f>
        <v>35</v>
      </c>
      <c r="I1076" s="159">
        <f t="shared" ref="I1076:I1081" si="239">I1075</f>
        <v>4.313E-3</v>
      </c>
      <c r="J1076" s="160"/>
      <c r="K1076" s="161">
        <f t="shared" ref="K1076:K1081" si="240">K1075</f>
        <v>88</v>
      </c>
      <c r="L1076" s="250">
        <v>1</v>
      </c>
      <c r="M1076" s="163" t="str">
        <f t="shared" si="233"/>
        <v>35 шт*0,004313/88чел.</v>
      </c>
      <c r="N1076" s="164">
        <f t="shared" ref="N1076:N1081" si="241">N116</f>
        <v>19102.857142857141</v>
      </c>
      <c r="O1076" s="165">
        <f t="shared" si="235"/>
        <v>32.769041000000001</v>
      </c>
      <c r="P1076" s="166"/>
      <c r="Q1076" s="166">
        <f t="shared" si="227"/>
        <v>2883.675608</v>
      </c>
      <c r="R1076" s="71"/>
    </row>
    <row r="1077" spans="1:18" s="61" customFormat="1" x14ac:dyDescent="0.25">
      <c r="A1077" s="358"/>
      <c r="B1077" s="361"/>
      <c r="C1077" s="366"/>
      <c r="D1077" s="254" t="s">
        <v>108</v>
      </c>
      <c r="E1077" s="156" t="s">
        <v>28</v>
      </c>
      <c r="F1077" s="156" t="s">
        <v>28</v>
      </c>
      <c r="G1077" s="238">
        <f t="shared" si="238"/>
        <v>4.2394830000000001E-2</v>
      </c>
      <c r="H1077" s="158">
        <f>$H$117</f>
        <v>865</v>
      </c>
      <c r="I1077" s="159">
        <f t="shared" si="239"/>
        <v>4.313E-3</v>
      </c>
      <c r="J1077" s="160"/>
      <c r="K1077" s="161">
        <f t="shared" si="240"/>
        <v>88</v>
      </c>
      <c r="L1077" s="250">
        <v>1</v>
      </c>
      <c r="M1077" s="163" t="str">
        <f t="shared" si="233"/>
        <v>865 шт*0,004313/88чел.</v>
      </c>
      <c r="N1077" s="164">
        <f t="shared" si="241"/>
        <v>779.36416184971097</v>
      </c>
      <c r="O1077" s="165">
        <f t="shared" si="235"/>
        <v>33.041010999999997</v>
      </c>
      <c r="P1077" s="166"/>
      <c r="Q1077" s="166">
        <f t="shared" si="227"/>
        <v>2907.6089679999995</v>
      </c>
      <c r="R1077" s="71"/>
    </row>
    <row r="1078" spans="1:18" s="61" customFormat="1" x14ac:dyDescent="0.25">
      <c r="A1078" s="358"/>
      <c r="B1078" s="361"/>
      <c r="C1078" s="366"/>
      <c r="D1078" s="254" t="s">
        <v>426</v>
      </c>
      <c r="E1078" s="156" t="s">
        <v>28</v>
      </c>
      <c r="F1078" s="156" t="s">
        <v>28</v>
      </c>
      <c r="G1078" s="238">
        <f t="shared" si="238"/>
        <v>2.1565E-3</v>
      </c>
      <c r="H1078" s="158">
        <f>H358</f>
        <v>44</v>
      </c>
      <c r="I1078" s="159">
        <f t="shared" si="239"/>
        <v>4.313E-3</v>
      </c>
      <c r="J1078" s="160"/>
      <c r="K1078" s="161">
        <f t="shared" si="240"/>
        <v>88</v>
      </c>
      <c r="L1078" s="250">
        <v>1</v>
      </c>
      <c r="M1078" s="163" t="str">
        <f t="shared" si="233"/>
        <v>44 шт*0,004313/88чел.</v>
      </c>
      <c r="N1078" s="164">
        <f t="shared" si="241"/>
        <v>12416.954545454546</v>
      </c>
      <c r="O1078" s="165">
        <f t="shared" si="235"/>
        <v>26.777161999999997</v>
      </c>
      <c r="P1078" s="166"/>
      <c r="Q1078" s="166">
        <f t="shared" si="227"/>
        <v>2356.3902559999997</v>
      </c>
      <c r="R1078" s="71"/>
    </row>
    <row r="1079" spans="1:18" s="61" customFormat="1" x14ac:dyDescent="0.25">
      <c r="A1079" s="358"/>
      <c r="B1079" s="361"/>
      <c r="C1079" s="366"/>
      <c r="D1079" s="254" t="s">
        <v>427</v>
      </c>
      <c r="E1079" s="156" t="s">
        <v>28</v>
      </c>
      <c r="F1079" s="156" t="s">
        <v>28</v>
      </c>
      <c r="G1079" s="238">
        <f t="shared" si="238"/>
        <v>3.2347500000000002E-3</v>
      </c>
      <c r="H1079" s="158">
        <f>H119</f>
        <v>66</v>
      </c>
      <c r="I1079" s="159">
        <f t="shared" si="239"/>
        <v>4.313E-3</v>
      </c>
      <c r="J1079" s="160"/>
      <c r="K1079" s="161">
        <f t="shared" si="240"/>
        <v>88</v>
      </c>
      <c r="L1079" s="250">
        <v>1</v>
      </c>
      <c r="M1079" s="163" t="str">
        <f t="shared" si="233"/>
        <v>66 шт*0,004313/88чел.</v>
      </c>
      <c r="N1079" s="164">
        <f t="shared" si="241"/>
        <v>13060.60606060606</v>
      </c>
      <c r="O1079" s="165">
        <f t="shared" si="235"/>
        <v>42.247794999999996</v>
      </c>
      <c r="P1079" s="166"/>
      <c r="Q1079" s="166">
        <f t="shared" si="227"/>
        <v>3717.8059599999997</v>
      </c>
      <c r="R1079" s="71"/>
    </row>
    <row r="1080" spans="1:18" s="61" customFormat="1" x14ac:dyDescent="0.25">
      <c r="A1080" s="358"/>
      <c r="B1080" s="361"/>
      <c r="C1080" s="366"/>
      <c r="D1080" s="254" t="s">
        <v>428</v>
      </c>
      <c r="E1080" s="156" t="s">
        <v>28</v>
      </c>
      <c r="F1080" s="156" t="s">
        <v>28</v>
      </c>
      <c r="G1080" s="238">
        <f t="shared" si="238"/>
        <v>1.6908920000000001E-2</v>
      </c>
      <c r="H1080" s="158">
        <f>H120</f>
        <v>345</v>
      </c>
      <c r="I1080" s="159">
        <f t="shared" si="239"/>
        <v>4.313E-3</v>
      </c>
      <c r="J1080" s="160"/>
      <c r="K1080" s="161">
        <f t="shared" si="240"/>
        <v>88</v>
      </c>
      <c r="L1080" s="250">
        <v>1</v>
      </c>
      <c r="M1080" s="163" t="str">
        <f t="shared" si="233"/>
        <v>345 шт*0,004313/88чел.</v>
      </c>
      <c r="N1080" s="164">
        <f t="shared" si="241"/>
        <v>8520.7246376811599</v>
      </c>
      <c r="O1080" s="165">
        <f t="shared" si="235"/>
        <v>144.07625099999998</v>
      </c>
      <c r="P1080" s="166"/>
      <c r="Q1080" s="166">
        <f t="shared" si="227"/>
        <v>12678.710087999998</v>
      </c>
      <c r="R1080" s="71"/>
    </row>
    <row r="1081" spans="1:18" s="61" customFormat="1" x14ac:dyDescent="0.25">
      <c r="A1081" s="358"/>
      <c r="B1081" s="361"/>
      <c r="C1081" s="366"/>
      <c r="D1081" s="255" t="s">
        <v>429</v>
      </c>
      <c r="E1081" s="156" t="s">
        <v>28</v>
      </c>
      <c r="F1081" s="156" t="s">
        <v>28</v>
      </c>
      <c r="G1081" s="238">
        <f t="shared" si="238"/>
        <v>2.4015600000000001E-3</v>
      </c>
      <c r="H1081" s="158">
        <f>H121</f>
        <v>49</v>
      </c>
      <c r="I1081" s="159">
        <f t="shared" si="239"/>
        <v>4.313E-3</v>
      </c>
      <c r="J1081" s="160"/>
      <c r="K1081" s="161">
        <f t="shared" si="240"/>
        <v>88</v>
      </c>
      <c r="L1081" s="250">
        <v>1</v>
      </c>
      <c r="M1081" s="163" t="str">
        <f t="shared" si="233"/>
        <v>49 шт*0,004313/88чел.</v>
      </c>
      <c r="N1081" s="164">
        <f t="shared" si="241"/>
        <v>53775.510204081635</v>
      </c>
      <c r="O1081" s="165">
        <f t="shared" si="235"/>
        <v>129.14511400000001</v>
      </c>
      <c r="P1081" s="166"/>
      <c r="Q1081" s="166">
        <f t="shared" si="227"/>
        <v>11364.770032</v>
      </c>
      <c r="R1081" s="71"/>
    </row>
    <row r="1082" spans="1:18" s="62" customFormat="1" x14ac:dyDescent="0.25">
      <c r="A1082" s="358"/>
      <c r="B1082" s="361"/>
      <c r="C1082" s="249" t="s">
        <v>299</v>
      </c>
      <c r="D1082" s="256"/>
      <c r="E1082" s="240"/>
      <c r="F1082" s="240"/>
      <c r="G1082" s="227"/>
      <c r="H1082" s="241"/>
      <c r="I1082" s="206"/>
      <c r="J1082" s="228"/>
      <c r="K1082" s="207"/>
      <c r="L1082" s="257"/>
      <c r="M1082" s="209"/>
      <c r="N1082" s="210"/>
      <c r="O1082" s="198">
        <f>SUM(O1058:O1081)</f>
        <v>2036.1616949999996</v>
      </c>
      <c r="P1082" s="267"/>
      <c r="Q1082" s="166"/>
      <c r="R1082" s="71"/>
    </row>
    <row r="1083" spans="1:18" s="61" customFormat="1" ht="110.25" x14ac:dyDescent="0.25">
      <c r="A1083" s="358"/>
      <c r="B1083" s="361"/>
      <c r="C1083" s="221" t="s">
        <v>82</v>
      </c>
      <c r="D1083" s="156" t="s">
        <v>46</v>
      </c>
      <c r="E1083" s="156" t="s">
        <v>54</v>
      </c>
      <c r="F1083" s="156" t="s">
        <v>285</v>
      </c>
      <c r="G1083" s="238">
        <f>MROUND(H1083*L1083*I1083/K1083,0.000001)</f>
        <v>0.55431900000000001</v>
      </c>
      <c r="H1083" s="242">
        <f>H123</f>
        <v>1028.181818181818</v>
      </c>
      <c r="I1083" s="159">
        <f>I1081</f>
        <v>4.313E-3</v>
      </c>
      <c r="J1083" s="160"/>
      <c r="K1083" s="161">
        <f>K1081</f>
        <v>88</v>
      </c>
      <c r="L1083" s="225">
        <f>L723</f>
        <v>11</v>
      </c>
      <c r="M1083" s="163" t="str">
        <f>CONCATENATE(H1083," ",F1083,"*",L1083,"автобуса","*",I1083,"/",K1083,"чел.")</f>
        <v>1028,18181818182 л бензина АИ 92 (12,5л/день(зимой)*20дней*7мес+10л/день(летом)*20дней*4мес)*11автобуса*0,004313/88чел.</v>
      </c>
      <c r="N1083" s="164">
        <f>N123</f>
        <v>54.500000000000007</v>
      </c>
      <c r="O1083" s="165">
        <f>MROUND(G1083*N1083,0.000001)</f>
        <v>30.210386</v>
      </c>
      <c r="P1083" s="166"/>
      <c r="Q1083" s="166">
        <f t="shared" si="227"/>
        <v>2658.5139680000002</v>
      </c>
      <c r="R1083" s="71"/>
    </row>
    <row r="1084" spans="1:18" s="62" customFormat="1" x14ac:dyDescent="0.25">
      <c r="A1084" s="358"/>
      <c r="B1084" s="361"/>
      <c r="C1084" s="218" t="s">
        <v>300</v>
      </c>
      <c r="D1084" s="240"/>
      <c r="E1084" s="240"/>
      <c r="F1084" s="240"/>
      <c r="G1084" s="227"/>
      <c r="H1084" s="241"/>
      <c r="I1084" s="206"/>
      <c r="J1084" s="228"/>
      <c r="K1084" s="207"/>
      <c r="L1084" s="257"/>
      <c r="M1084" s="209"/>
      <c r="N1084" s="210"/>
      <c r="O1084" s="198">
        <f>SUM(O1083)</f>
        <v>30.210386</v>
      </c>
      <c r="P1084" s="267"/>
      <c r="Q1084" s="166"/>
      <c r="R1084" s="71"/>
    </row>
    <row r="1085" spans="1:18" s="61" customFormat="1" ht="47.25" x14ac:dyDescent="0.25">
      <c r="A1085" s="358"/>
      <c r="B1085" s="361"/>
      <c r="C1085" s="221" t="s">
        <v>434</v>
      </c>
      <c r="D1085" s="156" t="s">
        <v>436</v>
      </c>
      <c r="E1085" s="156" t="s">
        <v>28</v>
      </c>
      <c r="F1085" s="156" t="s">
        <v>437</v>
      </c>
      <c r="G1085" s="157">
        <f>MROUND(H1085*L1085*I1085/K1085,0.000001)</f>
        <v>1.4213E-2</v>
      </c>
      <c r="H1085" s="242">
        <f>$H$125</f>
        <v>290</v>
      </c>
      <c r="I1085" s="159">
        <f>I1083</f>
        <v>4.313E-3</v>
      </c>
      <c r="J1085" s="160"/>
      <c r="K1085" s="161">
        <f>K1083</f>
        <v>88</v>
      </c>
      <c r="L1085" s="162">
        <v>1</v>
      </c>
      <c r="M1085" s="163" t="str">
        <f>CONCATENATE(H1085," ",F1085,"*",L1085,"автобуса","*",I1085,"/",K1085,"чел.")</f>
        <v>290 огнетушителей (потребность учреждений) *1автобуса*0,004313/88чел.</v>
      </c>
      <c r="N1085" s="164">
        <f>$N$125</f>
        <v>2000</v>
      </c>
      <c r="O1085" s="165">
        <f>MROUND(G1085*N1085,0.000001)</f>
        <v>28.425999999999998</v>
      </c>
      <c r="P1085" s="166"/>
      <c r="Q1085" s="166">
        <f t="shared" si="227"/>
        <v>2501.4879999999998</v>
      </c>
      <c r="R1085" s="71"/>
    </row>
    <row r="1086" spans="1:18" s="61" customFormat="1" x14ac:dyDescent="0.25">
      <c r="A1086" s="358"/>
      <c r="B1086" s="361"/>
      <c r="C1086" s="218" t="s">
        <v>435</v>
      </c>
      <c r="D1086" s="240"/>
      <c r="E1086" s="240"/>
      <c r="F1086" s="240"/>
      <c r="G1086" s="251"/>
      <c r="H1086" s="241"/>
      <c r="I1086" s="206"/>
      <c r="J1086" s="228"/>
      <c r="K1086" s="207"/>
      <c r="L1086" s="229"/>
      <c r="M1086" s="209"/>
      <c r="N1086" s="210"/>
      <c r="O1086" s="198">
        <f>SUM(O1085)</f>
        <v>28.425999999999998</v>
      </c>
      <c r="P1086" s="166"/>
      <c r="Q1086" s="166"/>
      <c r="R1086" s="71"/>
    </row>
    <row r="1087" spans="1:18" s="61" customFormat="1" ht="47.25" x14ac:dyDescent="0.25">
      <c r="A1087" s="358"/>
      <c r="B1087" s="361"/>
      <c r="C1087" s="364" t="s">
        <v>118</v>
      </c>
      <c r="D1087" s="156" t="s">
        <v>47</v>
      </c>
      <c r="E1087" s="156" t="s">
        <v>28</v>
      </c>
      <c r="F1087" s="156" t="s">
        <v>239</v>
      </c>
      <c r="G1087" s="238">
        <f>MROUND(H1087*L1087*I1087/K1087,0.00000001)</f>
        <v>7.0576400000000004E-3</v>
      </c>
      <c r="H1087" s="158">
        <f>H127</f>
        <v>144</v>
      </c>
      <c r="I1087" s="159">
        <f>I1083</f>
        <v>4.313E-3</v>
      </c>
      <c r="J1087" s="160"/>
      <c r="K1087" s="161">
        <f>K1083</f>
        <v>88</v>
      </c>
      <c r="L1087" s="250">
        <v>1</v>
      </c>
      <c r="M1087" s="163" t="str">
        <f>CONCATENATE(H1087," ",F1087,"*",I1087,"/",K1087,"чел.")</f>
        <v>144 манометров (потребность учреждений) *0,004313/88чел.</v>
      </c>
      <c r="N1087" s="164">
        <f>N127</f>
        <v>708.5</v>
      </c>
      <c r="O1087" s="165">
        <f>MROUND(G1087*N1087,0.000001)</f>
        <v>5.0003380000000002</v>
      </c>
      <c r="P1087" s="166"/>
      <c r="Q1087" s="166">
        <f t="shared" si="227"/>
        <v>440.02974399999999</v>
      </c>
      <c r="R1087" s="71"/>
    </row>
    <row r="1088" spans="1:18" s="61" customFormat="1" ht="47.25" x14ac:dyDescent="0.25">
      <c r="A1088" s="358"/>
      <c r="B1088" s="361"/>
      <c r="C1088" s="364"/>
      <c r="D1088" s="255" t="s">
        <v>113</v>
      </c>
      <c r="E1088" s="156" t="s">
        <v>28</v>
      </c>
      <c r="F1088" s="156" t="s">
        <v>240</v>
      </c>
      <c r="G1088" s="238">
        <f>MROUND(H1088*L1088*I1088/K1088,0.00000001)</f>
        <v>0.28009993999999999</v>
      </c>
      <c r="H1088" s="158">
        <f>H128</f>
        <v>5715</v>
      </c>
      <c r="I1088" s="159">
        <f>I1087</f>
        <v>4.313E-3</v>
      </c>
      <c r="J1088" s="160"/>
      <c r="K1088" s="161">
        <f>K1087</f>
        <v>88</v>
      </c>
      <c r="L1088" s="250">
        <v>1</v>
      </c>
      <c r="M1088" s="163" t="str">
        <f>CONCATENATE(H1088," ",F1088,"*",I1088,"/",K1088,"чел.")</f>
        <v>5715 светильников (потребность учреждений)*0,004313/88чел.</v>
      </c>
      <c r="N1088" s="164">
        <f>N128</f>
        <v>106.27500087489064</v>
      </c>
      <c r="O1088" s="165">
        <f>MROUND(G1088*N1088,0.000001)</f>
        <v>29.767620999999998</v>
      </c>
      <c r="P1088" s="166"/>
      <c r="Q1088" s="166">
        <f t="shared" si="227"/>
        <v>2619.5506479999999</v>
      </c>
      <c r="R1088" s="71"/>
    </row>
    <row r="1089" spans="1:18" s="62" customFormat="1" x14ac:dyDescent="0.25">
      <c r="A1089" s="359"/>
      <c r="B1089" s="362"/>
      <c r="C1089" s="218" t="s">
        <v>301</v>
      </c>
      <c r="D1089" s="256"/>
      <c r="E1089" s="240"/>
      <c r="F1089" s="240"/>
      <c r="G1089" s="227"/>
      <c r="H1089" s="241"/>
      <c r="I1089" s="206"/>
      <c r="J1089" s="228"/>
      <c r="K1089" s="207"/>
      <c r="L1089" s="257"/>
      <c r="M1089" s="209"/>
      <c r="N1089" s="210"/>
      <c r="O1089" s="198">
        <f>SUM(O1087:O1088)</f>
        <v>34.767958999999998</v>
      </c>
      <c r="P1089" s="267"/>
      <c r="Q1089" s="166"/>
      <c r="R1089" s="71"/>
    </row>
    <row r="1090" spans="1:18" s="61" customFormat="1" x14ac:dyDescent="0.25">
      <c r="A1090" s="357" t="str">
        <f>CONCATENATE(школы!$B$15,", ",школы!$C$15,", ",школы!$D$15)</f>
        <v xml:space="preserve">Реализация основных общеобразовательных программ основного общего образования, , </v>
      </c>
      <c r="B1090" s="360" t="str">
        <f>школы!$A$15</f>
        <v>802111О.99.0.БА96АЮ58001</v>
      </c>
      <c r="C1090" s="194"/>
      <c r="D1090" s="363" t="s">
        <v>15</v>
      </c>
      <c r="E1090" s="363"/>
      <c r="F1090" s="363"/>
      <c r="G1090" s="363"/>
      <c r="H1090" s="195"/>
      <c r="I1090" s="195"/>
      <c r="J1090" s="195"/>
      <c r="K1090" s="195"/>
      <c r="L1090" s="196"/>
      <c r="M1090" s="197"/>
      <c r="N1090" s="164"/>
      <c r="O1090" s="198">
        <f>O1091+O1096+O1098</f>
        <v>8822.8791413239996</v>
      </c>
      <c r="P1090" s="166"/>
      <c r="Q1090" s="166"/>
      <c r="R1090" s="71"/>
    </row>
    <row r="1091" spans="1:18" s="61" customFormat="1" x14ac:dyDescent="0.25">
      <c r="A1091" s="358"/>
      <c r="B1091" s="361"/>
      <c r="C1091" s="194"/>
      <c r="D1091" s="350" t="s">
        <v>62</v>
      </c>
      <c r="E1091" s="350"/>
      <c r="F1091" s="350"/>
      <c r="G1091" s="350"/>
      <c r="H1091" s="195"/>
      <c r="I1091" s="195"/>
      <c r="J1091" s="195"/>
      <c r="K1091" s="195"/>
      <c r="L1091" s="196"/>
      <c r="M1091" s="197"/>
      <c r="N1091" s="164"/>
      <c r="O1091" s="165">
        <f>O1093+O1095</f>
        <v>8822.8791413239996</v>
      </c>
      <c r="P1091" s="166"/>
      <c r="Q1091" s="166"/>
      <c r="R1091" s="71"/>
    </row>
    <row r="1092" spans="1:18" s="61" customFormat="1" x14ac:dyDescent="0.25">
      <c r="A1092" s="358"/>
      <c r="B1092" s="361"/>
      <c r="C1092" s="194">
        <v>211</v>
      </c>
      <c r="D1092" s="194" t="s">
        <v>86</v>
      </c>
      <c r="E1092" s="199" t="s">
        <v>95</v>
      </c>
      <c r="F1092" s="199" t="s">
        <v>95</v>
      </c>
      <c r="G1092" s="275">
        <f>MROUND(H1092*L1092*I1092/K1092,0.0000000001)</f>
        <v>0.54217515589999998</v>
      </c>
      <c r="H1092" s="201">
        <f>H252</f>
        <v>921.8</v>
      </c>
      <c r="I1092" s="159">
        <f>школы!$K$15</f>
        <v>0.47073209999999999</v>
      </c>
      <c r="J1092" s="159"/>
      <c r="K1092" s="161">
        <f>школы!$G$15</f>
        <v>9604</v>
      </c>
      <c r="L1092" s="202">
        <v>12</v>
      </c>
      <c r="M1092" s="163" t="str">
        <f>CONCATENATE(H1092," ",F1092," ","в мес.","*",L1092,"мес.","*",I1092,"/",K1092,"чел.")</f>
        <v>921,8 шт.ед в мес.*12мес.*0,4707321/9604чел.</v>
      </c>
      <c r="N1092" s="164">
        <f>N252</f>
        <v>12498.552905979601</v>
      </c>
      <c r="O1092" s="165">
        <f>MROUND(G1092*N1092,0.000000001)</f>
        <v>6776.4048703240005</v>
      </c>
      <c r="P1092" s="166"/>
      <c r="Q1092" s="166">
        <f t="shared" si="227"/>
        <v>65080592.374591701</v>
      </c>
      <c r="R1092" s="71"/>
    </row>
    <row r="1093" spans="1:18" s="62" customFormat="1" x14ac:dyDescent="0.25">
      <c r="A1093" s="358"/>
      <c r="B1093" s="361"/>
      <c r="C1093" s="203" t="s">
        <v>288</v>
      </c>
      <c r="D1093" s="203"/>
      <c r="E1093" s="204"/>
      <c r="F1093" s="204"/>
      <c r="G1093" s="205"/>
      <c r="H1093" s="206"/>
      <c r="I1093" s="206"/>
      <c r="J1093" s="206"/>
      <c r="K1093" s="207"/>
      <c r="L1093" s="208"/>
      <c r="M1093" s="209"/>
      <c r="N1093" s="210">
        <f>N1092</f>
        <v>12498.552905979601</v>
      </c>
      <c r="O1093" s="198">
        <f>O1092</f>
        <v>6776.4048703240005</v>
      </c>
      <c r="P1093" s="267"/>
      <c r="Q1093" s="166"/>
      <c r="R1093" s="71"/>
    </row>
    <row r="1094" spans="1:18" s="61" customFormat="1" x14ac:dyDescent="0.25">
      <c r="A1094" s="358"/>
      <c r="B1094" s="361"/>
      <c r="C1094" s="194">
        <v>213</v>
      </c>
      <c r="D1094" s="194" t="s">
        <v>87</v>
      </c>
      <c r="E1094" s="194" t="s">
        <v>88</v>
      </c>
      <c r="F1094" s="194"/>
      <c r="G1094" s="211">
        <v>30.2</v>
      </c>
      <c r="H1094" s="159"/>
      <c r="I1094" s="159"/>
      <c r="J1094" s="159"/>
      <c r="K1094" s="161">
        <f>K1092</f>
        <v>9604</v>
      </c>
      <c r="L1094" s="202"/>
      <c r="M1094" s="212"/>
      <c r="N1094" s="164"/>
      <c r="O1094" s="165">
        <f>MROUND(O1092*0.302,0.000001)</f>
        <v>2046.4742709999998</v>
      </c>
      <c r="P1094" s="166"/>
      <c r="Q1094" s="166">
        <f>O1094*K1094</f>
        <v>19654338.898683999</v>
      </c>
      <c r="R1094" s="71"/>
    </row>
    <row r="1095" spans="1:18" s="62" customFormat="1" x14ac:dyDescent="0.25">
      <c r="A1095" s="358"/>
      <c r="B1095" s="361"/>
      <c r="C1095" s="203" t="s">
        <v>289</v>
      </c>
      <c r="D1095" s="203"/>
      <c r="E1095" s="203"/>
      <c r="F1095" s="203"/>
      <c r="G1095" s="213"/>
      <c r="H1095" s="214"/>
      <c r="I1095" s="206"/>
      <c r="J1095" s="214"/>
      <c r="K1095" s="207"/>
      <c r="L1095" s="215"/>
      <c r="M1095" s="216"/>
      <c r="N1095" s="210"/>
      <c r="O1095" s="198">
        <f>O1094</f>
        <v>2046.4742709999998</v>
      </c>
      <c r="P1095" s="267"/>
      <c r="Q1095" s="166"/>
      <c r="R1095" s="71"/>
    </row>
    <row r="1096" spans="1:18" s="61" customFormat="1" x14ac:dyDescent="0.25">
      <c r="A1096" s="358"/>
      <c r="B1096" s="361"/>
      <c r="C1096" s="194"/>
      <c r="D1096" s="356" t="s">
        <v>63</v>
      </c>
      <c r="E1096" s="356"/>
      <c r="F1096" s="356"/>
      <c r="G1096" s="356"/>
      <c r="H1096" s="195"/>
      <c r="I1096" s="159"/>
      <c r="J1096" s="195"/>
      <c r="K1096" s="161"/>
      <c r="L1096" s="196"/>
      <c r="M1096" s="197"/>
      <c r="N1096" s="164"/>
      <c r="O1096" s="165"/>
      <c r="P1096" s="166"/>
      <c r="Q1096" s="166"/>
      <c r="R1096" s="71"/>
    </row>
    <row r="1097" spans="1:18" s="61" customFormat="1" x14ac:dyDescent="0.25">
      <c r="A1097" s="358"/>
      <c r="B1097" s="361"/>
      <c r="C1097" s="194"/>
      <c r="D1097" s="194"/>
      <c r="E1097" s="194"/>
      <c r="F1097" s="194"/>
      <c r="G1097" s="217"/>
      <c r="H1097" s="195"/>
      <c r="I1097" s="159"/>
      <c r="J1097" s="195"/>
      <c r="K1097" s="161"/>
      <c r="L1097" s="196"/>
      <c r="M1097" s="197"/>
      <c r="N1097" s="164"/>
      <c r="O1097" s="165"/>
      <c r="P1097" s="166"/>
      <c r="Q1097" s="166"/>
      <c r="R1097" s="71"/>
    </row>
    <row r="1098" spans="1:18" s="61" customFormat="1" x14ac:dyDescent="0.25">
      <c r="A1098" s="358"/>
      <c r="B1098" s="361"/>
      <c r="C1098" s="194"/>
      <c r="D1098" s="350" t="s">
        <v>64</v>
      </c>
      <c r="E1098" s="350"/>
      <c r="F1098" s="350"/>
      <c r="G1098" s="350"/>
      <c r="H1098" s="195"/>
      <c r="I1098" s="159"/>
      <c r="J1098" s="195"/>
      <c r="K1098" s="161"/>
      <c r="L1098" s="196"/>
      <c r="M1098" s="197"/>
      <c r="N1098" s="164"/>
      <c r="O1098" s="165"/>
      <c r="P1098" s="166"/>
      <c r="Q1098" s="166"/>
      <c r="R1098" s="71"/>
    </row>
    <row r="1099" spans="1:18" s="61" customFormat="1" x14ac:dyDescent="0.25">
      <c r="A1099" s="358"/>
      <c r="B1099" s="361"/>
      <c r="C1099" s="194"/>
      <c r="D1099" s="194"/>
      <c r="E1099" s="194"/>
      <c r="F1099" s="194"/>
      <c r="G1099" s="217"/>
      <c r="H1099" s="195"/>
      <c r="I1099" s="159"/>
      <c r="J1099" s="195"/>
      <c r="K1099" s="161"/>
      <c r="L1099" s="196"/>
      <c r="M1099" s="197"/>
      <c r="N1099" s="164"/>
      <c r="O1099" s="165"/>
      <c r="P1099" s="166"/>
      <c r="Q1099" s="166"/>
      <c r="R1099" s="71"/>
    </row>
    <row r="1100" spans="1:18" s="61" customFormat="1" x14ac:dyDescent="0.25">
      <c r="A1100" s="358"/>
      <c r="B1100" s="361"/>
      <c r="C1100" s="194"/>
      <c r="D1100" s="355" t="s">
        <v>5</v>
      </c>
      <c r="E1100" s="355"/>
      <c r="F1100" s="355"/>
      <c r="G1100" s="355"/>
      <c r="H1100" s="195"/>
      <c r="I1100" s="159"/>
      <c r="J1100" s="195"/>
      <c r="K1100" s="161"/>
      <c r="L1100" s="196"/>
      <c r="M1100" s="197"/>
      <c r="N1100" s="164"/>
      <c r="O1100" s="198">
        <f>O1101+O1111+O1122+O1124+O1126+O1128+O1130</f>
        <v>47063.739912295481</v>
      </c>
      <c r="P1100" s="166"/>
      <c r="Q1100" s="166"/>
      <c r="R1100" s="71"/>
    </row>
    <row r="1101" spans="1:18" s="61" customFormat="1" x14ac:dyDescent="0.25">
      <c r="A1101" s="358"/>
      <c r="B1101" s="361"/>
      <c r="C1101" s="218" t="s">
        <v>70</v>
      </c>
      <c r="D1101" s="355" t="s">
        <v>6</v>
      </c>
      <c r="E1101" s="355"/>
      <c r="F1101" s="355"/>
      <c r="G1101" s="355"/>
      <c r="H1101" s="189"/>
      <c r="I1101" s="159"/>
      <c r="J1101" s="189"/>
      <c r="K1101" s="161"/>
      <c r="L1101" s="190"/>
      <c r="M1101" s="197"/>
      <c r="N1101" s="210"/>
      <c r="O1101" s="198">
        <f>O1110</f>
        <v>8479.2731542099991</v>
      </c>
      <c r="P1101" s="166"/>
      <c r="Q1101" s="166"/>
      <c r="R1101" s="71"/>
    </row>
    <row r="1102" spans="1:18" s="61" customFormat="1" ht="31.5" x14ac:dyDescent="0.25">
      <c r="A1102" s="358"/>
      <c r="B1102" s="361"/>
      <c r="C1102" s="221" t="s">
        <v>72</v>
      </c>
      <c r="D1102" s="222" t="s">
        <v>7</v>
      </c>
      <c r="E1102" s="223" t="s">
        <v>8</v>
      </c>
      <c r="F1102" s="223" t="s">
        <v>8</v>
      </c>
      <c r="G1102" s="238">
        <f>MROUND(H1102*L1102*I1102/K1102,0.00000000001)</f>
        <v>162.38990073091</v>
      </c>
      <c r="H1102" s="160">
        <f>H382</f>
        <v>3313121.4264326878</v>
      </c>
      <c r="I1102" s="159">
        <f>I1092</f>
        <v>0.47073209999999999</v>
      </c>
      <c r="J1102" s="160"/>
      <c r="K1102" s="161">
        <f>K1092</f>
        <v>9604</v>
      </c>
      <c r="L1102" s="250">
        <v>1</v>
      </c>
      <c r="M1102" s="163" t="str">
        <f t="shared" ref="M1102:M1107" si="242">CONCATENATE(H1102," ",F1102,"(лимиты выделенные УЖКХ) ","*",I1102,"/",K1102,"чел.")</f>
        <v>3313121,42643269 кВт час.(лимиты выделенные УЖКХ) *0,4707321/9604чел.</v>
      </c>
      <c r="N1102" s="164">
        <f>N382</f>
        <v>10.418446162163715</v>
      </c>
      <c r="O1102" s="165">
        <f t="shared" ref="O1102:O1109" si="243">MROUND(G1102*N1102,0.000001)</f>
        <v>1691.8504379999999</v>
      </c>
      <c r="P1102" s="166"/>
      <c r="Q1102" s="166">
        <f t="shared" ref="Q1102:Q1157" si="244">O1102*K1102</f>
        <v>16248531.606551999</v>
      </c>
      <c r="R1102" s="71"/>
    </row>
    <row r="1103" spans="1:18" s="61" customFormat="1" ht="31.5" x14ac:dyDescent="0.25">
      <c r="A1103" s="358"/>
      <c r="B1103" s="361"/>
      <c r="C1103" s="221" t="s">
        <v>73</v>
      </c>
      <c r="D1103" s="222" t="s">
        <v>9</v>
      </c>
      <c r="E1103" s="223" t="s">
        <v>10</v>
      </c>
      <c r="F1103" s="223" t="s">
        <v>10</v>
      </c>
      <c r="G1103" s="238">
        <f>MROUND(H1103*L1103*I1103/K1103,0.00000000001)</f>
        <v>1.5634241336099999</v>
      </c>
      <c r="H1103" s="160">
        <f t="shared" ref="H1103:H1108" si="245">H23</f>
        <v>31897.39</v>
      </c>
      <c r="I1103" s="159">
        <f t="shared" ref="I1103:I1155" si="246">I1102</f>
        <v>0.47073209999999999</v>
      </c>
      <c r="J1103" s="160"/>
      <c r="K1103" s="161">
        <f t="shared" ref="K1103:K1109" si="247">K1102</f>
        <v>9604</v>
      </c>
      <c r="L1103" s="250">
        <v>1</v>
      </c>
      <c r="M1103" s="163" t="str">
        <f t="shared" si="242"/>
        <v>31897,39 Гкал(лимиты выделенные УЖКХ) *0,4707321/9604чел.</v>
      </c>
      <c r="N1103" s="164">
        <f t="shared" ref="N1103:N1108" si="248">N23</f>
        <v>2845.3650600830792</v>
      </c>
      <c r="O1103" s="165">
        <f t="shared" si="243"/>
        <v>4448.5124040000001</v>
      </c>
      <c r="P1103" s="166"/>
      <c r="Q1103" s="166">
        <f t="shared" si="244"/>
        <v>42723513.128016002</v>
      </c>
      <c r="R1103" s="71"/>
    </row>
    <row r="1104" spans="1:18" s="61" customFormat="1" ht="31.5" x14ac:dyDescent="0.25">
      <c r="A1104" s="358"/>
      <c r="B1104" s="361"/>
      <c r="C1104" s="364" t="s">
        <v>74</v>
      </c>
      <c r="D1104" s="222" t="s">
        <v>12</v>
      </c>
      <c r="E1104" s="222" t="s">
        <v>11</v>
      </c>
      <c r="F1104" s="222" t="s">
        <v>11</v>
      </c>
      <c r="G1104" s="238">
        <f>MROUND(H1104*L1104*I1104/K1104,0.00000000001)</f>
        <v>9.0541511033899997</v>
      </c>
      <c r="H1104" s="224">
        <f t="shared" si="245"/>
        <v>184725.17</v>
      </c>
      <c r="I1104" s="159">
        <f t="shared" si="246"/>
        <v>0.47073209999999999</v>
      </c>
      <c r="J1104" s="160"/>
      <c r="K1104" s="161">
        <f t="shared" si="247"/>
        <v>9604</v>
      </c>
      <c r="L1104" s="250">
        <v>1</v>
      </c>
      <c r="M1104" s="163" t="str">
        <f t="shared" si="242"/>
        <v>184725,17 м3(лимиты выделенные УЖКХ) *0,4707321/9604чел.</v>
      </c>
      <c r="N1104" s="164">
        <f t="shared" si="248"/>
        <v>51.830000102314166</v>
      </c>
      <c r="O1104" s="165">
        <f t="shared" si="243"/>
        <v>469.27665299999995</v>
      </c>
      <c r="P1104" s="166"/>
      <c r="Q1104" s="166">
        <f t="shared" si="244"/>
        <v>4506932.975412</v>
      </c>
      <c r="R1104" s="71"/>
    </row>
    <row r="1105" spans="1:18" s="61" customFormat="1" ht="47.25" x14ac:dyDescent="0.25">
      <c r="A1105" s="358"/>
      <c r="B1105" s="361"/>
      <c r="C1105" s="364"/>
      <c r="D1105" s="222" t="s">
        <v>17</v>
      </c>
      <c r="E1105" s="222" t="s">
        <v>11</v>
      </c>
      <c r="F1105" s="222" t="s">
        <v>11</v>
      </c>
      <c r="G1105" s="238">
        <f>MROUND(H1105*L1105*I1105/K1105,0.00000000001)</f>
        <v>9.0541511033899997</v>
      </c>
      <c r="H1105" s="160">
        <f t="shared" si="245"/>
        <v>184725.17</v>
      </c>
      <c r="I1105" s="159">
        <f t="shared" si="246"/>
        <v>0.47073209999999999</v>
      </c>
      <c r="J1105" s="160"/>
      <c r="K1105" s="161">
        <f t="shared" si="247"/>
        <v>9604</v>
      </c>
      <c r="L1105" s="162">
        <f>$L$25</f>
        <v>1</v>
      </c>
      <c r="M1105" s="163" t="str">
        <f t="shared" si="242"/>
        <v>184725,17 м3(лимиты выделенные УЖКХ) *0,4707321/9604чел.</v>
      </c>
      <c r="N1105" s="164">
        <f t="shared" si="248"/>
        <v>78.76115753094173</v>
      </c>
      <c r="O1105" s="165">
        <f t="shared" si="243"/>
        <v>713.11542099999997</v>
      </c>
      <c r="P1105" s="166"/>
      <c r="Q1105" s="166">
        <f t="shared" si="244"/>
        <v>6848760.5032839999</v>
      </c>
      <c r="R1105" s="71"/>
    </row>
    <row r="1106" spans="1:18" s="61" customFormat="1" ht="31.5" x14ac:dyDescent="0.25">
      <c r="A1106" s="358"/>
      <c r="B1106" s="361"/>
      <c r="C1106" s="364"/>
      <c r="D1106" s="222" t="s">
        <v>13</v>
      </c>
      <c r="E1106" s="222" t="s">
        <v>11</v>
      </c>
      <c r="F1106" s="222" t="s">
        <v>11</v>
      </c>
      <c r="G1106" s="238">
        <f>MROUND(H1106*L1106*I1106/K1106,0.00000000001)</f>
        <v>9.0541511033899997</v>
      </c>
      <c r="H1106" s="160">
        <f t="shared" si="245"/>
        <v>184725.17</v>
      </c>
      <c r="I1106" s="159">
        <f t="shared" si="246"/>
        <v>0.47073209999999999</v>
      </c>
      <c r="J1106" s="160"/>
      <c r="K1106" s="161">
        <f t="shared" si="247"/>
        <v>9604</v>
      </c>
      <c r="L1106" s="162">
        <v>1</v>
      </c>
      <c r="M1106" s="163" t="str">
        <f t="shared" si="242"/>
        <v>184725,17 м3(лимиты выделенные УЖКХ) *0,4707321/9604чел.</v>
      </c>
      <c r="N1106" s="164">
        <f t="shared" si="248"/>
        <v>107.41979263410609</v>
      </c>
      <c r="O1106" s="165">
        <f>MROUND(G1106*N1106,0.00000001)</f>
        <v>972.59503400000006</v>
      </c>
      <c r="P1106" s="166"/>
      <c r="Q1106" s="166">
        <f t="shared" si="244"/>
        <v>9340802.7065360006</v>
      </c>
      <c r="R1106" s="71"/>
    </row>
    <row r="1107" spans="1:18" s="61" customFormat="1" ht="31.5" x14ac:dyDescent="0.25">
      <c r="A1107" s="358"/>
      <c r="B1107" s="361"/>
      <c r="C1107" s="221" t="s">
        <v>75</v>
      </c>
      <c r="D1107" s="222" t="s">
        <v>18</v>
      </c>
      <c r="E1107" s="222" t="s">
        <v>48</v>
      </c>
      <c r="F1107" s="222" t="s">
        <v>48</v>
      </c>
      <c r="G1107" s="238">
        <f>MROUND(H1107*L1107*I1107/K1107,0.0000000001)</f>
        <v>0.68068920370000008</v>
      </c>
      <c r="H1107" s="160">
        <f t="shared" si="245"/>
        <v>13887.6</v>
      </c>
      <c r="I1107" s="159">
        <f t="shared" si="246"/>
        <v>0.47073209999999999</v>
      </c>
      <c r="J1107" s="160"/>
      <c r="K1107" s="161">
        <f t="shared" si="247"/>
        <v>9604</v>
      </c>
      <c r="L1107" s="250">
        <v>1</v>
      </c>
      <c r="M1107" s="163" t="str">
        <f t="shared" si="242"/>
        <v>13887,6 тыс. м3(лимиты выделенные УЖКХ) *0,4707321/9604чел.</v>
      </c>
      <c r="N1107" s="164">
        <f t="shared" si="248"/>
        <v>29.231582850888564</v>
      </c>
      <c r="O1107" s="165">
        <f t="shared" si="243"/>
        <v>19.897622999999999</v>
      </c>
      <c r="P1107" s="166"/>
      <c r="Q1107" s="166">
        <f t="shared" si="244"/>
        <v>191096.77129199999</v>
      </c>
      <c r="R1107" s="71"/>
    </row>
    <row r="1108" spans="1:18" s="61" customFormat="1" x14ac:dyDescent="0.25">
      <c r="A1108" s="358"/>
      <c r="B1108" s="361"/>
      <c r="C1108" s="364" t="s">
        <v>216</v>
      </c>
      <c r="D1108" s="222" t="s">
        <v>23</v>
      </c>
      <c r="E1108" s="222" t="s">
        <v>11</v>
      </c>
      <c r="F1108" s="222" t="s">
        <v>11</v>
      </c>
      <c r="G1108" s="238">
        <f>MROUND(H1108*L1108*I1108/K1108,0.000000000001)</f>
        <v>0.165111097599</v>
      </c>
      <c r="H1108" s="160">
        <f t="shared" si="245"/>
        <v>3368.6400000000003</v>
      </c>
      <c r="I1108" s="159">
        <f t="shared" si="246"/>
        <v>0.47073209999999999</v>
      </c>
      <c r="J1108" s="160"/>
      <c r="K1108" s="161">
        <f t="shared" si="247"/>
        <v>9604</v>
      </c>
      <c r="L1108" s="162">
        <f>L1107</f>
        <v>1</v>
      </c>
      <c r="M1108" s="163" t="str">
        <f>CONCATENATE(H1108," ",F1108," ","*",I1108,"/",K1108,"чел.")</f>
        <v>3368,64 м3 *0,4707321/9604чел.</v>
      </c>
      <c r="N1108" s="164">
        <f t="shared" si="248"/>
        <v>742.21370939013957</v>
      </c>
      <c r="O1108" s="165">
        <f>MROUND(G1108*N1108,0.00000001)</f>
        <v>122.54772021000001</v>
      </c>
      <c r="P1108" s="166"/>
      <c r="Q1108" s="166">
        <f t="shared" si="244"/>
        <v>1176948.3048968401</v>
      </c>
      <c r="R1108" s="71"/>
    </row>
    <row r="1109" spans="1:18" s="61" customFormat="1" ht="47.25" x14ac:dyDescent="0.25">
      <c r="A1109" s="358"/>
      <c r="B1109" s="361"/>
      <c r="C1109" s="364"/>
      <c r="D1109" s="222" t="s">
        <v>24</v>
      </c>
      <c r="E1109" s="222" t="s">
        <v>25</v>
      </c>
      <c r="F1109" s="222" t="s">
        <v>217</v>
      </c>
      <c r="G1109" s="238">
        <f>MROUND(H1109*L1109*I1109/K1109,0.000000000001)</f>
        <v>7.2050831629999999E-3</v>
      </c>
      <c r="H1109" s="160">
        <f>H389</f>
        <v>147</v>
      </c>
      <c r="I1109" s="159">
        <f t="shared" si="246"/>
        <v>0.47073209999999999</v>
      </c>
      <c r="J1109" s="160"/>
      <c r="K1109" s="161">
        <f t="shared" si="247"/>
        <v>9604</v>
      </c>
      <c r="L1109" s="250">
        <f>L1108</f>
        <v>1</v>
      </c>
      <c r="M1109" s="163" t="str">
        <f>CONCATENATE(H1109," ",F1109,"(потребность из расчета 4 контейнера для уборки территории весной и осенью на 1 учреждение)","*",I1109,"/",K1109,"чел.")</f>
        <v>147 контейнера(потребность из расчета 4 контейнера для уборки территории весной и осенью на 1 учреждение)*0,4707321/9604чел.</v>
      </c>
      <c r="N1109" s="164">
        <f>N389</f>
        <v>5756.7497959183638</v>
      </c>
      <c r="O1109" s="165">
        <f t="shared" si="243"/>
        <v>41.477860999999997</v>
      </c>
      <c r="P1109" s="166"/>
      <c r="Q1109" s="166">
        <f t="shared" si="244"/>
        <v>398353.37704399996</v>
      </c>
      <c r="R1109" s="71"/>
    </row>
    <row r="1110" spans="1:18" s="62" customFormat="1" x14ac:dyDescent="0.25">
      <c r="A1110" s="358"/>
      <c r="B1110" s="361"/>
      <c r="C1110" s="218" t="s">
        <v>290</v>
      </c>
      <c r="D1110" s="226"/>
      <c r="E1110" s="226"/>
      <c r="F1110" s="226"/>
      <c r="G1110" s="227"/>
      <c r="H1110" s="228"/>
      <c r="I1110" s="206"/>
      <c r="J1110" s="228"/>
      <c r="K1110" s="207"/>
      <c r="L1110" s="257"/>
      <c r="M1110" s="209"/>
      <c r="N1110" s="210"/>
      <c r="O1110" s="198">
        <f>SUM(O1102:O1109)</f>
        <v>8479.2731542099991</v>
      </c>
      <c r="P1110" s="267"/>
      <c r="Q1110" s="166"/>
      <c r="R1110" s="71"/>
    </row>
    <row r="1111" spans="1:18" s="61" customFormat="1" x14ac:dyDescent="0.25">
      <c r="A1111" s="358"/>
      <c r="B1111" s="361"/>
      <c r="C1111" s="221"/>
      <c r="D1111" s="356" t="s">
        <v>14</v>
      </c>
      <c r="E1111" s="356"/>
      <c r="F1111" s="356"/>
      <c r="G1111" s="356"/>
      <c r="H1111" s="188"/>
      <c r="I1111" s="159"/>
      <c r="J1111" s="188"/>
      <c r="K1111" s="161"/>
      <c r="L1111" s="250"/>
      <c r="M1111" s="230"/>
      <c r="N1111" s="164"/>
      <c r="O1111" s="198">
        <f>O1119+O1120+O1115</f>
        <v>35312.975925045481</v>
      </c>
      <c r="P1111" s="166"/>
      <c r="Q1111" s="166"/>
      <c r="R1111" s="71"/>
    </row>
    <row r="1112" spans="1:18" s="61" customFormat="1" x14ac:dyDescent="0.25">
      <c r="A1112" s="358"/>
      <c r="B1112" s="361"/>
      <c r="C1112" s="221" t="s">
        <v>379</v>
      </c>
      <c r="D1112" s="231" t="s">
        <v>49</v>
      </c>
      <c r="E1112" s="231" t="s">
        <v>22</v>
      </c>
      <c r="F1112" s="231" t="s">
        <v>22</v>
      </c>
      <c r="G1112" s="238">
        <f>MROUND(H1112*L1112*I1112/K1112,0.000000001)</f>
        <v>0</v>
      </c>
      <c r="H1112" s="160"/>
      <c r="I1112" s="159">
        <f>I1107</f>
        <v>0.47073209999999999</v>
      </c>
      <c r="J1112" s="160"/>
      <c r="K1112" s="161">
        <f>K1107</f>
        <v>9604</v>
      </c>
      <c r="L1112" s="250"/>
      <c r="M1112" s="163"/>
      <c r="N1112" s="164">
        <f>N272</f>
        <v>0</v>
      </c>
      <c r="O1112" s="165">
        <f>MROUND(G1112*N1112,0.00000001)</f>
        <v>0</v>
      </c>
      <c r="P1112" s="166"/>
      <c r="Q1112" s="166">
        <f t="shared" si="244"/>
        <v>0</v>
      </c>
      <c r="R1112" s="71"/>
    </row>
    <row r="1113" spans="1:18" s="61" customFormat="1" x14ac:dyDescent="0.25">
      <c r="A1113" s="358"/>
      <c r="B1113" s="361"/>
      <c r="C1113" s="221" t="s">
        <v>379</v>
      </c>
      <c r="D1113" s="231" t="s">
        <v>49</v>
      </c>
      <c r="E1113" s="231" t="s">
        <v>28</v>
      </c>
      <c r="F1113" s="231" t="s">
        <v>28</v>
      </c>
      <c r="G1113" s="238">
        <f>MROUND(H1113*L1113*I1113/K1113,0.0000000000000001)</f>
        <v>2.450708558934E-4</v>
      </c>
      <c r="H1113" s="160">
        <f>H273</f>
        <v>5</v>
      </c>
      <c r="I1113" s="159">
        <f t="shared" si="246"/>
        <v>0.47073209999999999</v>
      </c>
      <c r="J1113" s="160"/>
      <c r="K1113" s="161">
        <f>K1112</f>
        <v>9604</v>
      </c>
      <c r="L1113" s="250">
        <v>1</v>
      </c>
      <c r="M1113" s="163" t="str">
        <f>CONCATENATE(H1113," ",F1113,"*",I1113,"/",K1113,"чел.")</f>
        <v>5 шт*0,4707321/9604чел.</v>
      </c>
      <c r="N1113" s="164">
        <f>N273</f>
        <v>28120000</v>
      </c>
      <c r="O1113" s="165">
        <f>MROUND(G1113*N1113,0.00000001)</f>
        <v>6891.3924677200002</v>
      </c>
      <c r="P1113" s="166"/>
      <c r="Q1113" s="166">
        <f t="shared" si="244"/>
        <v>66184933.259982884</v>
      </c>
      <c r="R1113" s="71"/>
    </row>
    <row r="1114" spans="1:18" s="61" customFormat="1" x14ac:dyDescent="0.25">
      <c r="A1114" s="358"/>
      <c r="B1114" s="361"/>
      <c r="C1114" s="221" t="s">
        <v>379</v>
      </c>
      <c r="D1114" s="231" t="s">
        <v>49</v>
      </c>
      <c r="E1114" s="231" t="s">
        <v>101</v>
      </c>
      <c r="F1114" s="231" t="s">
        <v>101</v>
      </c>
      <c r="G1114" s="238">
        <f>MROUND(H1114*L1114*I1114/K1114,0.000000001)</f>
        <v>0</v>
      </c>
      <c r="H1114" s="160"/>
      <c r="I1114" s="159">
        <f t="shared" si="246"/>
        <v>0.47073209999999999</v>
      </c>
      <c r="J1114" s="160"/>
      <c r="K1114" s="161">
        <f>K1113</f>
        <v>9604</v>
      </c>
      <c r="L1114" s="250"/>
      <c r="M1114" s="163"/>
      <c r="N1114" s="164">
        <f>N274</f>
        <v>0</v>
      </c>
      <c r="O1114" s="165">
        <f>MROUND(G1114*N1114,0.00000001)</f>
        <v>0</v>
      </c>
      <c r="P1114" s="166"/>
      <c r="Q1114" s="166">
        <f t="shared" si="244"/>
        <v>0</v>
      </c>
      <c r="R1114" s="71"/>
    </row>
    <row r="1115" spans="1:18" s="62" customFormat="1" x14ac:dyDescent="0.25">
      <c r="A1115" s="358"/>
      <c r="B1115" s="361"/>
      <c r="C1115" s="218" t="s">
        <v>380</v>
      </c>
      <c r="D1115" s="232"/>
      <c r="E1115" s="232"/>
      <c r="F1115" s="232"/>
      <c r="G1115" s="227"/>
      <c r="H1115" s="228"/>
      <c r="I1115" s="206"/>
      <c r="J1115" s="228"/>
      <c r="K1115" s="207"/>
      <c r="L1115" s="257"/>
      <c r="M1115" s="209"/>
      <c r="N1115" s="210"/>
      <c r="O1115" s="198">
        <f>SUM(O1112:O1114)</f>
        <v>6891.3924677200002</v>
      </c>
      <c r="P1115" s="267"/>
      <c r="Q1115" s="166"/>
      <c r="R1115" s="71"/>
    </row>
    <row r="1116" spans="1:18" s="61" customFormat="1" x14ac:dyDescent="0.25">
      <c r="A1116" s="358"/>
      <c r="B1116" s="361"/>
      <c r="C1116" s="221" t="s">
        <v>76</v>
      </c>
      <c r="D1116" s="231" t="s">
        <v>49</v>
      </c>
      <c r="E1116" s="231" t="s">
        <v>22</v>
      </c>
      <c r="F1116" s="231" t="s">
        <v>22</v>
      </c>
      <c r="G1116" s="238">
        <f>MROUND(H1116*L1116*I1116/K1116,0.000000000000001)</f>
        <v>3.5886715514725114</v>
      </c>
      <c r="H1116" s="160">
        <f>H276</f>
        <v>73217.02</v>
      </c>
      <c r="I1116" s="159">
        <f>I1112</f>
        <v>0.47073209999999999</v>
      </c>
      <c r="J1116" s="160"/>
      <c r="K1116" s="161">
        <f>K1114</f>
        <v>9604</v>
      </c>
      <c r="L1116" s="250">
        <v>1</v>
      </c>
      <c r="M1116" s="163" t="str">
        <f>CONCATENATE(H1116," ",F1116,"*",I1116,"/",K1116,"чел.")</f>
        <v>73217,02 м2*0,4707321/9604чел.</v>
      </c>
      <c r="N1116" s="164">
        <f>N276</f>
        <v>3335.1026185604301</v>
      </c>
      <c r="O1116" s="165">
        <f>MROUND(G1116*N1116,0.00000000001)</f>
        <v>11968.587888469299</v>
      </c>
      <c r="P1116" s="166"/>
      <c r="Q1116" s="166">
        <f t="shared" si="244"/>
        <v>114946318.08085915</v>
      </c>
      <c r="R1116" s="71"/>
    </row>
    <row r="1117" spans="1:18" s="61" customFormat="1" x14ac:dyDescent="0.25">
      <c r="A1117" s="358"/>
      <c r="B1117" s="361"/>
      <c r="C1117" s="221"/>
      <c r="D1117" s="231" t="s">
        <v>49</v>
      </c>
      <c r="E1117" s="231" t="s">
        <v>28</v>
      </c>
      <c r="F1117" s="231" t="s">
        <v>28</v>
      </c>
      <c r="G1117" s="238">
        <f>MROUND(H1117*L1117*I1117/K1117,0.0000000000001)</f>
        <v>0.20340881039149999</v>
      </c>
      <c r="H1117" s="160">
        <f>H277</f>
        <v>4150</v>
      </c>
      <c r="I1117" s="159">
        <f t="shared" si="246"/>
        <v>0.47073209999999999</v>
      </c>
      <c r="J1117" s="160"/>
      <c r="K1117" s="161">
        <f>K1116</f>
        <v>9604</v>
      </c>
      <c r="L1117" s="250">
        <v>1</v>
      </c>
      <c r="M1117" s="163" t="str">
        <f>CONCATENATE(H1117," ",F1117,"*",I1117,"/",K1117,"чел.")</f>
        <v>4150 шт*0,4707321/9604чел.</v>
      </c>
      <c r="N1117" s="164">
        <f>N277</f>
        <v>71617.619331325302</v>
      </c>
      <c r="O1117" s="165">
        <f>MROUND(G1117*N1117,0.00000000001)</f>
        <v>14567.654751256179</v>
      </c>
      <c r="P1117" s="166"/>
      <c r="Q1117" s="166">
        <f t="shared" si="244"/>
        <v>139907756.23106435</v>
      </c>
      <c r="R1117" s="71"/>
    </row>
    <row r="1118" spans="1:18" s="61" customFormat="1" x14ac:dyDescent="0.25">
      <c r="A1118" s="358"/>
      <c r="B1118" s="361"/>
      <c r="C1118" s="221"/>
      <c r="D1118" s="231" t="s">
        <v>49</v>
      </c>
      <c r="E1118" s="231" t="s">
        <v>101</v>
      </c>
      <c r="F1118" s="231" t="s">
        <v>101</v>
      </c>
      <c r="G1118" s="238">
        <f>MROUND(H1118*L1118*I1118/K1118,0.000000001)</f>
        <v>0.69962827900000002</v>
      </c>
      <c r="H1118" s="160">
        <f>H278</f>
        <v>14274</v>
      </c>
      <c r="I1118" s="159">
        <f t="shared" si="246"/>
        <v>0.47073209999999999</v>
      </c>
      <c r="J1118" s="160"/>
      <c r="K1118" s="161">
        <f>K1117</f>
        <v>9604</v>
      </c>
      <c r="L1118" s="250">
        <v>1</v>
      </c>
      <c r="M1118" s="163" t="str">
        <f>CONCATENATE(H1118," ",F1118,"*",I1118,"/",K1118,"чел.")</f>
        <v>14274 погон.м.*0,4707321/9604чел.</v>
      </c>
      <c r="N1118" s="164">
        <f>N278</f>
        <v>2694.7750315258509</v>
      </c>
      <c r="O1118" s="165">
        <f>MROUND(G1118*N1118,0.00000001)</f>
        <v>1885.3408176</v>
      </c>
      <c r="P1118" s="166"/>
      <c r="Q1118" s="166">
        <f t="shared" si="244"/>
        <v>18106813.212230399</v>
      </c>
      <c r="R1118" s="71"/>
    </row>
    <row r="1119" spans="1:18" s="62" customFormat="1" x14ac:dyDescent="0.25">
      <c r="A1119" s="358"/>
      <c r="B1119" s="361"/>
      <c r="C1119" s="218" t="s">
        <v>291</v>
      </c>
      <c r="D1119" s="232"/>
      <c r="E1119" s="232"/>
      <c r="F1119" s="232"/>
      <c r="G1119" s="227"/>
      <c r="H1119" s="228"/>
      <c r="I1119" s="206"/>
      <c r="J1119" s="228"/>
      <c r="K1119" s="207"/>
      <c r="L1119" s="257"/>
      <c r="M1119" s="209"/>
      <c r="N1119" s="210"/>
      <c r="O1119" s="198">
        <f>SUM(O1116:O1118)</f>
        <v>28421.58345732548</v>
      </c>
      <c r="P1119" s="267"/>
      <c r="Q1119" s="166"/>
      <c r="R1119" s="71"/>
    </row>
    <row r="1120" spans="1:18" s="61" customFormat="1" x14ac:dyDescent="0.25">
      <c r="A1120" s="358"/>
      <c r="B1120" s="361"/>
      <c r="C1120" s="221" t="s">
        <v>77</v>
      </c>
      <c r="D1120" s="231"/>
      <c r="E1120" s="231"/>
      <c r="F1120" s="231"/>
      <c r="G1120" s="238">
        <f>MROUND(H1120*L1120*I1120/K1120,0.00000000001)</f>
        <v>0</v>
      </c>
      <c r="H1120" s="160">
        <f>H880</f>
        <v>0</v>
      </c>
      <c r="I1120" s="159">
        <f>I1118</f>
        <v>0.47073209999999999</v>
      </c>
      <c r="J1120" s="160"/>
      <c r="K1120" s="161">
        <f>K1118</f>
        <v>9604</v>
      </c>
      <c r="L1120" s="250"/>
      <c r="M1120" s="163"/>
      <c r="N1120" s="164">
        <f>N880</f>
        <v>0</v>
      </c>
      <c r="O1120" s="165">
        <f>MROUND(G1120*N1120,0.000000001)</f>
        <v>0</v>
      </c>
      <c r="P1120" s="166"/>
      <c r="Q1120" s="166">
        <f t="shared" si="244"/>
        <v>0</v>
      </c>
      <c r="R1120" s="71"/>
    </row>
    <row r="1121" spans="1:41" s="62" customFormat="1" x14ac:dyDescent="0.25">
      <c r="A1121" s="358"/>
      <c r="B1121" s="361"/>
      <c r="C1121" s="218" t="s">
        <v>292</v>
      </c>
      <c r="D1121" s="232"/>
      <c r="E1121" s="232"/>
      <c r="F1121" s="232"/>
      <c r="G1121" s="227"/>
      <c r="H1121" s="228"/>
      <c r="I1121" s="206"/>
      <c r="J1121" s="228"/>
      <c r="K1121" s="207"/>
      <c r="L1121" s="257"/>
      <c r="M1121" s="209"/>
      <c r="N1121" s="210"/>
      <c r="O1121" s="198">
        <f>O1120</f>
        <v>0</v>
      </c>
      <c r="P1121" s="267"/>
      <c r="Q1121" s="166"/>
      <c r="R1121" s="71"/>
    </row>
    <row r="1122" spans="1:41" s="61" customFormat="1" x14ac:dyDescent="0.25">
      <c r="A1122" s="358"/>
      <c r="B1122" s="361"/>
      <c r="C1122" s="221"/>
      <c r="D1122" s="350" t="s">
        <v>65</v>
      </c>
      <c r="E1122" s="350"/>
      <c r="F1122" s="350"/>
      <c r="G1122" s="350"/>
      <c r="H1122" s="195"/>
      <c r="I1122" s="159"/>
      <c r="J1122" s="195"/>
      <c r="K1122" s="161"/>
      <c r="L1122" s="196"/>
      <c r="M1122" s="230"/>
      <c r="N1122" s="164"/>
      <c r="O1122" s="165">
        <f t="shared" ref="O1122:O1129" si="249">MROUND(G1122*N1122,0.000001)</f>
        <v>0</v>
      </c>
      <c r="P1122" s="166"/>
      <c r="Q1122" s="166"/>
      <c r="R1122" s="71"/>
    </row>
    <row r="1123" spans="1:41" s="61" customFormat="1" x14ac:dyDescent="0.25">
      <c r="A1123" s="358"/>
      <c r="B1123" s="361"/>
      <c r="C1123" s="221"/>
      <c r="D1123" s="194"/>
      <c r="E1123" s="194"/>
      <c r="F1123" s="194"/>
      <c r="G1123" s="217"/>
      <c r="H1123" s="195"/>
      <c r="I1123" s="159"/>
      <c r="J1123" s="195"/>
      <c r="K1123" s="161"/>
      <c r="L1123" s="196"/>
      <c r="M1123" s="230"/>
      <c r="N1123" s="164"/>
      <c r="O1123" s="165">
        <f t="shared" si="249"/>
        <v>0</v>
      </c>
      <c r="P1123" s="166"/>
      <c r="Q1123" s="166"/>
      <c r="R1123" s="71"/>
    </row>
    <row r="1124" spans="1:41" s="61" customFormat="1" x14ac:dyDescent="0.25">
      <c r="A1124" s="358"/>
      <c r="B1124" s="361"/>
      <c r="C1124" s="221" t="s">
        <v>357</v>
      </c>
      <c r="D1124" s="368" t="s">
        <v>66</v>
      </c>
      <c r="E1124" s="368"/>
      <c r="F1124" s="368"/>
      <c r="G1124" s="368"/>
      <c r="H1124" s="195"/>
      <c r="I1124" s="159"/>
      <c r="J1124" s="195"/>
      <c r="K1124" s="161"/>
      <c r="L1124" s="234"/>
      <c r="M1124" s="230"/>
      <c r="N1124" s="164"/>
      <c r="O1124" s="198">
        <f>O1125</f>
        <v>8.865181999999999</v>
      </c>
      <c r="P1124" s="166"/>
      <c r="Q1124" s="166"/>
      <c r="R1124" s="71"/>
    </row>
    <row r="1125" spans="1:41" s="61" customFormat="1" ht="47.25" x14ac:dyDescent="0.25">
      <c r="A1125" s="358"/>
      <c r="B1125" s="361"/>
      <c r="C1125" s="221"/>
      <c r="D1125" s="222" t="s">
        <v>374</v>
      </c>
      <c r="E1125" s="194" t="s">
        <v>28</v>
      </c>
      <c r="F1125" s="194" t="s">
        <v>28</v>
      </c>
      <c r="G1125" s="217">
        <f>MROUND(H1125*L1125*I1125/K1125,0.000000001)</f>
        <v>7.0580410000000001E-3</v>
      </c>
      <c r="H1125" s="201">
        <f>H525</f>
        <v>36</v>
      </c>
      <c r="I1125" s="159">
        <f>I1120</f>
        <v>0.47073209999999999</v>
      </c>
      <c r="J1125" s="195"/>
      <c r="K1125" s="161">
        <f>K1120</f>
        <v>9604</v>
      </c>
      <c r="L1125" s="235">
        <f>L525</f>
        <v>4</v>
      </c>
      <c r="M1125" s="163" t="str">
        <f>CONCATENATE(H1125," ",F1125,"*",I1125,"/",K1125,"чел.")</f>
        <v>36 шт*0,4707321/9604чел.</v>
      </c>
      <c r="N1125" s="164">
        <f>N525</f>
        <v>1256.0400000000006</v>
      </c>
      <c r="O1125" s="165">
        <f>MROUND(G1125*N1125,0.000001)</f>
        <v>8.865181999999999</v>
      </c>
      <c r="P1125" s="166"/>
      <c r="Q1125" s="166">
        <f t="shared" si="244"/>
        <v>85141.207927999989</v>
      </c>
      <c r="R1125" s="71"/>
    </row>
    <row r="1126" spans="1:41" s="61" customFormat="1" x14ac:dyDescent="0.25">
      <c r="A1126" s="358"/>
      <c r="B1126" s="361"/>
      <c r="C1126" s="221"/>
      <c r="D1126" s="368" t="s">
        <v>67</v>
      </c>
      <c r="E1126" s="368"/>
      <c r="F1126" s="368"/>
      <c r="G1126" s="368"/>
      <c r="H1126" s="195"/>
      <c r="I1126" s="159"/>
      <c r="J1126" s="195"/>
      <c r="K1126" s="161"/>
      <c r="L1126" s="196"/>
      <c r="M1126" s="230"/>
      <c r="N1126" s="164"/>
      <c r="O1126" s="165">
        <f t="shared" si="249"/>
        <v>0</v>
      </c>
      <c r="P1126" s="166"/>
      <c r="Q1126" s="166"/>
      <c r="R1126" s="71"/>
    </row>
    <row r="1127" spans="1:41" s="61" customFormat="1" x14ac:dyDescent="0.25">
      <c r="A1127" s="358"/>
      <c r="B1127" s="361"/>
      <c r="C1127" s="221"/>
      <c r="D1127" s="194"/>
      <c r="E1127" s="194"/>
      <c r="F1127" s="194"/>
      <c r="G1127" s="217"/>
      <c r="H1127" s="195"/>
      <c r="I1127" s="159"/>
      <c r="J1127" s="195"/>
      <c r="K1127" s="161"/>
      <c r="L1127" s="196"/>
      <c r="M1127" s="230"/>
      <c r="N1127" s="164"/>
      <c r="O1127" s="165">
        <f t="shared" si="249"/>
        <v>0</v>
      </c>
      <c r="P1127" s="166"/>
      <c r="Q1127" s="166"/>
      <c r="R1127" s="71"/>
    </row>
    <row r="1128" spans="1:41" s="61" customFormat="1" x14ac:dyDescent="0.25">
      <c r="A1128" s="358"/>
      <c r="B1128" s="361"/>
      <c r="C1128" s="221"/>
      <c r="D1128" s="350" t="s">
        <v>68</v>
      </c>
      <c r="E1128" s="350"/>
      <c r="F1128" s="350"/>
      <c r="G1128" s="350"/>
      <c r="H1128" s="195"/>
      <c r="I1128" s="159"/>
      <c r="J1128" s="195"/>
      <c r="K1128" s="161"/>
      <c r="L1128" s="196"/>
      <c r="M1128" s="230"/>
      <c r="N1128" s="164"/>
      <c r="O1128" s="165">
        <f t="shared" si="249"/>
        <v>0</v>
      </c>
      <c r="P1128" s="166"/>
      <c r="Q1128" s="166"/>
      <c r="R1128" s="71"/>
    </row>
    <row r="1129" spans="1:41" s="61" customFormat="1" x14ac:dyDescent="0.25">
      <c r="A1129" s="358"/>
      <c r="B1129" s="361"/>
      <c r="C1129" s="221"/>
      <c r="D1129" s="156"/>
      <c r="E1129" s="156"/>
      <c r="F1129" s="156"/>
      <c r="G1129" s="236"/>
      <c r="H1129" s="195"/>
      <c r="I1129" s="159"/>
      <c r="J1129" s="195"/>
      <c r="K1129" s="161"/>
      <c r="L1129" s="196"/>
      <c r="M1129" s="230"/>
      <c r="N1129" s="164"/>
      <c r="O1129" s="165">
        <f t="shared" si="249"/>
        <v>0</v>
      </c>
      <c r="P1129" s="166"/>
      <c r="Q1129" s="166"/>
      <c r="R1129" s="71"/>
    </row>
    <row r="1130" spans="1:41" s="61" customFormat="1" x14ac:dyDescent="0.25">
      <c r="A1130" s="358"/>
      <c r="B1130" s="361"/>
      <c r="C1130" s="221"/>
      <c r="D1130" s="368" t="s">
        <v>69</v>
      </c>
      <c r="E1130" s="368"/>
      <c r="F1130" s="368"/>
      <c r="G1130" s="368"/>
      <c r="H1130" s="187"/>
      <c r="I1130" s="159"/>
      <c r="J1130" s="187"/>
      <c r="K1130" s="161"/>
      <c r="L1130" s="276"/>
      <c r="M1130" s="230"/>
      <c r="N1130" s="164"/>
      <c r="O1130" s="198">
        <f>O1132+O1139+O1156+O1158+O1173+O1175+O1177+O1202+O1204+O1209+O1206</f>
        <v>3262.6256510399994</v>
      </c>
      <c r="P1130" s="166"/>
      <c r="Q1130" s="166"/>
      <c r="R1130" s="71"/>
    </row>
    <row r="1131" spans="1:41" s="61" customFormat="1" x14ac:dyDescent="0.25">
      <c r="A1131" s="358"/>
      <c r="B1131" s="361"/>
      <c r="C1131" s="221">
        <v>224</v>
      </c>
      <c r="D1131" s="156" t="s">
        <v>21</v>
      </c>
      <c r="E1131" s="156" t="s">
        <v>22</v>
      </c>
      <c r="F1131" s="156" t="s">
        <v>22</v>
      </c>
      <c r="G1131" s="238">
        <f>MROUND(H1131*L1131*I1131/K1131,0.000001)</f>
        <v>0</v>
      </c>
      <c r="H1131" s="158">
        <f>H51</f>
        <v>0</v>
      </c>
      <c r="I1131" s="159">
        <f>I1125</f>
        <v>0.47073209999999999</v>
      </c>
      <c r="J1131" s="160"/>
      <c r="K1131" s="161">
        <f>K1125</f>
        <v>9604</v>
      </c>
      <c r="L1131" s="250"/>
      <c r="M1131" s="163"/>
      <c r="N1131" s="164">
        <f>N171</f>
        <v>0</v>
      </c>
      <c r="O1131" s="165">
        <f>MROUND(G1131*N1131,0.000001)</f>
        <v>0</v>
      </c>
      <c r="P1131" s="166"/>
      <c r="Q1131" s="166">
        <f t="shared" si="244"/>
        <v>0</v>
      </c>
      <c r="R1131" s="71"/>
    </row>
    <row r="1132" spans="1:41" s="62" customFormat="1" x14ac:dyDescent="0.25">
      <c r="A1132" s="358"/>
      <c r="B1132" s="361"/>
      <c r="C1132" s="218" t="s">
        <v>293</v>
      </c>
      <c r="D1132" s="240"/>
      <c r="E1132" s="240"/>
      <c r="F1132" s="240"/>
      <c r="G1132" s="227"/>
      <c r="H1132" s="241"/>
      <c r="I1132" s="206"/>
      <c r="J1132" s="228"/>
      <c r="K1132" s="207"/>
      <c r="L1132" s="257"/>
      <c r="M1132" s="209"/>
      <c r="N1132" s="210"/>
      <c r="O1132" s="198">
        <f>SUM(O1131)</f>
        <v>0</v>
      </c>
      <c r="P1132" s="267"/>
      <c r="Q1132" s="166"/>
      <c r="R1132" s="71"/>
    </row>
    <row r="1133" spans="1:41" s="61" customFormat="1" ht="31.5" x14ac:dyDescent="0.25">
      <c r="A1133" s="358"/>
      <c r="B1133" s="361"/>
      <c r="C1133" s="364" t="s">
        <v>78</v>
      </c>
      <c r="D1133" s="156" t="s">
        <v>26</v>
      </c>
      <c r="E1133" s="156" t="s">
        <v>22</v>
      </c>
      <c r="F1133" s="156" t="s">
        <v>22</v>
      </c>
      <c r="G1133" s="238">
        <f>MROUND(H1133*L1133*I1133/K1133,0.000001)</f>
        <v>15.198314</v>
      </c>
      <c r="H1133" s="158">
        <f>H53</f>
        <v>25840</v>
      </c>
      <c r="I1133" s="159">
        <f>I1131</f>
        <v>0.47073209999999999</v>
      </c>
      <c r="J1133" s="160"/>
      <c r="K1133" s="161">
        <f>K1131</f>
        <v>9604</v>
      </c>
      <c r="L1133" s="250">
        <v>12</v>
      </c>
      <c r="M1133" s="163" t="str">
        <f>CONCATENATE(H1133," ",F1133,"(обрабатываемая площадь в мес.)","*",L1133,"мес.","*",I1133,"/",K1133,"чел.")</f>
        <v>25840 м2(обрабатываемая площадь в мес.)*12мес.*0,4707321/9604чел.</v>
      </c>
      <c r="N1133" s="164">
        <f>N53</f>
        <v>1.1553999935500519</v>
      </c>
      <c r="O1133" s="165">
        <f t="shared" ref="O1133:O1138" si="250">MROUND(G1133*N1133,0.000001)</f>
        <v>17.560131999999999</v>
      </c>
      <c r="P1133" s="166"/>
      <c r="Q1133" s="166">
        <f t="shared" si="244"/>
        <v>168647.507728</v>
      </c>
      <c r="R1133" s="71"/>
    </row>
    <row r="1134" spans="1:41" s="61" customFormat="1" ht="31.5" x14ac:dyDescent="0.25">
      <c r="A1134" s="358"/>
      <c r="B1134" s="361"/>
      <c r="C1134" s="364"/>
      <c r="D1134" s="156" t="s">
        <v>96</v>
      </c>
      <c r="E1134" s="156" t="s">
        <v>22</v>
      </c>
      <c r="F1134" s="156" t="s">
        <v>22</v>
      </c>
      <c r="G1134" s="238">
        <f>MROUND(H1134*L1134*I1134/K1134,0.000001)</f>
        <v>7.8667739999999995</v>
      </c>
      <c r="H1134" s="158">
        <f>H54</f>
        <v>13375</v>
      </c>
      <c r="I1134" s="159">
        <f t="shared" si="246"/>
        <v>0.47073209999999999</v>
      </c>
      <c r="J1134" s="160"/>
      <c r="K1134" s="161">
        <f>K1133</f>
        <v>9604</v>
      </c>
      <c r="L1134" s="250">
        <v>12</v>
      </c>
      <c r="M1134" s="163" t="str">
        <f>CONCATENATE(H1134," ",F1134,"(обрабатываемая площадь в мес.)","*",L1134,"мес.","*",I1134,"/",K1134,"чел.")</f>
        <v>13375 м2(обрабатываемая площадь в мес.)*12мес.*0,4707321/9604чел.</v>
      </c>
      <c r="N1134" s="164">
        <f>N54</f>
        <v>1.8530000000000004</v>
      </c>
      <c r="O1134" s="165">
        <f t="shared" si="250"/>
        <v>14.577131999999999</v>
      </c>
      <c r="P1134" s="166"/>
      <c r="Q1134" s="166">
        <f t="shared" si="244"/>
        <v>139998.77572799998</v>
      </c>
      <c r="R1134" s="71"/>
    </row>
    <row r="1135" spans="1:41" s="135" customFormat="1" ht="31.5" x14ac:dyDescent="0.25">
      <c r="A1135" s="358"/>
      <c r="B1135" s="361"/>
      <c r="C1135" s="364"/>
      <c r="D1135" s="156" t="s">
        <v>385</v>
      </c>
      <c r="E1135" s="156" t="s">
        <v>22</v>
      </c>
      <c r="F1135" s="156" t="s">
        <v>22</v>
      </c>
      <c r="G1135" s="238">
        <f>MROUND(H1135*L1135*I1135/K1135,0.000001)</f>
        <v>15.733549</v>
      </c>
      <c r="H1135" s="242">
        <f>$H$55</f>
        <v>13375</v>
      </c>
      <c r="I1135" s="159">
        <f t="shared" si="246"/>
        <v>0.47073209999999999</v>
      </c>
      <c r="J1135" s="160"/>
      <c r="K1135" s="161">
        <f>K1134</f>
        <v>9604</v>
      </c>
      <c r="L1135" s="162">
        <v>24</v>
      </c>
      <c r="M1135" s="163" t="str">
        <f>CONCATENATE(H1135," ",F1135,"(обрабатываемая площадь в год)","*",L1135," раза в год.","*",I1135,"/",K1135,"чел.")</f>
        <v>13375 м2(обрабатываемая площадь в год)*24 раза в год.*0,4707321/9604чел.</v>
      </c>
      <c r="N1135" s="164">
        <f>$N$55</f>
        <v>2.2889999999999993</v>
      </c>
      <c r="O1135" s="165">
        <f t="shared" si="250"/>
        <v>36.014094</v>
      </c>
      <c r="P1135" s="166"/>
      <c r="Q1135" s="166">
        <f t="shared" si="244"/>
        <v>345879.35877599998</v>
      </c>
      <c r="R1135" s="71"/>
      <c r="S1135" s="61"/>
      <c r="T1135" s="61"/>
      <c r="U1135" s="61"/>
      <c r="V1135" s="61"/>
      <c r="W1135" s="61"/>
      <c r="X1135" s="61"/>
      <c r="Y1135" s="61"/>
      <c r="Z1135" s="61"/>
      <c r="AA1135" s="61"/>
      <c r="AB1135" s="61"/>
      <c r="AC1135" s="61"/>
      <c r="AD1135" s="61"/>
      <c r="AE1135" s="61"/>
      <c r="AF1135" s="61"/>
      <c r="AG1135" s="61"/>
      <c r="AH1135" s="61"/>
      <c r="AI1135" s="61"/>
      <c r="AJ1135" s="61"/>
      <c r="AK1135" s="61"/>
      <c r="AL1135" s="61"/>
      <c r="AM1135" s="61"/>
      <c r="AN1135" s="61"/>
      <c r="AO1135" s="61"/>
    </row>
    <row r="1136" spans="1:41" s="135" customFormat="1" ht="31.5" x14ac:dyDescent="0.25">
      <c r="A1136" s="358"/>
      <c r="B1136" s="361"/>
      <c r="C1136" s="364"/>
      <c r="D1136" s="156" t="s">
        <v>394</v>
      </c>
      <c r="E1136" s="156" t="s">
        <v>22</v>
      </c>
      <c r="F1136" s="156" t="s">
        <v>22</v>
      </c>
      <c r="G1136" s="238">
        <f>MROUND(H1136*L1136*I1136/K1136,0.000001)</f>
        <v>15.198314</v>
      </c>
      <c r="H1136" s="243">
        <f>$H$56</f>
        <v>25840</v>
      </c>
      <c r="I1136" s="159">
        <f t="shared" si="246"/>
        <v>0.47073209999999999</v>
      </c>
      <c r="J1136" s="160"/>
      <c r="K1136" s="161">
        <f>K1135</f>
        <v>9604</v>
      </c>
      <c r="L1136" s="162">
        <v>12</v>
      </c>
      <c r="M1136" s="163" t="str">
        <f>CONCATENATE(H1136," ",F1136,"(обрабатываемая площадь в мес.)","*",L1136,"мес.","*",I1136,"/",K1136,"чел.")</f>
        <v>25840 м2(обрабатываемая площадь в мес.)*12мес.*0,4707321/9604чел.</v>
      </c>
      <c r="N1136" s="164">
        <f>$N$56</f>
        <v>0.54499999999999993</v>
      </c>
      <c r="O1136" s="165">
        <f t="shared" si="250"/>
        <v>8.2830809999999992</v>
      </c>
      <c r="P1136" s="166"/>
      <c r="Q1136" s="166">
        <f t="shared" si="244"/>
        <v>79550.709923999995</v>
      </c>
      <c r="R1136" s="71"/>
      <c r="S1136" s="61"/>
      <c r="T1136" s="61"/>
      <c r="U1136" s="61"/>
      <c r="V1136" s="61"/>
      <c r="W1136" s="61"/>
      <c r="X1136" s="61"/>
      <c r="Y1136" s="61"/>
      <c r="Z1136" s="61"/>
      <c r="AA1136" s="61"/>
      <c r="AB1136" s="61"/>
      <c r="AC1136" s="61"/>
      <c r="AD1136" s="61"/>
      <c r="AE1136" s="61"/>
      <c r="AF1136" s="61"/>
      <c r="AG1136" s="61"/>
      <c r="AH1136" s="61"/>
      <c r="AI1136" s="61"/>
      <c r="AJ1136" s="61"/>
      <c r="AK1136" s="61"/>
      <c r="AL1136" s="61"/>
      <c r="AM1136" s="61"/>
      <c r="AN1136" s="61"/>
      <c r="AO1136" s="61"/>
    </row>
    <row r="1137" spans="1:41" s="135" customFormat="1" ht="31.5" x14ac:dyDescent="0.25">
      <c r="A1137" s="358"/>
      <c r="B1137" s="361"/>
      <c r="C1137" s="364"/>
      <c r="D1137" s="156" t="s">
        <v>395</v>
      </c>
      <c r="E1137" s="156" t="s">
        <v>98</v>
      </c>
      <c r="F1137" s="156" t="s">
        <v>98</v>
      </c>
      <c r="G1137" s="238">
        <f>MROUND(H1137*L1137*I1137/K1137,0.0000000001)</f>
        <v>9.2832839999999999E-4</v>
      </c>
      <c r="H1137" s="242">
        <f>$H$57</f>
        <v>18.939999999999998</v>
      </c>
      <c r="I1137" s="159">
        <f t="shared" si="246"/>
        <v>0.47073209999999999</v>
      </c>
      <c r="J1137" s="160"/>
      <c r="K1137" s="161">
        <f>K1136</f>
        <v>9604</v>
      </c>
      <c r="L1137" s="162">
        <v>1</v>
      </c>
      <c r="M1137" s="163" t="str">
        <f>CONCATENATE(H1137," ",F1137,"(обрабатываемая площадь в год)","*",L1137," раз в год","*",I1137,"/",K1137,"чел.")</f>
        <v>18,94 Га(обрабатываемая площадь в год)*1 раз в год*0,4707321/9604чел.</v>
      </c>
      <c r="N1137" s="164">
        <f>$N$57</f>
        <v>545</v>
      </c>
      <c r="O1137" s="165">
        <f t="shared" si="250"/>
        <v>0.50593900000000003</v>
      </c>
      <c r="P1137" s="166"/>
      <c r="Q1137" s="166">
        <f t="shared" si="244"/>
        <v>4859.0381560000005</v>
      </c>
      <c r="R1137" s="71"/>
      <c r="S1137" s="61"/>
      <c r="T1137" s="61"/>
      <c r="U1137" s="61"/>
      <c r="V1137" s="61"/>
      <c r="W1137" s="61"/>
      <c r="X1137" s="61"/>
      <c r="Y1137" s="61"/>
      <c r="Z1137" s="61"/>
      <c r="AA1137" s="61"/>
      <c r="AB1137" s="61"/>
      <c r="AC1137" s="61"/>
      <c r="AD1137" s="61"/>
      <c r="AE1137" s="61"/>
      <c r="AF1137" s="61"/>
      <c r="AG1137" s="61"/>
      <c r="AH1137" s="61"/>
      <c r="AI1137" s="61"/>
      <c r="AJ1137" s="61"/>
      <c r="AK1137" s="61"/>
      <c r="AL1137" s="61"/>
      <c r="AM1137" s="61"/>
      <c r="AN1137" s="61"/>
      <c r="AO1137" s="61"/>
    </row>
    <row r="1138" spans="1:41" s="61" customFormat="1" ht="31.5" x14ac:dyDescent="0.25">
      <c r="A1138" s="358"/>
      <c r="B1138" s="361"/>
      <c r="C1138" s="364"/>
      <c r="D1138" s="156" t="s">
        <v>97</v>
      </c>
      <c r="E1138" s="156" t="s">
        <v>98</v>
      </c>
      <c r="F1138" s="156" t="s">
        <v>98</v>
      </c>
      <c r="G1138" s="238">
        <f>MROUND(H1138*L1138*I1138/K1138,0.000000001)</f>
        <v>9.2832800000000007E-4</v>
      </c>
      <c r="H1138" s="242">
        <f>H58</f>
        <v>18.939999999999998</v>
      </c>
      <c r="I1138" s="244">
        <f>I1134</f>
        <v>0.47073209999999999</v>
      </c>
      <c r="J1138" s="160"/>
      <c r="K1138" s="161">
        <f>K1134</f>
        <v>9604</v>
      </c>
      <c r="L1138" s="250">
        <v>1</v>
      </c>
      <c r="M1138" s="163" t="str">
        <f>CONCATENATE(H1138," ",F1138,"(обрабатываемая площадь в мес.)","*",L1138,"мес.","*",I1138,"/",K1138,"чел.")</f>
        <v>18,94 Га(обрабатываемая площадь в мес.)*1мес.*0,4707321/9604чел.</v>
      </c>
      <c r="N1138" s="164">
        <f>N58</f>
        <v>2965.979936642027</v>
      </c>
      <c r="O1138" s="165">
        <f t="shared" si="250"/>
        <v>2.7534019999999999</v>
      </c>
      <c r="P1138" s="166"/>
      <c r="Q1138" s="166">
        <f t="shared" si="244"/>
        <v>26443.672807999999</v>
      </c>
      <c r="R1138" s="71"/>
    </row>
    <row r="1139" spans="1:41" s="62" customFormat="1" x14ac:dyDescent="0.25">
      <c r="A1139" s="358"/>
      <c r="B1139" s="361"/>
      <c r="C1139" s="245" t="s">
        <v>294</v>
      </c>
      <c r="D1139" s="240"/>
      <c r="E1139" s="240"/>
      <c r="F1139" s="240"/>
      <c r="G1139" s="227"/>
      <c r="H1139" s="241"/>
      <c r="I1139" s="206"/>
      <c r="J1139" s="228"/>
      <c r="K1139" s="207"/>
      <c r="L1139" s="257"/>
      <c r="M1139" s="209"/>
      <c r="N1139" s="210"/>
      <c r="O1139" s="198">
        <f>SUM(O1133:O1138)</f>
        <v>79.69377999999999</v>
      </c>
      <c r="P1139" s="267"/>
      <c r="Q1139" s="166"/>
      <c r="R1139" s="71"/>
    </row>
    <row r="1140" spans="1:41" s="61" customFormat="1" ht="63" x14ac:dyDescent="0.25">
      <c r="A1140" s="358"/>
      <c r="B1140" s="361"/>
      <c r="C1140" s="365" t="s">
        <v>77</v>
      </c>
      <c r="D1140" s="156" t="s">
        <v>29</v>
      </c>
      <c r="E1140" s="156" t="s">
        <v>58</v>
      </c>
      <c r="F1140" s="156" t="s">
        <v>218</v>
      </c>
      <c r="G1140" s="238">
        <f>MROUND(H1140*L1140*I1140/K1140,0.00000001)</f>
        <v>2.9408500000000001E-3</v>
      </c>
      <c r="H1140" s="158">
        <v>15</v>
      </c>
      <c r="I1140" s="159">
        <f>I1138</f>
        <v>0.47073209999999999</v>
      </c>
      <c r="J1140" s="160"/>
      <c r="K1140" s="161">
        <f>K1138</f>
        <v>9604</v>
      </c>
      <c r="L1140" s="162">
        <v>4</v>
      </c>
      <c r="M1140" s="163" t="str">
        <f>CONCATENATE(H1140," ",F1140,"*",L1140," раза в год","*",I1140,"/",K1140,"чел.")</f>
        <v>15 установок*4 раза в год*0,4707321/9604чел.</v>
      </c>
      <c r="N1140" s="164">
        <f>N60</f>
        <v>721.75483333333329</v>
      </c>
      <c r="O1140" s="165">
        <f t="shared" ref="O1140:O1155" si="251">MROUND(G1140*N1140,0.000001)</f>
        <v>2.122573</v>
      </c>
      <c r="P1140" s="166"/>
      <c r="Q1140" s="166">
        <f t="shared" si="244"/>
        <v>20385.191092000001</v>
      </c>
      <c r="R1140" s="71"/>
    </row>
    <row r="1141" spans="1:41" s="61" customFormat="1" ht="47.25" x14ac:dyDescent="0.25">
      <c r="A1141" s="358"/>
      <c r="B1141" s="361"/>
      <c r="C1141" s="366"/>
      <c r="D1141" s="156" t="s">
        <v>30</v>
      </c>
      <c r="E1141" s="156" t="s">
        <v>58</v>
      </c>
      <c r="F1141" s="156" t="s">
        <v>218</v>
      </c>
      <c r="G1141" s="238">
        <f>MROUND(H1141*L1141*I1141/K1141,0.00000001)</f>
        <v>1.47043E-3</v>
      </c>
      <c r="H1141" s="158">
        <v>15</v>
      </c>
      <c r="I1141" s="159">
        <f t="shared" si="246"/>
        <v>0.47073209999999999</v>
      </c>
      <c r="J1141" s="160"/>
      <c r="K1141" s="161">
        <f t="shared" ref="K1141:K1149" si="252">K1140</f>
        <v>9604</v>
      </c>
      <c r="L1141" s="250">
        <v>2</v>
      </c>
      <c r="M1141" s="163" t="str">
        <f>CONCATENATE(H1141," ",F1141,"*",L1141,"полуг.","*",I1141,"/",K1141,"чел.")</f>
        <v>15 установок*2полуг.*0,4707321/9604чел.</v>
      </c>
      <c r="N1141" s="164">
        <f>N421</f>
        <v>721.75266666666664</v>
      </c>
      <c r="O1141" s="165">
        <f t="shared" si="251"/>
        <v>1.0612869999999999</v>
      </c>
      <c r="P1141" s="166"/>
      <c r="Q1141" s="166">
        <f t="shared" si="244"/>
        <v>10192.600347999998</v>
      </c>
      <c r="R1141" s="71"/>
    </row>
    <row r="1142" spans="1:41" s="61" customFormat="1" ht="31.5" x14ac:dyDescent="0.25">
      <c r="A1142" s="358"/>
      <c r="B1142" s="361"/>
      <c r="C1142" s="366"/>
      <c r="D1142" s="156" t="s">
        <v>397</v>
      </c>
      <c r="E1142" s="156" t="s">
        <v>433</v>
      </c>
      <c r="F1142" s="156" t="s">
        <v>433</v>
      </c>
      <c r="G1142" s="238">
        <f>MROUND(H1142*L1142*I1142/K1142,0.000001)</f>
        <v>2.9408999999999998E-2</v>
      </c>
      <c r="H1142" s="158">
        <f>H62</f>
        <v>600</v>
      </c>
      <c r="I1142" s="159">
        <f t="shared" si="246"/>
        <v>0.47073209999999999</v>
      </c>
      <c r="J1142" s="160"/>
      <c r="K1142" s="161">
        <f t="shared" si="252"/>
        <v>9604</v>
      </c>
      <c r="L1142" s="162">
        <v>1</v>
      </c>
      <c r="M1142" s="163" t="str">
        <f>CONCATENATE(H1142," ",F1142,"(обрабатываемая площадь в год)","*",L1142," раз в год","*",I1142,"/",K1142,"чел.")</f>
        <v>600 м2.(обрабатываемая площадь в год)*1 раз в год*0,4707321/9604чел.</v>
      </c>
      <c r="N1142" s="164">
        <f>N182</f>
        <v>300</v>
      </c>
      <c r="O1142" s="165">
        <f t="shared" si="251"/>
        <v>8.8226999999999993</v>
      </c>
      <c r="P1142" s="166"/>
      <c r="Q1142" s="166">
        <f t="shared" si="244"/>
        <v>84733.210800000001</v>
      </c>
      <c r="R1142" s="71"/>
    </row>
    <row r="1143" spans="1:41" s="61" customFormat="1" ht="47.25" x14ac:dyDescent="0.25">
      <c r="A1143" s="358"/>
      <c r="B1143" s="361"/>
      <c r="C1143" s="366"/>
      <c r="D1143" s="156" t="s">
        <v>32</v>
      </c>
      <c r="E1143" s="156" t="s">
        <v>55</v>
      </c>
      <c r="F1143" s="156" t="s">
        <v>219</v>
      </c>
      <c r="G1143" s="238">
        <f>MROUND(H1143*L1143*I1143/K1143,0.000000001)</f>
        <v>7.0580410000000001E-3</v>
      </c>
      <c r="H1143" s="158">
        <f>H423</f>
        <v>36</v>
      </c>
      <c r="I1143" s="159">
        <f>I1142</f>
        <v>0.47073209999999999</v>
      </c>
      <c r="J1143" s="160"/>
      <c r="K1143" s="161">
        <f t="shared" si="252"/>
        <v>9604</v>
      </c>
      <c r="L1143" s="250">
        <v>4</v>
      </c>
      <c r="M1143" s="163" t="str">
        <f>CONCATENATE(H1143," ",F1143,"*",L1143,"кв.","*",I1143,"/",K1143,"чел.")</f>
        <v>36 системы*4кв.*0,4707321/9604чел.</v>
      </c>
      <c r="N1143" s="164">
        <f>N423</f>
        <v>6924.5277777777774</v>
      </c>
      <c r="O1143" s="165">
        <f t="shared" si="251"/>
        <v>48.873601000000001</v>
      </c>
      <c r="P1143" s="166"/>
      <c r="Q1143" s="166">
        <f t="shared" si="244"/>
        <v>469382.06400399999</v>
      </c>
      <c r="R1143" s="71"/>
    </row>
    <row r="1144" spans="1:41" s="61" customFormat="1" ht="63" x14ac:dyDescent="0.25">
      <c r="A1144" s="358"/>
      <c r="B1144" s="361"/>
      <c r="C1144" s="366"/>
      <c r="D1144" s="156" t="s">
        <v>33</v>
      </c>
      <c r="E1144" s="156" t="s">
        <v>56</v>
      </c>
      <c r="F1144" s="156" t="s">
        <v>220</v>
      </c>
      <c r="G1144" s="238">
        <f>MROUND(H1144*L1144*I1144/K1144,0.000000001)</f>
        <v>1.7645100000000002E-3</v>
      </c>
      <c r="H1144" s="158">
        <f>$H$64</f>
        <v>36</v>
      </c>
      <c r="I1144" s="159">
        <f>I1143</f>
        <v>0.47073209999999999</v>
      </c>
      <c r="J1144" s="160"/>
      <c r="K1144" s="161">
        <f t="shared" si="252"/>
        <v>9604</v>
      </c>
      <c r="L1144" s="162">
        <v>1</v>
      </c>
      <c r="M1144" s="163" t="str">
        <f>CONCATENATE(H1144," ",F1144,"*",L1144," раз в год","*",I1144,"/",K1144,"чел.")</f>
        <v>36 дымоходов*1 раз в год*0,4707321/9604чел.</v>
      </c>
      <c r="N1144" s="164">
        <f t="shared" ref="N1144:N1150" si="253">N64</f>
        <v>6540</v>
      </c>
      <c r="O1144" s="165">
        <f t="shared" si="251"/>
        <v>11.539895</v>
      </c>
      <c r="P1144" s="166"/>
      <c r="Q1144" s="166">
        <f t="shared" si="244"/>
        <v>110829.15157999999</v>
      </c>
      <c r="R1144" s="71"/>
    </row>
    <row r="1145" spans="1:41" s="61" customFormat="1" x14ac:dyDescent="0.25">
      <c r="A1145" s="358"/>
      <c r="B1145" s="361"/>
      <c r="C1145" s="366"/>
      <c r="D1145" s="194" t="s">
        <v>398</v>
      </c>
      <c r="E1145" s="156" t="s">
        <v>60</v>
      </c>
      <c r="F1145" s="156" t="s">
        <v>60</v>
      </c>
      <c r="G1145" s="238">
        <f>MROUND(H1145*L1145*I1145/K1145,0.000000001)</f>
        <v>1.7154960000000002E-3</v>
      </c>
      <c r="H1145" s="246">
        <f>H65</f>
        <v>35</v>
      </c>
      <c r="I1145" s="159">
        <f t="shared" si="246"/>
        <v>0.47073209999999999</v>
      </c>
      <c r="J1145" s="160"/>
      <c r="K1145" s="161">
        <f t="shared" si="252"/>
        <v>9604</v>
      </c>
      <c r="L1145" s="250">
        <v>1</v>
      </c>
      <c r="M1145" s="163" t="str">
        <f>CONCATENATE(H1145," ",F1145,"*",I1145,"/",K1145,"чел.")</f>
        <v>35 шт.*0,4707321/9604чел.</v>
      </c>
      <c r="N1145" s="164">
        <f t="shared" si="253"/>
        <v>11009</v>
      </c>
      <c r="O1145" s="165">
        <f t="shared" si="251"/>
        <v>18.885894999999998</v>
      </c>
      <c r="P1145" s="166"/>
      <c r="Q1145" s="166">
        <f t="shared" si="244"/>
        <v>181380.13557999997</v>
      </c>
      <c r="R1145" s="71"/>
    </row>
    <row r="1146" spans="1:41" s="61" customFormat="1" ht="47.25" x14ac:dyDescent="0.25">
      <c r="A1146" s="358"/>
      <c r="B1146" s="361"/>
      <c r="C1146" s="366"/>
      <c r="D1146" s="156" t="s">
        <v>401</v>
      </c>
      <c r="E1146" s="156" t="s">
        <v>60</v>
      </c>
      <c r="F1146" s="156" t="s">
        <v>402</v>
      </c>
      <c r="G1146" s="238">
        <f>MROUND(H1146*L1146*I1146/K1146,0.000001)</f>
        <v>3.431E-3</v>
      </c>
      <c r="H1146" s="246">
        <f>H66</f>
        <v>35</v>
      </c>
      <c r="I1146" s="159">
        <f t="shared" si="246"/>
        <v>0.47073209999999999</v>
      </c>
      <c r="J1146" s="160"/>
      <c r="K1146" s="161">
        <f t="shared" si="252"/>
        <v>9604</v>
      </c>
      <c r="L1146" s="162">
        <v>2</v>
      </c>
      <c r="M1146" s="163" t="str">
        <f>CONCATENATE(H1146," ",F1146,"*",L1146," раз в год","*",I1146,"/",K1146,"чел.")</f>
        <v>35 противопожарных водопроводов*2 раз в год*0,4707321/9604чел.</v>
      </c>
      <c r="N1146" s="164">
        <f t="shared" si="253"/>
        <v>5450</v>
      </c>
      <c r="O1146" s="165">
        <f t="shared" si="251"/>
        <v>18.69895</v>
      </c>
      <c r="P1146" s="166"/>
      <c r="Q1146" s="166">
        <f t="shared" si="244"/>
        <v>179584.71580000001</v>
      </c>
      <c r="R1146" s="71"/>
    </row>
    <row r="1147" spans="1:41" s="61" customFormat="1" ht="31.5" x14ac:dyDescent="0.25">
      <c r="A1147" s="358"/>
      <c r="B1147" s="361"/>
      <c r="C1147" s="366"/>
      <c r="D1147" s="156" t="s">
        <v>221</v>
      </c>
      <c r="E1147" s="156" t="s">
        <v>60</v>
      </c>
      <c r="F1147" s="156" t="s">
        <v>60</v>
      </c>
      <c r="G1147" s="238">
        <f>MROUND(H1147*L1147*I1147/K1147,0.000000001)</f>
        <v>1.0587061E-2</v>
      </c>
      <c r="H1147" s="158">
        <f>H67</f>
        <v>18</v>
      </c>
      <c r="I1147" s="159">
        <f t="shared" si="246"/>
        <v>0.47073209999999999</v>
      </c>
      <c r="J1147" s="160"/>
      <c r="K1147" s="161">
        <f t="shared" si="252"/>
        <v>9604</v>
      </c>
      <c r="L1147" s="250">
        <v>12</v>
      </c>
      <c r="M1147" s="163" t="str">
        <f>CONCATENATE(H1147," ",F1147,"*",L1147,"мес.","*",I1147,"/",K1147,"чел.")</f>
        <v>18 шт.*12мес.*0,4707321/9604чел.</v>
      </c>
      <c r="N1147" s="164">
        <f t="shared" si="253"/>
        <v>6288.0888888888885</v>
      </c>
      <c r="O1147" s="165">
        <f t="shared" si="251"/>
        <v>66.572380999999993</v>
      </c>
      <c r="P1147" s="166"/>
      <c r="Q1147" s="166">
        <f t="shared" si="244"/>
        <v>639361.14712399989</v>
      </c>
      <c r="R1147" s="71"/>
    </row>
    <row r="1148" spans="1:41" s="61" customFormat="1" ht="47.25" x14ac:dyDescent="0.25">
      <c r="A1148" s="358"/>
      <c r="B1148" s="361"/>
      <c r="C1148" s="366"/>
      <c r="D1148" s="156" t="s">
        <v>34</v>
      </c>
      <c r="E1148" s="156" t="s">
        <v>59</v>
      </c>
      <c r="F1148" s="156" t="s">
        <v>28</v>
      </c>
      <c r="G1148" s="238">
        <f>MROUND(H1148*L1148*I1148/K1148,0.0000000001)</f>
        <v>9.8028299999999998E-5</v>
      </c>
      <c r="H1148" s="158">
        <f>H68</f>
        <v>2</v>
      </c>
      <c r="I1148" s="159">
        <f t="shared" si="246"/>
        <v>0.47073209999999999</v>
      </c>
      <c r="J1148" s="160"/>
      <c r="K1148" s="161">
        <f t="shared" si="252"/>
        <v>9604</v>
      </c>
      <c r="L1148" s="250">
        <v>1</v>
      </c>
      <c r="M1148" s="163" t="str">
        <f>CONCATENATE(H1148," ",F1148,"*",I1148,"/",K1148,"чел.")</f>
        <v>2 шт*0,4707321/9604чел.</v>
      </c>
      <c r="N1148" s="164">
        <f t="shared" si="253"/>
        <v>7500</v>
      </c>
      <c r="O1148" s="165">
        <f t="shared" si="251"/>
        <v>0.73521199999999998</v>
      </c>
      <c r="P1148" s="166"/>
      <c r="Q1148" s="166">
        <f t="shared" si="244"/>
        <v>7060.9760479999995</v>
      </c>
      <c r="R1148" s="71"/>
    </row>
    <row r="1149" spans="1:41" s="61" customFormat="1" ht="47.25" x14ac:dyDescent="0.25">
      <c r="A1149" s="358"/>
      <c r="B1149" s="361"/>
      <c r="C1149" s="366"/>
      <c r="D1149" s="156" t="s">
        <v>222</v>
      </c>
      <c r="E1149" s="156" t="s">
        <v>60</v>
      </c>
      <c r="F1149" s="156" t="s">
        <v>60</v>
      </c>
      <c r="G1149" s="238">
        <f>MROUND(H1149*L1149*I1149/K1149,0.00000000001)</f>
        <v>1.71549599E-3</v>
      </c>
      <c r="H1149" s="248">
        <f>H429</f>
        <v>35</v>
      </c>
      <c r="I1149" s="159">
        <f t="shared" si="246"/>
        <v>0.47073209999999999</v>
      </c>
      <c r="J1149" s="160"/>
      <c r="K1149" s="161">
        <f t="shared" si="252"/>
        <v>9604</v>
      </c>
      <c r="L1149" s="250">
        <v>1</v>
      </c>
      <c r="M1149" s="163" t="str">
        <f>CONCATENATE(H1149," ",F1149,"*",I1149,"/",K1149,"чел.")</f>
        <v>35 шт.*0,4707321/9604чел.</v>
      </c>
      <c r="N1149" s="164">
        <f t="shared" si="253"/>
        <v>8189.7714285714283</v>
      </c>
      <c r="O1149" s="165">
        <f>MROUND(G1149*N1149,0.00000001)</f>
        <v>14.049520040000001</v>
      </c>
      <c r="P1149" s="166"/>
      <c r="Q1149" s="166">
        <f t="shared" si="244"/>
        <v>134931.59046416002</v>
      </c>
      <c r="R1149" s="71"/>
    </row>
    <row r="1150" spans="1:41" s="61" customFormat="1" ht="31.5" x14ac:dyDescent="0.25">
      <c r="A1150" s="358"/>
      <c r="B1150" s="361"/>
      <c r="C1150" s="366"/>
      <c r="D1150" s="156" t="s">
        <v>35</v>
      </c>
      <c r="E1150" s="156" t="s">
        <v>102</v>
      </c>
      <c r="F1150" s="156" t="s">
        <v>223</v>
      </c>
      <c r="G1150" s="238">
        <f>MROUND(H1150*L1150*I1150/K1150,0.00000001)</f>
        <v>1.7155E-3</v>
      </c>
      <c r="H1150" s="158">
        <f>H70</f>
        <v>35</v>
      </c>
      <c r="I1150" s="159">
        <f>I1148</f>
        <v>0.47073209999999999</v>
      </c>
      <c r="J1150" s="160"/>
      <c r="K1150" s="161">
        <f>K1148</f>
        <v>9604</v>
      </c>
      <c r="L1150" s="250">
        <v>1</v>
      </c>
      <c r="M1150" s="163" t="str">
        <f>CONCATENATE(H1150," ",F1150,"*",I1150,"/",K1150,"чел.")</f>
        <v>35 замеров*0,4707321/9604чел.</v>
      </c>
      <c r="N1150" s="164">
        <f t="shared" si="253"/>
        <v>20142.857142857141</v>
      </c>
      <c r="O1150" s="165">
        <f t="shared" si="251"/>
        <v>34.555070999999998</v>
      </c>
      <c r="P1150" s="166"/>
      <c r="Q1150" s="166">
        <f t="shared" si="244"/>
        <v>331866.90188399999</v>
      </c>
      <c r="R1150" s="71"/>
    </row>
    <row r="1151" spans="1:41" s="61" customFormat="1" ht="47.25" x14ac:dyDescent="0.25">
      <c r="A1151" s="358"/>
      <c r="B1151" s="361"/>
      <c r="C1151" s="366"/>
      <c r="D1151" s="156" t="s">
        <v>399</v>
      </c>
      <c r="E1151" s="156" t="s">
        <v>60</v>
      </c>
      <c r="F1151" s="156" t="s">
        <v>60</v>
      </c>
      <c r="G1151" s="238">
        <f>MROUND(H1151*L1151*I1151/K1151,0.000000001)</f>
        <v>1.715496E-2</v>
      </c>
      <c r="H1151" s="158">
        <f>H551</f>
        <v>35</v>
      </c>
      <c r="I1151" s="159">
        <f t="shared" si="246"/>
        <v>0.47073209999999999</v>
      </c>
      <c r="J1151" s="160"/>
      <c r="K1151" s="161">
        <f>K1150</f>
        <v>9604</v>
      </c>
      <c r="L1151" s="250">
        <v>10</v>
      </c>
      <c r="M1151" s="163" t="str">
        <f>CONCATENATE(H1151," ",F1151,"*",L1151,"мес.","*",I1151,"/",K1151,"чел.")</f>
        <v>35 шт.*10мес.*0,4707321/9604чел.</v>
      </c>
      <c r="N1151" s="164">
        <f>N551</f>
        <v>3107.903028571428</v>
      </c>
      <c r="O1151" s="165">
        <f t="shared" si="251"/>
        <v>53.315951999999996</v>
      </c>
      <c r="P1151" s="166"/>
      <c r="Q1151" s="166">
        <f t="shared" si="244"/>
        <v>512046.40300799994</v>
      </c>
      <c r="R1151" s="71"/>
    </row>
    <row r="1152" spans="1:41" s="61" customFormat="1" ht="47.25" x14ac:dyDescent="0.25">
      <c r="A1152" s="358"/>
      <c r="B1152" s="361"/>
      <c r="C1152" s="366"/>
      <c r="D1152" s="156" t="s">
        <v>36</v>
      </c>
      <c r="E1152" s="156" t="s">
        <v>31</v>
      </c>
      <c r="F1152" s="156" t="s">
        <v>224</v>
      </c>
      <c r="G1152" s="238">
        <f>MROUND(H1152*L1152*I1152/K1152,0.00000001)</f>
        <v>2.1174120000000001E-2</v>
      </c>
      <c r="H1152" s="158">
        <f>H432</f>
        <v>36</v>
      </c>
      <c r="I1152" s="159">
        <f t="shared" si="246"/>
        <v>0.47073209999999999</v>
      </c>
      <c r="J1152" s="160"/>
      <c r="K1152" s="161">
        <f>K1151</f>
        <v>9604</v>
      </c>
      <c r="L1152" s="250">
        <v>12</v>
      </c>
      <c r="M1152" s="163" t="str">
        <f>CONCATENATE(H1152," ",F1152,"*",L1152,"мес.","*",I1152,"/",K1152,"чел.")</f>
        <v>36 устройств*12мес.*0,4707321/9604чел.</v>
      </c>
      <c r="N1152" s="164">
        <f>N72</f>
        <v>2200</v>
      </c>
      <c r="O1152" s="165">
        <f t="shared" si="251"/>
        <v>46.583064</v>
      </c>
      <c r="P1152" s="166"/>
      <c r="Q1152" s="166">
        <f t="shared" si="244"/>
        <v>447383.74665599997</v>
      </c>
      <c r="R1152" s="71"/>
    </row>
    <row r="1153" spans="1:18" s="61" customFormat="1" ht="31.5" x14ac:dyDescent="0.25">
      <c r="A1153" s="358"/>
      <c r="B1153" s="361"/>
      <c r="C1153" s="366"/>
      <c r="D1153" s="156" t="s">
        <v>99</v>
      </c>
      <c r="E1153" s="156" t="s">
        <v>103</v>
      </c>
      <c r="F1153" s="156" t="s">
        <v>225</v>
      </c>
      <c r="G1153" s="238">
        <f>MROUND(H1153*L1153*I1153/K1153,0.00000001)</f>
        <v>1.8625390000000002E-2</v>
      </c>
      <c r="H1153" s="158">
        <f>H73</f>
        <v>380</v>
      </c>
      <c r="I1153" s="159">
        <f t="shared" si="246"/>
        <v>0.47073209999999999</v>
      </c>
      <c r="J1153" s="160"/>
      <c r="K1153" s="161">
        <f>K1152</f>
        <v>9604</v>
      </c>
      <c r="L1153" s="250">
        <v>1</v>
      </c>
      <c r="M1153" s="163" t="str">
        <f>CONCATENATE(H1153," ",F1153,"*",I1153,"/",K1153,"чел.")</f>
        <v>380 ед.*0,4707321/9604чел.</v>
      </c>
      <c r="N1153" s="164">
        <f>N73</f>
        <v>15000</v>
      </c>
      <c r="O1153" s="165">
        <f t="shared" si="251"/>
        <v>279.38085000000001</v>
      </c>
      <c r="P1153" s="166"/>
      <c r="Q1153" s="166">
        <f t="shared" si="244"/>
        <v>2683173.6834</v>
      </c>
      <c r="R1153" s="71"/>
    </row>
    <row r="1154" spans="1:18" s="61" customFormat="1" x14ac:dyDescent="0.25">
      <c r="A1154" s="358"/>
      <c r="B1154" s="361"/>
      <c r="C1154" s="366"/>
      <c r="D1154" s="156" t="s">
        <v>27</v>
      </c>
      <c r="E1154" s="156" t="s">
        <v>28</v>
      </c>
      <c r="F1154" s="156" t="s">
        <v>28</v>
      </c>
      <c r="G1154" s="238">
        <f>MROUND(H1154*L1154*I1154/K1154,0.00000001)</f>
        <v>0.28011598999999998</v>
      </c>
      <c r="H1154" s="160">
        <f>H74</f>
        <v>5715</v>
      </c>
      <c r="I1154" s="159">
        <f t="shared" si="246"/>
        <v>0.47073209999999999</v>
      </c>
      <c r="J1154" s="160"/>
      <c r="K1154" s="161">
        <f>K1153</f>
        <v>9604</v>
      </c>
      <c r="L1154" s="250">
        <v>1</v>
      </c>
      <c r="M1154" s="163" t="str">
        <f>CONCATENATE(H1154," ",F1154,"*",I1154,"/",K1154,"чел.")</f>
        <v>5715 шт*0,4707321/9604чел.</v>
      </c>
      <c r="N1154" s="164">
        <f>N194</f>
        <v>400</v>
      </c>
      <c r="O1154" s="165">
        <f t="shared" si="251"/>
        <v>112.046396</v>
      </c>
      <c r="P1154" s="166"/>
      <c r="Q1154" s="166">
        <f t="shared" si="244"/>
        <v>1076093.5871840001</v>
      </c>
      <c r="R1154" s="71"/>
    </row>
    <row r="1155" spans="1:18" s="61" customFormat="1" ht="31.5" x14ac:dyDescent="0.25">
      <c r="A1155" s="358"/>
      <c r="B1155" s="361"/>
      <c r="C1155" s="367"/>
      <c r="D1155" s="156" t="s">
        <v>104</v>
      </c>
      <c r="E1155" s="156" t="s">
        <v>105</v>
      </c>
      <c r="F1155" s="156" t="s">
        <v>226</v>
      </c>
      <c r="G1155" s="238">
        <f>MROUND(H1155*L1155*I1155/K1155,0.00000001)</f>
        <v>1.76451E-3</v>
      </c>
      <c r="H1155" s="160">
        <f>H75</f>
        <v>36</v>
      </c>
      <c r="I1155" s="159">
        <f t="shared" si="246"/>
        <v>0.47073209999999999</v>
      </c>
      <c r="J1155" s="160"/>
      <c r="K1155" s="161">
        <f>K1154</f>
        <v>9604</v>
      </c>
      <c r="L1155" s="250">
        <v>1</v>
      </c>
      <c r="M1155" s="163" t="str">
        <f>CONCATENATE(H1155," ",F1155,"*",I1155,"/",K1155,"чел.")</f>
        <v>36 отключений*0,4707321/9604чел.</v>
      </c>
      <c r="N1155" s="164">
        <f>N75</f>
        <v>9810</v>
      </c>
      <c r="O1155" s="165">
        <f t="shared" si="251"/>
        <v>17.309843000000001</v>
      </c>
      <c r="P1155" s="166"/>
      <c r="Q1155" s="166">
        <f t="shared" si="244"/>
        <v>166243.73217200002</v>
      </c>
      <c r="R1155" s="71"/>
    </row>
    <row r="1156" spans="1:18" s="62" customFormat="1" x14ac:dyDescent="0.25">
      <c r="A1156" s="358"/>
      <c r="B1156" s="361"/>
      <c r="C1156" s="249" t="s">
        <v>292</v>
      </c>
      <c r="D1156" s="240"/>
      <c r="E1156" s="240"/>
      <c r="F1156" s="240"/>
      <c r="G1156" s="227"/>
      <c r="H1156" s="228"/>
      <c r="I1156" s="206"/>
      <c r="J1156" s="228"/>
      <c r="K1156" s="207"/>
      <c r="L1156" s="257"/>
      <c r="M1156" s="209"/>
      <c r="N1156" s="210"/>
      <c r="O1156" s="198">
        <f>SUM(O1140:O1155)</f>
        <v>734.55319003999989</v>
      </c>
      <c r="P1156" s="267"/>
      <c r="Q1156" s="166"/>
      <c r="R1156" s="71"/>
    </row>
    <row r="1157" spans="1:18" s="61" customFormat="1" ht="31.5" x14ac:dyDescent="0.25">
      <c r="A1157" s="358"/>
      <c r="B1157" s="361"/>
      <c r="C1157" s="221" t="s">
        <v>79</v>
      </c>
      <c r="D1157" s="156" t="s">
        <v>37</v>
      </c>
      <c r="E1157" s="156" t="s">
        <v>61</v>
      </c>
      <c r="F1157" s="156" t="s">
        <v>227</v>
      </c>
      <c r="G1157" s="238">
        <f>MROUND(H1157*L1157*I1157/K1157,0.000000001)</f>
        <v>1.9605700000000002E-4</v>
      </c>
      <c r="H1157" s="158">
        <f>H77</f>
        <v>4</v>
      </c>
      <c r="I1157" s="159">
        <f>I1155</f>
        <v>0.47073209999999999</v>
      </c>
      <c r="J1157" s="160"/>
      <c r="K1157" s="161">
        <f>K1155</f>
        <v>9604</v>
      </c>
      <c r="L1157" s="250">
        <v>1</v>
      </c>
      <c r="M1157" s="163" t="str">
        <f>CONCATENATE(H1157," ",F1157,"*",I1157,"/",K1157,"чел.")</f>
        <v>4 автобуса*0,4707321/9604чел.</v>
      </c>
      <c r="N1157" s="164">
        <f>N77</f>
        <v>93408.640000000014</v>
      </c>
      <c r="O1157" s="165">
        <f>MROUND(G1157*N1157,0.000001)</f>
        <v>18.313417999999999</v>
      </c>
      <c r="P1157" s="166"/>
      <c r="Q1157" s="166">
        <f t="shared" si="244"/>
        <v>175882.06647199998</v>
      </c>
      <c r="R1157" s="71"/>
    </row>
    <row r="1158" spans="1:18" s="62" customFormat="1" x14ac:dyDescent="0.25">
      <c r="A1158" s="358"/>
      <c r="B1158" s="361"/>
      <c r="C1158" s="218" t="s">
        <v>295</v>
      </c>
      <c r="D1158" s="240"/>
      <c r="E1158" s="240"/>
      <c r="F1158" s="240"/>
      <c r="G1158" s="227"/>
      <c r="H1158" s="241"/>
      <c r="I1158" s="206"/>
      <c r="J1158" s="228"/>
      <c r="K1158" s="207"/>
      <c r="L1158" s="257"/>
      <c r="M1158" s="209"/>
      <c r="N1158" s="210"/>
      <c r="O1158" s="198">
        <f>SUM(O1157)</f>
        <v>18.313417999999999</v>
      </c>
      <c r="P1158" s="267"/>
      <c r="Q1158" s="166"/>
      <c r="R1158" s="71"/>
    </row>
    <row r="1159" spans="1:18" s="61" customFormat="1" x14ac:dyDescent="0.25">
      <c r="A1159" s="358"/>
      <c r="B1159" s="361"/>
      <c r="C1159" s="364" t="s">
        <v>80</v>
      </c>
      <c r="D1159" s="156" t="s">
        <v>38</v>
      </c>
      <c r="E1159" s="156" t="s">
        <v>57</v>
      </c>
      <c r="F1159" s="156" t="s">
        <v>228</v>
      </c>
      <c r="G1159" s="238">
        <f>MROUND(H1159*L1159*I1159/K1159,0.0000000001)</f>
        <v>2.1174121900000002E-2</v>
      </c>
      <c r="H1159" s="158">
        <f>H79</f>
        <v>36</v>
      </c>
      <c r="I1159" s="159">
        <f>I1157</f>
        <v>0.47073209999999999</v>
      </c>
      <c r="J1159" s="160"/>
      <c r="K1159" s="161">
        <f>K1157</f>
        <v>9604</v>
      </c>
      <c r="L1159" s="250">
        <v>12</v>
      </c>
      <c r="M1159" s="163" t="str">
        <f>CONCATENATE(H1159," ",F1159,"*",L1159,"мес.","*",I1159,"/",K1159,"чел.")</f>
        <v>36 зданий*12мес.*0,4707321/9604чел.</v>
      </c>
      <c r="N1159" s="164">
        <f t="shared" ref="N1159:N1170" si="254">N79</f>
        <v>4694.6300000000019</v>
      </c>
      <c r="O1159" s="165">
        <f>MROUND(G1159*N1159,0.000001)</f>
        <v>99.404668000000001</v>
      </c>
      <c r="P1159" s="166"/>
      <c r="Q1159" s="166">
        <f t="shared" ref="Q1159:Q1223" si="255">O1159*K1159</f>
        <v>954682.43147199997</v>
      </c>
      <c r="R1159" s="71"/>
    </row>
    <row r="1160" spans="1:18" s="61" customFormat="1" ht="47.25" x14ac:dyDescent="0.25">
      <c r="A1160" s="358"/>
      <c r="B1160" s="361"/>
      <c r="C1160" s="364"/>
      <c r="D1160" s="156" t="s">
        <v>229</v>
      </c>
      <c r="E1160" s="156" t="s">
        <v>60</v>
      </c>
      <c r="F1160" s="156" t="s">
        <v>60</v>
      </c>
      <c r="G1160" s="238">
        <f>MROUND(H1160*L1160*I1160/K1160,0.000001)</f>
        <v>0.11734</v>
      </c>
      <c r="H1160" s="158">
        <f>H80</f>
        <v>2394</v>
      </c>
      <c r="I1160" s="159">
        <f>I1159</f>
        <v>0.47073209999999999</v>
      </c>
      <c r="J1160" s="160"/>
      <c r="K1160" s="161">
        <f>K1159</f>
        <v>9604</v>
      </c>
      <c r="L1160" s="250">
        <v>1</v>
      </c>
      <c r="M1160" s="163" t="str">
        <f t="shared" ref="M1160:M1167" si="256">CONCATENATE(H1160," ",F1160,"*",I1160,"/",K1160,"чел.")</f>
        <v>2394 шт.*0,4707321/9604чел.</v>
      </c>
      <c r="N1160" s="164">
        <f t="shared" si="254"/>
        <v>163.5</v>
      </c>
      <c r="O1160" s="165">
        <f>MROUND(G1160*N1160,0.000001)</f>
        <v>19.185089999999999</v>
      </c>
      <c r="P1160" s="166"/>
      <c r="Q1160" s="166">
        <f t="shared" si="255"/>
        <v>184253.60436</v>
      </c>
      <c r="R1160" s="71"/>
    </row>
    <row r="1161" spans="1:18" s="61" customFormat="1" ht="47.25" x14ac:dyDescent="0.25">
      <c r="A1161" s="358"/>
      <c r="B1161" s="361"/>
      <c r="C1161" s="364"/>
      <c r="D1161" s="156" t="s">
        <v>405</v>
      </c>
      <c r="E1161" s="156" t="s">
        <v>60</v>
      </c>
      <c r="F1161" s="156" t="s">
        <v>406</v>
      </c>
      <c r="G1161" s="238">
        <f>MROUND(H1161*L1161*I1161/K1161,0.00000001)</f>
        <v>1.76451E-3</v>
      </c>
      <c r="H1161" s="158">
        <f>H321</f>
        <v>36</v>
      </c>
      <c r="I1161" s="159">
        <f>I1160</f>
        <v>0.47073209999999999</v>
      </c>
      <c r="J1161" s="160"/>
      <c r="K1161" s="161">
        <f>K1160</f>
        <v>9604</v>
      </c>
      <c r="L1161" s="250">
        <v>1</v>
      </c>
      <c r="M1161" s="163" t="str">
        <f t="shared" si="256"/>
        <v>36 лицензий*0,4707321/9604чел.</v>
      </c>
      <c r="N1161" s="164">
        <f t="shared" si="254"/>
        <v>11990</v>
      </c>
      <c r="O1161" s="165">
        <f t="shared" ref="O1161:O1170" si="257">MROUND(G1161*N1161,0.000001)</f>
        <v>21.156475</v>
      </c>
      <c r="P1161" s="166"/>
      <c r="Q1161" s="166">
        <f t="shared" si="255"/>
        <v>203186.78590000002</v>
      </c>
      <c r="R1161" s="71"/>
    </row>
    <row r="1162" spans="1:18" s="61" customFormat="1" ht="63" x14ac:dyDescent="0.25">
      <c r="A1162" s="358"/>
      <c r="B1162" s="361"/>
      <c r="C1162" s="364"/>
      <c r="D1162" s="156" t="s">
        <v>39</v>
      </c>
      <c r="E1162" s="156" t="s">
        <v>20</v>
      </c>
      <c r="F1162" s="156" t="s">
        <v>234</v>
      </c>
      <c r="G1162" s="238">
        <f>MROUND(H1162*L1162*I1162/K1162,0.000000001)</f>
        <v>5.7836720000000001E-3</v>
      </c>
      <c r="H1162" s="158">
        <f>H682</f>
        <v>118</v>
      </c>
      <c r="I1162" s="159">
        <f>I1160</f>
        <v>0.47073209999999999</v>
      </c>
      <c r="J1162" s="160"/>
      <c r="K1162" s="161">
        <f>K1160</f>
        <v>9604</v>
      </c>
      <c r="L1162" s="250">
        <v>1</v>
      </c>
      <c r="M1162" s="163" t="str">
        <f t="shared" si="256"/>
        <v>118 чел(заявленная потребность руководителями учреждений)*0,4707321/9604чел.</v>
      </c>
      <c r="N1162" s="164">
        <f t="shared" si="254"/>
        <v>763</v>
      </c>
      <c r="O1162" s="165">
        <f t="shared" si="257"/>
        <v>4.4129420000000001</v>
      </c>
      <c r="P1162" s="166"/>
      <c r="Q1162" s="166">
        <f t="shared" si="255"/>
        <v>42381.894968000001</v>
      </c>
      <c r="R1162" s="71"/>
    </row>
    <row r="1163" spans="1:18" s="61" customFormat="1" ht="63" x14ac:dyDescent="0.25">
      <c r="A1163" s="358"/>
      <c r="B1163" s="361"/>
      <c r="C1163" s="364"/>
      <c r="D1163" s="156" t="s">
        <v>40</v>
      </c>
      <c r="E1163" s="156" t="s">
        <v>20</v>
      </c>
      <c r="F1163" s="156" t="s">
        <v>234</v>
      </c>
      <c r="G1163" s="238">
        <f>MROUND(H1163*L1163*I1163/K1163,0.000000001)</f>
        <v>4.8524029999999999E-3</v>
      </c>
      <c r="H1163" s="158">
        <f>H683</f>
        <v>99</v>
      </c>
      <c r="I1163" s="159">
        <f t="shared" ref="I1163:I1170" si="258">I1162</f>
        <v>0.47073209999999999</v>
      </c>
      <c r="J1163" s="160"/>
      <c r="K1163" s="161">
        <f t="shared" ref="K1163:K1170" si="259">K1162</f>
        <v>9604</v>
      </c>
      <c r="L1163" s="250">
        <v>1</v>
      </c>
      <c r="M1163" s="163" t="str">
        <f t="shared" si="256"/>
        <v>99 чел(заявленная потребность руководителями учреждений)*0,4707321/9604чел.</v>
      </c>
      <c r="N1163" s="164">
        <f t="shared" si="254"/>
        <v>1585.4545454545455</v>
      </c>
      <c r="O1163" s="165">
        <f t="shared" si="257"/>
        <v>7.6932639999999992</v>
      </c>
      <c r="P1163" s="166"/>
      <c r="Q1163" s="166">
        <f t="shared" si="255"/>
        <v>73886.107455999998</v>
      </c>
      <c r="R1163" s="71"/>
    </row>
    <row r="1164" spans="1:18" s="61" customFormat="1" ht="63" x14ac:dyDescent="0.25">
      <c r="A1164" s="358"/>
      <c r="B1164" s="361"/>
      <c r="C1164" s="364"/>
      <c r="D1164" s="156" t="s">
        <v>100</v>
      </c>
      <c r="E1164" s="156" t="s">
        <v>20</v>
      </c>
      <c r="F1164" s="156" t="s">
        <v>234</v>
      </c>
      <c r="G1164" s="238">
        <f>MROUND(H1164*L1164*I1164/K1164,0.0000000001)</f>
        <v>3.9701479000000001E-3</v>
      </c>
      <c r="H1164" s="158">
        <f>H684</f>
        <v>81</v>
      </c>
      <c r="I1164" s="159">
        <f t="shared" si="258"/>
        <v>0.47073209999999999</v>
      </c>
      <c r="J1164" s="160"/>
      <c r="K1164" s="161">
        <f t="shared" si="259"/>
        <v>9604</v>
      </c>
      <c r="L1164" s="250">
        <v>1</v>
      </c>
      <c r="M1164" s="163" t="str">
        <f t="shared" si="256"/>
        <v>81 чел(заявленная потребность руководителями учреждений)*0,4707321/9604чел.</v>
      </c>
      <c r="N1164" s="164">
        <f t="shared" si="254"/>
        <v>3488</v>
      </c>
      <c r="O1164" s="165">
        <f t="shared" si="257"/>
        <v>13.847875999999999</v>
      </c>
      <c r="P1164" s="166"/>
      <c r="Q1164" s="166">
        <f t="shared" si="255"/>
        <v>132995.001104</v>
      </c>
      <c r="R1164" s="71"/>
    </row>
    <row r="1165" spans="1:18" s="61" customFormat="1" ht="110.25" x14ac:dyDescent="0.25">
      <c r="A1165" s="358"/>
      <c r="B1165" s="361"/>
      <c r="C1165" s="364"/>
      <c r="D1165" s="156" t="s">
        <v>235</v>
      </c>
      <c r="E1165" s="156" t="s">
        <v>50</v>
      </c>
      <c r="F1165" s="156" t="s">
        <v>230</v>
      </c>
      <c r="G1165" s="238">
        <f>MROUND(H1165*L1165*I1165/K1165,0.00000001)</f>
        <v>1.76451E-3</v>
      </c>
      <c r="H1165" s="158">
        <f>H925</f>
        <v>36</v>
      </c>
      <c r="I1165" s="159">
        <f t="shared" si="258"/>
        <v>0.47073209999999999</v>
      </c>
      <c r="J1165" s="160"/>
      <c r="K1165" s="161">
        <f t="shared" si="259"/>
        <v>9604</v>
      </c>
      <c r="L1165" s="250">
        <v>1</v>
      </c>
      <c r="M1165" s="163" t="str">
        <f t="shared" si="256"/>
        <v>36 отчетов*0,4707321/9604чел.</v>
      </c>
      <c r="N1165" s="164">
        <f t="shared" si="254"/>
        <v>6540</v>
      </c>
      <c r="O1165" s="165">
        <f t="shared" si="257"/>
        <v>11.539895</v>
      </c>
      <c r="P1165" s="166"/>
      <c r="Q1165" s="166">
        <f t="shared" si="255"/>
        <v>110829.15157999999</v>
      </c>
      <c r="R1165" s="71"/>
    </row>
    <row r="1166" spans="1:18" s="61" customFormat="1" ht="63" x14ac:dyDescent="0.25">
      <c r="A1166" s="358"/>
      <c r="B1166" s="361"/>
      <c r="C1166" s="364"/>
      <c r="D1166" s="156" t="s">
        <v>42</v>
      </c>
      <c r="E1166" s="156" t="s">
        <v>51</v>
      </c>
      <c r="F1166" s="156" t="s">
        <v>407</v>
      </c>
      <c r="G1166" s="238">
        <f>MROUND(H1166*L1166*I1166/K1166,0.000001)</f>
        <v>9.9989999999999992E-3</v>
      </c>
      <c r="H1166" s="158">
        <f>H686</f>
        <v>204</v>
      </c>
      <c r="I1166" s="159">
        <f t="shared" si="258"/>
        <v>0.47073209999999999</v>
      </c>
      <c r="J1166" s="160"/>
      <c r="K1166" s="161">
        <f t="shared" si="259"/>
        <v>9604</v>
      </c>
      <c r="L1166" s="250">
        <v>1</v>
      </c>
      <c r="M1166" s="163" t="str">
        <f t="shared" si="256"/>
        <v>204 ед (заявленная потребность руководителями учреждений)*0,4707321/9604чел.</v>
      </c>
      <c r="N1166" s="164">
        <f t="shared" si="254"/>
        <v>1090</v>
      </c>
      <c r="O1166" s="165">
        <f t="shared" si="257"/>
        <v>10.898909999999999</v>
      </c>
      <c r="P1166" s="166"/>
      <c r="Q1166" s="166">
        <f t="shared" si="255"/>
        <v>104673.13163999999</v>
      </c>
      <c r="R1166" s="71"/>
    </row>
    <row r="1167" spans="1:18" s="61" customFormat="1" ht="31.5" x14ac:dyDescent="0.25">
      <c r="A1167" s="358"/>
      <c r="B1167" s="361"/>
      <c r="C1167" s="364"/>
      <c r="D1167" s="156" t="s">
        <v>43</v>
      </c>
      <c r="E1167" s="156" t="s">
        <v>52</v>
      </c>
      <c r="F1167" s="156" t="s">
        <v>231</v>
      </c>
      <c r="G1167" s="238">
        <f>MROUND(H1167*L1167*I1167/K1167,0.000000001)</f>
        <v>1.7645100000000002E-3</v>
      </c>
      <c r="H1167" s="158">
        <f>H87</f>
        <v>36</v>
      </c>
      <c r="I1167" s="159">
        <f t="shared" si="258"/>
        <v>0.47073209999999999</v>
      </c>
      <c r="J1167" s="160"/>
      <c r="K1167" s="161">
        <f t="shared" si="259"/>
        <v>9604</v>
      </c>
      <c r="L1167" s="250">
        <v>1</v>
      </c>
      <c r="M1167" s="163" t="str">
        <f t="shared" si="256"/>
        <v>36 ЭЦП*0,4707321/9604чел.</v>
      </c>
      <c r="N1167" s="164">
        <f t="shared" si="254"/>
        <v>7743.3599999999924</v>
      </c>
      <c r="O1167" s="165">
        <f t="shared" si="257"/>
        <v>13.663235999999999</v>
      </c>
      <c r="P1167" s="166"/>
      <c r="Q1167" s="166">
        <f t="shared" si="255"/>
        <v>131221.718544</v>
      </c>
      <c r="R1167" s="71"/>
    </row>
    <row r="1168" spans="1:18" s="61" customFormat="1" ht="47.25" x14ac:dyDescent="0.25">
      <c r="A1168" s="358"/>
      <c r="B1168" s="361"/>
      <c r="C1168" s="364"/>
      <c r="D1168" s="156" t="s">
        <v>44</v>
      </c>
      <c r="E1168" s="156" t="s">
        <v>85</v>
      </c>
      <c r="F1168" s="156" t="s">
        <v>232</v>
      </c>
      <c r="G1168" s="238">
        <f>MROUND(H1168*L1168*I1168/K1168,0.000001)</f>
        <v>5.9600999999999994E-2</v>
      </c>
      <c r="H1168" s="158">
        <f>H88</f>
        <v>1216</v>
      </c>
      <c r="I1168" s="159">
        <f t="shared" si="258"/>
        <v>0.47073209999999999</v>
      </c>
      <c r="J1168" s="160"/>
      <c r="K1168" s="161">
        <f t="shared" si="259"/>
        <v>9604</v>
      </c>
      <c r="L1168" s="250">
        <v>1</v>
      </c>
      <c r="M1168" s="163" t="str">
        <f>CONCATENATE(H1168," ",F1168,"*",L1168,"мес.","*",I1168,"/",K1168,"чел.")</f>
        <v>1216 мед.осмотров в мес.*1мес.*0,4707321/9604чел.</v>
      </c>
      <c r="N1168" s="164">
        <f t="shared" si="254"/>
        <v>56.680000000000007</v>
      </c>
      <c r="O1168" s="165">
        <f t="shared" si="257"/>
        <v>3.3781849999999998</v>
      </c>
      <c r="P1168" s="166"/>
      <c r="Q1168" s="166">
        <f t="shared" si="255"/>
        <v>32444.088739999999</v>
      </c>
      <c r="R1168" s="71"/>
    </row>
    <row r="1169" spans="1:18" s="61" customFormat="1" ht="63" x14ac:dyDescent="0.25">
      <c r="A1169" s="358"/>
      <c r="B1169" s="361"/>
      <c r="C1169" s="364"/>
      <c r="D1169" s="156" t="s">
        <v>45</v>
      </c>
      <c r="E1169" s="156" t="s">
        <v>53</v>
      </c>
      <c r="F1169" s="156" t="s">
        <v>233</v>
      </c>
      <c r="G1169" s="238">
        <f>MROUND(H1169*L1169*I1169/K1169,0.000000001)</f>
        <v>2.3526800000000002E-3</v>
      </c>
      <c r="H1169" s="158">
        <f>H689</f>
        <v>4</v>
      </c>
      <c r="I1169" s="159">
        <f t="shared" si="258"/>
        <v>0.47073209999999999</v>
      </c>
      <c r="J1169" s="160"/>
      <c r="K1169" s="161">
        <f t="shared" si="259"/>
        <v>9604</v>
      </c>
      <c r="L1169" s="250">
        <v>12</v>
      </c>
      <c r="M1169" s="163" t="str">
        <f>CONCATENATE(H1169," ",F1169,"*",L1169,"мес.","*",I1169,"/",K1169,"чел.")</f>
        <v>4  машины, оборудованных системой ГЛОНАСС*12мес.*0,4707321/9604чел.</v>
      </c>
      <c r="N1169" s="164">
        <f t="shared" si="254"/>
        <v>880.71999999999991</v>
      </c>
      <c r="O1169" s="165">
        <f t="shared" si="257"/>
        <v>2.0720519999999998</v>
      </c>
      <c r="P1169" s="166"/>
      <c r="Q1169" s="166">
        <f t="shared" si="255"/>
        <v>19899.987407999997</v>
      </c>
      <c r="R1169" s="71"/>
    </row>
    <row r="1170" spans="1:18" s="61" customFormat="1" ht="31.5" x14ac:dyDescent="0.25">
      <c r="A1170" s="358"/>
      <c r="B1170" s="361"/>
      <c r="C1170" s="364"/>
      <c r="D1170" s="156" t="s">
        <v>408</v>
      </c>
      <c r="E1170" s="156" t="s">
        <v>20</v>
      </c>
      <c r="F1170" s="156" t="s">
        <v>20</v>
      </c>
      <c r="G1170" s="238">
        <f>MROUND(H1170*L1170*I1170/K1170,0.000000001)</f>
        <v>8.3912261000000002E-2</v>
      </c>
      <c r="H1170" s="158">
        <f>H90</f>
        <v>1712</v>
      </c>
      <c r="I1170" s="159">
        <f t="shared" si="258"/>
        <v>0.47073209999999999</v>
      </c>
      <c r="J1170" s="160"/>
      <c r="K1170" s="161">
        <f t="shared" si="259"/>
        <v>9604</v>
      </c>
      <c r="L1170" s="250">
        <v>1</v>
      </c>
      <c r="M1170" s="163" t="str">
        <f>CONCATENATE(H1170," ",F1170,"*",L1170," раз в год","*",I1170,"/",K1170,"чел.")</f>
        <v>1712 чел.*1 раз в год*0,4707321/9604чел.</v>
      </c>
      <c r="N1170" s="164">
        <f t="shared" si="254"/>
        <v>545</v>
      </c>
      <c r="O1170" s="165">
        <f t="shared" si="257"/>
        <v>45.732181999999995</v>
      </c>
      <c r="P1170" s="166"/>
      <c r="Q1170" s="166">
        <f t="shared" si="255"/>
        <v>439211.87592799996</v>
      </c>
      <c r="R1170" s="71"/>
    </row>
    <row r="1171" spans="1:18" s="61" customFormat="1" x14ac:dyDescent="0.25">
      <c r="A1171" s="358"/>
      <c r="B1171" s="361"/>
      <c r="C1171" s="364"/>
      <c r="D1171" s="156" t="s">
        <v>373</v>
      </c>
      <c r="E1171" s="156" t="s">
        <v>28</v>
      </c>
      <c r="F1171" s="156" t="s">
        <v>28</v>
      </c>
      <c r="G1171" s="157">
        <f>MROUND(H1171*L1171*I1171/K1171,0.000000001)</f>
        <v>1.7645100000000002E-3</v>
      </c>
      <c r="H1171" s="158">
        <f>H92</f>
        <v>36</v>
      </c>
      <c r="I1171" s="159">
        <f>I1169</f>
        <v>0.47073209999999999</v>
      </c>
      <c r="J1171" s="160"/>
      <c r="K1171" s="161">
        <f>K1169</f>
        <v>9604</v>
      </c>
      <c r="L1171" s="162">
        <v>1</v>
      </c>
      <c r="M1171" s="163" t="str">
        <f>CONCATENATE(H1171," ",F1171,"*",L1171,"мес.","*",I1171,"/",K1171,"чел.")</f>
        <v>36 шт*1мес.*0,4707321/9604чел.</v>
      </c>
      <c r="N1171" s="164">
        <f>N92</f>
        <v>24000</v>
      </c>
      <c r="O1171" s="165">
        <f>MROUND(G1171*N1171,0.000000001)</f>
        <v>42.348240000000004</v>
      </c>
      <c r="P1171" s="166"/>
      <c r="Q1171" s="166">
        <f t="shared" si="255"/>
        <v>406712.49696000002</v>
      </c>
      <c r="R1171" s="71"/>
    </row>
    <row r="1172" spans="1:18" s="61" customFormat="1" ht="31.5" x14ac:dyDescent="0.25">
      <c r="A1172" s="358"/>
      <c r="B1172" s="361"/>
      <c r="C1172" s="364"/>
      <c r="D1172" s="156" t="s">
        <v>106</v>
      </c>
      <c r="E1172" s="156" t="s">
        <v>107</v>
      </c>
      <c r="F1172" s="156"/>
      <c r="G1172" s="238">
        <f>MROUND(H1172*L1172*I1172/K1172,0.000000001)</f>
        <v>0</v>
      </c>
      <c r="H1172" s="158">
        <f>H91</f>
        <v>0</v>
      </c>
      <c r="I1172" s="159">
        <f>I1169</f>
        <v>0.47073209999999999</v>
      </c>
      <c r="J1172" s="160"/>
      <c r="K1172" s="161">
        <f>K1169</f>
        <v>9604</v>
      </c>
      <c r="L1172" s="250">
        <f>L91</f>
        <v>0</v>
      </c>
      <c r="M1172" s="163"/>
      <c r="N1172" s="164">
        <f>N91</f>
        <v>1256.0400600000007</v>
      </c>
      <c r="O1172" s="165">
        <f>MROUND(G1172*N1172,0.000000001)</f>
        <v>0</v>
      </c>
      <c r="P1172" s="166"/>
      <c r="Q1172" s="166">
        <f t="shared" si="255"/>
        <v>0</v>
      </c>
      <c r="R1172" s="71"/>
    </row>
    <row r="1173" spans="1:18" s="62" customFormat="1" x14ac:dyDescent="0.25">
      <c r="A1173" s="358"/>
      <c r="B1173" s="361"/>
      <c r="C1173" s="245" t="s">
        <v>296</v>
      </c>
      <c r="D1173" s="240"/>
      <c r="E1173" s="240"/>
      <c r="F1173" s="240"/>
      <c r="G1173" s="227"/>
      <c r="H1173" s="241"/>
      <c r="I1173" s="206"/>
      <c r="J1173" s="228"/>
      <c r="K1173" s="207"/>
      <c r="L1173" s="257"/>
      <c r="M1173" s="209"/>
      <c r="N1173" s="210"/>
      <c r="O1173" s="198">
        <f>SUM(O1159:O1172)</f>
        <v>295.33301500000005</v>
      </c>
      <c r="P1173" s="267"/>
      <c r="Q1173" s="166"/>
      <c r="R1173" s="71"/>
    </row>
    <row r="1174" spans="1:18" s="61" customFormat="1" ht="31.5" x14ac:dyDescent="0.25">
      <c r="A1174" s="358"/>
      <c r="B1174" s="361"/>
      <c r="C1174" s="252" t="s">
        <v>237</v>
      </c>
      <c r="D1174" s="156" t="s">
        <v>41</v>
      </c>
      <c r="E1174" s="156" t="s">
        <v>61</v>
      </c>
      <c r="F1174" s="156" t="s">
        <v>227</v>
      </c>
      <c r="G1174" s="238">
        <f>MROUND(H1174*L1174*I1174/K1174,0.000000001)</f>
        <v>1.9605700000000002E-4</v>
      </c>
      <c r="H1174" s="158">
        <f>H94</f>
        <v>4</v>
      </c>
      <c r="I1174" s="159">
        <f>I1172</f>
        <v>0.47073209999999999</v>
      </c>
      <c r="J1174" s="160"/>
      <c r="K1174" s="161">
        <f>K1172</f>
        <v>9604</v>
      </c>
      <c r="L1174" s="250">
        <v>1</v>
      </c>
      <c r="M1174" s="163" t="str">
        <f>CONCATENATE(H1174," ",F1174,"*",I1174,"/",K1174,"чел.")</f>
        <v>4 автобуса*0,4707321/9604чел.</v>
      </c>
      <c r="N1174" s="164">
        <f>N94</f>
        <v>25724</v>
      </c>
      <c r="O1174" s="165">
        <f>MROUND(G1174*N1174,0.000001)</f>
        <v>5.0433699999999995</v>
      </c>
      <c r="P1174" s="166"/>
      <c r="Q1174" s="166">
        <f t="shared" si="255"/>
        <v>48436.525479999997</v>
      </c>
      <c r="R1174" s="71"/>
    </row>
    <row r="1175" spans="1:18" s="62" customFormat="1" x14ac:dyDescent="0.25">
      <c r="A1175" s="358"/>
      <c r="B1175" s="361"/>
      <c r="C1175" s="245" t="s">
        <v>297</v>
      </c>
      <c r="D1175" s="240"/>
      <c r="E1175" s="240"/>
      <c r="F1175" s="240"/>
      <c r="G1175" s="227"/>
      <c r="H1175" s="241"/>
      <c r="I1175" s="206"/>
      <c r="J1175" s="228"/>
      <c r="K1175" s="207"/>
      <c r="L1175" s="257"/>
      <c r="M1175" s="209"/>
      <c r="N1175" s="210"/>
      <c r="O1175" s="198">
        <f>SUM(O1174)</f>
        <v>5.0433699999999995</v>
      </c>
      <c r="P1175" s="267"/>
      <c r="Q1175" s="166"/>
      <c r="R1175" s="71"/>
    </row>
    <row r="1176" spans="1:18" s="61" customFormat="1" ht="78.75" x14ac:dyDescent="0.25">
      <c r="A1176" s="358"/>
      <c r="B1176" s="361"/>
      <c r="C1176" s="221" t="s">
        <v>236</v>
      </c>
      <c r="D1176" s="156" t="s">
        <v>19</v>
      </c>
      <c r="E1176" s="181" t="s">
        <v>20</v>
      </c>
      <c r="F1176" s="181" t="s">
        <v>238</v>
      </c>
      <c r="G1176" s="238">
        <f>MROUND(H1176*L1176*I1176/K1176,0.000001)</f>
        <v>0</v>
      </c>
      <c r="H1176" s="158"/>
      <c r="I1176" s="159">
        <f>I1172</f>
        <v>0.47073209999999999</v>
      </c>
      <c r="J1176" s="160"/>
      <c r="K1176" s="161">
        <f>K1172</f>
        <v>9604</v>
      </c>
      <c r="L1176" s="250"/>
      <c r="M1176" s="163"/>
      <c r="N1176" s="164"/>
      <c r="O1176" s="165">
        <f>MROUND(G1176*N1176,0.000001)</f>
        <v>0</v>
      </c>
      <c r="P1176" s="166"/>
      <c r="Q1176" s="166">
        <f t="shared" si="255"/>
        <v>0</v>
      </c>
      <c r="R1176" s="71"/>
    </row>
    <row r="1177" spans="1:18" s="62" customFormat="1" x14ac:dyDescent="0.25">
      <c r="A1177" s="358"/>
      <c r="B1177" s="361"/>
      <c r="C1177" s="245" t="s">
        <v>298</v>
      </c>
      <c r="D1177" s="240"/>
      <c r="E1177" s="253"/>
      <c r="F1177" s="253"/>
      <c r="G1177" s="227"/>
      <c r="H1177" s="241"/>
      <c r="I1177" s="206"/>
      <c r="J1177" s="228"/>
      <c r="K1177" s="207"/>
      <c r="L1177" s="257"/>
      <c r="M1177" s="209"/>
      <c r="N1177" s="210"/>
      <c r="O1177" s="198">
        <f>SUM(O1176)</f>
        <v>0</v>
      </c>
      <c r="P1177" s="267"/>
      <c r="Q1177" s="166"/>
      <c r="R1177" s="71"/>
    </row>
    <row r="1178" spans="1:18" s="61" customFormat="1" ht="30" x14ac:dyDescent="0.25">
      <c r="A1178" s="358"/>
      <c r="B1178" s="361"/>
      <c r="C1178" s="365" t="s">
        <v>81</v>
      </c>
      <c r="D1178" s="254" t="s">
        <v>410</v>
      </c>
      <c r="E1178" s="156" t="s">
        <v>28</v>
      </c>
      <c r="F1178" s="156" t="s">
        <v>28</v>
      </c>
      <c r="G1178" s="238">
        <f>MROUND(H1178*L1178*I1178/K1178,0.0000000001)</f>
        <v>3.4309919999999999E-4</v>
      </c>
      <c r="H1178" s="158">
        <f>H98</f>
        <v>7</v>
      </c>
      <c r="I1178" s="159">
        <f>I1172</f>
        <v>0.47073209999999999</v>
      </c>
      <c r="J1178" s="160"/>
      <c r="K1178" s="161">
        <f>K1172</f>
        <v>9604</v>
      </c>
      <c r="L1178" s="250">
        <v>1</v>
      </c>
      <c r="M1178" s="163" t="str">
        <f>CONCATENATE(H1178," ",F1178,"*",I1178,"/",K1178,"чел.")</f>
        <v>7 шт*0,4707321/9604чел.</v>
      </c>
      <c r="N1178" s="164">
        <f>N98</f>
        <v>152142.85714285713</v>
      </c>
      <c r="O1178" s="165">
        <f>MROUND(G1178*N1178,0.000001)</f>
        <v>52.200092999999995</v>
      </c>
      <c r="P1178" s="166"/>
      <c r="Q1178" s="166">
        <f t="shared" si="255"/>
        <v>501329.69317199994</v>
      </c>
      <c r="R1178" s="71"/>
    </row>
    <row r="1179" spans="1:18" s="61" customFormat="1" x14ac:dyDescent="0.25">
      <c r="A1179" s="358"/>
      <c r="B1179" s="361"/>
      <c r="C1179" s="366"/>
      <c r="D1179" s="254" t="s">
        <v>325</v>
      </c>
      <c r="E1179" s="156" t="s">
        <v>28</v>
      </c>
      <c r="F1179" s="156" t="s">
        <v>28</v>
      </c>
      <c r="G1179" s="157">
        <f>MROUND(H1179*L1179*I1179/K1179,0.0000000001)</f>
        <v>1.1273259000000001E-3</v>
      </c>
      <c r="H1179" s="158">
        <f>$H$99</f>
        <v>23</v>
      </c>
      <c r="I1179" s="159">
        <f>I1178</f>
        <v>0.47073209999999999</v>
      </c>
      <c r="J1179" s="160"/>
      <c r="K1179" s="161">
        <f>K1178</f>
        <v>9604</v>
      </c>
      <c r="L1179" s="250">
        <v>1</v>
      </c>
      <c r="M1179" s="163" t="str">
        <f>CONCATENATE(H1179," ",F1179,"*",I1179,"/",K1179,"чел.")</f>
        <v>23 шт*0,4707321/9604чел.</v>
      </c>
      <c r="N1179" s="164">
        <f>$N$99</f>
        <v>229039.13043478262</v>
      </c>
      <c r="O1179" s="165">
        <f>MROUND(G1179*N1179,0.000001)</f>
        <v>258.20174399999996</v>
      </c>
      <c r="P1179" s="166"/>
      <c r="Q1179" s="166">
        <f t="shared" si="255"/>
        <v>2479769.5493759997</v>
      </c>
      <c r="R1179" s="71"/>
    </row>
    <row r="1180" spans="1:18" s="61" customFormat="1" ht="30" x14ac:dyDescent="0.25">
      <c r="A1180" s="358"/>
      <c r="B1180" s="361"/>
      <c r="C1180" s="366"/>
      <c r="D1180" s="254" t="s">
        <v>411</v>
      </c>
      <c r="E1180" s="156" t="s">
        <v>28</v>
      </c>
      <c r="F1180" s="156" t="s">
        <v>28</v>
      </c>
      <c r="G1180" s="238">
        <f>MROUND(H1180*L1180*I1180/K1180,0.00000001)</f>
        <v>3.4309999999999999E-4</v>
      </c>
      <c r="H1180" s="158">
        <f>$H$100</f>
        <v>7</v>
      </c>
      <c r="I1180" s="159">
        <f>I1178</f>
        <v>0.47073209999999999</v>
      </c>
      <c r="J1180" s="160"/>
      <c r="K1180" s="161">
        <f>K1178</f>
        <v>9604</v>
      </c>
      <c r="L1180" s="250">
        <v>1</v>
      </c>
      <c r="M1180" s="163" t="str">
        <f t="shared" ref="M1180:M1201" si="260">CONCATENATE(H1180," ",F1180,"*",I1180,"/",K1180,"чел.")</f>
        <v>7 шт*0,4707321/9604чел.</v>
      </c>
      <c r="N1180" s="164">
        <f t="shared" ref="N1180:N1194" si="261">N100</f>
        <v>82142.857142857145</v>
      </c>
      <c r="O1180" s="165">
        <f t="shared" ref="O1180:O1201" si="262">MROUND(G1180*N1180,0.000001)</f>
        <v>28.183214</v>
      </c>
      <c r="P1180" s="166"/>
      <c r="Q1180" s="166">
        <f t="shared" si="255"/>
        <v>270671.58725599997</v>
      </c>
      <c r="R1180" s="71"/>
    </row>
    <row r="1181" spans="1:18" s="61" customFormat="1" x14ac:dyDescent="0.25">
      <c r="A1181" s="358"/>
      <c r="B1181" s="361"/>
      <c r="C1181" s="366"/>
      <c r="D1181" s="255" t="s">
        <v>412</v>
      </c>
      <c r="E1181" s="156" t="s">
        <v>28</v>
      </c>
      <c r="F1181" s="156" t="s">
        <v>28</v>
      </c>
      <c r="G1181" s="238">
        <f>MROUND(H1181*L1181*I1181/K1181,0.00000001)</f>
        <v>1.7155E-3</v>
      </c>
      <c r="H1181" s="158">
        <f>$H$101</f>
        <v>35</v>
      </c>
      <c r="I1181" s="159">
        <f>I1180</f>
        <v>0.47073209999999999</v>
      </c>
      <c r="J1181" s="160"/>
      <c r="K1181" s="161">
        <f>K1180</f>
        <v>9604</v>
      </c>
      <c r="L1181" s="250">
        <v>1</v>
      </c>
      <c r="M1181" s="163" t="str">
        <f t="shared" si="260"/>
        <v>35 шт*0,4707321/9604чел.</v>
      </c>
      <c r="N1181" s="164">
        <f t="shared" si="261"/>
        <v>126114.97142857143</v>
      </c>
      <c r="O1181" s="165">
        <f t="shared" si="262"/>
        <v>216.350233</v>
      </c>
      <c r="P1181" s="166"/>
      <c r="Q1181" s="166">
        <f t="shared" si="255"/>
        <v>2077827.6377320001</v>
      </c>
      <c r="R1181" s="71"/>
    </row>
    <row r="1182" spans="1:18" s="61" customFormat="1" ht="31.5" x14ac:dyDescent="0.25">
      <c r="A1182" s="358"/>
      <c r="B1182" s="361"/>
      <c r="C1182" s="366"/>
      <c r="D1182" s="255" t="s">
        <v>413</v>
      </c>
      <c r="E1182" s="156" t="s">
        <v>28</v>
      </c>
      <c r="F1182" s="156" t="s">
        <v>28</v>
      </c>
      <c r="G1182" s="238">
        <f>MROUND(H1182*L1182*I1182/K1182,0.0000000001)</f>
        <v>7.3521260000000005E-4</v>
      </c>
      <c r="H1182" s="158">
        <f>H102</f>
        <v>15</v>
      </c>
      <c r="I1182" s="159">
        <f>I1181</f>
        <v>0.47073209999999999</v>
      </c>
      <c r="J1182" s="160"/>
      <c r="K1182" s="161">
        <f>K1181</f>
        <v>9604</v>
      </c>
      <c r="L1182" s="250">
        <v>1</v>
      </c>
      <c r="M1182" s="163" t="str">
        <f t="shared" si="260"/>
        <v>15 шт*0,4707321/9604чел.</v>
      </c>
      <c r="N1182" s="164">
        <f t="shared" si="261"/>
        <v>75333.333333333328</v>
      </c>
      <c r="O1182" s="165">
        <f t="shared" si="262"/>
        <v>55.386015999999998</v>
      </c>
      <c r="P1182" s="166"/>
      <c r="Q1182" s="166">
        <f t="shared" si="255"/>
        <v>531927.29766399995</v>
      </c>
      <c r="R1182" s="71"/>
    </row>
    <row r="1183" spans="1:18" s="61" customFormat="1" x14ac:dyDescent="0.25">
      <c r="A1183" s="358"/>
      <c r="B1183" s="361"/>
      <c r="C1183" s="366"/>
      <c r="D1183" s="254" t="s">
        <v>109</v>
      </c>
      <c r="E1183" s="156" t="s">
        <v>28</v>
      </c>
      <c r="F1183" s="156" t="s">
        <v>28</v>
      </c>
      <c r="G1183" s="238">
        <f>MROUND(H1183*L1183*I1183/K1183,0.0000000001)</f>
        <v>7.8422669999999998E-4</v>
      </c>
      <c r="H1183" s="158">
        <f>$H$103</f>
        <v>16</v>
      </c>
      <c r="I1183" s="159">
        <f>I1182</f>
        <v>0.47073209999999999</v>
      </c>
      <c r="J1183" s="160"/>
      <c r="K1183" s="161">
        <f>K1182</f>
        <v>9604</v>
      </c>
      <c r="L1183" s="250">
        <v>1</v>
      </c>
      <c r="M1183" s="163" t="str">
        <f t="shared" si="260"/>
        <v>16 шт*0,4707321/9604чел.</v>
      </c>
      <c r="N1183" s="164">
        <f t="shared" si="261"/>
        <v>169687.5</v>
      </c>
      <c r="O1183" s="165">
        <f t="shared" si="262"/>
        <v>133.07346799999999</v>
      </c>
      <c r="P1183" s="166"/>
      <c r="Q1183" s="166">
        <f t="shared" si="255"/>
        <v>1278037.5866719999</v>
      </c>
      <c r="R1183" s="71"/>
    </row>
    <row r="1184" spans="1:18" s="61" customFormat="1" x14ac:dyDescent="0.25">
      <c r="A1184" s="358"/>
      <c r="B1184" s="361"/>
      <c r="C1184" s="366"/>
      <c r="D1184" s="254" t="s">
        <v>414</v>
      </c>
      <c r="E1184" s="156" t="s">
        <v>28</v>
      </c>
      <c r="F1184" s="156" t="s">
        <v>28</v>
      </c>
      <c r="G1184" s="238">
        <f>MROUND(H1184*L1184*I1184/K1184,0.0000000001)</f>
        <v>4.4112750000000004E-4</v>
      </c>
      <c r="H1184" s="158">
        <f>$H$104</f>
        <v>9</v>
      </c>
      <c r="I1184" s="159">
        <f>I1182</f>
        <v>0.47073209999999999</v>
      </c>
      <c r="J1184" s="160"/>
      <c r="K1184" s="161">
        <f>K1182</f>
        <v>9604</v>
      </c>
      <c r="L1184" s="250">
        <v>1</v>
      </c>
      <c r="M1184" s="163" t="str">
        <f t="shared" si="260"/>
        <v>9 шт*0,4707321/9604чел.</v>
      </c>
      <c r="N1184" s="164">
        <f t="shared" si="261"/>
        <v>89333.333333333328</v>
      </c>
      <c r="O1184" s="165">
        <f t="shared" si="262"/>
        <v>39.407389999999999</v>
      </c>
      <c r="P1184" s="166"/>
      <c r="Q1184" s="166">
        <f t="shared" si="255"/>
        <v>378468.57355999999</v>
      </c>
      <c r="R1184" s="71"/>
    </row>
    <row r="1185" spans="1:18" s="61" customFormat="1" x14ac:dyDescent="0.25">
      <c r="A1185" s="358"/>
      <c r="B1185" s="361"/>
      <c r="C1185" s="366"/>
      <c r="D1185" s="254" t="s">
        <v>415</v>
      </c>
      <c r="E1185" s="156" t="s">
        <v>28</v>
      </c>
      <c r="F1185" s="156" t="s">
        <v>28</v>
      </c>
      <c r="G1185" s="238">
        <f>MROUND(H1185*L1185*I1185/K1185,0.00000001)</f>
        <v>5.3916000000000001E-4</v>
      </c>
      <c r="H1185" s="158">
        <f>$H$105</f>
        <v>11</v>
      </c>
      <c r="I1185" s="159">
        <f t="shared" ref="I1185:I1194" si="263">I1183</f>
        <v>0.47073209999999999</v>
      </c>
      <c r="J1185" s="160"/>
      <c r="K1185" s="161">
        <f t="shared" ref="K1185:K1194" si="264">K1183</f>
        <v>9604</v>
      </c>
      <c r="L1185" s="250">
        <v>1</v>
      </c>
      <c r="M1185" s="163" t="str">
        <f t="shared" si="260"/>
        <v>11 шт*0,4707321/9604чел.</v>
      </c>
      <c r="N1185" s="164">
        <f t="shared" si="261"/>
        <v>122181.81818181818</v>
      </c>
      <c r="O1185" s="165">
        <f t="shared" si="262"/>
        <v>65.875548999999992</v>
      </c>
      <c r="P1185" s="166"/>
      <c r="Q1185" s="166">
        <f t="shared" si="255"/>
        <v>632668.77259599988</v>
      </c>
      <c r="R1185" s="71"/>
    </row>
    <row r="1186" spans="1:18" s="61" customFormat="1" x14ac:dyDescent="0.25">
      <c r="A1186" s="358"/>
      <c r="B1186" s="361"/>
      <c r="C1186" s="366"/>
      <c r="D1186" s="254" t="s">
        <v>416</v>
      </c>
      <c r="E1186" s="156" t="s">
        <v>28</v>
      </c>
      <c r="F1186" s="156" t="s">
        <v>28</v>
      </c>
      <c r="G1186" s="238">
        <f>MROUND(H1186*L1186*I1186/K1186,0.000000001)</f>
        <v>9.8028299999999998E-4</v>
      </c>
      <c r="H1186" s="246">
        <f>$H$106</f>
        <v>20</v>
      </c>
      <c r="I1186" s="159">
        <f t="shared" si="263"/>
        <v>0.47073209999999999</v>
      </c>
      <c r="J1186" s="160"/>
      <c r="K1186" s="161">
        <f t="shared" si="264"/>
        <v>9604</v>
      </c>
      <c r="L1186" s="250">
        <v>1</v>
      </c>
      <c r="M1186" s="163" t="str">
        <f t="shared" si="260"/>
        <v>20 шт*0,4707321/9604чел.</v>
      </c>
      <c r="N1186" s="164">
        <f t="shared" si="261"/>
        <v>52500</v>
      </c>
      <c r="O1186" s="165">
        <f t="shared" si="262"/>
        <v>51.464858</v>
      </c>
      <c r="P1186" s="166"/>
      <c r="Q1186" s="166">
        <f t="shared" si="255"/>
        <v>494268.496232</v>
      </c>
      <c r="R1186" s="71"/>
    </row>
    <row r="1187" spans="1:18" s="61" customFormat="1" x14ac:dyDescent="0.25">
      <c r="A1187" s="358"/>
      <c r="B1187" s="361"/>
      <c r="C1187" s="366"/>
      <c r="D1187" s="254" t="s">
        <v>417</v>
      </c>
      <c r="E1187" s="156" t="s">
        <v>28</v>
      </c>
      <c r="F1187" s="156" t="s">
        <v>28</v>
      </c>
      <c r="G1187" s="238">
        <f>MROUND(H1187*L1187*I1187/K1187,0.00000001)</f>
        <v>8.3324000000000007E-4</v>
      </c>
      <c r="H1187" s="158">
        <f>$H$107</f>
        <v>17</v>
      </c>
      <c r="I1187" s="159">
        <f t="shared" si="263"/>
        <v>0.47073209999999999</v>
      </c>
      <c r="J1187" s="160"/>
      <c r="K1187" s="161">
        <f t="shared" si="264"/>
        <v>9604</v>
      </c>
      <c r="L1187" s="250">
        <v>1</v>
      </c>
      <c r="M1187" s="163" t="str">
        <f t="shared" si="260"/>
        <v>17 шт*0,4707321/9604чел.</v>
      </c>
      <c r="N1187" s="164">
        <f t="shared" si="261"/>
        <v>75000</v>
      </c>
      <c r="O1187" s="165">
        <f t="shared" si="262"/>
        <v>62.492999999999995</v>
      </c>
      <c r="P1187" s="166"/>
      <c r="Q1187" s="166">
        <f t="shared" si="255"/>
        <v>600182.772</v>
      </c>
      <c r="R1187" s="71"/>
    </row>
    <row r="1188" spans="1:18" s="61" customFormat="1" ht="30" x14ac:dyDescent="0.25">
      <c r="A1188" s="358"/>
      <c r="B1188" s="361"/>
      <c r="C1188" s="366"/>
      <c r="D1188" s="254" t="s">
        <v>418</v>
      </c>
      <c r="E1188" s="156" t="s">
        <v>28</v>
      </c>
      <c r="F1188" s="156" t="s">
        <v>28</v>
      </c>
      <c r="G1188" s="238">
        <f>MROUND(H1188*L1188*I1188/K1188,0.00000001)</f>
        <v>4.4113000000000003E-4</v>
      </c>
      <c r="H1188" s="158">
        <f>H108</f>
        <v>9</v>
      </c>
      <c r="I1188" s="159">
        <f t="shared" si="263"/>
        <v>0.47073209999999999</v>
      </c>
      <c r="J1188" s="160"/>
      <c r="K1188" s="161">
        <f t="shared" si="264"/>
        <v>9604</v>
      </c>
      <c r="L1188" s="250">
        <v>1</v>
      </c>
      <c r="M1188" s="163" t="str">
        <f t="shared" si="260"/>
        <v>9 шт*0,4707321/9604чел.</v>
      </c>
      <c r="N1188" s="164">
        <f t="shared" si="261"/>
        <v>66666.666666666672</v>
      </c>
      <c r="O1188" s="165">
        <f t="shared" si="262"/>
        <v>29.408666999999998</v>
      </c>
      <c r="P1188" s="166"/>
      <c r="Q1188" s="166">
        <f t="shared" si="255"/>
        <v>282440.83786799997</v>
      </c>
      <c r="R1188" s="71"/>
    </row>
    <row r="1189" spans="1:18" s="61" customFormat="1" x14ac:dyDescent="0.25">
      <c r="A1189" s="358"/>
      <c r="B1189" s="361"/>
      <c r="C1189" s="366"/>
      <c r="D1189" s="254" t="s">
        <v>324</v>
      </c>
      <c r="E1189" s="156" t="s">
        <v>28</v>
      </c>
      <c r="F1189" s="156" t="s">
        <v>28</v>
      </c>
      <c r="G1189" s="238">
        <f>MROUND(H1189*L1189*I1189/K1189,0.000000001)</f>
        <v>8.8225500000000008E-4</v>
      </c>
      <c r="H1189" s="158">
        <f>$H$109</f>
        <v>18</v>
      </c>
      <c r="I1189" s="159">
        <f t="shared" si="263"/>
        <v>0.47073209999999999</v>
      </c>
      <c r="J1189" s="160"/>
      <c r="K1189" s="161">
        <f t="shared" si="264"/>
        <v>9604</v>
      </c>
      <c r="L1189" s="250">
        <v>1</v>
      </c>
      <c r="M1189" s="163" t="str">
        <f t="shared" si="260"/>
        <v>18 шт*0,4707321/9604чел.</v>
      </c>
      <c r="N1189" s="164">
        <f t="shared" si="261"/>
        <v>365277.77777777775</v>
      </c>
      <c r="O1189" s="165">
        <f t="shared" si="262"/>
        <v>322.268146</v>
      </c>
      <c r="P1189" s="166"/>
      <c r="Q1189" s="166">
        <f t="shared" si="255"/>
        <v>3095063.2741840002</v>
      </c>
      <c r="R1189" s="71"/>
    </row>
    <row r="1190" spans="1:18" s="61" customFormat="1" x14ac:dyDescent="0.25">
      <c r="A1190" s="358"/>
      <c r="B1190" s="361"/>
      <c r="C1190" s="366"/>
      <c r="D1190" s="254" t="s">
        <v>419</v>
      </c>
      <c r="E1190" s="156" t="s">
        <v>28</v>
      </c>
      <c r="F1190" s="156" t="s">
        <v>28</v>
      </c>
      <c r="G1190" s="238">
        <f>MROUND(H1190*L1190*I1190/K1190,0.000000001)</f>
        <v>1.1763400000000001E-3</v>
      </c>
      <c r="H1190" s="246">
        <f>$H$110</f>
        <v>24</v>
      </c>
      <c r="I1190" s="159">
        <f t="shared" si="263"/>
        <v>0.47073209999999999</v>
      </c>
      <c r="J1190" s="160"/>
      <c r="K1190" s="161">
        <f t="shared" si="264"/>
        <v>9604</v>
      </c>
      <c r="L1190" s="250">
        <v>1</v>
      </c>
      <c r="M1190" s="163" t="str">
        <f t="shared" si="260"/>
        <v>24 шт*0,4707321/9604чел.</v>
      </c>
      <c r="N1190" s="164">
        <f t="shared" si="261"/>
        <v>32416.666666666668</v>
      </c>
      <c r="O1190" s="165">
        <f t="shared" si="262"/>
        <v>38.133021999999997</v>
      </c>
      <c r="P1190" s="166"/>
      <c r="Q1190" s="166">
        <f t="shared" si="255"/>
        <v>366229.54328799999</v>
      </c>
      <c r="R1190" s="71"/>
    </row>
    <row r="1191" spans="1:18" s="61" customFormat="1" x14ac:dyDescent="0.25">
      <c r="A1191" s="358"/>
      <c r="B1191" s="361"/>
      <c r="C1191" s="366"/>
      <c r="D1191" s="254" t="s">
        <v>420</v>
      </c>
      <c r="E1191" s="156" t="s">
        <v>28</v>
      </c>
      <c r="F1191" s="156" t="s">
        <v>28</v>
      </c>
      <c r="G1191" s="238">
        <f>MROUND(H1191*L1191*I1191/K1191,0.000000001)</f>
        <v>7.3521300000000008E-4</v>
      </c>
      <c r="H1191" s="158">
        <f>H111</f>
        <v>15</v>
      </c>
      <c r="I1191" s="159">
        <f t="shared" si="263"/>
        <v>0.47073209999999999</v>
      </c>
      <c r="J1191" s="160"/>
      <c r="K1191" s="161">
        <f t="shared" si="264"/>
        <v>9604</v>
      </c>
      <c r="L1191" s="250">
        <v>1</v>
      </c>
      <c r="M1191" s="163" t="str">
        <f t="shared" si="260"/>
        <v>15 шт*0,4707321/9604чел.</v>
      </c>
      <c r="N1191" s="164">
        <f t="shared" si="261"/>
        <v>127666.66666666667</v>
      </c>
      <c r="O1191" s="165">
        <f t="shared" si="262"/>
        <v>93.862192999999991</v>
      </c>
      <c r="P1191" s="166"/>
      <c r="Q1191" s="166">
        <f t="shared" si="255"/>
        <v>901452.50157199986</v>
      </c>
      <c r="R1191" s="71"/>
    </row>
    <row r="1192" spans="1:18" s="61" customFormat="1" x14ac:dyDescent="0.25">
      <c r="A1192" s="358"/>
      <c r="B1192" s="361"/>
      <c r="C1192" s="366"/>
      <c r="D1192" s="254" t="s">
        <v>421</v>
      </c>
      <c r="E1192" s="156" t="s">
        <v>28</v>
      </c>
      <c r="F1192" s="156" t="s">
        <v>28</v>
      </c>
      <c r="G1192" s="238">
        <f>MROUND(H1192*L1192*I1192/K1192,0.00000001)</f>
        <v>1.4214100000000001E-3</v>
      </c>
      <c r="H1192" s="158">
        <f>$H$112</f>
        <v>29</v>
      </c>
      <c r="I1192" s="159">
        <f t="shared" si="263"/>
        <v>0.47073209999999999</v>
      </c>
      <c r="J1192" s="160"/>
      <c r="K1192" s="161">
        <f t="shared" si="264"/>
        <v>9604</v>
      </c>
      <c r="L1192" s="250">
        <v>1</v>
      </c>
      <c r="M1192" s="163" t="str">
        <f t="shared" si="260"/>
        <v>29 шт*0,4707321/9604чел.</v>
      </c>
      <c r="N1192" s="164">
        <f t="shared" si="261"/>
        <v>13517.241379310344</v>
      </c>
      <c r="O1192" s="165">
        <f t="shared" si="262"/>
        <v>19.213542</v>
      </c>
      <c r="P1192" s="166"/>
      <c r="Q1192" s="166">
        <f t="shared" si="255"/>
        <v>184526.857368</v>
      </c>
      <c r="R1192" s="71"/>
    </row>
    <row r="1193" spans="1:18" s="61" customFormat="1" ht="30" x14ac:dyDescent="0.25">
      <c r="A1193" s="358"/>
      <c r="B1193" s="361"/>
      <c r="C1193" s="366"/>
      <c r="D1193" s="254" t="s">
        <v>422</v>
      </c>
      <c r="E1193" s="156" t="s">
        <v>28</v>
      </c>
      <c r="F1193" s="156" t="s">
        <v>28</v>
      </c>
      <c r="G1193" s="266">
        <f>MROUND(H1193*L1193*I1193/K1193,0.00000001)</f>
        <v>8.8226000000000005E-4</v>
      </c>
      <c r="H1193" s="158">
        <f>H1073</f>
        <v>18</v>
      </c>
      <c r="I1193" s="159">
        <f t="shared" si="263"/>
        <v>0.47073209999999999</v>
      </c>
      <c r="J1193" s="160"/>
      <c r="K1193" s="161">
        <f t="shared" si="264"/>
        <v>9604</v>
      </c>
      <c r="L1193" s="250">
        <v>1</v>
      </c>
      <c r="M1193" s="163" t="str">
        <f t="shared" si="260"/>
        <v>18 шт*0,4707321/9604чел.</v>
      </c>
      <c r="N1193" s="164">
        <f t="shared" si="261"/>
        <v>34944.444444444445</v>
      </c>
      <c r="O1193" s="165">
        <f t="shared" si="262"/>
        <v>30.830085999999998</v>
      </c>
      <c r="P1193" s="166"/>
      <c r="Q1193" s="166">
        <f t="shared" si="255"/>
        <v>296092.14594399999</v>
      </c>
      <c r="R1193" s="71"/>
    </row>
    <row r="1194" spans="1:18" s="61" customFormat="1" x14ac:dyDescent="0.25">
      <c r="A1194" s="358"/>
      <c r="B1194" s="361"/>
      <c r="C1194" s="366"/>
      <c r="D1194" s="254" t="s">
        <v>423</v>
      </c>
      <c r="E1194" s="156" t="s">
        <v>28</v>
      </c>
      <c r="F1194" s="156" t="s">
        <v>28</v>
      </c>
      <c r="G1194" s="238">
        <f>MROUND(H1194*L1194*I1194/K1194,0.000000001)</f>
        <v>9.8028299999999998E-4</v>
      </c>
      <c r="H1194" s="158">
        <f>$H$114</f>
        <v>20</v>
      </c>
      <c r="I1194" s="159">
        <f t="shared" si="263"/>
        <v>0.47073209999999999</v>
      </c>
      <c r="J1194" s="160"/>
      <c r="K1194" s="161">
        <f t="shared" si="264"/>
        <v>9604</v>
      </c>
      <c r="L1194" s="250">
        <v>1</v>
      </c>
      <c r="M1194" s="163" t="str">
        <f t="shared" si="260"/>
        <v>20 шт*0,4707321/9604чел.</v>
      </c>
      <c r="N1194" s="164">
        <f t="shared" si="261"/>
        <v>74500</v>
      </c>
      <c r="O1194" s="165">
        <f t="shared" si="262"/>
        <v>73.031083999999993</v>
      </c>
      <c r="P1194" s="166"/>
      <c r="Q1194" s="166">
        <f t="shared" si="255"/>
        <v>701390.53073599993</v>
      </c>
      <c r="R1194" s="71"/>
    </row>
    <row r="1195" spans="1:18" s="61" customFormat="1" x14ac:dyDescent="0.25">
      <c r="A1195" s="358"/>
      <c r="B1195" s="361"/>
      <c r="C1195" s="366"/>
      <c r="D1195" s="254" t="s">
        <v>424</v>
      </c>
      <c r="E1195" s="156" t="s">
        <v>28</v>
      </c>
      <c r="F1195" s="156" t="s">
        <v>28</v>
      </c>
      <c r="G1195" s="238">
        <f t="shared" ref="G1195:G1201" si="265">MROUND(H1195*L1195*I1195/K1195,0.00000001)</f>
        <v>1.7155E-3</v>
      </c>
      <c r="H1195" s="158">
        <f>H715</f>
        <v>35</v>
      </c>
      <c r="I1195" s="159">
        <f>I1184</f>
        <v>0.47073209999999999</v>
      </c>
      <c r="J1195" s="160"/>
      <c r="K1195" s="161">
        <f>K1184</f>
        <v>9604</v>
      </c>
      <c r="L1195" s="250">
        <v>1</v>
      </c>
      <c r="M1195" s="163" t="str">
        <f t="shared" si="260"/>
        <v>35 шт*0,4707321/9604чел.</v>
      </c>
      <c r="N1195" s="164">
        <f>N715</f>
        <v>34285.714285714283</v>
      </c>
      <c r="O1195" s="165">
        <f t="shared" si="262"/>
        <v>58.817142999999994</v>
      </c>
      <c r="P1195" s="166"/>
      <c r="Q1195" s="166">
        <f t="shared" si="255"/>
        <v>564879.84137199994</v>
      </c>
      <c r="R1195" s="71"/>
    </row>
    <row r="1196" spans="1:18" s="61" customFormat="1" x14ac:dyDescent="0.25">
      <c r="A1196" s="358"/>
      <c r="B1196" s="361"/>
      <c r="C1196" s="366"/>
      <c r="D1196" s="254" t="s">
        <v>425</v>
      </c>
      <c r="E1196" s="156" t="s">
        <v>28</v>
      </c>
      <c r="F1196" s="156" t="s">
        <v>28</v>
      </c>
      <c r="G1196" s="277">
        <f t="shared" si="265"/>
        <v>1.7155E-3</v>
      </c>
      <c r="H1196" s="158">
        <f>H116</f>
        <v>35</v>
      </c>
      <c r="I1196" s="159">
        <f t="shared" ref="I1196:I1201" si="266">I1195</f>
        <v>0.47073209999999999</v>
      </c>
      <c r="J1196" s="160"/>
      <c r="K1196" s="161">
        <f t="shared" ref="K1196:K1201" si="267">K1195</f>
        <v>9604</v>
      </c>
      <c r="L1196" s="250">
        <v>1</v>
      </c>
      <c r="M1196" s="163" t="str">
        <f t="shared" si="260"/>
        <v>35 шт*0,4707321/9604чел.</v>
      </c>
      <c r="N1196" s="164">
        <f t="shared" ref="N1196:N1201" si="268">N116</f>
        <v>19102.857142857141</v>
      </c>
      <c r="O1196" s="165">
        <f t="shared" si="262"/>
        <v>32.770950999999997</v>
      </c>
      <c r="P1196" s="166"/>
      <c r="Q1196" s="166">
        <f t="shared" si="255"/>
        <v>314732.21340399998</v>
      </c>
      <c r="R1196" s="71"/>
    </row>
    <row r="1197" spans="1:18" s="61" customFormat="1" x14ac:dyDescent="0.25">
      <c r="A1197" s="358"/>
      <c r="B1197" s="361"/>
      <c r="C1197" s="366"/>
      <c r="D1197" s="254" t="s">
        <v>108</v>
      </c>
      <c r="E1197" s="156" t="s">
        <v>28</v>
      </c>
      <c r="F1197" s="156" t="s">
        <v>28</v>
      </c>
      <c r="G1197" s="238">
        <f t="shared" si="265"/>
        <v>4.2397259999999999E-2</v>
      </c>
      <c r="H1197" s="158">
        <f>$H$117</f>
        <v>865</v>
      </c>
      <c r="I1197" s="159">
        <f t="shared" si="266"/>
        <v>0.47073209999999999</v>
      </c>
      <c r="J1197" s="160"/>
      <c r="K1197" s="161">
        <f t="shared" si="267"/>
        <v>9604</v>
      </c>
      <c r="L1197" s="250">
        <v>1</v>
      </c>
      <c r="M1197" s="163" t="str">
        <f t="shared" si="260"/>
        <v>865 шт*0,4707321/9604чел.</v>
      </c>
      <c r="N1197" s="164">
        <f t="shared" si="268"/>
        <v>779.36416184971097</v>
      </c>
      <c r="O1197" s="165">
        <f t="shared" si="262"/>
        <v>33.042904999999998</v>
      </c>
      <c r="P1197" s="166"/>
      <c r="Q1197" s="166">
        <f t="shared" si="255"/>
        <v>317344.05961999996</v>
      </c>
      <c r="R1197" s="71"/>
    </row>
    <row r="1198" spans="1:18" s="61" customFormat="1" x14ac:dyDescent="0.25">
      <c r="A1198" s="358"/>
      <c r="B1198" s="361"/>
      <c r="C1198" s="366"/>
      <c r="D1198" s="254" t="s">
        <v>426</v>
      </c>
      <c r="E1198" s="156" t="s">
        <v>28</v>
      </c>
      <c r="F1198" s="156" t="s">
        <v>28</v>
      </c>
      <c r="G1198" s="238">
        <f t="shared" si="265"/>
        <v>2.1566200000000002E-3</v>
      </c>
      <c r="H1198" s="158">
        <f>H478</f>
        <v>44</v>
      </c>
      <c r="I1198" s="159">
        <f t="shared" si="266"/>
        <v>0.47073209999999999</v>
      </c>
      <c r="J1198" s="160"/>
      <c r="K1198" s="161">
        <f t="shared" si="267"/>
        <v>9604</v>
      </c>
      <c r="L1198" s="250">
        <v>1</v>
      </c>
      <c r="M1198" s="163" t="str">
        <f t="shared" si="260"/>
        <v>44 шт*0,4707321/9604чел.</v>
      </c>
      <c r="N1198" s="164">
        <f t="shared" si="268"/>
        <v>12416.954545454546</v>
      </c>
      <c r="O1198" s="165">
        <f t="shared" si="262"/>
        <v>26.778652999999998</v>
      </c>
      <c r="P1198" s="166"/>
      <c r="Q1198" s="166">
        <f t="shared" si="255"/>
        <v>257182.18341199998</v>
      </c>
      <c r="R1198" s="71"/>
    </row>
    <row r="1199" spans="1:18" s="61" customFormat="1" x14ac:dyDescent="0.25">
      <c r="A1199" s="358"/>
      <c r="B1199" s="361"/>
      <c r="C1199" s="366"/>
      <c r="D1199" s="254" t="s">
        <v>427</v>
      </c>
      <c r="E1199" s="156" t="s">
        <v>28</v>
      </c>
      <c r="F1199" s="156" t="s">
        <v>28</v>
      </c>
      <c r="G1199" s="238">
        <f t="shared" si="265"/>
        <v>3.23494E-3</v>
      </c>
      <c r="H1199" s="158">
        <f>H119</f>
        <v>66</v>
      </c>
      <c r="I1199" s="159">
        <f t="shared" si="266"/>
        <v>0.47073209999999999</v>
      </c>
      <c r="J1199" s="160"/>
      <c r="K1199" s="161">
        <f t="shared" si="267"/>
        <v>9604</v>
      </c>
      <c r="L1199" s="250">
        <v>1</v>
      </c>
      <c r="M1199" s="163" t="str">
        <f t="shared" si="260"/>
        <v>66 шт*0,4707321/9604чел.</v>
      </c>
      <c r="N1199" s="164">
        <f t="shared" si="268"/>
        <v>13060.60606060606</v>
      </c>
      <c r="O1199" s="165">
        <f t="shared" si="262"/>
        <v>42.250276999999997</v>
      </c>
      <c r="P1199" s="166"/>
      <c r="Q1199" s="166">
        <f t="shared" si="255"/>
        <v>405771.66030799999</v>
      </c>
      <c r="R1199" s="71"/>
    </row>
    <row r="1200" spans="1:18" s="61" customFormat="1" x14ac:dyDescent="0.25">
      <c r="A1200" s="358"/>
      <c r="B1200" s="361"/>
      <c r="C1200" s="366"/>
      <c r="D1200" s="254" t="s">
        <v>428</v>
      </c>
      <c r="E1200" s="156" t="s">
        <v>28</v>
      </c>
      <c r="F1200" s="156" t="s">
        <v>28</v>
      </c>
      <c r="G1200" s="238">
        <f t="shared" si="265"/>
        <v>1.690989E-2</v>
      </c>
      <c r="H1200" s="158">
        <f>H120</f>
        <v>345</v>
      </c>
      <c r="I1200" s="159">
        <f t="shared" si="266"/>
        <v>0.47073209999999999</v>
      </c>
      <c r="J1200" s="160"/>
      <c r="K1200" s="161">
        <f t="shared" si="267"/>
        <v>9604</v>
      </c>
      <c r="L1200" s="250">
        <v>1</v>
      </c>
      <c r="M1200" s="163" t="str">
        <f t="shared" si="260"/>
        <v>345 шт*0,4707321/9604чел.</v>
      </c>
      <c r="N1200" s="164">
        <f t="shared" si="268"/>
        <v>8520.7246376811599</v>
      </c>
      <c r="O1200" s="165">
        <f t="shared" si="262"/>
        <v>144.08451599999998</v>
      </c>
      <c r="P1200" s="166"/>
      <c r="Q1200" s="166">
        <f t="shared" si="255"/>
        <v>1383787.6916639998</v>
      </c>
      <c r="R1200" s="71"/>
    </row>
    <row r="1201" spans="1:18" s="61" customFormat="1" x14ac:dyDescent="0.25">
      <c r="A1201" s="358"/>
      <c r="B1201" s="361"/>
      <c r="C1201" s="366"/>
      <c r="D1201" s="255" t="s">
        <v>429</v>
      </c>
      <c r="E1201" s="156" t="s">
        <v>28</v>
      </c>
      <c r="F1201" s="156" t="s">
        <v>28</v>
      </c>
      <c r="G1201" s="238">
        <f t="shared" si="265"/>
        <v>2.4016900000000002E-3</v>
      </c>
      <c r="H1201" s="158">
        <f>H121</f>
        <v>49</v>
      </c>
      <c r="I1201" s="159">
        <f t="shared" si="266"/>
        <v>0.47073209999999999</v>
      </c>
      <c r="J1201" s="160"/>
      <c r="K1201" s="161">
        <f t="shared" si="267"/>
        <v>9604</v>
      </c>
      <c r="L1201" s="250">
        <v>1</v>
      </c>
      <c r="M1201" s="163" t="str">
        <f t="shared" si="260"/>
        <v>49 шт*0,4707321/9604чел.</v>
      </c>
      <c r="N1201" s="164">
        <f t="shared" si="268"/>
        <v>53775.510204081635</v>
      </c>
      <c r="O1201" s="165">
        <f t="shared" si="262"/>
        <v>129.15210500000001</v>
      </c>
      <c r="P1201" s="166"/>
      <c r="Q1201" s="166">
        <f t="shared" si="255"/>
        <v>1240376.81642</v>
      </c>
      <c r="R1201" s="71"/>
    </row>
    <row r="1202" spans="1:18" s="62" customFormat="1" x14ac:dyDescent="0.25">
      <c r="A1202" s="358"/>
      <c r="B1202" s="361"/>
      <c r="C1202" s="249" t="s">
        <v>299</v>
      </c>
      <c r="D1202" s="256"/>
      <c r="E1202" s="240"/>
      <c r="F1202" s="240"/>
      <c r="G1202" s="227"/>
      <c r="H1202" s="241"/>
      <c r="I1202" s="206"/>
      <c r="J1202" s="228"/>
      <c r="K1202" s="207"/>
      <c r="L1202" s="257"/>
      <c r="M1202" s="209"/>
      <c r="N1202" s="210"/>
      <c r="O1202" s="198">
        <f>SUM(O1178:O1201)</f>
        <v>2036.2788549999996</v>
      </c>
      <c r="P1202" s="267"/>
      <c r="Q1202" s="166"/>
      <c r="R1202" s="71"/>
    </row>
    <row r="1203" spans="1:18" s="61" customFormat="1" ht="110.25" x14ac:dyDescent="0.25">
      <c r="A1203" s="358"/>
      <c r="B1203" s="361"/>
      <c r="C1203" s="221" t="s">
        <v>82</v>
      </c>
      <c r="D1203" s="156" t="s">
        <v>46</v>
      </c>
      <c r="E1203" s="156" t="s">
        <v>54</v>
      </c>
      <c r="F1203" s="156" t="s">
        <v>285</v>
      </c>
      <c r="G1203" s="238">
        <f>MROUND(H1203*L1203*I1203/K1203,0.000001)</f>
        <v>0.55435000000000001</v>
      </c>
      <c r="H1203" s="242">
        <f>H723</f>
        <v>1028.181818181818</v>
      </c>
      <c r="I1203" s="159">
        <f>I1201</f>
        <v>0.47073209999999999</v>
      </c>
      <c r="J1203" s="160"/>
      <c r="K1203" s="161">
        <f>K1201</f>
        <v>9604</v>
      </c>
      <c r="L1203" s="225">
        <f>L843</f>
        <v>11</v>
      </c>
      <c r="M1203" s="163" t="str">
        <f>CONCATENATE(H1203," ",F1203,"*",L1203,"автобуса","*",I1203,"/",K1203,"чел.")</f>
        <v>1028,18181818182 л бензина АИ 92 (12,5л/день(зимой)*20дней*7мес+10л/день(летом)*20дней*4мес)*11автобуса*0,4707321/9604чел.</v>
      </c>
      <c r="N1203" s="164">
        <f>N123</f>
        <v>54.500000000000007</v>
      </c>
      <c r="O1203" s="165">
        <f>MROUND(G1203*N1203,0.000001)</f>
        <v>30.212074999999999</v>
      </c>
      <c r="P1203" s="166"/>
      <c r="Q1203" s="166">
        <f t="shared" si="255"/>
        <v>290156.7683</v>
      </c>
      <c r="R1203" s="71"/>
    </row>
    <row r="1204" spans="1:18" s="62" customFormat="1" x14ac:dyDescent="0.25">
      <c r="A1204" s="358"/>
      <c r="B1204" s="361"/>
      <c r="C1204" s="218" t="s">
        <v>300</v>
      </c>
      <c r="D1204" s="240"/>
      <c r="E1204" s="240"/>
      <c r="F1204" s="240"/>
      <c r="G1204" s="227"/>
      <c r="H1204" s="241"/>
      <c r="I1204" s="206"/>
      <c r="J1204" s="228"/>
      <c r="K1204" s="207"/>
      <c r="L1204" s="257"/>
      <c r="M1204" s="209"/>
      <c r="N1204" s="210"/>
      <c r="O1204" s="198">
        <f>SUM(O1203)</f>
        <v>30.212074999999999</v>
      </c>
      <c r="P1204" s="267"/>
      <c r="Q1204" s="166"/>
      <c r="R1204" s="71"/>
    </row>
    <row r="1205" spans="1:18" s="61" customFormat="1" ht="47.25" x14ac:dyDescent="0.25">
      <c r="A1205" s="358"/>
      <c r="B1205" s="361"/>
      <c r="C1205" s="221" t="s">
        <v>434</v>
      </c>
      <c r="D1205" s="156" t="s">
        <v>436</v>
      </c>
      <c r="E1205" s="156" t="s">
        <v>28</v>
      </c>
      <c r="F1205" s="156" t="s">
        <v>437</v>
      </c>
      <c r="G1205" s="157">
        <f>MROUND(H1205*L1205*I1205/K1205,0.000001)</f>
        <v>1.4213999999999999E-2</v>
      </c>
      <c r="H1205" s="242">
        <f>$H$125</f>
        <v>290</v>
      </c>
      <c r="I1205" s="159">
        <f>I1203</f>
        <v>0.47073209999999999</v>
      </c>
      <c r="J1205" s="160"/>
      <c r="K1205" s="161">
        <f>K1203</f>
        <v>9604</v>
      </c>
      <c r="L1205" s="162">
        <v>1</v>
      </c>
      <c r="M1205" s="163" t="str">
        <f>CONCATENATE(H1205," ",F1205,"*",L1205,"автобуса","*",I1205,"/",K1205,"чел.")</f>
        <v>290 огнетушителей (потребность учреждений) *1автобуса*0,4707321/9604чел.</v>
      </c>
      <c r="N1205" s="164">
        <f>$N$125</f>
        <v>2000</v>
      </c>
      <c r="O1205" s="165">
        <f>MROUND(G1205*N1205,0.000001)</f>
        <v>28.427999999999997</v>
      </c>
      <c r="P1205" s="166"/>
      <c r="Q1205" s="166">
        <f t="shared" si="255"/>
        <v>273022.51199999999</v>
      </c>
      <c r="R1205" s="71"/>
    </row>
    <row r="1206" spans="1:18" s="61" customFormat="1" x14ac:dyDescent="0.25">
      <c r="A1206" s="358"/>
      <c r="B1206" s="361"/>
      <c r="C1206" s="218" t="s">
        <v>435</v>
      </c>
      <c r="D1206" s="240"/>
      <c r="E1206" s="240"/>
      <c r="F1206" s="240"/>
      <c r="G1206" s="251"/>
      <c r="H1206" s="241"/>
      <c r="I1206" s="206"/>
      <c r="J1206" s="228"/>
      <c r="K1206" s="207"/>
      <c r="L1206" s="229"/>
      <c r="M1206" s="209"/>
      <c r="N1206" s="210"/>
      <c r="O1206" s="198">
        <f>SUM(O1205)</f>
        <v>28.427999999999997</v>
      </c>
      <c r="P1206" s="166"/>
      <c r="Q1206" s="166"/>
      <c r="R1206" s="71"/>
    </row>
    <row r="1207" spans="1:18" s="61" customFormat="1" ht="47.25" x14ac:dyDescent="0.25">
      <c r="A1207" s="358"/>
      <c r="B1207" s="361"/>
      <c r="C1207" s="364" t="s">
        <v>118</v>
      </c>
      <c r="D1207" s="156" t="s">
        <v>47</v>
      </c>
      <c r="E1207" s="156" t="s">
        <v>28</v>
      </c>
      <c r="F1207" s="156" t="s">
        <v>239</v>
      </c>
      <c r="G1207" s="238">
        <f>MROUND(H1207*L1207*I1207/K1207,0.00000001)</f>
        <v>7.0580399999999998E-3</v>
      </c>
      <c r="H1207" s="158">
        <f>H127</f>
        <v>144</v>
      </c>
      <c r="I1207" s="159">
        <f>I1203</f>
        <v>0.47073209999999999</v>
      </c>
      <c r="J1207" s="160"/>
      <c r="K1207" s="161">
        <f>K1203</f>
        <v>9604</v>
      </c>
      <c r="L1207" s="250">
        <v>1</v>
      </c>
      <c r="M1207" s="163" t="str">
        <f>CONCATENATE(H1207," ",F1207,"*",I1207,"/",K1207,"чел.")</f>
        <v>144 манометров (потребность учреждений) *0,4707321/9604чел.</v>
      </c>
      <c r="N1207" s="164">
        <f>N127</f>
        <v>708.5</v>
      </c>
      <c r="O1207" s="165">
        <f>MROUND(G1207*N1207,0.000001)</f>
        <v>5.0006209999999998</v>
      </c>
      <c r="P1207" s="166"/>
      <c r="Q1207" s="166">
        <f t="shared" si="255"/>
        <v>48025.964083999999</v>
      </c>
      <c r="R1207" s="71"/>
    </row>
    <row r="1208" spans="1:18" s="61" customFormat="1" ht="47.25" x14ac:dyDescent="0.25">
      <c r="A1208" s="358"/>
      <c r="B1208" s="361"/>
      <c r="C1208" s="364"/>
      <c r="D1208" s="255" t="s">
        <v>113</v>
      </c>
      <c r="E1208" s="156" t="s">
        <v>28</v>
      </c>
      <c r="F1208" s="156" t="s">
        <v>240</v>
      </c>
      <c r="G1208" s="238">
        <f>MROUND(H1208*L1208*I1208/K1208,0.00000001)</f>
        <v>0.28011598999999998</v>
      </c>
      <c r="H1208" s="158">
        <f>H128</f>
        <v>5715</v>
      </c>
      <c r="I1208" s="159">
        <f>I1207</f>
        <v>0.47073209999999999</v>
      </c>
      <c r="J1208" s="160"/>
      <c r="K1208" s="161">
        <f>K1207</f>
        <v>9604</v>
      </c>
      <c r="L1208" s="250">
        <v>1</v>
      </c>
      <c r="M1208" s="163" t="str">
        <f>CONCATENATE(H1208," ",F1208,"*",I1208,"/",K1208,"чел.")</f>
        <v>5715 светильников (потребность учреждений)*0,4707321/9604чел.</v>
      </c>
      <c r="N1208" s="164">
        <f>N128</f>
        <v>106.27500087489064</v>
      </c>
      <c r="O1208" s="165">
        <f>MROUND(G1208*N1208,0.000001)</f>
        <v>29.769326999999997</v>
      </c>
      <c r="P1208" s="166"/>
      <c r="Q1208" s="166">
        <f t="shared" si="255"/>
        <v>285904.61650799995</v>
      </c>
      <c r="R1208" s="71"/>
    </row>
    <row r="1209" spans="1:18" s="62" customFormat="1" x14ac:dyDescent="0.25">
      <c r="A1209" s="359"/>
      <c r="B1209" s="362"/>
      <c r="C1209" s="218" t="s">
        <v>301</v>
      </c>
      <c r="D1209" s="256"/>
      <c r="E1209" s="240"/>
      <c r="F1209" s="240"/>
      <c r="G1209" s="227"/>
      <c r="H1209" s="241"/>
      <c r="I1209" s="206"/>
      <c r="J1209" s="228"/>
      <c r="K1209" s="207"/>
      <c r="L1209" s="257"/>
      <c r="M1209" s="209"/>
      <c r="N1209" s="210"/>
      <c r="O1209" s="198">
        <f>SUM(O1207:O1208)</f>
        <v>34.769947999999999</v>
      </c>
      <c r="P1209" s="267"/>
      <c r="Q1209" s="166"/>
      <c r="R1209" s="71"/>
    </row>
    <row r="1210" spans="1:18" s="61" customFormat="1" x14ac:dyDescent="0.25">
      <c r="A1210" s="357" t="str">
        <f>CONCATENATE(школы!$B$16,", ",школы!$C$16,", ",школы!$D$16)</f>
        <v>Реализация основных общеобразовательных программ основного общего образования, образовательная программа, обеспечивающая углубленное изучение отдельных учебных предметов, предметных областей (профильное обучение), дети-инвалиды</v>
      </c>
      <c r="B1210" s="360" t="str">
        <f>школы!$A$16</f>
        <v>802111О.99.0.БА96АО26001</v>
      </c>
      <c r="C1210" s="194"/>
      <c r="D1210" s="363" t="s">
        <v>15</v>
      </c>
      <c r="E1210" s="363"/>
      <c r="F1210" s="363"/>
      <c r="G1210" s="363"/>
      <c r="H1210" s="195"/>
      <c r="I1210" s="195"/>
      <c r="J1210" s="195"/>
      <c r="K1210" s="195"/>
      <c r="L1210" s="196"/>
      <c r="M1210" s="197"/>
      <c r="N1210" s="164"/>
      <c r="O1210" s="198">
        <f>O1211+O1216+O1218</f>
        <v>9082.2379809739996</v>
      </c>
      <c r="P1210" s="166"/>
      <c r="Q1210" s="166"/>
      <c r="R1210" s="71"/>
    </row>
    <row r="1211" spans="1:18" s="61" customFormat="1" x14ac:dyDescent="0.25">
      <c r="A1211" s="358"/>
      <c r="B1211" s="361"/>
      <c r="C1211" s="194"/>
      <c r="D1211" s="350" t="s">
        <v>62</v>
      </c>
      <c r="E1211" s="350"/>
      <c r="F1211" s="350"/>
      <c r="G1211" s="350"/>
      <c r="H1211" s="195"/>
      <c r="I1211" s="195"/>
      <c r="J1211" s="195"/>
      <c r="K1211" s="195"/>
      <c r="L1211" s="196"/>
      <c r="M1211" s="197"/>
      <c r="N1211" s="164"/>
      <c r="O1211" s="165">
        <f>O1213+O1215</f>
        <v>9082.2379809739996</v>
      </c>
      <c r="P1211" s="166"/>
      <c r="Q1211" s="166"/>
      <c r="R1211" s="71"/>
    </row>
    <row r="1212" spans="1:18" s="61" customFormat="1" x14ac:dyDescent="0.25">
      <c r="A1212" s="358"/>
      <c r="B1212" s="361"/>
      <c r="C1212" s="194">
        <v>211</v>
      </c>
      <c r="D1212" s="194" t="s">
        <v>86</v>
      </c>
      <c r="E1212" s="199" t="s">
        <v>95</v>
      </c>
      <c r="F1212" s="199" t="s">
        <v>95</v>
      </c>
      <c r="G1212" s="275">
        <f>MROUND(H1212*L1212*I1212/K1212,0.0000000001)</f>
        <v>0.55811302800000007</v>
      </c>
      <c r="H1212" s="201">
        <f>H372</f>
        <v>921.8</v>
      </c>
      <c r="I1212" s="159">
        <f>школы!$K$16</f>
        <v>3.0273000000000002E-4</v>
      </c>
      <c r="J1212" s="159"/>
      <c r="K1212" s="161">
        <f>школы!$G$16</f>
        <v>6</v>
      </c>
      <c r="L1212" s="202">
        <v>12</v>
      </c>
      <c r="M1212" s="163" t="str">
        <f>CONCATENATE(H1212," ",F1212," ","в мес.","*",L1212,"мес.","*",I1212,"/",K1212,"чел.")</f>
        <v>921,8 шт.ед в мес.*12мес.*0,00030273/6чел.</v>
      </c>
      <c r="N1212" s="164">
        <f>N372</f>
        <v>12498.552905979601</v>
      </c>
      <c r="O1212" s="165">
        <f>MROUND(G1212*N1212,0.000000001)</f>
        <v>6975.6052079740002</v>
      </c>
      <c r="P1212" s="166"/>
      <c r="Q1212" s="166">
        <f t="shared" si="255"/>
        <v>41853.631247844001</v>
      </c>
      <c r="R1212" s="71"/>
    </row>
    <row r="1213" spans="1:18" s="62" customFormat="1" x14ac:dyDescent="0.25">
      <c r="A1213" s="358"/>
      <c r="B1213" s="361"/>
      <c r="C1213" s="203" t="s">
        <v>288</v>
      </c>
      <c r="D1213" s="203"/>
      <c r="E1213" s="204"/>
      <c r="F1213" s="204"/>
      <c r="G1213" s="205"/>
      <c r="H1213" s="206"/>
      <c r="I1213" s="206"/>
      <c r="J1213" s="206"/>
      <c r="K1213" s="207"/>
      <c r="L1213" s="208"/>
      <c r="M1213" s="209"/>
      <c r="N1213" s="210">
        <f>N1212</f>
        <v>12498.552905979601</v>
      </c>
      <c r="O1213" s="198">
        <f>O1212</f>
        <v>6975.6052079740002</v>
      </c>
      <c r="P1213" s="267"/>
      <c r="Q1213" s="166"/>
      <c r="R1213" s="71"/>
    </row>
    <row r="1214" spans="1:18" s="61" customFormat="1" x14ac:dyDescent="0.25">
      <c r="A1214" s="358"/>
      <c r="B1214" s="361"/>
      <c r="C1214" s="194">
        <v>213</v>
      </c>
      <c r="D1214" s="194" t="s">
        <v>87</v>
      </c>
      <c r="E1214" s="194" t="s">
        <v>88</v>
      </c>
      <c r="F1214" s="194"/>
      <c r="G1214" s="211">
        <v>30.2</v>
      </c>
      <c r="H1214" s="159"/>
      <c r="I1214" s="159"/>
      <c r="J1214" s="159"/>
      <c r="K1214" s="161">
        <f>K1212</f>
        <v>6</v>
      </c>
      <c r="L1214" s="202"/>
      <c r="M1214" s="212"/>
      <c r="N1214" s="164"/>
      <c r="O1214" s="165">
        <f>MROUND(O1212*0.302,0.000001)</f>
        <v>2106.6327729999998</v>
      </c>
      <c r="P1214" s="166"/>
      <c r="Q1214" s="166">
        <f>O1214*K1214</f>
        <v>12639.796638</v>
      </c>
      <c r="R1214" s="71"/>
    </row>
    <row r="1215" spans="1:18" s="62" customFormat="1" x14ac:dyDescent="0.25">
      <c r="A1215" s="358"/>
      <c r="B1215" s="361"/>
      <c r="C1215" s="203" t="s">
        <v>289</v>
      </c>
      <c r="D1215" s="203"/>
      <c r="E1215" s="203"/>
      <c r="F1215" s="203"/>
      <c r="G1215" s="213"/>
      <c r="H1215" s="214"/>
      <c r="I1215" s="206"/>
      <c r="J1215" s="214"/>
      <c r="K1215" s="207"/>
      <c r="L1215" s="215"/>
      <c r="M1215" s="216"/>
      <c r="N1215" s="210"/>
      <c r="O1215" s="198">
        <f>O1214</f>
        <v>2106.6327729999998</v>
      </c>
      <c r="P1215" s="267"/>
      <c r="Q1215" s="166"/>
      <c r="R1215" s="71"/>
    </row>
    <row r="1216" spans="1:18" s="61" customFormat="1" x14ac:dyDescent="0.25">
      <c r="A1216" s="358"/>
      <c r="B1216" s="361"/>
      <c r="C1216" s="194"/>
      <c r="D1216" s="356" t="s">
        <v>63</v>
      </c>
      <c r="E1216" s="356"/>
      <c r="F1216" s="356"/>
      <c r="G1216" s="356"/>
      <c r="H1216" s="195"/>
      <c r="I1216" s="159"/>
      <c r="J1216" s="195"/>
      <c r="K1216" s="161"/>
      <c r="L1216" s="196"/>
      <c r="M1216" s="197"/>
      <c r="N1216" s="164"/>
      <c r="O1216" s="165"/>
      <c r="P1216" s="166"/>
      <c r="Q1216" s="166"/>
      <c r="R1216" s="71"/>
    </row>
    <row r="1217" spans="1:18" s="61" customFormat="1" x14ac:dyDescent="0.25">
      <c r="A1217" s="358"/>
      <c r="B1217" s="361"/>
      <c r="C1217" s="194"/>
      <c r="D1217" s="194"/>
      <c r="E1217" s="194"/>
      <c r="F1217" s="194"/>
      <c r="G1217" s="217"/>
      <c r="H1217" s="195"/>
      <c r="I1217" s="159"/>
      <c r="J1217" s="195"/>
      <c r="K1217" s="161"/>
      <c r="L1217" s="196"/>
      <c r="M1217" s="197"/>
      <c r="N1217" s="164"/>
      <c r="O1217" s="165"/>
      <c r="P1217" s="166"/>
      <c r="Q1217" s="166"/>
      <c r="R1217" s="71"/>
    </row>
    <row r="1218" spans="1:18" s="61" customFormat="1" x14ac:dyDescent="0.25">
      <c r="A1218" s="358"/>
      <c r="B1218" s="361"/>
      <c r="C1218" s="194"/>
      <c r="D1218" s="350" t="s">
        <v>64</v>
      </c>
      <c r="E1218" s="350"/>
      <c r="F1218" s="350"/>
      <c r="G1218" s="350"/>
      <c r="H1218" s="195"/>
      <c r="I1218" s="159"/>
      <c r="J1218" s="195"/>
      <c r="K1218" s="161"/>
      <c r="L1218" s="196"/>
      <c r="M1218" s="197"/>
      <c r="N1218" s="164"/>
      <c r="O1218" s="165"/>
      <c r="P1218" s="166"/>
      <c r="Q1218" s="166"/>
      <c r="R1218" s="71"/>
    </row>
    <row r="1219" spans="1:18" s="61" customFormat="1" x14ac:dyDescent="0.25">
      <c r="A1219" s="358"/>
      <c r="B1219" s="361"/>
      <c r="C1219" s="194"/>
      <c r="D1219" s="194"/>
      <c r="E1219" s="194"/>
      <c r="F1219" s="194"/>
      <c r="G1219" s="217"/>
      <c r="H1219" s="195"/>
      <c r="I1219" s="159"/>
      <c r="J1219" s="195"/>
      <c r="K1219" s="161"/>
      <c r="L1219" s="196"/>
      <c r="M1219" s="197"/>
      <c r="N1219" s="164"/>
      <c r="O1219" s="165"/>
      <c r="P1219" s="166"/>
      <c r="Q1219" s="166"/>
      <c r="R1219" s="71"/>
    </row>
    <row r="1220" spans="1:18" s="61" customFormat="1" x14ac:dyDescent="0.25">
      <c r="A1220" s="358"/>
      <c r="B1220" s="361"/>
      <c r="C1220" s="194"/>
      <c r="D1220" s="355" t="s">
        <v>5</v>
      </c>
      <c r="E1220" s="355"/>
      <c r="F1220" s="355"/>
      <c r="G1220" s="355"/>
      <c r="H1220" s="195"/>
      <c r="I1220" s="159"/>
      <c r="J1220" s="195"/>
      <c r="K1220" s="161"/>
      <c r="L1220" s="196"/>
      <c r="M1220" s="197"/>
      <c r="N1220" s="164"/>
      <c r="O1220" s="198">
        <f>O1221+O1231+O1242+O1244+O1246+O1248+O1250</f>
        <v>48447.236102903917</v>
      </c>
      <c r="P1220" s="166"/>
      <c r="Q1220" s="166"/>
      <c r="R1220" s="71"/>
    </row>
    <row r="1221" spans="1:18" s="61" customFormat="1" x14ac:dyDescent="0.25">
      <c r="A1221" s="358"/>
      <c r="B1221" s="361"/>
      <c r="C1221" s="218" t="s">
        <v>70</v>
      </c>
      <c r="D1221" s="355" t="s">
        <v>6</v>
      </c>
      <c r="E1221" s="355"/>
      <c r="F1221" s="355"/>
      <c r="G1221" s="355"/>
      <c r="H1221" s="189"/>
      <c r="I1221" s="159"/>
      <c r="J1221" s="189"/>
      <c r="K1221" s="161"/>
      <c r="L1221" s="190"/>
      <c r="M1221" s="197"/>
      <c r="N1221" s="210"/>
      <c r="O1221" s="198">
        <f>O1230</f>
        <v>8728.531293850001</v>
      </c>
      <c r="P1221" s="166"/>
      <c r="Q1221" s="166"/>
      <c r="R1221" s="71"/>
    </row>
    <row r="1222" spans="1:18" s="61" customFormat="1" ht="31.5" x14ac:dyDescent="0.25">
      <c r="A1222" s="358"/>
      <c r="B1222" s="361"/>
      <c r="C1222" s="221" t="s">
        <v>72</v>
      </c>
      <c r="D1222" s="222" t="s">
        <v>7</v>
      </c>
      <c r="E1222" s="223" t="s">
        <v>8</v>
      </c>
      <c r="F1222" s="223" t="s">
        <v>8</v>
      </c>
      <c r="G1222" s="238">
        <f>MROUND(H1222*L1222*I1222/K1222,0.00000000001)</f>
        <v>167.16354157065999</v>
      </c>
      <c r="H1222" s="160">
        <f>H502</f>
        <v>3313121.4264326878</v>
      </c>
      <c r="I1222" s="159">
        <f>I1212</f>
        <v>3.0273000000000002E-4</v>
      </c>
      <c r="J1222" s="160"/>
      <c r="K1222" s="161">
        <f>K1212</f>
        <v>6</v>
      </c>
      <c r="L1222" s="250">
        <v>1</v>
      </c>
      <c r="M1222" s="163" t="str">
        <f t="shared" ref="M1222:M1227" si="269">CONCATENATE(H1222," ",F1222,"(лимиты выделенные УЖКХ) ","*",I1222,"/",K1222,"чел.")</f>
        <v>3313121,42643269 кВт час.(лимиты выделенные УЖКХ) *0,00030273/6чел.</v>
      </c>
      <c r="N1222" s="164">
        <f>N502</f>
        <v>10.418446162163715</v>
      </c>
      <c r="O1222" s="165">
        <f t="shared" ref="O1222:O1229" si="270">MROUND(G1222*N1222,0.000001)</f>
        <v>1741.5843579999998</v>
      </c>
      <c r="P1222" s="166"/>
      <c r="Q1222" s="166">
        <f t="shared" si="255"/>
        <v>10449.506147999999</v>
      </c>
      <c r="R1222" s="71"/>
    </row>
    <row r="1223" spans="1:18" s="61" customFormat="1" ht="31.5" x14ac:dyDescent="0.25">
      <c r="A1223" s="358"/>
      <c r="B1223" s="361"/>
      <c r="C1223" s="221" t="s">
        <v>73</v>
      </c>
      <c r="D1223" s="222" t="s">
        <v>9</v>
      </c>
      <c r="E1223" s="223" t="s">
        <v>10</v>
      </c>
      <c r="F1223" s="223" t="s">
        <v>10</v>
      </c>
      <c r="G1223" s="238">
        <f>MROUND(H1223*L1223*I1223/K1223,0.00000000001)</f>
        <v>1.6093828124499998</v>
      </c>
      <c r="H1223" s="160">
        <f>H143</f>
        <v>31897.39</v>
      </c>
      <c r="I1223" s="159">
        <f t="shared" ref="I1223:I1275" si="271">I1222</f>
        <v>3.0273000000000002E-4</v>
      </c>
      <c r="J1223" s="160"/>
      <c r="K1223" s="161">
        <f t="shared" ref="K1223:K1229" si="272">K1222</f>
        <v>6</v>
      </c>
      <c r="L1223" s="250">
        <v>1</v>
      </c>
      <c r="M1223" s="163" t="str">
        <f t="shared" si="269"/>
        <v>31897,39 Гкал(лимиты выделенные УЖКХ) *0,00030273/6чел.</v>
      </c>
      <c r="N1223" s="164">
        <f>N143</f>
        <v>2845.3650600830792</v>
      </c>
      <c r="O1223" s="165">
        <f t="shared" si="270"/>
        <v>4579.2816229999999</v>
      </c>
      <c r="P1223" s="166"/>
      <c r="Q1223" s="166">
        <f t="shared" si="255"/>
        <v>27475.689738000001</v>
      </c>
      <c r="R1223" s="71"/>
    </row>
    <row r="1224" spans="1:18" s="61" customFormat="1" ht="31.5" x14ac:dyDescent="0.25">
      <c r="A1224" s="358"/>
      <c r="B1224" s="361"/>
      <c r="C1224" s="364" t="s">
        <v>74</v>
      </c>
      <c r="D1224" s="222" t="s">
        <v>12</v>
      </c>
      <c r="E1224" s="222" t="s">
        <v>11</v>
      </c>
      <c r="F1224" s="222" t="s">
        <v>11</v>
      </c>
      <c r="G1224" s="238">
        <f>MROUND(H1224*L1224*I1224/K1224,0.00000000001)</f>
        <v>9.3203084523499999</v>
      </c>
      <c r="H1224" s="224">
        <f>H24</f>
        <v>184725.17</v>
      </c>
      <c r="I1224" s="159">
        <f t="shared" si="271"/>
        <v>3.0273000000000002E-4</v>
      </c>
      <c r="J1224" s="160"/>
      <c r="K1224" s="161">
        <f t="shared" si="272"/>
        <v>6</v>
      </c>
      <c r="L1224" s="250">
        <v>1</v>
      </c>
      <c r="M1224" s="163" t="str">
        <f t="shared" si="269"/>
        <v>184725,17 м3(лимиты выделенные УЖКХ) *0,00030273/6чел.</v>
      </c>
      <c r="N1224" s="164">
        <f>N24</f>
        <v>51.830000102314166</v>
      </c>
      <c r="O1224" s="165">
        <f t="shared" si="270"/>
        <v>483.07158799999996</v>
      </c>
      <c r="P1224" s="166"/>
      <c r="Q1224" s="166">
        <f t="shared" ref="Q1224:Q1285" si="273">O1224*K1224</f>
        <v>2898.4295279999997</v>
      </c>
      <c r="R1224" s="71"/>
    </row>
    <row r="1225" spans="1:18" s="61" customFormat="1" ht="47.25" x14ac:dyDescent="0.25">
      <c r="A1225" s="358"/>
      <c r="B1225" s="361"/>
      <c r="C1225" s="364"/>
      <c r="D1225" s="222" t="s">
        <v>17</v>
      </c>
      <c r="E1225" s="222" t="s">
        <v>11</v>
      </c>
      <c r="F1225" s="222" t="s">
        <v>11</v>
      </c>
      <c r="G1225" s="238">
        <f>MROUND(H1225*L1225*I1225/K1225,0.00000000001)</f>
        <v>9.3203084523499999</v>
      </c>
      <c r="H1225" s="160">
        <f>H145</f>
        <v>184725.17</v>
      </c>
      <c r="I1225" s="159">
        <f t="shared" si="271"/>
        <v>3.0273000000000002E-4</v>
      </c>
      <c r="J1225" s="160"/>
      <c r="K1225" s="161">
        <f t="shared" si="272"/>
        <v>6</v>
      </c>
      <c r="L1225" s="162">
        <f>$L$25</f>
        <v>1</v>
      </c>
      <c r="M1225" s="163" t="str">
        <f t="shared" si="269"/>
        <v>184725,17 м3(лимиты выделенные УЖКХ) *0,00030273/6чел.</v>
      </c>
      <c r="N1225" s="164">
        <f>N25</f>
        <v>78.76115753094173</v>
      </c>
      <c r="O1225" s="165">
        <f t="shared" si="270"/>
        <v>734.07828199999994</v>
      </c>
      <c r="P1225" s="166"/>
      <c r="Q1225" s="166">
        <f t="shared" si="273"/>
        <v>4404.4696919999997</v>
      </c>
      <c r="R1225" s="71"/>
    </row>
    <row r="1226" spans="1:18" s="61" customFormat="1" ht="31.5" x14ac:dyDescent="0.25">
      <c r="A1226" s="358"/>
      <c r="B1226" s="361"/>
      <c r="C1226" s="364"/>
      <c r="D1226" s="222" t="s">
        <v>13</v>
      </c>
      <c r="E1226" s="222" t="s">
        <v>11</v>
      </c>
      <c r="F1226" s="222" t="s">
        <v>11</v>
      </c>
      <c r="G1226" s="238">
        <f>MROUND(H1226*L1226*I1226/K1226,0.00000000001)</f>
        <v>9.3203084523499999</v>
      </c>
      <c r="H1226" s="160">
        <f>H26</f>
        <v>184725.17</v>
      </c>
      <c r="I1226" s="159">
        <f t="shared" si="271"/>
        <v>3.0273000000000002E-4</v>
      </c>
      <c r="J1226" s="160"/>
      <c r="K1226" s="161">
        <f t="shared" si="272"/>
        <v>6</v>
      </c>
      <c r="L1226" s="162">
        <v>1</v>
      </c>
      <c r="M1226" s="163" t="str">
        <f t="shared" si="269"/>
        <v>184725,17 м3(лимиты выделенные УЖКХ) *0,00030273/6чел.</v>
      </c>
      <c r="N1226" s="164">
        <f>N26</f>
        <v>107.41979263410609</v>
      </c>
      <c r="O1226" s="165">
        <f>MROUND(G1226*N1226,0.00000001)</f>
        <v>1001.18560124</v>
      </c>
      <c r="P1226" s="166"/>
      <c r="Q1226" s="166">
        <f t="shared" si="273"/>
        <v>6007.1136074400001</v>
      </c>
      <c r="R1226" s="71"/>
    </row>
    <row r="1227" spans="1:18" s="61" customFormat="1" ht="31.5" x14ac:dyDescent="0.25">
      <c r="A1227" s="358"/>
      <c r="B1227" s="361"/>
      <c r="C1227" s="221" t="s">
        <v>75</v>
      </c>
      <c r="D1227" s="222" t="s">
        <v>18</v>
      </c>
      <c r="E1227" s="222" t="s">
        <v>48</v>
      </c>
      <c r="F1227" s="222" t="s">
        <v>48</v>
      </c>
      <c r="G1227" s="238">
        <f>MROUND(H1227*L1227*I1227/K1227,0.0000000001)</f>
        <v>0.70069885799999998</v>
      </c>
      <c r="H1227" s="160">
        <f>H27</f>
        <v>13887.6</v>
      </c>
      <c r="I1227" s="159">
        <f t="shared" si="271"/>
        <v>3.0273000000000002E-4</v>
      </c>
      <c r="J1227" s="160"/>
      <c r="K1227" s="161">
        <f t="shared" si="272"/>
        <v>6</v>
      </c>
      <c r="L1227" s="250">
        <v>1</v>
      </c>
      <c r="M1227" s="163" t="str">
        <f t="shared" si="269"/>
        <v>13887,6 тыс. м3(лимиты выделенные УЖКХ) *0,00030273/6чел.</v>
      </c>
      <c r="N1227" s="164">
        <f>N27</f>
        <v>29.231582850888564</v>
      </c>
      <c r="O1227" s="165">
        <f t="shared" si="270"/>
        <v>20.482537000000001</v>
      </c>
      <c r="P1227" s="166"/>
      <c r="Q1227" s="166">
        <f t="shared" si="273"/>
        <v>122.895222</v>
      </c>
      <c r="R1227" s="71"/>
    </row>
    <row r="1228" spans="1:18" s="61" customFormat="1" x14ac:dyDescent="0.25">
      <c r="A1228" s="358"/>
      <c r="B1228" s="361"/>
      <c r="C1228" s="364" t="s">
        <v>216</v>
      </c>
      <c r="D1228" s="222" t="s">
        <v>23</v>
      </c>
      <c r="E1228" s="222" t="s">
        <v>11</v>
      </c>
      <c r="F1228" s="222" t="s">
        <v>11</v>
      </c>
      <c r="G1228" s="238">
        <f>MROUND(H1228*L1228*I1228/K1228,0.000000000001)</f>
        <v>0.1699647312</v>
      </c>
      <c r="H1228" s="160">
        <f>H28</f>
        <v>3368.6400000000003</v>
      </c>
      <c r="I1228" s="159">
        <f t="shared" si="271"/>
        <v>3.0273000000000002E-4</v>
      </c>
      <c r="J1228" s="160"/>
      <c r="K1228" s="161">
        <f t="shared" si="272"/>
        <v>6</v>
      </c>
      <c r="L1228" s="162">
        <f>L1227</f>
        <v>1</v>
      </c>
      <c r="M1228" s="163" t="str">
        <f>CONCATENATE(H1228," ",F1228," ","*",I1228,"/",K1228,"чел.")</f>
        <v>3368,64 м3 *0,00030273/6чел.</v>
      </c>
      <c r="N1228" s="164">
        <f>N28</f>
        <v>742.21370939013957</v>
      </c>
      <c r="O1228" s="165">
        <f>MROUND(G1228*N1228,0.00000001)</f>
        <v>126.15015361</v>
      </c>
      <c r="P1228" s="166"/>
      <c r="Q1228" s="166">
        <f t="shared" si="273"/>
        <v>756.90092165999999</v>
      </c>
      <c r="R1228" s="71"/>
    </row>
    <row r="1229" spans="1:18" s="61" customFormat="1" ht="47.25" x14ac:dyDescent="0.25">
      <c r="A1229" s="358"/>
      <c r="B1229" s="361"/>
      <c r="C1229" s="364"/>
      <c r="D1229" s="222" t="s">
        <v>24</v>
      </c>
      <c r="E1229" s="222" t="s">
        <v>25</v>
      </c>
      <c r="F1229" s="222" t="s">
        <v>217</v>
      </c>
      <c r="G1229" s="238">
        <f>MROUND(H1229*L1229*I1229/K1229,0.000000000001)</f>
        <v>7.4168849999999998E-3</v>
      </c>
      <c r="H1229" s="160">
        <f>H509</f>
        <v>147</v>
      </c>
      <c r="I1229" s="159">
        <f t="shared" si="271"/>
        <v>3.0273000000000002E-4</v>
      </c>
      <c r="J1229" s="160"/>
      <c r="K1229" s="161">
        <f t="shared" si="272"/>
        <v>6</v>
      </c>
      <c r="L1229" s="250">
        <f>L1228</f>
        <v>1</v>
      </c>
      <c r="M1229" s="163" t="str">
        <f>CONCATENATE(H1229," ",F1229,"(потребность из расчета 4 контейнера для уборки территории весной и осенью на 1 учреждение)","*",I1229,"/",K1229,"чел.")</f>
        <v>147 контейнера(потребность из расчета 4 контейнера для уборки территории весной и осенью на 1 учреждение)*0,00030273/6чел.</v>
      </c>
      <c r="N1229" s="164">
        <f>N509</f>
        <v>5756.7497959183638</v>
      </c>
      <c r="O1229" s="165">
        <f t="shared" si="270"/>
        <v>42.697150999999998</v>
      </c>
      <c r="P1229" s="166"/>
      <c r="Q1229" s="166">
        <f t="shared" si="273"/>
        <v>256.182906</v>
      </c>
      <c r="R1229" s="71"/>
    </row>
    <row r="1230" spans="1:18" s="62" customFormat="1" x14ac:dyDescent="0.25">
      <c r="A1230" s="358"/>
      <c r="B1230" s="361"/>
      <c r="C1230" s="218" t="s">
        <v>290</v>
      </c>
      <c r="D1230" s="226"/>
      <c r="E1230" s="226"/>
      <c r="F1230" s="226"/>
      <c r="G1230" s="227"/>
      <c r="H1230" s="228"/>
      <c r="I1230" s="206"/>
      <c r="J1230" s="228"/>
      <c r="K1230" s="207"/>
      <c r="L1230" s="257"/>
      <c r="M1230" s="209"/>
      <c r="N1230" s="210"/>
      <c r="O1230" s="198">
        <f>SUM(O1222:O1229)</f>
        <v>8728.531293850001</v>
      </c>
      <c r="P1230" s="267"/>
      <c r="Q1230" s="166"/>
      <c r="R1230" s="71"/>
    </row>
    <row r="1231" spans="1:18" s="61" customFormat="1" x14ac:dyDescent="0.25">
      <c r="A1231" s="358"/>
      <c r="B1231" s="361"/>
      <c r="C1231" s="221"/>
      <c r="D1231" s="356" t="s">
        <v>14</v>
      </c>
      <c r="E1231" s="356"/>
      <c r="F1231" s="356"/>
      <c r="G1231" s="356"/>
      <c r="H1231" s="188"/>
      <c r="I1231" s="159"/>
      <c r="J1231" s="188"/>
      <c r="K1231" s="161"/>
      <c r="L1231" s="250"/>
      <c r="M1231" s="230"/>
      <c r="N1231" s="164"/>
      <c r="O1231" s="198">
        <f>O1239+O1240+O1235</f>
        <v>36351.042106943911</v>
      </c>
      <c r="P1231" s="166"/>
      <c r="Q1231" s="166"/>
      <c r="R1231" s="71"/>
    </row>
    <row r="1232" spans="1:18" s="61" customFormat="1" x14ac:dyDescent="0.25">
      <c r="A1232" s="358"/>
      <c r="B1232" s="361"/>
      <c r="C1232" s="221" t="s">
        <v>379</v>
      </c>
      <c r="D1232" s="231" t="s">
        <v>49</v>
      </c>
      <c r="E1232" s="231" t="s">
        <v>22</v>
      </c>
      <c r="F1232" s="231" t="s">
        <v>22</v>
      </c>
      <c r="G1232" s="238">
        <f>MROUND(H1232*L1232*I1232/K1232,0.000000001)</f>
        <v>0</v>
      </c>
      <c r="H1232" s="160"/>
      <c r="I1232" s="159">
        <f>I1227</f>
        <v>3.0273000000000002E-4</v>
      </c>
      <c r="J1232" s="160"/>
      <c r="K1232" s="161">
        <f>K1227</f>
        <v>6</v>
      </c>
      <c r="L1232" s="250"/>
      <c r="M1232" s="163"/>
      <c r="N1232" s="164">
        <f>N392</f>
        <v>0</v>
      </c>
      <c r="O1232" s="165">
        <f>MROUND(G1232*N1232,0.00000001)</f>
        <v>0</v>
      </c>
      <c r="P1232" s="166"/>
      <c r="Q1232" s="166">
        <f t="shared" si="273"/>
        <v>0</v>
      </c>
      <c r="R1232" s="71"/>
    </row>
    <row r="1233" spans="1:18" s="61" customFormat="1" x14ac:dyDescent="0.25">
      <c r="A1233" s="358"/>
      <c r="B1233" s="361"/>
      <c r="C1233" s="221" t="s">
        <v>379</v>
      </c>
      <c r="D1233" s="231" t="s">
        <v>49</v>
      </c>
      <c r="E1233" s="231" t="s">
        <v>28</v>
      </c>
      <c r="F1233" s="231" t="s">
        <v>28</v>
      </c>
      <c r="G1233" s="238">
        <f>MROUND(H1233*L1233*I1233/K1233,0.000000000000001)</f>
        <v>2.5227499999999999E-4</v>
      </c>
      <c r="H1233" s="160">
        <f>H393</f>
        <v>5</v>
      </c>
      <c r="I1233" s="159">
        <f t="shared" si="271"/>
        <v>3.0273000000000002E-4</v>
      </c>
      <c r="J1233" s="160"/>
      <c r="K1233" s="161">
        <f>K1232</f>
        <v>6</v>
      </c>
      <c r="L1233" s="250">
        <v>1</v>
      </c>
      <c r="M1233" s="163" t="str">
        <f>CONCATENATE(H1233," ",F1233,"*",I1233,"/",K1233,"чел.")</f>
        <v>5 шт*0,00030273/6чел.</v>
      </c>
      <c r="N1233" s="164">
        <f>N393</f>
        <v>28120000</v>
      </c>
      <c r="O1233" s="165">
        <f>MROUND(G1233*N1233,0.00000001)</f>
        <v>7093.973</v>
      </c>
      <c r="P1233" s="166"/>
      <c r="Q1233" s="166">
        <f t="shared" si="273"/>
        <v>42563.838000000003</v>
      </c>
      <c r="R1233" s="71"/>
    </row>
    <row r="1234" spans="1:18" s="61" customFormat="1" x14ac:dyDescent="0.25">
      <c r="A1234" s="358"/>
      <c r="B1234" s="361"/>
      <c r="C1234" s="221" t="s">
        <v>379</v>
      </c>
      <c r="D1234" s="231" t="s">
        <v>49</v>
      </c>
      <c r="E1234" s="231" t="s">
        <v>101</v>
      </c>
      <c r="F1234" s="231" t="s">
        <v>101</v>
      </c>
      <c r="G1234" s="238">
        <f>MROUND(H1234*L1234*I1234/K1234,0.000000001)</f>
        <v>0</v>
      </c>
      <c r="H1234" s="160"/>
      <c r="I1234" s="159">
        <f t="shared" si="271"/>
        <v>3.0273000000000002E-4</v>
      </c>
      <c r="J1234" s="160"/>
      <c r="K1234" s="161">
        <f>K1233</f>
        <v>6</v>
      </c>
      <c r="L1234" s="250"/>
      <c r="M1234" s="163"/>
      <c r="N1234" s="164">
        <f>N394</f>
        <v>0</v>
      </c>
      <c r="O1234" s="165">
        <f>MROUND(G1234*N1234,0.00000001)</f>
        <v>0</v>
      </c>
      <c r="P1234" s="166"/>
      <c r="Q1234" s="166">
        <f t="shared" si="273"/>
        <v>0</v>
      </c>
      <c r="R1234" s="71"/>
    </row>
    <row r="1235" spans="1:18" s="62" customFormat="1" x14ac:dyDescent="0.25">
      <c r="A1235" s="358"/>
      <c r="B1235" s="361"/>
      <c r="C1235" s="218" t="s">
        <v>380</v>
      </c>
      <c r="D1235" s="232"/>
      <c r="E1235" s="232"/>
      <c r="F1235" s="232"/>
      <c r="G1235" s="227"/>
      <c r="H1235" s="228"/>
      <c r="I1235" s="206"/>
      <c r="J1235" s="228"/>
      <c r="K1235" s="207"/>
      <c r="L1235" s="257"/>
      <c r="M1235" s="209"/>
      <c r="N1235" s="210"/>
      <c r="O1235" s="198">
        <f>SUM(O1232:O1234)</f>
        <v>7093.973</v>
      </c>
      <c r="P1235" s="267"/>
      <c r="Q1235" s="166"/>
      <c r="R1235" s="71"/>
    </row>
    <row r="1236" spans="1:18" s="61" customFormat="1" x14ac:dyDescent="0.25">
      <c r="A1236" s="358"/>
      <c r="B1236" s="361"/>
      <c r="C1236" s="221" t="s">
        <v>76</v>
      </c>
      <c r="D1236" s="231" t="s">
        <v>49</v>
      </c>
      <c r="E1236" s="231" t="s">
        <v>22</v>
      </c>
      <c r="F1236" s="231" t="s">
        <v>22</v>
      </c>
      <c r="G1236" s="238">
        <f>MROUND(H1236*L1236*I1236/K1236,0.000000000000001)</f>
        <v>3.6941647441000005</v>
      </c>
      <c r="H1236" s="160">
        <f>H396</f>
        <v>73217.02</v>
      </c>
      <c r="I1236" s="159">
        <f>I1232</f>
        <v>3.0273000000000002E-4</v>
      </c>
      <c r="J1236" s="160"/>
      <c r="K1236" s="161">
        <f>K1234</f>
        <v>6</v>
      </c>
      <c r="L1236" s="250">
        <v>1</v>
      </c>
      <c r="M1236" s="163" t="str">
        <f>CONCATENATE(H1236," ",F1236,"*",I1236,"/",K1236,"чел.")</f>
        <v>73217,02 м2*0,00030273/6чел.</v>
      </c>
      <c r="N1236" s="164">
        <f>N396</f>
        <v>3335.1026185604301</v>
      </c>
      <c r="O1236" s="165">
        <f>MROUND(G1236*N1236,0.00000000001)</f>
        <v>12320.418511441529</v>
      </c>
      <c r="P1236" s="166"/>
      <c r="Q1236" s="166">
        <f t="shared" si="273"/>
        <v>73922.511068649168</v>
      </c>
      <c r="R1236" s="71"/>
    </row>
    <row r="1237" spans="1:18" s="61" customFormat="1" x14ac:dyDescent="0.25">
      <c r="A1237" s="358"/>
      <c r="B1237" s="361"/>
      <c r="C1237" s="221"/>
      <c r="D1237" s="231" t="s">
        <v>49</v>
      </c>
      <c r="E1237" s="231" t="s">
        <v>28</v>
      </c>
      <c r="F1237" s="231" t="s">
        <v>28</v>
      </c>
      <c r="G1237" s="238">
        <f>MROUND(H1237*L1237*I1237/K1237,0.0000000000001)</f>
        <v>0.20938825</v>
      </c>
      <c r="H1237" s="160">
        <f>H397</f>
        <v>4150</v>
      </c>
      <c r="I1237" s="159">
        <f t="shared" si="271"/>
        <v>3.0273000000000002E-4</v>
      </c>
      <c r="J1237" s="160"/>
      <c r="K1237" s="161">
        <f>K1236</f>
        <v>6</v>
      </c>
      <c r="L1237" s="250">
        <v>1</v>
      </c>
      <c r="M1237" s="163" t="str">
        <f>CONCATENATE(H1237," ",F1237,"*",I1237,"/",K1237,"чел.")</f>
        <v>4150 шт*0,00030273/6чел.</v>
      </c>
      <c r="N1237" s="164">
        <f>N397</f>
        <v>71617.619331325302</v>
      </c>
      <c r="O1237" s="165">
        <f>MROUND(G1237*N1237,0.00000000001)</f>
        <v>14995.887980952379</v>
      </c>
      <c r="P1237" s="166"/>
      <c r="Q1237" s="166">
        <f t="shared" si="273"/>
        <v>89975.327885714272</v>
      </c>
      <c r="R1237" s="71"/>
    </row>
    <row r="1238" spans="1:18" s="61" customFormat="1" x14ac:dyDescent="0.25">
      <c r="A1238" s="358"/>
      <c r="B1238" s="361"/>
      <c r="C1238" s="221"/>
      <c r="D1238" s="231" t="s">
        <v>49</v>
      </c>
      <c r="E1238" s="231" t="s">
        <v>101</v>
      </c>
      <c r="F1238" s="231" t="s">
        <v>101</v>
      </c>
      <c r="G1238" s="238">
        <f>MROUND(H1238*L1238*I1238/K1238,0.000000001)</f>
        <v>0.72019467000000004</v>
      </c>
      <c r="H1238" s="160">
        <f>H398</f>
        <v>14274</v>
      </c>
      <c r="I1238" s="159">
        <f t="shared" si="271"/>
        <v>3.0273000000000002E-4</v>
      </c>
      <c r="J1238" s="160"/>
      <c r="K1238" s="161">
        <f>K1237</f>
        <v>6</v>
      </c>
      <c r="L1238" s="250">
        <v>1</v>
      </c>
      <c r="M1238" s="163" t="str">
        <f>CONCATENATE(H1238," ",F1238,"*",I1238,"/",K1238,"чел.")</f>
        <v>14274 погон.м.*0,00030273/6чел.</v>
      </c>
      <c r="N1238" s="164">
        <f>N398</f>
        <v>2694.7750315258509</v>
      </c>
      <c r="O1238" s="165">
        <f>MROUND(G1238*N1238,0.00000001)</f>
        <v>1940.7626145500001</v>
      </c>
      <c r="P1238" s="166"/>
      <c r="Q1238" s="166">
        <f t="shared" si="273"/>
        <v>11644.575687300001</v>
      </c>
      <c r="R1238" s="71"/>
    </row>
    <row r="1239" spans="1:18" s="62" customFormat="1" x14ac:dyDescent="0.25">
      <c r="A1239" s="358"/>
      <c r="B1239" s="361"/>
      <c r="C1239" s="218" t="s">
        <v>291</v>
      </c>
      <c r="D1239" s="232"/>
      <c r="E1239" s="232"/>
      <c r="F1239" s="232"/>
      <c r="G1239" s="227"/>
      <c r="H1239" s="228"/>
      <c r="I1239" s="206"/>
      <c r="J1239" s="228"/>
      <c r="K1239" s="207"/>
      <c r="L1239" s="257"/>
      <c r="M1239" s="209"/>
      <c r="N1239" s="210"/>
      <c r="O1239" s="198">
        <f>SUM(O1236:O1238)</f>
        <v>29257.069106943909</v>
      </c>
      <c r="P1239" s="267"/>
      <c r="Q1239" s="166"/>
      <c r="R1239" s="71"/>
    </row>
    <row r="1240" spans="1:18" s="61" customFormat="1" x14ac:dyDescent="0.25">
      <c r="A1240" s="358"/>
      <c r="B1240" s="361"/>
      <c r="C1240" s="221" t="s">
        <v>77</v>
      </c>
      <c r="D1240" s="231"/>
      <c r="E1240" s="231"/>
      <c r="F1240" s="231"/>
      <c r="G1240" s="238">
        <f>MROUND(H1240*L1240*I1240/K1240,0.00000000001)</f>
        <v>0</v>
      </c>
      <c r="H1240" s="160">
        <f>H1000</f>
        <v>0</v>
      </c>
      <c r="I1240" s="159">
        <f>I1238</f>
        <v>3.0273000000000002E-4</v>
      </c>
      <c r="J1240" s="160"/>
      <c r="K1240" s="161">
        <f>K1238</f>
        <v>6</v>
      </c>
      <c r="L1240" s="250"/>
      <c r="M1240" s="163"/>
      <c r="N1240" s="164">
        <f>N1000</f>
        <v>0</v>
      </c>
      <c r="O1240" s="165">
        <f>MROUND(G1240*N1240,0.000000001)</f>
        <v>0</v>
      </c>
      <c r="P1240" s="166"/>
      <c r="Q1240" s="166">
        <f t="shared" si="273"/>
        <v>0</v>
      </c>
      <c r="R1240" s="71"/>
    </row>
    <row r="1241" spans="1:18" s="62" customFormat="1" x14ac:dyDescent="0.25">
      <c r="A1241" s="358"/>
      <c r="B1241" s="361"/>
      <c r="C1241" s="218" t="s">
        <v>292</v>
      </c>
      <c r="D1241" s="232"/>
      <c r="E1241" s="232"/>
      <c r="F1241" s="232"/>
      <c r="G1241" s="227"/>
      <c r="H1241" s="228"/>
      <c r="I1241" s="206"/>
      <c r="J1241" s="228"/>
      <c r="K1241" s="207"/>
      <c r="L1241" s="257"/>
      <c r="M1241" s="209"/>
      <c r="N1241" s="210"/>
      <c r="O1241" s="198">
        <f>O1240</f>
        <v>0</v>
      </c>
      <c r="P1241" s="267"/>
      <c r="Q1241" s="166"/>
      <c r="R1241" s="71"/>
    </row>
    <row r="1242" spans="1:18" s="61" customFormat="1" x14ac:dyDescent="0.25">
      <c r="A1242" s="358"/>
      <c r="B1242" s="361"/>
      <c r="C1242" s="221"/>
      <c r="D1242" s="350" t="s">
        <v>65</v>
      </c>
      <c r="E1242" s="350"/>
      <c r="F1242" s="350"/>
      <c r="G1242" s="350"/>
      <c r="H1242" s="195"/>
      <c r="I1242" s="159"/>
      <c r="J1242" s="195"/>
      <c r="K1242" s="161"/>
      <c r="L1242" s="196"/>
      <c r="M1242" s="230"/>
      <c r="N1242" s="164"/>
      <c r="O1242" s="165">
        <f t="shared" ref="O1242:O1249" si="274">MROUND(G1242*N1242,0.000001)</f>
        <v>0</v>
      </c>
      <c r="P1242" s="166"/>
      <c r="Q1242" s="166"/>
      <c r="R1242" s="71"/>
    </row>
    <row r="1243" spans="1:18" s="61" customFormat="1" x14ac:dyDescent="0.25">
      <c r="A1243" s="358"/>
      <c r="B1243" s="361"/>
      <c r="C1243" s="221"/>
      <c r="D1243" s="194"/>
      <c r="E1243" s="194"/>
      <c r="F1243" s="194"/>
      <c r="G1243" s="217"/>
      <c r="H1243" s="195"/>
      <c r="I1243" s="159"/>
      <c r="J1243" s="195"/>
      <c r="K1243" s="161"/>
      <c r="L1243" s="196"/>
      <c r="M1243" s="230"/>
      <c r="N1243" s="164"/>
      <c r="O1243" s="165">
        <f t="shared" si="274"/>
        <v>0</v>
      </c>
      <c r="P1243" s="166"/>
      <c r="Q1243" s="166"/>
      <c r="R1243" s="71"/>
    </row>
    <row r="1244" spans="1:18" s="61" customFormat="1" x14ac:dyDescent="0.25">
      <c r="A1244" s="358"/>
      <c r="B1244" s="361"/>
      <c r="C1244" s="221" t="s">
        <v>357</v>
      </c>
      <c r="D1244" s="368" t="s">
        <v>66</v>
      </c>
      <c r="E1244" s="368"/>
      <c r="F1244" s="368"/>
      <c r="G1244" s="368"/>
      <c r="H1244" s="195"/>
      <c r="I1244" s="159"/>
      <c r="J1244" s="195"/>
      <c r="K1244" s="161"/>
      <c r="L1244" s="234"/>
      <c r="M1244" s="230"/>
      <c r="N1244" s="164"/>
      <c r="O1244" s="198">
        <f>O1245</f>
        <v>9.1257839999999995</v>
      </c>
      <c r="P1244" s="166"/>
      <c r="Q1244" s="166"/>
      <c r="R1244" s="71"/>
    </row>
    <row r="1245" spans="1:18" s="61" customFormat="1" ht="47.25" x14ac:dyDescent="0.25">
      <c r="A1245" s="358"/>
      <c r="B1245" s="361"/>
      <c r="C1245" s="221"/>
      <c r="D1245" s="222" t="s">
        <v>374</v>
      </c>
      <c r="E1245" s="194" t="s">
        <v>28</v>
      </c>
      <c r="F1245" s="194" t="s">
        <v>28</v>
      </c>
      <c r="G1245" s="217">
        <f>MROUND(H1245*L1245*I1245/K1245,0.000000001)</f>
        <v>7.2655200000000001E-3</v>
      </c>
      <c r="H1245" s="201">
        <f>H645</f>
        <v>36</v>
      </c>
      <c r="I1245" s="159">
        <f>I1240</f>
        <v>3.0273000000000002E-4</v>
      </c>
      <c r="J1245" s="195"/>
      <c r="K1245" s="161">
        <f>K1240</f>
        <v>6</v>
      </c>
      <c r="L1245" s="235">
        <f>L645</f>
        <v>4</v>
      </c>
      <c r="M1245" s="163" t="str">
        <f>CONCATENATE(H1245," ",F1245,"*",I1245,"/",K1245,"чел.")</f>
        <v>36 шт*0,00030273/6чел.</v>
      </c>
      <c r="N1245" s="164">
        <f>N645</f>
        <v>1256.0400000000006</v>
      </c>
      <c r="O1245" s="165">
        <f>MROUND(G1245*N1245,0.000001)</f>
        <v>9.1257839999999995</v>
      </c>
      <c r="P1245" s="166"/>
      <c r="Q1245" s="166">
        <f t="shared" si="273"/>
        <v>54.754703999999997</v>
      </c>
      <c r="R1245" s="71"/>
    </row>
    <row r="1246" spans="1:18" s="61" customFormat="1" x14ac:dyDescent="0.25">
      <c r="A1246" s="358"/>
      <c r="B1246" s="361"/>
      <c r="C1246" s="221"/>
      <c r="D1246" s="368" t="s">
        <v>67</v>
      </c>
      <c r="E1246" s="368"/>
      <c r="F1246" s="368"/>
      <c r="G1246" s="368"/>
      <c r="H1246" s="195"/>
      <c r="I1246" s="159"/>
      <c r="J1246" s="195"/>
      <c r="K1246" s="161"/>
      <c r="L1246" s="196"/>
      <c r="M1246" s="230"/>
      <c r="N1246" s="164"/>
      <c r="O1246" s="165">
        <f t="shared" si="274"/>
        <v>0</v>
      </c>
      <c r="P1246" s="166"/>
      <c r="Q1246" s="166"/>
      <c r="R1246" s="71"/>
    </row>
    <row r="1247" spans="1:18" s="61" customFormat="1" x14ac:dyDescent="0.25">
      <c r="A1247" s="358"/>
      <c r="B1247" s="361"/>
      <c r="C1247" s="221"/>
      <c r="D1247" s="194"/>
      <c r="E1247" s="194"/>
      <c r="F1247" s="194"/>
      <c r="G1247" s="217"/>
      <c r="H1247" s="195"/>
      <c r="I1247" s="159"/>
      <c r="J1247" s="195"/>
      <c r="K1247" s="161"/>
      <c r="L1247" s="196"/>
      <c r="M1247" s="230"/>
      <c r="N1247" s="164"/>
      <c r="O1247" s="165">
        <f t="shared" si="274"/>
        <v>0</v>
      </c>
      <c r="P1247" s="166"/>
      <c r="Q1247" s="166"/>
      <c r="R1247" s="71"/>
    </row>
    <row r="1248" spans="1:18" s="61" customFormat="1" x14ac:dyDescent="0.25">
      <c r="A1248" s="358"/>
      <c r="B1248" s="361"/>
      <c r="C1248" s="221"/>
      <c r="D1248" s="350" t="s">
        <v>68</v>
      </c>
      <c r="E1248" s="350"/>
      <c r="F1248" s="350"/>
      <c r="G1248" s="350"/>
      <c r="H1248" s="195"/>
      <c r="I1248" s="159"/>
      <c r="J1248" s="195"/>
      <c r="K1248" s="161"/>
      <c r="L1248" s="196"/>
      <c r="M1248" s="230"/>
      <c r="N1248" s="164"/>
      <c r="O1248" s="165">
        <f t="shared" si="274"/>
        <v>0</v>
      </c>
      <c r="P1248" s="166"/>
      <c r="Q1248" s="166"/>
      <c r="R1248" s="71"/>
    </row>
    <row r="1249" spans="1:41" s="61" customFormat="1" x14ac:dyDescent="0.25">
      <c r="A1249" s="358"/>
      <c r="B1249" s="361"/>
      <c r="C1249" s="221"/>
      <c r="D1249" s="156"/>
      <c r="E1249" s="156"/>
      <c r="F1249" s="156"/>
      <c r="G1249" s="236"/>
      <c r="H1249" s="195"/>
      <c r="I1249" s="159"/>
      <c r="J1249" s="195"/>
      <c r="K1249" s="161"/>
      <c r="L1249" s="196"/>
      <c r="M1249" s="230"/>
      <c r="N1249" s="164"/>
      <c r="O1249" s="165">
        <f t="shared" si="274"/>
        <v>0</v>
      </c>
      <c r="P1249" s="166"/>
      <c r="Q1249" s="166"/>
      <c r="R1249" s="71"/>
    </row>
    <row r="1250" spans="1:41" s="61" customFormat="1" x14ac:dyDescent="0.25">
      <c r="A1250" s="358"/>
      <c r="B1250" s="361"/>
      <c r="C1250" s="221"/>
      <c r="D1250" s="368" t="s">
        <v>69</v>
      </c>
      <c r="E1250" s="368"/>
      <c r="F1250" s="368"/>
      <c r="G1250" s="368"/>
      <c r="H1250" s="187"/>
      <c r="I1250" s="159"/>
      <c r="J1250" s="187"/>
      <c r="K1250" s="161"/>
      <c r="L1250" s="276"/>
      <c r="M1250" s="230"/>
      <c r="N1250" s="164"/>
      <c r="O1250" s="198">
        <f>O1252+O1259+O1276+O1278+O1293+O1295+O1297+O1322+O1324+O1329+O1326</f>
        <v>3358.53691811</v>
      </c>
      <c r="P1250" s="166"/>
      <c r="Q1250" s="166"/>
      <c r="R1250" s="71"/>
    </row>
    <row r="1251" spans="1:41" s="61" customFormat="1" x14ac:dyDescent="0.25">
      <c r="A1251" s="358"/>
      <c r="B1251" s="361"/>
      <c r="C1251" s="221">
        <v>224</v>
      </c>
      <c r="D1251" s="156" t="s">
        <v>21</v>
      </c>
      <c r="E1251" s="156" t="s">
        <v>22</v>
      </c>
      <c r="F1251" s="156" t="s">
        <v>22</v>
      </c>
      <c r="G1251" s="238">
        <f>MROUND(H1251*L1251*I1251/K1251,0.000001)</f>
        <v>0</v>
      </c>
      <c r="H1251" s="158">
        <f>H51</f>
        <v>0</v>
      </c>
      <c r="I1251" s="159">
        <f>I1245</f>
        <v>3.0273000000000002E-4</v>
      </c>
      <c r="J1251" s="160"/>
      <c r="K1251" s="161">
        <f>K1245</f>
        <v>6</v>
      </c>
      <c r="L1251" s="250"/>
      <c r="M1251" s="163"/>
      <c r="N1251" s="164">
        <f>N171</f>
        <v>0</v>
      </c>
      <c r="O1251" s="165">
        <f>MROUND(G1251*N1251,0.000001)</f>
        <v>0</v>
      </c>
      <c r="P1251" s="166"/>
      <c r="Q1251" s="166">
        <f t="shared" si="273"/>
        <v>0</v>
      </c>
      <c r="R1251" s="71"/>
    </row>
    <row r="1252" spans="1:41" s="62" customFormat="1" x14ac:dyDescent="0.25">
      <c r="A1252" s="358"/>
      <c r="B1252" s="361"/>
      <c r="C1252" s="218" t="s">
        <v>293</v>
      </c>
      <c r="D1252" s="240"/>
      <c r="E1252" s="240"/>
      <c r="F1252" s="240"/>
      <c r="G1252" s="227"/>
      <c r="H1252" s="241"/>
      <c r="I1252" s="206"/>
      <c r="J1252" s="228"/>
      <c r="K1252" s="207"/>
      <c r="L1252" s="257"/>
      <c r="M1252" s="209"/>
      <c r="N1252" s="210"/>
      <c r="O1252" s="198">
        <f>SUM(O1251)</f>
        <v>0</v>
      </c>
      <c r="P1252" s="267"/>
      <c r="Q1252" s="166"/>
      <c r="R1252" s="71"/>
    </row>
    <row r="1253" spans="1:41" s="61" customFormat="1" ht="31.5" x14ac:dyDescent="0.25">
      <c r="A1253" s="358"/>
      <c r="B1253" s="361"/>
      <c r="C1253" s="364" t="s">
        <v>78</v>
      </c>
      <c r="D1253" s="156" t="s">
        <v>26</v>
      </c>
      <c r="E1253" s="156" t="s">
        <v>22</v>
      </c>
      <c r="F1253" s="156" t="s">
        <v>22</v>
      </c>
      <c r="G1253" s="238">
        <f>MROUND(H1253*L1253*I1253/K1253,0.000001)</f>
        <v>15.645085999999999</v>
      </c>
      <c r="H1253" s="158">
        <f>H53</f>
        <v>25840</v>
      </c>
      <c r="I1253" s="159">
        <f>I1251</f>
        <v>3.0273000000000002E-4</v>
      </c>
      <c r="J1253" s="160"/>
      <c r="K1253" s="161">
        <f>K1251</f>
        <v>6</v>
      </c>
      <c r="L1253" s="250">
        <v>12</v>
      </c>
      <c r="M1253" s="163" t="str">
        <f>CONCATENATE(H1253," ",F1253,"(обрабатываемая площадь в мес.)","*",L1253,"мес.","*",I1253,"/",K1253,"чел.")</f>
        <v>25840 м2(обрабатываемая площадь в мес.)*12мес.*0,00030273/6чел.</v>
      </c>
      <c r="N1253" s="164">
        <f>N53</f>
        <v>1.1553999935500519</v>
      </c>
      <c r="O1253" s="165">
        <f t="shared" ref="O1253:O1258" si="275">MROUND(G1253*N1253,0.000001)</f>
        <v>18.076332000000001</v>
      </c>
      <c r="P1253" s="166"/>
      <c r="Q1253" s="166">
        <f t="shared" si="273"/>
        <v>108.457992</v>
      </c>
      <c r="R1253" s="71"/>
    </row>
    <row r="1254" spans="1:41" s="61" customFormat="1" ht="31.5" x14ac:dyDescent="0.25">
      <c r="A1254" s="358"/>
      <c r="B1254" s="361"/>
      <c r="C1254" s="364"/>
      <c r="D1254" s="156" t="s">
        <v>96</v>
      </c>
      <c r="E1254" s="156" t="s">
        <v>22</v>
      </c>
      <c r="F1254" s="156" t="s">
        <v>22</v>
      </c>
      <c r="G1254" s="238">
        <f>MROUND(H1254*L1254*I1254/K1254,0.000001)</f>
        <v>8.0980279999999993</v>
      </c>
      <c r="H1254" s="158">
        <f>H54</f>
        <v>13375</v>
      </c>
      <c r="I1254" s="159">
        <f t="shared" si="271"/>
        <v>3.0273000000000002E-4</v>
      </c>
      <c r="J1254" s="160"/>
      <c r="K1254" s="161">
        <f>K1253</f>
        <v>6</v>
      </c>
      <c r="L1254" s="250">
        <v>12</v>
      </c>
      <c r="M1254" s="163" t="str">
        <f>CONCATENATE(H1254," ",F1254,"(обрабатываемая площадь в мес.)","*",L1254,"мес.","*",I1254,"/",K1254,"чел.")</f>
        <v>13375 м2(обрабатываемая площадь в мес.)*12мес.*0,00030273/6чел.</v>
      </c>
      <c r="N1254" s="164">
        <f>N54</f>
        <v>1.8530000000000004</v>
      </c>
      <c r="O1254" s="165">
        <f t="shared" si="275"/>
        <v>15.005645999999999</v>
      </c>
      <c r="P1254" s="166"/>
      <c r="Q1254" s="166">
        <f t="shared" si="273"/>
        <v>90.033875999999992</v>
      </c>
      <c r="R1254" s="71"/>
    </row>
    <row r="1255" spans="1:41" s="135" customFormat="1" ht="31.5" x14ac:dyDescent="0.25">
      <c r="A1255" s="358"/>
      <c r="B1255" s="361"/>
      <c r="C1255" s="364"/>
      <c r="D1255" s="156" t="s">
        <v>385</v>
      </c>
      <c r="E1255" s="156" t="s">
        <v>22</v>
      </c>
      <c r="F1255" s="156" t="s">
        <v>22</v>
      </c>
      <c r="G1255" s="238">
        <f>MROUND(H1255*L1255*I1255/K1255,0.000001)</f>
        <v>16.196054999999998</v>
      </c>
      <c r="H1255" s="242">
        <f>$H$55</f>
        <v>13375</v>
      </c>
      <c r="I1255" s="159">
        <f t="shared" si="271"/>
        <v>3.0273000000000002E-4</v>
      </c>
      <c r="J1255" s="160"/>
      <c r="K1255" s="161">
        <f>K1254</f>
        <v>6</v>
      </c>
      <c r="L1255" s="162">
        <v>24</v>
      </c>
      <c r="M1255" s="163" t="str">
        <f>CONCATENATE(H1255," ",F1255,"(обрабатываемая площадь в год)","*",L1255," раза в год.","*",I1255,"/",K1255,"чел.")</f>
        <v>13375 м2(обрабатываемая площадь в год)*24 раза в год.*0,00030273/6чел.</v>
      </c>
      <c r="N1255" s="164">
        <f>$N$55</f>
        <v>2.2889999999999993</v>
      </c>
      <c r="O1255" s="165">
        <f t="shared" si="275"/>
        <v>37.072769999999998</v>
      </c>
      <c r="P1255" s="166"/>
      <c r="Q1255" s="166">
        <f t="shared" si="273"/>
        <v>222.43662</v>
      </c>
      <c r="R1255" s="71"/>
      <c r="S1255" s="61"/>
      <c r="T1255" s="61"/>
      <c r="U1255" s="61"/>
      <c r="V1255" s="61"/>
      <c r="W1255" s="61"/>
      <c r="X1255" s="61"/>
      <c r="Y1255" s="61"/>
      <c r="Z1255" s="61"/>
      <c r="AA1255" s="61"/>
      <c r="AB1255" s="61"/>
      <c r="AC1255" s="61"/>
      <c r="AD1255" s="61"/>
      <c r="AE1255" s="61"/>
      <c r="AF1255" s="61"/>
      <c r="AG1255" s="61"/>
      <c r="AH1255" s="61"/>
      <c r="AI1255" s="61"/>
      <c r="AJ1255" s="61"/>
      <c r="AK1255" s="61"/>
      <c r="AL1255" s="61"/>
      <c r="AM1255" s="61"/>
      <c r="AN1255" s="61"/>
      <c r="AO1255" s="61"/>
    </row>
    <row r="1256" spans="1:41" s="135" customFormat="1" ht="31.5" x14ac:dyDescent="0.25">
      <c r="A1256" s="358"/>
      <c r="B1256" s="361"/>
      <c r="C1256" s="364"/>
      <c r="D1256" s="156" t="s">
        <v>394</v>
      </c>
      <c r="E1256" s="156" t="s">
        <v>22</v>
      </c>
      <c r="F1256" s="156" t="s">
        <v>22</v>
      </c>
      <c r="G1256" s="238">
        <f>MROUND(H1256*L1256*I1256/K1256,0.000001)</f>
        <v>15.645085999999999</v>
      </c>
      <c r="H1256" s="243">
        <f>$H$56</f>
        <v>25840</v>
      </c>
      <c r="I1256" s="159">
        <f t="shared" si="271"/>
        <v>3.0273000000000002E-4</v>
      </c>
      <c r="J1256" s="160"/>
      <c r="K1256" s="161">
        <f>K1255</f>
        <v>6</v>
      </c>
      <c r="L1256" s="162">
        <v>12</v>
      </c>
      <c r="M1256" s="163" t="str">
        <f>CONCATENATE(H1256," ",F1256,"(обрабатываемая площадь в мес.)","*",L1256,"мес.","*",I1256,"/",K1256,"чел.")</f>
        <v>25840 м2(обрабатываемая площадь в мес.)*12мес.*0,00030273/6чел.</v>
      </c>
      <c r="N1256" s="164">
        <f>$N$56</f>
        <v>0.54499999999999993</v>
      </c>
      <c r="O1256" s="165">
        <f t="shared" si="275"/>
        <v>8.5265719999999998</v>
      </c>
      <c r="P1256" s="166"/>
      <c r="Q1256" s="166">
        <f t="shared" si="273"/>
        <v>51.159431999999995</v>
      </c>
      <c r="R1256" s="71"/>
      <c r="S1256" s="61"/>
      <c r="T1256" s="61"/>
      <c r="U1256" s="61"/>
      <c r="V1256" s="61"/>
      <c r="W1256" s="61"/>
      <c r="X1256" s="61"/>
      <c r="Y1256" s="61"/>
      <c r="Z1256" s="61"/>
      <c r="AA1256" s="61"/>
      <c r="AB1256" s="61"/>
      <c r="AC1256" s="61"/>
      <c r="AD1256" s="61"/>
      <c r="AE1256" s="61"/>
      <c r="AF1256" s="61"/>
      <c r="AG1256" s="61"/>
      <c r="AH1256" s="61"/>
      <c r="AI1256" s="61"/>
      <c r="AJ1256" s="61"/>
      <c r="AK1256" s="61"/>
      <c r="AL1256" s="61"/>
      <c r="AM1256" s="61"/>
      <c r="AN1256" s="61"/>
      <c r="AO1256" s="61"/>
    </row>
    <row r="1257" spans="1:41" s="135" customFormat="1" ht="31.5" x14ac:dyDescent="0.25">
      <c r="A1257" s="358"/>
      <c r="B1257" s="361"/>
      <c r="C1257" s="364"/>
      <c r="D1257" s="156" t="s">
        <v>395</v>
      </c>
      <c r="E1257" s="156" t="s">
        <v>98</v>
      </c>
      <c r="F1257" s="156" t="s">
        <v>98</v>
      </c>
      <c r="G1257" s="238">
        <f>MROUND(H1257*L1257*I1257/K1257,0.000000001)</f>
        <v>9.5561800000000009E-4</v>
      </c>
      <c r="H1257" s="242">
        <f>$H$57</f>
        <v>18.939999999999998</v>
      </c>
      <c r="I1257" s="159">
        <f t="shared" si="271"/>
        <v>3.0273000000000002E-4</v>
      </c>
      <c r="J1257" s="160"/>
      <c r="K1257" s="161">
        <f>K1256</f>
        <v>6</v>
      </c>
      <c r="L1257" s="162">
        <v>1</v>
      </c>
      <c r="M1257" s="163" t="str">
        <f>CONCATENATE(H1257," ",F1257,"(обрабатываемая площадь в год)","*",L1257," раз в год","*",I1257,"/",K1257,"чел.")</f>
        <v>18,94 Га(обрабатываемая площадь в год)*1 раз в год*0,00030273/6чел.</v>
      </c>
      <c r="N1257" s="164">
        <f>$N$57</f>
        <v>545</v>
      </c>
      <c r="O1257" s="165">
        <f t="shared" si="275"/>
        <v>0.52081199999999994</v>
      </c>
      <c r="P1257" s="166"/>
      <c r="Q1257" s="166">
        <f t="shared" si="273"/>
        <v>3.1248719999999999</v>
      </c>
      <c r="R1257" s="71"/>
      <c r="S1257" s="61"/>
      <c r="T1257" s="61"/>
      <c r="U1257" s="61"/>
      <c r="V1257" s="61"/>
      <c r="W1257" s="61"/>
      <c r="X1257" s="61"/>
      <c r="Y1257" s="61"/>
      <c r="Z1257" s="61"/>
      <c r="AA1257" s="61"/>
      <c r="AB1257" s="61"/>
      <c r="AC1257" s="61"/>
      <c r="AD1257" s="61"/>
      <c r="AE1257" s="61"/>
      <c r="AF1257" s="61"/>
      <c r="AG1257" s="61"/>
      <c r="AH1257" s="61"/>
      <c r="AI1257" s="61"/>
      <c r="AJ1257" s="61"/>
      <c r="AK1257" s="61"/>
      <c r="AL1257" s="61"/>
      <c r="AM1257" s="61"/>
      <c r="AN1257" s="61"/>
      <c r="AO1257" s="61"/>
    </row>
    <row r="1258" spans="1:41" s="61" customFormat="1" ht="31.5" x14ac:dyDescent="0.25">
      <c r="A1258" s="358"/>
      <c r="B1258" s="361"/>
      <c r="C1258" s="364"/>
      <c r="D1258" s="156" t="s">
        <v>97</v>
      </c>
      <c r="E1258" s="156" t="s">
        <v>98</v>
      </c>
      <c r="F1258" s="156" t="s">
        <v>98</v>
      </c>
      <c r="G1258" s="238">
        <f>MROUND(H1258*L1258*I1258/K1258,0.000000001)</f>
        <v>9.5561800000000009E-4</v>
      </c>
      <c r="H1258" s="242">
        <f>H178</f>
        <v>18.939999999999998</v>
      </c>
      <c r="I1258" s="244">
        <f>I1254</f>
        <v>3.0273000000000002E-4</v>
      </c>
      <c r="J1258" s="160"/>
      <c r="K1258" s="161">
        <f>K1254</f>
        <v>6</v>
      </c>
      <c r="L1258" s="250">
        <v>1</v>
      </c>
      <c r="M1258" s="163" t="str">
        <f>CONCATENATE(H1258," ",F1258,"(обрабатываемая площадь в мес.)","*",L1258,"мес.","*",I1258,"/",K1258,"чел.")</f>
        <v>18,94 Га(обрабатываемая площадь в мес.)*1мес.*0,00030273/6чел.</v>
      </c>
      <c r="N1258" s="164">
        <f>N178</f>
        <v>2965.979936642027</v>
      </c>
      <c r="O1258" s="165">
        <f t="shared" si="275"/>
        <v>2.8343439999999998</v>
      </c>
      <c r="P1258" s="166"/>
      <c r="Q1258" s="166">
        <f t="shared" si="273"/>
        <v>17.006063999999999</v>
      </c>
      <c r="R1258" s="71"/>
    </row>
    <row r="1259" spans="1:41" s="62" customFormat="1" x14ac:dyDescent="0.25">
      <c r="A1259" s="358"/>
      <c r="B1259" s="361"/>
      <c r="C1259" s="245" t="s">
        <v>294</v>
      </c>
      <c r="D1259" s="240"/>
      <c r="E1259" s="240"/>
      <c r="F1259" s="240"/>
      <c r="G1259" s="227"/>
      <c r="H1259" s="241"/>
      <c r="I1259" s="206"/>
      <c r="J1259" s="228"/>
      <c r="K1259" s="207"/>
      <c r="L1259" s="257"/>
      <c r="M1259" s="209"/>
      <c r="N1259" s="210"/>
      <c r="O1259" s="198">
        <f>SUM(O1253:O1258)</f>
        <v>82.036476000000008</v>
      </c>
      <c r="P1259" s="267"/>
      <c r="Q1259" s="166"/>
      <c r="R1259" s="71"/>
    </row>
    <row r="1260" spans="1:41" s="61" customFormat="1" ht="63" x14ac:dyDescent="0.25">
      <c r="A1260" s="358"/>
      <c r="B1260" s="361"/>
      <c r="C1260" s="365" t="s">
        <v>77</v>
      </c>
      <c r="D1260" s="156" t="s">
        <v>29</v>
      </c>
      <c r="E1260" s="156" t="s">
        <v>58</v>
      </c>
      <c r="F1260" s="156" t="s">
        <v>218</v>
      </c>
      <c r="G1260" s="238">
        <f>MROUND(H1260*L1260*I1260/K1260,0.00000001)</f>
        <v>3.0273000000000001E-3</v>
      </c>
      <c r="H1260" s="158">
        <v>15</v>
      </c>
      <c r="I1260" s="159">
        <f>I1258</f>
        <v>3.0273000000000002E-4</v>
      </c>
      <c r="J1260" s="160"/>
      <c r="K1260" s="161">
        <f>K1258</f>
        <v>6</v>
      </c>
      <c r="L1260" s="162">
        <v>4</v>
      </c>
      <c r="M1260" s="163" t="str">
        <f>CONCATENATE(H1260," ",F1260,"*",L1260," раза в год","*",I1260,"/",K1260,"чел.")</f>
        <v>15 установок*4 раза в год*0,00030273/6чел.</v>
      </c>
      <c r="N1260" s="164">
        <f>N60</f>
        <v>721.75483333333329</v>
      </c>
      <c r="O1260" s="165">
        <f t="shared" ref="O1260:O1275" si="276">MROUND(G1260*N1260,0.000001)</f>
        <v>2.184968</v>
      </c>
      <c r="P1260" s="166"/>
      <c r="Q1260" s="166">
        <f t="shared" si="273"/>
        <v>13.109808000000001</v>
      </c>
      <c r="R1260" s="71"/>
    </row>
    <row r="1261" spans="1:41" s="61" customFormat="1" ht="47.25" x14ac:dyDescent="0.25">
      <c r="A1261" s="358"/>
      <c r="B1261" s="361"/>
      <c r="C1261" s="366"/>
      <c r="D1261" s="156" t="s">
        <v>30</v>
      </c>
      <c r="E1261" s="156" t="s">
        <v>58</v>
      </c>
      <c r="F1261" s="156" t="s">
        <v>218</v>
      </c>
      <c r="G1261" s="238">
        <f>MROUND(H1261*L1261*I1261/K1261,0.00000001)</f>
        <v>1.5136500000000001E-3</v>
      </c>
      <c r="H1261" s="158">
        <v>15</v>
      </c>
      <c r="I1261" s="159">
        <f t="shared" si="271"/>
        <v>3.0273000000000002E-4</v>
      </c>
      <c r="J1261" s="160"/>
      <c r="K1261" s="161">
        <f t="shared" ref="K1261:K1269" si="277">K1260</f>
        <v>6</v>
      </c>
      <c r="L1261" s="250">
        <v>2</v>
      </c>
      <c r="M1261" s="163" t="str">
        <f>CONCATENATE(H1261," ",F1261,"*",L1261,"полуг.","*",I1261,"/",K1261,"чел.")</f>
        <v>15 установок*2полуг.*0,00030273/6чел.</v>
      </c>
      <c r="N1261" s="164">
        <f>N541</f>
        <v>721.75266666666664</v>
      </c>
      <c r="O1261" s="165">
        <f t="shared" si="276"/>
        <v>1.092481</v>
      </c>
      <c r="P1261" s="166"/>
      <c r="Q1261" s="166">
        <f t="shared" si="273"/>
        <v>6.5548859999999998</v>
      </c>
      <c r="R1261" s="71"/>
    </row>
    <row r="1262" spans="1:41" s="61" customFormat="1" ht="31.5" x14ac:dyDescent="0.25">
      <c r="A1262" s="358"/>
      <c r="B1262" s="361"/>
      <c r="C1262" s="366"/>
      <c r="D1262" s="156" t="s">
        <v>397</v>
      </c>
      <c r="E1262" s="156" t="s">
        <v>433</v>
      </c>
      <c r="F1262" s="156" t="s">
        <v>433</v>
      </c>
      <c r="G1262" s="238">
        <f>MROUND(H1262*L1262*I1262/K1262,0.000001)</f>
        <v>3.0272999999999998E-2</v>
      </c>
      <c r="H1262" s="158">
        <f>H182</f>
        <v>600</v>
      </c>
      <c r="I1262" s="159">
        <f t="shared" si="271"/>
        <v>3.0273000000000002E-4</v>
      </c>
      <c r="J1262" s="160"/>
      <c r="K1262" s="161">
        <f t="shared" si="277"/>
        <v>6</v>
      </c>
      <c r="L1262" s="162">
        <v>1</v>
      </c>
      <c r="M1262" s="163" t="str">
        <f>CONCATENATE(H1262," ",F1262,"(обрабатываемая площадь в год)","*",L1262," раз в год","*",I1262,"/",K1262,"чел.")</f>
        <v>600 м2.(обрабатываемая площадь в год)*1 раз в год*0,00030273/6чел.</v>
      </c>
      <c r="N1262" s="164">
        <f>N182</f>
        <v>300</v>
      </c>
      <c r="O1262" s="165">
        <f t="shared" si="276"/>
        <v>9.0818999999999992</v>
      </c>
      <c r="P1262" s="166"/>
      <c r="Q1262" s="166">
        <f t="shared" si="273"/>
        <v>54.491399999999999</v>
      </c>
      <c r="R1262" s="71"/>
    </row>
    <row r="1263" spans="1:41" s="61" customFormat="1" ht="47.25" x14ac:dyDescent="0.25">
      <c r="A1263" s="358"/>
      <c r="B1263" s="361"/>
      <c r="C1263" s="366"/>
      <c r="D1263" s="156" t="s">
        <v>32</v>
      </c>
      <c r="E1263" s="156" t="s">
        <v>55</v>
      </c>
      <c r="F1263" s="156" t="s">
        <v>219</v>
      </c>
      <c r="G1263" s="238">
        <f>MROUND(H1263*L1263*I1263/K1263,0.000000001)</f>
        <v>7.2655200000000001E-3</v>
      </c>
      <c r="H1263" s="158">
        <f>H543</f>
        <v>36</v>
      </c>
      <c r="I1263" s="159">
        <f>I1262</f>
        <v>3.0273000000000002E-4</v>
      </c>
      <c r="J1263" s="160"/>
      <c r="K1263" s="161">
        <f t="shared" si="277"/>
        <v>6</v>
      </c>
      <c r="L1263" s="250">
        <v>4</v>
      </c>
      <c r="M1263" s="163" t="str">
        <f>CONCATENATE(H1263," ",F1263,"*",L1263,"кв.","*",I1263,"/",K1263,"чел.")</f>
        <v>36 системы*4кв.*0,00030273/6чел.</v>
      </c>
      <c r="N1263" s="164">
        <f>N543</f>
        <v>6924.5277777777774</v>
      </c>
      <c r="O1263" s="165">
        <f t="shared" si="276"/>
        <v>50.310294999999996</v>
      </c>
      <c r="P1263" s="166"/>
      <c r="Q1263" s="166">
        <f t="shared" si="273"/>
        <v>301.86176999999998</v>
      </c>
      <c r="R1263" s="71"/>
    </row>
    <row r="1264" spans="1:41" s="61" customFormat="1" ht="63" x14ac:dyDescent="0.25">
      <c r="A1264" s="358"/>
      <c r="B1264" s="361"/>
      <c r="C1264" s="366"/>
      <c r="D1264" s="156" t="s">
        <v>33</v>
      </c>
      <c r="E1264" s="156" t="s">
        <v>56</v>
      </c>
      <c r="F1264" s="156" t="s">
        <v>220</v>
      </c>
      <c r="G1264" s="238">
        <f>MROUND(H1264*L1264*I1264/K1264,0.000000001)</f>
        <v>1.81638E-3</v>
      </c>
      <c r="H1264" s="158">
        <f>$H$64</f>
        <v>36</v>
      </c>
      <c r="I1264" s="159">
        <f>I1263</f>
        <v>3.0273000000000002E-4</v>
      </c>
      <c r="J1264" s="160"/>
      <c r="K1264" s="161">
        <f t="shared" si="277"/>
        <v>6</v>
      </c>
      <c r="L1264" s="162">
        <v>1</v>
      </c>
      <c r="M1264" s="163" t="str">
        <f>CONCATENATE(H1264," ",F1264,"*",L1264," раз в год","*",I1264,"/",K1264,"чел.")</f>
        <v>36 дымоходов*1 раз в год*0,00030273/6чел.</v>
      </c>
      <c r="N1264" s="164">
        <f>N64</f>
        <v>6540</v>
      </c>
      <c r="O1264" s="165">
        <f t="shared" si="276"/>
        <v>11.879125</v>
      </c>
      <c r="P1264" s="166"/>
      <c r="Q1264" s="166">
        <f t="shared" si="273"/>
        <v>71.274749999999997</v>
      </c>
      <c r="R1264" s="71"/>
    </row>
    <row r="1265" spans="1:18" s="61" customFormat="1" x14ac:dyDescent="0.25">
      <c r="A1265" s="358"/>
      <c r="B1265" s="361"/>
      <c r="C1265" s="366"/>
      <c r="D1265" s="194" t="s">
        <v>398</v>
      </c>
      <c r="E1265" s="156" t="s">
        <v>60</v>
      </c>
      <c r="F1265" s="156" t="s">
        <v>60</v>
      </c>
      <c r="G1265" s="238">
        <f>MROUND(H1265*L1265*I1265/K1265,0.000000001)</f>
        <v>1.765925E-3</v>
      </c>
      <c r="H1265" s="246">
        <f>H65</f>
        <v>35</v>
      </c>
      <c r="I1265" s="159">
        <f t="shared" si="271"/>
        <v>3.0273000000000002E-4</v>
      </c>
      <c r="J1265" s="160"/>
      <c r="K1265" s="161">
        <f t="shared" si="277"/>
        <v>6</v>
      </c>
      <c r="L1265" s="250">
        <v>1</v>
      </c>
      <c r="M1265" s="163" t="str">
        <f>CONCATENATE(H1265," ",F1265,"*",I1265,"/",K1265,"чел.")</f>
        <v>35 шт.*0,00030273/6чел.</v>
      </c>
      <c r="N1265" s="164">
        <f>N65</f>
        <v>11009</v>
      </c>
      <c r="O1265" s="165">
        <f t="shared" si="276"/>
        <v>19.441067999999998</v>
      </c>
      <c r="P1265" s="166"/>
      <c r="Q1265" s="166">
        <f t="shared" si="273"/>
        <v>116.64640799999998</v>
      </c>
      <c r="R1265" s="71"/>
    </row>
    <row r="1266" spans="1:18" s="61" customFormat="1" ht="47.25" x14ac:dyDescent="0.25">
      <c r="A1266" s="358"/>
      <c r="B1266" s="361"/>
      <c r="C1266" s="366"/>
      <c r="D1266" s="156" t="s">
        <v>401</v>
      </c>
      <c r="E1266" s="156" t="s">
        <v>60</v>
      </c>
      <c r="F1266" s="156" t="s">
        <v>402</v>
      </c>
      <c r="G1266" s="238">
        <f>MROUND(H1266*L1266*I1266/K1266,0.000001)</f>
        <v>3.532E-3</v>
      </c>
      <c r="H1266" s="246">
        <f>H66</f>
        <v>35</v>
      </c>
      <c r="I1266" s="159">
        <f t="shared" si="271"/>
        <v>3.0273000000000002E-4</v>
      </c>
      <c r="J1266" s="160"/>
      <c r="K1266" s="161">
        <f t="shared" si="277"/>
        <v>6</v>
      </c>
      <c r="L1266" s="162">
        <v>2</v>
      </c>
      <c r="M1266" s="163" t="str">
        <f>CONCATENATE(H1266," ",F1266,"*",L1266," раз в год","*",I1266,"/",K1266,"чел.")</f>
        <v>35 противопожарных водопроводов*2 раз в год*0,00030273/6чел.</v>
      </c>
      <c r="N1266" s="164">
        <f>N66</f>
        <v>5450</v>
      </c>
      <c r="O1266" s="165">
        <f t="shared" si="276"/>
        <v>19.249399999999998</v>
      </c>
      <c r="P1266" s="166"/>
      <c r="Q1266" s="166">
        <f t="shared" si="273"/>
        <v>115.49639999999999</v>
      </c>
      <c r="R1266" s="71"/>
    </row>
    <row r="1267" spans="1:18" s="61" customFormat="1" ht="31.5" x14ac:dyDescent="0.25">
      <c r="A1267" s="358"/>
      <c r="B1267" s="361"/>
      <c r="C1267" s="366"/>
      <c r="D1267" s="156" t="s">
        <v>221</v>
      </c>
      <c r="E1267" s="156" t="s">
        <v>60</v>
      </c>
      <c r="F1267" s="156" t="s">
        <v>60</v>
      </c>
      <c r="G1267" s="238">
        <f>MROUND(H1267*L1267*I1267/K1267,0.000000001)</f>
        <v>1.0898280000000002E-2</v>
      </c>
      <c r="H1267" s="158">
        <f>H67</f>
        <v>18</v>
      </c>
      <c r="I1267" s="159">
        <f t="shared" si="271"/>
        <v>3.0273000000000002E-4</v>
      </c>
      <c r="J1267" s="160"/>
      <c r="K1267" s="161">
        <f t="shared" si="277"/>
        <v>6</v>
      </c>
      <c r="L1267" s="250">
        <v>12</v>
      </c>
      <c r="M1267" s="163" t="str">
        <f>CONCATENATE(H1267," ",F1267,"*",L1267,"мес.","*",I1267,"/",K1267,"чел.")</f>
        <v>18 шт.*12мес.*0,00030273/6чел.</v>
      </c>
      <c r="N1267" s="164">
        <f>N187</f>
        <v>6288.0888888888885</v>
      </c>
      <c r="O1267" s="165">
        <f t="shared" si="276"/>
        <v>68.529353</v>
      </c>
      <c r="P1267" s="166"/>
      <c r="Q1267" s="166">
        <f t="shared" si="273"/>
        <v>411.17611799999997</v>
      </c>
      <c r="R1267" s="71"/>
    </row>
    <row r="1268" spans="1:18" s="61" customFormat="1" ht="47.25" x14ac:dyDescent="0.25">
      <c r="A1268" s="358"/>
      <c r="B1268" s="361"/>
      <c r="C1268" s="366"/>
      <c r="D1268" s="156" t="s">
        <v>34</v>
      </c>
      <c r="E1268" s="156" t="s">
        <v>59</v>
      </c>
      <c r="F1268" s="156" t="s">
        <v>28</v>
      </c>
      <c r="G1268" s="238">
        <f>MROUND(H1268*L1268*I1268/K1268,0.0000000001)</f>
        <v>1.0091000000000001E-4</v>
      </c>
      <c r="H1268" s="158">
        <f>H68</f>
        <v>2</v>
      </c>
      <c r="I1268" s="159">
        <f t="shared" si="271"/>
        <v>3.0273000000000002E-4</v>
      </c>
      <c r="J1268" s="160"/>
      <c r="K1268" s="161">
        <f t="shared" si="277"/>
        <v>6</v>
      </c>
      <c r="L1268" s="250">
        <v>1</v>
      </c>
      <c r="M1268" s="163" t="str">
        <f>CONCATENATE(H1268," ",F1268,"*",I1268,"/",K1268,"чел.")</f>
        <v>2 шт*0,00030273/6чел.</v>
      </c>
      <c r="N1268" s="164">
        <f>N68</f>
        <v>7500</v>
      </c>
      <c r="O1268" s="165">
        <f t="shared" si="276"/>
        <v>0.75682499999999997</v>
      </c>
      <c r="P1268" s="166"/>
      <c r="Q1268" s="166">
        <f t="shared" si="273"/>
        <v>4.5409499999999996</v>
      </c>
      <c r="R1268" s="71"/>
    </row>
    <row r="1269" spans="1:18" s="61" customFormat="1" ht="47.25" x14ac:dyDescent="0.25">
      <c r="A1269" s="358"/>
      <c r="B1269" s="361"/>
      <c r="C1269" s="366"/>
      <c r="D1269" s="156" t="s">
        <v>222</v>
      </c>
      <c r="E1269" s="156" t="s">
        <v>60</v>
      </c>
      <c r="F1269" s="156" t="s">
        <v>60</v>
      </c>
      <c r="G1269" s="238">
        <f>MROUND(H1269*L1269*I1269/K1269,0.00000000001)</f>
        <v>1.7659249999999998E-3</v>
      </c>
      <c r="H1269" s="248">
        <f>H549</f>
        <v>35</v>
      </c>
      <c r="I1269" s="159">
        <f t="shared" si="271"/>
        <v>3.0273000000000002E-4</v>
      </c>
      <c r="J1269" s="160"/>
      <c r="K1269" s="161">
        <f t="shared" si="277"/>
        <v>6</v>
      </c>
      <c r="L1269" s="250">
        <v>1</v>
      </c>
      <c r="M1269" s="163" t="str">
        <f>CONCATENATE(H1269," ",F1269,"*",I1269,"/",K1269,"чел.")</f>
        <v>35 шт.*0,00030273/6чел.</v>
      </c>
      <c r="N1269" s="164">
        <f>N69</f>
        <v>8189.7714285714283</v>
      </c>
      <c r="O1269" s="165">
        <f>MROUND(G1269*N1269,0.00000001)</f>
        <v>14.46252211</v>
      </c>
      <c r="P1269" s="166"/>
      <c r="Q1269" s="166">
        <f t="shared" si="273"/>
        <v>86.775132659999997</v>
      </c>
      <c r="R1269" s="71"/>
    </row>
    <row r="1270" spans="1:18" s="61" customFormat="1" ht="31.5" x14ac:dyDescent="0.25">
      <c r="A1270" s="358"/>
      <c r="B1270" s="361"/>
      <c r="C1270" s="366"/>
      <c r="D1270" s="156" t="s">
        <v>35</v>
      </c>
      <c r="E1270" s="156" t="s">
        <v>102</v>
      </c>
      <c r="F1270" s="156" t="s">
        <v>223</v>
      </c>
      <c r="G1270" s="238">
        <f>MROUND(H1270*L1270*I1270/K1270,0.00000001)</f>
        <v>1.76593E-3</v>
      </c>
      <c r="H1270" s="158">
        <f>H70</f>
        <v>35</v>
      </c>
      <c r="I1270" s="159">
        <f>I1268</f>
        <v>3.0273000000000002E-4</v>
      </c>
      <c r="J1270" s="160"/>
      <c r="K1270" s="161">
        <f>K1268</f>
        <v>6</v>
      </c>
      <c r="L1270" s="250">
        <v>1</v>
      </c>
      <c r="M1270" s="163" t="str">
        <f>CONCATENATE(H1270," ",F1270,"*",I1270,"/",K1270,"чел.")</f>
        <v>35 замеров*0,00030273/6чел.</v>
      </c>
      <c r="N1270" s="164">
        <f>N70</f>
        <v>20142.857142857141</v>
      </c>
      <c r="O1270" s="165">
        <f t="shared" si="276"/>
        <v>35.570875999999998</v>
      </c>
      <c r="P1270" s="166"/>
      <c r="Q1270" s="166">
        <f t="shared" si="273"/>
        <v>213.42525599999999</v>
      </c>
      <c r="R1270" s="71"/>
    </row>
    <row r="1271" spans="1:18" s="61" customFormat="1" ht="47.25" x14ac:dyDescent="0.25">
      <c r="A1271" s="358"/>
      <c r="B1271" s="361"/>
      <c r="C1271" s="366"/>
      <c r="D1271" s="156" t="s">
        <v>399</v>
      </c>
      <c r="E1271" s="156" t="s">
        <v>60</v>
      </c>
      <c r="F1271" s="156" t="s">
        <v>60</v>
      </c>
      <c r="G1271" s="238">
        <f>MROUND(H1271*L1271*I1271/K1271,0.000000001)</f>
        <v>1.7659250000000001E-2</v>
      </c>
      <c r="H1271" s="158">
        <f>H671</f>
        <v>35</v>
      </c>
      <c r="I1271" s="159">
        <f t="shared" si="271"/>
        <v>3.0273000000000002E-4</v>
      </c>
      <c r="J1271" s="160"/>
      <c r="K1271" s="161">
        <f>K1270</f>
        <v>6</v>
      </c>
      <c r="L1271" s="250">
        <v>10</v>
      </c>
      <c r="M1271" s="163" t="str">
        <f>CONCATENATE(H1271," ",F1271,"*",L1271,"мес.","*",I1271,"/",K1271,"чел.")</f>
        <v>35 шт.*10мес.*0,00030273/6чел.</v>
      </c>
      <c r="N1271" s="164">
        <f>N671</f>
        <v>3107.903028571428</v>
      </c>
      <c r="O1271" s="165">
        <f t="shared" si="276"/>
        <v>54.883236999999994</v>
      </c>
      <c r="P1271" s="166"/>
      <c r="Q1271" s="166">
        <f t="shared" si="273"/>
        <v>329.29942199999994</v>
      </c>
      <c r="R1271" s="71"/>
    </row>
    <row r="1272" spans="1:18" s="61" customFormat="1" ht="47.25" x14ac:dyDescent="0.25">
      <c r="A1272" s="358"/>
      <c r="B1272" s="361"/>
      <c r="C1272" s="366"/>
      <c r="D1272" s="156" t="s">
        <v>36</v>
      </c>
      <c r="E1272" s="156" t="s">
        <v>31</v>
      </c>
      <c r="F1272" s="156" t="s">
        <v>224</v>
      </c>
      <c r="G1272" s="238">
        <f>MROUND(H1272*L1272*I1272/K1272,0.00000001)</f>
        <v>2.179656E-2</v>
      </c>
      <c r="H1272" s="158">
        <f>H552</f>
        <v>36</v>
      </c>
      <c r="I1272" s="159">
        <f t="shared" si="271"/>
        <v>3.0273000000000002E-4</v>
      </c>
      <c r="J1272" s="160"/>
      <c r="K1272" s="161">
        <f>K1271</f>
        <v>6</v>
      </c>
      <c r="L1272" s="250">
        <v>12</v>
      </c>
      <c r="M1272" s="163" t="str">
        <f>CONCATENATE(H1272," ",F1272,"*",L1272,"мес.","*",I1272,"/",K1272,"чел.")</f>
        <v>36 устройств*12мес.*0,00030273/6чел.</v>
      </c>
      <c r="N1272" s="164">
        <f>N72</f>
        <v>2200</v>
      </c>
      <c r="O1272" s="165">
        <f t="shared" si="276"/>
        <v>47.952431999999995</v>
      </c>
      <c r="P1272" s="166"/>
      <c r="Q1272" s="166">
        <f t="shared" si="273"/>
        <v>287.71459199999998</v>
      </c>
      <c r="R1272" s="71"/>
    </row>
    <row r="1273" spans="1:18" s="61" customFormat="1" ht="31.5" x14ac:dyDescent="0.25">
      <c r="A1273" s="358"/>
      <c r="B1273" s="361"/>
      <c r="C1273" s="366"/>
      <c r="D1273" s="156" t="s">
        <v>99</v>
      </c>
      <c r="E1273" s="156" t="s">
        <v>103</v>
      </c>
      <c r="F1273" s="156" t="s">
        <v>225</v>
      </c>
      <c r="G1273" s="238">
        <f>MROUND(H1273*L1273*I1273/K1273,0.00000001)</f>
        <v>1.91729E-2</v>
      </c>
      <c r="H1273" s="158">
        <f>H73</f>
        <v>380</v>
      </c>
      <c r="I1273" s="159">
        <f t="shared" si="271"/>
        <v>3.0273000000000002E-4</v>
      </c>
      <c r="J1273" s="160"/>
      <c r="K1273" s="161">
        <f>K1272</f>
        <v>6</v>
      </c>
      <c r="L1273" s="250">
        <v>1</v>
      </c>
      <c r="M1273" s="163" t="str">
        <f>CONCATENATE(H1273," ",F1273,"*",I1273,"/",K1273,"чел.")</f>
        <v>380 ед.*0,00030273/6чел.</v>
      </c>
      <c r="N1273" s="164">
        <f>N73</f>
        <v>15000</v>
      </c>
      <c r="O1273" s="165">
        <f t="shared" si="276"/>
        <v>287.59350000000001</v>
      </c>
      <c r="P1273" s="166"/>
      <c r="Q1273" s="166">
        <f t="shared" si="273"/>
        <v>1725.5610000000001</v>
      </c>
      <c r="R1273" s="71"/>
    </row>
    <row r="1274" spans="1:18" s="61" customFormat="1" x14ac:dyDescent="0.25">
      <c r="A1274" s="358"/>
      <c r="B1274" s="361"/>
      <c r="C1274" s="366"/>
      <c r="D1274" s="156" t="s">
        <v>27</v>
      </c>
      <c r="E1274" s="156" t="s">
        <v>28</v>
      </c>
      <c r="F1274" s="156" t="s">
        <v>28</v>
      </c>
      <c r="G1274" s="238">
        <f>MROUND(H1274*L1274*I1274/K1274,0.000000001)</f>
        <v>0.28835032500000002</v>
      </c>
      <c r="H1274" s="160">
        <f>H74</f>
        <v>5715</v>
      </c>
      <c r="I1274" s="159">
        <f t="shared" si="271"/>
        <v>3.0273000000000002E-4</v>
      </c>
      <c r="J1274" s="160"/>
      <c r="K1274" s="161">
        <f>K1273</f>
        <v>6</v>
      </c>
      <c r="L1274" s="250">
        <v>1</v>
      </c>
      <c r="M1274" s="163" t="str">
        <f>CONCATENATE(H1274," ",F1274,"*",I1274,"/",K1274,"чел.")</f>
        <v>5715 шт*0,00030273/6чел.</v>
      </c>
      <c r="N1274" s="164">
        <f>N74</f>
        <v>400</v>
      </c>
      <c r="O1274" s="165">
        <f t="shared" si="276"/>
        <v>115.34012999999999</v>
      </c>
      <c r="P1274" s="166"/>
      <c r="Q1274" s="166">
        <f t="shared" si="273"/>
        <v>692.04077999999993</v>
      </c>
      <c r="R1274" s="71"/>
    </row>
    <row r="1275" spans="1:18" s="61" customFormat="1" ht="31.5" x14ac:dyDescent="0.25">
      <c r="A1275" s="358"/>
      <c r="B1275" s="361"/>
      <c r="C1275" s="367"/>
      <c r="D1275" s="156" t="s">
        <v>104</v>
      </c>
      <c r="E1275" s="156" t="s">
        <v>105</v>
      </c>
      <c r="F1275" s="156" t="s">
        <v>226</v>
      </c>
      <c r="G1275" s="238">
        <f>MROUND(H1275*L1275*I1275/K1275,0.00000001)</f>
        <v>1.81638E-3</v>
      </c>
      <c r="H1275" s="160">
        <f>H195</f>
        <v>36</v>
      </c>
      <c r="I1275" s="159">
        <f t="shared" si="271"/>
        <v>3.0273000000000002E-4</v>
      </c>
      <c r="J1275" s="160"/>
      <c r="K1275" s="161">
        <f>K1274</f>
        <v>6</v>
      </c>
      <c r="L1275" s="250">
        <v>1</v>
      </c>
      <c r="M1275" s="163" t="str">
        <f>CONCATENATE(H1275," ",F1275,"*",I1275,"/",K1275,"чел.")</f>
        <v>36 отключений*0,00030273/6чел.</v>
      </c>
      <c r="N1275" s="164">
        <f>N75</f>
        <v>9810</v>
      </c>
      <c r="O1275" s="165">
        <f t="shared" si="276"/>
        <v>17.818687999999998</v>
      </c>
      <c r="P1275" s="166"/>
      <c r="Q1275" s="166">
        <f t="shared" si="273"/>
        <v>106.912128</v>
      </c>
      <c r="R1275" s="71"/>
    </row>
    <row r="1276" spans="1:18" s="62" customFormat="1" x14ac:dyDescent="0.25">
      <c r="A1276" s="358"/>
      <c r="B1276" s="361"/>
      <c r="C1276" s="249" t="s">
        <v>292</v>
      </c>
      <c r="D1276" s="240"/>
      <c r="E1276" s="240"/>
      <c r="F1276" s="240"/>
      <c r="G1276" s="227"/>
      <c r="H1276" s="228"/>
      <c r="I1276" s="206"/>
      <c r="J1276" s="228"/>
      <c r="K1276" s="207"/>
      <c r="L1276" s="257"/>
      <c r="M1276" s="209"/>
      <c r="N1276" s="210"/>
      <c r="O1276" s="198">
        <f>SUM(O1260:O1275)</f>
        <v>756.14680010999984</v>
      </c>
      <c r="P1276" s="267"/>
      <c r="Q1276" s="166"/>
      <c r="R1276" s="71"/>
    </row>
    <row r="1277" spans="1:18" s="61" customFormat="1" ht="31.5" x14ac:dyDescent="0.25">
      <c r="A1277" s="358"/>
      <c r="B1277" s="361"/>
      <c r="C1277" s="221" t="s">
        <v>79</v>
      </c>
      <c r="D1277" s="156" t="s">
        <v>37</v>
      </c>
      <c r="E1277" s="156" t="s">
        <v>61</v>
      </c>
      <c r="F1277" s="156" t="s">
        <v>227</v>
      </c>
      <c r="G1277" s="238">
        <f>MROUND(H1277*L1277*I1277/K1277,0.000000001)</f>
        <v>2.0182000000000002E-4</v>
      </c>
      <c r="H1277" s="158">
        <f>H77</f>
        <v>4</v>
      </c>
      <c r="I1277" s="159">
        <f>I1275</f>
        <v>3.0273000000000002E-4</v>
      </c>
      <c r="J1277" s="160"/>
      <c r="K1277" s="161">
        <f>K1275</f>
        <v>6</v>
      </c>
      <c r="L1277" s="250">
        <v>1</v>
      </c>
      <c r="M1277" s="163" t="str">
        <f>CONCATENATE(H1277," ",F1277,"*",I1277,"/",K1277,"чел.")</f>
        <v>4 автобуса*0,00030273/6чел.</v>
      </c>
      <c r="N1277" s="164">
        <f>N77</f>
        <v>93408.640000000014</v>
      </c>
      <c r="O1277" s="165">
        <f>MROUND(G1277*N1277,0.000001)</f>
        <v>18.851731999999998</v>
      </c>
      <c r="P1277" s="166"/>
      <c r="Q1277" s="166">
        <f t="shared" si="273"/>
        <v>113.11039199999999</v>
      </c>
      <c r="R1277" s="71"/>
    </row>
    <row r="1278" spans="1:18" s="62" customFormat="1" x14ac:dyDescent="0.25">
      <c r="A1278" s="358"/>
      <c r="B1278" s="361"/>
      <c r="C1278" s="218" t="s">
        <v>295</v>
      </c>
      <c r="D1278" s="240"/>
      <c r="E1278" s="240"/>
      <c r="F1278" s="240"/>
      <c r="G1278" s="227"/>
      <c r="H1278" s="241"/>
      <c r="I1278" s="206"/>
      <c r="J1278" s="228"/>
      <c r="K1278" s="207"/>
      <c r="L1278" s="257"/>
      <c r="M1278" s="209"/>
      <c r="N1278" s="210"/>
      <c r="O1278" s="198">
        <f>SUM(O1277)</f>
        <v>18.851731999999998</v>
      </c>
      <c r="P1278" s="267"/>
      <c r="Q1278" s="166"/>
      <c r="R1278" s="71"/>
    </row>
    <row r="1279" spans="1:18" s="61" customFormat="1" x14ac:dyDescent="0.25">
      <c r="A1279" s="358"/>
      <c r="B1279" s="361"/>
      <c r="C1279" s="364" t="s">
        <v>80</v>
      </c>
      <c r="D1279" s="156" t="s">
        <v>38</v>
      </c>
      <c r="E1279" s="156" t="s">
        <v>57</v>
      </c>
      <c r="F1279" s="156" t="s">
        <v>228</v>
      </c>
      <c r="G1279" s="238">
        <f>MROUND(H1279*L1279*I1279/K1279,0.0000000001)</f>
        <v>2.179656E-2</v>
      </c>
      <c r="H1279" s="158">
        <f>H79</f>
        <v>36</v>
      </c>
      <c r="I1279" s="159">
        <f>I1277</f>
        <v>3.0273000000000002E-4</v>
      </c>
      <c r="J1279" s="160"/>
      <c r="K1279" s="161">
        <f>K1277</f>
        <v>6</v>
      </c>
      <c r="L1279" s="250">
        <v>12</v>
      </c>
      <c r="M1279" s="163" t="str">
        <f>CONCATENATE(H1279," ",F1279,"*",L1279,"мес.","*",I1279,"/",K1279,"чел.")</f>
        <v>36 зданий*12мес.*0,00030273/6чел.</v>
      </c>
      <c r="N1279" s="164">
        <f t="shared" ref="N1279:N1287" si="278">N79</f>
        <v>4694.6300000000019</v>
      </c>
      <c r="O1279" s="165">
        <f>MROUND(G1279*N1279,0.000001)</f>
        <v>102.32678399999999</v>
      </c>
      <c r="P1279" s="166"/>
      <c r="Q1279" s="166">
        <f t="shared" si="273"/>
        <v>613.96070399999996</v>
      </c>
      <c r="R1279" s="71"/>
    </row>
    <row r="1280" spans="1:18" s="61" customFormat="1" ht="47.25" x14ac:dyDescent="0.25">
      <c r="A1280" s="358"/>
      <c r="B1280" s="361"/>
      <c r="C1280" s="364"/>
      <c r="D1280" s="156" t="s">
        <v>229</v>
      </c>
      <c r="E1280" s="156" t="s">
        <v>60</v>
      </c>
      <c r="F1280" s="156" t="s">
        <v>60</v>
      </c>
      <c r="G1280" s="238">
        <f>MROUND(H1280*L1280*I1280/K1280,0.000001)</f>
        <v>0.12078899999999999</v>
      </c>
      <c r="H1280" s="158">
        <f>H80</f>
        <v>2394</v>
      </c>
      <c r="I1280" s="159">
        <f>I1279</f>
        <v>3.0273000000000002E-4</v>
      </c>
      <c r="J1280" s="160"/>
      <c r="K1280" s="161">
        <f>K1279</f>
        <v>6</v>
      </c>
      <c r="L1280" s="250">
        <v>1</v>
      </c>
      <c r="M1280" s="163" t="str">
        <f t="shared" ref="M1280:M1287" si="279">CONCATENATE(H1280," ",F1280,"*",I1280,"/",K1280,"чел.")</f>
        <v>2394 шт.*0,00030273/6чел.</v>
      </c>
      <c r="N1280" s="164">
        <f t="shared" si="278"/>
        <v>163.5</v>
      </c>
      <c r="O1280" s="165">
        <f>MROUND(G1280*N1280,0.000001)</f>
        <v>19.749002000000001</v>
      </c>
      <c r="P1280" s="166"/>
      <c r="Q1280" s="166">
        <f t="shared" si="273"/>
        <v>118.494012</v>
      </c>
      <c r="R1280" s="71"/>
    </row>
    <row r="1281" spans="1:18" s="61" customFormat="1" ht="47.25" x14ac:dyDescent="0.25">
      <c r="A1281" s="358"/>
      <c r="B1281" s="361"/>
      <c r="C1281" s="364"/>
      <c r="D1281" s="156" t="s">
        <v>405</v>
      </c>
      <c r="E1281" s="156" t="s">
        <v>60</v>
      </c>
      <c r="F1281" s="156" t="s">
        <v>406</v>
      </c>
      <c r="G1281" s="238">
        <f>MROUND(H1281*L1281*I1281/K1281,0.00000001)</f>
        <v>1.81638E-3</v>
      </c>
      <c r="H1281" s="158">
        <f>H321</f>
        <v>36</v>
      </c>
      <c r="I1281" s="159">
        <f>I1280</f>
        <v>3.0273000000000002E-4</v>
      </c>
      <c r="J1281" s="160"/>
      <c r="K1281" s="161">
        <f>K1280</f>
        <v>6</v>
      </c>
      <c r="L1281" s="250">
        <v>1</v>
      </c>
      <c r="M1281" s="163" t="str">
        <f t="shared" si="279"/>
        <v>36 лицензий*0,00030273/6чел.</v>
      </c>
      <c r="N1281" s="164">
        <f t="shared" si="278"/>
        <v>11990</v>
      </c>
      <c r="O1281" s="165">
        <f t="shared" ref="O1281:O1290" si="280">MROUND(G1281*N1281,0.000001)</f>
        <v>21.778396000000001</v>
      </c>
      <c r="P1281" s="166"/>
      <c r="Q1281" s="166">
        <f t="shared" si="273"/>
        <v>130.670376</v>
      </c>
      <c r="R1281" s="71"/>
    </row>
    <row r="1282" spans="1:18" s="61" customFormat="1" ht="63" x14ac:dyDescent="0.25">
      <c r="A1282" s="358"/>
      <c r="B1282" s="361"/>
      <c r="C1282" s="364"/>
      <c r="D1282" s="156" t="s">
        <v>39</v>
      </c>
      <c r="E1282" s="156" t="s">
        <v>20</v>
      </c>
      <c r="F1282" s="156" t="s">
        <v>234</v>
      </c>
      <c r="G1282" s="238">
        <f>MROUND(H1282*L1282*I1282/K1282,0.000000001)</f>
        <v>5.9536900000000002E-3</v>
      </c>
      <c r="H1282" s="158">
        <f>H802</f>
        <v>118</v>
      </c>
      <c r="I1282" s="159">
        <f>I1280</f>
        <v>3.0273000000000002E-4</v>
      </c>
      <c r="J1282" s="160"/>
      <c r="K1282" s="161">
        <f>K1280</f>
        <v>6</v>
      </c>
      <c r="L1282" s="250">
        <v>1</v>
      </c>
      <c r="M1282" s="163" t="str">
        <f t="shared" si="279"/>
        <v>118 чел(заявленная потребность руководителями учреждений)*0,00030273/6чел.</v>
      </c>
      <c r="N1282" s="164">
        <f t="shared" si="278"/>
        <v>763</v>
      </c>
      <c r="O1282" s="165">
        <f t="shared" si="280"/>
        <v>4.5426649999999995</v>
      </c>
      <c r="P1282" s="166"/>
      <c r="Q1282" s="166">
        <f t="shared" si="273"/>
        <v>27.255989999999997</v>
      </c>
      <c r="R1282" s="71"/>
    </row>
    <row r="1283" spans="1:18" s="61" customFormat="1" ht="63" x14ac:dyDescent="0.25">
      <c r="A1283" s="358"/>
      <c r="B1283" s="361"/>
      <c r="C1283" s="364"/>
      <c r="D1283" s="156" t="s">
        <v>40</v>
      </c>
      <c r="E1283" s="156" t="s">
        <v>20</v>
      </c>
      <c r="F1283" s="156" t="s">
        <v>234</v>
      </c>
      <c r="G1283" s="238">
        <f>MROUND(H1283*L1283*I1283/K1283,0.000000001)</f>
        <v>4.995045E-3</v>
      </c>
      <c r="H1283" s="158">
        <f>H803</f>
        <v>99</v>
      </c>
      <c r="I1283" s="159">
        <f t="shared" ref="I1283:I1290" si="281">I1282</f>
        <v>3.0273000000000002E-4</v>
      </c>
      <c r="J1283" s="160"/>
      <c r="K1283" s="161">
        <f t="shared" ref="K1283:K1290" si="282">K1282</f>
        <v>6</v>
      </c>
      <c r="L1283" s="250">
        <v>1</v>
      </c>
      <c r="M1283" s="163" t="str">
        <f t="shared" si="279"/>
        <v>99 чел(заявленная потребность руководителями учреждений)*0,00030273/6чел.</v>
      </c>
      <c r="N1283" s="164">
        <f t="shared" si="278"/>
        <v>1585.4545454545455</v>
      </c>
      <c r="O1283" s="165">
        <f t="shared" si="280"/>
        <v>7.9194169999999993</v>
      </c>
      <c r="P1283" s="166"/>
      <c r="Q1283" s="166">
        <f t="shared" si="273"/>
        <v>47.516501999999996</v>
      </c>
      <c r="R1283" s="71"/>
    </row>
    <row r="1284" spans="1:18" s="61" customFormat="1" ht="63" x14ac:dyDescent="0.25">
      <c r="A1284" s="358"/>
      <c r="B1284" s="361"/>
      <c r="C1284" s="364"/>
      <c r="D1284" s="156" t="s">
        <v>100</v>
      </c>
      <c r="E1284" s="156" t="s">
        <v>20</v>
      </c>
      <c r="F1284" s="156" t="s">
        <v>234</v>
      </c>
      <c r="G1284" s="238">
        <f>MROUND(H1284*L1284*I1284/K1284,0.0000000001)</f>
        <v>4.0868550000000003E-3</v>
      </c>
      <c r="H1284" s="158">
        <f>H804</f>
        <v>81</v>
      </c>
      <c r="I1284" s="159">
        <f t="shared" si="281"/>
        <v>3.0273000000000002E-4</v>
      </c>
      <c r="J1284" s="160"/>
      <c r="K1284" s="161">
        <f t="shared" si="282"/>
        <v>6</v>
      </c>
      <c r="L1284" s="250">
        <v>1</v>
      </c>
      <c r="M1284" s="163" t="str">
        <f t="shared" si="279"/>
        <v>81 чел(заявленная потребность руководителями учреждений)*0,00030273/6чел.</v>
      </c>
      <c r="N1284" s="164">
        <f t="shared" si="278"/>
        <v>3488</v>
      </c>
      <c r="O1284" s="165">
        <f t="shared" si="280"/>
        <v>14.254949999999999</v>
      </c>
      <c r="P1284" s="166"/>
      <c r="Q1284" s="166">
        <f t="shared" si="273"/>
        <v>85.529699999999991</v>
      </c>
      <c r="R1284" s="71"/>
    </row>
    <row r="1285" spans="1:18" s="61" customFormat="1" ht="110.25" x14ac:dyDescent="0.25">
      <c r="A1285" s="358"/>
      <c r="B1285" s="361"/>
      <c r="C1285" s="364"/>
      <c r="D1285" s="156" t="s">
        <v>235</v>
      </c>
      <c r="E1285" s="156" t="s">
        <v>50</v>
      </c>
      <c r="F1285" s="156" t="s">
        <v>230</v>
      </c>
      <c r="G1285" s="238">
        <f>MROUND(H1285*L1285*I1285/K1285,0.00000001)</f>
        <v>1.81638E-3</v>
      </c>
      <c r="H1285" s="158">
        <f>H1045</f>
        <v>36</v>
      </c>
      <c r="I1285" s="159">
        <f t="shared" si="281"/>
        <v>3.0273000000000002E-4</v>
      </c>
      <c r="J1285" s="160"/>
      <c r="K1285" s="161">
        <f t="shared" si="282"/>
        <v>6</v>
      </c>
      <c r="L1285" s="250">
        <v>1</v>
      </c>
      <c r="M1285" s="163" t="str">
        <f t="shared" si="279"/>
        <v>36 отчетов*0,00030273/6чел.</v>
      </c>
      <c r="N1285" s="164">
        <f t="shared" si="278"/>
        <v>6540</v>
      </c>
      <c r="O1285" s="165">
        <f t="shared" si="280"/>
        <v>11.879125</v>
      </c>
      <c r="P1285" s="166"/>
      <c r="Q1285" s="166">
        <f t="shared" si="273"/>
        <v>71.274749999999997</v>
      </c>
      <c r="R1285" s="71"/>
    </row>
    <row r="1286" spans="1:18" s="61" customFormat="1" ht="63" x14ac:dyDescent="0.25">
      <c r="A1286" s="358"/>
      <c r="B1286" s="361"/>
      <c r="C1286" s="364"/>
      <c r="D1286" s="156" t="s">
        <v>42</v>
      </c>
      <c r="E1286" s="156" t="s">
        <v>51</v>
      </c>
      <c r="F1286" s="156" t="s">
        <v>407</v>
      </c>
      <c r="G1286" s="238">
        <f>MROUND(H1286*L1286*I1286/K1286,0.000001)</f>
        <v>1.0293E-2</v>
      </c>
      <c r="H1286" s="158">
        <f>H806</f>
        <v>204</v>
      </c>
      <c r="I1286" s="159">
        <f t="shared" si="281"/>
        <v>3.0273000000000002E-4</v>
      </c>
      <c r="J1286" s="160"/>
      <c r="K1286" s="161">
        <f t="shared" si="282"/>
        <v>6</v>
      </c>
      <c r="L1286" s="250">
        <v>1</v>
      </c>
      <c r="M1286" s="163" t="str">
        <f t="shared" si="279"/>
        <v>204 ед (заявленная потребность руководителями учреждений)*0,00030273/6чел.</v>
      </c>
      <c r="N1286" s="164">
        <f t="shared" si="278"/>
        <v>1090</v>
      </c>
      <c r="O1286" s="165">
        <f t="shared" si="280"/>
        <v>11.21937</v>
      </c>
      <c r="P1286" s="166"/>
      <c r="Q1286" s="166">
        <f t="shared" ref="Q1286:Q1349" si="283">O1286*K1286</f>
        <v>67.316220000000001</v>
      </c>
      <c r="R1286" s="71"/>
    </row>
    <row r="1287" spans="1:18" s="61" customFormat="1" ht="31.5" x14ac:dyDescent="0.25">
      <c r="A1287" s="358"/>
      <c r="B1287" s="361"/>
      <c r="C1287" s="364"/>
      <c r="D1287" s="156" t="s">
        <v>43</v>
      </c>
      <c r="E1287" s="156" t="s">
        <v>52</v>
      </c>
      <c r="F1287" s="156" t="s">
        <v>231</v>
      </c>
      <c r="G1287" s="238">
        <f>MROUND(H1287*L1287*I1287/K1287,0.000000001)</f>
        <v>1.81638E-3</v>
      </c>
      <c r="H1287" s="158">
        <f>H207</f>
        <v>36</v>
      </c>
      <c r="I1287" s="159">
        <f t="shared" si="281"/>
        <v>3.0273000000000002E-4</v>
      </c>
      <c r="J1287" s="160"/>
      <c r="K1287" s="161">
        <f t="shared" si="282"/>
        <v>6</v>
      </c>
      <c r="L1287" s="250">
        <v>1</v>
      </c>
      <c r="M1287" s="163" t="str">
        <f t="shared" si="279"/>
        <v>36 ЭЦП*0,00030273/6чел.</v>
      </c>
      <c r="N1287" s="164">
        <f t="shared" si="278"/>
        <v>7743.3599999999924</v>
      </c>
      <c r="O1287" s="165">
        <f t="shared" si="280"/>
        <v>14.064883999999999</v>
      </c>
      <c r="P1287" s="166"/>
      <c r="Q1287" s="166">
        <f t="shared" si="283"/>
        <v>84.389303999999996</v>
      </c>
      <c r="R1287" s="71"/>
    </row>
    <row r="1288" spans="1:18" s="61" customFormat="1" ht="47.25" x14ac:dyDescent="0.25">
      <c r="A1288" s="358"/>
      <c r="B1288" s="361"/>
      <c r="C1288" s="364"/>
      <c r="D1288" s="156" t="s">
        <v>44</v>
      </c>
      <c r="E1288" s="156" t="s">
        <v>85</v>
      </c>
      <c r="F1288" s="156" t="s">
        <v>232</v>
      </c>
      <c r="G1288" s="238">
        <f>MROUND(H1288*L1288*I1288/K1288,0.000001)</f>
        <v>6.1352999999999998E-2</v>
      </c>
      <c r="H1288" s="158">
        <f>H208</f>
        <v>1216</v>
      </c>
      <c r="I1288" s="159">
        <f t="shared" si="281"/>
        <v>3.0273000000000002E-4</v>
      </c>
      <c r="J1288" s="160"/>
      <c r="K1288" s="161">
        <f t="shared" si="282"/>
        <v>6</v>
      </c>
      <c r="L1288" s="250">
        <v>1</v>
      </c>
      <c r="M1288" s="163" t="str">
        <f>CONCATENATE(H1288," ",F1288,"*",L1288,"мес.","*",I1288,"/",K1288,"чел.")</f>
        <v>1216 мед.осмотров в мес.*1мес.*0,00030273/6чел.</v>
      </c>
      <c r="N1288" s="164">
        <f>N208</f>
        <v>56.680000000000007</v>
      </c>
      <c r="O1288" s="165">
        <f t="shared" si="280"/>
        <v>3.4774879999999997</v>
      </c>
      <c r="P1288" s="166"/>
      <c r="Q1288" s="166">
        <f t="shared" si="283"/>
        <v>20.864927999999999</v>
      </c>
      <c r="R1288" s="71"/>
    </row>
    <row r="1289" spans="1:18" s="61" customFormat="1" ht="63" x14ac:dyDescent="0.25">
      <c r="A1289" s="358"/>
      <c r="B1289" s="361"/>
      <c r="C1289" s="364"/>
      <c r="D1289" s="156" t="s">
        <v>45</v>
      </c>
      <c r="E1289" s="156" t="s">
        <v>53</v>
      </c>
      <c r="F1289" s="156" t="s">
        <v>233</v>
      </c>
      <c r="G1289" s="238">
        <f>MROUND(H1289*L1289*I1289/K1289,0.000000001)</f>
        <v>2.4218400000000002E-3</v>
      </c>
      <c r="H1289" s="158">
        <f>H809</f>
        <v>4</v>
      </c>
      <c r="I1289" s="159">
        <f t="shared" si="281"/>
        <v>3.0273000000000002E-4</v>
      </c>
      <c r="J1289" s="160"/>
      <c r="K1289" s="161">
        <f t="shared" si="282"/>
        <v>6</v>
      </c>
      <c r="L1289" s="250">
        <v>12</v>
      </c>
      <c r="M1289" s="163" t="str">
        <f>CONCATENATE(H1289," ",F1289,"*",L1289,"мес.","*",I1289,"/",K1289,"чел.")</f>
        <v>4  машины, оборудованных системой ГЛОНАСС*12мес.*0,00030273/6чел.</v>
      </c>
      <c r="N1289" s="164">
        <f>N89</f>
        <v>880.71999999999991</v>
      </c>
      <c r="O1289" s="165">
        <f t="shared" si="280"/>
        <v>2.1329629999999997</v>
      </c>
      <c r="P1289" s="166"/>
      <c r="Q1289" s="166">
        <f t="shared" si="283"/>
        <v>12.797777999999997</v>
      </c>
      <c r="R1289" s="71"/>
    </row>
    <row r="1290" spans="1:18" s="61" customFormat="1" ht="31.5" x14ac:dyDescent="0.25">
      <c r="A1290" s="358"/>
      <c r="B1290" s="361"/>
      <c r="C1290" s="364"/>
      <c r="D1290" s="156" t="s">
        <v>408</v>
      </c>
      <c r="E1290" s="156" t="s">
        <v>20</v>
      </c>
      <c r="F1290" s="156" t="s">
        <v>20</v>
      </c>
      <c r="G1290" s="238">
        <f>MROUND(H1290*L1290*I1290/K1290,0.000000001)</f>
        <v>8.6378960000000005E-2</v>
      </c>
      <c r="H1290" s="158">
        <f>H90</f>
        <v>1712</v>
      </c>
      <c r="I1290" s="159">
        <f t="shared" si="281"/>
        <v>3.0273000000000002E-4</v>
      </c>
      <c r="J1290" s="160"/>
      <c r="K1290" s="161">
        <f t="shared" si="282"/>
        <v>6</v>
      </c>
      <c r="L1290" s="250">
        <v>1</v>
      </c>
      <c r="M1290" s="163" t="str">
        <f>CONCATENATE(H1290," ",F1290,"*",L1290," раз в год","*",I1290,"/",K1290,"чел.")</f>
        <v>1712 чел.*1 раз в год*0,00030273/6чел.</v>
      </c>
      <c r="N1290" s="164">
        <f>N90</f>
        <v>545</v>
      </c>
      <c r="O1290" s="165">
        <f t="shared" si="280"/>
        <v>47.076532999999998</v>
      </c>
      <c r="P1290" s="166"/>
      <c r="Q1290" s="166">
        <f t="shared" si="283"/>
        <v>282.45919800000001</v>
      </c>
      <c r="R1290" s="71"/>
    </row>
    <row r="1291" spans="1:18" s="61" customFormat="1" x14ac:dyDescent="0.25">
      <c r="A1291" s="358"/>
      <c r="B1291" s="361"/>
      <c r="C1291" s="364"/>
      <c r="D1291" s="156" t="s">
        <v>373</v>
      </c>
      <c r="E1291" s="156" t="s">
        <v>28</v>
      </c>
      <c r="F1291" s="156" t="s">
        <v>28</v>
      </c>
      <c r="G1291" s="157">
        <f>MROUND(H1291*L1291*I1291/K1291,0.000000001)</f>
        <v>1.81638E-3</v>
      </c>
      <c r="H1291" s="158">
        <f>H92</f>
        <v>36</v>
      </c>
      <c r="I1291" s="159">
        <f>I1289</f>
        <v>3.0273000000000002E-4</v>
      </c>
      <c r="J1291" s="160"/>
      <c r="K1291" s="161">
        <f>K1289</f>
        <v>6</v>
      </c>
      <c r="L1291" s="162">
        <v>1</v>
      </c>
      <c r="M1291" s="163" t="str">
        <f>CONCATENATE(H1291," ",F1291,"*",L1291,"мес.","*",I1291,"/",K1291,"чел.")</f>
        <v>36 шт*1мес.*0,00030273/6чел.</v>
      </c>
      <c r="N1291" s="164">
        <f>N92</f>
        <v>24000</v>
      </c>
      <c r="O1291" s="165">
        <f>MROUND(G1291*N1291,0.000000001)</f>
        <v>43.593120000000006</v>
      </c>
      <c r="P1291" s="166"/>
      <c r="Q1291" s="166">
        <f t="shared" si="283"/>
        <v>261.55872000000005</v>
      </c>
      <c r="R1291" s="71"/>
    </row>
    <row r="1292" spans="1:18" s="61" customFormat="1" ht="31.5" x14ac:dyDescent="0.25">
      <c r="A1292" s="358"/>
      <c r="B1292" s="361"/>
      <c r="C1292" s="364"/>
      <c r="D1292" s="156" t="s">
        <v>106</v>
      </c>
      <c r="E1292" s="156" t="s">
        <v>107</v>
      </c>
      <c r="F1292" s="156"/>
      <c r="G1292" s="238">
        <f>MROUND(H1292*L1292*I1292/K1292,0.000000001)</f>
        <v>0</v>
      </c>
      <c r="H1292" s="158">
        <f>H91</f>
        <v>0</v>
      </c>
      <c r="I1292" s="159">
        <f>I1289</f>
        <v>3.0273000000000002E-4</v>
      </c>
      <c r="J1292" s="160"/>
      <c r="K1292" s="161">
        <f>K1289</f>
        <v>6</v>
      </c>
      <c r="L1292" s="250">
        <f>L452</f>
        <v>0</v>
      </c>
      <c r="M1292" s="163"/>
      <c r="N1292" s="164">
        <f>N91</f>
        <v>1256.0400600000007</v>
      </c>
      <c r="O1292" s="165">
        <f>MROUND(G1292*N1292,0.000000001)</f>
        <v>0</v>
      </c>
      <c r="P1292" s="166"/>
      <c r="Q1292" s="166">
        <f t="shared" si="283"/>
        <v>0</v>
      </c>
      <c r="R1292" s="71"/>
    </row>
    <row r="1293" spans="1:18" s="62" customFormat="1" x14ac:dyDescent="0.25">
      <c r="A1293" s="358"/>
      <c r="B1293" s="361"/>
      <c r="C1293" s="245" t="s">
        <v>296</v>
      </c>
      <c r="D1293" s="240"/>
      <c r="E1293" s="240"/>
      <c r="F1293" s="240"/>
      <c r="G1293" s="227"/>
      <c r="H1293" s="241"/>
      <c r="I1293" s="206"/>
      <c r="J1293" s="228"/>
      <c r="K1293" s="207"/>
      <c r="L1293" s="257"/>
      <c r="M1293" s="209"/>
      <c r="N1293" s="210"/>
      <c r="O1293" s="198">
        <f>SUM(O1279:O1292)</f>
        <v>304.01469699999996</v>
      </c>
      <c r="P1293" s="267"/>
      <c r="Q1293" s="166"/>
      <c r="R1293" s="71"/>
    </row>
    <row r="1294" spans="1:18" s="61" customFormat="1" ht="31.5" x14ac:dyDescent="0.25">
      <c r="A1294" s="358"/>
      <c r="B1294" s="361"/>
      <c r="C1294" s="252" t="s">
        <v>237</v>
      </c>
      <c r="D1294" s="156" t="s">
        <v>41</v>
      </c>
      <c r="E1294" s="156" t="s">
        <v>61</v>
      </c>
      <c r="F1294" s="156" t="s">
        <v>227</v>
      </c>
      <c r="G1294" s="238">
        <f>MROUND(H1294*L1294*I1294/K1294,0.000000001)</f>
        <v>2.0182000000000002E-4</v>
      </c>
      <c r="H1294" s="158">
        <f>H214</f>
        <v>4</v>
      </c>
      <c r="I1294" s="159">
        <f>I1292</f>
        <v>3.0273000000000002E-4</v>
      </c>
      <c r="J1294" s="160"/>
      <c r="K1294" s="161">
        <f>K1292</f>
        <v>6</v>
      </c>
      <c r="L1294" s="250">
        <v>1</v>
      </c>
      <c r="M1294" s="163" t="str">
        <f>CONCATENATE(H1294," ",F1294,"*",I1294,"/",K1294,"чел.")</f>
        <v>4 автобуса*0,00030273/6чел.</v>
      </c>
      <c r="N1294" s="164">
        <f>N94</f>
        <v>25724</v>
      </c>
      <c r="O1294" s="165">
        <f>MROUND(G1294*N1294,0.000001)</f>
        <v>5.1916180000000001</v>
      </c>
      <c r="P1294" s="166"/>
      <c r="Q1294" s="166">
        <f t="shared" si="283"/>
        <v>31.149708</v>
      </c>
      <c r="R1294" s="71"/>
    </row>
    <row r="1295" spans="1:18" s="62" customFormat="1" x14ac:dyDescent="0.25">
      <c r="A1295" s="358"/>
      <c r="B1295" s="361"/>
      <c r="C1295" s="245" t="s">
        <v>297</v>
      </c>
      <c r="D1295" s="240"/>
      <c r="E1295" s="240"/>
      <c r="F1295" s="240"/>
      <c r="G1295" s="227"/>
      <c r="H1295" s="241"/>
      <c r="I1295" s="206"/>
      <c r="J1295" s="228"/>
      <c r="K1295" s="207"/>
      <c r="L1295" s="257"/>
      <c r="M1295" s="209"/>
      <c r="N1295" s="210"/>
      <c r="O1295" s="198">
        <f>SUM(O1294)</f>
        <v>5.1916180000000001</v>
      </c>
      <c r="P1295" s="267"/>
      <c r="Q1295" s="166"/>
      <c r="R1295" s="71"/>
    </row>
    <row r="1296" spans="1:18" s="61" customFormat="1" ht="78.75" x14ac:dyDescent="0.25">
      <c r="A1296" s="358"/>
      <c r="B1296" s="361"/>
      <c r="C1296" s="221" t="s">
        <v>236</v>
      </c>
      <c r="D1296" s="156" t="s">
        <v>19</v>
      </c>
      <c r="E1296" s="181" t="s">
        <v>20</v>
      </c>
      <c r="F1296" s="181" t="s">
        <v>238</v>
      </c>
      <c r="G1296" s="238">
        <f>MROUND(H1296*L1296*I1296/K1296,0.000001)</f>
        <v>0</v>
      </c>
      <c r="H1296" s="158"/>
      <c r="I1296" s="159">
        <f>I1292</f>
        <v>3.0273000000000002E-4</v>
      </c>
      <c r="J1296" s="160"/>
      <c r="K1296" s="161">
        <f>K1292</f>
        <v>6</v>
      </c>
      <c r="L1296" s="250"/>
      <c r="M1296" s="163"/>
      <c r="N1296" s="164"/>
      <c r="O1296" s="165">
        <f>MROUND(G1296*N1296,0.000001)</f>
        <v>0</v>
      </c>
      <c r="P1296" s="166"/>
      <c r="Q1296" s="166">
        <f t="shared" si="283"/>
        <v>0</v>
      </c>
      <c r="R1296" s="71"/>
    </row>
    <row r="1297" spans="1:18" s="62" customFormat="1" x14ac:dyDescent="0.25">
      <c r="A1297" s="358"/>
      <c r="B1297" s="361"/>
      <c r="C1297" s="245" t="s">
        <v>298</v>
      </c>
      <c r="D1297" s="240"/>
      <c r="E1297" s="253"/>
      <c r="F1297" s="253"/>
      <c r="G1297" s="227"/>
      <c r="H1297" s="241"/>
      <c r="I1297" s="206"/>
      <c r="J1297" s="228"/>
      <c r="K1297" s="207"/>
      <c r="L1297" s="257"/>
      <c r="M1297" s="209"/>
      <c r="N1297" s="210"/>
      <c r="O1297" s="198">
        <f>SUM(O1296)</f>
        <v>0</v>
      </c>
      <c r="P1297" s="267"/>
      <c r="Q1297" s="166"/>
      <c r="R1297" s="71"/>
    </row>
    <row r="1298" spans="1:18" s="61" customFormat="1" ht="30" x14ac:dyDescent="0.25">
      <c r="A1298" s="358"/>
      <c r="B1298" s="361"/>
      <c r="C1298" s="365" t="s">
        <v>81</v>
      </c>
      <c r="D1298" s="254" t="s">
        <v>410</v>
      </c>
      <c r="E1298" s="156" t="s">
        <v>28</v>
      </c>
      <c r="F1298" s="156" t="s">
        <v>28</v>
      </c>
      <c r="G1298" s="238">
        <f>MROUND(H1298*L1298*I1298/K1298,0.0000000001)</f>
        <v>3.53185E-4</v>
      </c>
      <c r="H1298" s="158">
        <f>H98</f>
        <v>7</v>
      </c>
      <c r="I1298" s="159">
        <f>I1292</f>
        <v>3.0273000000000002E-4</v>
      </c>
      <c r="J1298" s="160"/>
      <c r="K1298" s="161">
        <f>K1292</f>
        <v>6</v>
      </c>
      <c r="L1298" s="250">
        <v>1</v>
      </c>
      <c r="M1298" s="163" t="str">
        <f>CONCATENATE(H1298," ",F1298,"*",I1298,"/",K1298,"чел.")</f>
        <v>7 шт*0,00030273/6чел.</v>
      </c>
      <c r="N1298" s="164">
        <f>N98</f>
        <v>152142.85714285713</v>
      </c>
      <c r="O1298" s="165">
        <f>MROUND(G1298*N1298,0.000001)</f>
        <v>53.734575</v>
      </c>
      <c r="P1298" s="166"/>
      <c r="Q1298" s="166">
        <f t="shared" si="283"/>
        <v>322.40744999999998</v>
      </c>
      <c r="R1298" s="71"/>
    </row>
    <row r="1299" spans="1:18" s="61" customFormat="1" x14ac:dyDescent="0.25">
      <c r="A1299" s="358"/>
      <c r="B1299" s="361"/>
      <c r="C1299" s="366"/>
      <c r="D1299" s="254" t="s">
        <v>325</v>
      </c>
      <c r="E1299" s="156" t="s">
        <v>28</v>
      </c>
      <c r="F1299" s="156" t="s">
        <v>28</v>
      </c>
      <c r="G1299" s="157">
        <f>MROUND(H1299*L1299*I1299/K1299,0.0000000001)</f>
        <v>1.1604650000000001E-3</v>
      </c>
      <c r="H1299" s="158">
        <f>$H$99</f>
        <v>23</v>
      </c>
      <c r="I1299" s="159">
        <f>I1298</f>
        <v>3.0273000000000002E-4</v>
      </c>
      <c r="J1299" s="160"/>
      <c r="K1299" s="161">
        <f>K1298</f>
        <v>6</v>
      </c>
      <c r="L1299" s="250">
        <v>1</v>
      </c>
      <c r="M1299" s="163" t="str">
        <f>CONCATENATE(H1299," ",F1299,"*",I1299,"/",K1299,"чел.")</f>
        <v>23 шт*0,00030273/6чел.</v>
      </c>
      <c r="N1299" s="164">
        <f>$N$99</f>
        <v>229039.13043478262</v>
      </c>
      <c r="O1299" s="165">
        <f>MROUND(G1299*N1299,0.000001)</f>
        <v>265.79189500000001</v>
      </c>
      <c r="P1299" s="166"/>
      <c r="Q1299" s="166">
        <f t="shared" si="283"/>
        <v>1594.75137</v>
      </c>
      <c r="R1299" s="71"/>
    </row>
    <row r="1300" spans="1:18" s="61" customFormat="1" ht="30" x14ac:dyDescent="0.25">
      <c r="A1300" s="358"/>
      <c r="B1300" s="361"/>
      <c r="C1300" s="366"/>
      <c r="D1300" s="254" t="s">
        <v>411</v>
      </c>
      <c r="E1300" s="156" t="s">
        <v>28</v>
      </c>
      <c r="F1300" s="156" t="s">
        <v>28</v>
      </c>
      <c r="G1300" s="238">
        <f>MROUND(H1300*L1300*I1300/K1300,0.00000001)</f>
        <v>3.5319000000000003E-4</v>
      </c>
      <c r="H1300" s="158">
        <f>$H$100</f>
        <v>7</v>
      </c>
      <c r="I1300" s="159">
        <f>I1298</f>
        <v>3.0273000000000002E-4</v>
      </c>
      <c r="J1300" s="160"/>
      <c r="K1300" s="161">
        <f>K1298</f>
        <v>6</v>
      </c>
      <c r="L1300" s="250">
        <v>1</v>
      </c>
      <c r="M1300" s="163" t="str">
        <f t="shared" ref="M1300:M1321" si="284">CONCATENATE(H1300," ",F1300,"*",I1300,"/",K1300,"чел.")</f>
        <v>7 шт*0,00030273/6чел.</v>
      </c>
      <c r="N1300" s="164">
        <f t="shared" ref="N1300:N1314" si="285">N100</f>
        <v>82142.857142857145</v>
      </c>
      <c r="O1300" s="165">
        <f t="shared" ref="O1300:O1321" si="286">MROUND(G1300*N1300,0.000001)</f>
        <v>29.012035999999998</v>
      </c>
      <c r="P1300" s="166"/>
      <c r="Q1300" s="166">
        <f t="shared" si="283"/>
        <v>174.072216</v>
      </c>
      <c r="R1300" s="71"/>
    </row>
    <row r="1301" spans="1:18" s="61" customFormat="1" x14ac:dyDescent="0.25">
      <c r="A1301" s="358"/>
      <c r="B1301" s="361"/>
      <c r="C1301" s="366"/>
      <c r="D1301" s="255" t="s">
        <v>412</v>
      </c>
      <c r="E1301" s="156" t="s">
        <v>28</v>
      </c>
      <c r="F1301" s="156" t="s">
        <v>28</v>
      </c>
      <c r="G1301" s="238">
        <f>MROUND(H1301*L1301*I1301/K1301,0.00000001)</f>
        <v>1.76593E-3</v>
      </c>
      <c r="H1301" s="158">
        <f>$H$101</f>
        <v>35</v>
      </c>
      <c r="I1301" s="159">
        <f>I1300</f>
        <v>3.0273000000000002E-4</v>
      </c>
      <c r="J1301" s="160"/>
      <c r="K1301" s="161">
        <f>K1300</f>
        <v>6</v>
      </c>
      <c r="L1301" s="250">
        <v>1</v>
      </c>
      <c r="M1301" s="163" t="str">
        <f t="shared" si="284"/>
        <v>35 шт*0,00030273/6чел.</v>
      </c>
      <c r="N1301" s="164">
        <f t="shared" si="285"/>
        <v>126114.97142857143</v>
      </c>
      <c r="O1301" s="165">
        <f t="shared" si="286"/>
        <v>222.71021099999999</v>
      </c>
      <c r="P1301" s="166"/>
      <c r="Q1301" s="166">
        <f t="shared" si="283"/>
        <v>1336.261266</v>
      </c>
      <c r="R1301" s="71"/>
    </row>
    <row r="1302" spans="1:18" s="61" customFormat="1" ht="31.5" x14ac:dyDescent="0.25">
      <c r="A1302" s="358"/>
      <c r="B1302" s="361"/>
      <c r="C1302" s="366"/>
      <c r="D1302" s="255" t="s">
        <v>413</v>
      </c>
      <c r="E1302" s="156" t="s">
        <v>28</v>
      </c>
      <c r="F1302" s="156" t="s">
        <v>28</v>
      </c>
      <c r="G1302" s="238">
        <f>MROUND(H1302*L1302*I1302/K1302,0.0000000001)</f>
        <v>7.5682500000000003E-4</v>
      </c>
      <c r="H1302" s="158">
        <f>H102</f>
        <v>15</v>
      </c>
      <c r="I1302" s="159">
        <f>I1301</f>
        <v>3.0273000000000002E-4</v>
      </c>
      <c r="J1302" s="160"/>
      <c r="K1302" s="161">
        <f>K1301</f>
        <v>6</v>
      </c>
      <c r="L1302" s="250">
        <v>1</v>
      </c>
      <c r="M1302" s="163" t="str">
        <f t="shared" si="284"/>
        <v>15 шт*0,00030273/6чел.</v>
      </c>
      <c r="N1302" s="164">
        <f t="shared" si="285"/>
        <v>75333.333333333328</v>
      </c>
      <c r="O1302" s="165">
        <f t="shared" si="286"/>
        <v>57.014150000000001</v>
      </c>
      <c r="P1302" s="166"/>
      <c r="Q1302" s="166">
        <f t="shared" si="283"/>
        <v>342.0849</v>
      </c>
      <c r="R1302" s="71"/>
    </row>
    <row r="1303" spans="1:18" s="61" customFormat="1" x14ac:dyDescent="0.25">
      <c r="A1303" s="358"/>
      <c r="B1303" s="361"/>
      <c r="C1303" s="366"/>
      <c r="D1303" s="254" t="s">
        <v>109</v>
      </c>
      <c r="E1303" s="156" t="s">
        <v>28</v>
      </c>
      <c r="F1303" s="156" t="s">
        <v>28</v>
      </c>
      <c r="G1303" s="238">
        <f>MROUND(H1303*L1303*I1303/K1303,0.0000000001)</f>
        <v>8.0728000000000006E-4</v>
      </c>
      <c r="H1303" s="158">
        <f>$H$103</f>
        <v>16</v>
      </c>
      <c r="I1303" s="159">
        <f>I1302</f>
        <v>3.0273000000000002E-4</v>
      </c>
      <c r="J1303" s="160"/>
      <c r="K1303" s="161">
        <f>K1302</f>
        <v>6</v>
      </c>
      <c r="L1303" s="250">
        <v>1</v>
      </c>
      <c r="M1303" s="163" t="str">
        <f t="shared" si="284"/>
        <v>16 шт*0,00030273/6чел.</v>
      </c>
      <c r="N1303" s="164">
        <f t="shared" si="285"/>
        <v>169687.5</v>
      </c>
      <c r="O1303" s="165">
        <f t="shared" si="286"/>
        <v>136.98532499999999</v>
      </c>
      <c r="P1303" s="166"/>
      <c r="Q1303" s="166">
        <f t="shared" si="283"/>
        <v>821.91194999999993</v>
      </c>
      <c r="R1303" s="71"/>
    </row>
    <row r="1304" spans="1:18" s="61" customFormat="1" x14ac:dyDescent="0.25">
      <c r="A1304" s="358"/>
      <c r="B1304" s="361"/>
      <c r="C1304" s="366"/>
      <c r="D1304" s="254" t="s">
        <v>414</v>
      </c>
      <c r="E1304" s="156" t="s">
        <v>28</v>
      </c>
      <c r="F1304" s="156" t="s">
        <v>28</v>
      </c>
      <c r="G1304" s="238">
        <f>MROUND(H1304*L1304*I1304/K1304,0.0000000001)</f>
        <v>4.5409500000000001E-4</v>
      </c>
      <c r="H1304" s="158">
        <f>$H$104</f>
        <v>9</v>
      </c>
      <c r="I1304" s="159">
        <f>I1302</f>
        <v>3.0273000000000002E-4</v>
      </c>
      <c r="J1304" s="160"/>
      <c r="K1304" s="161">
        <f>K1302</f>
        <v>6</v>
      </c>
      <c r="L1304" s="250">
        <v>1</v>
      </c>
      <c r="M1304" s="163" t="str">
        <f t="shared" si="284"/>
        <v>9 шт*0,00030273/6чел.</v>
      </c>
      <c r="N1304" s="164">
        <f t="shared" si="285"/>
        <v>89333.333333333328</v>
      </c>
      <c r="O1304" s="165">
        <f t="shared" si="286"/>
        <v>40.565819999999995</v>
      </c>
      <c r="P1304" s="166"/>
      <c r="Q1304" s="166">
        <f t="shared" si="283"/>
        <v>243.39491999999996</v>
      </c>
      <c r="R1304" s="71"/>
    </row>
    <row r="1305" spans="1:18" s="61" customFormat="1" x14ac:dyDescent="0.25">
      <c r="A1305" s="358"/>
      <c r="B1305" s="361"/>
      <c r="C1305" s="366"/>
      <c r="D1305" s="254" t="s">
        <v>415</v>
      </c>
      <c r="E1305" s="156" t="s">
        <v>28</v>
      </c>
      <c r="F1305" s="156" t="s">
        <v>28</v>
      </c>
      <c r="G1305" s="238">
        <f>MROUND(H1305*L1305*I1305/K1305,0.00000001)</f>
        <v>5.5500999999999999E-4</v>
      </c>
      <c r="H1305" s="158">
        <f>$H$105</f>
        <v>11</v>
      </c>
      <c r="I1305" s="159">
        <f t="shared" ref="I1305:I1314" si="287">I1303</f>
        <v>3.0273000000000002E-4</v>
      </c>
      <c r="J1305" s="160"/>
      <c r="K1305" s="161">
        <f t="shared" ref="K1305:K1314" si="288">K1303</f>
        <v>6</v>
      </c>
      <c r="L1305" s="250">
        <v>1</v>
      </c>
      <c r="M1305" s="163" t="str">
        <f t="shared" si="284"/>
        <v>11 шт*0,00030273/6чел.</v>
      </c>
      <c r="N1305" s="164">
        <f t="shared" si="285"/>
        <v>122181.81818181818</v>
      </c>
      <c r="O1305" s="165">
        <f t="shared" si="286"/>
        <v>67.812130999999994</v>
      </c>
      <c r="P1305" s="166"/>
      <c r="Q1305" s="166">
        <f t="shared" si="283"/>
        <v>406.87278599999996</v>
      </c>
      <c r="R1305" s="71"/>
    </row>
    <row r="1306" spans="1:18" s="61" customFormat="1" x14ac:dyDescent="0.25">
      <c r="A1306" s="358"/>
      <c r="B1306" s="361"/>
      <c r="C1306" s="366"/>
      <c r="D1306" s="254" t="s">
        <v>416</v>
      </c>
      <c r="E1306" s="156" t="s">
        <v>28</v>
      </c>
      <c r="F1306" s="156" t="s">
        <v>28</v>
      </c>
      <c r="G1306" s="238">
        <f>MROUND(H1306*L1306*I1306/K1306,0.000000001)</f>
        <v>1.0091E-3</v>
      </c>
      <c r="H1306" s="246">
        <f>$H$106</f>
        <v>20</v>
      </c>
      <c r="I1306" s="159">
        <f t="shared" si="287"/>
        <v>3.0273000000000002E-4</v>
      </c>
      <c r="J1306" s="160"/>
      <c r="K1306" s="161">
        <f t="shared" si="288"/>
        <v>6</v>
      </c>
      <c r="L1306" s="250">
        <v>1</v>
      </c>
      <c r="M1306" s="163" t="str">
        <f t="shared" si="284"/>
        <v>20 шт*0,00030273/6чел.</v>
      </c>
      <c r="N1306" s="164">
        <f t="shared" si="285"/>
        <v>52500</v>
      </c>
      <c r="O1306" s="165">
        <f t="shared" si="286"/>
        <v>52.97775</v>
      </c>
      <c r="P1306" s="166"/>
      <c r="Q1306" s="166">
        <f t="shared" si="283"/>
        <v>317.86649999999997</v>
      </c>
      <c r="R1306" s="71"/>
    </row>
    <row r="1307" spans="1:18" s="61" customFormat="1" x14ac:dyDescent="0.25">
      <c r="A1307" s="358"/>
      <c r="B1307" s="361"/>
      <c r="C1307" s="366"/>
      <c r="D1307" s="254" t="s">
        <v>417</v>
      </c>
      <c r="E1307" s="156" t="s">
        <v>28</v>
      </c>
      <c r="F1307" s="156" t="s">
        <v>28</v>
      </c>
      <c r="G1307" s="238">
        <f>MROUND(H1307*L1307*I1307/K1307,0.00000001)</f>
        <v>8.5774000000000006E-4</v>
      </c>
      <c r="H1307" s="158">
        <f>$H$107</f>
        <v>17</v>
      </c>
      <c r="I1307" s="159">
        <f t="shared" si="287"/>
        <v>3.0273000000000002E-4</v>
      </c>
      <c r="J1307" s="160"/>
      <c r="K1307" s="161">
        <f t="shared" si="288"/>
        <v>6</v>
      </c>
      <c r="L1307" s="250">
        <v>1</v>
      </c>
      <c r="M1307" s="163" t="str">
        <f t="shared" si="284"/>
        <v>17 шт*0,00030273/6чел.</v>
      </c>
      <c r="N1307" s="164">
        <f t="shared" si="285"/>
        <v>75000</v>
      </c>
      <c r="O1307" s="165">
        <f t="shared" si="286"/>
        <v>64.330500000000001</v>
      </c>
      <c r="P1307" s="166"/>
      <c r="Q1307" s="166">
        <f t="shared" si="283"/>
        <v>385.983</v>
      </c>
      <c r="R1307" s="71"/>
    </row>
    <row r="1308" spans="1:18" s="61" customFormat="1" ht="30" x14ac:dyDescent="0.25">
      <c r="A1308" s="358"/>
      <c r="B1308" s="361"/>
      <c r="C1308" s="366"/>
      <c r="D1308" s="254" t="s">
        <v>418</v>
      </c>
      <c r="E1308" s="156" t="s">
        <v>28</v>
      </c>
      <c r="F1308" s="156" t="s">
        <v>28</v>
      </c>
      <c r="G1308" s="238">
        <f>MROUND(H1308*L1308*I1308/K1308,0.00000001)</f>
        <v>4.5410000000000003E-4</v>
      </c>
      <c r="H1308" s="158">
        <f>H108</f>
        <v>9</v>
      </c>
      <c r="I1308" s="159">
        <f t="shared" si="287"/>
        <v>3.0273000000000002E-4</v>
      </c>
      <c r="J1308" s="160"/>
      <c r="K1308" s="161">
        <f t="shared" si="288"/>
        <v>6</v>
      </c>
      <c r="L1308" s="250">
        <v>1</v>
      </c>
      <c r="M1308" s="163" t="str">
        <f t="shared" si="284"/>
        <v>9 шт*0,00030273/6чел.</v>
      </c>
      <c r="N1308" s="164">
        <f t="shared" si="285"/>
        <v>66666.666666666672</v>
      </c>
      <c r="O1308" s="165">
        <f t="shared" si="286"/>
        <v>30.273332999999997</v>
      </c>
      <c r="P1308" s="166"/>
      <c r="Q1308" s="166">
        <f t="shared" si="283"/>
        <v>181.63999799999999</v>
      </c>
      <c r="R1308" s="71"/>
    </row>
    <row r="1309" spans="1:18" s="61" customFormat="1" x14ac:dyDescent="0.25">
      <c r="A1309" s="358"/>
      <c r="B1309" s="361"/>
      <c r="C1309" s="366"/>
      <c r="D1309" s="254" t="s">
        <v>324</v>
      </c>
      <c r="E1309" s="156" t="s">
        <v>28</v>
      </c>
      <c r="F1309" s="156" t="s">
        <v>28</v>
      </c>
      <c r="G1309" s="238">
        <f>MROUND(H1309*L1309*I1309/K1309,0.000000001)</f>
        <v>9.0819000000000002E-4</v>
      </c>
      <c r="H1309" s="158">
        <f>$H$109</f>
        <v>18</v>
      </c>
      <c r="I1309" s="159">
        <f t="shared" si="287"/>
        <v>3.0273000000000002E-4</v>
      </c>
      <c r="J1309" s="160"/>
      <c r="K1309" s="161">
        <f t="shared" si="288"/>
        <v>6</v>
      </c>
      <c r="L1309" s="250">
        <v>1</v>
      </c>
      <c r="M1309" s="163" t="str">
        <f t="shared" si="284"/>
        <v>18 шт*0,00030273/6чел.</v>
      </c>
      <c r="N1309" s="164">
        <f t="shared" si="285"/>
        <v>365277.77777777775</v>
      </c>
      <c r="O1309" s="165">
        <f t="shared" si="286"/>
        <v>331.741625</v>
      </c>
      <c r="P1309" s="166"/>
      <c r="Q1309" s="166">
        <f t="shared" si="283"/>
        <v>1990.44975</v>
      </c>
      <c r="R1309" s="71"/>
    </row>
    <row r="1310" spans="1:18" s="61" customFormat="1" x14ac:dyDescent="0.25">
      <c r="A1310" s="358"/>
      <c r="B1310" s="361"/>
      <c r="C1310" s="366"/>
      <c r="D1310" s="254" t="s">
        <v>419</v>
      </c>
      <c r="E1310" s="156" t="s">
        <v>28</v>
      </c>
      <c r="F1310" s="156" t="s">
        <v>28</v>
      </c>
      <c r="G1310" s="238">
        <f>MROUND(H1310*L1310*I1310/K1310,0.000000001)</f>
        <v>1.2109200000000001E-3</v>
      </c>
      <c r="H1310" s="246">
        <f>$H$110</f>
        <v>24</v>
      </c>
      <c r="I1310" s="159">
        <f t="shared" si="287"/>
        <v>3.0273000000000002E-4</v>
      </c>
      <c r="J1310" s="160"/>
      <c r="K1310" s="161">
        <f t="shared" si="288"/>
        <v>6</v>
      </c>
      <c r="L1310" s="250">
        <v>1</v>
      </c>
      <c r="M1310" s="163" t="str">
        <f t="shared" si="284"/>
        <v>24 шт*0,00030273/6чел.</v>
      </c>
      <c r="N1310" s="164">
        <f t="shared" si="285"/>
        <v>32416.666666666668</v>
      </c>
      <c r="O1310" s="165">
        <f t="shared" si="286"/>
        <v>39.253990000000002</v>
      </c>
      <c r="P1310" s="166"/>
      <c r="Q1310" s="166">
        <f t="shared" si="283"/>
        <v>235.52394000000001</v>
      </c>
      <c r="R1310" s="71"/>
    </row>
    <row r="1311" spans="1:18" s="61" customFormat="1" x14ac:dyDescent="0.25">
      <c r="A1311" s="358"/>
      <c r="B1311" s="361"/>
      <c r="C1311" s="366"/>
      <c r="D1311" s="254" t="s">
        <v>420</v>
      </c>
      <c r="E1311" s="156" t="s">
        <v>28</v>
      </c>
      <c r="F1311" s="156" t="s">
        <v>28</v>
      </c>
      <c r="G1311" s="238">
        <f>MROUND(H1311*L1311*I1311/K1311,0.000000001)</f>
        <v>7.5682500000000003E-4</v>
      </c>
      <c r="H1311" s="158">
        <f>H111</f>
        <v>15</v>
      </c>
      <c r="I1311" s="159">
        <f t="shared" si="287"/>
        <v>3.0273000000000002E-4</v>
      </c>
      <c r="J1311" s="160"/>
      <c r="K1311" s="161">
        <f t="shared" si="288"/>
        <v>6</v>
      </c>
      <c r="L1311" s="250">
        <v>1</v>
      </c>
      <c r="M1311" s="163" t="str">
        <f t="shared" si="284"/>
        <v>15 шт*0,00030273/6чел.</v>
      </c>
      <c r="N1311" s="164">
        <f t="shared" si="285"/>
        <v>127666.66666666667</v>
      </c>
      <c r="O1311" s="165">
        <f t="shared" si="286"/>
        <v>96.621324999999999</v>
      </c>
      <c r="P1311" s="166"/>
      <c r="Q1311" s="166">
        <f t="shared" si="283"/>
        <v>579.72794999999996</v>
      </c>
      <c r="R1311" s="71"/>
    </row>
    <row r="1312" spans="1:18" s="61" customFormat="1" x14ac:dyDescent="0.25">
      <c r="A1312" s="358"/>
      <c r="B1312" s="361"/>
      <c r="C1312" s="366"/>
      <c r="D1312" s="254" t="s">
        <v>421</v>
      </c>
      <c r="E1312" s="156" t="s">
        <v>28</v>
      </c>
      <c r="F1312" s="156" t="s">
        <v>28</v>
      </c>
      <c r="G1312" s="238">
        <f>MROUND(H1312*L1312*I1312/K1312,0.00000001)</f>
        <v>1.4632E-3</v>
      </c>
      <c r="H1312" s="158">
        <f>$H$112</f>
        <v>29</v>
      </c>
      <c r="I1312" s="159">
        <f t="shared" si="287"/>
        <v>3.0273000000000002E-4</v>
      </c>
      <c r="J1312" s="160"/>
      <c r="K1312" s="161">
        <f t="shared" si="288"/>
        <v>6</v>
      </c>
      <c r="L1312" s="250">
        <v>1</v>
      </c>
      <c r="M1312" s="163" t="str">
        <f t="shared" si="284"/>
        <v>29 шт*0,00030273/6чел.</v>
      </c>
      <c r="N1312" s="164">
        <f t="shared" si="285"/>
        <v>13517.241379310344</v>
      </c>
      <c r="O1312" s="165">
        <f t="shared" si="286"/>
        <v>19.778427999999998</v>
      </c>
      <c r="P1312" s="166"/>
      <c r="Q1312" s="166">
        <f t="shared" si="283"/>
        <v>118.67056799999999</v>
      </c>
      <c r="R1312" s="71"/>
    </row>
    <row r="1313" spans="1:18" s="61" customFormat="1" ht="30" x14ac:dyDescent="0.25">
      <c r="A1313" s="358"/>
      <c r="B1313" s="361"/>
      <c r="C1313" s="366"/>
      <c r="D1313" s="254" t="s">
        <v>422</v>
      </c>
      <c r="E1313" s="156" t="s">
        <v>28</v>
      </c>
      <c r="F1313" s="156" t="s">
        <v>28</v>
      </c>
      <c r="G1313" s="266">
        <f>MROUND(H1313*L1313*I1313/K1313,0.00000001)</f>
        <v>9.0819000000000002E-4</v>
      </c>
      <c r="H1313" s="158">
        <f>H1193</f>
        <v>18</v>
      </c>
      <c r="I1313" s="159">
        <f t="shared" si="287"/>
        <v>3.0273000000000002E-4</v>
      </c>
      <c r="J1313" s="160"/>
      <c r="K1313" s="161">
        <f t="shared" si="288"/>
        <v>6</v>
      </c>
      <c r="L1313" s="250">
        <v>1</v>
      </c>
      <c r="M1313" s="163" t="str">
        <f t="shared" si="284"/>
        <v>18 шт*0,00030273/6чел.</v>
      </c>
      <c r="N1313" s="164">
        <f t="shared" si="285"/>
        <v>34944.444444444445</v>
      </c>
      <c r="O1313" s="165">
        <f t="shared" si="286"/>
        <v>31.736194999999999</v>
      </c>
      <c r="P1313" s="166"/>
      <c r="Q1313" s="166">
        <f t="shared" si="283"/>
        <v>190.41717</v>
      </c>
      <c r="R1313" s="71"/>
    </row>
    <row r="1314" spans="1:18" s="61" customFormat="1" x14ac:dyDescent="0.25">
      <c r="A1314" s="358"/>
      <c r="B1314" s="361"/>
      <c r="C1314" s="366"/>
      <c r="D1314" s="254" t="s">
        <v>423</v>
      </c>
      <c r="E1314" s="156" t="s">
        <v>28</v>
      </c>
      <c r="F1314" s="156" t="s">
        <v>28</v>
      </c>
      <c r="G1314" s="238">
        <f>MROUND(H1314*L1314*I1314/K1314,0.000000001)</f>
        <v>1.0091E-3</v>
      </c>
      <c r="H1314" s="158">
        <f>$H$114</f>
        <v>20</v>
      </c>
      <c r="I1314" s="159">
        <f t="shared" si="287"/>
        <v>3.0273000000000002E-4</v>
      </c>
      <c r="J1314" s="160"/>
      <c r="K1314" s="161">
        <f t="shared" si="288"/>
        <v>6</v>
      </c>
      <c r="L1314" s="250">
        <v>1</v>
      </c>
      <c r="M1314" s="163" t="str">
        <f t="shared" si="284"/>
        <v>20 шт*0,00030273/6чел.</v>
      </c>
      <c r="N1314" s="164">
        <f t="shared" si="285"/>
        <v>74500</v>
      </c>
      <c r="O1314" s="165">
        <f t="shared" si="286"/>
        <v>75.177949999999996</v>
      </c>
      <c r="P1314" s="166"/>
      <c r="Q1314" s="166">
        <f t="shared" si="283"/>
        <v>451.06769999999995</v>
      </c>
      <c r="R1314" s="71"/>
    </row>
    <row r="1315" spans="1:18" s="61" customFormat="1" x14ac:dyDescent="0.25">
      <c r="A1315" s="358"/>
      <c r="B1315" s="361"/>
      <c r="C1315" s="366"/>
      <c r="D1315" s="254" t="s">
        <v>424</v>
      </c>
      <c r="E1315" s="156" t="s">
        <v>28</v>
      </c>
      <c r="F1315" s="156" t="s">
        <v>28</v>
      </c>
      <c r="G1315" s="238">
        <f t="shared" ref="G1315:G1321" si="289">MROUND(H1315*L1315*I1315/K1315,0.00000001)</f>
        <v>1.76593E-3</v>
      </c>
      <c r="H1315" s="158">
        <f>H835</f>
        <v>35</v>
      </c>
      <c r="I1315" s="159">
        <f>I1304</f>
        <v>3.0273000000000002E-4</v>
      </c>
      <c r="J1315" s="160"/>
      <c r="K1315" s="161">
        <f>K1304</f>
        <v>6</v>
      </c>
      <c r="L1315" s="250">
        <v>1</v>
      </c>
      <c r="M1315" s="163" t="str">
        <f t="shared" si="284"/>
        <v>35 шт*0,00030273/6чел.</v>
      </c>
      <c r="N1315" s="164">
        <f>N835</f>
        <v>34285.714285714283</v>
      </c>
      <c r="O1315" s="165">
        <f t="shared" si="286"/>
        <v>60.546170999999994</v>
      </c>
      <c r="P1315" s="166"/>
      <c r="Q1315" s="166">
        <f t="shared" si="283"/>
        <v>363.27702599999998</v>
      </c>
      <c r="R1315" s="71"/>
    </row>
    <row r="1316" spans="1:18" s="61" customFormat="1" x14ac:dyDescent="0.25">
      <c r="A1316" s="358"/>
      <c r="B1316" s="361"/>
      <c r="C1316" s="366"/>
      <c r="D1316" s="254" t="s">
        <v>425</v>
      </c>
      <c r="E1316" s="156" t="s">
        <v>28</v>
      </c>
      <c r="F1316" s="156" t="s">
        <v>28</v>
      </c>
      <c r="G1316" s="277">
        <f t="shared" si="289"/>
        <v>1.76593E-3</v>
      </c>
      <c r="H1316" s="158">
        <f>H236</f>
        <v>35</v>
      </c>
      <c r="I1316" s="159">
        <f t="shared" ref="I1316:I1321" si="290">I1315</f>
        <v>3.0273000000000002E-4</v>
      </c>
      <c r="J1316" s="160"/>
      <c r="K1316" s="161">
        <f t="shared" ref="K1316:K1321" si="291">K1315</f>
        <v>6</v>
      </c>
      <c r="L1316" s="250">
        <v>1</v>
      </c>
      <c r="M1316" s="163" t="str">
        <f t="shared" si="284"/>
        <v>35 шт*0,00030273/6чел.</v>
      </c>
      <c r="N1316" s="164">
        <f t="shared" ref="N1316:N1321" si="292">N116</f>
        <v>19102.857142857141</v>
      </c>
      <c r="O1316" s="165">
        <f t="shared" si="286"/>
        <v>33.734308999999996</v>
      </c>
      <c r="P1316" s="166"/>
      <c r="Q1316" s="166">
        <f t="shared" si="283"/>
        <v>202.40585399999998</v>
      </c>
      <c r="R1316" s="71"/>
    </row>
    <row r="1317" spans="1:18" s="61" customFormat="1" x14ac:dyDescent="0.25">
      <c r="A1317" s="358"/>
      <c r="B1317" s="361"/>
      <c r="C1317" s="366"/>
      <c r="D1317" s="254" t="s">
        <v>108</v>
      </c>
      <c r="E1317" s="156" t="s">
        <v>28</v>
      </c>
      <c r="F1317" s="156" t="s">
        <v>28</v>
      </c>
      <c r="G1317" s="238">
        <f t="shared" si="289"/>
        <v>4.3643580000000001E-2</v>
      </c>
      <c r="H1317" s="158">
        <f>$H$117</f>
        <v>865</v>
      </c>
      <c r="I1317" s="159">
        <f t="shared" si="290"/>
        <v>3.0273000000000002E-4</v>
      </c>
      <c r="J1317" s="160"/>
      <c r="K1317" s="161">
        <f t="shared" si="291"/>
        <v>6</v>
      </c>
      <c r="L1317" s="250">
        <v>1</v>
      </c>
      <c r="M1317" s="163" t="str">
        <f t="shared" si="284"/>
        <v>865 шт*0,00030273/6чел.</v>
      </c>
      <c r="N1317" s="164">
        <f t="shared" si="292"/>
        <v>779.36416184971097</v>
      </c>
      <c r="O1317" s="165">
        <f t="shared" si="286"/>
        <v>34.014241999999996</v>
      </c>
      <c r="P1317" s="166"/>
      <c r="Q1317" s="166">
        <f t="shared" si="283"/>
        <v>204.08545199999998</v>
      </c>
      <c r="R1317" s="71"/>
    </row>
    <row r="1318" spans="1:18" s="61" customFormat="1" x14ac:dyDescent="0.25">
      <c r="A1318" s="358"/>
      <c r="B1318" s="361"/>
      <c r="C1318" s="366"/>
      <c r="D1318" s="254" t="s">
        <v>426</v>
      </c>
      <c r="E1318" s="156" t="s">
        <v>28</v>
      </c>
      <c r="F1318" s="156" t="s">
        <v>28</v>
      </c>
      <c r="G1318" s="238">
        <f t="shared" si="289"/>
        <v>2.2200200000000001E-3</v>
      </c>
      <c r="H1318" s="158">
        <f>H598</f>
        <v>44</v>
      </c>
      <c r="I1318" s="159">
        <f t="shared" si="290"/>
        <v>3.0273000000000002E-4</v>
      </c>
      <c r="J1318" s="160"/>
      <c r="K1318" s="161">
        <f t="shared" si="291"/>
        <v>6</v>
      </c>
      <c r="L1318" s="250">
        <v>1</v>
      </c>
      <c r="M1318" s="163" t="str">
        <f t="shared" si="284"/>
        <v>44 шт*0,00030273/6чел.</v>
      </c>
      <c r="N1318" s="164">
        <f t="shared" si="292"/>
        <v>12416.954545454546</v>
      </c>
      <c r="O1318" s="165">
        <f t="shared" si="286"/>
        <v>27.565887</v>
      </c>
      <c r="P1318" s="166"/>
      <c r="Q1318" s="166">
        <f t="shared" si="283"/>
        <v>165.39532199999999</v>
      </c>
      <c r="R1318" s="71"/>
    </row>
    <row r="1319" spans="1:18" s="61" customFormat="1" x14ac:dyDescent="0.25">
      <c r="A1319" s="358"/>
      <c r="B1319" s="361"/>
      <c r="C1319" s="366"/>
      <c r="D1319" s="254" t="s">
        <v>427</v>
      </c>
      <c r="E1319" s="156" t="s">
        <v>28</v>
      </c>
      <c r="F1319" s="156" t="s">
        <v>28</v>
      </c>
      <c r="G1319" s="238">
        <f t="shared" si="289"/>
        <v>3.3300299999999999E-3</v>
      </c>
      <c r="H1319" s="158">
        <f>H239</f>
        <v>66</v>
      </c>
      <c r="I1319" s="159">
        <f t="shared" si="290"/>
        <v>3.0273000000000002E-4</v>
      </c>
      <c r="J1319" s="160"/>
      <c r="K1319" s="161">
        <f t="shared" si="291"/>
        <v>6</v>
      </c>
      <c r="L1319" s="250">
        <v>1</v>
      </c>
      <c r="M1319" s="163" t="str">
        <f t="shared" si="284"/>
        <v>66 шт*0,00030273/6чел.</v>
      </c>
      <c r="N1319" s="164">
        <f t="shared" si="292"/>
        <v>13060.60606060606</v>
      </c>
      <c r="O1319" s="165">
        <f t="shared" si="286"/>
        <v>43.49221</v>
      </c>
      <c r="P1319" s="166"/>
      <c r="Q1319" s="166">
        <f t="shared" si="283"/>
        <v>260.95326</v>
      </c>
      <c r="R1319" s="71"/>
    </row>
    <row r="1320" spans="1:18" s="61" customFormat="1" x14ac:dyDescent="0.25">
      <c r="A1320" s="358"/>
      <c r="B1320" s="361"/>
      <c r="C1320" s="366"/>
      <c r="D1320" s="254" t="s">
        <v>428</v>
      </c>
      <c r="E1320" s="156" t="s">
        <v>28</v>
      </c>
      <c r="F1320" s="156" t="s">
        <v>28</v>
      </c>
      <c r="G1320" s="238">
        <f t="shared" si="289"/>
        <v>1.7406979999999999E-2</v>
      </c>
      <c r="H1320" s="158">
        <f>H120</f>
        <v>345</v>
      </c>
      <c r="I1320" s="159">
        <f t="shared" si="290"/>
        <v>3.0273000000000002E-4</v>
      </c>
      <c r="J1320" s="160"/>
      <c r="K1320" s="161">
        <f t="shared" si="291"/>
        <v>6</v>
      </c>
      <c r="L1320" s="250">
        <v>1</v>
      </c>
      <c r="M1320" s="163" t="str">
        <f t="shared" si="284"/>
        <v>345 шт*0,00030273/6чел.</v>
      </c>
      <c r="N1320" s="164">
        <f t="shared" si="292"/>
        <v>8520.7246376811599</v>
      </c>
      <c r="O1320" s="165">
        <f t="shared" si="286"/>
        <v>148.32008299999998</v>
      </c>
      <c r="P1320" s="166"/>
      <c r="Q1320" s="166">
        <f t="shared" si="283"/>
        <v>889.92049799999995</v>
      </c>
      <c r="R1320" s="71"/>
    </row>
    <row r="1321" spans="1:18" s="61" customFormat="1" x14ac:dyDescent="0.25">
      <c r="A1321" s="358"/>
      <c r="B1321" s="361"/>
      <c r="C1321" s="366"/>
      <c r="D1321" s="255" t="s">
        <v>429</v>
      </c>
      <c r="E1321" s="156" t="s">
        <v>28</v>
      </c>
      <c r="F1321" s="156" t="s">
        <v>28</v>
      </c>
      <c r="G1321" s="238">
        <f t="shared" si="289"/>
        <v>2.4723000000000002E-3</v>
      </c>
      <c r="H1321" s="158">
        <f>H121</f>
        <v>49</v>
      </c>
      <c r="I1321" s="159">
        <f t="shared" si="290"/>
        <v>3.0273000000000002E-4</v>
      </c>
      <c r="J1321" s="160"/>
      <c r="K1321" s="161">
        <f t="shared" si="291"/>
        <v>6</v>
      </c>
      <c r="L1321" s="250">
        <v>1</v>
      </c>
      <c r="M1321" s="163" t="str">
        <f t="shared" si="284"/>
        <v>49 шт*0,00030273/6чел.</v>
      </c>
      <c r="N1321" s="164">
        <f t="shared" si="292"/>
        <v>53775.510204081635</v>
      </c>
      <c r="O1321" s="165">
        <f t="shared" si="286"/>
        <v>132.94919400000001</v>
      </c>
      <c r="P1321" s="166"/>
      <c r="Q1321" s="166">
        <f t="shared" si="283"/>
        <v>797.69516399999998</v>
      </c>
      <c r="R1321" s="71"/>
    </row>
    <row r="1322" spans="1:18" s="62" customFormat="1" x14ac:dyDescent="0.25">
      <c r="A1322" s="358"/>
      <c r="B1322" s="361"/>
      <c r="C1322" s="249" t="s">
        <v>299</v>
      </c>
      <c r="D1322" s="256"/>
      <c r="E1322" s="240"/>
      <c r="F1322" s="240"/>
      <c r="G1322" s="227"/>
      <c r="H1322" s="241"/>
      <c r="I1322" s="206"/>
      <c r="J1322" s="228"/>
      <c r="K1322" s="207"/>
      <c r="L1322" s="257"/>
      <c r="M1322" s="209"/>
      <c r="N1322" s="210"/>
      <c r="O1322" s="198">
        <f>SUM(O1298:O1321)</f>
        <v>2096.1393349999998</v>
      </c>
      <c r="P1322" s="267"/>
      <c r="Q1322" s="166"/>
      <c r="R1322" s="71"/>
    </row>
    <row r="1323" spans="1:18" s="61" customFormat="1" ht="110.25" x14ac:dyDescent="0.25">
      <c r="A1323" s="358"/>
      <c r="B1323" s="361"/>
      <c r="C1323" s="221" t="s">
        <v>82</v>
      </c>
      <c r="D1323" s="156" t="s">
        <v>46</v>
      </c>
      <c r="E1323" s="156" t="s">
        <v>54</v>
      </c>
      <c r="F1323" s="156" t="s">
        <v>285</v>
      </c>
      <c r="G1323" s="238">
        <f>MROUND(H1323*L1323*I1323/K1323,0.000001)</f>
        <v>0.57064599999999999</v>
      </c>
      <c r="H1323" s="242">
        <f>H843</f>
        <v>1028.181818181818</v>
      </c>
      <c r="I1323" s="159">
        <f>I1321</f>
        <v>3.0273000000000002E-4</v>
      </c>
      <c r="J1323" s="160"/>
      <c r="K1323" s="161">
        <f>K1321</f>
        <v>6</v>
      </c>
      <c r="L1323" s="225">
        <f>L1083</f>
        <v>11</v>
      </c>
      <c r="M1323" s="163" t="str">
        <f>CONCATENATE(H1323," ",F1323,"*",L1323,"автобуса","*",I1323,"/",K1323,"чел.")</f>
        <v>1028,18181818182 л бензина АИ 92 (12,5л/день(зимой)*20дней*7мес+10л/день(летом)*20дней*4мес)*11автобуса*0,00030273/6чел.</v>
      </c>
      <c r="N1323" s="164">
        <f>N123</f>
        <v>54.500000000000007</v>
      </c>
      <c r="O1323" s="165">
        <f>MROUND(G1323*N1323,0.000001)</f>
        <v>31.100206999999997</v>
      </c>
      <c r="P1323" s="166"/>
      <c r="Q1323" s="166">
        <f t="shared" si="283"/>
        <v>186.60124199999998</v>
      </c>
      <c r="R1323" s="71"/>
    </row>
    <row r="1324" spans="1:18" s="62" customFormat="1" x14ac:dyDescent="0.25">
      <c r="A1324" s="358"/>
      <c r="B1324" s="361"/>
      <c r="C1324" s="218" t="s">
        <v>300</v>
      </c>
      <c r="D1324" s="240"/>
      <c r="E1324" s="240"/>
      <c r="F1324" s="240"/>
      <c r="G1324" s="227"/>
      <c r="H1324" s="241"/>
      <c r="I1324" s="206"/>
      <c r="J1324" s="228"/>
      <c r="K1324" s="207"/>
      <c r="L1324" s="257"/>
      <c r="M1324" s="209"/>
      <c r="N1324" s="210"/>
      <c r="O1324" s="198">
        <f>SUM(O1323)</f>
        <v>31.100206999999997</v>
      </c>
      <c r="P1324" s="267"/>
      <c r="Q1324" s="166"/>
      <c r="R1324" s="71"/>
    </row>
    <row r="1325" spans="1:18" s="61" customFormat="1" ht="47.25" x14ac:dyDescent="0.25">
      <c r="A1325" s="358"/>
      <c r="B1325" s="361"/>
      <c r="C1325" s="221" t="s">
        <v>434</v>
      </c>
      <c r="D1325" s="156" t="s">
        <v>436</v>
      </c>
      <c r="E1325" s="156" t="s">
        <v>28</v>
      </c>
      <c r="F1325" s="156" t="s">
        <v>437</v>
      </c>
      <c r="G1325" s="157">
        <f>MROUND(H1325*L1325*I1325/K1325,0.000001)</f>
        <v>1.4631999999999999E-2</v>
      </c>
      <c r="H1325" s="242">
        <f>$H$125</f>
        <v>290</v>
      </c>
      <c r="I1325" s="159">
        <f>I1323</f>
        <v>3.0273000000000002E-4</v>
      </c>
      <c r="J1325" s="160"/>
      <c r="K1325" s="161">
        <f>K1323</f>
        <v>6</v>
      </c>
      <c r="L1325" s="162">
        <v>1</v>
      </c>
      <c r="M1325" s="163" t="str">
        <f>CONCATENATE(H1325," ",F1325,"*",L1325,"автобуса","*",I1325,"/",K1325,"чел.")</f>
        <v>290 огнетушителей (потребность учреждений) *1автобуса*0,00030273/6чел.</v>
      </c>
      <c r="N1325" s="164">
        <f>$N$125</f>
        <v>2000</v>
      </c>
      <c r="O1325" s="165">
        <f>MROUND(G1325*N1325,0.000001)</f>
        <v>29.263999999999999</v>
      </c>
      <c r="P1325" s="166"/>
      <c r="Q1325" s="166">
        <f t="shared" si="283"/>
        <v>175.584</v>
      </c>
      <c r="R1325" s="71"/>
    </row>
    <row r="1326" spans="1:18" s="61" customFormat="1" x14ac:dyDescent="0.25">
      <c r="A1326" s="358"/>
      <c r="B1326" s="361"/>
      <c r="C1326" s="218" t="s">
        <v>435</v>
      </c>
      <c r="D1326" s="240"/>
      <c r="E1326" s="240"/>
      <c r="F1326" s="240"/>
      <c r="G1326" s="251"/>
      <c r="H1326" s="241"/>
      <c r="I1326" s="206"/>
      <c r="J1326" s="228"/>
      <c r="K1326" s="207"/>
      <c r="L1326" s="229"/>
      <c r="M1326" s="209"/>
      <c r="N1326" s="210"/>
      <c r="O1326" s="198">
        <f>SUM(O1325)</f>
        <v>29.263999999999999</v>
      </c>
      <c r="P1326" s="166"/>
      <c r="Q1326" s="166"/>
      <c r="R1326" s="71"/>
    </row>
    <row r="1327" spans="1:18" s="61" customFormat="1" ht="47.25" x14ac:dyDescent="0.25">
      <c r="A1327" s="358"/>
      <c r="B1327" s="361"/>
      <c r="C1327" s="364" t="s">
        <v>118</v>
      </c>
      <c r="D1327" s="156" t="s">
        <v>47</v>
      </c>
      <c r="E1327" s="156" t="s">
        <v>28</v>
      </c>
      <c r="F1327" s="156" t="s">
        <v>239</v>
      </c>
      <c r="G1327" s="238">
        <f>MROUND(H1327*L1327*I1327/K1327,0.00000001)</f>
        <v>7.2655200000000001E-3</v>
      </c>
      <c r="H1327" s="158">
        <f>H247</f>
        <v>144</v>
      </c>
      <c r="I1327" s="159">
        <f>I1323</f>
        <v>3.0273000000000002E-4</v>
      </c>
      <c r="J1327" s="160"/>
      <c r="K1327" s="161">
        <f>K1323</f>
        <v>6</v>
      </c>
      <c r="L1327" s="250">
        <v>1</v>
      </c>
      <c r="M1327" s="163" t="str">
        <f>CONCATENATE(H1327," ",F1327,"*",I1327,"/",K1327,"чел.")</f>
        <v>144 манометров (потребность учреждений) *0,00030273/6чел.</v>
      </c>
      <c r="N1327" s="164">
        <f>N127</f>
        <v>708.5</v>
      </c>
      <c r="O1327" s="165">
        <f>MROUND(G1327*N1327,0.000001)</f>
        <v>5.147621</v>
      </c>
      <c r="P1327" s="166"/>
      <c r="Q1327" s="166">
        <f t="shared" si="283"/>
        <v>30.885725999999998</v>
      </c>
      <c r="R1327" s="71"/>
    </row>
    <row r="1328" spans="1:18" s="61" customFormat="1" ht="47.25" x14ac:dyDescent="0.25">
      <c r="A1328" s="358"/>
      <c r="B1328" s="361"/>
      <c r="C1328" s="364"/>
      <c r="D1328" s="255" t="s">
        <v>113</v>
      </c>
      <c r="E1328" s="156" t="s">
        <v>28</v>
      </c>
      <c r="F1328" s="156" t="s">
        <v>240</v>
      </c>
      <c r="G1328" s="238">
        <f>MROUND(H1328*L1328*I1328/K1328,0.00000001)</f>
        <v>0.28835032999999999</v>
      </c>
      <c r="H1328" s="158">
        <f>H128</f>
        <v>5715</v>
      </c>
      <c r="I1328" s="159">
        <f>I1327</f>
        <v>3.0273000000000002E-4</v>
      </c>
      <c r="J1328" s="160"/>
      <c r="K1328" s="161">
        <f>K1327</f>
        <v>6</v>
      </c>
      <c r="L1328" s="250">
        <v>1</v>
      </c>
      <c r="M1328" s="163" t="str">
        <f>CONCATENATE(H1328," ",F1328,"*",I1328,"/",K1328,"чел.")</f>
        <v>5715 светильников (потребность учреждений)*0,00030273/6чел.</v>
      </c>
      <c r="N1328" s="164">
        <f>N128</f>
        <v>106.27500087489064</v>
      </c>
      <c r="O1328" s="165">
        <f>MROUND(G1328*N1328,0.000001)</f>
        <v>30.644431999999998</v>
      </c>
      <c r="P1328" s="166"/>
      <c r="Q1328" s="166">
        <f t="shared" si="283"/>
        <v>183.866592</v>
      </c>
      <c r="R1328" s="71"/>
    </row>
    <row r="1329" spans="1:18" s="62" customFormat="1" x14ac:dyDescent="0.25">
      <c r="A1329" s="359"/>
      <c r="B1329" s="362"/>
      <c r="C1329" s="218" t="s">
        <v>301</v>
      </c>
      <c r="D1329" s="256"/>
      <c r="E1329" s="240"/>
      <c r="F1329" s="240"/>
      <c r="G1329" s="227"/>
      <c r="H1329" s="241"/>
      <c r="I1329" s="206"/>
      <c r="J1329" s="228"/>
      <c r="K1329" s="207"/>
      <c r="L1329" s="257"/>
      <c r="M1329" s="209"/>
      <c r="N1329" s="210"/>
      <c r="O1329" s="198">
        <f>SUM(O1327:O1328)</f>
        <v>35.792052999999996</v>
      </c>
      <c r="P1329" s="267"/>
      <c r="Q1329" s="166"/>
      <c r="R1329" s="71"/>
    </row>
    <row r="1330" spans="1:18" s="61" customFormat="1" x14ac:dyDescent="0.25">
      <c r="A1330" s="357" t="str">
        <f>CONCATENATE(школы!$B$17,", ",школы!$C$17,", ",школы!$D$17)</f>
        <v xml:space="preserve">Реализация основных общеобразовательных программ основного общего образования, образовательная программа, обеспечивающая углубленное изучение отдельных учебных предметов, предметных областей (профильное обучение), </v>
      </c>
      <c r="B1330" s="360" t="str">
        <f>школы!$A$17</f>
        <v>802111О.99.0.БА96АП76001</v>
      </c>
      <c r="C1330" s="194"/>
      <c r="D1330" s="363" t="s">
        <v>15</v>
      </c>
      <c r="E1330" s="363"/>
      <c r="F1330" s="363"/>
      <c r="G1330" s="363"/>
      <c r="H1330" s="195"/>
      <c r="I1330" s="195"/>
      <c r="J1330" s="195"/>
      <c r="K1330" s="195"/>
      <c r="L1330" s="196"/>
      <c r="M1330" s="197"/>
      <c r="N1330" s="164"/>
      <c r="O1330" s="198">
        <f>O1331+O1336+O1338</f>
        <v>9082.3741881120004</v>
      </c>
      <c r="P1330" s="166"/>
      <c r="Q1330" s="166"/>
      <c r="R1330" s="71"/>
    </row>
    <row r="1331" spans="1:18" s="61" customFormat="1" x14ac:dyDescent="0.25">
      <c r="A1331" s="358"/>
      <c r="B1331" s="361"/>
      <c r="C1331" s="194"/>
      <c r="D1331" s="350" t="s">
        <v>62</v>
      </c>
      <c r="E1331" s="350"/>
      <c r="F1331" s="350"/>
      <c r="G1331" s="350"/>
      <c r="H1331" s="195"/>
      <c r="I1331" s="195"/>
      <c r="J1331" s="195"/>
      <c r="K1331" s="195"/>
      <c r="L1331" s="196"/>
      <c r="M1331" s="197"/>
      <c r="N1331" s="164"/>
      <c r="O1331" s="165">
        <f>O1333+O1335</f>
        <v>9082.3741881120004</v>
      </c>
      <c r="P1331" s="166"/>
      <c r="Q1331" s="166"/>
      <c r="R1331" s="71"/>
    </row>
    <row r="1332" spans="1:18" s="61" customFormat="1" ht="31.5" x14ac:dyDescent="0.25">
      <c r="A1332" s="358"/>
      <c r="B1332" s="361"/>
      <c r="C1332" s="194">
        <v>211</v>
      </c>
      <c r="D1332" s="194" t="s">
        <v>86</v>
      </c>
      <c r="E1332" s="199" t="s">
        <v>95</v>
      </c>
      <c r="F1332" s="199" t="s">
        <v>95</v>
      </c>
      <c r="G1332" s="275">
        <f>MROUND(H1332*L1332*I1332/K1332,0.0000000001)</f>
        <v>0.55812139810000005</v>
      </c>
      <c r="H1332" s="201">
        <f>H492</f>
        <v>921.8</v>
      </c>
      <c r="I1332" s="159">
        <f>школы!$K$17</f>
        <v>6.8014359999999996E-2</v>
      </c>
      <c r="J1332" s="159"/>
      <c r="K1332" s="161">
        <f>школы!$G$17</f>
        <v>1348</v>
      </c>
      <c r="L1332" s="202">
        <v>12</v>
      </c>
      <c r="M1332" s="163" t="str">
        <f>CONCATENATE(H1332," ",F1332," ","в мес.","*",L1332,"мес.","*",I1332,"/",K1332,"чел.")</f>
        <v>921,8 шт.ед в мес.*12мес.*0,06801436/1348чел.</v>
      </c>
      <c r="N1332" s="164">
        <f>N492</f>
        <v>12498.552905979601</v>
      </c>
      <c r="O1332" s="165">
        <f>MROUND(G1332*N1332,0.000000001)</f>
        <v>6975.7098221120004</v>
      </c>
      <c r="P1332" s="166"/>
      <c r="Q1332" s="166">
        <f t="shared" si="283"/>
        <v>9403256.840206977</v>
      </c>
      <c r="R1332" s="71"/>
    </row>
    <row r="1333" spans="1:18" s="62" customFormat="1" x14ac:dyDescent="0.25">
      <c r="A1333" s="358"/>
      <c r="B1333" s="361"/>
      <c r="C1333" s="203" t="s">
        <v>288</v>
      </c>
      <c r="D1333" s="203"/>
      <c r="E1333" s="204"/>
      <c r="F1333" s="204"/>
      <c r="G1333" s="205"/>
      <c r="H1333" s="206"/>
      <c r="I1333" s="206"/>
      <c r="J1333" s="206"/>
      <c r="K1333" s="207"/>
      <c r="L1333" s="208"/>
      <c r="M1333" s="209"/>
      <c r="N1333" s="210">
        <f>N1332</f>
        <v>12498.552905979601</v>
      </c>
      <c r="O1333" s="198">
        <f>O1332</f>
        <v>6975.7098221120004</v>
      </c>
      <c r="P1333" s="267"/>
      <c r="Q1333" s="166"/>
      <c r="R1333" s="71"/>
    </row>
    <row r="1334" spans="1:18" s="61" customFormat="1" x14ac:dyDescent="0.25">
      <c r="A1334" s="358"/>
      <c r="B1334" s="361"/>
      <c r="C1334" s="194">
        <v>213</v>
      </c>
      <c r="D1334" s="194" t="s">
        <v>87</v>
      </c>
      <c r="E1334" s="194" t="s">
        <v>88</v>
      </c>
      <c r="F1334" s="194"/>
      <c r="G1334" s="211">
        <v>30.2</v>
      </c>
      <c r="H1334" s="159"/>
      <c r="I1334" s="159"/>
      <c r="J1334" s="159"/>
      <c r="K1334" s="161">
        <f>K1332</f>
        <v>1348</v>
      </c>
      <c r="L1334" s="202"/>
      <c r="M1334" s="212"/>
      <c r="N1334" s="164"/>
      <c r="O1334" s="165">
        <f>MROUND(O1332*0.302,0.000001)</f>
        <v>2106.664366</v>
      </c>
      <c r="P1334" s="166"/>
      <c r="Q1334" s="166">
        <f>O1334*K1334</f>
        <v>2839783.565368</v>
      </c>
      <c r="R1334" s="71"/>
    </row>
    <row r="1335" spans="1:18" s="62" customFormat="1" x14ac:dyDescent="0.25">
      <c r="A1335" s="358"/>
      <c r="B1335" s="361"/>
      <c r="C1335" s="203" t="s">
        <v>289</v>
      </c>
      <c r="D1335" s="203"/>
      <c r="E1335" s="203"/>
      <c r="F1335" s="203"/>
      <c r="G1335" s="213"/>
      <c r="H1335" s="214"/>
      <c r="I1335" s="206"/>
      <c r="J1335" s="214"/>
      <c r="K1335" s="207"/>
      <c r="L1335" s="215"/>
      <c r="M1335" s="216"/>
      <c r="N1335" s="210"/>
      <c r="O1335" s="198">
        <f>O1334</f>
        <v>2106.664366</v>
      </c>
      <c r="P1335" s="267"/>
      <c r="Q1335" s="166"/>
      <c r="R1335" s="71"/>
    </row>
    <row r="1336" spans="1:18" s="61" customFormat="1" x14ac:dyDescent="0.25">
      <c r="A1336" s="358"/>
      <c r="B1336" s="361"/>
      <c r="C1336" s="194"/>
      <c r="D1336" s="356" t="s">
        <v>63</v>
      </c>
      <c r="E1336" s="356"/>
      <c r="F1336" s="356"/>
      <c r="G1336" s="356"/>
      <c r="H1336" s="195"/>
      <c r="I1336" s="159"/>
      <c r="J1336" s="195"/>
      <c r="K1336" s="161"/>
      <c r="L1336" s="196"/>
      <c r="M1336" s="197"/>
      <c r="N1336" s="164"/>
      <c r="O1336" s="165"/>
      <c r="P1336" s="166"/>
      <c r="Q1336" s="166"/>
      <c r="R1336" s="71"/>
    </row>
    <row r="1337" spans="1:18" s="61" customFormat="1" x14ac:dyDescent="0.25">
      <c r="A1337" s="358"/>
      <c r="B1337" s="361"/>
      <c r="C1337" s="194"/>
      <c r="D1337" s="194"/>
      <c r="E1337" s="194"/>
      <c r="F1337" s="194"/>
      <c r="G1337" s="217"/>
      <c r="H1337" s="195"/>
      <c r="I1337" s="159"/>
      <c r="J1337" s="195"/>
      <c r="K1337" s="161"/>
      <c r="L1337" s="196"/>
      <c r="M1337" s="197"/>
      <c r="N1337" s="164"/>
      <c r="O1337" s="165"/>
      <c r="P1337" s="166"/>
      <c r="Q1337" s="166"/>
      <c r="R1337" s="71"/>
    </row>
    <row r="1338" spans="1:18" s="61" customFormat="1" x14ac:dyDescent="0.25">
      <c r="A1338" s="358"/>
      <c r="B1338" s="361"/>
      <c r="C1338" s="194"/>
      <c r="D1338" s="350" t="s">
        <v>64</v>
      </c>
      <c r="E1338" s="350"/>
      <c r="F1338" s="350"/>
      <c r="G1338" s="350"/>
      <c r="H1338" s="195"/>
      <c r="I1338" s="159"/>
      <c r="J1338" s="195"/>
      <c r="K1338" s="161"/>
      <c r="L1338" s="196"/>
      <c r="M1338" s="197"/>
      <c r="N1338" s="164"/>
      <c r="O1338" s="165"/>
      <c r="P1338" s="166"/>
      <c r="Q1338" s="166"/>
      <c r="R1338" s="71"/>
    </row>
    <row r="1339" spans="1:18" s="61" customFormat="1" x14ac:dyDescent="0.25">
      <c r="A1339" s="358"/>
      <c r="B1339" s="361"/>
      <c r="C1339" s="194"/>
      <c r="D1339" s="194"/>
      <c r="E1339" s="194"/>
      <c r="F1339" s="194"/>
      <c r="G1339" s="217"/>
      <c r="H1339" s="195"/>
      <c r="I1339" s="159"/>
      <c r="J1339" s="195"/>
      <c r="K1339" s="161"/>
      <c r="L1339" s="196"/>
      <c r="M1339" s="197"/>
      <c r="N1339" s="164"/>
      <c r="O1339" s="165"/>
      <c r="P1339" s="166"/>
      <c r="Q1339" s="166"/>
      <c r="R1339" s="71"/>
    </row>
    <row r="1340" spans="1:18" s="61" customFormat="1" x14ac:dyDescent="0.25">
      <c r="A1340" s="358"/>
      <c r="B1340" s="361"/>
      <c r="C1340" s="194"/>
      <c r="D1340" s="355" t="s">
        <v>5</v>
      </c>
      <c r="E1340" s="355"/>
      <c r="F1340" s="355"/>
      <c r="G1340" s="355"/>
      <c r="H1340" s="195"/>
      <c r="I1340" s="159"/>
      <c r="J1340" s="195"/>
      <c r="K1340" s="161"/>
      <c r="L1340" s="196"/>
      <c r="M1340" s="197"/>
      <c r="N1340" s="164"/>
      <c r="O1340" s="198">
        <f>O1341+O1351+O1362+O1364+O1366+O1368+O1370</f>
        <v>48447.95787471372</v>
      </c>
      <c r="P1340" s="166"/>
      <c r="Q1340" s="166"/>
      <c r="R1340" s="71"/>
    </row>
    <row r="1341" spans="1:18" s="61" customFormat="1" x14ac:dyDescent="0.25">
      <c r="A1341" s="358"/>
      <c r="B1341" s="361"/>
      <c r="C1341" s="218" t="s">
        <v>70</v>
      </c>
      <c r="D1341" s="355" t="s">
        <v>6</v>
      </c>
      <c r="E1341" s="355"/>
      <c r="F1341" s="355"/>
      <c r="G1341" s="355"/>
      <c r="H1341" s="189"/>
      <c r="I1341" s="159"/>
      <c r="J1341" s="189"/>
      <c r="K1341" s="161"/>
      <c r="L1341" s="190"/>
      <c r="M1341" s="197"/>
      <c r="N1341" s="210"/>
      <c r="O1341" s="198">
        <f>O1350</f>
        <v>8728.66219757</v>
      </c>
      <c r="P1341" s="166"/>
      <c r="Q1341" s="166"/>
      <c r="R1341" s="71"/>
    </row>
    <row r="1342" spans="1:18" s="61" customFormat="1" ht="31.5" x14ac:dyDescent="0.25">
      <c r="A1342" s="358"/>
      <c r="B1342" s="361"/>
      <c r="C1342" s="221" t="s">
        <v>72</v>
      </c>
      <c r="D1342" s="222" t="s">
        <v>7</v>
      </c>
      <c r="E1342" s="223" t="s">
        <v>8</v>
      </c>
      <c r="F1342" s="223" t="s">
        <v>8</v>
      </c>
      <c r="G1342" s="238">
        <f>MROUND(H1342*L1342*I1342/K1342,0.00000000001)</f>
        <v>167.16604853197998</v>
      </c>
      <c r="H1342" s="160">
        <f>H622</f>
        <v>3313121.4264326878</v>
      </c>
      <c r="I1342" s="159">
        <f>I1332</f>
        <v>6.8014359999999996E-2</v>
      </c>
      <c r="J1342" s="160"/>
      <c r="K1342" s="161">
        <f>K1332</f>
        <v>1348</v>
      </c>
      <c r="L1342" s="250">
        <v>1</v>
      </c>
      <c r="M1342" s="163" t="str">
        <f t="shared" ref="M1342:M1347" si="293">CONCATENATE(H1342," ",F1342,"(лимиты выделенные УЖКХ) ","*",I1342,"/",K1342,"чел.")</f>
        <v>3313121,42643269 кВт час.(лимиты выделенные УЖКХ) *0,06801436/1348чел.</v>
      </c>
      <c r="N1342" s="164">
        <f>N622</f>
        <v>10.418446162163715</v>
      </c>
      <c r="O1342" s="165">
        <f t="shared" ref="O1342:O1349" si="294">MROUND(G1342*N1342,0.000001)</f>
        <v>1741.6104769999999</v>
      </c>
      <c r="P1342" s="166"/>
      <c r="Q1342" s="166">
        <f t="shared" si="283"/>
        <v>2347690.9229959999</v>
      </c>
      <c r="R1342" s="71"/>
    </row>
    <row r="1343" spans="1:18" s="61" customFormat="1" ht="31.5" x14ac:dyDescent="0.25">
      <c r="A1343" s="358"/>
      <c r="B1343" s="361"/>
      <c r="C1343" s="221" t="s">
        <v>73</v>
      </c>
      <c r="D1343" s="222" t="s">
        <v>9</v>
      </c>
      <c r="E1343" s="223" t="s">
        <v>10</v>
      </c>
      <c r="F1343" s="223" t="s">
        <v>10</v>
      </c>
      <c r="G1343" s="238">
        <f>MROUND(H1343*L1343*I1343/K1343,0.00000000001)</f>
        <v>1.60940694846</v>
      </c>
      <c r="H1343" s="160">
        <f>H263</f>
        <v>31897.39</v>
      </c>
      <c r="I1343" s="159">
        <f t="shared" ref="I1343:I1395" si="295">I1342</f>
        <v>6.8014359999999996E-2</v>
      </c>
      <c r="J1343" s="160"/>
      <c r="K1343" s="161">
        <f t="shared" ref="K1343:K1349" si="296">K1342</f>
        <v>1348</v>
      </c>
      <c r="L1343" s="250">
        <v>1</v>
      </c>
      <c r="M1343" s="163" t="str">
        <f t="shared" si="293"/>
        <v>31897,39 Гкал(лимиты выделенные УЖКХ) *0,06801436/1348чел.</v>
      </c>
      <c r="N1343" s="164">
        <f>N263</f>
        <v>2845.3650600830792</v>
      </c>
      <c r="O1343" s="165">
        <f t="shared" si="294"/>
        <v>4579.3502989999997</v>
      </c>
      <c r="P1343" s="166"/>
      <c r="Q1343" s="166">
        <f t="shared" si="283"/>
        <v>6172964.2030519992</v>
      </c>
      <c r="R1343" s="71"/>
    </row>
    <row r="1344" spans="1:18" s="61" customFormat="1" ht="31.5" x14ac:dyDescent="0.25">
      <c r="A1344" s="358"/>
      <c r="B1344" s="361"/>
      <c r="C1344" s="364" t="s">
        <v>74</v>
      </c>
      <c r="D1344" s="222" t="s">
        <v>12</v>
      </c>
      <c r="E1344" s="222" t="s">
        <v>11</v>
      </c>
      <c r="F1344" s="222" t="s">
        <v>11</v>
      </c>
      <c r="G1344" s="238">
        <f>MROUND(H1344*L1344*I1344/K1344,0.00000000001)</f>
        <v>9.3204482295600002</v>
      </c>
      <c r="H1344" s="224">
        <f>H24</f>
        <v>184725.17</v>
      </c>
      <c r="I1344" s="159">
        <f t="shared" si="295"/>
        <v>6.8014359999999996E-2</v>
      </c>
      <c r="J1344" s="160"/>
      <c r="K1344" s="161">
        <f t="shared" si="296"/>
        <v>1348</v>
      </c>
      <c r="L1344" s="250">
        <v>1</v>
      </c>
      <c r="M1344" s="163" t="str">
        <f t="shared" si="293"/>
        <v>184725,17 м3(лимиты выделенные УЖКХ) *0,06801436/1348чел.</v>
      </c>
      <c r="N1344" s="164">
        <f>N24</f>
        <v>51.830000102314166</v>
      </c>
      <c r="O1344" s="165">
        <f t="shared" si="294"/>
        <v>483.07883299999997</v>
      </c>
      <c r="P1344" s="166"/>
      <c r="Q1344" s="166">
        <f t="shared" si="283"/>
        <v>651190.26688399992</v>
      </c>
      <c r="R1344" s="71"/>
    </row>
    <row r="1345" spans="1:18" s="61" customFormat="1" ht="47.25" x14ac:dyDescent="0.25">
      <c r="A1345" s="358"/>
      <c r="B1345" s="361"/>
      <c r="C1345" s="364"/>
      <c r="D1345" s="222" t="s">
        <v>17</v>
      </c>
      <c r="E1345" s="222" t="s">
        <v>11</v>
      </c>
      <c r="F1345" s="222" t="s">
        <v>11</v>
      </c>
      <c r="G1345" s="238">
        <f>MROUND(H1345*L1345*I1345/K1345,0.00000000001)</f>
        <v>9.3204482295600002</v>
      </c>
      <c r="H1345" s="160">
        <f>H265</f>
        <v>184725.17</v>
      </c>
      <c r="I1345" s="159">
        <f t="shared" si="295"/>
        <v>6.8014359999999996E-2</v>
      </c>
      <c r="J1345" s="160"/>
      <c r="K1345" s="161">
        <f t="shared" si="296"/>
        <v>1348</v>
      </c>
      <c r="L1345" s="162">
        <f>$L$25</f>
        <v>1</v>
      </c>
      <c r="M1345" s="163" t="str">
        <f t="shared" si="293"/>
        <v>184725,17 м3(лимиты выделенные УЖКХ) *0,06801436/1348чел.</v>
      </c>
      <c r="N1345" s="164">
        <f>N25</f>
        <v>78.76115753094173</v>
      </c>
      <c r="O1345" s="165">
        <f t="shared" si="294"/>
        <v>734.089291</v>
      </c>
      <c r="P1345" s="166"/>
      <c r="Q1345" s="166">
        <f t="shared" si="283"/>
        <v>989552.364268</v>
      </c>
      <c r="R1345" s="71"/>
    </row>
    <row r="1346" spans="1:18" s="61" customFormat="1" ht="31.5" x14ac:dyDescent="0.25">
      <c r="A1346" s="358"/>
      <c r="B1346" s="361"/>
      <c r="C1346" s="364"/>
      <c r="D1346" s="222" t="s">
        <v>13</v>
      </c>
      <c r="E1346" s="222" t="s">
        <v>11</v>
      </c>
      <c r="F1346" s="222" t="s">
        <v>11</v>
      </c>
      <c r="G1346" s="238">
        <f>MROUND(H1346*L1346*I1346/K1346,0.00000000001)</f>
        <v>9.3204482295600002</v>
      </c>
      <c r="H1346" s="160">
        <f>H26</f>
        <v>184725.17</v>
      </c>
      <c r="I1346" s="159">
        <f t="shared" si="295"/>
        <v>6.8014359999999996E-2</v>
      </c>
      <c r="J1346" s="160"/>
      <c r="K1346" s="161">
        <f t="shared" si="296"/>
        <v>1348</v>
      </c>
      <c r="L1346" s="162">
        <v>1</v>
      </c>
      <c r="M1346" s="163" t="str">
        <f t="shared" si="293"/>
        <v>184725,17 м3(лимиты выделенные УЖКХ) *0,06801436/1348чел.</v>
      </c>
      <c r="N1346" s="164">
        <f>N26</f>
        <v>107.41979263410609</v>
      </c>
      <c r="O1346" s="165">
        <f>MROUND(G1346*N1346,0.00000001)</f>
        <v>1001.20061608</v>
      </c>
      <c r="P1346" s="166"/>
      <c r="Q1346" s="166">
        <f t="shared" si="283"/>
        <v>1349618.4304758401</v>
      </c>
      <c r="R1346" s="71"/>
    </row>
    <row r="1347" spans="1:18" s="61" customFormat="1" ht="31.5" x14ac:dyDescent="0.25">
      <c r="A1347" s="358"/>
      <c r="B1347" s="361"/>
      <c r="C1347" s="221" t="s">
        <v>75</v>
      </c>
      <c r="D1347" s="222" t="s">
        <v>18</v>
      </c>
      <c r="E1347" s="222" t="s">
        <v>48</v>
      </c>
      <c r="F1347" s="222" t="s">
        <v>48</v>
      </c>
      <c r="G1347" s="238">
        <f>MROUND(H1347*L1347*I1347/K1347,0.0000000001)</f>
        <v>0.70070936640000003</v>
      </c>
      <c r="H1347" s="160">
        <f>H27</f>
        <v>13887.6</v>
      </c>
      <c r="I1347" s="159">
        <f t="shared" si="295"/>
        <v>6.8014359999999996E-2</v>
      </c>
      <c r="J1347" s="160"/>
      <c r="K1347" s="161">
        <f t="shared" si="296"/>
        <v>1348</v>
      </c>
      <c r="L1347" s="250">
        <v>1</v>
      </c>
      <c r="M1347" s="163" t="str">
        <f t="shared" si="293"/>
        <v>13887,6 тыс. м3(лимиты выделенные УЖКХ) *0,06801436/1348чел.</v>
      </c>
      <c r="N1347" s="164">
        <f>N27</f>
        <v>29.231582850888564</v>
      </c>
      <c r="O1347" s="165">
        <f t="shared" si="294"/>
        <v>20.482844</v>
      </c>
      <c r="P1347" s="166"/>
      <c r="Q1347" s="166">
        <f t="shared" si="283"/>
        <v>27610.873712000001</v>
      </c>
      <c r="R1347" s="71"/>
    </row>
    <row r="1348" spans="1:18" s="61" customFormat="1" x14ac:dyDescent="0.25">
      <c r="A1348" s="358"/>
      <c r="B1348" s="361"/>
      <c r="C1348" s="364" t="s">
        <v>216</v>
      </c>
      <c r="D1348" s="222" t="s">
        <v>23</v>
      </c>
      <c r="E1348" s="222" t="s">
        <v>11</v>
      </c>
      <c r="F1348" s="222" t="s">
        <v>11</v>
      </c>
      <c r="G1348" s="238">
        <f>MROUND(H1348*L1348*I1348/K1348,0.000000000001)</f>
        <v>0.16996728017099999</v>
      </c>
      <c r="H1348" s="160">
        <f>H28</f>
        <v>3368.6400000000003</v>
      </c>
      <c r="I1348" s="159">
        <f t="shared" si="295"/>
        <v>6.8014359999999996E-2</v>
      </c>
      <c r="J1348" s="160"/>
      <c r="K1348" s="161">
        <f t="shared" si="296"/>
        <v>1348</v>
      </c>
      <c r="L1348" s="162">
        <f>L1347</f>
        <v>1</v>
      </c>
      <c r="M1348" s="163" t="str">
        <f>CONCATENATE(H1348," ",F1348," ","*",I1348,"/",K1348,"чел.")</f>
        <v>3368,64 м3 *0,06801436/1348чел.</v>
      </c>
      <c r="N1348" s="164">
        <f>N28</f>
        <v>742.21370939013957</v>
      </c>
      <c r="O1348" s="165">
        <f>MROUND(G1348*N1348,0.00000001)</f>
        <v>126.15204549000001</v>
      </c>
      <c r="P1348" s="166"/>
      <c r="Q1348" s="166">
        <f t="shared" si="283"/>
        <v>170052.95732052001</v>
      </c>
      <c r="R1348" s="71"/>
    </row>
    <row r="1349" spans="1:18" s="61" customFormat="1" ht="63" x14ac:dyDescent="0.25">
      <c r="A1349" s="358"/>
      <c r="B1349" s="361"/>
      <c r="C1349" s="364"/>
      <c r="D1349" s="222" t="s">
        <v>24</v>
      </c>
      <c r="E1349" s="222" t="s">
        <v>25</v>
      </c>
      <c r="F1349" s="222" t="s">
        <v>217</v>
      </c>
      <c r="G1349" s="238">
        <f>MROUND(H1349*L1349*I1349/K1349,0.000000000001)</f>
        <v>7.4169962309999999E-3</v>
      </c>
      <c r="H1349" s="160">
        <f>H629</f>
        <v>147</v>
      </c>
      <c r="I1349" s="159">
        <f t="shared" si="295"/>
        <v>6.8014359999999996E-2</v>
      </c>
      <c r="J1349" s="160"/>
      <c r="K1349" s="161">
        <f t="shared" si="296"/>
        <v>1348</v>
      </c>
      <c r="L1349" s="250">
        <f>L1348</f>
        <v>1</v>
      </c>
      <c r="M1349" s="163" t="str">
        <f>CONCATENATE(H1349," ",F1349,"(потребность из расчета 4 контейнера для уборки территории весной и осенью на 1 учреждение)","*",I1349,"/",K1349,"чел.")</f>
        <v>147 контейнера(потребность из расчета 4 контейнера для уборки территории весной и осенью на 1 учреждение)*0,06801436/1348чел.</v>
      </c>
      <c r="N1349" s="164">
        <f>N629</f>
        <v>5756.7497959183638</v>
      </c>
      <c r="O1349" s="165">
        <f t="shared" si="294"/>
        <v>42.697792</v>
      </c>
      <c r="P1349" s="166"/>
      <c r="Q1349" s="166">
        <f t="shared" si="283"/>
        <v>57556.623615999997</v>
      </c>
      <c r="R1349" s="71"/>
    </row>
    <row r="1350" spans="1:18" s="62" customFormat="1" x14ac:dyDescent="0.25">
      <c r="A1350" s="358"/>
      <c r="B1350" s="361"/>
      <c r="C1350" s="218" t="s">
        <v>290</v>
      </c>
      <c r="D1350" s="226"/>
      <c r="E1350" s="226"/>
      <c r="F1350" s="226"/>
      <c r="G1350" s="227"/>
      <c r="H1350" s="228"/>
      <c r="I1350" s="206"/>
      <c r="J1350" s="228"/>
      <c r="K1350" s="207"/>
      <c r="L1350" s="257"/>
      <c r="M1350" s="209"/>
      <c r="N1350" s="210"/>
      <c r="O1350" s="198">
        <f>SUM(O1342:O1349)</f>
        <v>8728.66219757</v>
      </c>
      <c r="P1350" s="267"/>
      <c r="Q1350" s="166"/>
      <c r="R1350" s="71"/>
    </row>
    <row r="1351" spans="1:18" s="61" customFormat="1" x14ac:dyDescent="0.25">
      <c r="A1351" s="358"/>
      <c r="B1351" s="361"/>
      <c r="C1351" s="221"/>
      <c r="D1351" s="356" t="s">
        <v>14</v>
      </c>
      <c r="E1351" s="356"/>
      <c r="F1351" s="356"/>
      <c r="G1351" s="356"/>
      <c r="H1351" s="188"/>
      <c r="I1351" s="159"/>
      <c r="J1351" s="188"/>
      <c r="K1351" s="161"/>
      <c r="L1351" s="250"/>
      <c r="M1351" s="230"/>
      <c r="N1351" s="164"/>
      <c r="O1351" s="198">
        <f>O1359+O1360+O1355</f>
        <v>36351.587266163726</v>
      </c>
      <c r="P1351" s="166"/>
      <c r="Q1351" s="166"/>
      <c r="R1351" s="71"/>
    </row>
    <row r="1352" spans="1:18" s="61" customFormat="1" x14ac:dyDescent="0.25">
      <c r="A1352" s="358"/>
      <c r="B1352" s="361"/>
      <c r="C1352" s="221" t="s">
        <v>379</v>
      </c>
      <c r="D1352" s="231" t="s">
        <v>49</v>
      </c>
      <c r="E1352" s="231" t="s">
        <v>22</v>
      </c>
      <c r="F1352" s="231" t="s">
        <v>22</v>
      </c>
      <c r="G1352" s="238">
        <f>MROUND(H1352*L1352*I1352/K1352,0.000000001)</f>
        <v>0</v>
      </c>
      <c r="H1352" s="160"/>
      <c r="I1352" s="159">
        <f>I1347</f>
        <v>6.8014359999999996E-2</v>
      </c>
      <c r="J1352" s="160"/>
      <c r="K1352" s="161">
        <f>K1347</f>
        <v>1348</v>
      </c>
      <c r="L1352" s="250"/>
      <c r="M1352" s="163"/>
      <c r="N1352" s="164">
        <f>N512</f>
        <v>0</v>
      </c>
      <c r="O1352" s="165">
        <f>MROUND(G1352*N1352,0.00000001)</f>
        <v>0</v>
      </c>
      <c r="P1352" s="166"/>
      <c r="Q1352" s="166">
        <f t="shared" ref="Q1352:Q1412" si="297">O1352*K1352</f>
        <v>0</v>
      </c>
      <c r="R1352" s="71"/>
    </row>
    <row r="1353" spans="1:18" s="61" customFormat="1" x14ac:dyDescent="0.25">
      <c r="A1353" s="358"/>
      <c r="B1353" s="361"/>
      <c r="C1353" s="221" t="s">
        <v>379</v>
      </c>
      <c r="D1353" s="231" t="s">
        <v>49</v>
      </c>
      <c r="E1353" s="231" t="s">
        <v>28</v>
      </c>
      <c r="F1353" s="231" t="s">
        <v>28</v>
      </c>
      <c r="G1353" s="238">
        <f>MROUND(H1353*L1353*I1353/K1353,0.0000000000000001)</f>
        <v>2.5227878338280002E-4</v>
      </c>
      <c r="H1353" s="160">
        <f>H513</f>
        <v>5</v>
      </c>
      <c r="I1353" s="159">
        <f t="shared" si="295"/>
        <v>6.8014359999999996E-2</v>
      </c>
      <c r="J1353" s="160"/>
      <c r="K1353" s="161">
        <f>K1352</f>
        <v>1348</v>
      </c>
      <c r="L1353" s="250">
        <v>1</v>
      </c>
      <c r="M1353" s="163" t="str">
        <f>CONCATENATE(H1353," ",F1353,"*",I1353,"/",K1353,"чел.")</f>
        <v>5 шт*0,06801436/1348чел.</v>
      </c>
      <c r="N1353" s="164">
        <f>N513</f>
        <v>28120000</v>
      </c>
      <c r="O1353" s="165">
        <f>MROUND(G1353*N1353,0.00000001)</f>
        <v>7094.0793887199998</v>
      </c>
      <c r="P1353" s="166"/>
      <c r="Q1353" s="166">
        <f t="shared" si="297"/>
        <v>9562819.01599456</v>
      </c>
      <c r="R1353" s="71"/>
    </row>
    <row r="1354" spans="1:18" s="61" customFormat="1" x14ac:dyDescent="0.25">
      <c r="A1354" s="358"/>
      <c r="B1354" s="361"/>
      <c r="C1354" s="221" t="s">
        <v>379</v>
      </c>
      <c r="D1354" s="231" t="s">
        <v>49</v>
      </c>
      <c r="E1354" s="231" t="s">
        <v>101</v>
      </c>
      <c r="F1354" s="231" t="s">
        <v>101</v>
      </c>
      <c r="G1354" s="238">
        <f>MROUND(H1354*L1354*I1354/K1354,0.000000001)</f>
        <v>0</v>
      </c>
      <c r="H1354" s="160"/>
      <c r="I1354" s="159">
        <f t="shared" si="295"/>
        <v>6.8014359999999996E-2</v>
      </c>
      <c r="J1354" s="160"/>
      <c r="K1354" s="161">
        <f>K1353</f>
        <v>1348</v>
      </c>
      <c r="L1354" s="250"/>
      <c r="M1354" s="163"/>
      <c r="N1354" s="164">
        <f>N514</f>
        <v>0</v>
      </c>
      <c r="O1354" s="165">
        <f>MROUND(G1354*N1354,0.00000001)</f>
        <v>0</v>
      </c>
      <c r="P1354" s="166"/>
      <c r="Q1354" s="166">
        <f t="shared" si="297"/>
        <v>0</v>
      </c>
      <c r="R1354" s="71"/>
    </row>
    <row r="1355" spans="1:18" s="62" customFormat="1" x14ac:dyDescent="0.25">
      <c r="A1355" s="358"/>
      <c r="B1355" s="361"/>
      <c r="C1355" s="218" t="s">
        <v>380</v>
      </c>
      <c r="D1355" s="232"/>
      <c r="E1355" s="232"/>
      <c r="F1355" s="232"/>
      <c r="G1355" s="227"/>
      <c r="H1355" s="228"/>
      <c r="I1355" s="206"/>
      <c r="J1355" s="228"/>
      <c r="K1355" s="207"/>
      <c r="L1355" s="257"/>
      <c r="M1355" s="209"/>
      <c r="N1355" s="210"/>
      <c r="O1355" s="198">
        <f>SUM(O1352:O1354)</f>
        <v>7094.0793887199998</v>
      </c>
      <c r="P1355" s="267"/>
      <c r="Q1355" s="166"/>
      <c r="R1355" s="71"/>
    </row>
    <row r="1356" spans="1:18" s="61" customFormat="1" x14ac:dyDescent="0.25">
      <c r="A1356" s="358"/>
      <c r="B1356" s="361"/>
      <c r="C1356" s="221" t="s">
        <v>76</v>
      </c>
      <c r="D1356" s="231" t="s">
        <v>49</v>
      </c>
      <c r="E1356" s="231" t="s">
        <v>22</v>
      </c>
      <c r="F1356" s="231" t="s">
        <v>22</v>
      </c>
      <c r="G1356" s="238">
        <f>MROUND(H1356*L1356*I1356/K1356,0.000000000000001)</f>
        <v>3.6942201457026713</v>
      </c>
      <c r="H1356" s="160">
        <f>H516</f>
        <v>73217.02</v>
      </c>
      <c r="I1356" s="159">
        <f>I1352</f>
        <v>6.8014359999999996E-2</v>
      </c>
      <c r="J1356" s="160"/>
      <c r="K1356" s="161">
        <f>K1354</f>
        <v>1348</v>
      </c>
      <c r="L1356" s="250">
        <v>1</v>
      </c>
      <c r="M1356" s="163" t="str">
        <f>CONCATENATE(H1356," ",F1356,"*",I1356,"/",K1356,"чел.")</f>
        <v>73217,02 м2*0,06801436/1348чел.</v>
      </c>
      <c r="N1356" s="164">
        <f>N516</f>
        <v>3335.1026185604301</v>
      </c>
      <c r="O1356" s="165">
        <f>MROUND(G1356*N1356,0.00000000001)</f>
        <v>12320.603281471669</v>
      </c>
      <c r="P1356" s="166"/>
      <c r="Q1356" s="166">
        <f t="shared" si="297"/>
        <v>16608173.223423811</v>
      </c>
      <c r="R1356" s="71"/>
    </row>
    <row r="1357" spans="1:18" s="61" customFormat="1" x14ac:dyDescent="0.25">
      <c r="A1357" s="358"/>
      <c r="B1357" s="361"/>
      <c r="C1357" s="221"/>
      <c r="D1357" s="231" t="s">
        <v>49</v>
      </c>
      <c r="E1357" s="231" t="s">
        <v>28</v>
      </c>
      <c r="F1357" s="231" t="s">
        <v>28</v>
      </c>
      <c r="G1357" s="238">
        <f>MROUND(H1357*L1357*I1357/K1357,0.0000000000001)</f>
        <v>0.20939139020770001</v>
      </c>
      <c r="H1357" s="160">
        <f>H517</f>
        <v>4150</v>
      </c>
      <c r="I1357" s="159">
        <f t="shared" si="295"/>
        <v>6.8014359999999996E-2</v>
      </c>
      <c r="J1357" s="160"/>
      <c r="K1357" s="161">
        <f>K1356</f>
        <v>1348</v>
      </c>
      <c r="L1357" s="250">
        <v>1</v>
      </c>
      <c r="M1357" s="163" t="str">
        <f>CONCATENATE(H1357," ",F1357,"*",I1357,"/",K1357,"чел.")</f>
        <v>4150 шт*0,06801436/1348чел.</v>
      </c>
      <c r="N1357" s="164">
        <f>N517</f>
        <v>71617.619331325302</v>
      </c>
      <c r="O1357" s="165">
        <f>MROUND(G1357*N1357,0.00000000001)</f>
        <v>14996.112875152059</v>
      </c>
      <c r="P1357" s="166"/>
      <c r="Q1357" s="166">
        <f t="shared" si="297"/>
        <v>20214760.155704975</v>
      </c>
      <c r="R1357" s="71"/>
    </row>
    <row r="1358" spans="1:18" s="61" customFormat="1" x14ac:dyDescent="0.25">
      <c r="A1358" s="358"/>
      <c r="B1358" s="361"/>
      <c r="C1358" s="221"/>
      <c r="D1358" s="231" t="s">
        <v>49</v>
      </c>
      <c r="E1358" s="231" t="s">
        <v>101</v>
      </c>
      <c r="F1358" s="231" t="s">
        <v>101</v>
      </c>
      <c r="G1358" s="238">
        <f>MROUND(H1358*L1358*I1358/K1358,0.000000001)</f>
        <v>0.7202054710000001</v>
      </c>
      <c r="H1358" s="160">
        <f>H518</f>
        <v>14274</v>
      </c>
      <c r="I1358" s="159">
        <f t="shared" si="295"/>
        <v>6.8014359999999996E-2</v>
      </c>
      <c r="J1358" s="160"/>
      <c r="K1358" s="161">
        <f>K1357</f>
        <v>1348</v>
      </c>
      <c r="L1358" s="250">
        <v>1</v>
      </c>
      <c r="M1358" s="163" t="str">
        <f>CONCATENATE(H1358," ",F1358,"*",I1358,"/",K1358,"чел.")</f>
        <v>14274 погон.м.*0,06801436/1348чел.</v>
      </c>
      <c r="N1358" s="164">
        <f>N518</f>
        <v>2694.7750315258509</v>
      </c>
      <c r="O1358" s="165">
        <f>MROUND(G1358*N1358,0.00000001)</f>
        <v>1940.7917208200001</v>
      </c>
      <c r="P1358" s="166"/>
      <c r="Q1358" s="166">
        <f t="shared" si="297"/>
        <v>2616187.2396653602</v>
      </c>
      <c r="R1358" s="71"/>
    </row>
    <row r="1359" spans="1:18" s="62" customFormat="1" x14ac:dyDescent="0.25">
      <c r="A1359" s="358"/>
      <c r="B1359" s="361"/>
      <c r="C1359" s="218" t="s">
        <v>291</v>
      </c>
      <c r="D1359" s="232"/>
      <c r="E1359" s="232"/>
      <c r="F1359" s="232"/>
      <c r="G1359" s="227"/>
      <c r="H1359" s="228"/>
      <c r="I1359" s="206"/>
      <c r="J1359" s="228"/>
      <c r="K1359" s="207"/>
      <c r="L1359" s="257"/>
      <c r="M1359" s="209"/>
      <c r="N1359" s="210"/>
      <c r="O1359" s="198">
        <f>SUM(O1356:O1358)</f>
        <v>29257.507877443728</v>
      </c>
      <c r="P1359" s="267"/>
      <c r="Q1359" s="166"/>
      <c r="R1359" s="71"/>
    </row>
    <row r="1360" spans="1:18" s="61" customFormat="1" x14ac:dyDescent="0.25">
      <c r="A1360" s="358"/>
      <c r="B1360" s="361"/>
      <c r="C1360" s="221" t="s">
        <v>77</v>
      </c>
      <c r="D1360" s="231"/>
      <c r="E1360" s="231"/>
      <c r="F1360" s="231"/>
      <c r="G1360" s="238">
        <f>MROUND(H1360*L1360*I1360/K1360,0.00000000001)</f>
        <v>0</v>
      </c>
      <c r="H1360" s="160">
        <f>H1120</f>
        <v>0</v>
      </c>
      <c r="I1360" s="159">
        <f>I1358</f>
        <v>6.8014359999999996E-2</v>
      </c>
      <c r="J1360" s="160"/>
      <c r="K1360" s="161">
        <f>K1358</f>
        <v>1348</v>
      </c>
      <c r="L1360" s="250"/>
      <c r="M1360" s="163"/>
      <c r="N1360" s="164">
        <f>N1120</f>
        <v>0</v>
      </c>
      <c r="O1360" s="165">
        <f>MROUND(G1360*N1360,0.000000001)</f>
        <v>0</v>
      </c>
      <c r="P1360" s="166"/>
      <c r="Q1360" s="166">
        <f t="shared" si="297"/>
        <v>0</v>
      </c>
      <c r="R1360" s="71"/>
    </row>
    <row r="1361" spans="1:41" s="62" customFormat="1" x14ac:dyDescent="0.25">
      <c r="A1361" s="358"/>
      <c r="B1361" s="361"/>
      <c r="C1361" s="218" t="s">
        <v>292</v>
      </c>
      <c r="D1361" s="232"/>
      <c r="E1361" s="232"/>
      <c r="F1361" s="232"/>
      <c r="G1361" s="227"/>
      <c r="H1361" s="228"/>
      <c r="I1361" s="206"/>
      <c r="J1361" s="228"/>
      <c r="K1361" s="207"/>
      <c r="L1361" s="257"/>
      <c r="M1361" s="209"/>
      <c r="N1361" s="210"/>
      <c r="O1361" s="198">
        <f>O1360</f>
        <v>0</v>
      </c>
      <c r="P1361" s="267"/>
      <c r="Q1361" s="166"/>
      <c r="R1361" s="71"/>
    </row>
    <row r="1362" spans="1:41" s="61" customFormat="1" x14ac:dyDescent="0.25">
      <c r="A1362" s="358"/>
      <c r="B1362" s="361"/>
      <c r="C1362" s="221"/>
      <c r="D1362" s="350" t="s">
        <v>65</v>
      </c>
      <c r="E1362" s="350"/>
      <c r="F1362" s="350"/>
      <c r="G1362" s="350"/>
      <c r="H1362" s="195"/>
      <c r="I1362" s="159"/>
      <c r="J1362" s="195"/>
      <c r="K1362" s="161"/>
      <c r="L1362" s="196"/>
      <c r="M1362" s="230"/>
      <c r="N1362" s="164"/>
      <c r="O1362" s="165">
        <f t="shared" ref="O1362:O1369" si="298">MROUND(G1362*N1362,0.000001)</f>
        <v>0</v>
      </c>
      <c r="P1362" s="166"/>
      <c r="Q1362" s="166"/>
      <c r="R1362" s="71"/>
    </row>
    <row r="1363" spans="1:41" s="61" customFormat="1" x14ac:dyDescent="0.25">
      <c r="A1363" s="358"/>
      <c r="B1363" s="361"/>
      <c r="C1363" s="221"/>
      <c r="D1363" s="194"/>
      <c r="E1363" s="194"/>
      <c r="F1363" s="194"/>
      <c r="G1363" s="217"/>
      <c r="H1363" s="195"/>
      <c r="I1363" s="159"/>
      <c r="J1363" s="195"/>
      <c r="K1363" s="161"/>
      <c r="L1363" s="196"/>
      <c r="M1363" s="230"/>
      <c r="N1363" s="164"/>
      <c r="O1363" s="165">
        <f t="shared" si="298"/>
        <v>0</v>
      </c>
      <c r="P1363" s="166"/>
      <c r="Q1363" s="166"/>
      <c r="R1363" s="71"/>
    </row>
    <row r="1364" spans="1:41" s="61" customFormat="1" x14ac:dyDescent="0.25">
      <c r="A1364" s="358"/>
      <c r="B1364" s="361"/>
      <c r="C1364" s="221" t="s">
        <v>357</v>
      </c>
      <c r="D1364" s="368" t="s">
        <v>66</v>
      </c>
      <c r="E1364" s="368"/>
      <c r="F1364" s="368"/>
      <c r="G1364" s="368"/>
      <c r="H1364" s="195"/>
      <c r="I1364" s="159"/>
      <c r="J1364" s="195"/>
      <c r="K1364" s="161"/>
      <c r="L1364" s="234"/>
      <c r="M1364" s="230"/>
      <c r="N1364" s="164"/>
      <c r="O1364" s="198">
        <f>O1365</f>
        <v>9.1259209999999999</v>
      </c>
      <c r="P1364" s="166"/>
      <c r="Q1364" s="166"/>
      <c r="R1364" s="71"/>
    </row>
    <row r="1365" spans="1:41" s="61" customFormat="1" ht="47.25" x14ac:dyDescent="0.25">
      <c r="A1365" s="358"/>
      <c r="B1365" s="361"/>
      <c r="C1365" s="221"/>
      <c r="D1365" s="222" t="s">
        <v>374</v>
      </c>
      <c r="E1365" s="194" t="s">
        <v>28</v>
      </c>
      <c r="F1365" s="194" t="s">
        <v>28</v>
      </c>
      <c r="G1365" s="217">
        <f>MROUND(H1365*L1365*I1365/K1365,0.000000001)</f>
        <v>7.2656290000000009E-3</v>
      </c>
      <c r="H1365" s="201">
        <f>H765</f>
        <v>36</v>
      </c>
      <c r="I1365" s="159">
        <f>I1360</f>
        <v>6.8014359999999996E-2</v>
      </c>
      <c r="J1365" s="195"/>
      <c r="K1365" s="161">
        <f>K1360</f>
        <v>1348</v>
      </c>
      <c r="L1365" s="235">
        <f>L765</f>
        <v>4</v>
      </c>
      <c r="M1365" s="163" t="str">
        <f>CONCATENATE(H1365," ",F1365,"*",I1365,"/",K1365,"чел.")</f>
        <v>36 шт*0,06801436/1348чел.</v>
      </c>
      <c r="N1365" s="164">
        <f>N765</f>
        <v>1256.0400000000006</v>
      </c>
      <c r="O1365" s="165">
        <f>MROUND(G1365*N1365,0.000001)</f>
        <v>9.1259209999999999</v>
      </c>
      <c r="P1365" s="166"/>
      <c r="Q1365" s="166">
        <f t="shared" si="297"/>
        <v>12301.741507999999</v>
      </c>
      <c r="R1365" s="71"/>
    </row>
    <row r="1366" spans="1:41" s="61" customFormat="1" x14ac:dyDescent="0.25">
      <c r="A1366" s="358"/>
      <c r="B1366" s="361"/>
      <c r="C1366" s="221"/>
      <c r="D1366" s="368" t="s">
        <v>67</v>
      </c>
      <c r="E1366" s="368"/>
      <c r="F1366" s="368"/>
      <c r="G1366" s="368"/>
      <c r="H1366" s="195"/>
      <c r="I1366" s="159"/>
      <c r="J1366" s="195"/>
      <c r="K1366" s="161"/>
      <c r="L1366" s="196"/>
      <c r="M1366" s="230"/>
      <c r="N1366" s="164"/>
      <c r="O1366" s="165">
        <f t="shared" si="298"/>
        <v>0</v>
      </c>
      <c r="P1366" s="166"/>
      <c r="Q1366" s="166"/>
      <c r="R1366" s="71"/>
    </row>
    <row r="1367" spans="1:41" s="61" customFormat="1" x14ac:dyDescent="0.25">
      <c r="A1367" s="358"/>
      <c r="B1367" s="361"/>
      <c r="C1367" s="221"/>
      <c r="D1367" s="194"/>
      <c r="E1367" s="194"/>
      <c r="F1367" s="194"/>
      <c r="G1367" s="217"/>
      <c r="H1367" s="195"/>
      <c r="I1367" s="159"/>
      <c r="J1367" s="195"/>
      <c r="K1367" s="161"/>
      <c r="L1367" s="196"/>
      <c r="M1367" s="230"/>
      <c r="N1367" s="164"/>
      <c r="O1367" s="165">
        <f t="shared" si="298"/>
        <v>0</v>
      </c>
      <c r="P1367" s="166"/>
      <c r="Q1367" s="166"/>
      <c r="R1367" s="71"/>
    </row>
    <row r="1368" spans="1:41" s="61" customFormat="1" x14ac:dyDescent="0.25">
      <c r="A1368" s="358"/>
      <c r="B1368" s="361"/>
      <c r="C1368" s="221"/>
      <c r="D1368" s="350" t="s">
        <v>68</v>
      </c>
      <c r="E1368" s="350"/>
      <c r="F1368" s="350"/>
      <c r="G1368" s="350"/>
      <c r="H1368" s="195"/>
      <c r="I1368" s="159"/>
      <c r="J1368" s="195"/>
      <c r="K1368" s="161"/>
      <c r="L1368" s="196"/>
      <c r="M1368" s="230"/>
      <c r="N1368" s="164"/>
      <c r="O1368" s="165">
        <f t="shared" si="298"/>
        <v>0</v>
      </c>
      <c r="P1368" s="166"/>
      <c r="Q1368" s="166"/>
      <c r="R1368" s="71"/>
    </row>
    <row r="1369" spans="1:41" s="61" customFormat="1" x14ac:dyDescent="0.25">
      <c r="A1369" s="358"/>
      <c r="B1369" s="361"/>
      <c r="C1369" s="221"/>
      <c r="D1369" s="156"/>
      <c r="E1369" s="156"/>
      <c r="F1369" s="156"/>
      <c r="G1369" s="236"/>
      <c r="H1369" s="195"/>
      <c r="I1369" s="159"/>
      <c r="J1369" s="195"/>
      <c r="K1369" s="161"/>
      <c r="L1369" s="196"/>
      <c r="M1369" s="230"/>
      <c r="N1369" s="164"/>
      <c r="O1369" s="165">
        <f t="shared" si="298"/>
        <v>0</v>
      </c>
      <c r="P1369" s="166"/>
      <c r="Q1369" s="166"/>
      <c r="R1369" s="71"/>
    </row>
    <row r="1370" spans="1:41" s="61" customFormat="1" x14ac:dyDescent="0.25">
      <c r="A1370" s="358"/>
      <c r="B1370" s="361"/>
      <c r="C1370" s="221"/>
      <c r="D1370" s="368" t="s">
        <v>69</v>
      </c>
      <c r="E1370" s="368"/>
      <c r="F1370" s="368"/>
      <c r="G1370" s="368"/>
      <c r="H1370" s="187"/>
      <c r="I1370" s="159"/>
      <c r="J1370" s="187"/>
      <c r="K1370" s="161"/>
      <c r="L1370" s="276"/>
      <c r="M1370" s="230"/>
      <c r="N1370" s="164"/>
      <c r="O1370" s="198">
        <f>O1372+O1379+O1396+O1398+O1413+O1415+O1417+O1442+O1444+O1449+O1446</f>
        <v>3358.58248998</v>
      </c>
      <c r="P1370" s="166"/>
      <c r="Q1370" s="166"/>
      <c r="R1370" s="71"/>
    </row>
    <row r="1371" spans="1:41" s="61" customFormat="1" x14ac:dyDescent="0.25">
      <c r="A1371" s="358"/>
      <c r="B1371" s="361"/>
      <c r="C1371" s="221">
        <v>224</v>
      </c>
      <c r="D1371" s="156" t="s">
        <v>21</v>
      </c>
      <c r="E1371" s="156" t="s">
        <v>22</v>
      </c>
      <c r="F1371" s="156" t="s">
        <v>22</v>
      </c>
      <c r="G1371" s="238">
        <f>MROUND(H1371*L1371*I1371/K1371,0.000001)</f>
        <v>0</v>
      </c>
      <c r="H1371" s="158">
        <f>H51</f>
        <v>0</v>
      </c>
      <c r="I1371" s="159">
        <f>I1365</f>
        <v>6.8014359999999996E-2</v>
      </c>
      <c r="J1371" s="160"/>
      <c r="K1371" s="161">
        <f>K1365</f>
        <v>1348</v>
      </c>
      <c r="L1371" s="250"/>
      <c r="M1371" s="163"/>
      <c r="N1371" s="164">
        <f>N171</f>
        <v>0</v>
      </c>
      <c r="O1371" s="165">
        <f>MROUND(G1371*N1371,0.000001)</f>
        <v>0</v>
      </c>
      <c r="P1371" s="166"/>
      <c r="Q1371" s="166">
        <f t="shared" si="297"/>
        <v>0</v>
      </c>
      <c r="R1371" s="71"/>
    </row>
    <row r="1372" spans="1:41" s="62" customFormat="1" x14ac:dyDescent="0.25">
      <c r="A1372" s="358"/>
      <c r="B1372" s="361"/>
      <c r="C1372" s="218" t="s">
        <v>293</v>
      </c>
      <c r="D1372" s="240"/>
      <c r="E1372" s="240"/>
      <c r="F1372" s="240"/>
      <c r="G1372" s="227"/>
      <c r="H1372" s="241"/>
      <c r="I1372" s="206"/>
      <c r="J1372" s="228"/>
      <c r="K1372" s="207"/>
      <c r="L1372" s="257"/>
      <c r="M1372" s="209"/>
      <c r="N1372" s="210"/>
      <c r="O1372" s="198">
        <f>SUM(O1371)</f>
        <v>0</v>
      </c>
      <c r="P1372" s="267"/>
      <c r="Q1372" s="166"/>
      <c r="R1372" s="71"/>
    </row>
    <row r="1373" spans="1:41" s="61" customFormat="1" ht="31.5" x14ac:dyDescent="0.25">
      <c r="A1373" s="358"/>
      <c r="B1373" s="361"/>
      <c r="C1373" s="364" t="s">
        <v>78</v>
      </c>
      <c r="D1373" s="156" t="s">
        <v>26</v>
      </c>
      <c r="E1373" s="156" t="s">
        <v>22</v>
      </c>
      <c r="F1373" s="156" t="s">
        <v>22</v>
      </c>
      <c r="G1373" s="238">
        <f>MROUND(H1373*L1373*I1373/K1373,0.000001)</f>
        <v>15.645320999999999</v>
      </c>
      <c r="H1373" s="158">
        <f>H53</f>
        <v>25840</v>
      </c>
      <c r="I1373" s="159">
        <f>I1371</f>
        <v>6.8014359999999996E-2</v>
      </c>
      <c r="J1373" s="160"/>
      <c r="K1373" s="161">
        <f>K1371</f>
        <v>1348</v>
      </c>
      <c r="L1373" s="250">
        <v>12</v>
      </c>
      <c r="M1373" s="163" t="str">
        <f>CONCATENATE(H1373," ",F1373,"(обрабатываемая площадь в мес.)","*",L1373,"мес.","*",I1373,"/",K1373,"чел.")</f>
        <v>25840 м2(обрабатываемая площадь в мес.)*12мес.*0,06801436/1348чел.</v>
      </c>
      <c r="N1373" s="164">
        <f>N53</f>
        <v>1.1553999935500519</v>
      </c>
      <c r="O1373" s="165">
        <f t="shared" ref="O1373:O1378" si="299">MROUND(G1373*N1373,0.000001)</f>
        <v>18.076604</v>
      </c>
      <c r="P1373" s="166"/>
      <c r="Q1373" s="166">
        <f t="shared" si="297"/>
        <v>24367.262191999998</v>
      </c>
      <c r="R1373" s="71"/>
    </row>
    <row r="1374" spans="1:41" s="61" customFormat="1" ht="31.5" x14ac:dyDescent="0.25">
      <c r="A1374" s="358"/>
      <c r="B1374" s="361"/>
      <c r="C1374" s="364"/>
      <c r="D1374" s="156" t="s">
        <v>96</v>
      </c>
      <c r="E1374" s="156" t="s">
        <v>22</v>
      </c>
      <c r="F1374" s="156" t="s">
        <v>22</v>
      </c>
      <c r="G1374" s="238">
        <f>MROUND(H1374*L1374*I1374/K1374,0.000001)</f>
        <v>8.0981489999999994</v>
      </c>
      <c r="H1374" s="158">
        <f>H54</f>
        <v>13375</v>
      </c>
      <c r="I1374" s="159">
        <f t="shared" si="295"/>
        <v>6.8014359999999996E-2</v>
      </c>
      <c r="J1374" s="160"/>
      <c r="K1374" s="161">
        <f>K1373</f>
        <v>1348</v>
      </c>
      <c r="L1374" s="250">
        <v>12</v>
      </c>
      <c r="M1374" s="163" t="str">
        <f>CONCATENATE(H1374," ",F1374,"(обрабатываемая площадь в мес.)","*",L1374,"мес.","*",I1374,"/",K1374,"чел.")</f>
        <v>13375 м2(обрабатываемая площадь в мес.)*12мес.*0,06801436/1348чел.</v>
      </c>
      <c r="N1374" s="164">
        <f>N54</f>
        <v>1.8530000000000004</v>
      </c>
      <c r="O1374" s="165">
        <f t="shared" si="299"/>
        <v>15.00587</v>
      </c>
      <c r="P1374" s="166"/>
      <c r="Q1374" s="166">
        <f t="shared" si="297"/>
        <v>20227.912759999999</v>
      </c>
      <c r="R1374" s="71"/>
    </row>
    <row r="1375" spans="1:41" s="135" customFormat="1" ht="31.5" x14ac:dyDescent="0.25">
      <c r="A1375" s="358"/>
      <c r="B1375" s="361"/>
      <c r="C1375" s="364"/>
      <c r="D1375" s="156" t="s">
        <v>385</v>
      </c>
      <c r="E1375" s="156" t="s">
        <v>22</v>
      </c>
      <c r="F1375" s="156" t="s">
        <v>22</v>
      </c>
      <c r="G1375" s="238">
        <f>MROUND(H1375*L1375*I1375/K1375,0.000001)</f>
        <v>16.196297999999999</v>
      </c>
      <c r="H1375" s="242">
        <f>$H$55</f>
        <v>13375</v>
      </c>
      <c r="I1375" s="159">
        <f t="shared" si="295"/>
        <v>6.8014359999999996E-2</v>
      </c>
      <c r="J1375" s="160"/>
      <c r="K1375" s="161">
        <f>K1374</f>
        <v>1348</v>
      </c>
      <c r="L1375" s="162">
        <v>24</v>
      </c>
      <c r="M1375" s="163" t="str">
        <f>CONCATENATE(H1375," ",F1375,"(обрабатываемая площадь в год)","*",L1375," раза в год.","*",I1375,"/",K1375,"чел.")</f>
        <v>13375 м2(обрабатываемая площадь в год)*24 раза в год.*0,06801436/1348чел.</v>
      </c>
      <c r="N1375" s="164">
        <f>$N$55</f>
        <v>2.2889999999999993</v>
      </c>
      <c r="O1375" s="165">
        <f t="shared" si="299"/>
        <v>37.073326000000002</v>
      </c>
      <c r="P1375" s="166"/>
      <c r="Q1375" s="166">
        <f t="shared" si="297"/>
        <v>49974.843448</v>
      </c>
      <c r="R1375" s="71"/>
      <c r="S1375" s="61"/>
      <c r="T1375" s="61"/>
      <c r="U1375" s="61"/>
      <c r="V1375" s="61"/>
      <c r="W1375" s="61"/>
      <c r="X1375" s="61"/>
      <c r="Y1375" s="61"/>
      <c r="Z1375" s="61"/>
      <c r="AA1375" s="61"/>
      <c r="AB1375" s="61"/>
      <c r="AC1375" s="61"/>
      <c r="AD1375" s="61"/>
      <c r="AE1375" s="61"/>
      <c r="AF1375" s="61"/>
      <c r="AG1375" s="61"/>
      <c r="AH1375" s="61"/>
      <c r="AI1375" s="61"/>
      <c r="AJ1375" s="61"/>
      <c r="AK1375" s="61"/>
      <c r="AL1375" s="61"/>
      <c r="AM1375" s="61"/>
      <c r="AN1375" s="61"/>
      <c r="AO1375" s="61"/>
    </row>
    <row r="1376" spans="1:41" s="135" customFormat="1" ht="31.5" x14ac:dyDescent="0.25">
      <c r="A1376" s="358"/>
      <c r="B1376" s="361"/>
      <c r="C1376" s="364"/>
      <c r="D1376" s="156" t="s">
        <v>394</v>
      </c>
      <c r="E1376" s="156" t="s">
        <v>22</v>
      </c>
      <c r="F1376" s="156" t="s">
        <v>22</v>
      </c>
      <c r="G1376" s="238">
        <f>MROUND(H1376*L1376*I1376/K1376,0.000001)</f>
        <v>15.645320999999999</v>
      </c>
      <c r="H1376" s="243">
        <f>$H$56</f>
        <v>25840</v>
      </c>
      <c r="I1376" s="159">
        <f t="shared" si="295"/>
        <v>6.8014359999999996E-2</v>
      </c>
      <c r="J1376" s="160"/>
      <c r="K1376" s="161">
        <f>K1375</f>
        <v>1348</v>
      </c>
      <c r="L1376" s="162">
        <v>12</v>
      </c>
      <c r="M1376" s="163" t="str">
        <f>CONCATENATE(H1376," ",F1376,"(обрабатываемая площадь в мес.)","*",L1376,"мес.","*",I1376,"/",K1376,"чел.")</f>
        <v>25840 м2(обрабатываемая площадь в мес.)*12мес.*0,06801436/1348чел.</v>
      </c>
      <c r="N1376" s="164">
        <f>$N$56</f>
        <v>0.54499999999999993</v>
      </c>
      <c r="O1376" s="165">
        <f t="shared" si="299"/>
        <v>8.5266999999999999</v>
      </c>
      <c r="P1376" s="166"/>
      <c r="Q1376" s="166">
        <f t="shared" si="297"/>
        <v>11493.991599999999</v>
      </c>
      <c r="R1376" s="71"/>
      <c r="S1376" s="61"/>
      <c r="T1376" s="61"/>
      <c r="U1376" s="61"/>
      <c r="V1376" s="61"/>
      <c r="W1376" s="61"/>
      <c r="X1376" s="61"/>
      <c r="Y1376" s="61"/>
      <c r="Z1376" s="61"/>
      <c r="AA1376" s="61"/>
      <c r="AB1376" s="61"/>
      <c r="AC1376" s="61"/>
      <c r="AD1376" s="61"/>
      <c r="AE1376" s="61"/>
      <c r="AF1376" s="61"/>
      <c r="AG1376" s="61"/>
      <c r="AH1376" s="61"/>
      <c r="AI1376" s="61"/>
      <c r="AJ1376" s="61"/>
      <c r="AK1376" s="61"/>
      <c r="AL1376" s="61"/>
      <c r="AM1376" s="61"/>
      <c r="AN1376" s="61"/>
      <c r="AO1376" s="61"/>
    </row>
    <row r="1377" spans="1:41" s="135" customFormat="1" ht="31.5" x14ac:dyDescent="0.25">
      <c r="A1377" s="358"/>
      <c r="B1377" s="361"/>
      <c r="C1377" s="364"/>
      <c r="D1377" s="156" t="s">
        <v>395</v>
      </c>
      <c r="E1377" s="156" t="s">
        <v>98</v>
      </c>
      <c r="F1377" s="156" t="s">
        <v>98</v>
      </c>
      <c r="G1377" s="238">
        <f>MROUND(H1377*L1377*I1377/K1377,0.0000000001)</f>
        <v>9.5563199999999999E-4</v>
      </c>
      <c r="H1377" s="242">
        <f>$H$57</f>
        <v>18.939999999999998</v>
      </c>
      <c r="I1377" s="159">
        <f t="shared" si="295"/>
        <v>6.8014359999999996E-2</v>
      </c>
      <c r="J1377" s="160"/>
      <c r="K1377" s="161">
        <f>K1376</f>
        <v>1348</v>
      </c>
      <c r="L1377" s="162">
        <v>1</v>
      </c>
      <c r="M1377" s="163" t="str">
        <f>CONCATENATE(H1377," ",F1377,"(обрабатываемая площадь в год)","*",L1377," раз в год","*",I1377,"/",K1377,"чел.")</f>
        <v>18,94 Га(обрабатываемая площадь в год)*1 раз в год*0,06801436/1348чел.</v>
      </c>
      <c r="N1377" s="164">
        <f>$N$57</f>
        <v>545</v>
      </c>
      <c r="O1377" s="165">
        <f t="shared" si="299"/>
        <v>0.52081899999999992</v>
      </c>
      <c r="P1377" s="166"/>
      <c r="Q1377" s="166">
        <f t="shared" si="297"/>
        <v>702.06401199999993</v>
      </c>
      <c r="R1377" s="71"/>
      <c r="S1377" s="61"/>
      <c r="T1377" s="61"/>
      <c r="U1377" s="61"/>
      <c r="V1377" s="61"/>
      <c r="W1377" s="61"/>
      <c r="X1377" s="61"/>
      <c r="Y1377" s="61"/>
      <c r="Z1377" s="61"/>
      <c r="AA1377" s="61"/>
      <c r="AB1377" s="61"/>
      <c r="AC1377" s="61"/>
      <c r="AD1377" s="61"/>
      <c r="AE1377" s="61"/>
      <c r="AF1377" s="61"/>
      <c r="AG1377" s="61"/>
      <c r="AH1377" s="61"/>
      <c r="AI1377" s="61"/>
      <c r="AJ1377" s="61"/>
      <c r="AK1377" s="61"/>
      <c r="AL1377" s="61"/>
      <c r="AM1377" s="61"/>
      <c r="AN1377" s="61"/>
      <c r="AO1377" s="61"/>
    </row>
    <row r="1378" spans="1:41" s="61" customFormat="1" ht="31.5" x14ac:dyDescent="0.25">
      <c r="A1378" s="358"/>
      <c r="B1378" s="361"/>
      <c r="C1378" s="364"/>
      <c r="D1378" s="156" t="s">
        <v>97</v>
      </c>
      <c r="E1378" s="156" t="s">
        <v>98</v>
      </c>
      <c r="F1378" s="156" t="s">
        <v>98</v>
      </c>
      <c r="G1378" s="238">
        <f>MROUND(H1378*L1378*I1378/K1378,0.000000001)</f>
        <v>9.556320000000001E-4</v>
      </c>
      <c r="H1378" s="242">
        <f>H298</f>
        <v>18.939999999999998</v>
      </c>
      <c r="I1378" s="244">
        <f>I1374</f>
        <v>6.8014359999999996E-2</v>
      </c>
      <c r="J1378" s="160"/>
      <c r="K1378" s="161">
        <f>K1374</f>
        <v>1348</v>
      </c>
      <c r="L1378" s="250">
        <v>1</v>
      </c>
      <c r="M1378" s="163" t="str">
        <f>CONCATENATE(H1378," ",F1378,"(обрабатываемая площадь в мес.)","*",L1378,"мес.","*",I1378,"/",K1378,"чел.")</f>
        <v>18,94 Га(обрабатываемая площадь в мес.)*1мес.*0,06801436/1348чел.</v>
      </c>
      <c r="N1378" s="164">
        <f>N298</f>
        <v>2965.979936642027</v>
      </c>
      <c r="O1378" s="165">
        <f t="shared" si="299"/>
        <v>2.8343849999999997</v>
      </c>
      <c r="P1378" s="166"/>
      <c r="Q1378" s="166">
        <f t="shared" si="297"/>
        <v>3820.7509799999998</v>
      </c>
      <c r="R1378" s="71"/>
    </row>
    <row r="1379" spans="1:41" s="62" customFormat="1" x14ac:dyDescent="0.25">
      <c r="A1379" s="358"/>
      <c r="B1379" s="361"/>
      <c r="C1379" s="245" t="s">
        <v>294</v>
      </c>
      <c r="D1379" s="240"/>
      <c r="E1379" s="240"/>
      <c r="F1379" s="240"/>
      <c r="G1379" s="227"/>
      <c r="H1379" s="241"/>
      <c r="I1379" s="206"/>
      <c r="J1379" s="228"/>
      <c r="K1379" s="207"/>
      <c r="L1379" s="257"/>
      <c r="M1379" s="209"/>
      <c r="N1379" s="210"/>
      <c r="O1379" s="198">
        <f>SUM(O1373:O1378)</f>
        <v>82.037704000000005</v>
      </c>
      <c r="P1379" s="267"/>
      <c r="Q1379" s="166"/>
      <c r="R1379" s="71"/>
    </row>
    <row r="1380" spans="1:41" s="61" customFormat="1" ht="63" x14ac:dyDescent="0.25">
      <c r="A1380" s="358"/>
      <c r="B1380" s="361"/>
      <c r="C1380" s="365" t="s">
        <v>77</v>
      </c>
      <c r="D1380" s="156" t="s">
        <v>29</v>
      </c>
      <c r="E1380" s="156" t="s">
        <v>58</v>
      </c>
      <c r="F1380" s="156" t="s">
        <v>218</v>
      </c>
      <c r="G1380" s="238">
        <f>MROUND(H1380*L1380*I1380/K1380,0.00000001)</f>
        <v>3.0273500000000003E-3</v>
      </c>
      <c r="H1380" s="158">
        <v>15</v>
      </c>
      <c r="I1380" s="159">
        <f>I1378</f>
        <v>6.8014359999999996E-2</v>
      </c>
      <c r="J1380" s="160"/>
      <c r="K1380" s="161">
        <f>K1378</f>
        <v>1348</v>
      </c>
      <c r="L1380" s="162">
        <v>4</v>
      </c>
      <c r="M1380" s="163" t="str">
        <f>CONCATENATE(H1380," ",F1380,"*",L1380," раза в год","*",I1380,"/",K1380,"чел.")</f>
        <v>15 установок*4 раза в год*0,06801436/1348чел.</v>
      </c>
      <c r="N1380" s="164">
        <f>N60</f>
        <v>721.75483333333329</v>
      </c>
      <c r="O1380" s="165">
        <f t="shared" ref="O1380:O1395" si="300">MROUND(G1380*N1380,0.000001)</f>
        <v>2.1850039999999997</v>
      </c>
      <c r="P1380" s="166"/>
      <c r="Q1380" s="166">
        <f t="shared" si="297"/>
        <v>2945.3853919999997</v>
      </c>
      <c r="R1380" s="71"/>
    </row>
    <row r="1381" spans="1:41" s="61" customFormat="1" ht="47.25" x14ac:dyDescent="0.25">
      <c r="A1381" s="358"/>
      <c r="B1381" s="361"/>
      <c r="C1381" s="366"/>
      <c r="D1381" s="156" t="s">
        <v>30</v>
      </c>
      <c r="E1381" s="156" t="s">
        <v>58</v>
      </c>
      <c r="F1381" s="156" t="s">
        <v>218</v>
      </c>
      <c r="G1381" s="238">
        <f>MROUND(H1381*L1381*I1381/K1381,0.00000001)</f>
        <v>1.5136699999999999E-3</v>
      </c>
      <c r="H1381" s="158">
        <v>15</v>
      </c>
      <c r="I1381" s="159">
        <f t="shared" si="295"/>
        <v>6.8014359999999996E-2</v>
      </c>
      <c r="J1381" s="160"/>
      <c r="K1381" s="161">
        <f t="shared" ref="K1381:K1389" si="301">K1380</f>
        <v>1348</v>
      </c>
      <c r="L1381" s="250">
        <v>2</v>
      </c>
      <c r="M1381" s="163" t="str">
        <f>CONCATENATE(H1381," ",F1381,"*",L1381,"полуг.","*",I1381,"/",K1381,"чел.")</f>
        <v>15 установок*2полуг.*0,06801436/1348чел.</v>
      </c>
      <c r="N1381" s="164">
        <f>N661</f>
        <v>721.75266666666664</v>
      </c>
      <c r="O1381" s="165">
        <f t="shared" si="300"/>
        <v>1.092495</v>
      </c>
      <c r="P1381" s="166"/>
      <c r="Q1381" s="166">
        <f t="shared" si="297"/>
        <v>1472.68326</v>
      </c>
      <c r="R1381" s="71"/>
    </row>
    <row r="1382" spans="1:41" s="61" customFormat="1" ht="31.5" x14ac:dyDescent="0.25">
      <c r="A1382" s="358"/>
      <c r="B1382" s="361"/>
      <c r="C1382" s="366"/>
      <c r="D1382" s="156" t="s">
        <v>397</v>
      </c>
      <c r="E1382" s="156" t="s">
        <v>433</v>
      </c>
      <c r="F1382" s="156" t="s">
        <v>433</v>
      </c>
      <c r="G1382" s="238">
        <f>MROUND(H1382*L1382*I1382/K1382,0.000001)</f>
        <v>3.0272999999999998E-2</v>
      </c>
      <c r="H1382" s="158">
        <f>H302</f>
        <v>600</v>
      </c>
      <c r="I1382" s="159">
        <f t="shared" si="295"/>
        <v>6.8014359999999996E-2</v>
      </c>
      <c r="J1382" s="160"/>
      <c r="K1382" s="161">
        <f t="shared" si="301"/>
        <v>1348</v>
      </c>
      <c r="L1382" s="162">
        <v>1</v>
      </c>
      <c r="M1382" s="163" t="str">
        <f>CONCATENATE(H1382," ",F1382,"(обрабатываемая площадь в год)","*",L1382," раз в год","*",I1382,"/",K1382,"чел.")</f>
        <v>600 м2.(обрабатываемая площадь в год)*1 раз в год*0,06801436/1348чел.</v>
      </c>
      <c r="N1382" s="164">
        <f>N302</f>
        <v>300</v>
      </c>
      <c r="O1382" s="165">
        <f t="shared" si="300"/>
        <v>9.0818999999999992</v>
      </c>
      <c r="P1382" s="166"/>
      <c r="Q1382" s="166">
        <f t="shared" si="297"/>
        <v>12242.401199999998</v>
      </c>
      <c r="R1382" s="71"/>
    </row>
    <row r="1383" spans="1:41" s="61" customFormat="1" ht="47.25" x14ac:dyDescent="0.25">
      <c r="A1383" s="358"/>
      <c r="B1383" s="361"/>
      <c r="C1383" s="366"/>
      <c r="D1383" s="156" t="s">
        <v>32</v>
      </c>
      <c r="E1383" s="156" t="s">
        <v>55</v>
      </c>
      <c r="F1383" s="156" t="s">
        <v>219</v>
      </c>
      <c r="G1383" s="238">
        <f>MROUND(H1383*L1383*I1383/K1383,0.000000001)</f>
        <v>7.2656290000000009E-3</v>
      </c>
      <c r="H1383" s="158">
        <f>H663</f>
        <v>36</v>
      </c>
      <c r="I1383" s="159">
        <f>I1382</f>
        <v>6.8014359999999996E-2</v>
      </c>
      <c r="J1383" s="160"/>
      <c r="K1383" s="161">
        <f t="shared" si="301"/>
        <v>1348</v>
      </c>
      <c r="L1383" s="250">
        <v>4</v>
      </c>
      <c r="M1383" s="163" t="str">
        <f>CONCATENATE(H1383," ",F1383,"*",L1383,"кв.","*",I1383,"/",K1383,"чел.")</f>
        <v>36 системы*4кв.*0,06801436/1348чел.</v>
      </c>
      <c r="N1383" s="164">
        <f>N663</f>
        <v>6924.5277777777774</v>
      </c>
      <c r="O1383" s="165">
        <f t="shared" si="300"/>
        <v>50.311049999999994</v>
      </c>
      <c r="P1383" s="166"/>
      <c r="Q1383" s="166">
        <f t="shared" si="297"/>
        <v>67819.295399999988</v>
      </c>
      <c r="R1383" s="71"/>
    </row>
    <row r="1384" spans="1:41" s="61" customFormat="1" ht="63" x14ac:dyDescent="0.25">
      <c r="A1384" s="358"/>
      <c r="B1384" s="361"/>
      <c r="C1384" s="366"/>
      <c r="D1384" s="156" t="s">
        <v>33</v>
      </c>
      <c r="E1384" s="156" t="s">
        <v>56</v>
      </c>
      <c r="F1384" s="156" t="s">
        <v>220</v>
      </c>
      <c r="G1384" s="238">
        <f>MROUND(H1384*L1384*I1384/K1384,0.000000001)</f>
        <v>1.8164070000000001E-3</v>
      </c>
      <c r="H1384" s="158">
        <f>$H$64</f>
        <v>36</v>
      </c>
      <c r="I1384" s="159">
        <f>I1383</f>
        <v>6.8014359999999996E-2</v>
      </c>
      <c r="J1384" s="160"/>
      <c r="K1384" s="161">
        <f t="shared" si="301"/>
        <v>1348</v>
      </c>
      <c r="L1384" s="162">
        <v>1</v>
      </c>
      <c r="M1384" s="163" t="str">
        <f>CONCATENATE(H1384," ",F1384,"*",L1384," раз в год","*",I1384,"/",K1384,"чел.")</f>
        <v>36 дымоходов*1 раз в год*0,06801436/1348чел.</v>
      </c>
      <c r="N1384" s="164">
        <f>N64</f>
        <v>6540</v>
      </c>
      <c r="O1384" s="165">
        <f t="shared" si="300"/>
        <v>11.879301999999999</v>
      </c>
      <c r="P1384" s="166"/>
      <c r="Q1384" s="166">
        <f t="shared" si="297"/>
        <v>16013.299095999999</v>
      </c>
      <c r="R1384" s="71"/>
    </row>
    <row r="1385" spans="1:41" s="61" customFormat="1" x14ac:dyDescent="0.25">
      <c r="A1385" s="358"/>
      <c r="B1385" s="361"/>
      <c r="C1385" s="366"/>
      <c r="D1385" s="194" t="s">
        <v>398</v>
      </c>
      <c r="E1385" s="156" t="s">
        <v>60</v>
      </c>
      <c r="F1385" s="156" t="s">
        <v>60</v>
      </c>
      <c r="G1385" s="238">
        <f>MROUND(H1385*L1385*I1385/K1385,0.000000001)</f>
        <v>1.7659510000000002E-3</v>
      </c>
      <c r="H1385" s="246">
        <f>H65</f>
        <v>35</v>
      </c>
      <c r="I1385" s="159">
        <f t="shared" si="295"/>
        <v>6.8014359999999996E-2</v>
      </c>
      <c r="J1385" s="160"/>
      <c r="K1385" s="161">
        <f t="shared" si="301"/>
        <v>1348</v>
      </c>
      <c r="L1385" s="250">
        <v>1</v>
      </c>
      <c r="M1385" s="163" t="str">
        <f>CONCATENATE(H1385," ",F1385,"*",I1385,"/",K1385,"чел.")</f>
        <v>35 шт.*0,06801436/1348чел.</v>
      </c>
      <c r="N1385" s="164">
        <f>N65</f>
        <v>11009</v>
      </c>
      <c r="O1385" s="165">
        <f t="shared" si="300"/>
        <v>19.441354999999998</v>
      </c>
      <c r="P1385" s="166"/>
      <c r="Q1385" s="166">
        <f t="shared" si="297"/>
        <v>26206.946539999997</v>
      </c>
      <c r="R1385" s="71"/>
    </row>
    <row r="1386" spans="1:41" s="61" customFormat="1" ht="47.25" x14ac:dyDescent="0.25">
      <c r="A1386" s="358"/>
      <c r="B1386" s="361"/>
      <c r="C1386" s="366"/>
      <c r="D1386" s="156" t="s">
        <v>401</v>
      </c>
      <c r="E1386" s="156" t="s">
        <v>60</v>
      </c>
      <c r="F1386" s="156" t="s">
        <v>402</v>
      </c>
      <c r="G1386" s="238">
        <f>MROUND(H1386*L1386*I1386/K1386,0.000001)</f>
        <v>3.532E-3</v>
      </c>
      <c r="H1386" s="246">
        <f>H66</f>
        <v>35</v>
      </c>
      <c r="I1386" s="159">
        <f t="shared" si="295"/>
        <v>6.8014359999999996E-2</v>
      </c>
      <c r="J1386" s="160"/>
      <c r="K1386" s="161">
        <f t="shared" si="301"/>
        <v>1348</v>
      </c>
      <c r="L1386" s="162">
        <v>2</v>
      </c>
      <c r="M1386" s="163" t="str">
        <f>CONCATENATE(H1386," ",F1386,"*",L1386," раз в год","*",I1386,"/",K1386,"чел.")</f>
        <v>35 противопожарных водопроводов*2 раз в год*0,06801436/1348чел.</v>
      </c>
      <c r="N1386" s="164">
        <f>N66</f>
        <v>5450</v>
      </c>
      <c r="O1386" s="165">
        <f t="shared" si="300"/>
        <v>19.249399999999998</v>
      </c>
      <c r="P1386" s="166"/>
      <c r="Q1386" s="166">
        <f t="shared" si="297"/>
        <v>25948.191199999997</v>
      </c>
      <c r="R1386" s="71"/>
    </row>
    <row r="1387" spans="1:41" s="61" customFormat="1" ht="31.5" x14ac:dyDescent="0.25">
      <c r="A1387" s="358"/>
      <c r="B1387" s="361"/>
      <c r="C1387" s="366"/>
      <c r="D1387" s="156" t="s">
        <v>221</v>
      </c>
      <c r="E1387" s="156" t="s">
        <v>60</v>
      </c>
      <c r="F1387" s="156" t="s">
        <v>60</v>
      </c>
      <c r="G1387" s="238">
        <f>MROUND(H1387*L1387*I1387/K1387,0.000000001)</f>
        <v>1.0898443000000001E-2</v>
      </c>
      <c r="H1387" s="158">
        <f>H67</f>
        <v>18</v>
      </c>
      <c r="I1387" s="159">
        <f t="shared" si="295"/>
        <v>6.8014359999999996E-2</v>
      </c>
      <c r="J1387" s="160"/>
      <c r="K1387" s="161">
        <f t="shared" si="301"/>
        <v>1348</v>
      </c>
      <c r="L1387" s="250">
        <v>12</v>
      </c>
      <c r="M1387" s="163" t="str">
        <f>CONCATENATE(H1387," ",F1387,"*",L1387,"мес.","*",I1387,"/",K1387,"чел.")</f>
        <v>18 шт.*12мес.*0,06801436/1348чел.</v>
      </c>
      <c r="N1387" s="164">
        <f>N307</f>
        <v>6288.0888888888885</v>
      </c>
      <c r="O1387" s="165">
        <f t="shared" si="300"/>
        <v>68.530377999999999</v>
      </c>
      <c r="P1387" s="166"/>
      <c r="Q1387" s="166">
        <f t="shared" si="297"/>
        <v>92378.949544000003</v>
      </c>
      <c r="R1387" s="71"/>
    </row>
    <row r="1388" spans="1:41" s="61" customFormat="1" ht="47.25" x14ac:dyDescent="0.25">
      <c r="A1388" s="358"/>
      <c r="B1388" s="361"/>
      <c r="C1388" s="366"/>
      <c r="D1388" s="156" t="s">
        <v>34</v>
      </c>
      <c r="E1388" s="156" t="s">
        <v>59</v>
      </c>
      <c r="F1388" s="156" t="s">
        <v>28</v>
      </c>
      <c r="G1388" s="238">
        <f>MROUND(H1388*L1388*I1388/K1388,0.0000000001)</f>
        <v>1.009115E-4</v>
      </c>
      <c r="H1388" s="158">
        <f>H68</f>
        <v>2</v>
      </c>
      <c r="I1388" s="159">
        <f t="shared" si="295"/>
        <v>6.8014359999999996E-2</v>
      </c>
      <c r="J1388" s="160"/>
      <c r="K1388" s="161">
        <f t="shared" si="301"/>
        <v>1348</v>
      </c>
      <c r="L1388" s="250">
        <v>1</v>
      </c>
      <c r="M1388" s="163" t="str">
        <f>CONCATENATE(H1388," ",F1388,"*",I1388,"/",K1388,"чел.")</f>
        <v>2 шт*0,06801436/1348чел.</v>
      </c>
      <c r="N1388" s="164">
        <f>N68</f>
        <v>7500</v>
      </c>
      <c r="O1388" s="165">
        <f t="shared" si="300"/>
        <v>0.75683599999999995</v>
      </c>
      <c r="P1388" s="166"/>
      <c r="Q1388" s="166">
        <f t="shared" si="297"/>
        <v>1020.214928</v>
      </c>
      <c r="R1388" s="71"/>
    </row>
    <row r="1389" spans="1:41" s="61" customFormat="1" ht="47.25" x14ac:dyDescent="0.25">
      <c r="A1389" s="358"/>
      <c r="B1389" s="361"/>
      <c r="C1389" s="366"/>
      <c r="D1389" s="156" t="s">
        <v>222</v>
      </c>
      <c r="E1389" s="156" t="s">
        <v>60</v>
      </c>
      <c r="F1389" s="156" t="s">
        <v>60</v>
      </c>
      <c r="G1389" s="238">
        <f>MROUND(H1389*L1389*I1389/K1389,0.00000000001)</f>
        <v>1.7659514799999998E-3</v>
      </c>
      <c r="H1389" s="248">
        <f>H669</f>
        <v>35</v>
      </c>
      <c r="I1389" s="159">
        <f t="shared" si="295"/>
        <v>6.8014359999999996E-2</v>
      </c>
      <c r="J1389" s="160"/>
      <c r="K1389" s="161">
        <f t="shared" si="301"/>
        <v>1348</v>
      </c>
      <c r="L1389" s="250">
        <v>1</v>
      </c>
      <c r="M1389" s="163" t="str">
        <f>CONCATENATE(H1389," ",F1389,"*",I1389,"/",K1389,"чел.")</f>
        <v>35 шт.*0,06801436/1348чел.</v>
      </c>
      <c r="N1389" s="164">
        <f>N69</f>
        <v>8189.7714285714283</v>
      </c>
      <c r="O1389" s="165">
        <f>MROUND(G1389*N1389,0.00000001)</f>
        <v>14.462738980000001</v>
      </c>
      <c r="P1389" s="166"/>
      <c r="Q1389" s="166">
        <f t="shared" si="297"/>
        <v>19495.772145040002</v>
      </c>
      <c r="R1389" s="71"/>
    </row>
    <row r="1390" spans="1:41" s="61" customFormat="1" ht="31.5" x14ac:dyDescent="0.25">
      <c r="A1390" s="358"/>
      <c r="B1390" s="361"/>
      <c r="C1390" s="366"/>
      <c r="D1390" s="156" t="s">
        <v>35</v>
      </c>
      <c r="E1390" s="156" t="s">
        <v>102</v>
      </c>
      <c r="F1390" s="156" t="s">
        <v>223</v>
      </c>
      <c r="G1390" s="238">
        <f>MROUND(H1390*L1390*I1390/K1390,0.00000001)</f>
        <v>1.7659500000000001E-3</v>
      </c>
      <c r="H1390" s="158">
        <f>H70</f>
        <v>35</v>
      </c>
      <c r="I1390" s="159">
        <f>I1388</f>
        <v>6.8014359999999996E-2</v>
      </c>
      <c r="J1390" s="160"/>
      <c r="K1390" s="161">
        <f>K1388</f>
        <v>1348</v>
      </c>
      <c r="L1390" s="250">
        <v>1</v>
      </c>
      <c r="M1390" s="163" t="str">
        <f>CONCATENATE(H1390," ",F1390,"*",I1390,"/",K1390,"чел.")</f>
        <v>35 замеров*0,06801436/1348чел.</v>
      </c>
      <c r="N1390" s="164">
        <f>N70</f>
        <v>20142.857142857141</v>
      </c>
      <c r="O1390" s="165">
        <f t="shared" si="300"/>
        <v>35.571278999999997</v>
      </c>
      <c r="P1390" s="166"/>
      <c r="Q1390" s="166">
        <f t="shared" si="297"/>
        <v>47950.084091999997</v>
      </c>
      <c r="R1390" s="71"/>
    </row>
    <row r="1391" spans="1:41" s="61" customFormat="1" ht="47.25" x14ac:dyDescent="0.25">
      <c r="A1391" s="358"/>
      <c r="B1391" s="361"/>
      <c r="C1391" s="366"/>
      <c r="D1391" s="156" t="s">
        <v>399</v>
      </c>
      <c r="E1391" s="156" t="s">
        <v>60</v>
      </c>
      <c r="F1391" s="156" t="s">
        <v>60</v>
      </c>
      <c r="G1391" s="238">
        <f>MROUND(H1391*L1391*I1391/K1391,0.000000001)</f>
        <v>1.7659515000000001E-2</v>
      </c>
      <c r="H1391" s="158">
        <f>H791</f>
        <v>35</v>
      </c>
      <c r="I1391" s="159">
        <f t="shared" si="295"/>
        <v>6.8014359999999996E-2</v>
      </c>
      <c r="J1391" s="160"/>
      <c r="K1391" s="161">
        <f>K1390</f>
        <v>1348</v>
      </c>
      <c r="L1391" s="250">
        <v>10</v>
      </c>
      <c r="M1391" s="163" t="str">
        <f>CONCATENATE(H1391," ",F1391,"*",L1391,"мес.","*",I1391,"/",K1391,"чел.")</f>
        <v>35 шт.*10мес.*0,06801436/1348чел.</v>
      </c>
      <c r="N1391" s="164">
        <f>N791</f>
        <v>3107.903028571428</v>
      </c>
      <c r="O1391" s="165">
        <f t="shared" si="300"/>
        <v>54.884059999999998</v>
      </c>
      <c r="P1391" s="166"/>
      <c r="Q1391" s="166">
        <f t="shared" si="297"/>
        <v>73983.712879999992</v>
      </c>
      <c r="R1391" s="71"/>
    </row>
    <row r="1392" spans="1:41" s="61" customFormat="1" ht="47.25" x14ac:dyDescent="0.25">
      <c r="A1392" s="358"/>
      <c r="B1392" s="361"/>
      <c r="C1392" s="366"/>
      <c r="D1392" s="156" t="s">
        <v>36</v>
      </c>
      <c r="E1392" s="156" t="s">
        <v>31</v>
      </c>
      <c r="F1392" s="156" t="s">
        <v>224</v>
      </c>
      <c r="G1392" s="238">
        <f>MROUND(H1392*L1392*I1392/K1392,0.00000001)</f>
        <v>2.1796889999999999E-2</v>
      </c>
      <c r="H1392" s="158">
        <f>H672</f>
        <v>36</v>
      </c>
      <c r="I1392" s="159">
        <f t="shared" si="295"/>
        <v>6.8014359999999996E-2</v>
      </c>
      <c r="J1392" s="160"/>
      <c r="K1392" s="161">
        <f>K1391</f>
        <v>1348</v>
      </c>
      <c r="L1392" s="250">
        <v>12</v>
      </c>
      <c r="M1392" s="163" t="str">
        <f>CONCATENATE(H1392," ",F1392,"*",L1392,"мес.","*",I1392,"/",K1392,"чел.")</f>
        <v>36 устройств*12мес.*0,06801436/1348чел.</v>
      </c>
      <c r="N1392" s="164">
        <f>N72</f>
        <v>2200</v>
      </c>
      <c r="O1392" s="165">
        <f t="shared" si="300"/>
        <v>47.953157999999995</v>
      </c>
      <c r="P1392" s="166"/>
      <c r="Q1392" s="166">
        <f t="shared" si="297"/>
        <v>64640.856983999991</v>
      </c>
      <c r="R1392" s="71"/>
    </row>
    <row r="1393" spans="1:18" s="61" customFormat="1" ht="31.5" x14ac:dyDescent="0.25">
      <c r="A1393" s="358"/>
      <c r="B1393" s="361"/>
      <c r="C1393" s="366"/>
      <c r="D1393" s="156" t="s">
        <v>99</v>
      </c>
      <c r="E1393" s="156" t="s">
        <v>103</v>
      </c>
      <c r="F1393" s="156" t="s">
        <v>225</v>
      </c>
      <c r="G1393" s="238">
        <f>MROUND(H1393*L1393*I1393/K1393,0.00000001)</f>
        <v>1.917319E-2</v>
      </c>
      <c r="H1393" s="158">
        <f>H73</f>
        <v>380</v>
      </c>
      <c r="I1393" s="159">
        <f t="shared" si="295"/>
        <v>6.8014359999999996E-2</v>
      </c>
      <c r="J1393" s="160"/>
      <c r="K1393" s="161">
        <f>K1392</f>
        <v>1348</v>
      </c>
      <c r="L1393" s="250">
        <v>1</v>
      </c>
      <c r="M1393" s="163" t="str">
        <f>CONCATENATE(H1393," ",F1393,"*",I1393,"/",K1393,"чел.")</f>
        <v>380 ед.*0,06801436/1348чел.</v>
      </c>
      <c r="N1393" s="164">
        <f>N73</f>
        <v>15000</v>
      </c>
      <c r="O1393" s="165">
        <f t="shared" si="300"/>
        <v>287.59784999999999</v>
      </c>
      <c r="P1393" s="166"/>
      <c r="Q1393" s="166">
        <f t="shared" si="297"/>
        <v>387681.90179999999</v>
      </c>
      <c r="R1393" s="71"/>
    </row>
    <row r="1394" spans="1:18" s="61" customFormat="1" x14ac:dyDescent="0.25">
      <c r="A1394" s="358"/>
      <c r="B1394" s="361"/>
      <c r="C1394" s="366"/>
      <c r="D1394" s="156" t="s">
        <v>27</v>
      </c>
      <c r="E1394" s="156" t="s">
        <v>28</v>
      </c>
      <c r="F1394" s="156" t="s">
        <v>28</v>
      </c>
      <c r="G1394" s="238">
        <f>MROUND(H1394*L1394*I1394/K1394,0.0000000001)</f>
        <v>0.2883546494</v>
      </c>
      <c r="H1394" s="160">
        <f>H74</f>
        <v>5715</v>
      </c>
      <c r="I1394" s="159">
        <f t="shared" si="295"/>
        <v>6.8014359999999996E-2</v>
      </c>
      <c r="J1394" s="160"/>
      <c r="K1394" s="161">
        <f>K1393</f>
        <v>1348</v>
      </c>
      <c r="L1394" s="250">
        <v>1</v>
      </c>
      <c r="M1394" s="163" t="str">
        <f>CONCATENATE(H1394," ",F1394,"*",I1394,"/",K1394,"чел.")</f>
        <v>5715 шт*0,06801436/1348чел.</v>
      </c>
      <c r="N1394" s="164">
        <f>N74</f>
        <v>400</v>
      </c>
      <c r="O1394" s="165">
        <f t="shared" si="300"/>
        <v>115.34186</v>
      </c>
      <c r="P1394" s="166"/>
      <c r="Q1394" s="166">
        <f t="shared" si="297"/>
        <v>155480.82728</v>
      </c>
      <c r="R1394" s="71"/>
    </row>
    <row r="1395" spans="1:18" s="61" customFormat="1" ht="31.5" x14ac:dyDescent="0.25">
      <c r="A1395" s="358"/>
      <c r="B1395" s="361"/>
      <c r="C1395" s="367"/>
      <c r="D1395" s="156" t="s">
        <v>104</v>
      </c>
      <c r="E1395" s="156" t="s">
        <v>105</v>
      </c>
      <c r="F1395" s="156" t="s">
        <v>226</v>
      </c>
      <c r="G1395" s="238">
        <f>MROUND(H1395*L1395*I1395/K1395,0.00000001)</f>
        <v>1.8164100000000001E-3</v>
      </c>
      <c r="H1395" s="160">
        <f>H315</f>
        <v>36</v>
      </c>
      <c r="I1395" s="159">
        <f t="shared" si="295"/>
        <v>6.8014359999999996E-2</v>
      </c>
      <c r="J1395" s="160"/>
      <c r="K1395" s="161">
        <f>K1394</f>
        <v>1348</v>
      </c>
      <c r="L1395" s="250">
        <v>1</v>
      </c>
      <c r="M1395" s="163" t="str">
        <f>CONCATENATE(H1395," ",F1395,"*",I1395,"/",K1395,"чел.")</f>
        <v>36 отключений*0,06801436/1348чел.</v>
      </c>
      <c r="N1395" s="164">
        <f>N75</f>
        <v>9810</v>
      </c>
      <c r="O1395" s="165">
        <f t="shared" si="300"/>
        <v>17.818981999999998</v>
      </c>
      <c r="P1395" s="166"/>
      <c r="Q1395" s="166">
        <f t="shared" si="297"/>
        <v>24019.987735999999</v>
      </c>
      <c r="R1395" s="71"/>
    </row>
    <row r="1396" spans="1:18" s="62" customFormat="1" x14ac:dyDescent="0.25">
      <c r="A1396" s="358"/>
      <c r="B1396" s="361"/>
      <c r="C1396" s="249" t="s">
        <v>292</v>
      </c>
      <c r="D1396" s="240"/>
      <c r="E1396" s="240"/>
      <c r="F1396" s="240"/>
      <c r="G1396" s="227"/>
      <c r="H1396" s="228"/>
      <c r="I1396" s="206"/>
      <c r="J1396" s="228"/>
      <c r="K1396" s="207"/>
      <c r="L1396" s="257"/>
      <c r="M1396" s="209"/>
      <c r="N1396" s="210"/>
      <c r="O1396" s="198">
        <f>SUM(O1380:O1395)</f>
        <v>756.15764797999987</v>
      </c>
      <c r="P1396" s="267"/>
      <c r="Q1396" s="166"/>
      <c r="R1396" s="71"/>
    </row>
    <row r="1397" spans="1:18" s="61" customFormat="1" ht="31.5" x14ac:dyDescent="0.25">
      <c r="A1397" s="358"/>
      <c r="B1397" s="361"/>
      <c r="C1397" s="221" t="s">
        <v>79</v>
      </c>
      <c r="D1397" s="156" t="s">
        <v>37</v>
      </c>
      <c r="E1397" s="156" t="s">
        <v>61</v>
      </c>
      <c r="F1397" s="156" t="s">
        <v>227</v>
      </c>
      <c r="G1397" s="238">
        <f>MROUND(H1397*L1397*I1397/K1397,0.000000001)</f>
        <v>2.0182300000000001E-4</v>
      </c>
      <c r="H1397" s="158">
        <f>H77</f>
        <v>4</v>
      </c>
      <c r="I1397" s="159">
        <f>I1395</f>
        <v>6.8014359999999996E-2</v>
      </c>
      <c r="J1397" s="160"/>
      <c r="K1397" s="161">
        <f>K1395</f>
        <v>1348</v>
      </c>
      <c r="L1397" s="250">
        <v>1</v>
      </c>
      <c r="M1397" s="163" t="str">
        <f>CONCATENATE(H1397," ",F1397,"*",I1397,"/",K1397,"чел.")</f>
        <v>4 автобуса*0,06801436/1348чел.</v>
      </c>
      <c r="N1397" s="164">
        <f>N77</f>
        <v>93408.640000000014</v>
      </c>
      <c r="O1397" s="165">
        <f>MROUND(G1397*N1397,0.000001)</f>
        <v>18.852011999999998</v>
      </c>
      <c r="P1397" s="166"/>
      <c r="Q1397" s="166">
        <f t="shared" si="297"/>
        <v>25412.512175999997</v>
      </c>
      <c r="R1397" s="71"/>
    </row>
    <row r="1398" spans="1:18" s="62" customFormat="1" x14ac:dyDescent="0.25">
      <c r="A1398" s="358"/>
      <c r="B1398" s="361"/>
      <c r="C1398" s="218" t="s">
        <v>295</v>
      </c>
      <c r="D1398" s="240"/>
      <c r="E1398" s="240"/>
      <c r="F1398" s="240"/>
      <c r="G1398" s="227"/>
      <c r="H1398" s="241"/>
      <c r="I1398" s="206"/>
      <c r="J1398" s="228"/>
      <c r="K1398" s="207"/>
      <c r="L1398" s="257"/>
      <c r="M1398" s="209"/>
      <c r="N1398" s="210"/>
      <c r="O1398" s="198">
        <f>SUM(O1397)</f>
        <v>18.852011999999998</v>
      </c>
      <c r="P1398" s="267"/>
      <c r="Q1398" s="166"/>
      <c r="R1398" s="71"/>
    </row>
    <row r="1399" spans="1:18" s="61" customFormat="1" x14ac:dyDescent="0.25">
      <c r="A1399" s="358"/>
      <c r="B1399" s="361"/>
      <c r="C1399" s="364" t="s">
        <v>80</v>
      </c>
      <c r="D1399" s="156" t="s">
        <v>38</v>
      </c>
      <c r="E1399" s="156" t="s">
        <v>57</v>
      </c>
      <c r="F1399" s="156" t="s">
        <v>228</v>
      </c>
      <c r="G1399" s="238">
        <f>MROUND(H1399*L1399*I1399/K1399,0.0000000001)</f>
        <v>2.17968869E-2</v>
      </c>
      <c r="H1399" s="158">
        <f>H79</f>
        <v>36</v>
      </c>
      <c r="I1399" s="159">
        <f>I1397</f>
        <v>6.8014359999999996E-2</v>
      </c>
      <c r="J1399" s="160"/>
      <c r="K1399" s="161">
        <f>K1397</f>
        <v>1348</v>
      </c>
      <c r="L1399" s="250">
        <v>12</v>
      </c>
      <c r="M1399" s="163" t="str">
        <f>CONCATENATE(H1399," ",F1399,"*",L1399,"мес.","*",I1399,"/",K1399,"чел.")</f>
        <v>36 зданий*12мес.*0,06801436/1348чел.</v>
      </c>
      <c r="N1399" s="164">
        <f t="shared" ref="N1399:N1407" si="302">N79</f>
        <v>4694.6300000000019</v>
      </c>
      <c r="O1399" s="165">
        <f>MROUND(G1399*N1399,0.000001)</f>
        <v>102.32831899999999</v>
      </c>
      <c r="P1399" s="166"/>
      <c r="Q1399" s="166">
        <f t="shared" si="297"/>
        <v>137938.574012</v>
      </c>
      <c r="R1399" s="71"/>
    </row>
    <row r="1400" spans="1:18" s="61" customFormat="1" ht="47.25" x14ac:dyDescent="0.25">
      <c r="A1400" s="358"/>
      <c r="B1400" s="361"/>
      <c r="C1400" s="364"/>
      <c r="D1400" s="156" t="s">
        <v>229</v>
      </c>
      <c r="E1400" s="156" t="s">
        <v>60</v>
      </c>
      <c r="F1400" s="156" t="s">
        <v>60</v>
      </c>
      <c r="G1400" s="238">
        <f>MROUND(H1400*L1400*I1400/K1400,0.000001)</f>
        <v>0.120791</v>
      </c>
      <c r="H1400" s="158">
        <f>H80</f>
        <v>2394</v>
      </c>
      <c r="I1400" s="159">
        <f>I1399</f>
        <v>6.8014359999999996E-2</v>
      </c>
      <c r="J1400" s="160"/>
      <c r="K1400" s="161">
        <f>K1399</f>
        <v>1348</v>
      </c>
      <c r="L1400" s="250">
        <v>1</v>
      </c>
      <c r="M1400" s="163" t="str">
        <f t="shared" ref="M1400:M1407" si="303">CONCATENATE(H1400," ",F1400,"*",I1400,"/",K1400,"чел.")</f>
        <v>2394 шт.*0,06801436/1348чел.</v>
      </c>
      <c r="N1400" s="164">
        <f t="shared" si="302"/>
        <v>163.5</v>
      </c>
      <c r="O1400" s="165">
        <f>MROUND(G1400*N1400,0.000001)</f>
        <v>19.749328999999999</v>
      </c>
      <c r="P1400" s="166"/>
      <c r="Q1400" s="166">
        <f t="shared" si="297"/>
        <v>26622.095492</v>
      </c>
      <c r="R1400" s="71"/>
    </row>
    <row r="1401" spans="1:18" s="61" customFormat="1" ht="47.25" x14ac:dyDescent="0.25">
      <c r="A1401" s="358"/>
      <c r="B1401" s="361"/>
      <c r="C1401" s="364"/>
      <c r="D1401" s="156" t="s">
        <v>405</v>
      </c>
      <c r="E1401" s="156" t="s">
        <v>60</v>
      </c>
      <c r="F1401" s="156" t="s">
        <v>406</v>
      </c>
      <c r="G1401" s="238">
        <f>MROUND(H1401*L1401*I1401/K1401,0.00000001)</f>
        <v>1.8164100000000001E-3</v>
      </c>
      <c r="H1401" s="158">
        <f>H321</f>
        <v>36</v>
      </c>
      <c r="I1401" s="159">
        <f>I1400</f>
        <v>6.8014359999999996E-2</v>
      </c>
      <c r="J1401" s="160"/>
      <c r="K1401" s="161">
        <f>K1400</f>
        <v>1348</v>
      </c>
      <c r="L1401" s="250">
        <v>1</v>
      </c>
      <c r="M1401" s="163" t="str">
        <f t="shared" si="303"/>
        <v>36 лицензий*0,06801436/1348чел.</v>
      </c>
      <c r="N1401" s="164">
        <f t="shared" si="302"/>
        <v>11990</v>
      </c>
      <c r="O1401" s="165">
        <f t="shared" ref="O1401:O1410" si="304">MROUND(G1401*N1401,0.000001)</f>
        <v>21.778755999999998</v>
      </c>
      <c r="P1401" s="166"/>
      <c r="Q1401" s="166">
        <f t="shared" si="297"/>
        <v>29357.763087999996</v>
      </c>
      <c r="R1401" s="71"/>
    </row>
    <row r="1402" spans="1:18" s="61" customFormat="1" ht="63" x14ac:dyDescent="0.25">
      <c r="A1402" s="358"/>
      <c r="B1402" s="361"/>
      <c r="C1402" s="364"/>
      <c r="D1402" s="156" t="s">
        <v>39</v>
      </c>
      <c r="E1402" s="156" t="s">
        <v>20</v>
      </c>
      <c r="F1402" s="156" t="s">
        <v>234</v>
      </c>
      <c r="G1402" s="238">
        <f>MROUND(H1402*L1402*I1402/K1402,0.000000001)</f>
        <v>5.9537790000000002E-3</v>
      </c>
      <c r="H1402" s="158">
        <f>H922</f>
        <v>118</v>
      </c>
      <c r="I1402" s="159">
        <f>I1400</f>
        <v>6.8014359999999996E-2</v>
      </c>
      <c r="J1402" s="160"/>
      <c r="K1402" s="161">
        <f>K1400</f>
        <v>1348</v>
      </c>
      <c r="L1402" s="250">
        <v>1</v>
      </c>
      <c r="M1402" s="163" t="str">
        <f t="shared" si="303"/>
        <v>118 чел(заявленная потребность руководителями учреждений)*0,06801436/1348чел.</v>
      </c>
      <c r="N1402" s="164">
        <f t="shared" si="302"/>
        <v>763</v>
      </c>
      <c r="O1402" s="165">
        <f t="shared" si="304"/>
        <v>4.5427330000000001</v>
      </c>
      <c r="P1402" s="166"/>
      <c r="Q1402" s="166">
        <f t="shared" si="297"/>
        <v>6123.6040840000005</v>
      </c>
      <c r="R1402" s="71"/>
    </row>
    <row r="1403" spans="1:18" s="61" customFormat="1" ht="63" x14ac:dyDescent="0.25">
      <c r="A1403" s="358"/>
      <c r="B1403" s="361"/>
      <c r="C1403" s="364"/>
      <c r="D1403" s="156" t="s">
        <v>40</v>
      </c>
      <c r="E1403" s="156" t="s">
        <v>20</v>
      </c>
      <c r="F1403" s="156" t="s">
        <v>234</v>
      </c>
      <c r="G1403" s="238">
        <f>MROUND(H1403*L1403*I1403/K1403,0.000000001)</f>
        <v>4.9951200000000005E-3</v>
      </c>
      <c r="H1403" s="158">
        <f>H923</f>
        <v>99</v>
      </c>
      <c r="I1403" s="159">
        <f t="shared" ref="I1403:I1410" si="305">I1402</f>
        <v>6.8014359999999996E-2</v>
      </c>
      <c r="J1403" s="160"/>
      <c r="K1403" s="161">
        <f t="shared" ref="K1403:K1410" si="306">K1402</f>
        <v>1348</v>
      </c>
      <c r="L1403" s="250">
        <v>1</v>
      </c>
      <c r="M1403" s="163" t="str">
        <f t="shared" si="303"/>
        <v>99 чел(заявленная потребность руководителями учреждений)*0,06801436/1348чел.</v>
      </c>
      <c r="N1403" s="164">
        <f t="shared" si="302"/>
        <v>1585.4545454545455</v>
      </c>
      <c r="O1403" s="165">
        <f t="shared" si="304"/>
        <v>7.9195359999999999</v>
      </c>
      <c r="P1403" s="166"/>
      <c r="Q1403" s="166">
        <f t="shared" si="297"/>
        <v>10675.534528</v>
      </c>
      <c r="R1403" s="71"/>
    </row>
    <row r="1404" spans="1:18" s="61" customFormat="1" ht="63" x14ac:dyDescent="0.25">
      <c r="A1404" s="358"/>
      <c r="B1404" s="361"/>
      <c r="C1404" s="364"/>
      <c r="D1404" s="156" t="s">
        <v>100</v>
      </c>
      <c r="E1404" s="156" t="s">
        <v>20</v>
      </c>
      <c r="F1404" s="156" t="s">
        <v>234</v>
      </c>
      <c r="G1404" s="238">
        <f>MROUND(H1404*L1404*I1404/K1404,0.0000000001)</f>
        <v>4.0869163E-3</v>
      </c>
      <c r="H1404" s="158">
        <f>H924</f>
        <v>81</v>
      </c>
      <c r="I1404" s="159">
        <f t="shared" si="305"/>
        <v>6.8014359999999996E-2</v>
      </c>
      <c r="J1404" s="160"/>
      <c r="K1404" s="161">
        <f t="shared" si="306"/>
        <v>1348</v>
      </c>
      <c r="L1404" s="250">
        <v>1</v>
      </c>
      <c r="M1404" s="163" t="str">
        <f t="shared" si="303"/>
        <v>81 чел(заявленная потребность руководителями учреждений)*0,06801436/1348чел.</v>
      </c>
      <c r="N1404" s="164">
        <f t="shared" si="302"/>
        <v>3488</v>
      </c>
      <c r="O1404" s="165">
        <f t="shared" si="304"/>
        <v>14.255163999999999</v>
      </c>
      <c r="P1404" s="166"/>
      <c r="Q1404" s="166">
        <f t="shared" si="297"/>
        <v>19215.961071999998</v>
      </c>
      <c r="R1404" s="71"/>
    </row>
    <row r="1405" spans="1:18" s="61" customFormat="1" ht="110.25" x14ac:dyDescent="0.25">
      <c r="A1405" s="358"/>
      <c r="B1405" s="361"/>
      <c r="C1405" s="364"/>
      <c r="D1405" s="156" t="s">
        <v>235</v>
      </c>
      <c r="E1405" s="156" t="s">
        <v>50</v>
      </c>
      <c r="F1405" s="156" t="s">
        <v>230</v>
      </c>
      <c r="G1405" s="238">
        <f>MROUND(H1405*L1405*I1405/K1405,0.00000001)</f>
        <v>1.8164100000000001E-3</v>
      </c>
      <c r="H1405" s="158">
        <f>H1165</f>
        <v>36</v>
      </c>
      <c r="I1405" s="159">
        <f t="shared" si="305"/>
        <v>6.8014359999999996E-2</v>
      </c>
      <c r="J1405" s="160"/>
      <c r="K1405" s="161">
        <f t="shared" si="306"/>
        <v>1348</v>
      </c>
      <c r="L1405" s="250">
        <v>1</v>
      </c>
      <c r="M1405" s="163" t="str">
        <f t="shared" si="303"/>
        <v>36 отчетов*0,06801436/1348чел.</v>
      </c>
      <c r="N1405" s="164">
        <f t="shared" si="302"/>
        <v>6540</v>
      </c>
      <c r="O1405" s="165">
        <f t="shared" si="304"/>
        <v>11.879320999999999</v>
      </c>
      <c r="P1405" s="166"/>
      <c r="Q1405" s="166">
        <f t="shared" si="297"/>
        <v>16013.324707999998</v>
      </c>
      <c r="R1405" s="71"/>
    </row>
    <row r="1406" spans="1:18" s="61" customFormat="1" ht="63" x14ac:dyDescent="0.25">
      <c r="A1406" s="358"/>
      <c r="B1406" s="361"/>
      <c r="C1406" s="364"/>
      <c r="D1406" s="156" t="s">
        <v>42</v>
      </c>
      <c r="E1406" s="156" t="s">
        <v>51</v>
      </c>
      <c r="F1406" s="156" t="s">
        <v>407</v>
      </c>
      <c r="G1406" s="238">
        <f>MROUND(H1406*L1406*I1406/K1406,0.000001)</f>
        <v>1.0293E-2</v>
      </c>
      <c r="H1406" s="158">
        <f>H926</f>
        <v>204</v>
      </c>
      <c r="I1406" s="159">
        <f t="shared" si="305"/>
        <v>6.8014359999999996E-2</v>
      </c>
      <c r="J1406" s="160"/>
      <c r="K1406" s="161">
        <f t="shared" si="306"/>
        <v>1348</v>
      </c>
      <c r="L1406" s="250">
        <v>1</v>
      </c>
      <c r="M1406" s="163" t="str">
        <f t="shared" si="303"/>
        <v>204 ед (заявленная потребность руководителями учреждений)*0,06801436/1348чел.</v>
      </c>
      <c r="N1406" s="164">
        <f t="shared" si="302"/>
        <v>1090</v>
      </c>
      <c r="O1406" s="165">
        <f t="shared" si="304"/>
        <v>11.21937</v>
      </c>
      <c r="P1406" s="166"/>
      <c r="Q1406" s="166">
        <f t="shared" si="297"/>
        <v>15123.71076</v>
      </c>
      <c r="R1406" s="71"/>
    </row>
    <row r="1407" spans="1:18" s="61" customFormat="1" ht="31.5" x14ac:dyDescent="0.25">
      <c r="A1407" s="358"/>
      <c r="B1407" s="361"/>
      <c r="C1407" s="364"/>
      <c r="D1407" s="156" t="s">
        <v>43</v>
      </c>
      <c r="E1407" s="156" t="s">
        <v>52</v>
      </c>
      <c r="F1407" s="156" t="s">
        <v>231</v>
      </c>
      <c r="G1407" s="238">
        <f>MROUND(H1407*L1407*I1407/K1407,0.000000001)</f>
        <v>1.8164070000000001E-3</v>
      </c>
      <c r="H1407" s="158">
        <f>H327</f>
        <v>36</v>
      </c>
      <c r="I1407" s="159">
        <f t="shared" si="305"/>
        <v>6.8014359999999996E-2</v>
      </c>
      <c r="J1407" s="160"/>
      <c r="K1407" s="161">
        <f t="shared" si="306"/>
        <v>1348</v>
      </c>
      <c r="L1407" s="250">
        <v>1</v>
      </c>
      <c r="M1407" s="163" t="str">
        <f t="shared" si="303"/>
        <v>36 ЭЦП*0,06801436/1348чел.</v>
      </c>
      <c r="N1407" s="164">
        <f t="shared" si="302"/>
        <v>7743.3599999999924</v>
      </c>
      <c r="O1407" s="165">
        <f t="shared" si="304"/>
        <v>14.065092999999999</v>
      </c>
      <c r="P1407" s="166"/>
      <c r="Q1407" s="166">
        <f t="shared" si="297"/>
        <v>18959.745363999999</v>
      </c>
      <c r="R1407" s="71"/>
    </row>
    <row r="1408" spans="1:18" s="61" customFormat="1" ht="47.25" x14ac:dyDescent="0.25">
      <c r="A1408" s="358"/>
      <c r="B1408" s="361"/>
      <c r="C1408" s="364"/>
      <c r="D1408" s="156" t="s">
        <v>44</v>
      </c>
      <c r="E1408" s="156" t="s">
        <v>85</v>
      </c>
      <c r="F1408" s="156" t="s">
        <v>232</v>
      </c>
      <c r="G1408" s="238">
        <f>MROUND(H1408*L1408*I1408/K1408,0.000001)</f>
        <v>6.1353999999999999E-2</v>
      </c>
      <c r="H1408" s="158">
        <f>H328</f>
        <v>1216</v>
      </c>
      <c r="I1408" s="159">
        <f t="shared" si="305"/>
        <v>6.8014359999999996E-2</v>
      </c>
      <c r="J1408" s="160"/>
      <c r="K1408" s="161">
        <f t="shared" si="306"/>
        <v>1348</v>
      </c>
      <c r="L1408" s="250">
        <v>1</v>
      </c>
      <c r="M1408" s="163" t="str">
        <f>CONCATENATE(H1408," ",F1408,"*",L1408,"мес.","*",I1408,"/",K1408,"чел.")</f>
        <v>1216 мед.осмотров в мес.*1мес.*0,06801436/1348чел.</v>
      </c>
      <c r="N1408" s="164">
        <f>N328</f>
        <v>56.680000000000007</v>
      </c>
      <c r="O1408" s="165">
        <f t="shared" si="304"/>
        <v>3.4775449999999997</v>
      </c>
      <c r="P1408" s="166"/>
      <c r="Q1408" s="166">
        <f t="shared" si="297"/>
        <v>4687.7306599999993</v>
      </c>
      <c r="R1408" s="71"/>
    </row>
    <row r="1409" spans="1:18" s="61" customFormat="1" ht="63" x14ac:dyDescent="0.25">
      <c r="A1409" s="358"/>
      <c r="B1409" s="361"/>
      <c r="C1409" s="364"/>
      <c r="D1409" s="156" t="s">
        <v>45</v>
      </c>
      <c r="E1409" s="156" t="s">
        <v>53</v>
      </c>
      <c r="F1409" s="156" t="s">
        <v>233</v>
      </c>
      <c r="G1409" s="238">
        <f>MROUND(H1409*L1409*I1409/K1409,0.000000001)</f>
        <v>2.4218760000000003E-3</v>
      </c>
      <c r="H1409" s="158">
        <f>H929</f>
        <v>4</v>
      </c>
      <c r="I1409" s="159">
        <f t="shared" si="305"/>
        <v>6.8014359999999996E-2</v>
      </c>
      <c r="J1409" s="160"/>
      <c r="K1409" s="161">
        <f t="shared" si="306"/>
        <v>1348</v>
      </c>
      <c r="L1409" s="250">
        <v>12</v>
      </c>
      <c r="M1409" s="163" t="str">
        <f>CONCATENATE(H1409," ",F1409,"*",L1409,"мес.","*",I1409,"/",K1409,"чел.")</f>
        <v>4  машины, оборудованных системой ГЛОНАСС*12мес.*0,06801436/1348чел.</v>
      </c>
      <c r="N1409" s="164">
        <f>N89</f>
        <v>880.71999999999991</v>
      </c>
      <c r="O1409" s="165">
        <f t="shared" si="304"/>
        <v>2.1329949999999998</v>
      </c>
      <c r="P1409" s="166"/>
      <c r="Q1409" s="166">
        <f t="shared" si="297"/>
        <v>2875.2772599999998</v>
      </c>
      <c r="R1409" s="71"/>
    </row>
    <row r="1410" spans="1:18" s="61" customFormat="1" ht="31.5" x14ac:dyDescent="0.25">
      <c r="A1410" s="358"/>
      <c r="B1410" s="361"/>
      <c r="C1410" s="364"/>
      <c r="D1410" s="156" t="s">
        <v>408</v>
      </c>
      <c r="E1410" s="156" t="s">
        <v>20</v>
      </c>
      <c r="F1410" s="156" t="s">
        <v>20</v>
      </c>
      <c r="G1410" s="238">
        <f>MROUND(H1410*L1410*I1410/K1410,0.0000000001)</f>
        <v>8.6380255400000008E-2</v>
      </c>
      <c r="H1410" s="158">
        <f>H90</f>
        <v>1712</v>
      </c>
      <c r="I1410" s="159">
        <f t="shared" si="305"/>
        <v>6.8014359999999996E-2</v>
      </c>
      <c r="J1410" s="160"/>
      <c r="K1410" s="161">
        <f t="shared" si="306"/>
        <v>1348</v>
      </c>
      <c r="L1410" s="250">
        <v>1</v>
      </c>
      <c r="M1410" s="163" t="str">
        <f>CONCATENATE(H1410," ",F1410,"*",L1410," раз в год","*",I1410,"/",K1410,"чел.")</f>
        <v>1712 чел.*1 раз в год*0,06801436/1348чел.</v>
      </c>
      <c r="N1410" s="164">
        <f>N90</f>
        <v>545</v>
      </c>
      <c r="O1410" s="165">
        <f t="shared" si="304"/>
        <v>47.077238999999999</v>
      </c>
      <c r="P1410" s="166"/>
      <c r="Q1410" s="166">
        <f t="shared" si="297"/>
        <v>63460.118171999995</v>
      </c>
      <c r="R1410" s="71"/>
    </row>
    <row r="1411" spans="1:18" s="61" customFormat="1" x14ac:dyDescent="0.25">
      <c r="A1411" s="358"/>
      <c r="B1411" s="361"/>
      <c r="C1411" s="364"/>
      <c r="D1411" s="156" t="s">
        <v>373</v>
      </c>
      <c r="E1411" s="156" t="s">
        <v>28</v>
      </c>
      <c r="F1411" s="156" t="s">
        <v>28</v>
      </c>
      <c r="G1411" s="157">
        <f>MROUND(H1411*L1411*I1411/K1411,0.000000001)</f>
        <v>1.8164070000000001E-3</v>
      </c>
      <c r="H1411" s="158">
        <f>H92</f>
        <v>36</v>
      </c>
      <c r="I1411" s="159">
        <f>I1409</f>
        <v>6.8014359999999996E-2</v>
      </c>
      <c r="J1411" s="160"/>
      <c r="K1411" s="161">
        <f>K1409</f>
        <v>1348</v>
      </c>
      <c r="L1411" s="162">
        <v>1</v>
      </c>
      <c r="M1411" s="163" t="str">
        <f>CONCATENATE(H1411," ",F1411,"*",L1411,"мес.","*",I1411,"/",K1411,"чел.")</f>
        <v>36 шт*1мес.*0,06801436/1348чел.</v>
      </c>
      <c r="N1411" s="164">
        <f>N92</f>
        <v>24000</v>
      </c>
      <c r="O1411" s="165">
        <f>MROUND(G1411*N1411,0.000000001)</f>
        <v>43.593768000000004</v>
      </c>
      <c r="P1411" s="166"/>
      <c r="Q1411" s="166">
        <f t="shared" si="297"/>
        <v>58764.399264000007</v>
      </c>
      <c r="R1411" s="71"/>
    </row>
    <row r="1412" spans="1:18" s="61" customFormat="1" ht="31.5" x14ac:dyDescent="0.25">
      <c r="A1412" s="358"/>
      <c r="B1412" s="361"/>
      <c r="C1412" s="364"/>
      <c r="D1412" s="156" t="s">
        <v>106</v>
      </c>
      <c r="E1412" s="156" t="s">
        <v>107</v>
      </c>
      <c r="F1412" s="156"/>
      <c r="G1412" s="238">
        <f>MROUND(H1412*L1412*I1412/K1412,0.000000001)</f>
        <v>0</v>
      </c>
      <c r="H1412" s="158">
        <f>H91</f>
        <v>0</v>
      </c>
      <c r="I1412" s="159">
        <f>I1409</f>
        <v>6.8014359999999996E-2</v>
      </c>
      <c r="J1412" s="160"/>
      <c r="K1412" s="161">
        <f>K1409</f>
        <v>1348</v>
      </c>
      <c r="L1412" s="250">
        <f>L452</f>
        <v>0</v>
      </c>
      <c r="M1412" s="163"/>
      <c r="N1412" s="164">
        <f>N91</f>
        <v>1256.0400600000007</v>
      </c>
      <c r="O1412" s="165">
        <f>MROUND(G1412*N1412,0.000000001)</f>
        <v>0</v>
      </c>
      <c r="P1412" s="166"/>
      <c r="Q1412" s="166">
        <f t="shared" si="297"/>
        <v>0</v>
      </c>
      <c r="R1412" s="71"/>
    </row>
    <row r="1413" spans="1:18" s="62" customFormat="1" x14ac:dyDescent="0.25">
      <c r="A1413" s="358"/>
      <c r="B1413" s="361"/>
      <c r="C1413" s="245" t="s">
        <v>296</v>
      </c>
      <c r="D1413" s="240"/>
      <c r="E1413" s="240"/>
      <c r="F1413" s="240"/>
      <c r="G1413" s="227"/>
      <c r="H1413" s="241"/>
      <c r="I1413" s="206"/>
      <c r="J1413" s="228"/>
      <c r="K1413" s="207"/>
      <c r="L1413" s="257"/>
      <c r="M1413" s="209"/>
      <c r="N1413" s="210"/>
      <c r="O1413" s="198">
        <f>SUM(O1399:O1412)</f>
        <v>304.01916799999998</v>
      </c>
      <c r="P1413" s="267"/>
      <c r="Q1413" s="166"/>
      <c r="R1413" s="71"/>
    </row>
    <row r="1414" spans="1:18" s="61" customFormat="1" ht="31.5" x14ac:dyDescent="0.25">
      <c r="A1414" s="358"/>
      <c r="B1414" s="361"/>
      <c r="C1414" s="252" t="s">
        <v>237</v>
      </c>
      <c r="D1414" s="156" t="s">
        <v>41</v>
      </c>
      <c r="E1414" s="156" t="s">
        <v>61</v>
      </c>
      <c r="F1414" s="156" t="s">
        <v>227</v>
      </c>
      <c r="G1414" s="238">
        <f>MROUND(H1414*L1414*I1414/K1414,0.000000001)</f>
        <v>2.0182300000000001E-4</v>
      </c>
      <c r="H1414" s="158">
        <f>H334</f>
        <v>4</v>
      </c>
      <c r="I1414" s="159">
        <f>I1412</f>
        <v>6.8014359999999996E-2</v>
      </c>
      <c r="J1414" s="160"/>
      <c r="K1414" s="161">
        <f>K1412</f>
        <v>1348</v>
      </c>
      <c r="L1414" s="250">
        <v>1</v>
      </c>
      <c r="M1414" s="163" t="str">
        <f>CONCATENATE(H1414," ",F1414,"*",I1414,"/",K1414,"чел.")</f>
        <v>4 автобуса*0,06801436/1348чел.</v>
      </c>
      <c r="N1414" s="164">
        <f>N94</f>
        <v>25724</v>
      </c>
      <c r="O1414" s="165">
        <f>MROUND(G1414*N1414,0.000001)</f>
        <v>5.1916950000000002</v>
      </c>
      <c r="P1414" s="166"/>
      <c r="Q1414" s="166">
        <f t="shared" ref="Q1414:Q1477" si="307">O1414*K1414</f>
        <v>6998.4048600000006</v>
      </c>
      <c r="R1414" s="71"/>
    </row>
    <row r="1415" spans="1:18" s="62" customFormat="1" x14ac:dyDescent="0.25">
      <c r="A1415" s="358"/>
      <c r="B1415" s="361"/>
      <c r="C1415" s="245" t="s">
        <v>297</v>
      </c>
      <c r="D1415" s="240"/>
      <c r="E1415" s="240"/>
      <c r="F1415" s="240"/>
      <c r="G1415" s="227"/>
      <c r="H1415" s="241"/>
      <c r="I1415" s="206"/>
      <c r="J1415" s="228"/>
      <c r="K1415" s="207"/>
      <c r="L1415" s="257"/>
      <c r="M1415" s="209"/>
      <c r="N1415" s="210"/>
      <c r="O1415" s="198">
        <f>SUM(O1414)</f>
        <v>5.1916950000000002</v>
      </c>
      <c r="P1415" s="267"/>
      <c r="Q1415" s="166"/>
      <c r="R1415" s="71"/>
    </row>
    <row r="1416" spans="1:18" s="61" customFormat="1" ht="78.75" x14ac:dyDescent="0.25">
      <c r="A1416" s="358"/>
      <c r="B1416" s="361"/>
      <c r="C1416" s="221" t="s">
        <v>236</v>
      </c>
      <c r="D1416" s="156" t="s">
        <v>19</v>
      </c>
      <c r="E1416" s="181" t="s">
        <v>20</v>
      </c>
      <c r="F1416" s="181" t="s">
        <v>238</v>
      </c>
      <c r="G1416" s="238">
        <f>MROUND(H1416*L1416*I1416/K1416,0.000001)</f>
        <v>0</v>
      </c>
      <c r="H1416" s="158"/>
      <c r="I1416" s="159">
        <f>I1412</f>
        <v>6.8014359999999996E-2</v>
      </c>
      <c r="J1416" s="160"/>
      <c r="K1416" s="161">
        <f>K1412</f>
        <v>1348</v>
      </c>
      <c r="L1416" s="250"/>
      <c r="M1416" s="163"/>
      <c r="N1416" s="164"/>
      <c r="O1416" s="165">
        <f>MROUND(G1416*N1416,0.000001)</f>
        <v>0</v>
      </c>
      <c r="P1416" s="166"/>
      <c r="Q1416" s="166">
        <f t="shared" si="307"/>
        <v>0</v>
      </c>
      <c r="R1416" s="71"/>
    </row>
    <row r="1417" spans="1:18" s="62" customFormat="1" x14ac:dyDescent="0.25">
      <c r="A1417" s="358"/>
      <c r="B1417" s="361"/>
      <c r="C1417" s="245" t="s">
        <v>298</v>
      </c>
      <c r="D1417" s="240"/>
      <c r="E1417" s="253"/>
      <c r="F1417" s="253"/>
      <c r="G1417" s="227"/>
      <c r="H1417" s="241"/>
      <c r="I1417" s="206"/>
      <c r="J1417" s="228"/>
      <c r="K1417" s="207"/>
      <c r="L1417" s="257"/>
      <c r="M1417" s="209"/>
      <c r="N1417" s="210"/>
      <c r="O1417" s="198">
        <f>SUM(O1416)</f>
        <v>0</v>
      </c>
      <c r="P1417" s="267"/>
      <c r="Q1417" s="166"/>
      <c r="R1417" s="71"/>
    </row>
    <row r="1418" spans="1:18" s="61" customFormat="1" ht="30" x14ac:dyDescent="0.25">
      <c r="A1418" s="358"/>
      <c r="B1418" s="361"/>
      <c r="C1418" s="365" t="s">
        <v>81</v>
      </c>
      <c r="D1418" s="254" t="s">
        <v>410</v>
      </c>
      <c r="E1418" s="156" t="s">
        <v>28</v>
      </c>
      <c r="F1418" s="156" t="s">
        <v>28</v>
      </c>
      <c r="G1418" s="238">
        <f>MROUND(H1418*L1418*I1418/K1418,0.0000000001)</f>
        <v>3.5319030000000002E-4</v>
      </c>
      <c r="H1418" s="158">
        <f>H98</f>
        <v>7</v>
      </c>
      <c r="I1418" s="159">
        <f>I1412</f>
        <v>6.8014359999999996E-2</v>
      </c>
      <c r="J1418" s="160"/>
      <c r="K1418" s="161">
        <f>K1412</f>
        <v>1348</v>
      </c>
      <c r="L1418" s="250">
        <v>1</v>
      </c>
      <c r="M1418" s="163" t="str">
        <f>CONCATENATE(H1418," ",F1418,"*",I1418,"/",K1418,"чел.")</f>
        <v>7 шт*0,06801436/1348чел.</v>
      </c>
      <c r="N1418" s="164">
        <f>N98</f>
        <v>152142.85714285713</v>
      </c>
      <c r="O1418" s="165">
        <f>MROUND(G1418*N1418,0.000001)</f>
        <v>53.735380999999997</v>
      </c>
      <c r="P1418" s="166"/>
      <c r="Q1418" s="166">
        <f t="shared" si="307"/>
        <v>72435.293588</v>
      </c>
      <c r="R1418" s="71"/>
    </row>
    <row r="1419" spans="1:18" s="61" customFormat="1" x14ac:dyDescent="0.25">
      <c r="A1419" s="358"/>
      <c r="B1419" s="361"/>
      <c r="C1419" s="366"/>
      <c r="D1419" s="254" t="s">
        <v>325</v>
      </c>
      <c r="E1419" s="156" t="s">
        <v>28</v>
      </c>
      <c r="F1419" s="156" t="s">
        <v>28</v>
      </c>
      <c r="G1419" s="157">
        <f>MROUND(H1419*L1419*I1419/K1419,0.0000000001)</f>
        <v>1.1604824000000001E-3</v>
      </c>
      <c r="H1419" s="158">
        <f>$H$99</f>
        <v>23</v>
      </c>
      <c r="I1419" s="159">
        <f>I1418</f>
        <v>6.8014359999999996E-2</v>
      </c>
      <c r="J1419" s="160"/>
      <c r="K1419" s="161">
        <f>K1418</f>
        <v>1348</v>
      </c>
      <c r="L1419" s="250">
        <v>1</v>
      </c>
      <c r="M1419" s="163" t="str">
        <f>CONCATENATE(H1419," ",F1419,"*",I1419,"/",K1419,"чел.")</f>
        <v>23 шт*0,06801436/1348чел.</v>
      </c>
      <c r="N1419" s="164">
        <f>$N$99</f>
        <v>229039.13043478262</v>
      </c>
      <c r="O1419" s="165">
        <f>MROUND(G1419*N1419,0.000001)</f>
        <v>265.79588000000001</v>
      </c>
      <c r="P1419" s="166"/>
      <c r="Q1419" s="166">
        <f t="shared" si="307"/>
        <v>358292.84624000004</v>
      </c>
      <c r="R1419" s="71"/>
    </row>
    <row r="1420" spans="1:18" s="61" customFormat="1" ht="30" x14ac:dyDescent="0.25">
      <c r="A1420" s="358"/>
      <c r="B1420" s="361"/>
      <c r="C1420" s="366"/>
      <c r="D1420" s="254" t="s">
        <v>411</v>
      </c>
      <c r="E1420" s="156" t="s">
        <v>28</v>
      </c>
      <c r="F1420" s="156" t="s">
        <v>28</v>
      </c>
      <c r="G1420" s="238">
        <f>MROUND(H1420*L1420*I1420/K1420,0.00000001)</f>
        <v>3.5319000000000003E-4</v>
      </c>
      <c r="H1420" s="158">
        <f>$H$100</f>
        <v>7</v>
      </c>
      <c r="I1420" s="159">
        <f>I1418</f>
        <v>6.8014359999999996E-2</v>
      </c>
      <c r="J1420" s="160"/>
      <c r="K1420" s="161">
        <f>K1418</f>
        <v>1348</v>
      </c>
      <c r="L1420" s="250">
        <v>1</v>
      </c>
      <c r="M1420" s="163" t="str">
        <f t="shared" ref="M1420:M1441" si="308">CONCATENATE(H1420," ",F1420,"*",I1420,"/",K1420,"чел.")</f>
        <v>7 шт*0,06801436/1348чел.</v>
      </c>
      <c r="N1420" s="164">
        <f t="shared" ref="N1420:N1434" si="309">N100</f>
        <v>82142.857142857145</v>
      </c>
      <c r="O1420" s="165">
        <f t="shared" ref="O1420:O1441" si="310">MROUND(G1420*N1420,0.000001)</f>
        <v>29.012035999999998</v>
      </c>
      <c r="P1420" s="166"/>
      <c r="Q1420" s="166">
        <f t="shared" si="307"/>
        <v>39108.224527999999</v>
      </c>
      <c r="R1420" s="71"/>
    </row>
    <row r="1421" spans="1:18" s="61" customFormat="1" x14ac:dyDescent="0.25">
      <c r="A1421" s="358"/>
      <c r="B1421" s="361"/>
      <c r="C1421" s="366"/>
      <c r="D1421" s="255" t="s">
        <v>412</v>
      </c>
      <c r="E1421" s="156" t="s">
        <v>28</v>
      </c>
      <c r="F1421" s="156" t="s">
        <v>28</v>
      </c>
      <c r="G1421" s="238">
        <f>MROUND(H1421*L1421*I1421/K1421,0.00000001)</f>
        <v>1.7659500000000001E-3</v>
      </c>
      <c r="H1421" s="158">
        <f>$H$101</f>
        <v>35</v>
      </c>
      <c r="I1421" s="159">
        <f>I1420</f>
        <v>6.8014359999999996E-2</v>
      </c>
      <c r="J1421" s="160"/>
      <c r="K1421" s="161">
        <f>K1420</f>
        <v>1348</v>
      </c>
      <c r="L1421" s="250">
        <v>1</v>
      </c>
      <c r="M1421" s="163" t="str">
        <f t="shared" si="308"/>
        <v>35 шт*0,06801436/1348чел.</v>
      </c>
      <c r="N1421" s="164">
        <f t="shared" si="309"/>
        <v>126114.97142857143</v>
      </c>
      <c r="O1421" s="165">
        <f t="shared" si="310"/>
        <v>222.71273399999998</v>
      </c>
      <c r="P1421" s="166"/>
      <c r="Q1421" s="166">
        <f t="shared" si="307"/>
        <v>300216.76543199999</v>
      </c>
      <c r="R1421" s="71"/>
    </row>
    <row r="1422" spans="1:18" s="61" customFormat="1" ht="31.5" x14ac:dyDescent="0.25">
      <c r="A1422" s="358"/>
      <c r="B1422" s="361"/>
      <c r="C1422" s="366"/>
      <c r="D1422" s="255" t="s">
        <v>413</v>
      </c>
      <c r="E1422" s="156" t="s">
        <v>28</v>
      </c>
      <c r="F1422" s="156" t="s">
        <v>28</v>
      </c>
      <c r="G1422" s="238">
        <f>MROUND(H1422*L1422*I1422/K1422,0.0000000001)</f>
        <v>7.5683640000000002E-4</v>
      </c>
      <c r="H1422" s="158">
        <f>H102</f>
        <v>15</v>
      </c>
      <c r="I1422" s="159">
        <f>I1421</f>
        <v>6.8014359999999996E-2</v>
      </c>
      <c r="J1422" s="160"/>
      <c r="K1422" s="161">
        <f>K1421</f>
        <v>1348</v>
      </c>
      <c r="L1422" s="250">
        <v>1</v>
      </c>
      <c r="M1422" s="163" t="str">
        <f t="shared" si="308"/>
        <v>15 шт*0,06801436/1348чел.</v>
      </c>
      <c r="N1422" s="164">
        <f t="shared" si="309"/>
        <v>75333.333333333328</v>
      </c>
      <c r="O1422" s="165">
        <f t="shared" si="310"/>
        <v>57.015008999999999</v>
      </c>
      <c r="P1422" s="166"/>
      <c r="Q1422" s="166">
        <f t="shared" si="307"/>
        <v>76856.232132000005</v>
      </c>
      <c r="R1422" s="71"/>
    </row>
    <row r="1423" spans="1:18" s="61" customFormat="1" x14ac:dyDescent="0.25">
      <c r="A1423" s="358"/>
      <c r="B1423" s="361"/>
      <c r="C1423" s="366"/>
      <c r="D1423" s="254" t="s">
        <v>109</v>
      </c>
      <c r="E1423" s="156" t="s">
        <v>28</v>
      </c>
      <c r="F1423" s="156" t="s">
        <v>28</v>
      </c>
      <c r="G1423" s="238">
        <f>MROUND(H1423*L1423*I1423/K1423,0.0000000001)</f>
        <v>8.0729210000000007E-4</v>
      </c>
      <c r="H1423" s="158">
        <f>$H$103</f>
        <v>16</v>
      </c>
      <c r="I1423" s="159">
        <f>I1422</f>
        <v>6.8014359999999996E-2</v>
      </c>
      <c r="J1423" s="160"/>
      <c r="K1423" s="161">
        <f>K1422</f>
        <v>1348</v>
      </c>
      <c r="L1423" s="250">
        <v>1</v>
      </c>
      <c r="M1423" s="163" t="str">
        <f t="shared" si="308"/>
        <v>16 шт*0,06801436/1348чел.</v>
      </c>
      <c r="N1423" s="164">
        <f t="shared" si="309"/>
        <v>169687.5</v>
      </c>
      <c r="O1423" s="165">
        <f t="shared" si="310"/>
        <v>136.98737800000001</v>
      </c>
      <c r="P1423" s="166"/>
      <c r="Q1423" s="166">
        <f t="shared" si="307"/>
        <v>184658.985544</v>
      </c>
      <c r="R1423" s="71"/>
    </row>
    <row r="1424" spans="1:18" s="61" customFormat="1" x14ac:dyDescent="0.25">
      <c r="A1424" s="358"/>
      <c r="B1424" s="361"/>
      <c r="C1424" s="366"/>
      <c r="D1424" s="254" t="s">
        <v>414</v>
      </c>
      <c r="E1424" s="156" t="s">
        <v>28</v>
      </c>
      <c r="F1424" s="156" t="s">
        <v>28</v>
      </c>
      <c r="G1424" s="238">
        <f>MROUND(H1424*L1424*I1424/K1424,0.0000000001)</f>
        <v>4.541018E-4</v>
      </c>
      <c r="H1424" s="158">
        <f>$H$104</f>
        <v>9</v>
      </c>
      <c r="I1424" s="159">
        <f>I1422</f>
        <v>6.8014359999999996E-2</v>
      </c>
      <c r="J1424" s="160"/>
      <c r="K1424" s="161">
        <f>K1422</f>
        <v>1348</v>
      </c>
      <c r="L1424" s="250">
        <v>1</v>
      </c>
      <c r="M1424" s="163" t="str">
        <f t="shared" si="308"/>
        <v>9 шт*0,06801436/1348чел.</v>
      </c>
      <c r="N1424" s="164">
        <f t="shared" si="309"/>
        <v>89333.333333333328</v>
      </c>
      <c r="O1424" s="165">
        <f t="shared" si="310"/>
        <v>40.566426999999997</v>
      </c>
      <c r="P1424" s="166"/>
      <c r="Q1424" s="166">
        <f t="shared" si="307"/>
        <v>54683.543595999996</v>
      </c>
      <c r="R1424" s="71"/>
    </row>
    <row r="1425" spans="1:18" s="61" customFormat="1" x14ac:dyDescent="0.25">
      <c r="A1425" s="358"/>
      <c r="B1425" s="361"/>
      <c r="C1425" s="366"/>
      <c r="D1425" s="254" t="s">
        <v>415</v>
      </c>
      <c r="E1425" s="156" t="s">
        <v>28</v>
      </c>
      <c r="F1425" s="156" t="s">
        <v>28</v>
      </c>
      <c r="G1425" s="238">
        <f>MROUND(H1425*L1425*I1425/K1425,0.00000001)</f>
        <v>5.5500999999999999E-4</v>
      </c>
      <c r="H1425" s="158">
        <f>$H$105</f>
        <v>11</v>
      </c>
      <c r="I1425" s="159">
        <f t="shared" ref="I1425:I1434" si="311">I1423</f>
        <v>6.8014359999999996E-2</v>
      </c>
      <c r="J1425" s="160"/>
      <c r="K1425" s="161">
        <f t="shared" ref="K1425:K1434" si="312">K1423</f>
        <v>1348</v>
      </c>
      <c r="L1425" s="250">
        <v>1</v>
      </c>
      <c r="M1425" s="163" t="str">
        <f t="shared" si="308"/>
        <v>11 шт*0,06801436/1348чел.</v>
      </c>
      <c r="N1425" s="164">
        <f t="shared" si="309"/>
        <v>122181.81818181818</v>
      </c>
      <c r="O1425" s="165">
        <f t="shared" si="310"/>
        <v>67.812130999999994</v>
      </c>
      <c r="P1425" s="166"/>
      <c r="Q1425" s="166">
        <f t="shared" si="307"/>
        <v>91410.752587999988</v>
      </c>
      <c r="R1425" s="71"/>
    </row>
    <row r="1426" spans="1:18" s="61" customFormat="1" x14ac:dyDescent="0.25">
      <c r="A1426" s="358"/>
      <c r="B1426" s="361"/>
      <c r="C1426" s="366"/>
      <c r="D1426" s="254" t="s">
        <v>416</v>
      </c>
      <c r="E1426" s="156" t="s">
        <v>28</v>
      </c>
      <c r="F1426" s="156" t="s">
        <v>28</v>
      </c>
      <c r="G1426" s="238">
        <f>MROUND(H1426*L1426*I1426/K1426,0.000000001)</f>
        <v>1.0091150000000001E-3</v>
      </c>
      <c r="H1426" s="246">
        <f>$H$106</f>
        <v>20</v>
      </c>
      <c r="I1426" s="159">
        <f t="shared" si="311"/>
        <v>6.8014359999999996E-2</v>
      </c>
      <c r="J1426" s="160"/>
      <c r="K1426" s="161">
        <f t="shared" si="312"/>
        <v>1348</v>
      </c>
      <c r="L1426" s="250">
        <v>1</v>
      </c>
      <c r="M1426" s="163" t="str">
        <f t="shared" si="308"/>
        <v>20 шт*0,06801436/1348чел.</v>
      </c>
      <c r="N1426" s="164">
        <f t="shared" si="309"/>
        <v>52500</v>
      </c>
      <c r="O1426" s="165">
        <f t="shared" si="310"/>
        <v>52.978538</v>
      </c>
      <c r="P1426" s="166"/>
      <c r="Q1426" s="166">
        <f t="shared" si="307"/>
        <v>71415.069224000006</v>
      </c>
      <c r="R1426" s="71"/>
    </row>
    <row r="1427" spans="1:18" s="61" customFormat="1" x14ac:dyDescent="0.25">
      <c r="A1427" s="358"/>
      <c r="B1427" s="361"/>
      <c r="C1427" s="366"/>
      <c r="D1427" s="254" t="s">
        <v>417</v>
      </c>
      <c r="E1427" s="156" t="s">
        <v>28</v>
      </c>
      <c r="F1427" s="156" t="s">
        <v>28</v>
      </c>
      <c r="G1427" s="238">
        <f>MROUND(H1427*L1427*I1427/K1427,0.00000001)</f>
        <v>8.5775000000000001E-4</v>
      </c>
      <c r="H1427" s="158">
        <f>$H$107</f>
        <v>17</v>
      </c>
      <c r="I1427" s="159">
        <f t="shared" si="311"/>
        <v>6.8014359999999996E-2</v>
      </c>
      <c r="J1427" s="160"/>
      <c r="K1427" s="161">
        <f t="shared" si="312"/>
        <v>1348</v>
      </c>
      <c r="L1427" s="250">
        <v>1</v>
      </c>
      <c r="M1427" s="163" t="str">
        <f t="shared" si="308"/>
        <v>17 шт*0,06801436/1348чел.</v>
      </c>
      <c r="N1427" s="164">
        <f t="shared" si="309"/>
        <v>75000</v>
      </c>
      <c r="O1427" s="165">
        <f t="shared" si="310"/>
        <v>64.331249999999997</v>
      </c>
      <c r="P1427" s="166"/>
      <c r="Q1427" s="166">
        <f t="shared" si="307"/>
        <v>86718.524999999994</v>
      </c>
      <c r="R1427" s="71"/>
    </row>
    <row r="1428" spans="1:18" s="61" customFormat="1" ht="30" x14ac:dyDescent="0.25">
      <c r="A1428" s="358"/>
      <c r="B1428" s="361"/>
      <c r="C1428" s="366"/>
      <c r="D1428" s="254" t="s">
        <v>418</v>
      </c>
      <c r="E1428" s="156" t="s">
        <v>28</v>
      </c>
      <c r="F1428" s="156" t="s">
        <v>28</v>
      </c>
      <c r="G1428" s="238">
        <f>MROUND(H1428*L1428*I1428/K1428,0.00000001)</f>
        <v>4.5410000000000003E-4</v>
      </c>
      <c r="H1428" s="158">
        <f>H108</f>
        <v>9</v>
      </c>
      <c r="I1428" s="159">
        <f t="shared" si="311"/>
        <v>6.8014359999999996E-2</v>
      </c>
      <c r="J1428" s="160"/>
      <c r="K1428" s="161">
        <f t="shared" si="312"/>
        <v>1348</v>
      </c>
      <c r="L1428" s="250">
        <v>1</v>
      </c>
      <c r="M1428" s="163" t="str">
        <f t="shared" si="308"/>
        <v>9 шт*0,06801436/1348чел.</v>
      </c>
      <c r="N1428" s="164">
        <f t="shared" si="309"/>
        <v>66666.666666666672</v>
      </c>
      <c r="O1428" s="165">
        <f t="shared" si="310"/>
        <v>30.273332999999997</v>
      </c>
      <c r="P1428" s="166"/>
      <c r="Q1428" s="166">
        <f t="shared" si="307"/>
        <v>40808.452883999998</v>
      </c>
      <c r="R1428" s="71"/>
    </row>
    <row r="1429" spans="1:18" s="61" customFormat="1" x14ac:dyDescent="0.25">
      <c r="A1429" s="358"/>
      <c r="B1429" s="361"/>
      <c r="C1429" s="366"/>
      <c r="D1429" s="254" t="s">
        <v>324</v>
      </c>
      <c r="E1429" s="156" t="s">
        <v>28</v>
      </c>
      <c r="F1429" s="156" t="s">
        <v>28</v>
      </c>
      <c r="G1429" s="238">
        <f>MROUND(H1429*L1429*I1429/K1429,0.000000001)</f>
        <v>9.0820400000000002E-4</v>
      </c>
      <c r="H1429" s="158">
        <f>$H$109</f>
        <v>18</v>
      </c>
      <c r="I1429" s="159">
        <f t="shared" si="311"/>
        <v>6.8014359999999996E-2</v>
      </c>
      <c r="J1429" s="160"/>
      <c r="K1429" s="161">
        <f t="shared" si="312"/>
        <v>1348</v>
      </c>
      <c r="L1429" s="250">
        <v>1</v>
      </c>
      <c r="M1429" s="163" t="str">
        <f t="shared" si="308"/>
        <v>18 шт*0,06801436/1348чел.</v>
      </c>
      <c r="N1429" s="164">
        <f t="shared" si="309"/>
        <v>365277.77777777775</v>
      </c>
      <c r="O1429" s="165">
        <f t="shared" si="310"/>
        <v>331.74673899999999</v>
      </c>
      <c r="P1429" s="166"/>
      <c r="Q1429" s="166">
        <f t="shared" si="307"/>
        <v>447194.60417199996</v>
      </c>
      <c r="R1429" s="71"/>
    </row>
    <row r="1430" spans="1:18" s="61" customFormat="1" x14ac:dyDescent="0.25">
      <c r="A1430" s="358"/>
      <c r="B1430" s="361"/>
      <c r="C1430" s="366"/>
      <c r="D1430" s="254" t="s">
        <v>419</v>
      </c>
      <c r="E1430" s="156" t="s">
        <v>28</v>
      </c>
      <c r="F1430" s="156" t="s">
        <v>28</v>
      </c>
      <c r="G1430" s="238">
        <f>MROUND(H1430*L1430*I1430/K1430,0.000000001)</f>
        <v>1.2109380000000002E-3</v>
      </c>
      <c r="H1430" s="246">
        <f>$H$110</f>
        <v>24</v>
      </c>
      <c r="I1430" s="159">
        <f t="shared" si="311"/>
        <v>6.8014359999999996E-2</v>
      </c>
      <c r="J1430" s="160"/>
      <c r="K1430" s="161">
        <f t="shared" si="312"/>
        <v>1348</v>
      </c>
      <c r="L1430" s="250">
        <v>1</v>
      </c>
      <c r="M1430" s="163" t="str">
        <f t="shared" si="308"/>
        <v>24 шт*0,06801436/1348чел.</v>
      </c>
      <c r="N1430" s="164">
        <f t="shared" si="309"/>
        <v>32416.666666666668</v>
      </c>
      <c r="O1430" s="165">
        <f t="shared" si="310"/>
        <v>39.254573999999998</v>
      </c>
      <c r="P1430" s="166"/>
      <c r="Q1430" s="166">
        <f t="shared" si="307"/>
        <v>52915.165752000001</v>
      </c>
      <c r="R1430" s="71"/>
    </row>
    <row r="1431" spans="1:18" s="61" customFormat="1" x14ac:dyDescent="0.25">
      <c r="A1431" s="358"/>
      <c r="B1431" s="361"/>
      <c r="C1431" s="366"/>
      <c r="D1431" s="254" t="s">
        <v>420</v>
      </c>
      <c r="E1431" s="156" t="s">
        <v>28</v>
      </c>
      <c r="F1431" s="156" t="s">
        <v>28</v>
      </c>
      <c r="G1431" s="238">
        <f>MROUND(H1431*L1431*I1431/K1431,0.000000001)</f>
        <v>7.568360000000001E-4</v>
      </c>
      <c r="H1431" s="158">
        <f>H111</f>
        <v>15</v>
      </c>
      <c r="I1431" s="159">
        <f t="shared" si="311"/>
        <v>6.8014359999999996E-2</v>
      </c>
      <c r="J1431" s="160"/>
      <c r="K1431" s="161">
        <f t="shared" si="312"/>
        <v>1348</v>
      </c>
      <c r="L1431" s="250">
        <v>1</v>
      </c>
      <c r="M1431" s="163" t="str">
        <f t="shared" si="308"/>
        <v>15 шт*0,06801436/1348чел.</v>
      </c>
      <c r="N1431" s="164">
        <f t="shared" si="309"/>
        <v>127666.66666666667</v>
      </c>
      <c r="O1431" s="165">
        <f t="shared" si="310"/>
        <v>96.622728999999993</v>
      </c>
      <c r="P1431" s="166"/>
      <c r="Q1431" s="166">
        <f t="shared" si="307"/>
        <v>130247.438692</v>
      </c>
      <c r="R1431" s="71"/>
    </row>
    <row r="1432" spans="1:18" s="61" customFormat="1" x14ac:dyDescent="0.25">
      <c r="A1432" s="358"/>
      <c r="B1432" s="361"/>
      <c r="C1432" s="366"/>
      <c r="D1432" s="254" t="s">
        <v>421</v>
      </c>
      <c r="E1432" s="156" t="s">
        <v>28</v>
      </c>
      <c r="F1432" s="156" t="s">
        <v>28</v>
      </c>
      <c r="G1432" s="238">
        <f>MROUND(H1432*L1432*I1432/K1432,0.00000001)</f>
        <v>1.4632200000000001E-3</v>
      </c>
      <c r="H1432" s="158">
        <f>$H$112</f>
        <v>29</v>
      </c>
      <c r="I1432" s="159">
        <f t="shared" si="311"/>
        <v>6.8014359999999996E-2</v>
      </c>
      <c r="J1432" s="160"/>
      <c r="K1432" s="161">
        <f t="shared" si="312"/>
        <v>1348</v>
      </c>
      <c r="L1432" s="250">
        <v>1</v>
      </c>
      <c r="M1432" s="163" t="str">
        <f t="shared" si="308"/>
        <v>29 шт*0,06801436/1348чел.</v>
      </c>
      <c r="N1432" s="164">
        <f t="shared" si="309"/>
        <v>13517.241379310344</v>
      </c>
      <c r="O1432" s="165">
        <f t="shared" si="310"/>
        <v>19.778697999999999</v>
      </c>
      <c r="P1432" s="166"/>
      <c r="Q1432" s="166">
        <f t="shared" si="307"/>
        <v>26661.684903999998</v>
      </c>
      <c r="R1432" s="71"/>
    </row>
    <row r="1433" spans="1:18" s="61" customFormat="1" ht="30" x14ac:dyDescent="0.25">
      <c r="A1433" s="358"/>
      <c r="B1433" s="361"/>
      <c r="C1433" s="366"/>
      <c r="D1433" s="254" t="s">
        <v>422</v>
      </c>
      <c r="E1433" s="156" t="s">
        <v>28</v>
      </c>
      <c r="F1433" s="156" t="s">
        <v>28</v>
      </c>
      <c r="G1433" s="266">
        <f>MROUND(H1433*L1433*I1433/K1433,0.00000001)</f>
        <v>9.0820000000000007E-4</v>
      </c>
      <c r="H1433" s="158">
        <f>H1313</f>
        <v>18</v>
      </c>
      <c r="I1433" s="159">
        <f t="shared" si="311"/>
        <v>6.8014359999999996E-2</v>
      </c>
      <c r="J1433" s="160"/>
      <c r="K1433" s="161">
        <f t="shared" si="312"/>
        <v>1348</v>
      </c>
      <c r="L1433" s="250">
        <v>1</v>
      </c>
      <c r="M1433" s="163" t="str">
        <f t="shared" si="308"/>
        <v>18 шт*0,06801436/1348чел.</v>
      </c>
      <c r="N1433" s="164">
        <f t="shared" si="309"/>
        <v>34944.444444444445</v>
      </c>
      <c r="O1433" s="165">
        <f t="shared" si="310"/>
        <v>31.736543999999999</v>
      </c>
      <c r="P1433" s="166"/>
      <c r="Q1433" s="166">
        <f t="shared" si="307"/>
        <v>42780.861312000001</v>
      </c>
      <c r="R1433" s="71"/>
    </row>
    <row r="1434" spans="1:18" s="61" customFormat="1" x14ac:dyDescent="0.25">
      <c r="A1434" s="358"/>
      <c r="B1434" s="361"/>
      <c r="C1434" s="366"/>
      <c r="D1434" s="254" t="s">
        <v>423</v>
      </c>
      <c r="E1434" s="156" t="s">
        <v>28</v>
      </c>
      <c r="F1434" s="156" t="s">
        <v>28</v>
      </c>
      <c r="G1434" s="238">
        <f>MROUND(H1434*L1434*I1434/K1434,0.000000001)</f>
        <v>1.0091150000000001E-3</v>
      </c>
      <c r="H1434" s="158">
        <f>$H$114</f>
        <v>20</v>
      </c>
      <c r="I1434" s="159">
        <f t="shared" si="311"/>
        <v>6.8014359999999996E-2</v>
      </c>
      <c r="J1434" s="160"/>
      <c r="K1434" s="161">
        <f t="shared" si="312"/>
        <v>1348</v>
      </c>
      <c r="L1434" s="250">
        <v>1</v>
      </c>
      <c r="M1434" s="163" t="str">
        <f t="shared" si="308"/>
        <v>20 шт*0,06801436/1348чел.</v>
      </c>
      <c r="N1434" s="164">
        <f t="shared" si="309"/>
        <v>74500</v>
      </c>
      <c r="O1434" s="165">
        <f t="shared" si="310"/>
        <v>75.179068000000001</v>
      </c>
      <c r="P1434" s="166"/>
      <c r="Q1434" s="166">
        <f t="shared" si="307"/>
        <v>101341.38366400001</v>
      </c>
      <c r="R1434" s="71"/>
    </row>
    <row r="1435" spans="1:18" s="61" customFormat="1" x14ac:dyDescent="0.25">
      <c r="A1435" s="358"/>
      <c r="B1435" s="361"/>
      <c r="C1435" s="366"/>
      <c r="D1435" s="254" t="s">
        <v>424</v>
      </c>
      <c r="E1435" s="156" t="s">
        <v>28</v>
      </c>
      <c r="F1435" s="156" t="s">
        <v>28</v>
      </c>
      <c r="G1435" s="238">
        <f t="shared" ref="G1435:G1441" si="313">MROUND(H1435*L1435*I1435/K1435,0.00000001)</f>
        <v>1.7659500000000001E-3</v>
      </c>
      <c r="H1435" s="158">
        <f>H955</f>
        <v>35</v>
      </c>
      <c r="I1435" s="159">
        <f>I1424</f>
        <v>6.8014359999999996E-2</v>
      </c>
      <c r="J1435" s="160"/>
      <c r="K1435" s="161">
        <f>K1424</f>
        <v>1348</v>
      </c>
      <c r="L1435" s="250">
        <v>1</v>
      </c>
      <c r="M1435" s="163" t="str">
        <f t="shared" si="308"/>
        <v>35 шт*0,06801436/1348чел.</v>
      </c>
      <c r="N1435" s="164">
        <f>N955</f>
        <v>34285.714285714283</v>
      </c>
      <c r="O1435" s="165">
        <f t="shared" si="310"/>
        <v>60.546856999999996</v>
      </c>
      <c r="P1435" s="166"/>
      <c r="Q1435" s="166">
        <f t="shared" si="307"/>
        <v>81617.163235999993</v>
      </c>
      <c r="R1435" s="71"/>
    </row>
    <row r="1436" spans="1:18" s="61" customFormat="1" x14ac:dyDescent="0.25">
      <c r="A1436" s="358"/>
      <c r="B1436" s="361"/>
      <c r="C1436" s="366"/>
      <c r="D1436" s="254" t="s">
        <v>425</v>
      </c>
      <c r="E1436" s="156" t="s">
        <v>28</v>
      </c>
      <c r="F1436" s="156" t="s">
        <v>28</v>
      </c>
      <c r="G1436" s="277">
        <f t="shared" si="313"/>
        <v>1.7659500000000001E-3</v>
      </c>
      <c r="H1436" s="158">
        <f>H356</f>
        <v>35</v>
      </c>
      <c r="I1436" s="159">
        <f t="shared" ref="I1436:I1441" si="314">I1435</f>
        <v>6.8014359999999996E-2</v>
      </c>
      <c r="J1436" s="160"/>
      <c r="K1436" s="161">
        <f t="shared" ref="K1436:K1441" si="315">K1435</f>
        <v>1348</v>
      </c>
      <c r="L1436" s="250">
        <v>1</v>
      </c>
      <c r="M1436" s="163" t="str">
        <f t="shared" si="308"/>
        <v>35 шт*0,06801436/1348чел.</v>
      </c>
      <c r="N1436" s="164">
        <f t="shared" ref="N1436:N1441" si="316">N116</f>
        <v>19102.857142857141</v>
      </c>
      <c r="O1436" s="165">
        <f t="shared" si="310"/>
        <v>33.734690999999998</v>
      </c>
      <c r="P1436" s="166"/>
      <c r="Q1436" s="166">
        <f t="shared" si="307"/>
        <v>45474.363467999996</v>
      </c>
      <c r="R1436" s="71"/>
    </row>
    <row r="1437" spans="1:18" s="61" customFormat="1" x14ac:dyDescent="0.25">
      <c r="A1437" s="358"/>
      <c r="B1437" s="361"/>
      <c r="C1437" s="366"/>
      <c r="D1437" s="254" t="s">
        <v>108</v>
      </c>
      <c r="E1437" s="156" t="s">
        <v>28</v>
      </c>
      <c r="F1437" s="156" t="s">
        <v>28</v>
      </c>
      <c r="G1437" s="238">
        <f t="shared" si="313"/>
        <v>4.3644229999999999E-2</v>
      </c>
      <c r="H1437" s="158">
        <f>$H$117</f>
        <v>865</v>
      </c>
      <c r="I1437" s="159">
        <f t="shared" si="314"/>
        <v>6.8014359999999996E-2</v>
      </c>
      <c r="J1437" s="160"/>
      <c r="K1437" s="161">
        <f t="shared" si="315"/>
        <v>1348</v>
      </c>
      <c r="L1437" s="250">
        <v>1</v>
      </c>
      <c r="M1437" s="163" t="str">
        <f t="shared" si="308"/>
        <v>865 шт*0,06801436/1348чел.</v>
      </c>
      <c r="N1437" s="164">
        <f t="shared" si="316"/>
        <v>779.36416184971097</v>
      </c>
      <c r="O1437" s="165">
        <f t="shared" si="310"/>
        <v>34.014749000000002</v>
      </c>
      <c r="P1437" s="166"/>
      <c r="Q1437" s="166">
        <f t="shared" si="307"/>
        <v>45851.881652000004</v>
      </c>
      <c r="R1437" s="71"/>
    </row>
    <row r="1438" spans="1:18" s="61" customFormat="1" x14ac:dyDescent="0.25">
      <c r="A1438" s="358"/>
      <c r="B1438" s="361"/>
      <c r="C1438" s="366"/>
      <c r="D1438" s="254" t="s">
        <v>426</v>
      </c>
      <c r="E1438" s="156" t="s">
        <v>28</v>
      </c>
      <c r="F1438" s="156" t="s">
        <v>28</v>
      </c>
      <c r="G1438" s="238">
        <f t="shared" si="313"/>
        <v>2.2200499999999999E-3</v>
      </c>
      <c r="H1438" s="158">
        <f>H718</f>
        <v>44</v>
      </c>
      <c r="I1438" s="159">
        <f t="shared" si="314"/>
        <v>6.8014359999999996E-2</v>
      </c>
      <c r="J1438" s="160"/>
      <c r="K1438" s="161">
        <f t="shared" si="315"/>
        <v>1348</v>
      </c>
      <c r="L1438" s="250">
        <v>1</v>
      </c>
      <c r="M1438" s="163" t="str">
        <f t="shared" si="308"/>
        <v>44 шт*0,06801436/1348чел.</v>
      </c>
      <c r="N1438" s="164">
        <f t="shared" si="316"/>
        <v>12416.954545454546</v>
      </c>
      <c r="O1438" s="165">
        <f t="shared" si="310"/>
        <v>27.56626</v>
      </c>
      <c r="P1438" s="166"/>
      <c r="Q1438" s="166">
        <f t="shared" si="307"/>
        <v>37159.318480000002</v>
      </c>
      <c r="R1438" s="71"/>
    </row>
    <row r="1439" spans="1:18" s="61" customFormat="1" x14ac:dyDescent="0.25">
      <c r="A1439" s="358"/>
      <c r="B1439" s="361"/>
      <c r="C1439" s="366"/>
      <c r="D1439" s="254" t="s">
        <v>427</v>
      </c>
      <c r="E1439" s="156" t="s">
        <v>28</v>
      </c>
      <c r="F1439" s="156" t="s">
        <v>28</v>
      </c>
      <c r="G1439" s="238">
        <f t="shared" si="313"/>
        <v>3.33008E-3</v>
      </c>
      <c r="H1439" s="158">
        <f>H359</f>
        <v>66</v>
      </c>
      <c r="I1439" s="159">
        <f t="shared" si="314"/>
        <v>6.8014359999999996E-2</v>
      </c>
      <c r="J1439" s="160"/>
      <c r="K1439" s="161">
        <f t="shared" si="315"/>
        <v>1348</v>
      </c>
      <c r="L1439" s="250">
        <v>1</v>
      </c>
      <c r="M1439" s="163" t="str">
        <f t="shared" si="308"/>
        <v>66 шт*0,06801436/1348чел.</v>
      </c>
      <c r="N1439" s="164">
        <f t="shared" si="316"/>
        <v>13060.60606060606</v>
      </c>
      <c r="O1439" s="165">
        <f t="shared" si="310"/>
        <v>43.492863</v>
      </c>
      <c r="P1439" s="166"/>
      <c r="Q1439" s="166">
        <f t="shared" si="307"/>
        <v>58628.379324000001</v>
      </c>
      <c r="R1439" s="71"/>
    </row>
    <row r="1440" spans="1:18" s="61" customFormat="1" x14ac:dyDescent="0.25">
      <c r="A1440" s="358"/>
      <c r="B1440" s="361"/>
      <c r="C1440" s="366"/>
      <c r="D1440" s="254" t="s">
        <v>428</v>
      </c>
      <c r="E1440" s="156" t="s">
        <v>28</v>
      </c>
      <c r="F1440" s="156" t="s">
        <v>28</v>
      </c>
      <c r="G1440" s="238">
        <f t="shared" si="313"/>
        <v>1.7407240000000001E-2</v>
      </c>
      <c r="H1440" s="158">
        <f>H120</f>
        <v>345</v>
      </c>
      <c r="I1440" s="159">
        <f t="shared" si="314"/>
        <v>6.8014359999999996E-2</v>
      </c>
      <c r="J1440" s="160"/>
      <c r="K1440" s="161">
        <f t="shared" si="315"/>
        <v>1348</v>
      </c>
      <c r="L1440" s="250">
        <v>1</v>
      </c>
      <c r="M1440" s="163" t="str">
        <f t="shared" si="308"/>
        <v>345 шт*0,06801436/1348чел.</v>
      </c>
      <c r="N1440" s="164">
        <f t="shared" si="316"/>
        <v>8520.7246376811599</v>
      </c>
      <c r="O1440" s="165">
        <f t="shared" si="310"/>
        <v>148.32229899999999</v>
      </c>
      <c r="P1440" s="166"/>
      <c r="Q1440" s="166">
        <f t="shared" si="307"/>
        <v>199938.45905199999</v>
      </c>
      <c r="R1440" s="71"/>
    </row>
    <row r="1441" spans="1:18" s="61" customFormat="1" x14ac:dyDescent="0.25">
      <c r="A1441" s="358"/>
      <c r="B1441" s="361"/>
      <c r="C1441" s="366"/>
      <c r="D1441" s="255" t="s">
        <v>429</v>
      </c>
      <c r="E1441" s="156" t="s">
        <v>28</v>
      </c>
      <c r="F1441" s="156" t="s">
        <v>28</v>
      </c>
      <c r="G1441" s="238">
        <f t="shared" si="313"/>
        <v>2.47233E-3</v>
      </c>
      <c r="H1441" s="158">
        <f>H121</f>
        <v>49</v>
      </c>
      <c r="I1441" s="159">
        <f t="shared" si="314"/>
        <v>6.8014359999999996E-2</v>
      </c>
      <c r="J1441" s="160"/>
      <c r="K1441" s="161">
        <f t="shared" si="315"/>
        <v>1348</v>
      </c>
      <c r="L1441" s="250">
        <v>1</v>
      </c>
      <c r="M1441" s="163" t="str">
        <f t="shared" si="308"/>
        <v>49 шт*0,06801436/1348чел.</v>
      </c>
      <c r="N1441" s="164">
        <f t="shared" si="316"/>
        <v>53775.510204081635</v>
      </c>
      <c r="O1441" s="165">
        <f t="shared" si="310"/>
        <v>132.950807</v>
      </c>
      <c r="P1441" s="166"/>
      <c r="Q1441" s="166">
        <f t="shared" si="307"/>
        <v>179217.687836</v>
      </c>
      <c r="R1441" s="71"/>
    </row>
    <row r="1442" spans="1:18" s="62" customFormat="1" x14ac:dyDescent="0.25">
      <c r="A1442" s="358"/>
      <c r="B1442" s="361"/>
      <c r="C1442" s="249" t="s">
        <v>299</v>
      </c>
      <c r="D1442" s="256"/>
      <c r="E1442" s="240"/>
      <c r="F1442" s="240"/>
      <c r="G1442" s="227"/>
      <c r="H1442" s="241"/>
      <c r="I1442" s="206"/>
      <c r="J1442" s="228"/>
      <c r="K1442" s="207"/>
      <c r="L1442" s="257"/>
      <c r="M1442" s="209"/>
      <c r="N1442" s="210"/>
      <c r="O1442" s="198">
        <f>SUM(O1418:O1441)</f>
        <v>2096.1669750000001</v>
      </c>
      <c r="P1442" s="267"/>
      <c r="Q1442" s="166"/>
      <c r="R1442" s="71"/>
    </row>
    <row r="1443" spans="1:18" s="61" customFormat="1" ht="110.25" x14ac:dyDescent="0.25">
      <c r="A1443" s="358"/>
      <c r="B1443" s="361"/>
      <c r="C1443" s="221" t="s">
        <v>82</v>
      </c>
      <c r="D1443" s="156" t="s">
        <v>46</v>
      </c>
      <c r="E1443" s="156" t="s">
        <v>54</v>
      </c>
      <c r="F1443" s="156" t="s">
        <v>285</v>
      </c>
      <c r="G1443" s="238">
        <f>MROUND(H1443*L1443*I1443/K1443,0.000001)</f>
        <v>0.57065500000000002</v>
      </c>
      <c r="H1443" s="242">
        <f>H963</f>
        <v>1028.181818181818</v>
      </c>
      <c r="I1443" s="159">
        <f>I1441</f>
        <v>6.8014359999999996E-2</v>
      </c>
      <c r="J1443" s="160"/>
      <c r="K1443" s="161">
        <f>K1441</f>
        <v>1348</v>
      </c>
      <c r="L1443" s="225">
        <f>L1203</f>
        <v>11</v>
      </c>
      <c r="M1443" s="163" t="str">
        <f>CONCATENATE(H1443," ",F1443,"*",L1443,"автобуса","*",I1443,"/",K1443,"чел.")</f>
        <v>1028,18181818182 л бензина АИ 92 (12,5л/день(зимой)*20дней*7мес+10л/день(летом)*20дней*4мес)*11автобуса*0,06801436/1348чел.</v>
      </c>
      <c r="N1443" s="164">
        <f>N123</f>
        <v>54.500000000000007</v>
      </c>
      <c r="O1443" s="165">
        <f>MROUND(G1443*N1443,0.000001)</f>
        <v>31.100697999999998</v>
      </c>
      <c r="P1443" s="166"/>
      <c r="Q1443" s="166">
        <f t="shared" si="307"/>
        <v>41923.740903999998</v>
      </c>
      <c r="R1443" s="71"/>
    </row>
    <row r="1444" spans="1:18" s="62" customFormat="1" x14ac:dyDescent="0.25">
      <c r="A1444" s="358"/>
      <c r="B1444" s="361"/>
      <c r="C1444" s="218" t="s">
        <v>300</v>
      </c>
      <c r="D1444" s="240"/>
      <c r="E1444" s="240"/>
      <c r="F1444" s="240"/>
      <c r="G1444" s="227"/>
      <c r="H1444" s="241"/>
      <c r="I1444" s="206"/>
      <c r="J1444" s="228"/>
      <c r="K1444" s="207"/>
      <c r="L1444" s="257"/>
      <c r="M1444" s="209"/>
      <c r="N1444" s="210"/>
      <c r="O1444" s="198">
        <f>SUM(O1443)</f>
        <v>31.100697999999998</v>
      </c>
      <c r="P1444" s="267"/>
      <c r="Q1444" s="166"/>
      <c r="R1444" s="71"/>
    </row>
    <row r="1445" spans="1:18" s="61" customFormat="1" ht="47.25" x14ac:dyDescent="0.25">
      <c r="A1445" s="358"/>
      <c r="B1445" s="361"/>
      <c r="C1445" s="221" t="s">
        <v>434</v>
      </c>
      <c r="D1445" s="156" t="s">
        <v>436</v>
      </c>
      <c r="E1445" s="156" t="s">
        <v>28</v>
      </c>
      <c r="F1445" s="156" t="s">
        <v>437</v>
      </c>
      <c r="G1445" s="157">
        <f>MROUND(H1445*L1445*I1445/K1445,0.000001)</f>
        <v>1.4631999999999999E-2</v>
      </c>
      <c r="H1445" s="242">
        <f>$H$125</f>
        <v>290</v>
      </c>
      <c r="I1445" s="159">
        <f>I1443</f>
        <v>6.8014359999999996E-2</v>
      </c>
      <c r="J1445" s="160"/>
      <c r="K1445" s="161">
        <f>K1443</f>
        <v>1348</v>
      </c>
      <c r="L1445" s="162">
        <v>1</v>
      </c>
      <c r="M1445" s="163" t="str">
        <f>CONCATENATE(H1445," ",F1445,"*",L1445,"автобуса","*",I1445,"/",K1445,"чел.")</f>
        <v>290 огнетушителей (потребность учреждений) *1автобуса*0,06801436/1348чел.</v>
      </c>
      <c r="N1445" s="164">
        <f>$N$125</f>
        <v>2000</v>
      </c>
      <c r="O1445" s="165">
        <f>MROUND(G1445*N1445,0.000001)</f>
        <v>29.263999999999999</v>
      </c>
      <c r="P1445" s="166"/>
      <c r="Q1445" s="166">
        <f t="shared" si="307"/>
        <v>39447.871999999996</v>
      </c>
      <c r="R1445" s="71"/>
    </row>
    <row r="1446" spans="1:18" s="61" customFormat="1" x14ac:dyDescent="0.25">
      <c r="A1446" s="358"/>
      <c r="B1446" s="361"/>
      <c r="C1446" s="218" t="s">
        <v>435</v>
      </c>
      <c r="D1446" s="240"/>
      <c r="E1446" s="240"/>
      <c r="F1446" s="240"/>
      <c r="G1446" s="251"/>
      <c r="H1446" s="241"/>
      <c r="I1446" s="206"/>
      <c r="J1446" s="228"/>
      <c r="K1446" s="207"/>
      <c r="L1446" s="229"/>
      <c r="M1446" s="209"/>
      <c r="N1446" s="210"/>
      <c r="O1446" s="198">
        <f>SUM(O1445)</f>
        <v>29.263999999999999</v>
      </c>
      <c r="P1446" s="166"/>
      <c r="Q1446" s="166"/>
      <c r="R1446" s="71"/>
    </row>
    <row r="1447" spans="1:18" s="61" customFormat="1" ht="47.25" x14ac:dyDescent="0.25">
      <c r="A1447" s="358"/>
      <c r="B1447" s="361"/>
      <c r="C1447" s="364" t="s">
        <v>118</v>
      </c>
      <c r="D1447" s="156" t="s">
        <v>47</v>
      </c>
      <c r="E1447" s="156" t="s">
        <v>28</v>
      </c>
      <c r="F1447" s="156" t="s">
        <v>239</v>
      </c>
      <c r="G1447" s="238">
        <f>MROUND(H1447*L1447*I1447/K1447,0.00000001)</f>
        <v>7.2656300000000004E-3</v>
      </c>
      <c r="H1447" s="158">
        <f>H367</f>
        <v>144</v>
      </c>
      <c r="I1447" s="159">
        <f>I1443</f>
        <v>6.8014359999999996E-2</v>
      </c>
      <c r="J1447" s="160"/>
      <c r="K1447" s="161">
        <f>K1443</f>
        <v>1348</v>
      </c>
      <c r="L1447" s="250">
        <v>1</v>
      </c>
      <c r="M1447" s="163" t="str">
        <f>CONCATENATE(H1447," ",F1447,"*",I1447,"/",K1447,"чел.")</f>
        <v>144 манометров (потребность учреждений) *0,06801436/1348чел.</v>
      </c>
      <c r="N1447" s="164">
        <f>N127</f>
        <v>708.5</v>
      </c>
      <c r="O1447" s="165">
        <f>MROUND(G1447*N1447,0.000001)</f>
        <v>5.1476989999999994</v>
      </c>
      <c r="P1447" s="166"/>
      <c r="Q1447" s="166">
        <f t="shared" si="307"/>
        <v>6939.0982519999989</v>
      </c>
      <c r="R1447" s="71"/>
    </row>
    <row r="1448" spans="1:18" s="61" customFormat="1" ht="47.25" x14ac:dyDescent="0.25">
      <c r="A1448" s="358"/>
      <c r="B1448" s="361"/>
      <c r="C1448" s="364"/>
      <c r="D1448" s="255" t="s">
        <v>113</v>
      </c>
      <c r="E1448" s="156" t="s">
        <v>28</v>
      </c>
      <c r="F1448" s="156" t="s">
        <v>240</v>
      </c>
      <c r="G1448" s="238">
        <f>MROUND(H1448*L1448*I1448/K1448,0.00000001)</f>
        <v>0.28835464999999999</v>
      </c>
      <c r="H1448" s="158">
        <f>H128</f>
        <v>5715</v>
      </c>
      <c r="I1448" s="159">
        <f>I1447</f>
        <v>6.8014359999999996E-2</v>
      </c>
      <c r="J1448" s="160"/>
      <c r="K1448" s="161">
        <f>K1447</f>
        <v>1348</v>
      </c>
      <c r="L1448" s="250">
        <v>1</v>
      </c>
      <c r="M1448" s="163" t="str">
        <f>CONCATENATE(H1448," ",F1448,"*",I1448,"/",K1448,"чел.")</f>
        <v>5715 светильников (потребность учреждений)*0,06801436/1348чел.</v>
      </c>
      <c r="N1448" s="164">
        <f>N128</f>
        <v>106.27500087489064</v>
      </c>
      <c r="O1448" s="165">
        <f>MROUND(G1448*N1448,0.000001)</f>
        <v>30.644890999999998</v>
      </c>
      <c r="P1448" s="166"/>
      <c r="Q1448" s="166">
        <f t="shared" si="307"/>
        <v>41309.313067999996</v>
      </c>
      <c r="R1448" s="71"/>
    </row>
    <row r="1449" spans="1:18" s="62" customFormat="1" x14ac:dyDescent="0.25">
      <c r="A1449" s="359"/>
      <c r="B1449" s="362"/>
      <c r="C1449" s="218" t="s">
        <v>301</v>
      </c>
      <c r="D1449" s="256"/>
      <c r="E1449" s="240"/>
      <c r="F1449" s="240"/>
      <c r="G1449" s="227"/>
      <c r="H1449" s="241"/>
      <c r="I1449" s="206"/>
      <c r="J1449" s="228"/>
      <c r="K1449" s="207"/>
      <c r="L1449" s="257"/>
      <c r="M1449" s="209"/>
      <c r="N1449" s="210"/>
      <c r="O1449" s="198">
        <f>SUM(O1447:O1448)</f>
        <v>35.792589999999997</v>
      </c>
      <c r="P1449" s="267"/>
      <c r="Q1449" s="166"/>
      <c r="R1449" s="71"/>
    </row>
    <row r="1450" spans="1:18" s="61" customFormat="1" x14ac:dyDescent="0.25">
      <c r="A1450" s="357" t="str">
        <f>CONCATENATE(школы!$B$19,", ",школы!$C$19,", ",школы!$D$19)</f>
        <v>Реализация основных общеобразовательных программ среднего общего образования, , дети-инвалиды</v>
      </c>
      <c r="B1450" s="360" t="str">
        <f>школы!$A$19</f>
        <v>802112О.99.0.ББ11АЭ08001</v>
      </c>
      <c r="C1450" s="194"/>
      <c r="D1450" s="363" t="s">
        <v>15</v>
      </c>
      <c r="E1450" s="363"/>
      <c r="F1450" s="363"/>
      <c r="G1450" s="363"/>
      <c r="H1450" s="195"/>
      <c r="I1450" s="195"/>
      <c r="J1450" s="195"/>
      <c r="K1450" s="195"/>
      <c r="L1450" s="196"/>
      <c r="M1450" s="197"/>
      <c r="N1450" s="164"/>
      <c r="O1450" s="198">
        <f>O1451+O1456+O1458</f>
        <v>9082.4629894659993</v>
      </c>
      <c r="P1450" s="166"/>
      <c r="Q1450" s="166"/>
      <c r="R1450" s="71"/>
    </row>
    <row r="1451" spans="1:18" s="61" customFormat="1" x14ac:dyDescent="0.25">
      <c r="A1451" s="358"/>
      <c r="B1451" s="361"/>
      <c r="C1451" s="194"/>
      <c r="D1451" s="350" t="s">
        <v>62</v>
      </c>
      <c r="E1451" s="350"/>
      <c r="F1451" s="350"/>
      <c r="G1451" s="350"/>
      <c r="H1451" s="195"/>
      <c r="I1451" s="195"/>
      <c r="J1451" s="195"/>
      <c r="K1451" s="195"/>
      <c r="L1451" s="196"/>
      <c r="M1451" s="197"/>
      <c r="N1451" s="164"/>
      <c r="O1451" s="165">
        <f>O1453+O1455</f>
        <v>9082.4629894659993</v>
      </c>
      <c r="P1451" s="166"/>
      <c r="Q1451" s="166"/>
      <c r="R1451" s="71"/>
    </row>
    <row r="1452" spans="1:18" s="61" customFormat="1" x14ac:dyDescent="0.25">
      <c r="A1452" s="358"/>
      <c r="B1452" s="361"/>
      <c r="C1452" s="194">
        <v>211</v>
      </c>
      <c r="D1452" s="194" t="s">
        <v>86</v>
      </c>
      <c r="E1452" s="199" t="s">
        <v>95</v>
      </c>
      <c r="F1452" s="199" t="s">
        <v>95</v>
      </c>
      <c r="G1452" s="275">
        <f>MROUND(H1452*L1452*I1452/K1452,0.0000000001)</f>
        <v>0.55812685500000003</v>
      </c>
      <c r="H1452" s="201">
        <f>H612</f>
        <v>921.8</v>
      </c>
      <c r="I1452" s="159">
        <f>школы!$K$19</f>
        <v>4.0365000000000003E-4</v>
      </c>
      <c r="J1452" s="159"/>
      <c r="K1452" s="161">
        <f>школы!$G$19</f>
        <v>8</v>
      </c>
      <c r="L1452" s="202">
        <v>12</v>
      </c>
      <c r="M1452" s="163" t="str">
        <f>CONCATENATE(H1452," ",F1452," ","в мес.","*",L1452,"мес.","*",I1452,"/",K1452,"чел.")</f>
        <v>921,8 шт.ед в мес.*12мес.*0,00040365/8чел.</v>
      </c>
      <c r="N1452" s="164">
        <f>N612</f>
        <v>12498.552905979601</v>
      </c>
      <c r="O1452" s="165">
        <f>MROUND(G1452*N1452,0.000000001)</f>
        <v>6975.7780254660001</v>
      </c>
      <c r="P1452" s="166"/>
      <c r="Q1452" s="166">
        <f t="shared" si="307"/>
        <v>55806.224203728001</v>
      </c>
      <c r="R1452" s="71"/>
    </row>
    <row r="1453" spans="1:18" s="62" customFormat="1" x14ac:dyDescent="0.25">
      <c r="A1453" s="358"/>
      <c r="B1453" s="361"/>
      <c r="C1453" s="203" t="s">
        <v>288</v>
      </c>
      <c r="D1453" s="203"/>
      <c r="E1453" s="204"/>
      <c r="F1453" s="204"/>
      <c r="G1453" s="205"/>
      <c r="H1453" s="206"/>
      <c r="I1453" s="206"/>
      <c r="J1453" s="206"/>
      <c r="K1453" s="207"/>
      <c r="L1453" s="208"/>
      <c r="M1453" s="209"/>
      <c r="N1453" s="210">
        <f>N1452</f>
        <v>12498.552905979601</v>
      </c>
      <c r="O1453" s="198">
        <f>O1452</f>
        <v>6975.7780254660001</v>
      </c>
      <c r="P1453" s="267"/>
      <c r="Q1453" s="166"/>
      <c r="R1453" s="71"/>
    </row>
    <row r="1454" spans="1:18" s="61" customFormat="1" x14ac:dyDescent="0.25">
      <c r="A1454" s="358"/>
      <c r="B1454" s="361"/>
      <c r="C1454" s="194">
        <v>213</v>
      </c>
      <c r="D1454" s="194" t="s">
        <v>87</v>
      </c>
      <c r="E1454" s="194" t="s">
        <v>88</v>
      </c>
      <c r="F1454" s="194"/>
      <c r="G1454" s="211">
        <v>30.2</v>
      </c>
      <c r="H1454" s="159"/>
      <c r="I1454" s="159"/>
      <c r="J1454" s="159"/>
      <c r="K1454" s="161">
        <f>K1452</f>
        <v>8</v>
      </c>
      <c r="L1454" s="202"/>
      <c r="M1454" s="212"/>
      <c r="N1454" s="164"/>
      <c r="O1454" s="165">
        <f>MROUND(O1452*0.302,0.000001)</f>
        <v>2106.684964</v>
      </c>
      <c r="P1454" s="166"/>
      <c r="Q1454" s="166">
        <f>O1454*K1454</f>
        <v>16853.479712</v>
      </c>
      <c r="R1454" s="71"/>
    </row>
    <row r="1455" spans="1:18" s="62" customFormat="1" x14ac:dyDescent="0.25">
      <c r="A1455" s="358"/>
      <c r="B1455" s="361"/>
      <c r="C1455" s="203" t="s">
        <v>289</v>
      </c>
      <c r="D1455" s="203"/>
      <c r="E1455" s="203"/>
      <c r="F1455" s="203"/>
      <c r="G1455" s="213"/>
      <c r="H1455" s="214"/>
      <c r="I1455" s="206"/>
      <c r="J1455" s="214"/>
      <c r="K1455" s="207"/>
      <c r="L1455" s="215"/>
      <c r="M1455" s="216"/>
      <c r="N1455" s="210"/>
      <c r="O1455" s="198">
        <f>O1454</f>
        <v>2106.684964</v>
      </c>
      <c r="P1455" s="267"/>
      <c r="Q1455" s="166"/>
      <c r="R1455" s="71"/>
    </row>
    <row r="1456" spans="1:18" s="61" customFormat="1" x14ac:dyDescent="0.25">
      <c r="A1456" s="358"/>
      <c r="B1456" s="361"/>
      <c r="C1456" s="194"/>
      <c r="D1456" s="356" t="s">
        <v>63</v>
      </c>
      <c r="E1456" s="356"/>
      <c r="F1456" s="356"/>
      <c r="G1456" s="356"/>
      <c r="H1456" s="195"/>
      <c r="I1456" s="159"/>
      <c r="J1456" s="195"/>
      <c r="K1456" s="161"/>
      <c r="L1456" s="196"/>
      <c r="M1456" s="197"/>
      <c r="N1456" s="164"/>
      <c r="O1456" s="165"/>
      <c r="P1456" s="166"/>
      <c r="Q1456" s="166"/>
      <c r="R1456" s="71"/>
    </row>
    <row r="1457" spans="1:18" s="61" customFormat="1" x14ac:dyDescent="0.25">
      <c r="A1457" s="358"/>
      <c r="B1457" s="361"/>
      <c r="C1457" s="194"/>
      <c r="D1457" s="194"/>
      <c r="E1457" s="194"/>
      <c r="F1457" s="194"/>
      <c r="G1457" s="217"/>
      <c r="H1457" s="195"/>
      <c r="I1457" s="159"/>
      <c r="J1457" s="195"/>
      <c r="K1457" s="161"/>
      <c r="L1457" s="196"/>
      <c r="M1457" s="197"/>
      <c r="N1457" s="164"/>
      <c r="O1457" s="165"/>
      <c r="P1457" s="166"/>
      <c r="Q1457" s="166"/>
      <c r="R1457" s="71"/>
    </row>
    <row r="1458" spans="1:18" s="61" customFormat="1" x14ac:dyDescent="0.25">
      <c r="A1458" s="358"/>
      <c r="B1458" s="361"/>
      <c r="C1458" s="194"/>
      <c r="D1458" s="350" t="s">
        <v>64</v>
      </c>
      <c r="E1458" s="350"/>
      <c r="F1458" s="350"/>
      <c r="G1458" s="350"/>
      <c r="H1458" s="195"/>
      <c r="I1458" s="159"/>
      <c r="J1458" s="195"/>
      <c r="K1458" s="161"/>
      <c r="L1458" s="196"/>
      <c r="M1458" s="197"/>
      <c r="N1458" s="164"/>
      <c r="O1458" s="165"/>
      <c r="P1458" s="166"/>
      <c r="Q1458" s="166"/>
      <c r="R1458" s="71"/>
    </row>
    <row r="1459" spans="1:18" s="61" customFormat="1" x14ac:dyDescent="0.25">
      <c r="A1459" s="358"/>
      <c r="B1459" s="361"/>
      <c r="C1459" s="194"/>
      <c r="D1459" s="194"/>
      <c r="E1459" s="194"/>
      <c r="F1459" s="194"/>
      <c r="G1459" s="217"/>
      <c r="H1459" s="195"/>
      <c r="I1459" s="159"/>
      <c r="J1459" s="195"/>
      <c r="K1459" s="161"/>
      <c r="L1459" s="196"/>
      <c r="M1459" s="197"/>
      <c r="N1459" s="164"/>
      <c r="O1459" s="165"/>
      <c r="P1459" s="166"/>
      <c r="Q1459" s="166"/>
      <c r="R1459" s="71"/>
    </row>
    <row r="1460" spans="1:18" s="61" customFormat="1" x14ac:dyDescent="0.25">
      <c r="A1460" s="358"/>
      <c r="B1460" s="361"/>
      <c r="C1460" s="194"/>
      <c r="D1460" s="355" t="s">
        <v>5</v>
      </c>
      <c r="E1460" s="355"/>
      <c r="F1460" s="355"/>
      <c r="G1460" s="355"/>
      <c r="H1460" s="195"/>
      <c r="I1460" s="159"/>
      <c r="J1460" s="195"/>
      <c r="K1460" s="161"/>
      <c r="L1460" s="196"/>
      <c r="M1460" s="197"/>
      <c r="N1460" s="164"/>
      <c r="O1460" s="198">
        <f>O1461+O1471+O1482+O1484+O1486+O1488+O1490</f>
        <v>48448.433122548093</v>
      </c>
      <c r="P1460" s="166"/>
      <c r="Q1460" s="166"/>
      <c r="R1460" s="71"/>
    </row>
    <row r="1461" spans="1:18" s="61" customFormat="1" x14ac:dyDescent="0.25">
      <c r="A1461" s="358"/>
      <c r="B1461" s="361"/>
      <c r="C1461" s="218" t="s">
        <v>70</v>
      </c>
      <c r="D1461" s="355" t="s">
        <v>6</v>
      </c>
      <c r="E1461" s="355"/>
      <c r="F1461" s="355"/>
      <c r="G1461" s="355"/>
      <c r="H1461" s="189"/>
      <c r="I1461" s="159"/>
      <c r="J1461" s="189"/>
      <c r="K1461" s="161"/>
      <c r="L1461" s="190"/>
      <c r="M1461" s="197"/>
      <c r="N1461" s="210"/>
      <c r="O1461" s="198">
        <f>O1470</f>
        <v>8728.7475390799991</v>
      </c>
      <c r="P1461" s="166"/>
      <c r="Q1461" s="166"/>
      <c r="R1461" s="71"/>
    </row>
    <row r="1462" spans="1:18" s="61" customFormat="1" ht="31.5" x14ac:dyDescent="0.25">
      <c r="A1462" s="358"/>
      <c r="B1462" s="361"/>
      <c r="C1462" s="221" t="s">
        <v>72</v>
      </c>
      <c r="D1462" s="222" t="s">
        <v>7</v>
      </c>
      <c r="E1462" s="223" t="s">
        <v>8</v>
      </c>
      <c r="F1462" s="223" t="s">
        <v>8</v>
      </c>
      <c r="G1462" s="238">
        <f>MROUND(H1462*L1462*I1462/K1462,0.00000000001)</f>
        <v>167.16768297243999</v>
      </c>
      <c r="H1462" s="160">
        <f>H742</f>
        <v>3313121.4264326878</v>
      </c>
      <c r="I1462" s="159">
        <f>I1452</f>
        <v>4.0365000000000003E-4</v>
      </c>
      <c r="J1462" s="160"/>
      <c r="K1462" s="161">
        <f>K1452</f>
        <v>8</v>
      </c>
      <c r="L1462" s="250">
        <v>1</v>
      </c>
      <c r="M1462" s="163" t="str">
        <f t="shared" ref="M1462:M1467" si="317">CONCATENATE(H1462," ",F1462,"(лимиты выделенные УЖКХ) ","*",I1462,"/",K1462,"чел.")</f>
        <v>3313121,42643269 кВт час.(лимиты выделенные УЖКХ) *0,00040365/8чел.</v>
      </c>
      <c r="N1462" s="164">
        <f>N742</f>
        <v>10.418446162163715</v>
      </c>
      <c r="O1462" s="165">
        <f t="shared" ref="O1462:O1469" si="318">MROUND(G1462*N1462,0.000001)</f>
        <v>1741.6275049999999</v>
      </c>
      <c r="P1462" s="166"/>
      <c r="Q1462" s="166">
        <f t="shared" si="307"/>
        <v>13933.020039999999</v>
      </c>
      <c r="R1462" s="71"/>
    </row>
    <row r="1463" spans="1:18" s="61" customFormat="1" ht="31.5" x14ac:dyDescent="0.25">
      <c r="A1463" s="358"/>
      <c r="B1463" s="361"/>
      <c r="C1463" s="221" t="s">
        <v>73</v>
      </c>
      <c r="D1463" s="222" t="s">
        <v>9</v>
      </c>
      <c r="E1463" s="223" t="s">
        <v>10</v>
      </c>
      <c r="F1463" s="223" t="s">
        <v>10</v>
      </c>
      <c r="G1463" s="238">
        <f>MROUND(H1463*L1463*I1463/K1463,0.00000000001)</f>
        <v>1.6094226841899999</v>
      </c>
      <c r="H1463" s="160">
        <f>H383</f>
        <v>31897.39</v>
      </c>
      <c r="I1463" s="159">
        <f t="shared" ref="I1463:I1515" si="319">I1462</f>
        <v>4.0365000000000003E-4</v>
      </c>
      <c r="J1463" s="160"/>
      <c r="K1463" s="161">
        <f t="shared" ref="K1463:K1469" si="320">K1462</f>
        <v>8</v>
      </c>
      <c r="L1463" s="250">
        <v>1</v>
      </c>
      <c r="M1463" s="163" t="str">
        <f t="shared" si="317"/>
        <v>31897,39 Гкал(лимиты выделенные УЖКХ) *0,00040365/8чел.</v>
      </c>
      <c r="N1463" s="164">
        <f>N383</f>
        <v>2845.3650600830792</v>
      </c>
      <c r="O1463" s="165">
        <f t="shared" si="318"/>
        <v>4579.3950719999993</v>
      </c>
      <c r="P1463" s="166"/>
      <c r="Q1463" s="166">
        <f t="shared" si="307"/>
        <v>36635.160575999995</v>
      </c>
      <c r="R1463" s="71"/>
    </row>
    <row r="1464" spans="1:18" s="61" customFormat="1" ht="31.5" x14ac:dyDescent="0.25">
      <c r="A1464" s="358"/>
      <c r="B1464" s="361"/>
      <c r="C1464" s="364" t="s">
        <v>74</v>
      </c>
      <c r="D1464" s="222" t="s">
        <v>12</v>
      </c>
      <c r="E1464" s="222" t="s">
        <v>11</v>
      </c>
      <c r="F1464" s="222" t="s">
        <v>11</v>
      </c>
      <c r="G1464" s="238">
        <f>MROUND(H1464*L1464*I1464/K1464,0.00000000001)</f>
        <v>9.3205393588099987</v>
      </c>
      <c r="H1464" s="224">
        <f>H24</f>
        <v>184725.17</v>
      </c>
      <c r="I1464" s="159">
        <f t="shared" si="319"/>
        <v>4.0365000000000003E-4</v>
      </c>
      <c r="J1464" s="160"/>
      <c r="K1464" s="161">
        <f t="shared" si="320"/>
        <v>8</v>
      </c>
      <c r="L1464" s="250">
        <v>1</v>
      </c>
      <c r="M1464" s="163" t="str">
        <f t="shared" si="317"/>
        <v>184725,17 м3(лимиты выделенные УЖКХ) *0,00040365/8чел.</v>
      </c>
      <c r="N1464" s="164">
        <f>N24</f>
        <v>51.830000102314166</v>
      </c>
      <c r="O1464" s="165">
        <f t="shared" si="318"/>
        <v>483.08355599999999</v>
      </c>
      <c r="P1464" s="166"/>
      <c r="Q1464" s="166">
        <f t="shared" si="307"/>
        <v>3864.6684479999999</v>
      </c>
      <c r="R1464" s="71"/>
    </row>
    <row r="1465" spans="1:18" s="61" customFormat="1" ht="47.25" x14ac:dyDescent="0.25">
      <c r="A1465" s="358"/>
      <c r="B1465" s="361"/>
      <c r="C1465" s="364"/>
      <c r="D1465" s="222" t="s">
        <v>17</v>
      </c>
      <c r="E1465" s="222" t="s">
        <v>11</v>
      </c>
      <c r="F1465" s="222" t="s">
        <v>11</v>
      </c>
      <c r="G1465" s="238">
        <f>MROUND(H1465*L1465*I1465/K1465,0.00000000001)</f>
        <v>9.3205393588099987</v>
      </c>
      <c r="H1465" s="160">
        <f>H385</f>
        <v>184725.17</v>
      </c>
      <c r="I1465" s="159">
        <f t="shared" si="319"/>
        <v>4.0365000000000003E-4</v>
      </c>
      <c r="J1465" s="160"/>
      <c r="K1465" s="161">
        <f t="shared" si="320"/>
        <v>8</v>
      </c>
      <c r="L1465" s="162">
        <f>$L$25</f>
        <v>1</v>
      </c>
      <c r="M1465" s="163" t="str">
        <f t="shared" si="317"/>
        <v>184725,17 м3(лимиты выделенные УЖКХ) *0,00040365/8чел.</v>
      </c>
      <c r="N1465" s="164">
        <f>N25</f>
        <v>78.76115753094173</v>
      </c>
      <c r="O1465" s="165">
        <f t="shared" si="318"/>
        <v>734.09646899999996</v>
      </c>
      <c r="P1465" s="166"/>
      <c r="Q1465" s="166">
        <f t="shared" si="307"/>
        <v>5872.7717519999997</v>
      </c>
      <c r="R1465" s="71"/>
    </row>
    <row r="1466" spans="1:18" s="61" customFormat="1" ht="31.5" x14ac:dyDescent="0.25">
      <c r="A1466" s="358"/>
      <c r="B1466" s="361"/>
      <c r="C1466" s="364"/>
      <c r="D1466" s="222" t="s">
        <v>13</v>
      </c>
      <c r="E1466" s="222" t="s">
        <v>11</v>
      </c>
      <c r="F1466" s="222" t="s">
        <v>11</v>
      </c>
      <c r="G1466" s="238">
        <f>MROUND(H1466*L1466*I1466/K1466,0.00000000001)</f>
        <v>9.3205393588099987</v>
      </c>
      <c r="H1466" s="160">
        <f>H26</f>
        <v>184725.17</v>
      </c>
      <c r="I1466" s="159">
        <f t="shared" si="319"/>
        <v>4.0365000000000003E-4</v>
      </c>
      <c r="J1466" s="160"/>
      <c r="K1466" s="161">
        <f t="shared" si="320"/>
        <v>8</v>
      </c>
      <c r="L1466" s="162">
        <v>1</v>
      </c>
      <c r="M1466" s="163" t="str">
        <f t="shared" si="317"/>
        <v>184725,17 м3(лимиты выделенные УЖКХ) *0,00040365/8чел.</v>
      </c>
      <c r="N1466" s="164">
        <f>N26</f>
        <v>107.41979263410609</v>
      </c>
      <c r="O1466" s="165">
        <f>MROUND(G1466*N1466,0.00000001)</f>
        <v>1001.2104051600001</v>
      </c>
      <c r="P1466" s="166"/>
      <c r="Q1466" s="166">
        <f t="shared" si="307"/>
        <v>8009.6832412800004</v>
      </c>
      <c r="R1466" s="71"/>
    </row>
    <row r="1467" spans="1:18" s="61" customFormat="1" ht="31.5" x14ac:dyDescent="0.25">
      <c r="A1467" s="358"/>
      <c r="B1467" s="361"/>
      <c r="C1467" s="221" t="s">
        <v>75</v>
      </c>
      <c r="D1467" s="222" t="s">
        <v>18</v>
      </c>
      <c r="E1467" s="222" t="s">
        <v>48</v>
      </c>
      <c r="F1467" s="222" t="s">
        <v>48</v>
      </c>
      <c r="G1467" s="238">
        <f>MROUND(H1467*L1467*I1467/K1467,0.0000000001)</f>
        <v>0.70071621750000002</v>
      </c>
      <c r="H1467" s="160">
        <f>H27</f>
        <v>13887.6</v>
      </c>
      <c r="I1467" s="159">
        <f t="shared" si="319"/>
        <v>4.0365000000000003E-4</v>
      </c>
      <c r="J1467" s="160"/>
      <c r="K1467" s="161">
        <f t="shared" si="320"/>
        <v>8</v>
      </c>
      <c r="L1467" s="250">
        <v>1</v>
      </c>
      <c r="M1467" s="163" t="str">
        <f t="shared" si="317"/>
        <v>13887,6 тыс. м3(лимиты выделенные УЖКХ) *0,00040365/8чел.</v>
      </c>
      <c r="N1467" s="164">
        <f>N27</f>
        <v>29.231582850888564</v>
      </c>
      <c r="O1467" s="165">
        <f t="shared" si="318"/>
        <v>20.483044</v>
      </c>
      <c r="P1467" s="166"/>
      <c r="Q1467" s="166">
        <f t="shared" si="307"/>
        <v>163.864352</v>
      </c>
      <c r="R1467" s="71"/>
    </row>
    <row r="1468" spans="1:18" s="61" customFormat="1" x14ac:dyDescent="0.25">
      <c r="A1468" s="358"/>
      <c r="B1468" s="361"/>
      <c r="C1468" s="364" t="s">
        <v>216</v>
      </c>
      <c r="D1468" s="222" t="s">
        <v>23</v>
      </c>
      <c r="E1468" s="222" t="s">
        <v>11</v>
      </c>
      <c r="F1468" s="222" t="s">
        <v>11</v>
      </c>
      <c r="G1468" s="238">
        <f>MROUND(H1468*L1468*I1468/K1468,0.000000000001)</f>
        <v>0.16996894199999998</v>
      </c>
      <c r="H1468" s="160">
        <f>H28</f>
        <v>3368.6400000000003</v>
      </c>
      <c r="I1468" s="159">
        <f t="shared" si="319"/>
        <v>4.0365000000000003E-4</v>
      </c>
      <c r="J1468" s="160"/>
      <c r="K1468" s="161">
        <f t="shared" si="320"/>
        <v>8</v>
      </c>
      <c r="L1468" s="162">
        <f>L1467</f>
        <v>1</v>
      </c>
      <c r="M1468" s="163" t="str">
        <f>CONCATENATE(H1468," ",F1468," ","*",I1468,"/",K1468,"чел.")</f>
        <v>3368,64 м3 *0,00040365/8чел.</v>
      </c>
      <c r="N1468" s="164">
        <f>N28</f>
        <v>742.21370939013957</v>
      </c>
      <c r="O1468" s="165">
        <f>MROUND(G1468*N1468,0.00000001)</f>
        <v>126.15327892000001</v>
      </c>
      <c r="P1468" s="166"/>
      <c r="Q1468" s="166">
        <f t="shared" si="307"/>
        <v>1009.22623136</v>
      </c>
      <c r="R1468" s="71"/>
    </row>
    <row r="1469" spans="1:18" s="61" customFormat="1" ht="47.25" x14ac:dyDescent="0.25">
      <c r="A1469" s="358"/>
      <c r="B1469" s="361"/>
      <c r="C1469" s="364"/>
      <c r="D1469" s="222" t="s">
        <v>24</v>
      </c>
      <c r="E1469" s="222" t="s">
        <v>25</v>
      </c>
      <c r="F1469" s="222" t="s">
        <v>217</v>
      </c>
      <c r="G1469" s="238">
        <f>MROUND(H1469*L1469*I1469/K1469,0.000000000001)</f>
        <v>7.4170687500000002E-3</v>
      </c>
      <c r="H1469" s="160">
        <f>H749</f>
        <v>147</v>
      </c>
      <c r="I1469" s="159">
        <f t="shared" si="319"/>
        <v>4.0365000000000003E-4</v>
      </c>
      <c r="J1469" s="160"/>
      <c r="K1469" s="161">
        <f t="shared" si="320"/>
        <v>8</v>
      </c>
      <c r="L1469" s="250">
        <f>L1468</f>
        <v>1</v>
      </c>
      <c r="M1469" s="163" t="str">
        <f>CONCATENATE(H1469," ",F1469,"(потребность из расчета 4 контейнера для уборки территории весной и осенью на 1 учреждение)","*",I1469,"/",K1469,"чел.")</f>
        <v>147 контейнера(потребность из расчета 4 контейнера для уборки территории весной и осенью на 1 учреждение)*0,00040365/8чел.</v>
      </c>
      <c r="N1469" s="164">
        <f>N749</f>
        <v>5756.7497959183638</v>
      </c>
      <c r="O1469" s="165">
        <f t="shared" si="318"/>
        <v>42.698208999999999</v>
      </c>
      <c r="P1469" s="166"/>
      <c r="Q1469" s="166">
        <f t="shared" si="307"/>
        <v>341.58567199999999</v>
      </c>
      <c r="R1469" s="71"/>
    </row>
    <row r="1470" spans="1:18" s="62" customFormat="1" x14ac:dyDescent="0.25">
      <c r="A1470" s="358"/>
      <c r="B1470" s="361"/>
      <c r="C1470" s="218" t="s">
        <v>290</v>
      </c>
      <c r="D1470" s="226"/>
      <c r="E1470" s="226"/>
      <c r="F1470" s="226"/>
      <c r="G1470" s="227"/>
      <c r="H1470" s="228"/>
      <c r="I1470" s="206"/>
      <c r="J1470" s="228"/>
      <c r="K1470" s="207"/>
      <c r="L1470" s="257"/>
      <c r="M1470" s="209"/>
      <c r="N1470" s="210"/>
      <c r="O1470" s="198">
        <f>SUM(O1462:O1469)</f>
        <v>8728.7475390799991</v>
      </c>
      <c r="P1470" s="267"/>
      <c r="Q1470" s="166"/>
      <c r="R1470" s="71"/>
    </row>
    <row r="1471" spans="1:18" s="61" customFormat="1" x14ac:dyDescent="0.25">
      <c r="A1471" s="358"/>
      <c r="B1471" s="361"/>
      <c r="C1471" s="221"/>
      <c r="D1471" s="356" t="s">
        <v>14</v>
      </c>
      <c r="E1471" s="356"/>
      <c r="F1471" s="356"/>
      <c r="G1471" s="356"/>
      <c r="H1471" s="188"/>
      <c r="I1471" s="159"/>
      <c r="J1471" s="188"/>
      <c r="K1471" s="161"/>
      <c r="L1471" s="250"/>
      <c r="M1471" s="230"/>
      <c r="N1471" s="164"/>
      <c r="O1471" s="198">
        <f>O1479+O1480+O1475</f>
        <v>36351.942689058094</v>
      </c>
      <c r="P1471" s="166"/>
      <c r="Q1471" s="166"/>
      <c r="R1471" s="71"/>
    </row>
    <row r="1472" spans="1:18" s="61" customFormat="1" x14ac:dyDescent="0.25">
      <c r="A1472" s="358"/>
      <c r="B1472" s="361"/>
      <c r="C1472" s="221" t="s">
        <v>379</v>
      </c>
      <c r="D1472" s="231" t="s">
        <v>49</v>
      </c>
      <c r="E1472" s="231" t="s">
        <v>22</v>
      </c>
      <c r="F1472" s="231" t="s">
        <v>22</v>
      </c>
      <c r="G1472" s="238">
        <f>MROUND(H1472*L1472*I1472/K1472,0.000000001)</f>
        <v>0</v>
      </c>
      <c r="H1472" s="160"/>
      <c r="I1472" s="159">
        <f>I1467</f>
        <v>4.0365000000000003E-4</v>
      </c>
      <c r="J1472" s="160"/>
      <c r="K1472" s="161">
        <f>K1467</f>
        <v>8</v>
      </c>
      <c r="L1472" s="250"/>
      <c r="M1472" s="163"/>
      <c r="N1472" s="164">
        <f>N632</f>
        <v>0</v>
      </c>
      <c r="O1472" s="165">
        <f>MROUND(G1472*N1472,0.00000001)</f>
        <v>0</v>
      </c>
      <c r="P1472" s="166"/>
      <c r="Q1472" s="166">
        <f t="shared" si="307"/>
        <v>0</v>
      </c>
      <c r="R1472" s="71"/>
    </row>
    <row r="1473" spans="1:18" s="61" customFormat="1" x14ac:dyDescent="0.25">
      <c r="A1473" s="358"/>
      <c r="B1473" s="361"/>
      <c r="C1473" s="221" t="s">
        <v>379</v>
      </c>
      <c r="D1473" s="231" t="s">
        <v>49</v>
      </c>
      <c r="E1473" s="231" t="s">
        <v>28</v>
      </c>
      <c r="F1473" s="231" t="s">
        <v>28</v>
      </c>
      <c r="G1473" s="238">
        <f>MROUND(H1473*L1473*I1473/K1473,0.000000000000001)</f>
        <v>2.5228125000000001E-4</v>
      </c>
      <c r="H1473" s="160">
        <f>H633</f>
        <v>5</v>
      </c>
      <c r="I1473" s="159">
        <f t="shared" si="319"/>
        <v>4.0365000000000003E-4</v>
      </c>
      <c r="J1473" s="160"/>
      <c r="K1473" s="161">
        <f>K1472</f>
        <v>8</v>
      </c>
      <c r="L1473" s="250">
        <v>1</v>
      </c>
      <c r="M1473" s="163" t="str">
        <f>CONCATENATE(H1473," ",F1473,"*",I1473,"/",K1473,"чел.")</f>
        <v>5 шт*0,00040365/8чел.</v>
      </c>
      <c r="N1473" s="164">
        <f>N633</f>
        <v>28120000</v>
      </c>
      <c r="O1473" s="165">
        <f>MROUND(G1473*N1473,0.00000001)</f>
        <v>7094.1487500000003</v>
      </c>
      <c r="P1473" s="166"/>
      <c r="Q1473" s="166">
        <f t="shared" si="307"/>
        <v>56753.19</v>
      </c>
      <c r="R1473" s="71"/>
    </row>
    <row r="1474" spans="1:18" s="61" customFormat="1" x14ac:dyDescent="0.25">
      <c r="A1474" s="358"/>
      <c r="B1474" s="361"/>
      <c r="C1474" s="221" t="s">
        <v>379</v>
      </c>
      <c r="D1474" s="231" t="s">
        <v>49</v>
      </c>
      <c r="E1474" s="231" t="s">
        <v>101</v>
      </c>
      <c r="F1474" s="231" t="s">
        <v>101</v>
      </c>
      <c r="G1474" s="238">
        <f>MROUND(H1474*L1474*I1474/K1474,0.000000001)</f>
        <v>0</v>
      </c>
      <c r="H1474" s="160"/>
      <c r="I1474" s="159">
        <f t="shared" si="319"/>
        <v>4.0365000000000003E-4</v>
      </c>
      <c r="J1474" s="160"/>
      <c r="K1474" s="161">
        <f>K1473</f>
        <v>8</v>
      </c>
      <c r="L1474" s="250"/>
      <c r="M1474" s="163"/>
      <c r="N1474" s="164">
        <f>N634</f>
        <v>0</v>
      </c>
      <c r="O1474" s="165">
        <f>MROUND(G1474*N1474,0.00000001)</f>
        <v>0</v>
      </c>
      <c r="P1474" s="166"/>
      <c r="Q1474" s="166">
        <f t="shared" si="307"/>
        <v>0</v>
      </c>
      <c r="R1474" s="71"/>
    </row>
    <row r="1475" spans="1:18" s="62" customFormat="1" x14ac:dyDescent="0.25">
      <c r="A1475" s="358"/>
      <c r="B1475" s="361"/>
      <c r="C1475" s="218" t="s">
        <v>380</v>
      </c>
      <c r="D1475" s="232"/>
      <c r="E1475" s="232"/>
      <c r="F1475" s="232"/>
      <c r="G1475" s="227"/>
      <c r="H1475" s="228"/>
      <c r="I1475" s="206"/>
      <c r="J1475" s="228"/>
      <c r="K1475" s="207"/>
      <c r="L1475" s="257"/>
      <c r="M1475" s="209"/>
      <c r="N1475" s="210"/>
      <c r="O1475" s="198">
        <f>SUM(O1472:O1474)</f>
        <v>7094.1487500000003</v>
      </c>
      <c r="P1475" s="267"/>
      <c r="Q1475" s="166"/>
      <c r="R1475" s="71"/>
    </row>
    <row r="1476" spans="1:18" s="61" customFormat="1" x14ac:dyDescent="0.25">
      <c r="A1476" s="358"/>
      <c r="B1476" s="361"/>
      <c r="C1476" s="221" t="s">
        <v>76</v>
      </c>
      <c r="D1476" s="231" t="s">
        <v>49</v>
      </c>
      <c r="E1476" s="231" t="s">
        <v>22</v>
      </c>
      <c r="F1476" s="231" t="s">
        <v>22</v>
      </c>
      <c r="G1476" s="238">
        <f>MROUND(H1476*L1476*I1476/K1476,0.000000000000001)</f>
        <v>3.6942562653750004</v>
      </c>
      <c r="H1476" s="160">
        <f>H636</f>
        <v>73217.02</v>
      </c>
      <c r="I1476" s="159">
        <f>I1472</f>
        <v>4.0365000000000003E-4</v>
      </c>
      <c r="J1476" s="160"/>
      <c r="K1476" s="161">
        <f>K1474</f>
        <v>8</v>
      </c>
      <c r="L1476" s="250">
        <v>1</v>
      </c>
      <c r="M1476" s="163" t="str">
        <f>CONCATENATE(H1476," ",F1476,"*",I1476,"/",K1476,"чел.")</f>
        <v>73217,02 м2*0,00040365/8чел.</v>
      </c>
      <c r="N1476" s="164">
        <f>N636</f>
        <v>3335.1026185604301</v>
      </c>
      <c r="O1476" s="165">
        <f>MROUND(G1476*N1476,0.00000000001)</f>
        <v>12320.723744285438</v>
      </c>
      <c r="P1476" s="166"/>
      <c r="Q1476" s="166">
        <f t="shared" si="307"/>
        <v>98565.789954283508</v>
      </c>
      <c r="R1476" s="71"/>
    </row>
    <row r="1477" spans="1:18" s="61" customFormat="1" x14ac:dyDescent="0.25">
      <c r="A1477" s="358"/>
      <c r="B1477" s="361"/>
      <c r="C1477" s="221"/>
      <c r="D1477" s="231" t="s">
        <v>49</v>
      </c>
      <c r="E1477" s="231" t="s">
        <v>28</v>
      </c>
      <c r="F1477" s="231" t="s">
        <v>28</v>
      </c>
      <c r="G1477" s="238">
        <f>MROUND(H1477*L1477*I1477/K1477,0.0000000000001)</f>
        <v>0.2093934375</v>
      </c>
      <c r="H1477" s="160">
        <f>H637</f>
        <v>4150</v>
      </c>
      <c r="I1477" s="159">
        <f t="shared" si="319"/>
        <v>4.0365000000000003E-4</v>
      </c>
      <c r="J1477" s="160"/>
      <c r="K1477" s="161">
        <f>K1476</f>
        <v>8</v>
      </c>
      <c r="L1477" s="250">
        <v>1</v>
      </c>
      <c r="M1477" s="163" t="str">
        <f>CONCATENATE(H1477," ",F1477,"*",I1477,"/",K1477,"чел.")</f>
        <v>4150 шт*0,00040365/8чел.</v>
      </c>
      <c r="N1477" s="164">
        <f>N637</f>
        <v>71617.619331325302</v>
      </c>
      <c r="O1477" s="165">
        <f>MROUND(G1477*N1477,0.00000000001)</f>
        <v>14996.259497352659</v>
      </c>
      <c r="P1477" s="166"/>
      <c r="Q1477" s="166">
        <f t="shared" si="307"/>
        <v>119970.07597882127</v>
      </c>
      <c r="R1477" s="71"/>
    </row>
    <row r="1478" spans="1:18" s="61" customFormat="1" x14ac:dyDescent="0.25">
      <c r="A1478" s="358"/>
      <c r="B1478" s="361"/>
      <c r="C1478" s="221"/>
      <c r="D1478" s="231" t="s">
        <v>49</v>
      </c>
      <c r="E1478" s="231" t="s">
        <v>101</v>
      </c>
      <c r="F1478" s="231" t="s">
        <v>101</v>
      </c>
      <c r="G1478" s="238">
        <f>MROUND(H1478*L1478*I1478/K1478,0.000000001)</f>
        <v>0.720212513</v>
      </c>
      <c r="H1478" s="160">
        <f>H638</f>
        <v>14274</v>
      </c>
      <c r="I1478" s="159">
        <f t="shared" si="319"/>
        <v>4.0365000000000003E-4</v>
      </c>
      <c r="J1478" s="160"/>
      <c r="K1478" s="161">
        <f>K1477</f>
        <v>8</v>
      </c>
      <c r="L1478" s="250">
        <v>1</v>
      </c>
      <c r="M1478" s="163" t="str">
        <f>CONCATENATE(H1478," ",F1478,"*",I1478,"/",K1478,"чел.")</f>
        <v>14274 погон.м.*0,00040365/8чел.</v>
      </c>
      <c r="N1478" s="164">
        <f>N638</f>
        <v>2694.7750315258509</v>
      </c>
      <c r="O1478" s="165">
        <f>MROUND(G1478*N1478,0.00000001)</f>
        <v>1940.81069742</v>
      </c>
      <c r="P1478" s="166"/>
      <c r="Q1478" s="166">
        <f t="shared" ref="Q1478:Q1540" si="321">O1478*K1478</f>
        <v>15526.48557936</v>
      </c>
      <c r="R1478" s="71"/>
    </row>
    <row r="1479" spans="1:18" s="62" customFormat="1" x14ac:dyDescent="0.25">
      <c r="A1479" s="358"/>
      <c r="B1479" s="361"/>
      <c r="C1479" s="218" t="s">
        <v>291</v>
      </c>
      <c r="D1479" s="232"/>
      <c r="E1479" s="232"/>
      <c r="F1479" s="232"/>
      <c r="G1479" s="227"/>
      <c r="H1479" s="228"/>
      <c r="I1479" s="206"/>
      <c r="J1479" s="228"/>
      <c r="K1479" s="207"/>
      <c r="L1479" s="257"/>
      <c r="M1479" s="209"/>
      <c r="N1479" s="210"/>
      <c r="O1479" s="198">
        <f>SUM(O1476:O1478)</f>
        <v>29257.793939058094</v>
      </c>
      <c r="P1479" s="267"/>
      <c r="Q1479" s="166"/>
      <c r="R1479" s="71"/>
    </row>
    <row r="1480" spans="1:18" s="61" customFormat="1" x14ac:dyDescent="0.25">
      <c r="A1480" s="358"/>
      <c r="B1480" s="361"/>
      <c r="C1480" s="221" t="s">
        <v>77</v>
      </c>
      <c r="D1480" s="231"/>
      <c r="E1480" s="231"/>
      <c r="F1480" s="231"/>
      <c r="G1480" s="238">
        <f>MROUND(H1480*L1480*I1480/K1480,0.00000000001)</f>
        <v>0</v>
      </c>
      <c r="H1480" s="160">
        <f>H1240</f>
        <v>0</v>
      </c>
      <c r="I1480" s="159">
        <f>I1478</f>
        <v>4.0365000000000003E-4</v>
      </c>
      <c r="J1480" s="160"/>
      <c r="K1480" s="161">
        <f>K1478</f>
        <v>8</v>
      </c>
      <c r="L1480" s="250"/>
      <c r="M1480" s="163"/>
      <c r="N1480" s="164">
        <f>N1240</f>
        <v>0</v>
      </c>
      <c r="O1480" s="165">
        <f>MROUND(G1480*N1480,0.000000001)</f>
        <v>0</v>
      </c>
      <c r="P1480" s="166"/>
      <c r="Q1480" s="166">
        <f t="shared" si="321"/>
        <v>0</v>
      </c>
      <c r="R1480" s="71"/>
    </row>
    <row r="1481" spans="1:18" s="62" customFormat="1" x14ac:dyDescent="0.25">
      <c r="A1481" s="358"/>
      <c r="B1481" s="361"/>
      <c r="C1481" s="218" t="s">
        <v>292</v>
      </c>
      <c r="D1481" s="232"/>
      <c r="E1481" s="232"/>
      <c r="F1481" s="232"/>
      <c r="G1481" s="227"/>
      <c r="H1481" s="228"/>
      <c r="I1481" s="206"/>
      <c r="J1481" s="228"/>
      <c r="K1481" s="207"/>
      <c r="L1481" s="257"/>
      <c r="M1481" s="209"/>
      <c r="N1481" s="210"/>
      <c r="O1481" s="198">
        <f>O1480</f>
        <v>0</v>
      </c>
      <c r="P1481" s="267"/>
      <c r="Q1481" s="166"/>
      <c r="R1481" s="71"/>
    </row>
    <row r="1482" spans="1:18" s="61" customFormat="1" x14ac:dyDescent="0.25">
      <c r="A1482" s="358"/>
      <c r="B1482" s="361"/>
      <c r="C1482" s="221"/>
      <c r="D1482" s="350" t="s">
        <v>65</v>
      </c>
      <c r="E1482" s="350"/>
      <c r="F1482" s="350"/>
      <c r="G1482" s="350"/>
      <c r="H1482" s="195"/>
      <c r="I1482" s="159"/>
      <c r="J1482" s="195"/>
      <c r="K1482" s="161"/>
      <c r="L1482" s="196"/>
      <c r="M1482" s="230"/>
      <c r="N1482" s="164"/>
      <c r="O1482" s="165">
        <f t="shared" ref="O1482:O1489" si="322">MROUND(G1482*N1482,0.000001)</f>
        <v>0</v>
      </c>
      <c r="P1482" s="166"/>
      <c r="Q1482" s="166"/>
      <c r="R1482" s="71"/>
    </row>
    <row r="1483" spans="1:18" s="61" customFormat="1" x14ac:dyDescent="0.25">
      <c r="A1483" s="358"/>
      <c r="B1483" s="361"/>
      <c r="C1483" s="221"/>
      <c r="D1483" s="194"/>
      <c r="E1483" s="194"/>
      <c r="F1483" s="194"/>
      <c r="G1483" s="217"/>
      <c r="H1483" s="195"/>
      <c r="I1483" s="159"/>
      <c r="J1483" s="195"/>
      <c r="K1483" s="161"/>
      <c r="L1483" s="196"/>
      <c r="M1483" s="230"/>
      <c r="N1483" s="164"/>
      <c r="O1483" s="165">
        <f t="shared" si="322"/>
        <v>0</v>
      </c>
      <c r="P1483" s="166"/>
      <c r="Q1483" s="166"/>
      <c r="R1483" s="71"/>
    </row>
    <row r="1484" spans="1:18" s="61" customFormat="1" x14ac:dyDescent="0.25">
      <c r="A1484" s="358"/>
      <c r="B1484" s="361"/>
      <c r="C1484" s="221" t="s">
        <v>357</v>
      </c>
      <c r="D1484" s="368" t="s">
        <v>66</v>
      </c>
      <c r="E1484" s="368"/>
      <c r="F1484" s="368"/>
      <c r="G1484" s="368"/>
      <c r="H1484" s="195"/>
      <c r="I1484" s="159"/>
      <c r="J1484" s="195"/>
      <c r="K1484" s="161"/>
      <c r="L1484" s="234"/>
      <c r="M1484" s="230"/>
      <c r="N1484" s="164"/>
      <c r="O1484" s="198">
        <f>O1485</f>
        <v>9.1260099999999991</v>
      </c>
      <c r="P1484" s="166"/>
      <c r="Q1484" s="166"/>
      <c r="R1484" s="71"/>
    </row>
    <row r="1485" spans="1:18" s="61" customFormat="1" ht="47.25" x14ac:dyDescent="0.25">
      <c r="A1485" s="358"/>
      <c r="B1485" s="361"/>
      <c r="C1485" s="221"/>
      <c r="D1485" s="222" t="s">
        <v>374</v>
      </c>
      <c r="E1485" s="194" t="s">
        <v>28</v>
      </c>
      <c r="F1485" s="194" t="s">
        <v>28</v>
      </c>
      <c r="G1485" s="217">
        <f>MROUND(H1485*L1485*I1485/K1485,0.000000001)</f>
        <v>7.2657000000000008E-3</v>
      </c>
      <c r="H1485" s="201">
        <f>H885</f>
        <v>36</v>
      </c>
      <c r="I1485" s="159">
        <f>I1480</f>
        <v>4.0365000000000003E-4</v>
      </c>
      <c r="J1485" s="195"/>
      <c r="K1485" s="161">
        <f>K1480</f>
        <v>8</v>
      </c>
      <c r="L1485" s="235">
        <f>L885</f>
        <v>4</v>
      </c>
      <c r="M1485" s="163" t="str">
        <f>CONCATENATE(H1485," ",F1485,"*",I1485,"/",K1485,"чел.")</f>
        <v>36 шт*0,00040365/8чел.</v>
      </c>
      <c r="N1485" s="164">
        <f>N885</f>
        <v>1256.0400000000006</v>
      </c>
      <c r="O1485" s="165">
        <f>MROUND(G1485*N1485,0.000001)</f>
        <v>9.1260099999999991</v>
      </c>
      <c r="P1485" s="166"/>
      <c r="Q1485" s="166">
        <f t="shared" si="321"/>
        <v>73.008079999999993</v>
      </c>
      <c r="R1485" s="71"/>
    </row>
    <row r="1486" spans="1:18" s="61" customFormat="1" x14ac:dyDescent="0.25">
      <c r="A1486" s="358"/>
      <c r="B1486" s="361"/>
      <c r="C1486" s="221"/>
      <c r="D1486" s="368" t="s">
        <v>67</v>
      </c>
      <c r="E1486" s="368"/>
      <c r="F1486" s="368"/>
      <c r="G1486" s="368"/>
      <c r="H1486" s="195"/>
      <c r="I1486" s="159"/>
      <c r="J1486" s="195"/>
      <c r="K1486" s="161"/>
      <c r="L1486" s="196"/>
      <c r="M1486" s="230"/>
      <c r="N1486" s="164"/>
      <c r="O1486" s="165">
        <f t="shared" si="322"/>
        <v>0</v>
      </c>
      <c r="P1486" s="166"/>
      <c r="Q1486" s="166"/>
      <c r="R1486" s="71"/>
    </row>
    <row r="1487" spans="1:18" s="61" customFormat="1" x14ac:dyDescent="0.25">
      <c r="A1487" s="358"/>
      <c r="B1487" s="361"/>
      <c r="C1487" s="221"/>
      <c r="D1487" s="194"/>
      <c r="E1487" s="194"/>
      <c r="F1487" s="194"/>
      <c r="G1487" s="217"/>
      <c r="H1487" s="195"/>
      <c r="I1487" s="159"/>
      <c r="J1487" s="195"/>
      <c r="K1487" s="161"/>
      <c r="L1487" s="196"/>
      <c r="M1487" s="230"/>
      <c r="N1487" s="164"/>
      <c r="O1487" s="165">
        <f t="shared" si="322"/>
        <v>0</v>
      </c>
      <c r="P1487" s="166"/>
      <c r="Q1487" s="166"/>
      <c r="R1487" s="71"/>
    </row>
    <row r="1488" spans="1:18" s="61" customFormat="1" x14ac:dyDescent="0.25">
      <c r="A1488" s="358"/>
      <c r="B1488" s="361"/>
      <c r="C1488" s="221"/>
      <c r="D1488" s="350" t="s">
        <v>68</v>
      </c>
      <c r="E1488" s="350"/>
      <c r="F1488" s="350"/>
      <c r="G1488" s="350"/>
      <c r="H1488" s="195"/>
      <c r="I1488" s="159"/>
      <c r="J1488" s="195"/>
      <c r="K1488" s="161"/>
      <c r="L1488" s="196"/>
      <c r="M1488" s="230"/>
      <c r="N1488" s="164"/>
      <c r="O1488" s="165">
        <f t="shared" si="322"/>
        <v>0</v>
      </c>
      <c r="P1488" s="166"/>
      <c r="Q1488" s="166"/>
      <c r="R1488" s="71"/>
    </row>
    <row r="1489" spans="1:41" s="61" customFormat="1" x14ac:dyDescent="0.25">
      <c r="A1489" s="358"/>
      <c r="B1489" s="361"/>
      <c r="C1489" s="221"/>
      <c r="D1489" s="156"/>
      <c r="E1489" s="156"/>
      <c r="F1489" s="156"/>
      <c r="G1489" s="236"/>
      <c r="H1489" s="195"/>
      <c r="I1489" s="159"/>
      <c r="J1489" s="195"/>
      <c r="K1489" s="161"/>
      <c r="L1489" s="196"/>
      <c r="M1489" s="230"/>
      <c r="N1489" s="164"/>
      <c r="O1489" s="165">
        <f t="shared" si="322"/>
        <v>0</v>
      </c>
      <c r="P1489" s="166"/>
      <c r="Q1489" s="166"/>
      <c r="R1489" s="71"/>
    </row>
    <row r="1490" spans="1:41" s="61" customFormat="1" x14ac:dyDescent="0.25">
      <c r="A1490" s="358"/>
      <c r="B1490" s="361"/>
      <c r="C1490" s="221"/>
      <c r="D1490" s="368" t="s">
        <v>69</v>
      </c>
      <c r="E1490" s="368"/>
      <c r="F1490" s="368"/>
      <c r="G1490" s="368"/>
      <c r="H1490" s="187"/>
      <c r="I1490" s="159"/>
      <c r="J1490" s="187"/>
      <c r="K1490" s="161"/>
      <c r="L1490" s="276"/>
      <c r="M1490" s="230"/>
      <c r="N1490" s="164"/>
      <c r="O1490" s="198">
        <f>O1492+O1499+O1516+O1518+O1533+O1535+O1537+O1562+O1564+O1569+O1566</f>
        <v>3358.6168844099998</v>
      </c>
      <c r="P1490" s="166"/>
      <c r="Q1490" s="166"/>
      <c r="R1490" s="71"/>
    </row>
    <row r="1491" spans="1:41" s="61" customFormat="1" x14ac:dyDescent="0.25">
      <c r="A1491" s="358"/>
      <c r="B1491" s="361"/>
      <c r="C1491" s="221">
        <v>224</v>
      </c>
      <c r="D1491" s="156" t="s">
        <v>21</v>
      </c>
      <c r="E1491" s="156" t="s">
        <v>22</v>
      </c>
      <c r="F1491" s="156" t="s">
        <v>22</v>
      </c>
      <c r="G1491" s="238">
        <f>MROUND(H1491*L1491*I1491/K1491,0.000001)</f>
        <v>0</v>
      </c>
      <c r="H1491" s="158">
        <f>H51</f>
        <v>0</v>
      </c>
      <c r="I1491" s="159">
        <f>I1485</f>
        <v>4.0365000000000003E-4</v>
      </c>
      <c r="J1491" s="160"/>
      <c r="K1491" s="161">
        <f>K1485</f>
        <v>8</v>
      </c>
      <c r="L1491" s="250"/>
      <c r="M1491" s="163"/>
      <c r="N1491" s="164">
        <f>N171</f>
        <v>0</v>
      </c>
      <c r="O1491" s="165">
        <f>MROUND(G1491*N1491,0.000001)</f>
        <v>0</v>
      </c>
      <c r="P1491" s="166"/>
      <c r="Q1491" s="166">
        <f t="shared" si="321"/>
        <v>0</v>
      </c>
      <c r="R1491" s="71"/>
    </row>
    <row r="1492" spans="1:41" s="62" customFormat="1" x14ac:dyDescent="0.25">
      <c r="A1492" s="358"/>
      <c r="B1492" s="361"/>
      <c r="C1492" s="218" t="s">
        <v>293</v>
      </c>
      <c r="D1492" s="240"/>
      <c r="E1492" s="240"/>
      <c r="F1492" s="240"/>
      <c r="G1492" s="227"/>
      <c r="H1492" s="241"/>
      <c r="I1492" s="206"/>
      <c r="J1492" s="228"/>
      <c r="K1492" s="207"/>
      <c r="L1492" s="257"/>
      <c r="M1492" s="209"/>
      <c r="N1492" s="210"/>
      <c r="O1492" s="198">
        <f>SUM(O1491)</f>
        <v>0</v>
      </c>
      <c r="P1492" s="267"/>
      <c r="Q1492" s="166"/>
      <c r="R1492" s="71"/>
    </row>
    <row r="1493" spans="1:41" s="61" customFormat="1" ht="31.5" x14ac:dyDescent="0.25">
      <c r="A1493" s="358"/>
      <c r="B1493" s="361"/>
      <c r="C1493" s="364" t="s">
        <v>78</v>
      </c>
      <c r="D1493" s="156" t="s">
        <v>26</v>
      </c>
      <c r="E1493" s="156" t="s">
        <v>22</v>
      </c>
      <c r="F1493" s="156" t="s">
        <v>22</v>
      </c>
      <c r="G1493" s="238">
        <f>MROUND(H1493*L1493*I1493/K1493,0.000001)</f>
        <v>15.645474</v>
      </c>
      <c r="H1493" s="158">
        <f>H53</f>
        <v>25840</v>
      </c>
      <c r="I1493" s="159">
        <f>I1491</f>
        <v>4.0365000000000003E-4</v>
      </c>
      <c r="J1493" s="160"/>
      <c r="K1493" s="161">
        <f>K1491</f>
        <v>8</v>
      </c>
      <c r="L1493" s="250">
        <v>12</v>
      </c>
      <c r="M1493" s="163" t="str">
        <f>CONCATENATE(H1493," ",F1493,"(обрабатываемая площадь в мес.)","*",L1493,"мес.","*",I1493,"/",K1493,"чел.")</f>
        <v>25840 м2(обрабатываемая площадь в мес.)*12мес.*0,00040365/8чел.</v>
      </c>
      <c r="N1493" s="164">
        <f>N53</f>
        <v>1.1553999935500519</v>
      </c>
      <c r="O1493" s="165">
        <f t="shared" ref="O1493:O1498" si="323">MROUND(G1493*N1493,0.000001)</f>
        <v>18.076781</v>
      </c>
      <c r="P1493" s="166"/>
      <c r="Q1493" s="166">
        <f t="shared" si="321"/>
        <v>144.614248</v>
      </c>
      <c r="R1493" s="71"/>
    </row>
    <row r="1494" spans="1:41" s="61" customFormat="1" ht="31.5" x14ac:dyDescent="0.25">
      <c r="A1494" s="358"/>
      <c r="B1494" s="361"/>
      <c r="C1494" s="364"/>
      <c r="D1494" s="156" t="s">
        <v>96</v>
      </c>
      <c r="E1494" s="156" t="s">
        <v>22</v>
      </c>
      <c r="F1494" s="156" t="s">
        <v>22</v>
      </c>
      <c r="G1494" s="238">
        <f>MROUND(H1494*L1494*I1494/K1494,0.000001)</f>
        <v>8.0982279999999989</v>
      </c>
      <c r="H1494" s="158">
        <f>H54</f>
        <v>13375</v>
      </c>
      <c r="I1494" s="159">
        <f t="shared" si="319"/>
        <v>4.0365000000000003E-4</v>
      </c>
      <c r="J1494" s="160"/>
      <c r="K1494" s="161">
        <f>K1493</f>
        <v>8</v>
      </c>
      <c r="L1494" s="250">
        <v>12</v>
      </c>
      <c r="M1494" s="163" t="str">
        <f>CONCATENATE(H1494," ",F1494,"(обрабатываемая площадь в мес.)","*",L1494,"мес.","*",I1494,"/",K1494,"чел.")</f>
        <v>13375 м2(обрабатываемая площадь в мес.)*12мес.*0,00040365/8чел.</v>
      </c>
      <c r="N1494" s="164">
        <f>N54</f>
        <v>1.8530000000000004</v>
      </c>
      <c r="O1494" s="165">
        <f t="shared" si="323"/>
        <v>15.006015999999999</v>
      </c>
      <c r="P1494" s="166"/>
      <c r="Q1494" s="166">
        <f t="shared" si="321"/>
        <v>120.04812799999999</v>
      </c>
      <c r="R1494" s="71"/>
    </row>
    <row r="1495" spans="1:41" s="135" customFormat="1" ht="31.5" x14ac:dyDescent="0.25">
      <c r="A1495" s="358"/>
      <c r="B1495" s="361"/>
      <c r="C1495" s="364"/>
      <c r="D1495" s="156" t="s">
        <v>385</v>
      </c>
      <c r="E1495" s="156" t="s">
        <v>22</v>
      </c>
      <c r="F1495" s="156" t="s">
        <v>22</v>
      </c>
      <c r="G1495" s="238">
        <f>MROUND(H1495*L1495*I1495/K1495,0.000001)</f>
        <v>16.196455999999998</v>
      </c>
      <c r="H1495" s="242">
        <f>$H$55</f>
        <v>13375</v>
      </c>
      <c r="I1495" s="159">
        <f t="shared" si="319"/>
        <v>4.0365000000000003E-4</v>
      </c>
      <c r="J1495" s="160"/>
      <c r="K1495" s="161">
        <f>K1494</f>
        <v>8</v>
      </c>
      <c r="L1495" s="162">
        <v>24</v>
      </c>
      <c r="M1495" s="163" t="str">
        <f>CONCATENATE(H1495," ",F1495,"(обрабатываемая площадь в год)","*",L1495," раза в год.","*",I1495,"/",K1495,"чел.")</f>
        <v>13375 м2(обрабатываемая площадь в год)*24 раза в год.*0,00040365/8чел.</v>
      </c>
      <c r="N1495" s="164">
        <f>$N$55</f>
        <v>2.2889999999999993</v>
      </c>
      <c r="O1495" s="165">
        <f t="shared" si="323"/>
        <v>37.073687999999997</v>
      </c>
      <c r="P1495" s="166"/>
      <c r="Q1495" s="166">
        <f t="shared" si="321"/>
        <v>296.58950399999998</v>
      </c>
      <c r="R1495" s="71"/>
      <c r="S1495" s="61"/>
      <c r="T1495" s="61"/>
      <c r="U1495" s="61"/>
      <c r="V1495" s="61"/>
      <c r="W1495" s="61"/>
      <c r="X1495" s="61"/>
      <c r="Y1495" s="61"/>
      <c r="Z1495" s="61"/>
      <c r="AA1495" s="61"/>
      <c r="AB1495" s="61"/>
      <c r="AC1495" s="61"/>
      <c r="AD1495" s="61"/>
      <c r="AE1495" s="61"/>
      <c r="AF1495" s="61"/>
      <c r="AG1495" s="61"/>
      <c r="AH1495" s="61"/>
      <c r="AI1495" s="61"/>
      <c r="AJ1495" s="61"/>
      <c r="AK1495" s="61"/>
      <c r="AL1495" s="61"/>
      <c r="AM1495" s="61"/>
      <c r="AN1495" s="61"/>
      <c r="AO1495" s="61"/>
    </row>
    <row r="1496" spans="1:41" s="135" customFormat="1" ht="31.5" x14ac:dyDescent="0.25">
      <c r="A1496" s="358"/>
      <c r="B1496" s="361"/>
      <c r="C1496" s="364"/>
      <c r="D1496" s="156" t="s">
        <v>394</v>
      </c>
      <c r="E1496" s="156" t="s">
        <v>22</v>
      </c>
      <c r="F1496" s="156" t="s">
        <v>22</v>
      </c>
      <c r="G1496" s="238">
        <f>MROUND(H1496*L1496*I1496/K1496,0.000001)</f>
        <v>15.645474</v>
      </c>
      <c r="H1496" s="243">
        <f>$H$56</f>
        <v>25840</v>
      </c>
      <c r="I1496" s="159">
        <f t="shared" si="319"/>
        <v>4.0365000000000003E-4</v>
      </c>
      <c r="J1496" s="160"/>
      <c r="K1496" s="161">
        <f>K1495</f>
        <v>8</v>
      </c>
      <c r="L1496" s="162">
        <v>12</v>
      </c>
      <c r="M1496" s="163" t="str">
        <f>CONCATENATE(H1496," ",F1496,"(обрабатываемая площадь в мес.)","*",L1496,"мес.","*",I1496,"/",K1496,"чел.")</f>
        <v>25840 м2(обрабатываемая площадь в мес.)*12мес.*0,00040365/8чел.</v>
      </c>
      <c r="N1496" s="164">
        <f>$N$56</f>
        <v>0.54499999999999993</v>
      </c>
      <c r="O1496" s="165">
        <f t="shared" si="323"/>
        <v>8.526783</v>
      </c>
      <c r="P1496" s="166"/>
      <c r="Q1496" s="166">
        <f t="shared" si="321"/>
        <v>68.214264</v>
      </c>
      <c r="R1496" s="71"/>
      <c r="S1496" s="61"/>
      <c r="T1496" s="61"/>
      <c r="U1496" s="61"/>
      <c r="V1496" s="61"/>
      <c r="W1496" s="61"/>
      <c r="X1496" s="61"/>
      <c r="Y1496" s="61"/>
      <c r="Z1496" s="61"/>
      <c r="AA1496" s="61"/>
      <c r="AB1496" s="61"/>
      <c r="AC1496" s="61"/>
      <c r="AD1496" s="61"/>
      <c r="AE1496" s="61"/>
      <c r="AF1496" s="61"/>
      <c r="AG1496" s="61"/>
      <c r="AH1496" s="61"/>
      <c r="AI1496" s="61"/>
      <c r="AJ1496" s="61"/>
      <c r="AK1496" s="61"/>
      <c r="AL1496" s="61"/>
      <c r="AM1496" s="61"/>
      <c r="AN1496" s="61"/>
      <c r="AO1496" s="61"/>
    </row>
    <row r="1497" spans="1:41" s="135" customFormat="1" ht="31.5" x14ac:dyDescent="0.25">
      <c r="A1497" s="358"/>
      <c r="B1497" s="361"/>
      <c r="C1497" s="364"/>
      <c r="D1497" s="156" t="s">
        <v>395</v>
      </c>
      <c r="E1497" s="156" t="s">
        <v>98</v>
      </c>
      <c r="F1497" s="156" t="s">
        <v>98</v>
      </c>
      <c r="G1497" s="238">
        <f>MROUND(H1497*L1497*I1497/K1497,0.0000000001)</f>
        <v>9.5564140000000005E-4</v>
      </c>
      <c r="H1497" s="242">
        <f>$H$57</f>
        <v>18.939999999999998</v>
      </c>
      <c r="I1497" s="159">
        <f t="shared" si="319"/>
        <v>4.0365000000000003E-4</v>
      </c>
      <c r="J1497" s="160"/>
      <c r="K1497" s="161">
        <f>K1496</f>
        <v>8</v>
      </c>
      <c r="L1497" s="162">
        <v>1</v>
      </c>
      <c r="M1497" s="163" t="str">
        <f>CONCATENATE(H1497," ",F1497,"(обрабатываемая площадь в год)","*",L1497," раз в год","*",I1497,"/",K1497,"чел.")</f>
        <v>18,94 Га(обрабатываемая площадь в год)*1 раз в год*0,00040365/8чел.</v>
      </c>
      <c r="N1497" s="164">
        <f>$N$57</f>
        <v>545</v>
      </c>
      <c r="O1497" s="165">
        <f t="shared" si="323"/>
        <v>0.52082499999999998</v>
      </c>
      <c r="P1497" s="166"/>
      <c r="Q1497" s="166">
        <f t="shared" si="321"/>
        <v>4.1665999999999999</v>
      </c>
      <c r="R1497" s="71"/>
      <c r="S1497" s="61"/>
      <c r="T1497" s="61"/>
      <c r="U1497" s="61"/>
      <c r="V1497" s="61"/>
      <c r="W1497" s="61"/>
      <c r="X1497" s="61"/>
      <c r="Y1497" s="61"/>
      <c r="Z1497" s="61"/>
      <c r="AA1497" s="61"/>
      <c r="AB1497" s="61"/>
      <c r="AC1497" s="61"/>
      <c r="AD1497" s="61"/>
      <c r="AE1497" s="61"/>
      <c r="AF1497" s="61"/>
      <c r="AG1497" s="61"/>
      <c r="AH1497" s="61"/>
      <c r="AI1497" s="61"/>
      <c r="AJ1497" s="61"/>
      <c r="AK1497" s="61"/>
      <c r="AL1497" s="61"/>
      <c r="AM1497" s="61"/>
      <c r="AN1497" s="61"/>
      <c r="AO1497" s="61"/>
    </row>
    <row r="1498" spans="1:41" s="61" customFormat="1" ht="31.5" x14ac:dyDescent="0.25">
      <c r="A1498" s="358"/>
      <c r="B1498" s="361"/>
      <c r="C1498" s="364"/>
      <c r="D1498" s="156" t="s">
        <v>97</v>
      </c>
      <c r="E1498" s="156" t="s">
        <v>98</v>
      </c>
      <c r="F1498" s="156" t="s">
        <v>98</v>
      </c>
      <c r="G1498" s="238">
        <f>MROUND(H1498*L1498*I1498/K1498,0.000000001)</f>
        <v>9.5564100000000002E-4</v>
      </c>
      <c r="H1498" s="242">
        <f>H418</f>
        <v>18.939999999999998</v>
      </c>
      <c r="I1498" s="244">
        <f>I1494</f>
        <v>4.0365000000000003E-4</v>
      </c>
      <c r="J1498" s="160"/>
      <c r="K1498" s="161">
        <f>K1494</f>
        <v>8</v>
      </c>
      <c r="L1498" s="250">
        <v>1</v>
      </c>
      <c r="M1498" s="163" t="str">
        <f>CONCATENATE(H1498," ",F1498,"(обрабатываемая площадь в мес.)","*",L1498,"мес.","*",I1498,"/",K1498,"чел.")</f>
        <v>18,94 Га(обрабатываемая площадь в мес.)*1мес.*0,00040365/8чел.</v>
      </c>
      <c r="N1498" s="164">
        <f>N418</f>
        <v>2965.979936642027</v>
      </c>
      <c r="O1498" s="165">
        <f t="shared" si="323"/>
        <v>2.8344119999999999</v>
      </c>
      <c r="P1498" s="166"/>
      <c r="Q1498" s="166">
        <f t="shared" si="321"/>
        <v>22.675295999999999</v>
      </c>
      <c r="R1498" s="71"/>
    </row>
    <row r="1499" spans="1:41" s="62" customFormat="1" x14ac:dyDescent="0.25">
      <c r="A1499" s="358"/>
      <c r="B1499" s="361"/>
      <c r="C1499" s="245" t="s">
        <v>294</v>
      </c>
      <c r="D1499" s="240"/>
      <c r="E1499" s="240"/>
      <c r="F1499" s="240"/>
      <c r="G1499" s="227"/>
      <c r="H1499" s="241"/>
      <c r="I1499" s="206"/>
      <c r="J1499" s="228"/>
      <c r="K1499" s="207"/>
      <c r="L1499" s="257"/>
      <c r="M1499" s="209"/>
      <c r="N1499" s="210"/>
      <c r="O1499" s="198">
        <f>SUM(O1493:O1498)</f>
        <v>82.038505000000001</v>
      </c>
      <c r="P1499" s="267"/>
      <c r="Q1499" s="166"/>
      <c r="R1499" s="71"/>
    </row>
    <row r="1500" spans="1:41" s="61" customFormat="1" ht="63" x14ac:dyDescent="0.25">
      <c r="A1500" s="358"/>
      <c r="B1500" s="361"/>
      <c r="C1500" s="365" t="s">
        <v>77</v>
      </c>
      <c r="D1500" s="156" t="s">
        <v>29</v>
      </c>
      <c r="E1500" s="156" t="s">
        <v>58</v>
      </c>
      <c r="F1500" s="156" t="s">
        <v>218</v>
      </c>
      <c r="G1500" s="157">
        <f>MROUND(H1500*L1500*I1500/K1500,0.00000001)</f>
        <v>3.0273800000000001E-3</v>
      </c>
      <c r="H1500" s="158">
        <v>15</v>
      </c>
      <c r="I1500" s="159">
        <f>I1498</f>
        <v>4.0365000000000003E-4</v>
      </c>
      <c r="J1500" s="160"/>
      <c r="K1500" s="161">
        <f>K1498</f>
        <v>8</v>
      </c>
      <c r="L1500" s="162">
        <v>4</v>
      </c>
      <c r="M1500" s="163" t="str">
        <f>CONCATENATE(H1500," ",F1500,"*",L1500," раза в год","*",I1500,"/",K1500,"чел.")</f>
        <v>15 установок*4 раза в год*0,00040365/8чел.</v>
      </c>
      <c r="N1500" s="164">
        <f>N60</f>
        <v>721.75483333333329</v>
      </c>
      <c r="O1500" s="165">
        <f t="shared" ref="O1500:O1515" si="324">MROUND(G1500*N1500,0.000001)</f>
        <v>2.1850259999999997</v>
      </c>
      <c r="P1500" s="166"/>
      <c r="Q1500" s="166">
        <f t="shared" si="321"/>
        <v>17.480207999999998</v>
      </c>
      <c r="R1500" s="71"/>
    </row>
    <row r="1501" spans="1:41" s="61" customFormat="1" ht="47.25" x14ac:dyDescent="0.25">
      <c r="A1501" s="358"/>
      <c r="B1501" s="361"/>
      <c r="C1501" s="366"/>
      <c r="D1501" s="156" t="s">
        <v>30</v>
      </c>
      <c r="E1501" s="156" t="s">
        <v>58</v>
      </c>
      <c r="F1501" s="156" t="s">
        <v>218</v>
      </c>
      <c r="G1501" s="238">
        <f>MROUND(H1501*L1501*I1501/K1501,0.00000001)</f>
        <v>1.51369E-3</v>
      </c>
      <c r="H1501" s="158">
        <v>15</v>
      </c>
      <c r="I1501" s="159">
        <f t="shared" si="319"/>
        <v>4.0365000000000003E-4</v>
      </c>
      <c r="J1501" s="160"/>
      <c r="K1501" s="161">
        <f t="shared" ref="K1501:K1509" si="325">K1500</f>
        <v>8</v>
      </c>
      <c r="L1501" s="250">
        <v>2</v>
      </c>
      <c r="M1501" s="163" t="str">
        <f>CONCATENATE(H1501," ",F1501,"*",L1501,"полуг.","*",I1501,"/",K1501,"чел.")</f>
        <v>15 установок*2полуг.*0,00040365/8чел.</v>
      </c>
      <c r="N1501" s="164">
        <f>N781</f>
        <v>721.75266666666664</v>
      </c>
      <c r="O1501" s="165">
        <f t="shared" si="324"/>
        <v>1.0925099999999999</v>
      </c>
      <c r="P1501" s="166"/>
      <c r="Q1501" s="166">
        <f t="shared" si="321"/>
        <v>8.740079999999999</v>
      </c>
      <c r="R1501" s="71"/>
    </row>
    <row r="1502" spans="1:41" s="61" customFormat="1" ht="31.5" x14ac:dyDescent="0.25">
      <c r="A1502" s="358"/>
      <c r="B1502" s="361"/>
      <c r="C1502" s="366"/>
      <c r="D1502" s="156" t="s">
        <v>397</v>
      </c>
      <c r="E1502" s="156" t="s">
        <v>433</v>
      </c>
      <c r="F1502" s="156" t="s">
        <v>433</v>
      </c>
      <c r="G1502" s="238">
        <f>MROUND(H1502*L1502*I1502/K1502,0.000001)</f>
        <v>3.0273999999999999E-2</v>
      </c>
      <c r="H1502" s="158">
        <f>H422</f>
        <v>600</v>
      </c>
      <c r="I1502" s="159">
        <f t="shared" si="319"/>
        <v>4.0365000000000003E-4</v>
      </c>
      <c r="J1502" s="160"/>
      <c r="K1502" s="161">
        <f t="shared" si="325"/>
        <v>8</v>
      </c>
      <c r="L1502" s="162">
        <v>1</v>
      </c>
      <c r="M1502" s="163" t="str">
        <f>CONCATENATE(H1502," ",F1502,"(обрабатываемая площадь в год)","*",L1502," раз в год","*",I1502,"/",K1502,"чел.")</f>
        <v>600 м2.(обрабатываемая площадь в год)*1 раз в год*0,00040365/8чел.</v>
      </c>
      <c r="N1502" s="164">
        <f>N422</f>
        <v>300</v>
      </c>
      <c r="O1502" s="165">
        <f t="shared" si="324"/>
        <v>9.0822000000000003</v>
      </c>
      <c r="P1502" s="166"/>
      <c r="Q1502" s="166">
        <f t="shared" si="321"/>
        <v>72.657600000000002</v>
      </c>
      <c r="R1502" s="71"/>
    </row>
    <row r="1503" spans="1:41" s="61" customFormat="1" ht="47.25" x14ac:dyDescent="0.25">
      <c r="A1503" s="358"/>
      <c r="B1503" s="361"/>
      <c r="C1503" s="366"/>
      <c r="D1503" s="156" t="s">
        <v>32</v>
      </c>
      <c r="E1503" s="156" t="s">
        <v>55</v>
      </c>
      <c r="F1503" s="156" t="s">
        <v>219</v>
      </c>
      <c r="G1503" s="238">
        <f>MROUND(H1503*L1503*I1503/K1503,0.000000001)</f>
        <v>7.2657000000000008E-3</v>
      </c>
      <c r="H1503" s="158">
        <f>H783</f>
        <v>36</v>
      </c>
      <c r="I1503" s="159">
        <f>I1502</f>
        <v>4.0365000000000003E-4</v>
      </c>
      <c r="J1503" s="160"/>
      <c r="K1503" s="161">
        <f t="shared" si="325"/>
        <v>8</v>
      </c>
      <c r="L1503" s="250">
        <v>4</v>
      </c>
      <c r="M1503" s="163" t="str">
        <f>CONCATENATE(H1503," ",F1503,"*",L1503,"кв.","*",I1503,"/",K1503,"чел.")</f>
        <v>36 системы*4кв.*0,00040365/8чел.</v>
      </c>
      <c r="N1503" s="164">
        <f>N783</f>
        <v>6924.5277777777774</v>
      </c>
      <c r="O1503" s="165">
        <f t="shared" si="324"/>
        <v>50.311540999999998</v>
      </c>
      <c r="P1503" s="166"/>
      <c r="Q1503" s="166">
        <f t="shared" si="321"/>
        <v>402.49232799999999</v>
      </c>
      <c r="R1503" s="71"/>
    </row>
    <row r="1504" spans="1:41" s="61" customFormat="1" ht="63" x14ac:dyDescent="0.25">
      <c r="A1504" s="358"/>
      <c r="B1504" s="361"/>
      <c r="C1504" s="366"/>
      <c r="D1504" s="156" t="s">
        <v>33</v>
      </c>
      <c r="E1504" s="156" t="s">
        <v>56</v>
      </c>
      <c r="F1504" s="156" t="s">
        <v>220</v>
      </c>
      <c r="G1504" s="238">
        <f>MROUND(H1504*L1504*I1504/K1504,0.000000001)</f>
        <v>1.8164250000000002E-3</v>
      </c>
      <c r="H1504" s="158">
        <f>$H$64</f>
        <v>36</v>
      </c>
      <c r="I1504" s="159">
        <f>I1503</f>
        <v>4.0365000000000003E-4</v>
      </c>
      <c r="J1504" s="160"/>
      <c r="K1504" s="161">
        <f t="shared" si="325"/>
        <v>8</v>
      </c>
      <c r="L1504" s="162">
        <v>1</v>
      </c>
      <c r="M1504" s="163" t="str">
        <f>CONCATENATE(H1504," ",F1504,"*",L1504," раз в год","*",I1504,"/",K1504,"чел.")</f>
        <v>36 дымоходов*1 раз в год*0,00040365/8чел.</v>
      </c>
      <c r="N1504" s="164">
        <f>N64</f>
        <v>6540</v>
      </c>
      <c r="O1504" s="165">
        <f t="shared" si="324"/>
        <v>11.87942</v>
      </c>
      <c r="P1504" s="166"/>
      <c r="Q1504" s="166">
        <f t="shared" si="321"/>
        <v>95.035359999999997</v>
      </c>
      <c r="R1504" s="71"/>
    </row>
    <row r="1505" spans="1:18" s="61" customFormat="1" x14ac:dyDescent="0.25">
      <c r="A1505" s="358"/>
      <c r="B1505" s="361"/>
      <c r="C1505" s="366"/>
      <c r="D1505" s="194" t="s">
        <v>398</v>
      </c>
      <c r="E1505" s="156" t="s">
        <v>60</v>
      </c>
      <c r="F1505" s="156" t="s">
        <v>60</v>
      </c>
      <c r="G1505" s="238">
        <f>MROUND(H1505*L1505*I1505/K1505,0.000000001)</f>
        <v>1.765969E-3</v>
      </c>
      <c r="H1505" s="246">
        <f>H65</f>
        <v>35</v>
      </c>
      <c r="I1505" s="159">
        <f t="shared" si="319"/>
        <v>4.0365000000000003E-4</v>
      </c>
      <c r="J1505" s="160"/>
      <c r="K1505" s="161">
        <f t="shared" si="325"/>
        <v>8</v>
      </c>
      <c r="L1505" s="250">
        <v>1</v>
      </c>
      <c r="M1505" s="163" t="str">
        <f>CONCATENATE(H1505," ",F1505,"*",I1505,"/",K1505,"чел.")</f>
        <v>35 шт.*0,00040365/8чел.</v>
      </c>
      <c r="N1505" s="164">
        <f>N65</f>
        <v>11009</v>
      </c>
      <c r="O1505" s="165">
        <f t="shared" si="324"/>
        <v>19.441552999999999</v>
      </c>
      <c r="P1505" s="166"/>
      <c r="Q1505" s="166">
        <f t="shared" si="321"/>
        <v>155.53242399999999</v>
      </c>
      <c r="R1505" s="71"/>
    </row>
    <row r="1506" spans="1:18" s="61" customFormat="1" ht="47.25" x14ac:dyDescent="0.25">
      <c r="A1506" s="358"/>
      <c r="B1506" s="361"/>
      <c r="C1506" s="366"/>
      <c r="D1506" s="156" t="s">
        <v>401</v>
      </c>
      <c r="E1506" s="156" t="s">
        <v>60</v>
      </c>
      <c r="F1506" s="156" t="s">
        <v>402</v>
      </c>
      <c r="G1506" s="238">
        <f>MROUND(H1506*L1506*I1506/K1506,0.000001)</f>
        <v>3.532E-3</v>
      </c>
      <c r="H1506" s="246">
        <f>H66</f>
        <v>35</v>
      </c>
      <c r="I1506" s="159">
        <f t="shared" si="319"/>
        <v>4.0365000000000003E-4</v>
      </c>
      <c r="J1506" s="160"/>
      <c r="K1506" s="161">
        <f t="shared" si="325"/>
        <v>8</v>
      </c>
      <c r="L1506" s="162">
        <v>2</v>
      </c>
      <c r="M1506" s="163" t="str">
        <f>CONCATENATE(H1506," ",F1506,"*",L1506," раз в год","*",I1506,"/",K1506,"чел.")</f>
        <v>35 противопожарных водопроводов*2 раз в год*0,00040365/8чел.</v>
      </c>
      <c r="N1506" s="164">
        <f>N66</f>
        <v>5450</v>
      </c>
      <c r="O1506" s="165">
        <f t="shared" si="324"/>
        <v>19.249399999999998</v>
      </c>
      <c r="P1506" s="166"/>
      <c r="Q1506" s="166">
        <f t="shared" si="321"/>
        <v>153.99519999999998</v>
      </c>
      <c r="R1506" s="71"/>
    </row>
    <row r="1507" spans="1:18" s="61" customFormat="1" ht="31.5" x14ac:dyDescent="0.25">
      <c r="A1507" s="358"/>
      <c r="B1507" s="361"/>
      <c r="C1507" s="366"/>
      <c r="D1507" s="156" t="s">
        <v>221</v>
      </c>
      <c r="E1507" s="156" t="s">
        <v>60</v>
      </c>
      <c r="F1507" s="156" t="s">
        <v>60</v>
      </c>
      <c r="G1507" s="238">
        <f>MROUND(H1507*L1507*I1507/K1507,0.00000001)</f>
        <v>1.089855E-2</v>
      </c>
      <c r="H1507" s="158">
        <f>H67</f>
        <v>18</v>
      </c>
      <c r="I1507" s="159">
        <f t="shared" si="319"/>
        <v>4.0365000000000003E-4</v>
      </c>
      <c r="J1507" s="160"/>
      <c r="K1507" s="161">
        <f t="shared" si="325"/>
        <v>8</v>
      </c>
      <c r="L1507" s="250">
        <v>12</v>
      </c>
      <c r="M1507" s="163" t="str">
        <f>CONCATENATE(H1507," ",F1507,"*",L1507,"мес.","*",I1507,"/",K1507,"чел.")</f>
        <v>18 шт.*12мес.*0,00040365/8чел.</v>
      </c>
      <c r="N1507" s="164">
        <f>N427</f>
        <v>6288.0888888888885</v>
      </c>
      <c r="O1507" s="165">
        <f t="shared" si="324"/>
        <v>68.531050999999991</v>
      </c>
      <c r="P1507" s="166"/>
      <c r="Q1507" s="166">
        <f t="shared" si="321"/>
        <v>548.24840799999993</v>
      </c>
      <c r="R1507" s="71"/>
    </row>
    <row r="1508" spans="1:18" s="61" customFormat="1" ht="47.25" x14ac:dyDescent="0.25">
      <c r="A1508" s="358"/>
      <c r="B1508" s="361"/>
      <c r="C1508" s="366"/>
      <c r="D1508" s="156" t="s">
        <v>34</v>
      </c>
      <c r="E1508" s="156" t="s">
        <v>59</v>
      </c>
      <c r="F1508" s="156" t="s">
        <v>28</v>
      </c>
      <c r="G1508" s="238">
        <f>MROUND(H1508*L1508*I1508/K1508,0.0000000001)</f>
        <v>1.0091250000000001E-4</v>
      </c>
      <c r="H1508" s="158">
        <f>H68</f>
        <v>2</v>
      </c>
      <c r="I1508" s="159">
        <f t="shared" si="319"/>
        <v>4.0365000000000003E-4</v>
      </c>
      <c r="J1508" s="160"/>
      <c r="K1508" s="161">
        <f t="shared" si="325"/>
        <v>8</v>
      </c>
      <c r="L1508" s="250">
        <v>1</v>
      </c>
      <c r="M1508" s="163" t="str">
        <f>CONCATENATE(H1508," ",F1508,"*",I1508,"/",K1508,"чел.")</f>
        <v>2 шт*0,00040365/8чел.</v>
      </c>
      <c r="N1508" s="164">
        <f>N68</f>
        <v>7500</v>
      </c>
      <c r="O1508" s="165">
        <f t="shared" si="324"/>
        <v>0.75684399999999996</v>
      </c>
      <c r="P1508" s="166"/>
      <c r="Q1508" s="166">
        <f t="shared" si="321"/>
        <v>6.0547519999999997</v>
      </c>
      <c r="R1508" s="71"/>
    </row>
    <row r="1509" spans="1:18" s="61" customFormat="1" ht="47.25" x14ac:dyDescent="0.25">
      <c r="A1509" s="358"/>
      <c r="B1509" s="361"/>
      <c r="C1509" s="366"/>
      <c r="D1509" s="156" t="s">
        <v>222</v>
      </c>
      <c r="E1509" s="156" t="s">
        <v>60</v>
      </c>
      <c r="F1509" s="156" t="s">
        <v>60</v>
      </c>
      <c r="G1509" s="238">
        <f>MROUND(H1509*L1509*I1509/K1509,0.00000000001)</f>
        <v>1.76596875E-3</v>
      </c>
      <c r="H1509" s="248">
        <f>H789</f>
        <v>35</v>
      </c>
      <c r="I1509" s="159">
        <f t="shared" si="319"/>
        <v>4.0365000000000003E-4</v>
      </c>
      <c r="J1509" s="160"/>
      <c r="K1509" s="161">
        <f t="shared" si="325"/>
        <v>8</v>
      </c>
      <c r="L1509" s="250">
        <v>1</v>
      </c>
      <c r="M1509" s="163" t="str">
        <f>CONCATENATE(H1509," ",F1509,"*",I1509,"/",K1509,"чел.")</f>
        <v>35 шт.*0,00040365/8чел.</v>
      </c>
      <c r="N1509" s="164">
        <f>N69</f>
        <v>8189.7714285714283</v>
      </c>
      <c r="O1509" s="165">
        <f>MROUND(G1509*N1509,0.00000001)</f>
        <v>14.46288041</v>
      </c>
      <c r="P1509" s="166"/>
      <c r="Q1509" s="166">
        <f t="shared" si="321"/>
        <v>115.70304328</v>
      </c>
      <c r="R1509" s="71"/>
    </row>
    <row r="1510" spans="1:18" s="61" customFormat="1" ht="31.5" x14ac:dyDescent="0.25">
      <c r="A1510" s="358"/>
      <c r="B1510" s="361"/>
      <c r="C1510" s="366"/>
      <c r="D1510" s="156" t="s">
        <v>35</v>
      </c>
      <c r="E1510" s="156" t="s">
        <v>102</v>
      </c>
      <c r="F1510" s="156" t="s">
        <v>223</v>
      </c>
      <c r="G1510" s="238">
        <f>MROUND(H1510*L1510*I1510/K1510,0.00000001)</f>
        <v>1.76597E-3</v>
      </c>
      <c r="H1510" s="158">
        <f>H70</f>
        <v>35</v>
      </c>
      <c r="I1510" s="159">
        <f>I1508</f>
        <v>4.0365000000000003E-4</v>
      </c>
      <c r="J1510" s="160"/>
      <c r="K1510" s="161">
        <f>K1508</f>
        <v>8</v>
      </c>
      <c r="L1510" s="250">
        <v>1</v>
      </c>
      <c r="M1510" s="163" t="str">
        <f>CONCATENATE(H1510," ",F1510,"*",I1510,"/",K1510,"чел.")</f>
        <v>35 замеров*0,00040365/8чел.</v>
      </c>
      <c r="N1510" s="164">
        <f>N70</f>
        <v>20142.857142857141</v>
      </c>
      <c r="O1510" s="165">
        <f t="shared" si="324"/>
        <v>35.571680999999998</v>
      </c>
      <c r="P1510" s="166"/>
      <c r="Q1510" s="166">
        <f t="shared" si="321"/>
        <v>284.57344799999998</v>
      </c>
      <c r="R1510" s="71"/>
    </row>
    <row r="1511" spans="1:18" s="61" customFormat="1" ht="47.25" x14ac:dyDescent="0.25">
      <c r="A1511" s="358"/>
      <c r="B1511" s="361"/>
      <c r="C1511" s="366"/>
      <c r="D1511" s="156" t="s">
        <v>399</v>
      </c>
      <c r="E1511" s="156" t="s">
        <v>60</v>
      </c>
      <c r="F1511" s="156" t="s">
        <v>60</v>
      </c>
      <c r="G1511" s="238">
        <f>MROUND(H1511*L1511*I1511/K1511,0.000000001)</f>
        <v>1.7659688E-2</v>
      </c>
      <c r="H1511" s="158">
        <f>H911</f>
        <v>35</v>
      </c>
      <c r="I1511" s="159">
        <f t="shared" si="319"/>
        <v>4.0365000000000003E-4</v>
      </c>
      <c r="J1511" s="160"/>
      <c r="K1511" s="161">
        <f>K1510</f>
        <v>8</v>
      </c>
      <c r="L1511" s="250">
        <v>10</v>
      </c>
      <c r="M1511" s="163" t="str">
        <f>CONCATENATE(H1511," ",F1511,"*",L1511,"мес.","*",I1511,"/",K1511,"чел.")</f>
        <v>35 шт.*10мес.*0,00040365/8чел.</v>
      </c>
      <c r="N1511" s="164">
        <f>N911</f>
        <v>3107.903028571428</v>
      </c>
      <c r="O1511" s="165">
        <f t="shared" si="324"/>
        <v>54.884597999999997</v>
      </c>
      <c r="P1511" s="166"/>
      <c r="Q1511" s="166">
        <f t="shared" si="321"/>
        <v>439.07678399999998</v>
      </c>
      <c r="R1511" s="71"/>
    </row>
    <row r="1512" spans="1:18" s="61" customFormat="1" ht="47.25" x14ac:dyDescent="0.25">
      <c r="A1512" s="358"/>
      <c r="B1512" s="361"/>
      <c r="C1512" s="366"/>
      <c r="D1512" s="156" t="s">
        <v>36</v>
      </c>
      <c r="E1512" s="156" t="s">
        <v>31</v>
      </c>
      <c r="F1512" s="156" t="s">
        <v>224</v>
      </c>
      <c r="G1512" s="238">
        <f>MROUND(H1512*L1512*I1512/K1512,0.00000001)</f>
        <v>2.17971E-2</v>
      </c>
      <c r="H1512" s="158">
        <f>H792</f>
        <v>36</v>
      </c>
      <c r="I1512" s="159">
        <f t="shared" si="319"/>
        <v>4.0365000000000003E-4</v>
      </c>
      <c r="J1512" s="160"/>
      <c r="K1512" s="161">
        <f>K1511</f>
        <v>8</v>
      </c>
      <c r="L1512" s="250">
        <v>12</v>
      </c>
      <c r="M1512" s="163" t="str">
        <f>CONCATENATE(H1512," ",F1512,"*",L1512,"мес.","*",I1512,"/",K1512,"чел.")</f>
        <v>36 устройств*12мес.*0,00040365/8чел.</v>
      </c>
      <c r="N1512" s="164">
        <f>N72</f>
        <v>2200</v>
      </c>
      <c r="O1512" s="165">
        <f t="shared" si="324"/>
        <v>47.953620000000001</v>
      </c>
      <c r="P1512" s="166"/>
      <c r="Q1512" s="166">
        <f t="shared" si="321"/>
        <v>383.62896000000001</v>
      </c>
      <c r="R1512" s="71"/>
    </row>
    <row r="1513" spans="1:18" s="61" customFormat="1" ht="31.5" x14ac:dyDescent="0.25">
      <c r="A1513" s="358"/>
      <c r="B1513" s="361"/>
      <c r="C1513" s="366"/>
      <c r="D1513" s="156" t="s">
        <v>99</v>
      </c>
      <c r="E1513" s="156" t="s">
        <v>103</v>
      </c>
      <c r="F1513" s="156" t="s">
        <v>225</v>
      </c>
      <c r="G1513" s="238">
        <f>MROUND(H1513*L1513*I1513/K1513,0.00000001)</f>
        <v>1.917338E-2</v>
      </c>
      <c r="H1513" s="158">
        <f>H73</f>
        <v>380</v>
      </c>
      <c r="I1513" s="159">
        <f t="shared" si="319"/>
        <v>4.0365000000000003E-4</v>
      </c>
      <c r="J1513" s="160"/>
      <c r="K1513" s="161">
        <f>K1512</f>
        <v>8</v>
      </c>
      <c r="L1513" s="250">
        <v>1</v>
      </c>
      <c r="M1513" s="163" t="str">
        <f>CONCATENATE(H1513," ",F1513,"*",I1513,"/",K1513,"чел.")</f>
        <v>380 ед.*0,00040365/8чел.</v>
      </c>
      <c r="N1513" s="164">
        <f>N73</f>
        <v>15000</v>
      </c>
      <c r="O1513" s="165">
        <f t="shared" si="324"/>
        <v>287.60069999999996</v>
      </c>
      <c r="P1513" s="166"/>
      <c r="Q1513" s="166">
        <f t="shared" si="321"/>
        <v>2300.8055999999997</v>
      </c>
      <c r="R1513" s="71"/>
    </row>
    <row r="1514" spans="1:18" s="61" customFormat="1" x14ac:dyDescent="0.25">
      <c r="A1514" s="358"/>
      <c r="B1514" s="361"/>
      <c r="C1514" s="366"/>
      <c r="D1514" s="156" t="s">
        <v>27</v>
      </c>
      <c r="E1514" s="156" t="s">
        <v>28</v>
      </c>
      <c r="F1514" s="156" t="s">
        <v>28</v>
      </c>
      <c r="G1514" s="238">
        <f>MROUND(H1514*L1514*I1514/K1514,0.0000000001)</f>
        <v>0.28835746880000002</v>
      </c>
      <c r="H1514" s="160">
        <f>H74</f>
        <v>5715</v>
      </c>
      <c r="I1514" s="159">
        <f t="shared" si="319"/>
        <v>4.0365000000000003E-4</v>
      </c>
      <c r="J1514" s="160"/>
      <c r="K1514" s="161">
        <f>K1513</f>
        <v>8</v>
      </c>
      <c r="L1514" s="250">
        <v>1</v>
      </c>
      <c r="M1514" s="163" t="str">
        <f>CONCATENATE(H1514," ",F1514,"*",I1514,"/",K1514,"чел.")</f>
        <v>5715 шт*0,00040365/8чел.</v>
      </c>
      <c r="N1514" s="164">
        <f>N74</f>
        <v>400</v>
      </c>
      <c r="O1514" s="165">
        <f t="shared" si="324"/>
        <v>115.34298799999999</v>
      </c>
      <c r="P1514" s="166"/>
      <c r="Q1514" s="166">
        <f t="shared" si="321"/>
        <v>922.74390399999993</v>
      </c>
      <c r="R1514" s="71"/>
    </row>
    <row r="1515" spans="1:18" s="61" customFormat="1" ht="31.5" x14ac:dyDescent="0.25">
      <c r="A1515" s="358"/>
      <c r="B1515" s="361"/>
      <c r="C1515" s="367"/>
      <c r="D1515" s="156" t="s">
        <v>104</v>
      </c>
      <c r="E1515" s="156" t="s">
        <v>105</v>
      </c>
      <c r="F1515" s="156" t="s">
        <v>226</v>
      </c>
      <c r="G1515" s="238">
        <f>MROUND(H1515*L1515*I1515/K1515,0.00000001)</f>
        <v>1.81643E-3</v>
      </c>
      <c r="H1515" s="160">
        <f>H435</f>
        <v>36</v>
      </c>
      <c r="I1515" s="159">
        <f t="shared" si="319"/>
        <v>4.0365000000000003E-4</v>
      </c>
      <c r="J1515" s="160"/>
      <c r="K1515" s="161">
        <f>K1514</f>
        <v>8</v>
      </c>
      <c r="L1515" s="250">
        <v>1</v>
      </c>
      <c r="M1515" s="163" t="str">
        <f>CONCATENATE(H1515," ",F1515,"*",I1515,"/",K1515,"чел.")</f>
        <v>36 отключений*0,00040365/8чел.</v>
      </c>
      <c r="N1515" s="164">
        <f>N75</f>
        <v>9810</v>
      </c>
      <c r="O1515" s="165">
        <f t="shared" si="324"/>
        <v>17.819178000000001</v>
      </c>
      <c r="P1515" s="166"/>
      <c r="Q1515" s="166">
        <f t="shared" si="321"/>
        <v>142.55342400000001</v>
      </c>
      <c r="R1515" s="71"/>
    </row>
    <row r="1516" spans="1:18" s="62" customFormat="1" x14ac:dyDescent="0.25">
      <c r="A1516" s="358"/>
      <c r="B1516" s="361"/>
      <c r="C1516" s="249" t="s">
        <v>292</v>
      </c>
      <c r="D1516" s="240"/>
      <c r="E1516" s="240"/>
      <c r="F1516" s="240"/>
      <c r="G1516" s="227"/>
      <c r="H1516" s="228"/>
      <c r="I1516" s="206"/>
      <c r="J1516" s="228"/>
      <c r="K1516" s="207"/>
      <c r="L1516" s="257"/>
      <c r="M1516" s="209"/>
      <c r="N1516" s="210"/>
      <c r="O1516" s="198">
        <f>SUM(O1500:O1515)</f>
        <v>756.16519040999981</v>
      </c>
      <c r="P1516" s="267"/>
      <c r="Q1516" s="166"/>
      <c r="R1516" s="71"/>
    </row>
    <row r="1517" spans="1:18" s="61" customFormat="1" ht="31.5" x14ac:dyDescent="0.25">
      <c r="A1517" s="358"/>
      <c r="B1517" s="361"/>
      <c r="C1517" s="221" t="s">
        <v>79</v>
      </c>
      <c r="D1517" s="156" t="s">
        <v>37</v>
      </c>
      <c r="E1517" s="156" t="s">
        <v>61</v>
      </c>
      <c r="F1517" s="156" t="s">
        <v>227</v>
      </c>
      <c r="G1517" s="238">
        <f>MROUND(H1517*L1517*I1517/K1517,0.000000001)</f>
        <v>2.0182500000000001E-4</v>
      </c>
      <c r="H1517" s="158">
        <f>H77</f>
        <v>4</v>
      </c>
      <c r="I1517" s="159">
        <f>I1515</f>
        <v>4.0365000000000003E-4</v>
      </c>
      <c r="J1517" s="160"/>
      <c r="K1517" s="161">
        <f>K1515</f>
        <v>8</v>
      </c>
      <c r="L1517" s="250">
        <v>1</v>
      </c>
      <c r="M1517" s="163" t="str">
        <f>CONCATENATE(H1517," ",F1517,"*",I1517,"/",K1517,"чел.")</f>
        <v>4 автобуса*0,00040365/8чел.</v>
      </c>
      <c r="N1517" s="164">
        <f>N77</f>
        <v>93408.640000000014</v>
      </c>
      <c r="O1517" s="165">
        <f>MROUND(G1517*N1517,0.000001)</f>
        <v>18.852198999999999</v>
      </c>
      <c r="P1517" s="166"/>
      <c r="Q1517" s="166">
        <f t="shared" si="321"/>
        <v>150.81759199999999</v>
      </c>
      <c r="R1517" s="71"/>
    </row>
    <row r="1518" spans="1:18" s="62" customFormat="1" x14ac:dyDescent="0.25">
      <c r="A1518" s="358"/>
      <c r="B1518" s="361"/>
      <c r="C1518" s="218" t="s">
        <v>295</v>
      </c>
      <c r="D1518" s="240"/>
      <c r="E1518" s="240"/>
      <c r="F1518" s="240"/>
      <c r="G1518" s="227"/>
      <c r="H1518" s="241"/>
      <c r="I1518" s="206"/>
      <c r="J1518" s="228"/>
      <c r="K1518" s="207"/>
      <c r="L1518" s="257"/>
      <c r="M1518" s="209"/>
      <c r="N1518" s="210"/>
      <c r="O1518" s="198">
        <f>SUM(O1517)</f>
        <v>18.852198999999999</v>
      </c>
      <c r="P1518" s="267"/>
      <c r="Q1518" s="166"/>
      <c r="R1518" s="71"/>
    </row>
    <row r="1519" spans="1:18" s="61" customFormat="1" x14ac:dyDescent="0.25">
      <c r="A1519" s="358"/>
      <c r="B1519" s="361"/>
      <c r="C1519" s="364" t="s">
        <v>80</v>
      </c>
      <c r="D1519" s="156" t="s">
        <v>38</v>
      </c>
      <c r="E1519" s="156" t="s">
        <v>57</v>
      </c>
      <c r="F1519" s="156" t="s">
        <v>228</v>
      </c>
      <c r="G1519" s="238">
        <f>MROUND(H1519*L1519*I1519/K1519,0.0000000001)</f>
        <v>2.17971E-2</v>
      </c>
      <c r="H1519" s="158">
        <f>H79</f>
        <v>36</v>
      </c>
      <c r="I1519" s="159">
        <f>I1517</f>
        <v>4.0365000000000003E-4</v>
      </c>
      <c r="J1519" s="160"/>
      <c r="K1519" s="161">
        <f>K1517</f>
        <v>8</v>
      </c>
      <c r="L1519" s="250">
        <v>12</v>
      </c>
      <c r="M1519" s="163" t="str">
        <f>CONCATENATE(H1519," ",F1519,"*",L1519,"мес.","*",I1519,"/",K1519,"чел.")</f>
        <v>36 зданий*12мес.*0,00040365/8чел.</v>
      </c>
      <c r="N1519" s="164">
        <f t="shared" ref="N1519:N1527" si="326">N79</f>
        <v>4694.6300000000019</v>
      </c>
      <c r="O1519" s="165">
        <f>MROUND(G1519*N1519,0.000001)</f>
        <v>102.32932</v>
      </c>
      <c r="P1519" s="166"/>
      <c r="Q1519" s="166">
        <f t="shared" si="321"/>
        <v>818.63455999999996</v>
      </c>
      <c r="R1519" s="71"/>
    </row>
    <row r="1520" spans="1:18" s="61" customFormat="1" ht="47.25" x14ac:dyDescent="0.25">
      <c r="A1520" s="358"/>
      <c r="B1520" s="361"/>
      <c r="C1520" s="364"/>
      <c r="D1520" s="156" t="s">
        <v>229</v>
      </c>
      <c r="E1520" s="156" t="s">
        <v>60</v>
      </c>
      <c r="F1520" s="156" t="s">
        <v>60</v>
      </c>
      <c r="G1520" s="238">
        <f>MROUND(H1520*L1520*I1520/K1520,0.000001)</f>
        <v>0.120792</v>
      </c>
      <c r="H1520" s="158">
        <f>H80</f>
        <v>2394</v>
      </c>
      <c r="I1520" s="159">
        <f>I1519</f>
        <v>4.0365000000000003E-4</v>
      </c>
      <c r="J1520" s="160"/>
      <c r="K1520" s="161">
        <f>K1519</f>
        <v>8</v>
      </c>
      <c r="L1520" s="250">
        <v>1</v>
      </c>
      <c r="M1520" s="163" t="str">
        <f t="shared" ref="M1520:M1527" si="327">CONCATENATE(H1520," ",F1520,"*",I1520,"/",K1520,"чел.")</f>
        <v>2394 шт.*0,00040365/8чел.</v>
      </c>
      <c r="N1520" s="164">
        <f t="shared" si="326"/>
        <v>163.5</v>
      </c>
      <c r="O1520" s="165">
        <f>MROUND(G1520*N1520,0.000001)</f>
        <v>19.749492</v>
      </c>
      <c r="P1520" s="166"/>
      <c r="Q1520" s="166">
        <f t="shared" si="321"/>
        <v>157.995936</v>
      </c>
      <c r="R1520" s="71"/>
    </row>
    <row r="1521" spans="1:18" s="61" customFormat="1" ht="47.25" x14ac:dyDescent="0.25">
      <c r="A1521" s="358"/>
      <c r="B1521" s="361"/>
      <c r="C1521" s="364"/>
      <c r="D1521" s="156" t="s">
        <v>405</v>
      </c>
      <c r="E1521" s="156" t="s">
        <v>60</v>
      </c>
      <c r="F1521" s="156" t="s">
        <v>406</v>
      </c>
      <c r="G1521" s="238">
        <f>MROUND(H1521*L1521*I1521/K1521,0.00000001)</f>
        <v>1.81643E-3</v>
      </c>
      <c r="H1521" s="158">
        <f>H201</f>
        <v>36</v>
      </c>
      <c r="I1521" s="159">
        <f>I1520</f>
        <v>4.0365000000000003E-4</v>
      </c>
      <c r="J1521" s="160"/>
      <c r="K1521" s="161">
        <f>K1520</f>
        <v>8</v>
      </c>
      <c r="L1521" s="250">
        <v>1</v>
      </c>
      <c r="M1521" s="163" t="str">
        <f t="shared" si="327"/>
        <v>36 лицензий*0,00040365/8чел.</v>
      </c>
      <c r="N1521" s="164">
        <f t="shared" si="326"/>
        <v>11990</v>
      </c>
      <c r="O1521" s="165">
        <f t="shared" ref="O1521:O1530" si="328">MROUND(G1521*N1521,0.000001)</f>
        <v>21.778995999999999</v>
      </c>
      <c r="P1521" s="166"/>
      <c r="Q1521" s="166">
        <f t="shared" si="321"/>
        <v>174.23196799999999</v>
      </c>
      <c r="R1521" s="71"/>
    </row>
    <row r="1522" spans="1:18" s="61" customFormat="1" ht="63" x14ac:dyDescent="0.25">
      <c r="A1522" s="358"/>
      <c r="B1522" s="361"/>
      <c r="C1522" s="364"/>
      <c r="D1522" s="156" t="s">
        <v>39</v>
      </c>
      <c r="E1522" s="156" t="s">
        <v>20</v>
      </c>
      <c r="F1522" s="156" t="s">
        <v>234</v>
      </c>
      <c r="G1522" s="238">
        <f>MROUND(H1522*L1522*I1522/K1522,0.000000001)</f>
        <v>5.9538380000000004E-3</v>
      </c>
      <c r="H1522" s="158">
        <f>H1042</f>
        <v>118</v>
      </c>
      <c r="I1522" s="159">
        <f>I1520</f>
        <v>4.0365000000000003E-4</v>
      </c>
      <c r="J1522" s="160"/>
      <c r="K1522" s="161">
        <f>K1520</f>
        <v>8</v>
      </c>
      <c r="L1522" s="250">
        <v>1</v>
      </c>
      <c r="M1522" s="163" t="str">
        <f t="shared" si="327"/>
        <v>118 чел(заявленная потребность руководителями учреждений)*0,00040365/8чел.</v>
      </c>
      <c r="N1522" s="164">
        <f t="shared" si="326"/>
        <v>763</v>
      </c>
      <c r="O1522" s="165">
        <f t="shared" si="328"/>
        <v>4.5427780000000002</v>
      </c>
      <c r="P1522" s="166"/>
      <c r="Q1522" s="166">
        <f t="shared" si="321"/>
        <v>36.342224000000002</v>
      </c>
      <c r="R1522" s="71"/>
    </row>
    <row r="1523" spans="1:18" s="61" customFormat="1" ht="63" x14ac:dyDescent="0.25">
      <c r="A1523" s="358"/>
      <c r="B1523" s="361"/>
      <c r="C1523" s="364"/>
      <c r="D1523" s="156" t="s">
        <v>40</v>
      </c>
      <c r="E1523" s="156" t="s">
        <v>20</v>
      </c>
      <c r="F1523" s="156" t="s">
        <v>234</v>
      </c>
      <c r="G1523" s="238">
        <f>MROUND(H1523*L1523*I1523/K1523,0.000000001)</f>
        <v>4.9951690000000007E-3</v>
      </c>
      <c r="H1523" s="158">
        <f>H1043</f>
        <v>99</v>
      </c>
      <c r="I1523" s="159">
        <f t="shared" ref="I1523:I1530" si="329">I1522</f>
        <v>4.0365000000000003E-4</v>
      </c>
      <c r="J1523" s="160"/>
      <c r="K1523" s="161">
        <f t="shared" ref="K1523:K1530" si="330">K1522</f>
        <v>8</v>
      </c>
      <c r="L1523" s="250">
        <v>1</v>
      </c>
      <c r="M1523" s="163" t="str">
        <f t="shared" si="327"/>
        <v>99 чел(заявленная потребность руководителями учреждений)*0,00040365/8чел.</v>
      </c>
      <c r="N1523" s="164">
        <f t="shared" si="326"/>
        <v>1585.4545454545455</v>
      </c>
      <c r="O1523" s="165">
        <f t="shared" si="328"/>
        <v>7.919613</v>
      </c>
      <c r="P1523" s="166"/>
      <c r="Q1523" s="166">
        <f t="shared" si="321"/>
        <v>63.356904</v>
      </c>
      <c r="R1523" s="71"/>
    </row>
    <row r="1524" spans="1:18" s="61" customFormat="1" ht="63" x14ac:dyDescent="0.25">
      <c r="A1524" s="358"/>
      <c r="B1524" s="361"/>
      <c r="C1524" s="364"/>
      <c r="D1524" s="156" t="s">
        <v>100</v>
      </c>
      <c r="E1524" s="156" t="s">
        <v>20</v>
      </c>
      <c r="F1524" s="156" t="s">
        <v>234</v>
      </c>
      <c r="G1524" s="238">
        <f>MROUND(H1524*L1524*I1524/K1524,0.0000000001)</f>
        <v>4.0869562999999998E-3</v>
      </c>
      <c r="H1524" s="158">
        <f>H1044</f>
        <v>81</v>
      </c>
      <c r="I1524" s="159">
        <f t="shared" si="329"/>
        <v>4.0365000000000003E-4</v>
      </c>
      <c r="J1524" s="160"/>
      <c r="K1524" s="161">
        <f t="shared" si="330"/>
        <v>8</v>
      </c>
      <c r="L1524" s="250">
        <v>1</v>
      </c>
      <c r="M1524" s="163" t="str">
        <f t="shared" si="327"/>
        <v>81 чел(заявленная потребность руководителями учреждений)*0,00040365/8чел.</v>
      </c>
      <c r="N1524" s="164">
        <f t="shared" si="326"/>
        <v>3488</v>
      </c>
      <c r="O1524" s="165">
        <f t="shared" si="328"/>
        <v>14.255303999999999</v>
      </c>
      <c r="P1524" s="166"/>
      <c r="Q1524" s="166">
        <f t="shared" si="321"/>
        <v>114.04243199999999</v>
      </c>
      <c r="R1524" s="71"/>
    </row>
    <row r="1525" spans="1:18" s="61" customFormat="1" ht="110.25" x14ac:dyDescent="0.25">
      <c r="A1525" s="358"/>
      <c r="B1525" s="361"/>
      <c r="C1525" s="364"/>
      <c r="D1525" s="156" t="s">
        <v>235</v>
      </c>
      <c r="E1525" s="156" t="s">
        <v>50</v>
      </c>
      <c r="F1525" s="156" t="s">
        <v>230</v>
      </c>
      <c r="G1525" s="238">
        <f>MROUND(H1525*L1525*I1525/K1525,0.00000001)</f>
        <v>1.81643E-3</v>
      </c>
      <c r="H1525" s="158">
        <f>H1285</f>
        <v>36</v>
      </c>
      <c r="I1525" s="159">
        <f t="shared" si="329"/>
        <v>4.0365000000000003E-4</v>
      </c>
      <c r="J1525" s="160"/>
      <c r="K1525" s="161">
        <f t="shared" si="330"/>
        <v>8</v>
      </c>
      <c r="L1525" s="250">
        <v>1</v>
      </c>
      <c r="M1525" s="163" t="str">
        <f t="shared" si="327"/>
        <v>36 отчетов*0,00040365/8чел.</v>
      </c>
      <c r="N1525" s="164">
        <f t="shared" si="326"/>
        <v>6540</v>
      </c>
      <c r="O1525" s="165">
        <f t="shared" si="328"/>
        <v>11.879451999999999</v>
      </c>
      <c r="P1525" s="166"/>
      <c r="Q1525" s="166">
        <f t="shared" si="321"/>
        <v>95.03561599999999</v>
      </c>
      <c r="R1525" s="71"/>
    </row>
    <row r="1526" spans="1:18" s="61" customFormat="1" ht="63" x14ac:dyDescent="0.25">
      <c r="A1526" s="358"/>
      <c r="B1526" s="361"/>
      <c r="C1526" s="364"/>
      <c r="D1526" s="156" t="s">
        <v>42</v>
      </c>
      <c r="E1526" s="156" t="s">
        <v>51</v>
      </c>
      <c r="F1526" s="156" t="s">
        <v>407</v>
      </c>
      <c r="G1526" s="238">
        <f>MROUND(H1526*L1526*I1526/K1526,0.000001)</f>
        <v>1.0293E-2</v>
      </c>
      <c r="H1526" s="158">
        <f>H1046</f>
        <v>204</v>
      </c>
      <c r="I1526" s="159">
        <f t="shared" si="329"/>
        <v>4.0365000000000003E-4</v>
      </c>
      <c r="J1526" s="160"/>
      <c r="K1526" s="161">
        <f t="shared" si="330"/>
        <v>8</v>
      </c>
      <c r="L1526" s="250">
        <v>1</v>
      </c>
      <c r="M1526" s="163" t="str">
        <f t="shared" si="327"/>
        <v>204 ед (заявленная потребность руководителями учреждений)*0,00040365/8чел.</v>
      </c>
      <c r="N1526" s="164">
        <f t="shared" si="326"/>
        <v>1090</v>
      </c>
      <c r="O1526" s="165">
        <f t="shared" si="328"/>
        <v>11.21937</v>
      </c>
      <c r="P1526" s="166"/>
      <c r="Q1526" s="166">
        <f t="shared" si="321"/>
        <v>89.754959999999997</v>
      </c>
      <c r="R1526" s="71"/>
    </row>
    <row r="1527" spans="1:18" s="61" customFormat="1" ht="31.5" x14ac:dyDescent="0.25">
      <c r="A1527" s="358"/>
      <c r="B1527" s="361"/>
      <c r="C1527" s="364"/>
      <c r="D1527" s="156" t="s">
        <v>43</v>
      </c>
      <c r="E1527" s="156" t="s">
        <v>52</v>
      </c>
      <c r="F1527" s="156" t="s">
        <v>231</v>
      </c>
      <c r="G1527" s="238">
        <f>MROUND(H1527*L1527*I1527/K1527,0.000000001)</f>
        <v>1.8164250000000002E-3</v>
      </c>
      <c r="H1527" s="158">
        <f>H447</f>
        <v>36</v>
      </c>
      <c r="I1527" s="159">
        <f t="shared" si="329"/>
        <v>4.0365000000000003E-4</v>
      </c>
      <c r="J1527" s="160"/>
      <c r="K1527" s="161">
        <f t="shared" si="330"/>
        <v>8</v>
      </c>
      <c r="L1527" s="250">
        <v>1</v>
      </c>
      <c r="M1527" s="163" t="str">
        <f t="shared" si="327"/>
        <v>36 ЭЦП*0,00040365/8чел.</v>
      </c>
      <c r="N1527" s="164">
        <f t="shared" si="326"/>
        <v>7743.3599999999924</v>
      </c>
      <c r="O1527" s="165">
        <f t="shared" si="328"/>
        <v>14.065232999999999</v>
      </c>
      <c r="P1527" s="166"/>
      <c r="Q1527" s="166">
        <f t="shared" si="321"/>
        <v>112.52186399999999</v>
      </c>
      <c r="R1527" s="71"/>
    </row>
    <row r="1528" spans="1:18" s="61" customFormat="1" ht="47.25" x14ac:dyDescent="0.25">
      <c r="A1528" s="358"/>
      <c r="B1528" s="361"/>
      <c r="C1528" s="364"/>
      <c r="D1528" s="156" t="s">
        <v>44</v>
      </c>
      <c r="E1528" s="156" t="s">
        <v>85</v>
      </c>
      <c r="F1528" s="156" t="s">
        <v>232</v>
      </c>
      <c r="G1528" s="238">
        <f>MROUND(H1528*L1528*I1528/K1528,0.000001)</f>
        <v>6.1355E-2</v>
      </c>
      <c r="H1528" s="158">
        <f>H448</f>
        <v>1216</v>
      </c>
      <c r="I1528" s="159">
        <f t="shared" si="329"/>
        <v>4.0365000000000003E-4</v>
      </c>
      <c r="J1528" s="160"/>
      <c r="K1528" s="161">
        <f t="shared" si="330"/>
        <v>8</v>
      </c>
      <c r="L1528" s="250">
        <v>1</v>
      </c>
      <c r="M1528" s="163" t="str">
        <f>CONCATENATE(H1528," ",F1528,"*",L1528,"мес.","*",I1528,"/",K1528,"чел.")</f>
        <v>1216 мед.осмотров в мес.*1мес.*0,00040365/8чел.</v>
      </c>
      <c r="N1528" s="164">
        <f>N448</f>
        <v>56.680000000000007</v>
      </c>
      <c r="O1528" s="165">
        <f t="shared" si="328"/>
        <v>3.4776009999999999</v>
      </c>
      <c r="P1528" s="166"/>
      <c r="Q1528" s="166">
        <f t="shared" si="321"/>
        <v>27.820808</v>
      </c>
      <c r="R1528" s="71"/>
    </row>
    <row r="1529" spans="1:18" s="61" customFormat="1" ht="63" x14ac:dyDescent="0.25">
      <c r="A1529" s="358"/>
      <c r="B1529" s="361"/>
      <c r="C1529" s="364"/>
      <c r="D1529" s="156" t="s">
        <v>45</v>
      </c>
      <c r="E1529" s="156" t="s">
        <v>53</v>
      </c>
      <c r="F1529" s="156" t="s">
        <v>233</v>
      </c>
      <c r="G1529" s="238">
        <f>MROUND(H1529*L1529*I1529/K1529,0.000000001)</f>
        <v>2.4219000000000003E-3</v>
      </c>
      <c r="H1529" s="158">
        <f>H1049</f>
        <v>4</v>
      </c>
      <c r="I1529" s="159">
        <f t="shared" si="329"/>
        <v>4.0365000000000003E-4</v>
      </c>
      <c r="J1529" s="160"/>
      <c r="K1529" s="161">
        <f t="shared" si="330"/>
        <v>8</v>
      </c>
      <c r="L1529" s="250">
        <v>12</v>
      </c>
      <c r="M1529" s="163" t="str">
        <f>CONCATENATE(H1529," ",F1529,"*",L1529,"мес.","*",I1529,"/",K1529,"чел.")</f>
        <v>4  машины, оборудованных системой ГЛОНАСС*12мес.*0,00040365/8чел.</v>
      </c>
      <c r="N1529" s="164">
        <f>N89</f>
        <v>880.71999999999991</v>
      </c>
      <c r="O1529" s="165">
        <f t="shared" si="328"/>
        <v>2.133016</v>
      </c>
      <c r="P1529" s="166"/>
      <c r="Q1529" s="166">
        <f t="shared" si="321"/>
        <v>17.064128</v>
      </c>
      <c r="R1529" s="71"/>
    </row>
    <row r="1530" spans="1:18" s="61" customFormat="1" ht="31.5" x14ac:dyDescent="0.25">
      <c r="A1530" s="358"/>
      <c r="B1530" s="361"/>
      <c r="C1530" s="364"/>
      <c r="D1530" s="156" t="s">
        <v>408</v>
      </c>
      <c r="E1530" s="156" t="s">
        <v>20</v>
      </c>
      <c r="F1530" s="156" t="s">
        <v>20</v>
      </c>
      <c r="G1530" s="238">
        <f>MROUND(H1530*L1530*I1530/K1530,0.000000001)</f>
        <v>8.6381100000000002E-2</v>
      </c>
      <c r="H1530" s="158">
        <f>H90</f>
        <v>1712</v>
      </c>
      <c r="I1530" s="159">
        <f t="shared" si="329"/>
        <v>4.0365000000000003E-4</v>
      </c>
      <c r="J1530" s="160"/>
      <c r="K1530" s="161">
        <f t="shared" si="330"/>
        <v>8</v>
      </c>
      <c r="L1530" s="250">
        <v>1</v>
      </c>
      <c r="M1530" s="163" t="str">
        <f>CONCATENATE(H1530," ",F1530,"*",L1530," раз в год","*",I1530,"/",K1530,"чел.")</f>
        <v>1712 чел.*1 раз в год*0,00040365/8чел.</v>
      </c>
      <c r="N1530" s="164">
        <f>N90</f>
        <v>545</v>
      </c>
      <c r="O1530" s="165">
        <f t="shared" si="328"/>
        <v>47.0777</v>
      </c>
      <c r="P1530" s="166"/>
      <c r="Q1530" s="166">
        <f t="shared" si="321"/>
        <v>376.6216</v>
      </c>
      <c r="R1530" s="71"/>
    </row>
    <row r="1531" spans="1:18" s="61" customFormat="1" x14ac:dyDescent="0.25">
      <c r="A1531" s="358"/>
      <c r="B1531" s="361"/>
      <c r="C1531" s="364"/>
      <c r="D1531" s="156" t="s">
        <v>373</v>
      </c>
      <c r="E1531" s="156" t="s">
        <v>28</v>
      </c>
      <c r="F1531" s="156" t="s">
        <v>28</v>
      </c>
      <c r="G1531" s="157">
        <f>MROUND(H1531*L1531*I1531/K1531,0.000000001)</f>
        <v>1.8164250000000002E-3</v>
      </c>
      <c r="H1531" s="158">
        <f>H92</f>
        <v>36</v>
      </c>
      <c r="I1531" s="159">
        <f>I1529</f>
        <v>4.0365000000000003E-4</v>
      </c>
      <c r="J1531" s="160"/>
      <c r="K1531" s="161">
        <f>K1529</f>
        <v>8</v>
      </c>
      <c r="L1531" s="162">
        <v>1</v>
      </c>
      <c r="M1531" s="163" t="str">
        <f>CONCATENATE(H1531," ",F1531,"*",L1531,"мес.","*",I1531,"/",K1531,"чел.")</f>
        <v>36 шт*1мес.*0,00040365/8чел.</v>
      </c>
      <c r="N1531" s="164">
        <f>N92</f>
        <v>24000</v>
      </c>
      <c r="O1531" s="165">
        <f>MROUND(G1531*N1531,0.000000001)</f>
        <v>43.594200000000001</v>
      </c>
      <c r="P1531" s="166"/>
      <c r="Q1531" s="166">
        <f t="shared" si="321"/>
        <v>348.75360000000001</v>
      </c>
      <c r="R1531" s="71"/>
    </row>
    <row r="1532" spans="1:18" s="61" customFormat="1" ht="31.5" x14ac:dyDescent="0.25">
      <c r="A1532" s="358"/>
      <c r="B1532" s="361"/>
      <c r="C1532" s="364"/>
      <c r="D1532" s="156" t="s">
        <v>106</v>
      </c>
      <c r="E1532" s="156" t="s">
        <v>107</v>
      </c>
      <c r="F1532" s="156"/>
      <c r="G1532" s="238">
        <f>MROUND(H1532*L1532*I1532/K1532,0.000000001)</f>
        <v>0</v>
      </c>
      <c r="H1532" s="158">
        <f>H91</f>
        <v>0</v>
      </c>
      <c r="I1532" s="159">
        <f>I1529</f>
        <v>4.0365000000000003E-4</v>
      </c>
      <c r="J1532" s="160"/>
      <c r="K1532" s="161">
        <f>K1529</f>
        <v>8</v>
      </c>
      <c r="L1532" s="250">
        <f>L452</f>
        <v>0</v>
      </c>
      <c r="M1532" s="163"/>
      <c r="N1532" s="164">
        <f>N91</f>
        <v>1256.0400600000007</v>
      </c>
      <c r="O1532" s="165">
        <f>MROUND(G1532*N1532,0.000000001)</f>
        <v>0</v>
      </c>
      <c r="P1532" s="166"/>
      <c r="Q1532" s="166">
        <f t="shared" si="321"/>
        <v>0</v>
      </c>
      <c r="R1532" s="71"/>
    </row>
    <row r="1533" spans="1:18" s="62" customFormat="1" x14ac:dyDescent="0.25">
      <c r="A1533" s="358"/>
      <c r="B1533" s="361"/>
      <c r="C1533" s="245" t="s">
        <v>296</v>
      </c>
      <c r="D1533" s="240"/>
      <c r="E1533" s="240"/>
      <c r="F1533" s="240"/>
      <c r="G1533" s="227"/>
      <c r="H1533" s="241"/>
      <c r="I1533" s="206"/>
      <c r="J1533" s="228"/>
      <c r="K1533" s="207"/>
      <c r="L1533" s="257"/>
      <c r="M1533" s="209"/>
      <c r="N1533" s="210"/>
      <c r="O1533" s="198">
        <f>SUM(O1519:O1532)</f>
        <v>304.02207499999997</v>
      </c>
      <c r="P1533" s="267"/>
      <c r="Q1533" s="166"/>
      <c r="R1533" s="71"/>
    </row>
    <row r="1534" spans="1:18" s="61" customFormat="1" ht="31.5" x14ac:dyDescent="0.25">
      <c r="A1534" s="358"/>
      <c r="B1534" s="361"/>
      <c r="C1534" s="252" t="s">
        <v>237</v>
      </c>
      <c r="D1534" s="156" t="s">
        <v>41</v>
      </c>
      <c r="E1534" s="156" t="s">
        <v>61</v>
      </c>
      <c r="F1534" s="156" t="s">
        <v>227</v>
      </c>
      <c r="G1534" s="238">
        <f>MROUND(H1534*L1534*I1534/K1534,0.000000001)</f>
        <v>2.0182500000000001E-4</v>
      </c>
      <c r="H1534" s="158">
        <f>H454</f>
        <v>4</v>
      </c>
      <c r="I1534" s="159">
        <f>I1532</f>
        <v>4.0365000000000003E-4</v>
      </c>
      <c r="J1534" s="160"/>
      <c r="K1534" s="161">
        <f>K1532</f>
        <v>8</v>
      </c>
      <c r="L1534" s="250">
        <v>1</v>
      </c>
      <c r="M1534" s="163" t="str">
        <f>CONCATENATE(H1534," ",F1534,"*",I1534,"/",K1534,"чел.")</f>
        <v>4 автобуса*0,00040365/8чел.</v>
      </c>
      <c r="N1534" s="164">
        <f>N94</f>
        <v>25724</v>
      </c>
      <c r="O1534" s="165">
        <f>MROUND(G1534*N1534,0.000001)</f>
        <v>5.1917460000000002</v>
      </c>
      <c r="P1534" s="166"/>
      <c r="Q1534" s="166">
        <f t="shared" si="321"/>
        <v>41.533968000000002</v>
      </c>
      <c r="R1534" s="71"/>
    </row>
    <row r="1535" spans="1:18" s="62" customFormat="1" x14ac:dyDescent="0.25">
      <c r="A1535" s="358"/>
      <c r="B1535" s="361"/>
      <c r="C1535" s="245" t="s">
        <v>297</v>
      </c>
      <c r="D1535" s="240"/>
      <c r="E1535" s="240"/>
      <c r="F1535" s="240"/>
      <c r="G1535" s="227"/>
      <c r="H1535" s="241"/>
      <c r="I1535" s="206"/>
      <c r="J1535" s="228"/>
      <c r="K1535" s="207"/>
      <c r="L1535" s="257"/>
      <c r="M1535" s="209"/>
      <c r="N1535" s="210"/>
      <c r="O1535" s="198">
        <f>SUM(O1534)</f>
        <v>5.1917460000000002</v>
      </c>
      <c r="P1535" s="267"/>
      <c r="Q1535" s="166"/>
      <c r="R1535" s="71"/>
    </row>
    <row r="1536" spans="1:18" s="61" customFormat="1" ht="78.75" x14ac:dyDescent="0.25">
      <c r="A1536" s="358"/>
      <c r="B1536" s="361"/>
      <c r="C1536" s="221" t="s">
        <v>236</v>
      </c>
      <c r="D1536" s="156" t="s">
        <v>19</v>
      </c>
      <c r="E1536" s="181" t="s">
        <v>20</v>
      </c>
      <c r="F1536" s="181" t="s">
        <v>238</v>
      </c>
      <c r="G1536" s="238">
        <f>MROUND(H1536*L1536*I1536/K1536,0.000001)</f>
        <v>0</v>
      </c>
      <c r="H1536" s="158"/>
      <c r="I1536" s="159">
        <f>I1532</f>
        <v>4.0365000000000003E-4</v>
      </c>
      <c r="J1536" s="160"/>
      <c r="K1536" s="161">
        <f>K1532</f>
        <v>8</v>
      </c>
      <c r="L1536" s="250"/>
      <c r="M1536" s="163"/>
      <c r="N1536" s="164"/>
      <c r="O1536" s="165">
        <f>MROUND(G1536*N1536,0.000001)</f>
        <v>0</v>
      </c>
      <c r="P1536" s="166"/>
      <c r="Q1536" s="166">
        <f t="shared" si="321"/>
        <v>0</v>
      </c>
      <c r="R1536" s="71"/>
    </row>
    <row r="1537" spans="1:18" s="62" customFormat="1" x14ac:dyDescent="0.25">
      <c r="A1537" s="358"/>
      <c r="B1537" s="361"/>
      <c r="C1537" s="245" t="s">
        <v>298</v>
      </c>
      <c r="D1537" s="240"/>
      <c r="E1537" s="253"/>
      <c r="F1537" s="253"/>
      <c r="G1537" s="227"/>
      <c r="H1537" s="241"/>
      <c r="I1537" s="206"/>
      <c r="J1537" s="228"/>
      <c r="K1537" s="207"/>
      <c r="L1537" s="257"/>
      <c r="M1537" s="209"/>
      <c r="N1537" s="210"/>
      <c r="O1537" s="198">
        <f>SUM(O1536)</f>
        <v>0</v>
      </c>
      <c r="P1537" s="267"/>
      <c r="Q1537" s="166"/>
      <c r="R1537" s="71"/>
    </row>
    <row r="1538" spans="1:18" s="61" customFormat="1" ht="30" x14ac:dyDescent="0.25">
      <c r="A1538" s="358"/>
      <c r="B1538" s="361"/>
      <c r="C1538" s="365" t="s">
        <v>81</v>
      </c>
      <c r="D1538" s="254" t="s">
        <v>410</v>
      </c>
      <c r="E1538" s="156" t="s">
        <v>28</v>
      </c>
      <c r="F1538" s="156" t="s">
        <v>28</v>
      </c>
      <c r="G1538" s="238">
        <f>MROUND(H1538*L1538*I1538/K1538,0.0000000001)</f>
        <v>3.5319380000000002E-4</v>
      </c>
      <c r="H1538" s="158">
        <f>H98</f>
        <v>7</v>
      </c>
      <c r="I1538" s="159">
        <f>I1532</f>
        <v>4.0365000000000003E-4</v>
      </c>
      <c r="J1538" s="160"/>
      <c r="K1538" s="161">
        <f>K1532</f>
        <v>8</v>
      </c>
      <c r="L1538" s="250">
        <v>1</v>
      </c>
      <c r="M1538" s="163" t="str">
        <f>CONCATENATE(H1538," ",F1538,"*",I1538,"/",K1538,"чел.")</f>
        <v>7 шт*0,00040365/8чел.</v>
      </c>
      <c r="N1538" s="164">
        <f>N98</f>
        <v>152142.85714285713</v>
      </c>
      <c r="O1538" s="165">
        <f>MROUND(G1538*N1538,0.000001)</f>
        <v>53.735914000000001</v>
      </c>
      <c r="P1538" s="166"/>
      <c r="Q1538" s="166">
        <f t="shared" si="321"/>
        <v>429.88731200000001</v>
      </c>
      <c r="R1538" s="71"/>
    </row>
    <row r="1539" spans="1:18" s="61" customFormat="1" x14ac:dyDescent="0.25">
      <c r="A1539" s="358"/>
      <c r="B1539" s="361"/>
      <c r="C1539" s="366"/>
      <c r="D1539" s="254" t="s">
        <v>325</v>
      </c>
      <c r="E1539" s="156" t="s">
        <v>28</v>
      </c>
      <c r="F1539" s="156" t="s">
        <v>28</v>
      </c>
      <c r="G1539" s="157">
        <f>MROUND(H1539*L1539*I1539/K1539,0.0000000001)</f>
        <v>1.1604938000000001E-3</v>
      </c>
      <c r="H1539" s="158">
        <f>$H$99</f>
        <v>23</v>
      </c>
      <c r="I1539" s="159">
        <f>I1538</f>
        <v>4.0365000000000003E-4</v>
      </c>
      <c r="J1539" s="160"/>
      <c r="K1539" s="161">
        <f>K1538</f>
        <v>8</v>
      </c>
      <c r="L1539" s="250">
        <v>1</v>
      </c>
      <c r="M1539" s="163" t="str">
        <f>CONCATENATE(H1539," ",F1539,"*",I1539,"/",K1539,"чел.")</f>
        <v>23 шт*0,00040365/8чел.</v>
      </c>
      <c r="N1539" s="164">
        <f>$N$99</f>
        <v>229039.13043478262</v>
      </c>
      <c r="O1539" s="165">
        <f>MROUND(G1539*N1539,0.000001)</f>
        <v>265.79849100000001</v>
      </c>
      <c r="P1539" s="166"/>
      <c r="Q1539" s="166">
        <f t="shared" si="321"/>
        <v>2126.3879280000001</v>
      </c>
      <c r="R1539" s="71"/>
    </row>
    <row r="1540" spans="1:18" s="61" customFormat="1" ht="30" x14ac:dyDescent="0.25">
      <c r="A1540" s="358"/>
      <c r="B1540" s="361"/>
      <c r="C1540" s="366"/>
      <c r="D1540" s="254" t="s">
        <v>411</v>
      </c>
      <c r="E1540" s="156" t="s">
        <v>28</v>
      </c>
      <c r="F1540" s="156" t="s">
        <v>28</v>
      </c>
      <c r="G1540" s="238">
        <f>MROUND(H1540*L1540*I1540/K1540,0.00000001)</f>
        <v>3.5319000000000003E-4</v>
      </c>
      <c r="H1540" s="158">
        <f>$H$100</f>
        <v>7</v>
      </c>
      <c r="I1540" s="159">
        <f>I1538</f>
        <v>4.0365000000000003E-4</v>
      </c>
      <c r="J1540" s="160"/>
      <c r="K1540" s="161">
        <f>K1538</f>
        <v>8</v>
      </c>
      <c r="L1540" s="250">
        <v>1</v>
      </c>
      <c r="M1540" s="163" t="str">
        <f t="shared" ref="M1540:M1561" si="331">CONCATENATE(H1540," ",F1540,"*",I1540,"/",K1540,"чел.")</f>
        <v>7 шт*0,00040365/8чел.</v>
      </c>
      <c r="N1540" s="164">
        <f t="shared" ref="N1540:N1554" si="332">N100</f>
        <v>82142.857142857145</v>
      </c>
      <c r="O1540" s="165">
        <f t="shared" ref="O1540:O1561" si="333">MROUND(G1540*N1540,0.000001)</f>
        <v>29.012035999999998</v>
      </c>
      <c r="P1540" s="166"/>
      <c r="Q1540" s="166">
        <f t="shared" si="321"/>
        <v>232.09628799999999</v>
      </c>
      <c r="R1540" s="71"/>
    </row>
    <row r="1541" spans="1:18" s="61" customFormat="1" x14ac:dyDescent="0.25">
      <c r="A1541" s="358"/>
      <c r="B1541" s="361"/>
      <c r="C1541" s="366"/>
      <c r="D1541" s="255" t="s">
        <v>412</v>
      </c>
      <c r="E1541" s="156" t="s">
        <v>28</v>
      </c>
      <c r="F1541" s="156" t="s">
        <v>28</v>
      </c>
      <c r="G1541" s="238">
        <f>MROUND(H1541*L1541*I1541/K1541,0.00000001)</f>
        <v>1.76597E-3</v>
      </c>
      <c r="H1541" s="158">
        <f>$H$101</f>
        <v>35</v>
      </c>
      <c r="I1541" s="159">
        <f>I1540</f>
        <v>4.0365000000000003E-4</v>
      </c>
      <c r="J1541" s="160"/>
      <c r="K1541" s="161">
        <f>K1540</f>
        <v>8</v>
      </c>
      <c r="L1541" s="250">
        <v>1</v>
      </c>
      <c r="M1541" s="163" t="str">
        <f t="shared" si="331"/>
        <v>35 шт*0,00040365/8чел.</v>
      </c>
      <c r="N1541" s="164">
        <f t="shared" si="332"/>
        <v>126114.97142857143</v>
      </c>
      <c r="O1541" s="165">
        <f t="shared" si="333"/>
        <v>222.71525599999998</v>
      </c>
      <c r="P1541" s="166"/>
      <c r="Q1541" s="166">
        <f t="shared" ref="Q1541:Q1600" si="334">O1541*K1541</f>
        <v>1781.7220479999999</v>
      </c>
      <c r="R1541" s="71"/>
    </row>
    <row r="1542" spans="1:18" s="61" customFormat="1" ht="31.5" x14ac:dyDescent="0.25">
      <c r="A1542" s="358"/>
      <c r="B1542" s="361"/>
      <c r="C1542" s="366"/>
      <c r="D1542" s="255" t="s">
        <v>413</v>
      </c>
      <c r="E1542" s="156" t="s">
        <v>28</v>
      </c>
      <c r="F1542" s="156" t="s">
        <v>28</v>
      </c>
      <c r="G1542" s="238">
        <f>MROUND(H1542*L1542*I1542/K1542,0.0000000001)</f>
        <v>7.5684380000000005E-4</v>
      </c>
      <c r="H1542" s="158">
        <f>H102</f>
        <v>15</v>
      </c>
      <c r="I1542" s="159">
        <f>I1541</f>
        <v>4.0365000000000003E-4</v>
      </c>
      <c r="J1542" s="160"/>
      <c r="K1542" s="161">
        <f>K1541</f>
        <v>8</v>
      </c>
      <c r="L1542" s="250">
        <v>1</v>
      </c>
      <c r="M1542" s="163" t="str">
        <f t="shared" si="331"/>
        <v>15 шт*0,00040365/8чел.</v>
      </c>
      <c r="N1542" s="164">
        <f t="shared" si="332"/>
        <v>75333.333333333328</v>
      </c>
      <c r="O1542" s="165">
        <f t="shared" si="333"/>
        <v>57.015566</v>
      </c>
      <c r="P1542" s="166"/>
      <c r="Q1542" s="166">
        <f t="shared" si="334"/>
        <v>456.124528</v>
      </c>
      <c r="R1542" s="71"/>
    </row>
    <row r="1543" spans="1:18" s="61" customFormat="1" x14ac:dyDescent="0.25">
      <c r="A1543" s="358"/>
      <c r="B1543" s="361"/>
      <c r="C1543" s="366"/>
      <c r="D1543" s="254" t="s">
        <v>109</v>
      </c>
      <c r="E1543" s="156" t="s">
        <v>28</v>
      </c>
      <c r="F1543" s="156" t="s">
        <v>28</v>
      </c>
      <c r="G1543" s="238">
        <f>MROUND(H1543*L1543*I1543/K1543,0.0000000001)</f>
        <v>8.0730000000000005E-4</v>
      </c>
      <c r="H1543" s="158">
        <f>$H$103</f>
        <v>16</v>
      </c>
      <c r="I1543" s="159">
        <f>I1542</f>
        <v>4.0365000000000003E-4</v>
      </c>
      <c r="J1543" s="160"/>
      <c r="K1543" s="161">
        <f>K1542</f>
        <v>8</v>
      </c>
      <c r="L1543" s="250">
        <v>1</v>
      </c>
      <c r="M1543" s="163" t="str">
        <f t="shared" si="331"/>
        <v>16 шт*0,00040365/8чел.</v>
      </c>
      <c r="N1543" s="164">
        <f t="shared" si="332"/>
        <v>169687.5</v>
      </c>
      <c r="O1543" s="165">
        <f t="shared" si="333"/>
        <v>136.988719</v>
      </c>
      <c r="P1543" s="166"/>
      <c r="Q1543" s="166">
        <f t="shared" si="334"/>
        <v>1095.909752</v>
      </c>
      <c r="R1543" s="71"/>
    </row>
    <row r="1544" spans="1:18" s="61" customFormat="1" x14ac:dyDescent="0.25">
      <c r="A1544" s="358"/>
      <c r="B1544" s="361"/>
      <c r="C1544" s="366"/>
      <c r="D1544" s="254" t="s">
        <v>414</v>
      </c>
      <c r="E1544" s="156" t="s">
        <v>28</v>
      </c>
      <c r="F1544" s="156" t="s">
        <v>28</v>
      </c>
      <c r="G1544" s="238">
        <f>MROUND(H1544*L1544*I1544/K1544,0.0000000001)</f>
        <v>4.5410630000000001E-4</v>
      </c>
      <c r="H1544" s="158">
        <f>$H$104</f>
        <v>9</v>
      </c>
      <c r="I1544" s="159">
        <f>I1542</f>
        <v>4.0365000000000003E-4</v>
      </c>
      <c r="J1544" s="160"/>
      <c r="K1544" s="161">
        <f>K1542</f>
        <v>8</v>
      </c>
      <c r="L1544" s="250">
        <v>1</v>
      </c>
      <c r="M1544" s="163" t="str">
        <f t="shared" si="331"/>
        <v>9 шт*0,00040365/8чел.</v>
      </c>
      <c r="N1544" s="164">
        <f t="shared" si="332"/>
        <v>89333.333333333328</v>
      </c>
      <c r="O1544" s="165">
        <f t="shared" si="333"/>
        <v>40.566828999999998</v>
      </c>
      <c r="P1544" s="166"/>
      <c r="Q1544" s="166">
        <f t="shared" si="334"/>
        <v>324.53463199999999</v>
      </c>
      <c r="R1544" s="71"/>
    </row>
    <row r="1545" spans="1:18" s="61" customFormat="1" x14ac:dyDescent="0.25">
      <c r="A1545" s="358"/>
      <c r="B1545" s="361"/>
      <c r="C1545" s="366"/>
      <c r="D1545" s="254" t="s">
        <v>415</v>
      </c>
      <c r="E1545" s="156" t="s">
        <v>28</v>
      </c>
      <c r="F1545" s="156" t="s">
        <v>28</v>
      </c>
      <c r="G1545" s="238">
        <f>MROUND(H1545*L1545*I1545/K1545,0.00000001)</f>
        <v>5.5502000000000004E-4</v>
      </c>
      <c r="H1545" s="158">
        <f>$H$105</f>
        <v>11</v>
      </c>
      <c r="I1545" s="159">
        <f t="shared" ref="I1545:I1554" si="335">I1543</f>
        <v>4.0365000000000003E-4</v>
      </c>
      <c r="J1545" s="160"/>
      <c r="K1545" s="161">
        <f t="shared" ref="K1545:K1554" si="336">K1543</f>
        <v>8</v>
      </c>
      <c r="L1545" s="250">
        <v>1</v>
      </c>
      <c r="M1545" s="163" t="str">
        <f t="shared" si="331"/>
        <v>11 шт*0,00040365/8чел.</v>
      </c>
      <c r="N1545" s="164">
        <f t="shared" si="332"/>
        <v>122181.81818181818</v>
      </c>
      <c r="O1545" s="165">
        <f t="shared" si="333"/>
        <v>67.813352999999992</v>
      </c>
      <c r="P1545" s="166"/>
      <c r="Q1545" s="166">
        <f t="shared" si="334"/>
        <v>542.50682399999994</v>
      </c>
      <c r="R1545" s="71"/>
    </row>
    <row r="1546" spans="1:18" s="61" customFormat="1" x14ac:dyDescent="0.25">
      <c r="A1546" s="358"/>
      <c r="B1546" s="361"/>
      <c r="C1546" s="366"/>
      <c r="D1546" s="254" t="s">
        <v>416</v>
      </c>
      <c r="E1546" s="156" t="s">
        <v>28</v>
      </c>
      <c r="F1546" s="156" t="s">
        <v>28</v>
      </c>
      <c r="G1546" s="238">
        <f>MROUND(H1546*L1546*I1546/K1546,0.000000001)</f>
        <v>1.009125E-3</v>
      </c>
      <c r="H1546" s="246">
        <f>$H$106</f>
        <v>20</v>
      </c>
      <c r="I1546" s="159">
        <f t="shared" si="335"/>
        <v>4.0365000000000003E-4</v>
      </c>
      <c r="J1546" s="160"/>
      <c r="K1546" s="161">
        <f t="shared" si="336"/>
        <v>8</v>
      </c>
      <c r="L1546" s="250">
        <v>1</v>
      </c>
      <c r="M1546" s="163" t="str">
        <f t="shared" si="331"/>
        <v>20 шт*0,00040365/8чел.</v>
      </c>
      <c r="N1546" s="164">
        <f t="shared" si="332"/>
        <v>52500</v>
      </c>
      <c r="O1546" s="165">
        <f t="shared" si="333"/>
        <v>52.979062999999996</v>
      </c>
      <c r="P1546" s="166"/>
      <c r="Q1546" s="166">
        <f t="shared" si="334"/>
        <v>423.83250399999997</v>
      </c>
      <c r="R1546" s="71"/>
    </row>
    <row r="1547" spans="1:18" s="61" customFormat="1" x14ac:dyDescent="0.25">
      <c r="A1547" s="358"/>
      <c r="B1547" s="361"/>
      <c r="C1547" s="366"/>
      <c r="D1547" s="254" t="s">
        <v>417</v>
      </c>
      <c r="E1547" s="156" t="s">
        <v>28</v>
      </c>
      <c r="F1547" s="156" t="s">
        <v>28</v>
      </c>
      <c r="G1547" s="238">
        <f>MROUND(H1547*L1547*I1547/K1547,0.00000001)</f>
        <v>8.5776000000000005E-4</v>
      </c>
      <c r="H1547" s="158">
        <f>$H$107</f>
        <v>17</v>
      </c>
      <c r="I1547" s="159">
        <f t="shared" si="335"/>
        <v>4.0365000000000003E-4</v>
      </c>
      <c r="J1547" s="160"/>
      <c r="K1547" s="161">
        <f t="shared" si="336"/>
        <v>8</v>
      </c>
      <c r="L1547" s="250">
        <v>1</v>
      </c>
      <c r="M1547" s="163" t="str">
        <f t="shared" si="331"/>
        <v>17 шт*0,00040365/8чел.</v>
      </c>
      <c r="N1547" s="164">
        <f t="shared" si="332"/>
        <v>75000</v>
      </c>
      <c r="O1547" s="165">
        <f t="shared" si="333"/>
        <v>64.331999999999994</v>
      </c>
      <c r="P1547" s="166"/>
      <c r="Q1547" s="166">
        <f t="shared" si="334"/>
        <v>514.65599999999995</v>
      </c>
      <c r="R1547" s="71"/>
    </row>
    <row r="1548" spans="1:18" s="61" customFormat="1" ht="30" x14ac:dyDescent="0.25">
      <c r="A1548" s="358"/>
      <c r="B1548" s="361"/>
      <c r="C1548" s="366"/>
      <c r="D1548" s="254" t="s">
        <v>418</v>
      </c>
      <c r="E1548" s="156" t="s">
        <v>28</v>
      </c>
      <c r="F1548" s="156" t="s">
        <v>28</v>
      </c>
      <c r="G1548" s="238">
        <f>MROUND(H1548*L1548*I1548/K1548,0.00000001)</f>
        <v>4.5411000000000003E-4</v>
      </c>
      <c r="H1548" s="158">
        <f>H108</f>
        <v>9</v>
      </c>
      <c r="I1548" s="159">
        <f t="shared" si="335"/>
        <v>4.0365000000000003E-4</v>
      </c>
      <c r="J1548" s="160"/>
      <c r="K1548" s="161">
        <f t="shared" si="336"/>
        <v>8</v>
      </c>
      <c r="L1548" s="250">
        <v>1</v>
      </c>
      <c r="M1548" s="163" t="str">
        <f t="shared" si="331"/>
        <v>9 шт*0,00040365/8чел.</v>
      </c>
      <c r="N1548" s="164">
        <f t="shared" si="332"/>
        <v>66666.666666666672</v>
      </c>
      <c r="O1548" s="165">
        <f t="shared" si="333"/>
        <v>30.273999999999997</v>
      </c>
      <c r="P1548" s="166"/>
      <c r="Q1548" s="166">
        <f t="shared" si="334"/>
        <v>242.19199999999998</v>
      </c>
      <c r="R1548" s="71"/>
    </row>
    <row r="1549" spans="1:18" s="61" customFormat="1" x14ac:dyDescent="0.25">
      <c r="A1549" s="358"/>
      <c r="B1549" s="361"/>
      <c r="C1549" s="366"/>
      <c r="D1549" s="254" t="s">
        <v>324</v>
      </c>
      <c r="E1549" s="156" t="s">
        <v>28</v>
      </c>
      <c r="F1549" s="156" t="s">
        <v>28</v>
      </c>
      <c r="G1549" s="238">
        <f>MROUND(H1549*L1549*I1549/K1549,0.000000001)</f>
        <v>9.0821300000000005E-4</v>
      </c>
      <c r="H1549" s="158">
        <f>$H$109</f>
        <v>18</v>
      </c>
      <c r="I1549" s="159">
        <f t="shared" si="335"/>
        <v>4.0365000000000003E-4</v>
      </c>
      <c r="J1549" s="160"/>
      <c r="K1549" s="161">
        <f t="shared" si="336"/>
        <v>8</v>
      </c>
      <c r="L1549" s="250">
        <v>1</v>
      </c>
      <c r="M1549" s="163" t="str">
        <f t="shared" si="331"/>
        <v>18 шт*0,00040365/8чел.</v>
      </c>
      <c r="N1549" s="164">
        <f t="shared" si="332"/>
        <v>365277.77777777775</v>
      </c>
      <c r="O1549" s="165">
        <f t="shared" si="333"/>
        <v>331.75002599999999</v>
      </c>
      <c r="P1549" s="166"/>
      <c r="Q1549" s="166">
        <f t="shared" si="334"/>
        <v>2654.0002079999999</v>
      </c>
      <c r="R1549" s="71"/>
    </row>
    <row r="1550" spans="1:18" s="61" customFormat="1" x14ac:dyDescent="0.25">
      <c r="A1550" s="358"/>
      <c r="B1550" s="361"/>
      <c r="C1550" s="366"/>
      <c r="D1550" s="254" t="s">
        <v>419</v>
      </c>
      <c r="E1550" s="156" t="s">
        <v>28</v>
      </c>
      <c r="F1550" s="156" t="s">
        <v>28</v>
      </c>
      <c r="G1550" s="238">
        <f>MROUND(H1550*L1550*I1550/K1550,0.000000001)</f>
        <v>1.2109500000000001E-3</v>
      </c>
      <c r="H1550" s="246">
        <f>$H$110</f>
        <v>24</v>
      </c>
      <c r="I1550" s="159">
        <f t="shared" si="335"/>
        <v>4.0365000000000003E-4</v>
      </c>
      <c r="J1550" s="160"/>
      <c r="K1550" s="161">
        <f t="shared" si="336"/>
        <v>8</v>
      </c>
      <c r="L1550" s="250">
        <v>1</v>
      </c>
      <c r="M1550" s="163" t="str">
        <f t="shared" si="331"/>
        <v>24 шт*0,00040365/8чел.</v>
      </c>
      <c r="N1550" s="164">
        <f t="shared" si="332"/>
        <v>32416.666666666668</v>
      </c>
      <c r="O1550" s="165">
        <f t="shared" si="333"/>
        <v>39.254962999999996</v>
      </c>
      <c r="P1550" s="166"/>
      <c r="Q1550" s="166">
        <f t="shared" si="334"/>
        <v>314.03970399999997</v>
      </c>
      <c r="R1550" s="71"/>
    </row>
    <row r="1551" spans="1:18" s="61" customFormat="1" x14ac:dyDescent="0.25">
      <c r="A1551" s="358"/>
      <c r="B1551" s="361"/>
      <c r="C1551" s="366"/>
      <c r="D1551" s="254" t="s">
        <v>420</v>
      </c>
      <c r="E1551" s="156" t="s">
        <v>28</v>
      </c>
      <c r="F1551" s="156" t="s">
        <v>28</v>
      </c>
      <c r="G1551" s="238">
        <f>MROUND(H1551*L1551*I1551/K1551,0.000000001)</f>
        <v>7.5684400000000001E-4</v>
      </c>
      <c r="H1551" s="158">
        <f>H111</f>
        <v>15</v>
      </c>
      <c r="I1551" s="159">
        <f t="shared" si="335"/>
        <v>4.0365000000000003E-4</v>
      </c>
      <c r="J1551" s="160"/>
      <c r="K1551" s="161">
        <f t="shared" si="336"/>
        <v>8</v>
      </c>
      <c r="L1551" s="250">
        <v>1</v>
      </c>
      <c r="M1551" s="163" t="str">
        <f t="shared" si="331"/>
        <v>15 шт*0,00040365/8чел.</v>
      </c>
      <c r="N1551" s="164">
        <f t="shared" si="332"/>
        <v>127666.66666666667</v>
      </c>
      <c r="O1551" s="165">
        <f t="shared" si="333"/>
        <v>96.623750999999999</v>
      </c>
      <c r="P1551" s="166"/>
      <c r="Q1551" s="166">
        <f t="shared" si="334"/>
        <v>772.99000799999999</v>
      </c>
      <c r="R1551" s="71"/>
    </row>
    <row r="1552" spans="1:18" s="61" customFormat="1" x14ac:dyDescent="0.25">
      <c r="A1552" s="358"/>
      <c r="B1552" s="361"/>
      <c r="C1552" s="366"/>
      <c r="D1552" s="254" t="s">
        <v>421</v>
      </c>
      <c r="E1552" s="156" t="s">
        <v>28</v>
      </c>
      <c r="F1552" s="156" t="s">
        <v>28</v>
      </c>
      <c r="G1552" s="238">
        <f>MROUND(H1552*L1552*I1552/K1552,0.00000001)</f>
        <v>1.46323E-3</v>
      </c>
      <c r="H1552" s="158">
        <f>$H$112</f>
        <v>29</v>
      </c>
      <c r="I1552" s="159">
        <f t="shared" si="335"/>
        <v>4.0365000000000003E-4</v>
      </c>
      <c r="J1552" s="160"/>
      <c r="K1552" s="161">
        <f t="shared" si="336"/>
        <v>8</v>
      </c>
      <c r="L1552" s="250">
        <v>1</v>
      </c>
      <c r="M1552" s="163" t="str">
        <f t="shared" si="331"/>
        <v>29 шт*0,00040365/8чел.</v>
      </c>
      <c r="N1552" s="164">
        <f t="shared" si="332"/>
        <v>13517.241379310344</v>
      </c>
      <c r="O1552" s="165">
        <f t="shared" si="333"/>
        <v>19.778832999999999</v>
      </c>
      <c r="P1552" s="166"/>
      <c r="Q1552" s="166">
        <f t="shared" si="334"/>
        <v>158.23066399999999</v>
      </c>
      <c r="R1552" s="71"/>
    </row>
    <row r="1553" spans="1:18" s="61" customFormat="1" ht="30" x14ac:dyDescent="0.25">
      <c r="A1553" s="358"/>
      <c r="B1553" s="361"/>
      <c r="C1553" s="366"/>
      <c r="D1553" s="254" t="s">
        <v>422</v>
      </c>
      <c r="E1553" s="156" t="s">
        <v>28</v>
      </c>
      <c r="F1553" s="156" t="s">
        <v>28</v>
      </c>
      <c r="G1553" s="266">
        <f>MROUND(H1553*L1553*I1553/K1553,0.00000001)</f>
        <v>9.0821000000000001E-4</v>
      </c>
      <c r="H1553" s="158">
        <f>H1433</f>
        <v>18</v>
      </c>
      <c r="I1553" s="159">
        <f t="shared" si="335"/>
        <v>4.0365000000000003E-4</v>
      </c>
      <c r="J1553" s="160"/>
      <c r="K1553" s="161">
        <f t="shared" si="336"/>
        <v>8</v>
      </c>
      <c r="L1553" s="250">
        <v>1</v>
      </c>
      <c r="M1553" s="163" t="str">
        <f t="shared" si="331"/>
        <v>18 шт*0,00040365/8чел.</v>
      </c>
      <c r="N1553" s="164">
        <f t="shared" si="332"/>
        <v>34944.444444444445</v>
      </c>
      <c r="O1553" s="165">
        <f t="shared" si="333"/>
        <v>31.736893999999999</v>
      </c>
      <c r="P1553" s="166"/>
      <c r="Q1553" s="166">
        <f t="shared" si="334"/>
        <v>253.895152</v>
      </c>
      <c r="R1553" s="71"/>
    </row>
    <row r="1554" spans="1:18" s="61" customFormat="1" x14ac:dyDescent="0.25">
      <c r="A1554" s="358"/>
      <c r="B1554" s="361"/>
      <c r="C1554" s="366"/>
      <c r="D1554" s="254" t="s">
        <v>423</v>
      </c>
      <c r="E1554" s="156" t="s">
        <v>28</v>
      </c>
      <c r="F1554" s="156" t="s">
        <v>28</v>
      </c>
      <c r="G1554" s="238">
        <f>MROUND(H1554*L1554*I1554/K1554,0.000000001)</f>
        <v>1.009125E-3</v>
      </c>
      <c r="H1554" s="158">
        <f>$H$114</f>
        <v>20</v>
      </c>
      <c r="I1554" s="159">
        <f t="shared" si="335"/>
        <v>4.0365000000000003E-4</v>
      </c>
      <c r="J1554" s="160"/>
      <c r="K1554" s="161">
        <f t="shared" si="336"/>
        <v>8</v>
      </c>
      <c r="L1554" s="250">
        <v>1</v>
      </c>
      <c r="M1554" s="163" t="str">
        <f t="shared" si="331"/>
        <v>20 шт*0,00040365/8чел.</v>
      </c>
      <c r="N1554" s="164">
        <f t="shared" si="332"/>
        <v>74500</v>
      </c>
      <c r="O1554" s="165">
        <f t="shared" si="333"/>
        <v>75.179812999999996</v>
      </c>
      <c r="P1554" s="166"/>
      <c r="Q1554" s="166">
        <f t="shared" si="334"/>
        <v>601.43850399999997</v>
      </c>
      <c r="R1554" s="71"/>
    </row>
    <row r="1555" spans="1:18" s="61" customFormat="1" x14ac:dyDescent="0.25">
      <c r="A1555" s="358"/>
      <c r="B1555" s="361"/>
      <c r="C1555" s="366"/>
      <c r="D1555" s="254" t="s">
        <v>424</v>
      </c>
      <c r="E1555" s="156" t="s">
        <v>28</v>
      </c>
      <c r="F1555" s="156" t="s">
        <v>28</v>
      </c>
      <c r="G1555" s="238">
        <f t="shared" ref="G1555:G1561" si="337">MROUND(H1555*L1555*I1555/K1555,0.00000001)</f>
        <v>1.76597E-3</v>
      </c>
      <c r="H1555" s="158">
        <f>H1075</f>
        <v>35</v>
      </c>
      <c r="I1555" s="159">
        <f>I1544</f>
        <v>4.0365000000000003E-4</v>
      </c>
      <c r="J1555" s="160"/>
      <c r="K1555" s="161">
        <f>K1544</f>
        <v>8</v>
      </c>
      <c r="L1555" s="250">
        <v>1</v>
      </c>
      <c r="M1555" s="163" t="str">
        <f t="shared" si="331"/>
        <v>35 шт*0,00040365/8чел.</v>
      </c>
      <c r="N1555" s="164">
        <f>N1075</f>
        <v>34285.714285714283</v>
      </c>
      <c r="O1555" s="165">
        <f t="shared" si="333"/>
        <v>60.547542999999997</v>
      </c>
      <c r="P1555" s="166"/>
      <c r="Q1555" s="166">
        <f t="shared" si="334"/>
        <v>484.38034399999998</v>
      </c>
      <c r="R1555" s="71"/>
    </row>
    <row r="1556" spans="1:18" s="61" customFormat="1" x14ac:dyDescent="0.25">
      <c r="A1556" s="358"/>
      <c r="B1556" s="361"/>
      <c r="C1556" s="366"/>
      <c r="D1556" s="254" t="s">
        <v>425</v>
      </c>
      <c r="E1556" s="156" t="s">
        <v>28</v>
      </c>
      <c r="F1556" s="156" t="s">
        <v>28</v>
      </c>
      <c r="G1556" s="277">
        <f t="shared" si="337"/>
        <v>1.76597E-3</v>
      </c>
      <c r="H1556" s="158">
        <f>H476</f>
        <v>35</v>
      </c>
      <c r="I1556" s="159">
        <f t="shared" ref="I1556:I1561" si="338">I1555</f>
        <v>4.0365000000000003E-4</v>
      </c>
      <c r="J1556" s="160"/>
      <c r="K1556" s="161">
        <f t="shared" ref="K1556:K1561" si="339">K1555</f>
        <v>8</v>
      </c>
      <c r="L1556" s="250">
        <v>1</v>
      </c>
      <c r="M1556" s="163" t="str">
        <f t="shared" si="331"/>
        <v>35 шт*0,00040365/8чел.</v>
      </c>
      <c r="N1556" s="164">
        <f t="shared" ref="N1556:N1561" si="340">N116</f>
        <v>19102.857142857141</v>
      </c>
      <c r="O1556" s="165">
        <f t="shared" si="333"/>
        <v>33.735073</v>
      </c>
      <c r="P1556" s="166"/>
      <c r="Q1556" s="166">
        <f t="shared" si="334"/>
        <v>269.880584</v>
      </c>
      <c r="R1556" s="71"/>
    </row>
    <row r="1557" spans="1:18" s="61" customFormat="1" x14ac:dyDescent="0.25">
      <c r="A1557" s="358"/>
      <c r="B1557" s="361"/>
      <c r="C1557" s="366"/>
      <c r="D1557" s="254" t="s">
        <v>108</v>
      </c>
      <c r="E1557" s="156" t="s">
        <v>28</v>
      </c>
      <c r="F1557" s="156" t="s">
        <v>28</v>
      </c>
      <c r="G1557" s="238">
        <f t="shared" si="337"/>
        <v>4.3644660000000002E-2</v>
      </c>
      <c r="H1557" s="158">
        <f>$H$117</f>
        <v>865</v>
      </c>
      <c r="I1557" s="159">
        <f t="shared" si="338"/>
        <v>4.0365000000000003E-4</v>
      </c>
      <c r="J1557" s="160"/>
      <c r="K1557" s="161">
        <f t="shared" si="339"/>
        <v>8</v>
      </c>
      <c r="L1557" s="250">
        <v>1</v>
      </c>
      <c r="M1557" s="163" t="str">
        <f t="shared" si="331"/>
        <v>865 шт*0,00040365/8чел.</v>
      </c>
      <c r="N1557" s="164">
        <f t="shared" si="340"/>
        <v>779.36416184971097</v>
      </c>
      <c r="O1557" s="165">
        <f t="shared" si="333"/>
        <v>34.015084000000002</v>
      </c>
      <c r="P1557" s="166"/>
      <c r="Q1557" s="166">
        <f t="shared" si="334"/>
        <v>272.12067200000001</v>
      </c>
      <c r="R1557" s="71"/>
    </row>
    <row r="1558" spans="1:18" s="61" customFormat="1" x14ac:dyDescent="0.25">
      <c r="A1558" s="358"/>
      <c r="B1558" s="361"/>
      <c r="C1558" s="366"/>
      <c r="D1558" s="254" t="s">
        <v>426</v>
      </c>
      <c r="E1558" s="156" t="s">
        <v>28</v>
      </c>
      <c r="F1558" s="156" t="s">
        <v>28</v>
      </c>
      <c r="G1558" s="238">
        <f t="shared" si="337"/>
        <v>2.2200800000000001E-3</v>
      </c>
      <c r="H1558" s="158">
        <f>H838</f>
        <v>44</v>
      </c>
      <c r="I1558" s="159">
        <f t="shared" si="338"/>
        <v>4.0365000000000003E-4</v>
      </c>
      <c r="J1558" s="160"/>
      <c r="K1558" s="161">
        <f t="shared" si="339"/>
        <v>8</v>
      </c>
      <c r="L1558" s="250">
        <v>1</v>
      </c>
      <c r="M1558" s="163" t="str">
        <f t="shared" si="331"/>
        <v>44 шт*0,00040365/8чел.</v>
      </c>
      <c r="N1558" s="164">
        <f t="shared" si="340"/>
        <v>12416.954545454546</v>
      </c>
      <c r="O1558" s="165">
        <f t="shared" si="333"/>
        <v>27.566631999999998</v>
      </c>
      <c r="P1558" s="166"/>
      <c r="Q1558" s="166">
        <f t="shared" si="334"/>
        <v>220.53305599999999</v>
      </c>
      <c r="R1558" s="71"/>
    </row>
    <row r="1559" spans="1:18" s="61" customFormat="1" x14ac:dyDescent="0.25">
      <c r="A1559" s="358"/>
      <c r="B1559" s="361"/>
      <c r="C1559" s="366"/>
      <c r="D1559" s="254" t="s">
        <v>427</v>
      </c>
      <c r="E1559" s="156" t="s">
        <v>28</v>
      </c>
      <c r="F1559" s="156" t="s">
        <v>28</v>
      </c>
      <c r="G1559" s="238">
        <f t="shared" si="337"/>
        <v>3.3301100000000003E-3</v>
      </c>
      <c r="H1559" s="158">
        <f>H479</f>
        <v>66</v>
      </c>
      <c r="I1559" s="159">
        <f t="shared" si="338"/>
        <v>4.0365000000000003E-4</v>
      </c>
      <c r="J1559" s="160"/>
      <c r="K1559" s="161">
        <f t="shared" si="339"/>
        <v>8</v>
      </c>
      <c r="L1559" s="250">
        <v>1</v>
      </c>
      <c r="M1559" s="163" t="str">
        <f t="shared" si="331"/>
        <v>66 шт*0,00040365/8чел.</v>
      </c>
      <c r="N1559" s="164">
        <f t="shared" si="340"/>
        <v>13060.60606060606</v>
      </c>
      <c r="O1559" s="165">
        <f t="shared" si="333"/>
        <v>43.493254999999998</v>
      </c>
      <c r="P1559" s="166"/>
      <c r="Q1559" s="166">
        <f t="shared" si="334"/>
        <v>347.94603999999998</v>
      </c>
      <c r="R1559" s="71"/>
    </row>
    <row r="1560" spans="1:18" s="61" customFormat="1" x14ac:dyDescent="0.25">
      <c r="A1560" s="358"/>
      <c r="B1560" s="361"/>
      <c r="C1560" s="366"/>
      <c r="D1560" s="254" t="s">
        <v>428</v>
      </c>
      <c r="E1560" s="156" t="s">
        <v>28</v>
      </c>
      <c r="F1560" s="156" t="s">
        <v>28</v>
      </c>
      <c r="G1560" s="238">
        <f t="shared" si="337"/>
        <v>1.7407410000000002E-2</v>
      </c>
      <c r="H1560" s="158">
        <f>H120</f>
        <v>345</v>
      </c>
      <c r="I1560" s="159">
        <f t="shared" si="338"/>
        <v>4.0365000000000003E-4</v>
      </c>
      <c r="J1560" s="160"/>
      <c r="K1560" s="161">
        <f t="shared" si="339"/>
        <v>8</v>
      </c>
      <c r="L1560" s="250">
        <v>1</v>
      </c>
      <c r="M1560" s="163" t="str">
        <f t="shared" si="331"/>
        <v>345 шт*0,00040365/8чел.</v>
      </c>
      <c r="N1560" s="164">
        <f t="shared" si="340"/>
        <v>8520.7246376811599</v>
      </c>
      <c r="O1560" s="165">
        <f t="shared" si="333"/>
        <v>148.323747</v>
      </c>
      <c r="P1560" s="166"/>
      <c r="Q1560" s="166">
        <f t="shared" si="334"/>
        <v>1186.589976</v>
      </c>
      <c r="R1560" s="71"/>
    </row>
    <row r="1561" spans="1:18" s="61" customFormat="1" x14ac:dyDescent="0.25">
      <c r="A1561" s="358"/>
      <c r="B1561" s="361"/>
      <c r="C1561" s="366"/>
      <c r="D1561" s="255" t="s">
        <v>429</v>
      </c>
      <c r="E1561" s="156" t="s">
        <v>28</v>
      </c>
      <c r="F1561" s="156" t="s">
        <v>28</v>
      </c>
      <c r="G1561" s="238">
        <f t="shared" si="337"/>
        <v>2.4723599999999998E-3</v>
      </c>
      <c r="H1561" s="158">
        <f>H121</f>
        <v>49</v>
      </c>
      <c r="I1561" s="159">
        <f t="shared" si="338"/>
        <v>4.0365000000000003E-4</v>
      </c>
      <c r="J1561" s="160"/>
      <c r="K1561" s="161">
        <f t="shared" si="339"/>
        <v>8</v>
      </c>
      <c r="L1561" s="250">
        <v>1</v>
      </c>
      <c r="M1561" s="163" t="str">
        <f t="shared" si="331"/>
        <v>49 шт*0,00040365/8чел.</v>
      </c>
      <c r="N1561" s="164">
        <f t="shared" si="340"/>
        <v>53775.510204081635</v>
      </c>
      <c r="O1561" s="165">
        <f t="shared" si="333"/>
        <v>132.95241999999999</v>
      </c>
      <c r="P1561" s="166"/>
      <c r="Q1561" s="166">
        <f t="shared" si="334"/>
        <v>1063.6193599999999</v>
      </c>
      <c r="R1561" s="71"/>
    </row>
    <row r="1562" spans="1:18" s="62" customFormat="1" x14ac:dyDescent="0.25">
      <c r="A1562" s="358"/>
      <c r="B1562" s="361"/>
      <c r="C1562" s="249" t="s">
        <v>299</v>
      </c>
      <c r="D1562" s="256"/>
      <c r="E1562" s="240"/>
      <c r="F1562" s="240"/>
      <c r="G1562" s="227"/>
      <c r="H1562" s="241"/>
      <c r="I1562" s="206"/>
      <c r="J1562" s="228"/>
      <c r="K1562" s="207"/>
      <c r="L1562" s="257"/>
      <c r="M1562" s="209"/>
      <c r="N1562" s="210"/>
      <c r="O1562" s="198">
        <f>SUM(O1538:O1561)</f>
        <v>2096.189261</v>
      </c>
      <c r="P1562" s="267"/>
      <c r="Q1562" s="166"/>
      <c r="R1562" s="71"/>
    </row>
    <row r="1563" spans="1:18" s="61" customFormat="1" ht="110.25" x14ac:dyDescent="0.25">
      <c r="A1563" s="358"/>
      <c r="B1563" s="361"/>
      <c r="C1563" s="221" t="s">
        <v>82</v>
      </c>
      <c r="D1563" s="156" t="s">
        <v>46</v>
      </c>
      <c r="E1563" s="156" t="s">
        <v>54</v>
      </c>
      <c r="F1563" s="156" t="s">
        <v>285</v>
      </c>
      <c r="G1563" s="238">
        <f>MROUND(H1563*L1563*I1563/K1563,0.000001)</f>
        <v>0.57065999999999995</v>
      </c>
      <c r="H1563" s="242">
        <f>H1083</f>
        <v>1028.181818181818</v>
      </c>
      <c r="I1563" s="159">
        <f>I1561</f>
        <v>4.0365000000000003E-4</v>
      </c>
      <c r="J1563" s="160"/>
      <c r="K1563" s="161">
        <f>K1561</f>
        <v>8</v>
      </c>
      <c r="L1563" s="225">
        <f>L1323</f>
        <v>11</v>
      </c>
      <c r="M1563" s="163" t="str">
        <f>CONCATENATE(H1563," ",F1563,"*",L1563,"автобуса","*",I1563,"/",K1563,"чел.")</f>
        <v>1028,18181818182 л бензина АИ 92 (12,5л/день(зимой)*20дней*7мес+10л/день(летом)*20дней*4мес)*11автобуса*0,00040365/8чел.</v>
      </c>
      <c r="N1563" s="164">
        <f>N123</f>
        <v>54.500000000000007</v>
      </c>
      <c r="O1563" s="165">
        <f>MROUND(G1563*N1563,0.000001)</f>
        <v>31.10097</v>
      </c>
      <c r="P1563" s="166"/>
      <c r="Q1563" s="166">
        <f t="shared" si="334"/>
        <v>248.80776</v>
      </c>
      <c r="R1563" s="71"/>
    </row>
    <row r="1564" spans="1:18" s="62" customFormat="1" x14ac:dyDescent="0.25">
      <c r="A1564" s="358"/>
      <c r="B1564" s="361"/>
      <c r="C1564" s="218" t="s">
        <v>300</v>
      </c>
      <c r="D1564" s="240"/>
      <c r="E1564" s="240"/>
      <c r="F1564" s="240"/>
      <c r="G1564" s="227"/>
      <c r="H1564" s="241"/>
      <c r="I1564" s="206"/>
      <c r="J1564" s="228"/>
      <c r="K1564" s="207"/>
      <c r="L1564" s="257"/>
      <c r="M1564" s="209"/>
      <c r="N1564" s="210"/>
      <c r="O1564" s="198">
        <f>SUM(O1563)</f>
        <v>31.10097</v>
      </c>
      <c r="P1564" s="267"/>
      <c r="Q1564" s="166"/>
      <c r="R1564" s="71"/>
    </row>
    <row r="1565" spans="1:18" s="61" customFormat="1" ht="47.25" x14ac:dyDescent="0.25">
      <c r="A1565" s="358"/>
      <c r="B1565" s="361"/>
      <c r="C1565" s="221" t="s">
        <v>434</v>
      </c>
      <c r="D1565" s="156" t="s">
        <v>436</v>
      </c>
      <c r="E1565" s="156" t="s">
        <v>28</v>
      </c>
      <c r="F1565" s="156" t="s">
        <v>437</v>
      </c>
      <c r="G1565" s="157">
        <f>MROUND(H1565*L1565*I1565/K1565,0.000001)</f>
        <v>1.4631999999999999E-2</v>
      </c>
      <c r="H1565" s="242">
        <f>$H$125</f>
        <v>290</v>
      </c>
      <c r="I1565" s="159">
        <f>I1563</f>
        <v>4.0365000000000003E-4</v>
      </c>
      <c r="J1565" s="160"/>
      <c r="K1565" s="161">
        <f>K1563</f>
        <v>8</v>
      </c>
      <c r="L1565" s="162">
        <v>1</v>
      </c>
      <c r="M1565" s="163" t="str">
        <f>CONCATENATE(H1565," ",F1565,"*",L1565,"автобуса","*",I1565,"/",K1565,"чел.")</f>
        <v>290 огнетушителей (потребность учреждений) *1автобуса*0,00040365/8чел.</v>
      </c>
      <c r="N1565" s="164">
        <f>$N$125</f>
        <v>2000</v>
      </c>
      <c r="O1565" s="165">
        <f>MROUND(G1565*N1565,0.000001)</f>
        <v>29.263999999999999</v>
      </c>
      <c r="P1565" s="166"/>
      <c r="Q1565" s="166">
        <f t="shared" si="334"/>
        <v>234.11199999999999</v>
      </c>
      <c r="R1565" s="71"/>
    </row>
    <row r="1566" spans="1:18" s="61" customFormat="1" x14ac:dyDescent="0.25">
      <c r="A1566" s="358"/>
      <c r="B1566" s="361"/>
      <c r="C1566" s="218" t="s">
        <v>435</v>
      </c>
      <c r="D1566" s="240"/>
      <c r="E1566" s="240"/>
      <c r="F1566" s="240"/>
      <c r="G1566" s="251"/>
      <c r="H1566" s="241"/>
      <c r="I1566" s="206"/>
      <c r="J1566" s="228"/>
      <c r="K1566" s="207"/>
      <c r="L1566" s="229"/>
      <c r="M1566" s="209"/>
      <c r="N1566" s="210"/>
      <c r="O1566" s="198">
        <f>SUM(O1565)</f>
        <v>29.263999999999999</v>
      </c>
      <c r="P1566" s="166"/>
      <c r="Q1566" s="166"/>
      <c r="R1566" s="71"/>
    </row>
    <row r="1567" spans="1:18" s="61" customFormat="1" ht="47.25" x14ac:dyDescent="0.25">
      <c r="A1567" s="358"/>
      <c r="B1567" s="361"/>
      <c r="C1567" s="364" t="s">
        <v>118</v>
      </c>
      <c r="D1567" s="156" t="s">
        <v>47</v>
      </c>
      <c r="E1567" s="156" t="s">
        <v>28</v>
      </c>
      <c r="F1567" s="156" t="s">
        <v>239</v>
      </c>
      <c r="G1567" s="238">
        <f>MROUND(H1567*L1567*I1567/K1567,0.00000001)</f>
        <v>7.2656999999999999E-3</v>
      </c>
      <c r="H1567" s="158">
        <f>H487</f>
        <v>144</v>
      </c>
      <c r="I1567" s="159">
        <f>I1563</f>
        <v>4.0365000000000003E-4</v>
      </c>
      <c r="J1567" s="160"/>
      <c r="K1567" s="161">
        <f>K1563</f>
        <v>8</v>
      </c>
      <c r="L1567" s="250">
        <v>1</v>
      </c>
      <c r="M1567" s="163" t="str">
        <f>CONCATENATE(H1567," ",F1567,"*",I1567,"/",K1567,"чел.")</f>
        <v>144 манометров (потребность учреждений) *0,00040365/8чел.</v>
      </c>
      <c r="N1567" s="164">
        <f>N127</f>
        <v>708.5</v>
      </c>
      <c r="O1567" s="165">
        <f>MROUND(G1567*N1567,0.000001)</f>
        <v>5.147748</v>
      </c>
      <c r="P1567" s="166"/>
      <c r="Q1567" s="166">
        <f t="shared" si="334"/>
        <v>41.181984</v>
      </c>
      <c r="R1567" s="71"/>
    </row>
    <row r="1568" spans="1:18" s="61" customFormat="1" ht="47.25" x14ac:dyDescent="0.25">
      <c r="A1568" s="358"/>
      <c r="B1568" s="361"/>
      <c r="C1568" s="364"/>
      <c r="D1568" s="255" t="s">
        <v>113</v>
      </c>
      <c r="E1568" s="156" t="s">
        <v>28</v>
      </c>
      <c r="F1568" s="156" t="s">
        <v>240</v>
      </c>
      <c r="G1568" s="238">
        <f>MROUND(H1568*L1568*I1568/K1568,0.00000001)</f>
        <v>0.28835747</v>
      </c>
      <c r="H1568" s="158">
        <f>H128</f>
        <v>5715</v>
      </c>
      <c r="I1568" s="159">
        <f>I1567</f>
        <v>4.0365000000000003E-4</v>
      </c>
      <c r="J1568" s="160"/>
      <c r="K1568" s="161">
        <f>K1567</f>
        <v>8</v>
      </c>
      <c r="L1568" s="250">
        <v>1</v>
      </c>
      <c r="M1568" s="163" t="str">
        <f>CONCATENATE(H1568," ",F1568,"*",I1568,"/",K1568,"чел.")</f>
        <v>5715 светильников (потребность учреждений)*0,00040365/8чел.</v>
      </c>
      <c r="N1568" s="164">
        <f>N128</f>
        <v>106.27500087489064</v>
      </c>
      <c r="O1568" s="165">
        <f>MROUND(G1568*N1568,0.000001)</f>
        <v>30.645189999999999</v>
      </c>
      <c r="P1568" s="166"/>
      <c r="Q1568" s="166">
        <f t="shared" si="334"/>
        <v>245.16152</v>
      </c>
      <c r="R1568" s="71"/>
    </row>
    <row r="1569" spans="1:18" s="62" customFormat="1" x14ac:dyDescent="0.25">
      <c r="A1569" s="359"/>
      <c r="B1569" s="362"/>
      <c r="C1569" s="218" t="s">
        <v>301</v>
      </c>
      <c r="D1569" s="256"/>
      <c r="E1569" s="240"/>
      <c r="F1569" s="240"/>
      <c r="G1569" s="227"/>
      <c r="H1569" s="241"/>
      <c r="I1569" s="206"/>
      <c r="J1569" s="228"/>
      <c r="K1569" s="207"/>
      <c r="L1569" s="257"/>
      <c r="M1569" s="209"/>
      <c r="N1569" s="210"/>
      <c r="O1569" s="198">
        <f>SUM(O1567:O1568)</f>
        <v>35.792937999999999</v>
      </c>
      <c r="P1569" s="267"/>
      <c r="Q1569" s="166"/>
      <c r="R1569" s="71"/>
    </row>
    <row r="1570" spans="1:18" s="61" customFormat="1" x14ac:dyDescent="0.25">
      <c r="A1570" s="357" t="str">
        <f>CONCATENATE(школы!$B$20,", ",школы!$C$20,", ",школы!$D$20)</f>
        <v xml:space="preserve">Реализация основных общеобразовательных программ среднего общего образования, , </v>
      </c>
      <c r="B1570" s="360" t="str">
        <f>школы!$A$20</f>
        <v>802112О.99.0.ББ11АЮ58001</v>
      </c>
      <c r="C1570" s="194"/>
      <c r="D1570" s="363" t="s">
        <v>15</v>
      </c>
      <c r="E1570" s="363"/>
      <c r="F1570" s="363"/>
      <c r="G1570" s="363"/>
      <c r="H1570" s="195"/>
      <c r="I1570" s="195"/>
      <c r="J1570" s="195"/>
      <c r="K1570" s="195"/>
      <c r="L1570" s="196"/>
      <c r="M1570" s="197"/>
      <c r="N1570" s="164"/>
      <c r="O1570" s="198">
        <f>O1571+O1576+O1578</f>
        <v>9082.3750917819998</v>
      </c>
      <c r="P1570" s="166"/>
      <c r="Q1570" s="166"/>
      <c r="R1570" s="71"/>
    </row>
    <row r="1571" spans="1:18" s="61" customFormat="1" x14ac:dyDescent="0.25">
      <c r="A1571" s="358"/>
      <c r="B1571" s="361"/>
      <c r="C1571" s="194"/>
      <c r="D1571" s="350" t="s">
        <v>62</v>
      </c>
      <c r="E1571" s="350"/>
      <c r="F1571" s="350"/>
      <c r="G1571" s="350"/>
      <c r="H1571" s="195"/>
      <c r="I1571" s="195"/>
      <c r="J1571" s="195"/>
      <c r="K1571" s="195"/>
      <c r="L1571" s="196"/>
      <c r="M1571" s="197"/>
      <c r="N1571" s="164"/>
      <c r="O1571" s="165">
        <f>O1573+O1575</f>
        <v>9082.3750917819998</v>
      </c>
      <c r="P1571" s="166"/>
      <c r="Q1571" s="166"/>
      <c r="R1571" s="71"/>
    </row>
    <row r="1572" spans="1:18" s="61" customFormat="1" ht="31.5" x14ac:dyDescent="0.25">
      <c r="A1572" s="358"/>
      <c r="B1572" s="361"/>
      <c r="C1572" s="194">
        <v>211</v>
      </c>
      <c r="D1572" s="194" t="s">
        <v>86</v>
      </c>
      <c r="E1572" s="199" t="s">
        <v>95</v>
      </c>
      <c r="F1572" s="199" t="s">
        <v>95</v>
      </c>
      <c r="G1572" s="275">
        <f>MROUND(H1572*L1572*I1572/K1572,0.0000000001)</f>
        <v>0.55812145359999998</v>
      </c>
      <c r="H1572" s="201">
        <f>H732</f>
        <v>921.8</v>
      </c>
      <c r="I1572" s="159">
        <f>школы!$K$20</f>
        <v>5.9285520000000001E-2</v>
      </c>
      <c r="J1572" s="159"/>
      <c r="K1572" s="161">
        <f>школы!$G$20</f>
        <v>1175</v>
      </c>
      <c r="L1572" s="202">
        <v>12</v>
      </c>
      <c r="M1572" s="163" t="str">
        <f>CONCATENATE(H1572," ",F1572," ","в мес.","*",L1572,"мес.","*",I1572,"/",K1572,"чел.")</f>
        <v>921,8 шт.ед в мес.*12мес.*0,05928552/1175чел.</v>
      </c>
      <c r="N1572" s="164">
        <f>N732</f>
        <v>12498.552905979601</v>
      </c>
      <c r="O1572" s="165">
        <f>MROUND(G1572*N1572,0.000000001)</f>
        <v>6975.7105157820006</v>
      </c>
      <c r="P1572" s="166"/>
      <c r="Q1572" s="166">
        <f t="shared" si="334"/>
        <v>8196459.856043851</v>
      </c>
      <c r="R1572" s="71"/>
    </row>
    <row r="1573" spans="1:18" s="62" customFormat="1" x14ac:dyDescent="0.25">
      <c r="A1573" s="358"/>
      <c r="B1573" s="361"/>
      <c r="C1573" s="203" t="s">
        <v>288</v>
      </c>
      <c r="D1573" s="203"/>
      <c r="E1573" s="204"/>
      <c r="F1573" s="204"/>
      <c r="G1573" s="205"/>
      <c r="H1573" s="206"/>
      <c r="I1573" s="206"/>
      <c r="J1573" s="206"/>
      <c r="K1573" s="207"/>
      <c r="L1573" s="208"/>
      <c r="M1573" s="209"/>
      <c r="N1573" s="210">
        <f>N1572</f>
        <v>12498.552905979601</v>
      </c>
      <c r="O1573" s="198">
        <f>O1572</f>
        <v>6975.7105157820006</v>
      </c>
      <c r="P1573" s="267"/>
      <c r="Q1573" s="166"/>
      <c r="R1573" s="71"/>
    </row>
    <row r="1574" spans="1:18" s="61" customFormat="1" x14ac:dyDescent="0.25">
      <c r="A1574" s="358"/>
      <c r="B1574" s="361"/>
      <c r="C1574" s="194">
        <v>213</v>
      </c>
      <c r="D1574" s="194" t="s">
        <v>87</v>
      </c>
      <c r="E1574" s="194" t="s">
        <v>88</v>
      </c>
      <c r="F1574" s="194"/>
      <c r="G1574" s="211">
        <v>30.2</v>
      </c>
      <c r="H1574" s="159"/>
      <c r="I1574" s="159"/>
      <c r="J1574" s="159"/>
      <c r="K1574" s="161">
        <f>K1572</f>
        <v>1175</v>
      </c>
      <c r="L1574" s="202"/>
      <c r="M1574" s="212"/>
      <c r="N1574" s="164"/>
      <c r="O1574" s="165">
        <f>MROUND(O1572*0.302,0.000001)</f>
        <v>2106.6645760000001</v>
      </c>
      <c r="P1574" s="166"/>
      <c r="Q1574" s="166">
        <f>O1574*K1574</f>
        <v>2475330.8768000002</v>
      </c>
      <c r="R1574" s="71"/>
    </row>
    <row r="1575" spans="1:18" s="62" customFormat="1" x14ac:dyDescent="0.25">
      <c r="A1575" s="358"/>
      <c r="B1575" s="361"/>
      <c r="C1575" s="203" t="s">
        <v>289</v>
      </c>
      <c r="D1575" s="203"/>
      <c r="E1575" s="203"/>
      <c r="F1575" s="203"/>
      <c r="G1575" s="213"/>
      <c r="H1575" s="214"/>
      <c r="I1575" s="206"/>
      <c r="J1575" s="214"/>
      <c r="K1575" s="207"/>
      <c r="L1575" s="215"/>
      <c r="M1575" s="216"/>
      <c r="N1575" s="210"/>
      <c r="O1575" s="198">
        <f>O1574</f>
        <v>2106.6645760000001</v>
      </c>
      <c r="P1575" s="267"/>
      <c r="Q1575" s="166"/>
      <c r="R1575" s="71"/>
    </row>
    <row r="1576" spans="1:18" s="61" customFormat="1" x14ac:dyDescent="0.25">
      <c r="A1576" s="358"/>
      <c r="B1576" s="361"/>
      <c r="C1576" s="194"/>
      <c r="D1576" s="356" t="s">
        <v>63</v>
      </c>
      <c r="E1576" s="356"/>
      <c r="F1576" s="356"/>
      <c r="G1576" s="356"/>
      <c r="H1576" s="195"/>
      <c r="I1576" s="159"/>
      <c r="J1576" s="195"/>
      <c r="K1576" s="161"/>
      <c r="L1576" s="196"/>
      <c r="M1576" s="197"/>
      <c r="N1576" s="164"/>
      <c r="O1576" s="165"/>
      <c r="P1576" s="166"/>
      <c r="Q1576" s="166"/>
      <c r="R1576" s="71"/>
    </row>
    <row r="1577" spans="1:18" s="61" customFormat="1" x14ac:dyDescent="0.25">
      <c r="A1577" s="358"/>
      <c r="B1577" s="361"/>
      <c r="C1577" s="194"/>
      <c r="D1577" s="194"/>
      <c r="E1577" s="194"/>
      <c r="F1577" s="194"/>
      <c r="G1577" s="217"/>
      <c r="H1577" s="195"/>
      <c r="I1577" s="159"/>
      <c r="J1577" s="195"/>
      <c r="K1577" s="161"/>
      <c r="L1577" s="196"/>
      <c r="M1577" s="197"/>
      <c r="N1577" s="164"/>
      <c r="O1577" s="165"/>
      <c r="P1577" s="166"/>
      <c r="Q1577" s="166"/>
      <c r="R1577" s="71"/>
    </row>
    <row r="1578" spans="1:18" s="61" customFormat="1" x14ac:dyDescent="0.25">
      <c r="A1578" s="358"/>
      <c r="B1578" s="361"/>
      <c r="C1578" s="194"/>
      <c r="D1578" s="350" t="s">
        <v>64</v>
      </c>
      <c r="E1578" s="350"/>
      <c r="F1578" s="350"/>
      <c r="G1578" s="350"/>
      <c r="H1578" s="195"/>
      <c r="I1578" s="159"/>
      <c r="J1578" s="195"/>
      <c r="K1578" s="161"/>
      <c r="L1578" s="196"/>
      <c r="M1578" s="197"/>
      <c r="N1578" s="164"/>
      <c r="O1578" s="165"/>
      <c r="P1578" s="166"/>
      <c r="Q1578" s="166"/>
      <c r="R1578" s="71"/>
    </row>
    <row r="1579" spans="1:18" s="61" customFormat="1" x14ac:dyDescent="0.25">
      <c r="A1579" s="358"/>
      <c r="B1579" s="361"/>
      <c r="C1579" s="194"/>
      <c r="D1579" s="194"/>
      <c r="E1579" s="194"/>
      <c r="F1579" s="194"/>
      <c r="G1579" s="217"/>
      <c r="H1579" s="195"/>
      <c r="I1579" s="159"/>
      <c r="J1579" s="195"/>
      <c r="K1579" s="161"/>
      <c r="L1579" s="196"/>
      <c r="M1579" s="197"/>
      <c r="N1579" s="164"/>
      <c r="O1579" s="165"/>
      <c r="P1579" s="166"/>
      <c r="Q1579" s="166"/>
      <c r="R1579" s="71"/>
    </row>
    <row r="1580" spans="1:18" s="61" customFormat="1" x14ac:dyDescent="0.25">
      <c r="A1580" s="358"/>
      <c r="B1580" s="361"/>
      <c r="C1580" s="194"/>
      <c r="D1580" s="355" t="s">
        <v>5</v>
      </c>
      <c r="E1580" s="355"/>
      <c r="F1580" s="355"/>
      <c r="G1580" s="355"/>
      <c r="H1580" s="195"/>
      <c r="I1580" s="159"/>
      <c r="J1580" s="195"/>
      <c r="K1580" s="161"/>
      <c r="L1580" s="196"/>
      <c r="M1580" s="197"/>
      <c r="N1580" s="164"/>
      <c r="O1580" s="198">
        <f>O1581+O1591+O1602+O1604+O1606+O1608+O1610</f>
        <v>48447.962624943124</v>
      </c>
      <c r="P1580" s="166"/>
      <c r="Q1580" s="166"/>
      <c r="R1580" s="71"/>
    </row>
    <row r="1581" spans="1:18" s="61" customFormat="1" x14ac:dyDescent="0.25">
      <c r="A1581" s="358"/>
      <c r="B1581" s="361"/>
      <c r="C1581" s="218" t="s">
        <v>70</v>
      </c>
      <c r="D1581" s="355" t="s">
        <v>6</v>
      </c>
      <c r="E1581" s="355"/>
      <c r="F1581" s="355"/>
      <c r="G1581" s="355"/>
      <c r="H1581" s="189"/>
      <c r="I1581" s="159"/>
      <c r="J1581" s="189"/>
      <c r="K1581" s="161"/>
      <c r="L1581" s="190"/>
      <c r="M1581" s="197"/>
      <c r="N1581" s="210"/>
      <c r="O1581" s="198">
        <f>O1590</f>
        <v>8728.6630658600006</v>
      </c>
      <c r="P1581" s="166"/>
      <c r="Q1581" s="166"/>
      <c r="R1581" s="71"/>
    </row>
    <row r="1582" spans="1:18" s="61" customFormat="1" ht="31.5" x14ac:dyDescent="0.25">
      <c r="A1582" s="358"/>
      <c r="B1582" s="361"/>
      <c r="C1582" s="221" t="s">
        <v>72</v>
      </c>
      <c r="D1582" s="222" t="s">
        <v>7</v>
      </c>
      <c r="E1582" s="223" t="s">
        <v>8</v>
      </c>
      <c r="F1582" s="223" t="s">
        <v>8</v>
      </c>
      <c r="G1582" s="238">
        <f>MROUND(H1582*L1582*I1582/K1582,0.00000000001)</f>
        <v>167.1660651823</v>
      </c>
      <c r="H1582" s="160">
        <f>H862</f>
        <v>3313121.4264326878</v>
      </c>
      <c r="I1582" s="159">
        <f>I1572</f>
        <v>5.9285520000000001E-2</v>
      </c>
      <c r="J1582" s="160"/>
      <c r="K1582" s="161">
        <f>K1572</f>
        <v>1175</v>
      </c>
      <c r="L1582" s="250">
        <v>1</v>
      </c>
      <c r="M1582" s="163" t="str">
        <f t="shared" ref="M1582:M1587" si="341">CONCATENATE(H1582," ",F1582,"(лимиты выделенные УЖКХ) ","*",I1582,"/",K1582,"чел.")</f>
        <v>3313121,42643269 кВт час.(лимиты выделенные УЖКХ) *0,05928552/1175чел.</v>
      </c>
      <c r="N1582" s="164">
        <f>N862</f>
        <v>10.418446162163715</v>
      </c>
      <c r="O1582" s="165">
        <f t="shared" ref="O1582:O1589" si="342">MROUND(G1582*N1582,0.000001)</f>
        <v>1741.6106499999999</v>
      </c>
      <c r="P1582" s="166"/>
      <c r="Q1582" s="166">
        <f t="shared" si="334"/>
        <v>2046392.5137499999</v>
      </c>
      <c r="R1582" s="71"/>
    </row>
    <row r="1583" spans="1:18" s="61" customFormat="1" ht="31.5" x14ac:dyDescent="0.25">
      <c r="A1583" s="358"/>
      <c r="B1583" s="361"/>
      <c r="C1583" s="221" t="s">
        <v>73</v>
      </c>
      <c r="D1583" s="222" t="s">
        <v>9</v>
      </c>
      <c r="E1583" s="223" t="s">
        <v>10</v>
      </c>
      <c r="F1583" s="223" t="s">
        <v>10</v>
      </c>
      <c r="G1583" s="238">
        <f>MROUND(H1583*L1583*I1583/K1583,0.00000000001)</f>
        <v>1.6094071087599999</v>
      </c>
      <c r="H1583" s="160">
        <f>H503</f>
        <v>31897.39</v>
      </c>
      <c r="I1583" s="159">
        <f t="shared" ref="I1583:I1635" si="343">I1582</f>
        <v>5.9285520000000001E-2</v>
      </c>
      <c r="J1583" s="160"/>
      <c r="K1583" s="161">
        <f t="shared" ref="K1583:K1589" si="344">K1582</f>
        <v>1175</v>
      </c>
      <c r="L1583" s="250">
        <v>1</v>
      </c>
      <c r="M1583" s="163" t="str">
        <f t="shared" si="341"/>
        <v>31897,39 Гкал(лимиты выделенные УЖКХ) *0,05928552/1175чел.</v>
      </c>
      <c r="N1583" s="164">
        <f>N503</f>
        <v>2845.3650600830792</v>
      </c>
      <c r="O1583" s="165">
        <f t="shared" si="342"/>
        <v>4579.3507549999995</v>
      </c>
      <c r="P1583" s="166"/>
      <c r="Q1583" s="166">
        <f t="shared" si="334"/>
        <v>5380737.1371249994</v>
      </c>
      <c r="R1583" s="71"/>
    </row>
    <row r="1584" spans="1:18" s="61" customFormat="1" ht="31.5" x14ac:dyDescent="0.25">
      <c r="A1584" s="358"/>
      <c r="B1584" s="361"/>
      <c r="C1584" s="364" t="s">
        <v>74</v>
      </c>
      <c r="D1584" s="222" t="s">
        <v>12</v>
      </c>
      <c r="E1584" s="222" t="s">
        <v>11</v>
      </c>
      <c r="F1584" s="222" t="s">
        <v>11</v>
      </c>
      <c r="G1584" s="238">
        <f>MROUND(H1584*L1584*I1584/K1584,0.00000000001)</f>
        <v>9.3204491579099997</v>
      </c>
      <c r="H1584" s="224">
        <f>H24</f>
        <v>184725.17</v>
      </c>
      <c r="I1584" s="159">
        <f t="shared" si="343"/>
        <v>5.9285520000000001E-2</v>
      </c>
      <c r="J1584" s="160"/>
      <c r="K1584" s="161">
        <f t="shared" si="344"/>
        <v>1175</v>
      </c>
      <c r="L1584" s="250">
        <v>1</v>
      </c>
      <c r="M1584" s="163" t="str">
        <f t="shared" si="341"/>
        <v>184725,17 м3(лимиты выделенные УЖКХ) *0,05928552/1175чел.</v>
      </c>
      <c r="N1584" s="164">
        <f>N24</f>
        <v>51.830000102314166</v>
      </c>
      <c r="O1584" s="165">
        <f t="shared" si="342"/>
        <v>483.07888099999997</v>
      </c>
      <c r="P1584" s="166"/>
      <c r="Q1584" s="166">
        <f t="shared" si="334"/>
        <v>567617.68517499999</v>
      </c>
      <c r="R1584" s="71"/>
    </row>
    <row r="1585" spans="1:18" s="61" customFormat="1" ht="47.25" x14ac:dyDescent="0.25">
      <c r="A1585" s="358"/>
      <c r="B1585" s="361"/>
      <c r="C1585" s="364"/>
      <c r="D1585" s="222" t="s">
        <v>17</v>
      </c>
      <c r="E1585" s="222" t="s">
        <v>11</v>
      </c>
      <c r="F1585" s="222" t="s">
        <v>11</v>
      </c>
      <c r="G1585" s="238">
        <f>MROUND(H1585*L1585*I1585/K1585,0.00000000001)</f>
        <v>9.3204491579099997</v>
      </c>
      <c r="H1585" s="160">
        <f>H505</f>
        <v>184725.17</v>
      </c>
      <c r="I1585" s="159">
        <f t="shared" si="343"/>
        <v>5.9285520000000001E-2</v>
      </c>
      <c r="J1585" s="160"/>
      <c r="K1585" s="161">
        <f t="shared" si="344"/>
        <v>1175</v>
      </c>
      <c r="L1585" s="162">
        <f>$L$25</f>
        <v>1</v>
      </c>
      <c r="M1585" s="163" t="str">
        <f t="shared" si="341"/>
        <v>184725,17 м3(лимиты выделенные УЖКХ) *0,05928552/1175чел.</v>
      </c>
      <c r="N1585" s="164">
        <f>N25</f>
        <v>78.76115753094173</v>
      </c>
      <c r="O1585" s="165">
        <f t="shared" si="342"/>
        <v>734.08936399999993</v>
      </c>
      <c r="P1585" s="166"/>
      <c r="Q1585" s="166">
        <f t="shared" si="334"/>
        <v>862555.00269999995</v>
      </c>
      <c r="R1585" s="71"/>
    </row>
    <row r="1586" spans="1:18" s="61" customFormat="1" ht="31.5" x14ac:dyDescent="0.25">
      <c r="A1586" s="358"/>
      <c r="B1586" s="361"/>
      <c r="C1586" s="364"/>
      <c r="D1586" s="222" t="s">
        <v>13</v>
      </c>
      <c r="E1586" s="222" t="s">
        <v>11</v>
      </c>
      <c r="F1586" s="222" t="s">
        <v>11</v>
      </c>
      <c r="G1586" s="238">
        <f>MROUND(H1586*L1586*I1586/K1586,0.00000000001)</f>
        <v>9.3204491579099997</v>
      </c>
      <c r="H1586" s="160">
        <f>H26</f>
        <v>184725.17</v>
      </c>
      <c r="I1586" s="159">
        <f t="shared" si="343"/>
        <v>5.9285520000000001E-2</v>
      </c>
      <c r="J1586" s="160"/>
      <c r="K1586" s="161">
        <f t="shared" si="344"/>
        <v>1175</v>
      </c>
      <c r="L1586" s="162">
        <v>1</v>
      </c>
      <c r="M1586" s="163" t="str">
        <f t="shared" si="341"/>
        <v>184725,17 м3(лимиты выделенные УЖКХ) *0,05928552/1175чел.</v>
      </c>
      <c r="N1586" s="164">
        <f>N26</f>
        <v>107.41979263410609</v>
      </c>
      <c r="O1586" s="165">
        <f>MROUND(G1586*N1586,0.00000001)</f>
        <v>1001.2007158</v>
      </c>
      <c r="P1586" s="166"/>
      <c r="Q1586" s="166">
        <f t="shared" si="334"/>
        <v>1176410.841065</v>
      </c>
      <c r="R1586" s="71"/>
    </row>
    <row r="1587" spans="1:18" s="61" customFormat="1" ht="31.5" x14ac:dyDescent="0.25">
      <c r="A1587" s="358"/>
      <c r="B1587" s="361"/>
      <c r="C1587" s="221" t="s">
        <v>75</v>
      </c>
      <c r="D1587" s="222" t="s">
        <v>18</v>
      </c>
      <c r="E1587" s="222" t="s">
        <v>48</v>
      </c>
      <c r="F1587" s="222" t="s">
        <v>48</v>
      </c>
      <c r="G1587" s="238">
        <f>MROUND(H1587*L1587*I1587/K1587,0.0000000001)</f>
        <v>0.70070943620000004</v>
      </c>
      <c r="H1587" s="160">
        <f>H27</f>
        <v>13887.6</v>
      </c>
      <c r="I1587" s="159">
        <f t="shared" si="343"/>
        <v>5.9285520000000001E-2</v>
      </c>
      <c r="J1587" s="160"/>
      <c r="K1587" s="161">
        <f t="shared" si="344"/>
        <v>1175</v>
      </c>
      <c r="L1587" s="250">
        <v>1</v>
      </c>
      <c r="M1587" s="163" t="str">
        <f t="shared" si="341"/>
        <v>13887,6 тыс. м3(лимиты выделенные УЖКХ) *0,05928552/1175чел.</v>
      </c>
      <c r="N1587" s="164">
        <f>N27</f>
        <v>29.231582850888564</v>
      </c>
      <c r="O1587" s="165">
        <f t="shared" si="342"/>
        <v>20.482845999999999</v>
      </c>
      <c r="P1587" s="166"/>
      <c r="Q1587" s="166">
        <f t="shared" si="334"/>
        <v>24067.34405</v>
      </c>
      <c r="R1587" s="71"/>
    </row>
    <row r="1588" spans="1:18" s="61" customFormat="1" x14ac:dyDescent="0.25">
      <c r="A1588" s="358"/>
      <c r="B1588" s="361"/>
      <c r="C1588" s="364" t="s">
        <v>216</v>
      </c>
      <c r="D1588" s="222" t="s">
        <v>23</v>
      </c>
      <c r="E1588" s="222" t="s">
        <v>11</v>
      </c>
      <c r="F1588" s="222" t="s">
        <v>11</v>
      </c>
      <c r="G1588" s="238">
        <f>MROUND(H1588*L1588*I1588/K1588,0.000000000001)</f>
        <v>0.1699672971</v>
      </c>
      <c r="H1588" s="160">
        <f>H28</f>
        <v>3368.6400000000003</v>
      </c>
      <c r="I1588" s="159">
        <f t="shared" si="343"/>
        <v>5.9285520000000001E-2</v>
      </c>
      <c r="J1588" s="160"/>
      <c r="K1588" s="161">
        <f t="shared" si="344"/>
        <v>1175</v>
      </c>
      <c r="L1588" s="162">
        <f>L1587</f>
        <v>1</v>
      </c>
      <c r="M1588" s="163" t="str">
        <f>CONCATENATE(H1588," ",F1588," ","*",I1588,"/",K1588,"чел.")</f>
        <v>3368,64 м3 *0,05928552/1175чел.</v>
      </c>
      <c r="N1588" s="164">
        <f>N28</f>
        <v>742.21370939013957</v>
      </c>
      <c r="O1588" s="165">
        <f>MROUND(G1588*N1588,0.00000001)</f>
        <v>126.15205806</v>
      </c>
      <c r="P1588" s="166"/>
      <c r="Q1588" s="166">
        <f t="shared" si="334"/>
        <v>148228.6682205</v>
      </c>
      <c r="R1588" s="71"/>
    </row>
    <row r="1589" spans="1:18" s="61" customFormat="1" ht="63" x14ac:dyDescent="0.25">
      <c r="A1589" s="358"/>
      <c r="B1589" s="361"/>
      <c r="C1589" s="364"/>
      <c r="D1589" s="222" t="s">
        <v>24</v>
      </c>
      <c r="E1589" s="222" t="s">
        <v>25</v>
      </c>
      <c r="F1589" s="222" t="s">
        <v>217</v>
      </c>
      <c r="G1589" s="238">
        <f>MROUND(H1589*L1589*I1589/K1589,0.000000000001)</f>
        <v>7.4169969699999999E-3</v>
      </c>
      <c r="H1589" s="160">
        <f>H869</f>
        <v>147</v>
      </c>
      <c r="I1589" s="159">
        <f t="shared" si="343"/>
        <v>5.9285520000000001E-2</v>
      </c>
      <c r="J1589" s="160"/>
      <c r="K1589" s="161">
        <f t="shared" si="344"/>
        <v>1175</v>
      </c>
      <c r="L1589" s="250">
        <f>L1588</f>
        <v>1</v>
      </c>
      <c r="M1589" s="163" t="str">
        <f>CONCATENATE(H1589," ",F1589,"(потребность из расчета 4 контейнера для уборки территории весной и осенью на 1 учреждение)","*",I1589,"/",K1589,"чел.")</f>
        <v>147 контейнера(потребность из расчета 4 контейнера для уборки территории весной и осенью на 1 учреждение)*0,05928552/1175чел.</v>
      </c>
      <c r="N1589" s="164">
        <f>N869</f>
        <v>5756.7497959183638</v>
      </c>
      <c r="O1589" s="165">
        <f t="shared" si="342"/>
        <v>42.697795999999997</v>
      </c>
      <c r="P1589" s="166"/>
      <c r="Q1589" s="166">
        <f t="shared" si="334"/>
        <v>50169.910299999996</v>
      </c>
      <c r="R1589" s="71"/>
    </row>
    <row r="1590" spans="1:18" s="62" customFormat="1" x14ac:dyDescent="0.25">
      <c r="A1590" s="358"/>
      <c r="B1590" s="361"/>
      <c r="C1590" s="218" t="s">
        <v>290</v>
      </c>
      <c r="D1590" s="226"/>
      <c r="E1590" s="226"/>
      <c r="F1590" s="226"/>
      <c r="G1590" s="227"/>
      <c r="H1590" s="228"/>
      <c r="I1590" s="206"/>
      <c r="J1590" s="228"/>
      <c r="K1590" s="207"/>
      <c r="L1590" s="257"/>
      <c r="M1590" s="209"/>
      <c r="N1590" s="210"/>
      <c r="O1590" s="198">
        <f>SUM(O1582:O1589)</f>
        <v>8728.6630658600006</v>
      </c>
      <c r="P1590" s="267"/>
      <c r="Q1590" s="166"/>
      <c r="R1590" s="71"/>
    </row>
    <row r="1591" spans="1:18" s="61" customFormat="1" x14ac:dyDescent="0.25">
      <c r="A1591" s="358"/>
      <c r="B1591" s="361"/>
      <c r="C1591" s="221"/>
      <c r="D1591" s="356" t="s">
        <v>14</v>
      </c>
      <c r="E1591" s="356"/>
      <c r="F1591" s="356"/>
      <c r="G1591" s="356"/>
      <c r="H1591" s="188"/>
      <c r="I1591" s="159"/>
      <c r="J1591" s="188"/>
      <c r="K1591" s="161"/>
      <c r="L1591" s="250"/>
      <c r="M1591" s="230"/>
      <c r="N1591" s="164"/>
      <c r="O1591" s="198">
        <f>O1599+O1600+O1595</f>
        <v>36351.59088763313</v>
      </c>
      <c r="P1591" s="166"/>
      <c r="Q1591" s="166"/>
      <c r="R1591" s="71"/>
    </row>
    <row r="1592" spans="1:18" s="61" customFormat="1" x14ac:dyDescent="0.25">
      <c r="A1592" s="358"/>
      <c r="B1592" s="361"/>
      <c r="C1592" s="221" t="s">
        <v>379</v>
      </c>
      <c r="D1592" s="231" t="s">
        <v>49</v>
      </c>
      <c r="E1592" s="231" t="s">
        <v>22</v>
      </c>
      <c r="F1592" s="231" t="s">
        <v>22</v>
      </c>
      <c r="G1592" s="238">
        <f>MROUND(H1592*L1592*I1592/K1592,0.000000001)</f>
        <v>0</v>
      </c>
      <c r="H1592" s="160"/>
      <c r="I1592" s="159">
        <f>I1587</f>
        <v>5.9285520000000001E-2</v>
      </c>
      <c r="J1592" s="160"/>
      <c r="K1592" s="161">
        <f>K1587</f>
        <v>1175</v>
      </c>
      <c r="L1592" s="250"/>
      <c r="M1592" s="163"/>
      <c r="N1592" s="164">
        <f>N752</f>
        <v>0</v>
      </c>
      <c r="O1592" s="165">
        <f>MROUND(G1592*N1592,0.00000001)</f>
        <v>0</v>
      </c>
      <c r="P1592" s="166"/>
      <c r="Q1592" s="166">
        <f t="shared" si="334"/>
        <v>0</v>
      </c>
      <c r="R1592" s="71"/>
    </row>
    <row r="1593" spans="1:18" s="61" customFormat="1" x14ac:dyDescent="0.25">
      <c r="A1593" s="358"/>
      <c r="B1593" s="361"/>
      <c r="C1593" s="221" t="s">
        <v>379</v>
      </c>
      <c r="D1593" s="231" t="s">
        <v>49</v>
      </c>
      <c r="E1593" s="231" t="s">
        <v>28</v>
      </c>
      <c r="F1593" s="231" t="s">
        <v>28</v>
      </c>
      <c r="G1593" s="238">
        <f>MROUND(H1593*L1593*I1593/K1593,0.000000000000001)</f>
        <v>2.52278808511E-4</v>
      </c>
      <c r="H1593" s="160">
        <f>H753</f>
        <v>5</v>
      </c>
      <c r="I1593" s="159">
        <f t="shared" si="343"/>
        <v>5.9285520000000001E-2</v>
      </c>
      <c r="J1593" s="160"/>
      <c r="K1593" s="161">
        <f>K1592</f>
        <v>1175</v>
      </c>
      <c r="L1593" s="250">
        <v>1</v>
      </c>
      <c r="M1593" s="163" t="str">
        <f>CONCATENATE(H1593," ",F1593,"*",I1593,"/",K1593,"чел.")</f>
        <v>5 шт*0,05928552/1175чел.</v>
      </c>
      <c r="N1593" s="164">
        <f>N753</f>
        <v>28120000</v>
      </c>
      <c r="O1593" s="165">
        <f>MROUND(G1593*N1593,0.00000001)</f>
        <v>7094.0800953300004</v>
      </c>
      <c r="P1593" s="166"/>
      <c r="Q1593" s="166">
        <f t="shared" si="334"/>
        <v>8335544.1120127505</v>
      </c>
      <c r="R1593" s="71"/>
    </row>
    <row r="1594" spans="1:18" s="61" customFormat="1" x14ac:dyDescent="0.25">
      <c r="A1594" s="358"/>
      <c r="B1594" s="361"/>
      <c r="C1594" s="221" t="s">
        <v>379</v>
      </c>
      <c r="D1594" s="231" t="s">
        <v>49</v>
      </c>
      <c r="E1594" s="231" t="s">
        <v>101</v>
      </c>
      <c r="F1594" s="231" t="s">
        <v>101</v>
      </c>
      <c r="G1594" s="238">
        <f>MROUND(H1594*L1594*I1594/K1594,0.000000001)</f>
        <v>0</v>
      </c>
      <c r="H1594" s="160"/>
      <c r="I1594" s="159">
        <f t="shared" si="343"/>
        <v>5.9285520000000001E-2</v>
      </c>
      <c r="J1594" s="160"/>
      <c r="K1594" s="161">
        <f>K1593</f>
        <v>1175</v>
      </c>
      <c r="L1594" s="250"/>
      <c r="M1594" s="163"/>
      <c r="N1594" s="164">
        <f>N754</f>
        <v>0</v>
      </c>
      <c r="O1594" s="165">
        <f>MROUND(G1594*N1594,0.00000001)</f>
        <v>0</v>
      </c>
      <c r="P1594" s="166"/>
      <c r="Q1594" s="166">
        <f t="shared" si="334"/>
        <v>0</v>
      </c>
      <c r="R1594" s="71"/>
    </row>
    <row r="1595" spans="1:18" s="62" customFormat="1" x14ac:dyDescent="0.25">
      <c r="A1595" s="358"/>
      <c r="B1595" s="361"/>
      <c r="C1595" s="218" t="s">
        <v>380</v>
      </c>
      <c r="D1595" s="232"/>
      <c r="E1595" s="232"/>
      <c r="F1595" s="232"/>
      <c r="G1595" s="227"/>
      <c r="H1595" s="228"/>
      <c r="I1595" s="206"/>
      <c r="J1595" s="228"/>
      <c r="K1595" s="207"/>
      <c r="L1595" s="257"/>
      <c r="M1595" s="209"/>
      <c r="N1595" s="210"/>
      <c r="O1595" s="198">
        <f>SUM(O1592:O1594)</f>
        <v>7094.0800953300004</v>
      </c>
      <c r="P1595" s="267"/>
      <c r="Q1595" s="166"/>
      <c r="R1595" s="71"/>
    </row>
    <row r="1596" spans="1:18" s="61" customFormat="1" x14ac:dyDescent="0.25">
      <c r="A1596" s="358"/>
      <c r="B1596" s="361"/>
      <c r="C1596" s="221" t="s">
        <v>76</v>
      </c>
      <c r="D1596" s="231" t="s">
        <v>49</v>
      </c>
      <c r="E1596" s="231" t="s">
        <v>22</v>
      </c>
      <c r="F1596" s="231" t="s">
        <v>22</v>
      </c>
      <c r="G1596" s="238">
        <f>MROUND(H1596*L1596*I1596/K1596,0.000000000000001)</f>
        <v>3.6942205136599151</v>
      </c>
      <c r="H1596" s="160">
        <f>H756</f>
        <v>73217.02</v>
      </c>
      <c r="I1596" s="159">
        <f>I1592</f>
        <v>5.9285520000000001E-2</v>
      </c>
      <c r="J1596" s="160"/>
      <c r="K1596" s="161">
        <f>K1594</f>
        <v>1175</v>
      </c>
      <c r="L1596" s="250">
        <v>1</v>
      </c>
      <c r="M1596" s="163" t="str">
        <f>CONCATENATE(H1596," ",F1596,"*",I1596,"/",K1596,"чел.")</f>
        <v>73217,02 м2*0,05928552/1175чел.</v>
      </c>
      <c r="N1596" s="164">
        <f>N756</f>
        <v>3335.1026185604301</v>
      </c>
      <c r="O1596" s="165">
        <f>MROUND(G1596*N1596,0.00000000001)</f>
        <v>12320.604508646838</v>
      </c>
      <c r="P1596" s="166"/>
      <c r="Q1596" s="166">
        <f t="shared" si="334"/>
        <v>14476710.297660036</v>
      </c>
      <c r="R1596" s="71"/>
    </row>
    <row r="1597" spans="1:18" s="61" customFormat="1" x14ac:dyDescent="0.25">
      <c r="A1597" s="358"/>
      <c r="B1597" s="361"/>
      <c r="C1597" s="221"/>
      <c r="D1597" s="231" t="s">
        <v>49</v>
      </c>
      <c r="E1597" s="231" t="s">
        <v>28</v>
      </c>
      <c r="F1597" s="231" t="s">
        <v>28</v>
      </c>
      <c r="G1597" s="238">
        <f>MROUND(H1597*L1597*I1597/K1597,0.0000000000001)</f>
        <v>0.20939141106379999</v>
      </c>
      <c r="H1597" s="160">
        <f>H757</f>
        <v>4150</v>
      </c>
      <c r="I1597" s="159">
        <f t="shared" si="343"/>
        <v>5.9285520000000001E-2</v>
      </c>
      <c r="J1597" s="160"/>
      <c r="K1597" s="161">
        <f>K1596</f>
        <v>1175</v>
      </c>
      <c r="L1597" s="250">
        <v>1</v>
      </c>
      <c r="M1597" s="163" t="str">
        <f>CONCATENATE(H1597," ",F1597,"*",I1597,"/",K1597,"чел.")</f>
        <v>4150 шт*0,05928552/1175чел.</v>
      </c>
      <c r="N1597" s="164">
        <f>N757</f>
        <v>71617.619331325302</v>
      </c>
      <c r="O1597" s="165">
        <f>MROUND(G1597*N1597,0.00000000001)</f>
        <v>14996.114368816288</v>
      </c>
      <c r="P1597" s="166"/>
      <c r="Q1597" s="166">
        <f t="shared" si="334"/>
        <v>17620434.383359138</v>
      </c>
      <c r="R1597" s="71"/>
    </row>
    <row r="1598" spans="1:18" s="61" customFormat="1" x14ac:dyDescent="0.25">
      <c r="A1598" s="358"/>
      <c r="B1598" s="361"/>
      <c r="C1598" s="221"/>
      <c r="D1598" s="231" t="s">
        <v>49</v>
      </c>
      <c r="E1598" s="231" t="s">
        <v>101</v>
      </c>
      <c r="F1598" s="231" t="s">
        <v>101</v>
      </c>
      <c r="G1598" s="238">
        <f>MROUND(H1598*L1598*I1598/K1598,0.000000001)</f>
        <v>0.72020554300000006</v>
      </c>
      <c r="H1598" s="160">
        <f>H758</f>
        <v>14274</v>
      </c>
      <c r="I1598" s="159">
        <f t="shared" si="343"/>
        <v>5.9285520000000001E-2</v>
      </c>
      <c r="J1598" s="160"/>
      <c r="K1598" s="161">
        <f>K1597</f>
        <v>1175</v>
      </c>
      <c r="L1598" s="250">
        <v>1</v>
      </c>
      <c r="M1598" s="163" t="str">
        <f>CONCATENATE(H1598," ",F1598,"*",I1598,"/",K1598,"чел.")</f>
        <v>14274 погон.м.*0,05928552/1175чел.</v>
      </c>
      <c r="N1598" s="164">
        <f>N758</f>
        <v>2694.7750315258509</v>
      </c>
      <c r="O1598" s="165">
        <f>MROUND(G1598*N1598,0.00000001)</f>
        <v>1940.7919148400001</v>
      </c>
      <c r="P1598" s="166"/>
      <c r="Q1598" s="166">
        <f t="shared" si="334"/>
        <v>2280430.4999370002</v>
      </c>
      <c r="R1598" s="71"/>
    </row>
    <row r="1599" spans="1:18" s="62" customFormat="1" x14ac:dyDescent="0.25">
      <c r="A1599" s="358"/>
      <c r="B1599" s="361"/>
      <c r="C1599" s="218" t="s">
        <v>291</v>
      </c>
      <c r="D1599" s="232"/>
      <c r="E1599" s="232"/>
      <c r="F1599" s="232"/>
      <c r="G1599" s="227"/>
      <c r="H1599" s="228"/>
      <c r="I1599" s="206"/>
      <c r="J1599" s="228"/>
      <c r="K1599" s="207"/>
      <c r="L1599" s="257"/>
      <c r="M1599" s="209"/>
      <c r="N1599" s="210"/>
      <c r="O1599" s="198">
        <f>SUM(O1596:O1598)</f>
        <v>29257.510792303128</v>
      </c>
      <c r="P1599" s="267"/>
      <c r="Q1599" s="166"/>
      <c r="R1599" s="71"/>
    </row>
    <row r="1600" spans="1:18" s="61" customFormat="1" x14ac:dyDescent="0.25">
      <c r="A1600" s="358"/>
      <c r="B1600" s="361"/>
      <c r="C1600" s="221" t="s">
        <v>77</v>
      </c>
      <c r="D1600" s="231"/>
      <c r="E1600" s="231"/>
      <c r="F1600" s="231"/>
      <c r="G1600" s="238">
        <f>MROUND(H1600*L1600*I1600/K1600,0.00000000001)</f>
        <v>0</v>
      </c>
      <c r="H1600" s="160">
        <f>H1360</f>
        <v>0</v>
      </c>
      <c r="I1600" s="159">
        <f>I1598</f>
        <v>5.9285520000000001E-2</v>
      </c>
      <c r="J1600" s="160"/>
      <c r="K1600" s="161">
        <f>K1598</f>
        <v>1175</v>
      </c>
      <c r="L1600" s="250"/>
      <c r="M1600" s="163"/>
      <c r="N1600" s="164">
        <f>N1360</f>
        <v>0</v>
      </c>
      <c r="O1600" s="165">
        <f>MROUND(G1600*N1600,0.000000001)</f>
        <v>0</v>
      </c>
      <c r="P1600" s="166"/>
      <c r="Q1600" s="166">
        <f t="shared" si="334"/>
        <v>0</v>
      </c>
      <c r="R1600" s="71"/>
    </row>
    <row r="1601" spans="1:41" s="62" customFormat="1" x14ac:dyDescent="0.25">
      <c r="A1601" s="358"/>
      <c r="B1601" s="361"/>
      <c r="C1601" s="218" t="s">
        <v>292</v>
      </c>
      <c r="D1601" s="232"/>
      <c r="E1601" s="232"/>
      <c r="F1601" s="232"/>
      <c r="G1601" s="227"/>
      <c r="H1601" s="228"/>
      <c r="I1601" s="206"/>
      <c r="J1601" s="228"/>
      <c r="K1601" s="207"/>
      <c r="L1601" s="257"/>
      <c r="M1601" s="209"/>
      <c r="N1601" s="210"/>
      <c r="O1601" s="198">
        <f>O1600</f>
        <v>0</v>
      </c>
      <c r="P1601" s="267"/>
      <c r="Q1601" s="166"/>
      <c r="R1601" s="71"/>
    </row>
    <row r="1602" spans="1:41" s="61" customFormat="1" x14ac:dyDescent="0.25">
      <c r="A1602" s="358"/>
      <c r="B1602" s="361"/>
      <c r="C1602" s="221"/>
      <c r="D1602" s="350" t="s">
        <v>65</v>
      </c>
      <c r="E1602" s="350"/>
      <c r="F1602" s="350"/>
      <c r="G1602" s="350"/>
      <c r="H1602" s="195"/>
      <c r="I1602" s="159"/>
      <c r="J1602" s="195"/>
      <c r="K1602" s="161"/>
      <c r="L1602" s="196"/>
      <c r="M1602" s="230"/>
      <c r="N1602" s="164"/>
      <c r="O1602" s="165">
        <f t="shared" ref="O1602:O1609" si="345">MROUND(G1602*N1602,0.000001)</f>
        <v>0</v>
      </c>
      <c r="P1602" s="166"/>
      <c r="Q1602" s="166"/>
      <c r="R1602" s="71"/>
    </row>
    <row r="1603" spans="1:41" s="61" customFormat="1" x14ac:dyDescent="0.25">
      <c r="A1603" s="358"/>
      <c r="B1603" s="361"/>
      <c r="C1603" s="221"/>
      <c r="D1603" s="194"/>
      <c r="E1603" s="194"/>
      <c r="F1603" s="194"/>
      <c r="G1603" s="217"/>
      <c r="H1603" s="195"/>
      <c r="I1603" s="159"/>
      <c r="J1603" s="195"/>
      <c r="K1603" s="161"/>
      <c r="L1603" s="196"/>
      <c r="M1603" s="230"/>
      <c r="N1603" s="164"/>
      <c r="O1603" s="165">
        <f t="shared" si="345"/>
        <v>0</v>
      </c>
      <c r="P1603" s="166"/>
      <c r="Q1603" s="166"/>
      <c r="R1603" s="71"/>
    </row>
    <row r="1604" spans="1:41" s="61" customFormat="1" x14ac:dyDescent="0.25">
      <c r="A1604" s="358"/>
      <c r="B1604" s="361"/>
      <c r="C1604" s="221" t="s">
        <v>357</v>
      </c>
      <c r="D1604" s="368" t="s">
        <v>66</v>
      </c>
      <c r="E1604" s="368"/>
      <c r="F1604" s="368"/>
      <c r="G1604" s="368"/>
      <c r="H1604" s="195"/>
      <c r="I1604" s="159"/>
      <c r="J1604" s="195"/>
      <c r="K1604" s="161"/>
      <c r="L1604" s="234"/>
      <c r="M1604" s="230"/>
      <c r="N1604" s="164"/>
      <c r="O1604" s="198">
        <f>O1605</f>
        <v>9.1259219999999992</v>
      </c>
      <c r="P1604" s="166"/>
      <c r="Q1604" s="166"/>
      <c r="R1604" s="71"/>
    </row>
    <row r="1605" spans="1:41" s="61" customFormat="1" ht="47.25" x14ac:dyDescent="0.25">
      <c r="A1605" s="358"/>
      <c r="B1605" s="361"/>
      <c r="C1605" s="221"/>
      <c r="D1605" s="222" t="s">
        <v>374</v>
      </c>
      <c r="E1605" s="194" t="s">
        <v>28</v>
      </c>
      <c r="F1605" s="194" t="s">
        <v>28</v>
      </c>
      <c r="G1605" s="217">
        <f>MROUND(H1605*L1605*I1605/K1605,0.000000001)</f>
        <v>7.2656300000000004E-3</v>
      </c>
      <c r="H1605" s="201">
        <f>H1005</f>
        <v>36</v>
      </c>
      <c r="I1605" s="159">
        <f>I1600</f>
        <v>5.9285520000000001E-2</v>
      </c>
      <c r="J1605" s="195"/>
      <c r="K1605" s="161">
        <f>K1600</f>
        <v>1175</v>
      </c>
      <c r="L1605" s="235">
        <f>L1005</f>
        <v>4</v>
      </c>
      <c r="M1605" s="163" t="str">
        <f>CONCATENATE(H1605," ",F1605,"*",I1605,"/",K1605,"чел.")</f>
        <v>36 шт*0,05928552/1175чел.</v>
      </c>
      <c r="N1605" s="164">
        <f>N1005</f>
        <v>1256.0400000000006</v>
      </c>
      <c r="O1605" s="165">
        <f>MROUND(G1605*N1605,0.000001)</f>
        <v>9.1259219999999992</v>
      </c>
      <c r="P1605" s="166"/>
      <c r="Q1605" s="166">
        <f t="shared" ref="Q1605:Q1667" si="346">O1605*K1605</f>
        <v>10722.958349999999</v>
      </c>
      <c r="R1605" s="71"/>
    </row>
    <row r="1606" spans="1:41" s="61" customFormat="1" x14ac:dyDescent="0.25">
      <c r="A1606" s="358"/>
      <c r="B1606" s="361"/>
      <c r="C1606" s="221"/>
      <c r="D1606" s="368" t="s">
        <v>67</v>
      </c>
      <c r="E1606" s="368"/>
      <c r="F1606" s="368"/>
      <c r="G1606" s="368"/>
      <c r="H1606" s="195"/>
      <c r="I1606" s="159"/>
      <c r="J1606" s="195"/>
      <c r="K1606" s="161"/>
      <c r="L1606" s="196"/>
      <c r="M1606" s="230"/>
      <c r="N1606" s="164"/>
      <c r="O1606" s="165">
        <f t="shared" si="345"/>
        <v>0</v>
      </c>
      <c r="P1606" s="166"/>
      <c r="Q1606" s="166"/>
      <c r="R1606" s="71"/>
    </row>
    <row r="1607" spans="1:41" s="61" customFormat="1" x14ac:dyDescent="0.25">
      <c r="A1607" s="358"/>
      <c r="B1607" s="361"/>
      <c r="C1607" s="221"/>
      <c r="D1607" s="194"/>
      <c r="E1607" s="194"/>
      <c r="F1607" s="194"/>
      <c r="G1607" s="217"/>
      <c r="H1607" s="195"/>
      <c r="I1607" s="159"/>
      <c r="J1607" s="195"/>
      <c r="K1607" s="161"/>
      <c r="L1607" s="196"/>
      <c r="M1607" s="230"/>
      <c r="N1607" s="164"/>
      <c r="O1607" s="165">
        <f t="shared" si="345"/>
        <v>0</v>
      </c>
      <c r="P1607" s="166"/>
      <c r="Q1607" s="166"/>
      <c r="R1607" s="71"/>
    </row>
    <row r="1608" spans="1:41" s="61" customFormat="1" x14ac:dyDescent="0.25">
      <c r="A1608" s="358"/>
      <c r="B1608" s="361"/>
      <c r="C1608" s="221"/>
      <c r="D1608" s="350" t="s">
        <v>68</v>
      </c>
      <c r="E1608" s="350"/>
      <c r="F1608" s="350"/>
      <c r="G1608" s="350"/>
      <c r="H1608" s="195"/>
      <c r="I1608" s="159"/>
      <c r="J1608" s="195"/>
      <c r="K1608" s="161"/>
      <c r="L1608" s="196"/>
      <c r="M1608" s="230"/>
      <c r="N1608" s="164"/>
      <c r="O1608" s="165">
        <f t="shared" si="345"/>
        <v>0</v>
      </c>
      <c r="P1608" s="166"/>
      <c r="Q1608" s="166"/>
      <c r="R1608" s="71"/>
    </row>
    <row r="1609" spans="1:41" s="61" customFormat="1" x14ac:dyDescent="0.25">
      <c r="A1609" s="358"/>
      <c r="B1609" s="361"/>
      <c r="C1609" s="221"/>
      <c r="D1609" s="156"/>
      <c r="E1609" s="156"/>
      <c r="F1609" s="156"/>
      <c r="G1609" s="236"/>
      <c r="H1609" s="195"/>
      <c r="I1609" s="159"/>
      <c r="J1609" s="195"/>
      <c r="K1609" s="161"/>
      <c r="L1609" s="196"/>
      <c r="M1609" s="230"/>
      <c r="N1609" s="164"/>
      <c r="O1609" s="165">
        <f t="shared" si="345"/>
        <v>0</v>
      </c>
      <c r="P1609" s="166"/>
      <c r="Q1609" s="166"/>
      <c r="R1609" s="71"/>
    </row>
    <row r="1610" spans="1:41" s="61" customFormat="1" x14ac:dyDescent="0.25">
      <c r="A1610" s="358"/>
      <c r="B1610" s="361"/>
      <c r="C1610" s="221"/>
      <c r="D1610" s="368" t="s">
        <v>69</v>
      </c>
      <c r="E1610" s="368"/>
      <c r="F1610" s="368"/>
      <c r="G1610" s="368"/>
      <c r="H1610" s="187"/>
      <c r="I1610" s="159"/>
      <c r="J1610" s="187"/>
      <c r="K1610" s="161"/>
      <c r="L1610" s="276"/>
      <c r="M1610" s="230"/>
      <c r="N1610" s="164"/>
      <c r="O1610" s="198">
        <f>O1612+O1619+O1636+O1638+O1653+O1655+O1657+O1682+O1684+O1689+O1686</f>
        <v>3358.5827494499999</v>
      </c>
      <c r="P1610" s="166"/>
      <c r="Q1610" s="166"/>
      <c r="R1610" s="71"/>
    </row>
    <row r="1611" spans="1:41" s="61" customFormat="1" x14ac:dyDescent="0.25">
      <c r="A1611" s="358"/>
      <c r="B1611" s="361"/>
      <c r="C1611" s="221">
        <v>224</v>
      </c>
      <c r="D1611" s="156" t="s">
        <v>21</v>
      </c>
      <c r="E1611" s="156" t="s">
        <v>22</v>
      </c>
      <c r="F1611" s="156" t="s">
        <v>22</v>
      </c>
      <c r="G1611" s="238">
        <f>MROUND(H1611*L1611*I1611/K1611,0.000001)</f>
        <v>0</v>
      </c>
      <c r="H1611" s="158">
        <f>H51</f>
        <v>0</v>
      </c>
      <c r="I1611" s="159">
        <f>I1605</f>
        <v>5.9285520000000001E-2</v>
      </c>
      <c r="J1611" s="160"/>
      <c r="K1611" s="161">
        <f>K1605</f>
        <v>1175</v>
      </c>
      <c r="L1611" s="250"/>
      <c r="M1611" s="163"/>
      <c r="N1611" s="164">
        <f>N291</f>
        <v>0</v>
      </c>
      <c r="O1611" s="165">
        <f>MROUND(G1611*N1611,0.000001)</f>
        <v>0</v>
      </c>
      <c r="P1611" s="166"/>
      <c r="Q1611" s="166">
        <f t="shared" si="346"/>
        <v>0</v>
      </c>
      <c r="R1611" s="71"/>
    </row>
    <row r="1612" spans="1:41" s="62" customFormat="1" x14ac:dyDescent="0.25">
      <c r="A1612" s="358"/>
      <c r="B1612" s="361"/>
      <c r="C1612" s="218" t="s">
        <v>293</v>
      </c>
      <c r="D1612" s="240"/>
      <c r="E1612" s="240"/>
      <c r="F1612" s="240"/>
      <c r="G1612" s="227"/>
      <c r="H1612" s="241"/>
      <c r="I1612" s="206"/>
      <c r="J1612" s="228"/>
      <c r="K1612" s="207"/>
      <c r="L1612" s="257"/>
      <c r="M1612" s="209"/>
      <c r="N1612" s="210"/>
      <c r="O1612" s="198">
        <f>SUM(O1611)</f>
        <v>0</v>
      </c>
      <c r="P1612" s="267"/>
      <c r="Q1612" s="166"/>
      <c r="R1612" s="71"/>
    </row>
    <row r="1613" spans="1:41" s="61" customFormat="1" ht="31.5" x14ac:dyDescent="0.25">
      <c r="A1613" s="358"/>
      <c r="B1613" s="361"/>
      <c r="C1613" s="364" t="s">
        <v>78</v>
      </c>
      <c r="D1613" s="156" t="s">
        <v>26</v>
      </c>
      <c r="E1613" s="156" t="s">
        <v>22</v>
      </c>
      <c r="F1613" s="156" t="s">
        <v>22</v>
      </c>
      <c r="G1613" s="238">
        <f>MROUND(H1613*L1613*I1613/K1613,0.000001)</f>
        <v>15.645322999999999</v>
      </c>
      <c r="H1613" s="158">
        <f>H53</f>
        <v>25840</v>
      </c>
      <c r="I1613" s="159">
        <f>I1611</f>
        <v>5.9285520000000001E-2</v>
      </c>
      <c r="J1613" s="160"/>
      <c r="K1613" s="161">
        <f>K1611</f>
        <v>1175</v>
      </c>
      <c r="L1613" s="250">
        <v>12</v>
      </c>
      <c r="M1613" s="163" t="str">
        <f>CONCATENATE(H1613," ",F1613,"(обрабатываемая площадь в мес.)","*",L1613,"мес.","*",I1613,"/",K1613,"чел.")</f>
        <v>25840 м2(обрабатываемая площадь в мес.)*12мес.*0,05928552/1175чел.</v>
      </c>
      <c r="N1613" s="164">
        <f>N53</f>
        <v>1.1553999935500519</v>
      </c>
      <c r="O1613" s="165">
        <f t="shared" ref="O1613:O1618" si="347">MROUND(G1613*N1613,0.000001)</f>
        <v>18.076605999999998</v>
      </c>
      <c r="P1613" s="166"/>
      <c r="Q1613" s="166">
        <f t="shared" si="346"/>
        <v>21240.012049999998</v>
      </c>
      <c r="R1613" s="71"/>
    </row>
    <row r="1614" spans="1:41" s="61" customFormat="1" ht="31.5" x14ac:dyDescent="0.25">
      <c r="A1614" s="358"/>
      <c r="B1614" s="361"/>
      <c r="C1614" s="364"/>
      <c r="D1614" s="156" t="s">
        <v>96</v>
      </c>
      <c r="E1614" s="156" t="s">
        <v>22</v>
      </c>
      <c r="F1614" s="156" t="s">
        <v>22</v>
      </c>
      <c r="G1614" s="238">
        <f>MROUND(H1614*L1614*I1614/K1614,0.000001)</f>
        <v>8.0981500000000004</v>
      </c>
      <c r="H1614" s="158">
        <f>H54</f>
        <v>13375</v>
      </c>
      <c r="I1614" s="159">
        <f t="shared" si="343"/>
        <v>5.9285520000000001E-2</v>
      </c>
      <c r="J1614" s="160"/>
      <c r="K1614" s="161">
        <f>K1613</f>
        <v>1175</v>
      </c>
      <c r="L1614" s="250">
        <v>12</v>
      </c>
      <c r="M1614" s="163" t="str">
        <f>CONCATENATE(H1614," ",F1614,"(обрабатываемая площадь в мес.)","*",L1614,"мес.","*",I1614,"/",K1614,"чел.")</f>
        <v>13375 м2(обрабатываемая площадь в мес.)*12мес.*0,05928552/1175чел.</v>
      </c>
      <c r="N1614" s="164">
        <f>N54</f>
        <v>1.8530000000000004</v>
      </c>
      <c r="O1614" s="165">
        <f t="shared" si="347"/>
        <v>15.005872</v>
      </c>
      <c r="P1614" s="166"/>
      <c r="Q1614" s="166">
        <f t="shared" si="346"/>
        <v>17631.899600000001</v>
      </c>
      <c r="R1614" s="71"/>
    </row>
    <row r="1615" spans="1:41" s="135" customFormat="1" ht="31.5" x14ac:dyDescent="0.25">
      <c r="A1615" s="358"/>
      <c r="B1615" s="361"/>
      <c r="C1615" s="364"/>
      <c r="D1615" s="156" t="s">
        <v>385</v>
      </c>
      <c r="E1615" s="156" t="s">
        <v>22</v>
      </c>
      <c r="F1615" s="156" t="s">
        <v>22</v>
      </c>
      <c r="G1615" s="238">
        <f>MROUND(H1615*L1615*I1615/K1615,0.000001)</f>
        <v>16.196300000000001</v>
      </c>
      <c r="H1615" s="242">
        <f>$H$55</f>
        <v>13375</v>
      </c>
      <c r="I1615" s="159">
        <f t="shared" si="343"/>
        <v>5.9285520000000001E-2</v>
      </c>
      <c r="J1615" s="160"/>
      <c r="K1615" s="161">
        <f>K1614</f>
        <v>1175</v>
      </c>
      <c r="L1615" s="162">
        <v>24</v>
      </c>
      <c r="M1615" s="163" t="str">
        <f>CONCATENATE(H1615," ",F1615,"(обрабатываемая площадь в год)","*",L1615," раза в год.","*",I1615,"/",K1615,"чел.")</f>
        <v>13375 м2(обрабатываемая площадь в год)*24 раза в год.*0,05928552/1175чел.</v>
      </c>
      <c r="N1615" s="164">
        <f>$N$55</f>
        <v>2.2889999999999993</v>
      </c>
      <c r="O1615" s="165">
        <f t="shared" si="347"/>
        <v>37.073330999999996</v>
      </c>
      <c r="P1615" s="166"/>
      <c r="Q1615" s="166">
        <f t="shared" si="346"/>
        <v>43561.163924999993</v>
      </c>
      <c r="R1615" s="71"/>
      <c r="S1615" s="61"/>
      <c r="T1615" s="61"/>
      <c r="U1615" s="61"/>
      <c r="V1615" s="61"/>
      <c r="W1615" s="61"/>
      <c r="X1615" s="61"/>
      <c r="Y1615" s="61"/>
      <c r="Z1615" s="61"/>
      <c r="AA1615" s="61"/>
      <c r="AB1615" s="61"/>
      <c r="AC1615" s="61"/>
      <c r="AD1615" s="61"/>
      <c r="AE1615" s="61"/>
      <c r="AF1615" s="61"/>
      <c r="AG1615" s="61"/>
      <c r="AH1615" s="61"/>
      <c r="AI1615" s="61"/>
      <c r="AJ1615" s="61"/>
      <c r="AK1615" s="61"/>
      <c r="AL1615" s="61"/>
      <c r="AM1615" s="61"/>
      <c r="AN1615" s="61"/>
      <c r="AO1615" s="61"/>
    </row>
    <row r="1616" spans="1:41" s="135" customFormat="1" ht="31.5" x14ac:dyDescent="0.25">
      <c r="A1616" s="358"/>
      <c r="B1616" s="361"/>
      <c r="C1616" s="364"/>
      <c r="D1616" s="156" t="s">
        <v>394</v>
      </c>
      <c r="E1616" s="156" t="s">
        <v>22</v>
      </c>
      <c r="F1616" s="156" t="s">
        <v>22</v>
      </c>
      <c r="G1616" s="238">
        <f>MROUND(H1616*L1616*I1616/K1616,0.000001)</f>
        <v>15.645322999999999</v>
      </c>
      <c r="H1616" s="243">
        <f>$H$56</f>
        <v>25840</v>
      </c>
      <c r="I1616" s="159">
        <f t="shared" si="343"/>
        <v>5.9285520000000001E-2</v>
      </c>
      <c r="J1616" s="160"/>
      <c r="K1616" s="161">
        <f>K1615</f>
        <v>1175</v>
      </c>
      <c r="L1616" s="162">
        <v>12</v>
      </c>
      <c r="M1616" s="163" t="str">
        <f>CONCATENATE(H1616," ",F1616,"(обрабатываемая площадь в мес.)","*",L1616,"мес.","*",I1616,"/",K1616,"чел.")</f>
        <v>25840 м2(обрабатываемая площадь в мес.)*12мес.*0,05928552/1175чел.</v>
      </c>
      <c r="N1616" s="164">
        <f>$N$56</f>
        <v>0.54499999999999993</v>
      </c>
      <c r="O1616" s="165">
        <f t="shared" si="347"/>
        <v>8.5267009999999992</v>
      </c>
      <c r="P1616" s="166"/>
      <c r="Q1616" s="166">
        <f t="shared" si="346"/>
        <v>10018.873674999999</v>
      </c>
      <c r="R1616" s="71"/>
      <c r="S1616" s="61"/>
      <c r="T1616" s="61"/>
      <c r="U1616" s="61"/>
      <c r="V1616" s="61"/>
      <c r="W1616" s="61"/>
      <c r="X1616" s="61"/>
      <c r="Y1616" s="61"/>
      <c r="Z1616" s="61"/>
      <c r="AA1616" s="61"/>
      <c r="AB1616" s="61"/>
      <c r="AC1616" s="61"/>
      <c r="AD1616" s="61"/>
      <c r="AE1616" s="61"/>
      <c r="AF1616" s="61"/>
      <c r="AG1616" s="61"/>
      <c r="AH1616" s="61"/>
      <c r="AI1616" s="61"/>
      <c r="AJ1616" s="61"/>
      <c r="AK1616" s="61"/>
      <c r="AL1616" s="61"/>
      <c r="AM1616" s="61"/>
      <c r="AN1616" s="61"/>
      <c r="AO1616" s="61"/>
    </row>
    <row r="1617" spans="1:41" s="135" customFormat="1" ht="31.5" x14ac:dyDescent="0.25">
      <c r="A1617" s="358"/>
      <c r="B1617" s="361"/>
      <c r="C1617" s="364"/>
      <c r="D1617" s="156" t="s">
        <v>395</v>
      </c>
      <c r="E1617" s="156" t="s">
        <v>98</v>
      </c>
      <c r="F1617" s="156" t="s">
        <v>98</v>
      </c>
      <c r="G1617" s="238">
        <f>MROUND(H1617*L1617*I1617/K1617,0.0000000001)</f>
        <v>9.5563210000000002E-4</v>
      </c>
      <c r="H1617" s="242">
        <f>$H$57</f>
        <v>18.939999999999998</v>
      </c>
      <c r="I1617" s="159">
        <f t="shared" si="343"/>
        <v>5.9285520000000001E-2</v>
      </c>
      <c r="J1617" s="160"/>
      <c r="K1617" s="161">
        <f>K1616</f>
        <v>1175</v>
      </c>
      <c r="L1617" s="162">
        <v>1</v>
      </c>
      <c r="M1617" s="163" t="str">
        <f>CONCATENATE(H1617," ",F1617,"(обрабатываемая площадь в год)","*",L1617," раз в год","*",I1617,"/",K1617,"чел.")</f>
        <v>18,94 Га(обрабатываемая площадь в год)*1 раз в год*0,05928552/1175чел.</v>
      </c>
      <c r="N1617" s="164">
        <f>$N$57</f>
        <v>545</v>
      </c>
      <c r="O1617" s="165">
        <f t="shared" si="347"/>
        <v>0.52081899999999992</v>
      </c>
      <c r="P1617" s="166"/>
      <c r="Q1617" s="166">
        <f t="shared" si="346"/>
        <v>611.96232499999985</v>
      </c>
      <c r="R1617" s="71"/>
      <c r="S1617" s="61"/>
      <c r="T1617" s="61"/>
      <c r="U1617" s="61"/>
      <c r="V1617" s="61"/>
      <c r="W1617" s="61"/>
      <c r="X1617" s="61"/>
      <c r="Y1617" s="61"/>
      <c r="Z1617" s="61"/>
      <c r="AA1617" s="61"/>
      <c r="AB1617" s="61"/>
      <c r="AC1617" s="61"/>
      <c r="AD1617" s="61"/>
      <c r="AE1617" s="61"/>
      <c r="AF1617" s="61"/>
      <c r="AG1617" s="61"/>
      <c r="AH1617" s="61"/>
      <c r="AI1617" s="61"/>
      <c r="AJ1617" s="61"/>
      <c r="AK1617" s="61"/>
      <c r="AL1617" s="61"/>
      <c r="AM1617" s="61"/>
      <c r="AN1617" s="61"/>
      <c r="AO1617" s="61"/>
    </row>
    <row r="1618" spans="1:41" s="61" customFormat="1" ht="31.5" x14ac:dyDescent="0.25">
      <c r="A1618" s="358"/>
      <c r="B1618" s="361"/>
      <c r="C1618" s="364"/>
      <c r="D1618" s="156" t="s">
        <v>97</v>
      </c>
      <c r="E1618" s="156" t="s">
        <v>98</v>
      </c>
      <c r="F1618" s="156" t="s">
        <v>98</v>
      </c>
      <c r="G1618" s="238">
        <f>MROUND(H1618*L1618*I1618/K1618,0.000000001)</f>
        <v>9.556320000000001E-4</v>
      </c>
      <c r="H1618" s="242">
        <f>H538</f>
        <v>18.939999999999998</v>
      </c>
      <c r="I1618" s="244">
        <f>I1614</f>
        <v>5.9285520000000001E-2</v>
      </c>
      <c r="J1618" s="160"/>
      <c r="K1618" s="161">
        <f>K1614</f>
        <v>1175</v>
      </c>
      <c r="L1618" s="250">
        <v>1</v>
      </c>
      <c r="M1618" s="163" t="str">
        <f>CONCATENATE(H1618," ",F1618,"(обрабатываемая площадь в мес.)","*",L1618,"мес.","*",I1618,"/",K1618,"чел.")</f>
        <v>18,94 Га(обрабатываемая площадь в мес.)*1мес.*0,05928552/1175чел.</v>
      </c>
      <c r="N1618" s="164">
        <f>N538</f>
        <v>2965.979936642027</v>
      </c>
      <c r="O1618" s="165">
        <f t="shared" si="347"/>
        <v>2.8343849999999997</v>
      </c>
      <c r="P1618" s="166"/>
      <c r="Q1618" s="166">
        <f t="shared" si="346"/>
        <v>3330.4023749999997</v>
      </c>
      <c r="R1618" s="71"/>
    </row>
    <row r="1619" spans="1:41" s="62" customFormat="1" x14ac:dyDescent="0.25">
      <c r="A1619" s="358"/>
      <c r="B1619" s="361"/>
      <c r="C1619" s="245" t="s">
        <v>294</v>
      </c>
      <c r="D1619" s="240"/>
      <c r="E1619" s="240"/>
      <c r="F1619" s="240"/>
      <c r="G1619" s="227"/>
      <c r="H1619" s="241"/>
      <c r="I1619" s="206"/>
      <c r="J1619" s="228"/>
      <c r="K1619" s="207"/>
      <c r="L1619" s="257"/>
      <c r="M1619" s="209"/>
      <c r="N1619" s="210"/>
      <c r="O1619" s="198">
        <f>SUM(O1613:O1618)</f>
        <v>82.037713999999994</v>
      </c>
      <c r="P1619" s="267"/>
      <c r="Q1619" s="166"/>
      <c r="R1619" s="71"/>
    </row>
    <row r="1620" spans="1:41" s="61" customFormat="1" ht="63" x14ac:dyDescent="0.25">
      <c r="A1620" s="358"/>
      <c r="B1620" s="361"/>
      <c r="C1620" s="365" t="s">
        <v>77</v>
      </c>
      <c r="D1620" s="156" t="s">
        <v>29</v>
      </c>
      <c r="E1620" s="156" t="s">
        <v>58</v>
      </c>
      <c r="F1620" s="156" t="s">
        <v>218</v>
      </c>
      <c r="G1620" s="238">
        <f>MROUND(H1620*L1620*I1620/K1620,0.00000001)</f>
        <v>3.0273500000000003E-3</v>
      </c>
      <c r="H1620" s="158">
        <v>15</v>
      </c>
      <c r="I1620" s="159">
        <f>I1618</f>
        <v>5.9285520000000001E-2</v>
      </c>
      <c r="J1620" s="160"/>
      <c r="K1620" s="161">
        <f>K1618</f>
        <v>1175</v>
      </c>
      <c r="L1620" s="162">
        <v>4</v>
      </c>
      <c r="M1620" s="163" t="str">
        <f>CONCATENATE(H1620," ",F1620,"*",L1620," раза в год","*",I1620,"/",K1620,"чел.")</f>
        <v>15 установок*4 раза в год*0,05928552/1175чел.</v>
      </c>
      <c r="N1620" s="164">
        <f>N60</f>
        <v>721.75483333333329</v>
      </c>
      <c r="O1620" s="165">
        <f t="shared" ref="O1620:O1635" si="348">MROUND(G1620*N1620,0.000001)</f>
        <v>2.1850039999999997</v>
      </c>
      <c r="P1620" s="166"/>
      <c r="Q1620" s="166">
        <f t="shared" si="346"/>
        <v>2567.3796999999995</v>
      </c>
      <c r="R1620" s="71"/>
    </row>
    <row r="1621" spans="1:41" s="61" customFormat="1" ht="47.25" x14ac:dyDescent="0.25">
      <c r="A1621" s="358"/>
      <c r="B1621" s="361"/>
      <c r="C1621" s="366"/>
      <c r="D1621" s="156" t="s">
        <v>30</v>
      </c>
      <c r="E1621" s="156" t="s">
        <v>58</v>
      </c>
      <c r="F1621" s="156" t="s">
        <v>218</v>
      </c>
      <c r="G1621" s="238">
        <f>MROUND(H1621*L1621*I1621/K1621,0.00000001)</f>
        <v>1.5136699999999999E-3</v>
      </c>
      <c r="H1621" s="158">
        <v>15</v>
      </c>
      <c r="I1621" s="159">
        <f t="shared" si="343"/>
        <v>5.9285520000000001E-2</v>
      </c>
      <c r="J1621" s="160"/>
      <c r="K1621" s="161">
        <f t="shared" ref="K1621:K1629" si="349">K1620</f>
        <v>1175</v>
      </c>
      <c r="L1621" s="250">
        <v>2</v>
      </c>
      <c r="M1621" s="163" t="str">
        <f>CONCATENATE(H1621," ",F1621,"*",L1621,"полуг.","*",I1621,"/",K1621,"чел.")</f>
        <v>15 установок*2полуг.*0,05928552/1175чел.</v>
      </c>
      <c r="N1621" s="164">
        <f>N901</f>
        <v>721.75266666666664</v>
      </c>
      <c r="O1621" s="165">
        <f t="shared" si="348"/>
        <v>1.092495</v>
      </c>
      <c r="P1621" s="166"/>
      <c r="Q1621" s="166">
        <f t="shared" si="346"/>
        <v>1283.6816249999999</v>
      </c>
      <c r="R1621" s="71"/>
    </row>
    <row r="1622" spans="1:41" s="61" customFormat="1" ht="31.5" x14ac:dyDescent="0.25">
      <c r="A1622" s="358"/>
      <c r="B1622" s="361"/>
      <c r="C1622" s="366"/>
      <c r="D1622" s="156" t="s">
        <v>397</v>
      </c>
      <c r="E1622" s="156" t="s">
        <v>433</v>
      </c>
      <c r="F1622" s="156" t="s">
        <v>433</v>
      </c>
      <c r="G1622" s="238">
        <f>MROUND(H1622*L1622*I1622/K1622,0.000001)</f>
        <v>3.0272999999999998E-2</v>
      </c>
      <c r="H1622" s="158">
        <f>H542</f>
        <v>600</v>
      </c>
      <c r="I1622" s="159">
        <f t="shared" si="343"/>
        <v>5.9285520000000001E-2</v>
      </c>
      <c r="J1622" s="160"/>
      <c r="K1622" s="161">
        <f t="shared" si="349"/>
        <v>1175</v>
      </c>
      <c r="L1622" s="162">
        <v>1</v>
      </c>
      <c r="M1622" s="163" t="str">
        <f>CONCATENATE(H1622," ",F1622,"(обрабатываемая площадь в год)","*",L1622," раз в год","*",I1622,"/",K1622,"чел.")</f>
        <v>600 м2.(обрабатываемая площадь в год)*1 раз в год*0,05928552/1175чел.</v>
      </c>
      <c r="N1622" s="164">
        <f>N542</f>
        <v>300</v>
      </c>
      <c r="O1622" s="165">
        <f t="shared" si="348"/>
        <v>9.0818999999999992</v>
      </c>
      <c r="P1622" s="166"/>
      <c r="Q1622" s="166">
        <f t="shared" si="346"/>
        <v>10671.232499999998</v>
      </c>
      <c r="R1622" s="71"/>
    </row>
    <row r="1623" spans="1:41" s="61" customFormat="1" ht="47.25" x14ac:dyDescent="0.25">
      <c r="A1623" s="358"/>
      <c r="B1623" s="361"/>
      <c r="C1623" s="366"/>
      <c r="D1623" s="156" t="s">
        <v>32</v>
      </c>
      <c r="E1623" s="156" t="s">
        <v>55</v>
      </c>
      <c r="F1623" s="156" t="s">
        <v>219</v>
      </c>
      <c r="G1623" s="238">
        <f>MROUND(H1623*L1623*I1623/K1623,0.000000001)</f>
        <v>7.2656300000000004E-3</v>
      </c>
      <c r="H1623" s="158">
        <f>H903</f>
        <v>36</v>
      </c>
      <c r="I1623" s="159">
        <f>I1622</f>
        <v>5.9285520000000001E-2</v>
      </c>
      <c r="J1623" s="160"/>
      <c r="K1623" s="161">
        <f t="shared" si="349"/>
        <v>1175</v>
      </c>
      <c r="L1623" s="250">
        <v>4</v>
      </c>
      <c r="M1623" s="163" t="str">
        <f>CONCATENATE(H1623," ",F1623,"*",L1623,"кв.","*",I1623,"/",K1623,"чел.")</f>
        <v>36 системы*4кв.*0,05928552/1175чел.</v>
      </c>
      <c r="N1623" s="164">
        <f>N903</f>
        <v>6924.5277777777774</v>
      </c>
      <c r="O1623" s="165">
        <f t="shared" si="348"/>
        <v>50.311056999999998</v>
      </c>
      <c r="P1623" s="166"/>
      <c r="Q1623" s="166">
        <f t="shared" si="346"/>
        <v>59115.491974999997</v>
      </c>
      <c r="R1623" s="71"/>
    </row>
    <row r="1624" spans="1:41" s="61" customFormat="1" ht="63" x14ac:dyDescent="0.25">
      <c r="A1624" s="358"/>
      <c r="B1624" s="361"/>
      <c r="C1624" s="366"/>
      <c r="D1624" s="156" t="s">
        <v>33</v>
      </c>
      <c r="E1624" s="156" t="s">
        <v>56</v>
      </c>
      <c r="F1624" s="156" t="s">
        <v>220</v>
      </c>
      <c r="G1624" s="238">
        <f>MROUND(H1624*L1624*I1624/K1624,0.000000001)</f>
        <v>1.8164070000000001E-3</v>
      </c>
      <c r="H1624" s="158">
        <f>$H$64</f>
        <v>36</v>
      </c>
      <c r="I1624" s="159">
        <f>I1623</f>
        <v>5.9285520000000001E-2</v>
      </c>
      <c r="J1624" s="160"/>
      <c r="K1624" s="161">
        <f t="shared" si="349"/>
        <v>1175</v>
      </c>
      <c r="L1624" s="162">
        <v>1</v>
      </c>
      <c r="M1624" s="163" t="str">
        <f>CONCATENATE(H1624," ",F1624,"*",L1624," раз в год","*",I1624,"/",K1624,"чел.")</f>
        <v>36 дымоходов*1 раз в год*0,05928552/1175чел.</v>
      </c>
      <c r="N1624" s="164">
        <f>N64</f>
        <v>6540</v>
      </c>
      <c r="O1624" s="165">
        <f t="shared" si="348"/>
        <v>11.879301999999999</v>
      </c>
      <c r="P1624" s="166"/>
      <c r="Q1624" s="166">
        <f t="shared" si="346"/>
        <v>13958.179849999999</v>
      </c>
      <c r="R1624" s="71"/>
    </row>
    <row r="1625" spans="1:41" s="61" customFormat="1" x14ac:dyDescent="0.25">
      <c r="A1625" s="358"/>
      <c r="B1625" s="361"/>
      <c r="C1625" s="366"/>
      <c r="D1625" s="194" t="s">
        <v>398</v>
      </c>
      <c r="E1625" s="156" t="s">
        <v>60</v>
      </c>
      <c r="F1625" s="156" t="s">
        <v>60</v>
      </c>
      <c r="G1625" s="238">
        <f>MROUND(H1625*L1625*I1625/K1625,0.000000001)</f>
        <v>1.7659520000000001E-3</v>
      </c>
      <c r="H1625" s="246">
        <f>H65</f>
        <v>35</v>
      </c>
      <c r="I1625" s="159">
        <f t="shared" si="343"/>
        <v>5.9285520000000001E-2</v>
      </c>
      <c r="J1625" s="160"/>
      <c r="K1625" s="161">
        <f t="shared" si="349"/>
        <v>1175</v>
      </c>
      <c r="L1625" s="250">
        <v>1</v>
      </c>
      <c r="M1625" s="163" t="str">
        <f>CONCATENATE(H1625," ",F1625,"*",I1625,"/",K1625,"чел.")</f>
        <v>35 шт.*0,05928552/1175чел.</v>
      </c>
      <c r="N1625" s="164">
        <f>N65</f>
        <v>11009</v>
      </c>
      <c r="O1625" s="165">
        <f t="shared" si="348"/>
        <v>19.441365999999999</v>
      </c>
      <c r="P1625" s="166"/>
      <c r="Q1625" s="166">
        <f t="shared" si="346"/>
        <v>22843.605049999998</v>
      </c>
      <c r="R1625" s="71"/>
    </row>
    <row r="1626" spans="1:41" s="61" customFormat="1" ht="47.25" x14ac:dyDescent="0.25">
      <c r="A1626" s="358"/>
      <c r="B1626" s="361"/>
      <c r="C1626" s="366"/>
      <c r="D1626" s="156" t="s">
        <v>401</v>
      </c>
      <c r="E1626" s="156" t="s">
        <v>60</v>
      </c>
      <c r="F1626" s="156" t="s">
        <v>402</v>
      </c>
      <c r="G1626" s="238">
        <f>MROUND(H1626*L1626*I1626/K1626,0.000001)</f>
        <v>3.532E-3</v>
      </c>
      <c r="H1626" s="246">
        <f>H66</f>
        <v>35</v>
      </c>
      <c r="I1626" s="159">
        <f t="shared" si="343"/>
        <v>5.9285520000000001E-2</v>
      </c>
      <c r="J1626" s="160"/>
      <c r="K1626" s="161">
        <f t="shared" si="349"/>
        <v>1175</v>
      </c>
      <c r="L1626" s="162">
        <v>2</v>
      </c>
      <c r="M1626" s="163" t="str">
        <f>CONCATENATE(H1626," ",F1626,"*",L1626," раз в год","*",I1626,"/",K1626,"чел.")</f>
        <v>35 противопожарных водопроводов*2 раз в год*0,05928552/1175чел.</v>
      </c>
      <c r="N1626" s="164">
        <f>N66</f>
        <v>5450</v>
      </c>
      <c r="O1626" s="165">
        <f t="shared" si="348"/>
        <v>19.249399999999998</v>
      </c>
      <c r="P1626" s="166"/>
      <c r="Q1626" s="166">
        <f t="shared" si="346"/>
        <v>22618.044999999998</v>
      </c>
      <c r="R1626" s="71"/>
    </row>
    <row r="1627" spans="1:41" s="61" customFormat="1" ht="31.5" x14ac:dyDescent="0.25">
      <c r="A1627" s="358"/>
      <c r="B1627" s="361"/>
      <c r="C1627" s="366"/>
      <c r="D1627" s="156" t="s">
        <v>221</v>
      </c>
      <c r="E1627" s="156" t="s">
        <v>60</v>
      </c>
      <c r="F1627" s="156" t="s">
        <v>60</v>
      </c>
      <c r="G1627" s="238">
        <f>MROUND(H1627*L1627*I1627/K1627,0.000000001)</f>
        <v>1.0898445000000001E-2</v>
      </c>
      <c r="H1627" s="158">
        <f>H67</f>
        <v>18</v>
      </c>
      <c r="I1627" s="159">
        <f t="shared" si="343"/>
        <v>5.9285520000000001E-2</v>
      </c>
      <c r="J1627" s="160"/>
      <c r="K1627" s="161">
        <f t="shared" si="349"/>
        <v>1175</v>
      </c>
      <c r="L1627" s="250">
        <v>12</v>
      </c>
      <c r="M1627" s="163" t="str">
        <f>CONCATENATE(H1627," ",F1627,"*",L1627,"мес.","*",I1627,"/",K1627,"чел.")</f>
        <v>18 шт.*12мес.*0,05928552/1175чел.</v>
      </c>
      <c r="N1627" s="164">
        <f>N547</f>
        <v>6288.0888888888885</v>
      </c>
      <c r="O1627" s="165">
        <f t="shared" si="348"/>
        <v>68.530390999999995</v>
      </c>
      <c r="P1627" s="166"/>
      <c r="Q1627" s="166">
        <f t="shared" si="346"/>
        <v>80523.209424999994</v>
      </c>
      <c r="R1627" s="71"/>
    </row>
    <row r="1628" spans="1:41" s="61" customFormat="1" ht="47.25" x14ac:dyDescent="0.25">
      <c r="A1628" s="358"/>
      <c r="B1628" s="361"/>
      <c r="C1628" s="366"/>
      <c r="D1628" s="156" t="s">
        <v>34</v>
      </c>
      <c r="E1628" s="156" t="s">
        <v>59</v>
      </c>
      <c r="F1628" s="156" t="s">
        <v>28</v>
      </c>
      <c r="G1628" s="238">
        <f>MROUND(H1628*L1628*I1628/K1628,0.0000000001)</f>
        <v>1.009115E-4</v>
      </c>
      <c r="H1628" s="158">
        <f>H188</f>
        <v>2</v>
      </c>
      <c r="I1628" s="159">
        <f t="shared" si="343"/>
        <v>5.9285520000000001E-2</v>
      </c>
      <c r="J1628" s="160"/>
      <c r="K1628" s="161">
        <f t="shared" si="349"/>
        <v>1175</v>
      </c>
      <c r="L1628" s="250">
        <v>1</v>
      </c>
      <c r="M1628" s="163" t="str">
        <f>CONCATENATE(H1628," ",F1628,"*",I1628,"/",K1628,"чел.")</f>
        <v>2 шт*0,05928552/1175чел.</v>
      </c>
      <c r="N1628" s="164">
        <f>N68</f>
        <v>7500</v>
      </c>
      <c r="O1628" s="165">
        <f t="shared" si="348"/>
        <v>0.75683599999999995</v>
      </c>
      <c r="P1628" s="166"/>
      <c r="Q1628" s="166">
        <f t="shared" si="346"/>
        <v>889.28229999999996</v>
      </c>
      <c r="R1628" s="71"/>
    </row>
    <row r="1629" spans="1:41" s="61" customFormat="1" ht="47.25" x14ac:dyDescent="0.25">
      <c r="A1629" s="358"/>
      <c r="B1629" s="361"/>
      <c r="C1629" s="366"/>
      <c r="D1629" s="156" t="s">
        <v>222</v>
      </c>
      <c r="E1629" s="156" t="s">
        <v>60</v>
      </c>
      <c r="F1629" s="156" t="s">
        <v>60</v>
      </c>
      <c r="G1629" s="238">
        <f>MROUND(H1629*L1629*I1629/K1629,0.00000000001)</f>
        <v>1.7659516599999999E-3</v>
      </c>
      <c r="H1629" s="248">
        <f>H909</f>
        <v>35</v>
      </c>
      <c r="I1629" s="159">
        <f t="shared" si="343"/>
        <v>5.9285520000000001E-2</v>
      </c>
      <c r="J1629" s="160"/>
      <c r="K1629" s="161">
        <f t="shared" si="349"/>
        <v>1175</v>
      </c>
      <c r="L1629" s="250">
        <v>1</v>
      </c>
      <c r="M1629" s="163" t="str">
        <f>CONCATENATE(H1629," ",F1629,"*",I1629,"/",K1629,"чел.")</f>
        <v>35 шт.*0,05928552/1175чел.</v>
      </c>
      <c r="N1629" s="164">
        <f>N69</f>
        <v>8189.7714285714283</v>
      </c>
      <c r="O1629" s="165">
        <f>MROUND(G1629*N1629,0.00000001)</f>
        <v>14.46274045</v>
      </c>
      <c r="P1629" s="166"/>
      <c r="Q1629" s="166">
        <f t="shared" si="346"/>
        <v>16993.720028750002</v>
      </c>
      <c r="R1629" s="71"/>
    </row>
    <row r="1630" spans="1:41" s="61" customFormat="1" ht="31.5" x14ac:dyDescent="0.25">
      <c r="A1630" s="358"/>
      <c r="B1630" s="361"/>
      <c r="C1630" s="366"/>
      <c r="D1630" s="156" t="s">
        <v>35</v>
      </c>
      <c r="E1630" s="156" t="s">
        <v>102</v>
      </c>
      <c r="F1630" s="156" t="s">
        <v>223</v>
      </c>
      <c r="G1630" s="238">
        <f>MROUND(H1630*L1630*I1630/K1630,0.00000001)</f>
        <v>1.7659500000000001E-3</v>
      </c>
      <c r="H1630" s="158">
        <f>H70</f>
        <v>35</v>
      </c>
      <c r="I1630" s="159">
        <f>I1628</f>
        <v>5.9285520000000001E-2</v>
      </c>
      <c r="J1630" s="160"/>
      <c r="K1630" s="161">
        <f>K1628</f>
        <v>1175</v>
      </c>
      <c r="L1630" s="250">
        <v>1</v>
      </c>
      <c r="M1630" s="163" t="str">
        <f>CONCATENATE(H1630," ",F1630,"*",I1630,"/",K1630,"чел.")</f>
        <v>35 замеров*0,05928552/1175чел.</v>
      </c>
      <c r="N1630" s="164">
        <f>N70</f>
        <v>20142.857142857141</v>
      </c>
      <c r="O1630" s="165">
        <f t="shared" si="348"/>
        <v>35.571278999999997</v>
      </c>
      <c r="P1630" s="166"/>
      <c r="Q1630" s="166">
        <f t="shared" si="346"/>
        <v>41796.252824999996</v>
      </c>
      <c r="R1630" s="71"/>
    </row>
    <row r="1631" spans="1:41" s="61" customFormat="1" ht="47.25" x14ac:dyDescent="0.25">
      <c r="A1631" s="358"/>
      <c r="B1631" s="361"/>
      <c r="C1631" s="366"/>
      <c r="D1631" s="156" t="s">
        <v>399</v>
      </c>
      <c r="E1631" s="156" t="s">
        <v>60</v>
      </c>
      <c r="F1631" s="156" t="s">
        <v>60</v>
      </c>
      <c r="G1631" s="238">
        <f>MROUND(H1631*L1631*I1631/K1631,0.000000001)</f>
        <v>1.7659517E-2</v>
      </c>
      <c r="H1631" s="158">
        <f>H1031</f>
        <v>35</v>
      </c>
      <c r="I1631" s="159">
        <f t="shared" si="343"/>
        <v>5.9285520000000001E-2</v>
      </c>
      <c r="J1631" s="160"/>
      <c r="K1631" s="161">
        <f>K1630</f>
        <v>1175</v>
      </c>
      <c r="L1631" s="250">
        <v>10</v>
      </c>
      <c r="M1631" s="163" t="str">
        <f>CONCATENATE(H1631," ",F1631,"*",L1631,"мес.","*",I1631,"/",K1631,"чел.")</f>
        <v>35 шт.*10мес.*0,05928552/1175чел.</v>
      </c>
      <c r="N1631" s="164">
        <f>N1031</f>
        <v>3107.903028571428</v>
      </c>
      <c r="O1631" s="165">
        <f t="shared" si="348"/>
        <v>54.884065999999997</v>
      </c>
      <c r="P1631" s="166"/>
      <c r="Q1631" s="166">
        <f t="shared" si="346"/>
        <v>64488.777549999999</v>
      </c>
      <c r="R1631" s="71"/>
    </row>
    <row r="1632" spans="1:41" s="61" customFormat="1" ht="47.25" x14ac:dyDescent="0.25">
      <c r="A1632" s="358"/>
      <c r="B1632" s="361"/>
      <c r="C1632" s="366"/>
      <c r="D1632" s="156" t="s">
        <v>36</v>
      </c>
      <c r="E1632" s="156" t="s">
        <v>31</v>
      </c>
      <c r="F1632" s="156" t="s">
        <v>224</v>
      </c>
      <c r="G1632" s="238">
        <f>MROUND(H1632*L1632*I1632/K1632,0.00000001)</f>
        <v>2.1796889999999999E-2</v>
      </c>
      <c r="H1632" s="158">
        <f>H912</f>
        <v>36</v>
      </c>
      <c r="I1632" s="159">
        <f t="shared" si="343"/>
        <v>5.9285520000000001E-2</v>
      </c>
      <c r="J1632" s="160"/>
      <c r="K1632" s="161">
        <f>K1631</f>
        <v>1175</v>
      </c>
      <c r="L1632" s="250">
        <v>12</v>
      </c>
      <c r="M1632" s="163" t="str">
        <f>CONCATENATE(H1632," ",F1632,"*",L1632,"мес.","*",I1632,"/",K1632,"чел.")</f>
        <v>36 устройств*12мес.*0,05928552/1175чел.</v>
      </c>
      <c r="N1632" s="164">
        <f>N72</f>
        <v>2200</v>
      </c>
      <c r="O1632" s="165">
        <f t="shared" si="348"/>
        <v>47.953157999999995</v>
      </c>
      <c r="P1632" s="166"/>
      <c r="Q1632" s="166">
        <f t="shared" si="346"/>
        <v>56344.960649999994</v>
      </c>
      <c r="R1632" s="71"/>
    </row>
    <row r="1633" spans="1:18" s="61" customFormat="1" ht="31.5" x14ac:dyDescent="0.25">
      <c r="A1633" s="358"/>
      <c r="B1633" s="361"/>
      <c r="C1633" s="366"/>
      <c r="D1633" s="156" t="s">
        <v>99</v>
      </c>
      <c r="E1633" s="156" t="s">
        <v>103</v>
      </c>
      <c r="F1633" s="156" t="s">
        <v>225</v>
      </c>
      <c r="G1633" s="238">
        <f>MROUND(H1633*L1633*I1633/K1633,0.00000001)</f>
        <v>1.917319E-2</v>
      </c>
      <c r="H1633" s="158">
        <f>H73</f>
        <v>380</v>
      </c>
      <c r="I1633" s="159">
        <f t="shared" si="343"/>
        <v>5.9285520000000001E-2</v>
      </c>
      <c r="J1633" s="160"/>
      <c r="K1633" s="161">
        <f>K1632</f>
        <v>1175</v>
      </c>
      <c r="L1633" s="250">
        <v>1</v>
      </c>
      <c r="M1633" s="163" t="str">
        <f>CONCATENATE(H1633," ",F1633,"*",I1633,"/",K1633,"чел.")</f>
        <v>380 ед.*0,05928552/1175чел.</v>
      </c>
      <c r="N1633" s="164">
        <f>N73</f>
        <v>15000</v>
      </c>
      <c r="O1633" s="165">
        <f t="shared" si="348"/>
        <v>287.59784999999999</v>
      </c>
      <c r="P1633" s="166"/>
      <c r="Q1633" s="166">
        <f t="shared" si="346"/>
        <v>337927.47375</v>
      </c>
      <c r="R1633" s="71"/>
    </row>
    <row r="1634" spans="1:18" s="61" customFormat="1" x14ac:dyDescent="0.25">
      <c r="A1634" s="358"/>
      <c r="B1634" s="361"/>
      <c r="C1634" s="366"/>
      <c r="D1634" s="156" t="s">
        <v>27</v>
      </c>
      <c r="E1634" s="156" t="s">
        <v>28</v>
      </c>
      <c r="F1634" s="156" t="s">
        <v>28</v>
      </c>
      <c r="G1634" s="238">
        <f>MROUND(H1634*L1634*I1634/K1634,0.000001)</f>
        <v>0.28835499999999997</v>
      </c>
      <c r="H1634" s="160">
        <f>H74</f>
        <v>5715</v>
      </c>
      <c r="I1634" s="159">
        <f t="shared" si="343"/>
        <v>5.9285520000000001E-2</v>
      </c>
      <c r="J1634" s="160"/>
      <c r="K1634" s="161">
        <f>K1633</f>
        <v>1175</v>
      </c>
      <c r="L1634" s="250">
        <v>1</v>
      </c>
      <c r="M1634" s="163" t="str">
        <f>CONCATENATE(H1634," ",F1634,"*",I1634,"/",K1634,"чел.")</f>
        <v>5715 шт*0,05928552/1175чел.</v>
      </c>
      <c r="N1634" s="164">
        <f>N74</f>
        <v>400</v>
      </c>
      <c r="O1634" s="165">
        <f t="shared" si="348"/>
        <v>115.342</v>
      </c>
      <c r="P1634" s="166"/>
      <c r="Q1634" s="166">
        <f t="shared" si="346"/>
        <v>135526.85</v>
      </c>
      <c r="R1634" s="71"/>
    </row>
    <row r="1635" spans="1:18" s="61" customFormat="1" ht="31.5" x14ac:dyDescent="0.25">
      <c r="A1635" s="358"/>
      <c r="B1635" s="361"/>
      <c r="C1635" s="367"/>
      <c r="D1635" s="156" t="s">
        <v>104</v>
      </c>
      <c r="E1635" s="156" t="s">
        <v>105</v>
      </c>
      <c r="F1635" s="156" t="s">
        <v>226</v>
      </c>
      <c r="G1635" s="238">
        <f>MROUND(H1635*L1635*I1635/K1635,0.00000001)</f>
        <v>1.8164100000000001E-3</v>
      </c>
      <c r="H1635" s="160">
        <f>H555</f>
        <v>36</v>
      </c>
      <c r="I1635" s="159">
        <f t="shared" si="343"/>
        <v>5.9285520000000001E-2</v>
      </c>
      <c r="J1635" s="160"/>
      <c r="K1635" s="161">
        <f>K1634</f>
        <v>1175</v>
      </c>
      <c r="L1635" s="250">
        <v>1</v>
      </c>
      <c r="M1635" s="163" t="str">
        <f>CONCATENATE(H1635," ",F1635,"*",I1635,"/",K1635,"чел.")</f>
        <v>36 отключений*0,05928552/1175чел.</v>
      </c>
      <c r="N1635" s="164">
        <f>N75</f>
        <v>9810</v>
      </c>
      <c r="O1635" s="165">
        <f t="shared" si="348"/>
        <v>17.818981999999998</v>
      </c>
      <c r="P1635" s="166"/>
      <c r="Q1635" s="166">
        <f t="shared" si="346"/>
        <v>20937.303849999997</v>
      </c>
      <c r="R1635" s="71"/>
    </row>
    <row r="1636" spans="1:18" s="62" customFormat="1" x14ac:dyDescent="0.25">
      <c r="A1636" s="358"/>
      <c r="B1636" s="361"/>
      <c r="C1636" s="249" t="s">
        <v>292</v>
      </c>
      <c r="D1636" s="240"/>
      <c r="E1636" s="240"/>
      <c r="F1636" s="240"/>
      <c r="G1636" s="227"/>
      <c r="H1636" s="228"/>
      <c r="I1636" s="206"/>
      <c r="J1636" s="228"/>
      <c r="K1636" s="207"/>
      <c r="L1636" s="257"/>
      <c r="M1636" s="209"/>
      <c r="N1636" s="210"/>
      <c r="O1636" s="198">
        <f>SUM(O1620:O1635)</f>
        <v>756.15782645000002</v>
      </c>
      <c r="P1636" s="267"/>
      <c r="Q1636" s="166"/>
      <c r="R1636" s="71"/>
    </row>
    <row r="1637" spans="1:18" s="61" customFormat="1" ht="31.5" x14ac:dyDescent="0.25">
      <c r="A1637" s="358"/>
      <c r="B1637" s="361"/>
      <c r="C1637" s="221" t="s">
        <v>79</v>
      </c>
      <c r="D1637" s="156" t="s">
        <v>37</v>
      </c>
      <c r="E1637" s="156" t="s">
        <v>61</v>
      </c>
      <c r="F1637" s="156" t="s">
        <v>227</v>
      </c>
      <c r="G1637" s="238">
        <f>MROUND(H1637*L1637*I1637/K1637,0.000000001)</f>
        <v>2.0182300000000001E-4</v>
      </c>
      <c r="H1637" s="158">
        <f>H77</f>
        <v>4</v>
      </c>
      <c r="I1637" s="159">
        <f>I1635</f>
        <v>5.9285520000000001E-2</v>
      </c>
      <c r="J1637" s="160"/>
      <c r="K1637" s="161">
        <f>K1635</f>
        <v>1175</v>
      </c>
      <c r="L1637" s="250">
        <v>1</v>
      </c>
      <c r="M1637" s="163" t="str">
        <f>CONCATENATE(H1637," ",F1637,"*",I1637,"/",K1637,"чел.")</f>
        <v>4 автобуса*0,05928552/1175чел.</v>
      </c>
      <c r="N1637" s="164">
        <f>N77</f>
        <v>93408.640000000014</v>
      </c>
      <c r="O1637" s="165">
        <f>MROUND(G1637*N1637,0.000001)</f>
        <v>18.852011999999998</v>
      </c>
      <c r="P1637" s="166"/>
      <c r="Q1637" s="166">
        <f t="shared" si="346"/>
        <v>22151.114099999999</v>
      </c>
      <c r="R1637" s="71"/>
    </row>
    <row r="1638" spans="1:18" s="62" customFormat="1" x14ac:dyDescent="0.25">
      <c r="A1638" s="358"/>
      <c r="B1638" s="361"/>
      <c r="C1638" s="218" t="s">
        <v>295</v>
      </c>
      <c r="D1638" s="240"/>
      <c r="E1638" s="240"/>
      <c r="F1638" s="240"/>
      <c r="G1638" s="227"/>
      <c r="H1638" s="241"/>
      <c r="I1638" s="206"/>
      <c r="J1638" s="228"/>
      <c r="K1638" s="207"/>
      <c r="L1638" s="257"/>
      <c r="M1638" s="209"/>
      <c r="N1638" s="210"/>
      <c r="O1638" s="198">
        <f>SUM(O1637)</f>
        <v>18.852011999999998</v>
      </c>
      <c r="P1638" s="267"/>
      <c r="Q1638" s="166"/>
      <c r="R1638" s="71"/>
    </row>
    <row r="1639" spans="1:18" s="61" customFormat="1" x14ac:dyDescent="0.25">
      <c r="A1639" s="358"/>
      <c r="B1639" s="361"/>
      <c r="C1639" s="364" t="s">
        <v>80</v>
      </c>
      <c r="D1639" s="156" t="s">
        <v>38</v>
      </c>
      <c r="E1639" s="156" t="s">
        <v>57</v>
      </c>
      <c r="F1639" s="156" t="s">
        <v>228</v>
      </c>
      <c r="G1639" s="238">
        <f>MROUND(H1639*L1639*I1639/K1639,0.0000000001)</f>
        <v>2.1796889100000001E-2</v>
      </c>
      <c r="H1639" s="158">
        <f>H79</f>
        <v>36</v>
      </c>
      <c r="I1639" s="159">
        <f>I1637</f>
        <v>5.9285520000000001E-2</v>
      </c>
      <c r="J1639" s="160"/>
      <c r="K1639" s="161">
        <f>K1637</f>
        <v>1175</v>
      </c>
      <c r="L1639" s="250">
        <v>12</v>
      </c>
      <c r="M1639" s="163" t="str">
        <f>CONCATENATE(H1639," ",F1639,"*",L1639,"мес.","*",I1639,"/",K1639,"чел.")</f>
        <v>36 зданий*12мес.*0,05928552/1175чел.</v>
      </c>
      <c r="N1639" s="164">
        <f t="shared" ref="N1639:N1647" si="350">N79</f>
        <v>4694.6300000000019</v>
      </c>
      <c r="O1639" s="165">
        <f>MROUND(G1639*N1639,0.000001)</f>
        <v>102.328329</v>
      </c>
      <c r="P1639" s="166"/>
      <c r="Q1639" s="166">
        <f t="shared" si="346"/>
        <v>120235.78657499999</v>
      </c>
      <c r="R1639" s="71"/>
    </row>
    <row r="1640" spans="1:18" s="61" customFormat="1" ht="47.25" x14ac:dyDescent="0.25">
      <c r="A1640" s="358"/>
      <c r="B1640" s="361"/>
      <c r="C1640" s="364"/>
      <c r="D1640" s="156" t="s">
        <v>229</v>
      </c>
      <c r="E1640" s="156" t="s">
        <v>60</v>
      </c>
      <c r="F1640" s="156" t="s">
        <v>60</v>
      </c>
      <c r="G1640" s="238">
        <f>MROUND(H1640*L1640*I1640/K1640,0.000001)</f>
        <v>0.120791</v>
      </c>
      <c r="H1640" s="158">
        <f>H200</f>
        <v>2394</v>
      </c>
      <c r="I1640" s="159">
        <f>I1639</f>
        <v>5.9285520000000001E-2</v>
      </c>
      <c r="J1640" s="160"/>
      <c r="K1640" s="161">
        <f>K1639</f>
        <v>1175</v>
      </c>
      <c r="L1640" s="250">
        <v>1</v>
      </c>
      <c r="M1640" s="163" t="str">
        <f t="shared" ref="M1640:M1647" si="351">CONCATENATE(H1640," ",F1640,"*",I1640,"/",K1640,"чел.")</f>
        <v>2394 шт.*0,05928552/1175чел.</v>
      </c>
      <c r="N1640" s="164">
        <f t="shared" si="350"/>
        <v>163.5</v>
      </c>
      <c r="O1640" s="165">
        <f>MROUND(G1640*N1640,0.000001)</f>
        <v>19.749328999999999</v>
      </c>
      <c r="P1640" s="166"/>
      <c r="Q1640" s="166">
        <f t="shared" si="346"/>
        <v>23205.461575000001</v>
      </c>
      <c r="R1640" s="71"/>
    </row>
    <row r="1641" spans="1:18" s="61" customFormat="1" ht="47.25" x14ac:dyDescent="0.25">
      <c r="A1641" s="358"/>
      <c r="B1641" s="361"/>
      <c r="C1641" s="364"/>
      <c r="D1641" s="156" t="s">
        <v>405</v>
      </c>
      <c r="E1641" s="156" t="s">
        <v>60</v>
      </c>
      <c r="F1641" s="156" t="s">
        <v>406</v>
      </c>
      <c r="G1641" s="238">
        <f>MROUND(H1641*L1641*I1641/K1641,0.00000001)</f>
        <v>1.8164100000000001E-3</v>
      </c>
      <c r="H1641" s="158">
        <f>H201</f>
        <v>36</v>
      </c>
      <c r="I1641" s="159">
        <f>I1640</f>
        <v>5.9285520000000001E-2</v>
      </c>
      <c r="J1641" s="160"/>
      <c r="K1641" s="161">
        <f>K1640</f>
        <v>1175</v>
      </c>
      <c r="L1641" s="250">
        <v>1</v>
      </c>
      <c r="M1641" s="163" t="str">
        <f t="shared" si="351"/>
        <v>36 лицензий*0,05928552/1175чел.</v>
      </c>
      <c r="N1641" s="164">
        <f t="shared" si="350"/>
        <v>11990</v>
      </c>
      <c r="O1641" s="165">
        <f t="shared" ref="O1641:O1650" si="352">MROUND(G1641*N1641,0.000001)</f>
        <v>21.778755999999998</v>
      </c>
      <c r="P1641" s="166"/>
      <c r="Q1641" s="166">
        <f t="shared" si="346"/>
        <v>25590.038299999997</v>
      </c>
      <c r="R1641" s="71"/>
    </row>
    <row r="1642" spans="1:18" s="61" customFormat="1" ht="63" x14ac:dyDescent="0.25">
      <c r="A1642" s="358"/>
      <c r="B1642" s="361"/>
      <c r="C1642" s="364"/>
      <c r="D1642" s="156" t="s">
        <v>39</v>
      </c>
      <c r="E1642" s="156" t="s">
        <v>20</v>
      </c>
      <c r="F1642" s="156" t="s">
        <v>234</v>
      </c>
      <c r="G1642" s="238">
        <f>MROUND(H1642*L1642*I1642/K1642,0.000000001)</f>
        <v>5.9537800000000005E-3</v>
      </c>
      <c r="H1642" s="158">
        <f>H1162</f>
        <v>118</v>
      </c>
      <c r="I1642" s="159">
        <f>I1640</f>
        <v>5.9285520000000001E-2</v>
      </c>
      <c r="J1642" s="160"/>
      <c r="K1642" s="161">
        <f>K1640</f>
        <v>1175</v>
      </c>
      <c r="L1642" s="250">
        <v>1</v>
      </c>
      <c r="M1642" s="163" t="str">
        <f t="shared" si="351"/>
        <v>118 чел(заявленная потребность руководителями учреждений)*0,05928552/1175чел.</v>
      </c>
      <c r="N1642" s="164">
        <f t="shared" si="350"/>
        <v>763</v>
      </c>
      <c r="O1642" s="165">
        <f t="shared" si="352"/>
        <v>4.5427339999999994</v>
      </c>
      <c r="P1642" s="166"/>
      <c r="Q1642" s="166">
        <f t="shared" si="346"/>
        <v>5337.7124499999991</v>
      </c>
      <c r="R1642" s="71"/>
    </row>
    <row r="1643" spans="1:18" s="61" customFormat="1" ht="63" x14ac:dyDescent="0.25">
      <c r="A1643" s="358"/>
      <c r="B1643" s="361"/>
      <c r="C1643" s="364"/>
      <c r="D1643" s="156" t="s">
        <v>40</v>
      </c>
      <c r="E1643" s="156" t="s">
        <v>20</v>
      </c>
      <c r="F1643" s="156" t="s">
        <v>234</v>
      </c>
      <c r="G1643" s="238">
        <f>MROUND(H1643*L1643*I1643/K1643,0.000000001)</f>
        <v>4.9951200000000005E-3</v>
      </c>
      <c r="H1643" s="158">
        <f>H1163</f>
        <v>99</v>
      </c>
      <c r="I1643" s="159">
        <f t="shared" ref="I1643:I1650" si="353">I1642</f>
        <v>5.9285520000000001E-2</v>
      </c>
      <c r="J1643" s="160"/>
      <c r="K1643" s="161">
        <f t="shared" ref="K1643:K1650" si="354">K1642</f>
        <v>1175</v>
      </c>
      <c r="L1643" s="250">
        <v>1</v>
      </c>
      <c r="M1643" s="163" t="str">
        <f t="shared" si="351"/>
        <v>99 чел(заявленная потребность руководителями учреждений)*0,05928552/1175чел.</v>
      </c>
      <c r="N1643" s="164">
        <f t="shared" si="350"/>
        <v>1585.4545454545455</v>
      </c>
      <c r="O1643" s="165">
        <f t="shared" si="352"/>
        <v>7.9195359999999999</v>
      </c>
      <c r="P1643" s="166"/>
      <c r="Q1643" s="166">
        <f t="shared" si="346"/>
        <v>9305.4547999999995</v>
      </c>
      <c r="R1643" s="71"/>
    </row>
    <row r="1644" spans="1:18" s="61" customFormat="1" ht="63" x14ac:dyDescent="0.25">
      <c r="A1644" s="358"/>
      <c r="B1644" s="361"/>
      <c r="C1644" s="364"/>
      <c r="D1644" s="156" t="s">
        <v>100</v>
      </c>
      <c r="E1644" s="156" t="s">
        <v>20</v>
      </c>
      <c r="F1644" s="156" t="s">
        <v>234</v>
      </c>
      <c r="G1644" s="238">
        <f>MROUND(H1644*L1644*I1644/K1644,0.000000001)</f>
        <v>4.0869170000000007E-3</v>
      </c>
      <c r="H1644" s="158">
        <f>H1164</f>
        <v>81</v>
      </c>
      <c r="I1644" s="159">
        <f t="shared" si="353"/>
        <v>5.9285520000000001E-2</v>
      </c>
      <c r="J1644" s="160"/>
      <c r="K1644" s="161">
        <f t="shared" si="354"/>
        <v>1175</v>
      </c>
      <c r="L1644" s="250">
        <v>1</v>
      </c>
      <c r="M1644" s="163" t="str">
        <f t="shared" si="351"/>
        <v>81 чел(заявленная потребность руководителями учреждений)*0,05928552/1175чел.</v>
      </c>
      <c r="N1644" s="164">
        <f t="shared" si="350"/>
        <v>3488</v>
      </c>
      <c r="O1644" s="165">
        <f t="shared" si="352"/>
        <v>14.255165999999999</v>
      </c>
      <c r="P1644" s="166"/>
      <c r="Q1644" s="166">
        <f t="shared" si="346"/>
        <v>16749.820049999998</v>
      </c>
      <c r="R1644" s="71"/>
    </row>
    <row r="1645" spans="1:18" s="61" customFormat="1" ht="110.25" x14ac:dyDescent="0.25">
      <c r="A1645" s="358"/>
      <c r="B1645" s="361"/>
      <c r="C1645" s="364"/>
      <c r="D1645" s="156" t="s">
        <v>235</v>
      </c>
      <c r="E1645" s="156" t="s">
        <v>50</v>
      </c>
      <c r="F1645" s="156" t="s">
        <v>230</v>
      </c>
      <c r="G1645" s="238">
        <f>MROUND(H1645*L1645*I1645/K1645,0.00000001)</f>
        <v>1.8164100000000001E-3</v>
      </c>
      <c r="H1645" s="158">
        <f>H1405</f>
        <v>36</v>
      </c>
      <c r="I1645" s="159">
        <f t="shared" si="353"/>
        <v>5.9285520000000001E-2</v>
      </c>
      <c r="J1645" s="160"/>
      <c r="K1645" s="161">
        <f t="shared" si="354"/>
        <v>1175</v>
      </c>
      <c r="L1645" s="250">
        <v>1</v>
      </c>
      <c r="M1645" s="163" t="str">
        <f t="shared" si="351"/>
        <v>36 отчетов*0,05928552/1175чел.</v>
      </c>
      <c r="N1645" s="164">
        <f t="shared" si="350"/>
        <v>6540</v>
      </c>
      <c r="O1645" s="165">
        <f t="shared" si="352"/>
        <v>11.879320999999999</v>
      </c>
      <c r="P1645" s="166"/>
      <c r="Q1645" s="166">
        <f t="shared" si="346"/>
        <v>13958.202174999999</v>
      </c>
      <c r="R1645" s="71"/>
    </row>
    <row r="1646" spans="1:18" s="61" customFormat="1" ht="63" x14ac:dyDescent="0.25">
      <c r="A1646" s="358"/>
      <c r="B1646" s="361"/>
      <c r="C1646" s="364"/>
      <c r="D1646" s="156" t="s">
        <v>42</v>
      </c>
      <c r="E1646" s="156" t="s">
        <v>51</v>
      </c>
      <c r="F1646" s="156" t="s">
        <v>407</v>
      </c>
      <c r="G1646" s="238">
        <f>MROUND(H1646*L1646*I1646/K1646,0.000001)</f>
        <v>1.0293E-2</v>
      </c>
      <c r="H1646" s="158">
        <f>H1166</f>
        <v>204</v>
      </c>
      <c r="I1646" s="159">
        <f t="shared" si="353"/>
        <v>5.9285520000000001E-2</v>
      </c>
      <c r="J1646" s="160"/>
      <c r="K1646" s="161">
        <f t="shared" si="354"/>
        <v>1175</v>
      </c>
      <c r="L1646" s="250">
        <v>1</v>
      </c>
      <c r="M1646" s="163" t="str">
        <f t="shared" si="351"/>
        <v>204 ед (заявленная потребность руководителями учреждений)*0,05928552/1175чел.</v>
      </c>
      <c r="N1646" s="164">
        <f t="shared" si="350"/>
        <v>1090</v>
      </c>
      <c r="O1646" s="165">
        <f t="shared" si="352"/>
        <v>11.21937</v>
      </c>
      <c r="P1646" s="166"/>
      <c r="Q1646" s="166">
        <f t="shared" si="346"/>
        <v>13182.759749999999</v>
      </c>
      <c r="R1646" s="71"/>
    </row>
    <row r="1647" spans="1:18" s="61" customFormat="1" ht="31.5" x14ac:dyDescent="0.25">
      <c r="A1647" s="358"/>
      <c r="B1647" s="361"/>
      <c r="C1647" s="364"/>
      <c r="D1647" s="156" t="s">
        <v>43</v>
      </c>
      <c r="E1647" s="156" t="s">
        <v>52</v>
      </c>
      <c r="F1647" s="156" t="s">
        <v>231</v>
      </c>
      <c r="G1647" s="238">
        <f>MROUND(H1647*L1647*I1647/K1647,0.000000001)</f>
        <v>1.8164070000000001E-3</v>
      </c>
      <c r="H1647" s="158">
        <f>H567</f>
        <v>36</v>
      </c>
      <c r="I1647" s="159">
        <f t="shared" si="353"/>
        <v>5.9285520000000001E-2</v>
      </c>
      <c r="J1647" s="160"/>
      <c r="K1647" s="161">
        <f t="shared" si="354"/>
        <v>1175</v>
      </c>
      <c r="L1647" s="250">
        <v>1</v>
      </c>
      <c r="M1647" s="163" t="str">
        <f t="shared" si="351"/>
        <v>36 ЭЦП*0,05928552/1175чел.</v>
      </c>
      <c r="N1647" s="164">
        <f t="shared" si="350"/>
        <v>7743.3599999999924</v>
      </c>
      <c r="O1647" s="165">
        <f t="shared" si="352"/>
        <v>14.065092999999999</v>
      </c>
      <c r="P1647" s="166"/>
      <c r="Q1647" s="166">
        <f t="shared" si="346"/>
        <v>16526.484274999999</v>
      </c>
      <c r="R1647" s="71"/>
    </row>
    <row r="1648" spans="1:18" s="61" customFormat="1" ht="47.25" x14ac:dyDescent="0.25">
      <c r="A1648" s="358"/>
      <c r="B1648" s="361"/>
      <c r="C1648" s="364"/>
      <c r="D1648" s="156" t="s">
        <v>44</v>
      </c>
      <c r="E1648" s="156" t="s">
        <v>85</v>
      </c>
      <c r="F1648" s="156" t="s">
        <v>232</v>
      </c>
      <c r="G1648" s="238">
        <f>MROUND(H1648*L1648*I1648/K1648,0.000001)</f>
        <v>6.1353999999999999E-2</v>
      </c>
      <c r="H1648" s="158">
        <f>H568</f>
        <v>1216</v>
      </c>
      <c r="I1648" s="159">
        <f t="shared" si="353"/>
        <v>5.9285520000000001E-2</v>
      </c>
      <c r="J1648" s="160"/>
      <c r="K1648" s="161">
        <f t="shared" si="354"/>
        <v>1175</v>
      </c>
      <c r="L1648" s="250">
        <v>1</v>
      </c>
      <c r="M1648" s="163" t="str">
        <f>CONCATENATE(H1648," ",F1648,"*",L1648,"мес.","*",I1648,"/",K1648,"чел.")</f>
        <v>1216 мед.осмотров в мес.*1мес.*0,05928552/1175чел.</v>
      </c>
      <c r="N1648" s="164">
        <f>N568</f>
        <v>56.680000000000007</v>
      </c>
      <c r="O1648" s="165">
        <f t="shared" si="352"/>
        <v>3.4775449999999997</v>
      </c>
      <c r="P1648" s="166"/>
      <c r="Q1648" s="166">
        <f t="shared" si="346"/>
        <v>4086.1153749999994</v>
      </c>
      <c r="R1648" s="71"/>
    </row>
    <row r="1649" spans="1:18" s="61" customFormat="1" ht="63" x14ac:dyDescent="0.25">
      <c r="A1649" s="358"/>
      <c r="B1649" s="361"/>
      <c r="C1649" s="364"/>
      <c r="D1649" s="156" t="s">
        <v>45</v>
      </c>
      <c r="E1649" s="156" t="s">
        <v>53</v>
      </c>
      <c r="F1649" s="156" t="s">
        <v>233</v>
      </c>
      <c r="G1649" s="238">
        <f>MROUND(H1649*L1649*I1649/K1649,0.000000001)</f>
        <v>2.4218770000000002E-3</v>
      </c>
      <c r="H1649" s="158">
        <f>H1169</f>
        <v>4</v>
      </c>
      <c r="I1649" s="159">
        <f t="shared" si="353"/>
        <v>5.9285520000000001E-2</v>
      </c>
      <c r="J1649" s="160"/>
      <c r="K1649" s="161">
        <f t="shared" si="354"/>
        <v>1175</v>
      </c>
      <c r="L1649" s="250">
        <v>12</v>
      </c>
      <c r="M1649" s="163" t="str">
        <f>CONCATENATE(H1649," ",F1649,"*",L1649,"мес.","*",I1649,"/",K1649,"чел.")</f>
        <v>4  машины, оборудованных системой ГЛОНАСС*12мес.*0,05928552/1175чел.</v>
      </c>
      <c r="N1649" s="164">
        <f>N89</f>
        <v>880.71999999999991</v>
      </c>
      <c r="O1649" s="165">
        <f t="shared" si="352"/>
        <v>2.1329959999999999</v>
      </c>
      <c r="P1649" s="166"/>
      <c r="Q1649" s="166">
        <f t="shared" si="346"/>
        <v>2506.2702999999997</v>
      </c>
      <c r="R1649" s="71"/>
    </row>
    <row r="1650" spans="1:18" s="61" customFormat="1" ht="31.5" x14ac:dyDescent="0.25">
      <c r="A1650" s="358"/>
      <c r="B1650" s="361"/>
      <c r="C1650" s="364"/>
      <c r="D1650" s="156" t="s">
        <v>408</v>
      </c>
      <c r="E1650" s="156" t="s">
        <v>20</v>
      </c>
      <c r="F1650" s="156" t="s">
        <v>20</v>
      </c>
      <c r="G1650" s="238">
        <f>MROUND(H1650*L1650*I1650/K1650,0.000000001)</f>
        <v>8.6380264000000012E-2</v>
      </c>
      <c r="H1650" s="158">
        <f>H90</f>
        <v>1712</v>
      </c>
      <c r="I1650" s="159">
        <f t="shared" si="353"/>
        <v>5.9285520000000001E-2</v>
      </c>
      <c r="J1650" s="160"/>
      <c r="K1650" s="161">
        <f t="shared" si="354"/>
        <v>1175</v>
      </c>
      <c r="L1650" s="250">
        <v>1</v>
      </c>
      <c r="M1650" s="163" t="str">
        <f>CONCATENATE(H1650," ",F1650,"*",L1650," раз в год","*",I1650,"/",K1650,"чел.")</f>
        <v>1712 чел.*1 раз в год*0,05928552/1175чел.</v>
      </c>
      <c r="N1650" s="164">
        <f>N90</f>
        <v>545</v>
      </c>
      <c r="O1650" s="165">
        <f t="shared" si="352"/>
        <v>47.077244</v>
      </c>
      <c r="P1650" s="166"/>
      <c r="Q1650" s="166">
        <f t="shared" si="346"/>
        <v>55315.761700000003</v>
      </c>
      <c r="R1650" s="71"/>
    </row>
    <row r="1651" spans="1:18" s="61" customFormat="1" x14ac:dyDescent="0.25">
      <c r="A1651" s="358"/>
      <c r="B1651" s="361"/>
      <c r="C1651" s="364"/>
      <c r="D1651" s="156" t="s">
        <v>373</v>
      </c>
      <c r="E1651" s="156" t="s">
        <v>28</v>
      </c>
      <c r="F1651" s="156" t="s">
        <v>28</v>
      </c>
      <c r="G1651" s="157">
        <f>MROUND(H1651*L1651*I1651/K1651,0.000000001)</f>
        <v>1.8164070000000001E-3</v>
      </c>
      <c r="H1651" s="158">
        <f>H92</f>
        <v>36</v>
      </c>
      <c r="I1651" s="159">
        <f>I1649</f>
        <v>5.9285520000000001E-2</v>
      </c>
      <c r="J1651" s="160"/>
      <c r="K1651" s="161">
        <f>K1649</f>
        <v>1175</v>
      </c>
      <c r="L1651" s="162">
        <v>1</v>
      </c>
      <c r="M1651" s="163" t="str">
        <f>CONCATENATE(H1651," ",F1651,"*",L1651,"мес.","*",I1651,"/",K1651,"чел.")</f>
        <v>36 шт*1мес.*0,05928552/1175чел.</v>
      </c>
      <c r="N1651" s="164">
        <f>N92</f>
        <v>24000</v>
      </c>
      <c r="O1651" s="165">
        <f>MROUND(G1651*N1651,0.000000001)</f>
        <v>43.593768000000004</v>
      </c>
      <c r="P1651" s="166"/>
      <c r="Q1651" s="166">
        <f t="shared" si="346"/>
        <v>51222.677400000008</v>
      </c>
      <c r="R1651" s="71"/>
    </row>
    <row r="1652" spans="1:18" s="61" customFormat="1" ht="31.5" x14ac:dyDescent="0.25">
      <c r="A1652" s="358"/>
      <c r="B1652" s="361"/>
      <c r="C1652" s="364"/>
      <c r="D1652" s="156" t="s">
        <v>106</v>
      </c>
      <c r="E1652" s="156" t="s">
        <v>107</v>
      </c>
      <c r="F1652" s="156"/>
      <c r="G1652" s="238">
        <f>MROUND(H1652*L1652*I1652/K1652,0.000000001)</f>
        <v>0</v>
      </c>
      <c r="H1652" s="158">
        <f>H91</f>
        <v>0</v>
      </c>
      <c r="I1652" s="159">
        <f>I1649</f>
        <v>5.9285520000000001E-2</v>
      </c>
      <c r="J1652" s="160"/>
      <c r="K1652" s="161">
        <f>K1649</f>
        <v>1175</v>
      </c>
      <c r="L1652" s="250">
        <f>L452</f>
        <v>0</v>
      </c>
      <c r="M1652" s="163"/>
      <c r="N1652" s="164">
        <f>N91</f>
        <v>1256.0400600000007</v>
      </c>
      <c r="O1652" s="165">
        <f>MROUND(G1652*N1652,0.000000001)</f>
        <v>0</v>
      </c>
      <c r="P1652" s="166"/>
      <c r="Q1652" s="166">
        <f t="shared" si="346"/>
        <v>0</v>
      </c>
      <c r="R1652" s="71"/>
    </row>
    <row r="1653" spans="1:18" s="62" customFormat="1" x14ac:dyDescent="0.25">
      <c r="A1653" s="358"/>
      <c r="B1653" s="361"/>
      <c r="C1653" s="245" t="s">
        <v>296</v>
      </c>
      <c r="D1653" s="240"/>
      <c r="E1653" s="240"/>
      <c r="F1653" s="240"/>
      <c r="G1653" s="227"/>
      <c r="H1653" s="241"/>
      <c r="I1653" s="206"/>
      <c r="J1653" s="228"/>
      <c r="K1653" s="207"/>
      <c r="L1653" s="257"/>
      <c r="M1653" s="209"/>
      <c r="N1653" s="210"/>
      <c r="O1653" s="198">
        <f>SUM(O1639:O1652)</f>
        <v>304.01918699999999</v>
      </c>
      <c r="P1653" s="267"/>
      <c r="Q1653" s="166"/>
      <c r="R1653" s="71"/>
    </row>
    <row r="1654" spans="1:18" s="61" customFormat="1" ht="31.5" x14ac:dyDescent="0.25">
      <c r="A1654" s="358"/>
      <c r="B1654" s="361"/>
      <c r="C1654" s="252" t="s">
        <v>237</v>
      </c>
      <c r="D1654" s="156" t="s">
        <v>41</v>
      </c>
      <c r="E1654" s="156" t="s">
        <v>61</v>
      </c>
      <c r="F1654" s="156" t="s">
        <v>227</v>
      </c>
      <c r="G1654" s="238">
        <f>MROUND(H1654*L1654*I1654/K1654,0.000000001)</f>
        <v>2.0182300000000001E-4</v>
      </c>
      <c r="H1654" s="158">
        <f>H574</f>
        <v>4</v>
      </c>
      <c r="I1654" s="159">
        <f>I1652</f>
        <v>5.9285520000000001E-2</v>
      </c>
      <c r="J1654" s="160"/>
      <c r="K1654" s="161">
        <f>K1652</f>
        <v>1175</v>
      </c>
      <c r="L1654" s="250">
        <v>1</v>
      </c>
      <c r="M1654" s="163" t="str">
        <f>CONCATENATE(H1654," ",F1654,"*",I1654,"/",K1654,"чел.")</f>
        <v>4 автобуса*0,05928552/1175чел.</v>
      </c>
      <c r="N1654" s="164">
        <f>N94</f>
        <v>25724</v>
      </c>
      <c r="O1654" s="165">
        <f>MROUND(G1654*N1654,0.000001)</f>
        <v>5.1916950000000002</v>
      </c>
      <c r="P1654" s="166"/>
      <c r="Q1654" s="166">
        <f t="shared" si="346"/>
        <v>6100.2416250000006</v>
      </c>
      <c r="R1654" s="71"/>
    </row>
    <row r="1655" spans="1:18" s="62" customFormat="1" x14ac:dyDescent="0.25">
      <c r="A1655" s="358"/>
      <c r="B1655" s="361"/>
      <c r="C1655" s="245" t="s">
        <v>297</v>
      </c>
      <c r="D1655" s="240"/>
      <c r="E1655" s="240"/>
      <c r="F1655" s="240"/>
      <c r="G1655" s="227"/>
      <c r="H1655" s="241"/>
      <c r="I1655" s="206"/>
      <c r="J1655" s="228"/>
      <c r="K1655" s="207"/>
      <c r="L1655" s="257"/>
      <c r="M1655" s="209"/>
      <c r="N1655" s="210"/>
      <c r="O1655" s="198">
        <f>SUM(O1654)</f>
        <v>5.1916950000000002</v>
      </c>
      <c r="P1655" s="267"/>
      <c r="Q1655" s="166"/>
      <c r="R1655" s="71"/>
    </row>
    <row r="1656" spans="1:18" s="61" customFormat="1" ht="78.75" x14ac:dyDescent="0.25">
      <c r="A1656" s="358"/>
      <c r="B1656" s="361"/>
      <c r="C1656" s="221" t="s">
        <v>236</v>
      </c>
      <c r="D1656" s="156" t="s">
        <v>19</v>
      </c>
      <c r="E1656" s="181" t="s">
        <v>20</v>
      </c>
      <c r="F1656" s="181" t="s">
        <v>238</v>
      </c>
      <c r="G1656" s="238">
        <f>MROUND(H1656*L1656*I1656/K1656,0.000001)</f>
        <v>0</v>
      </c>
      <c r="H1656" s="158"/>
      <c r="I1656" s="159">
        <f>I1652</f>
        <v>5.9285520000000001E-2</v>
      </c>
      <c r="J1656" s="160"/>
      <c r="K1656" s="161">
        <f>K1652</f>
        <v>1175</v>
      </c>
      <c r="L1656" s="250"/>
      <c r="M1656" s="163"/>
      <c r="N1656" s="164"/>
      <c r="O1656" s="165">
        <f>MROUND(G1656*N1656,0.000001)</f>
        <v>0</v>
      </c>
      <c r="P1656" s="166"/>
      <c r="Q1656" s="166">
        <f t="shared" si="346"/>
        <v>0</v>
      </c>
      <c r="R1656" s="71"/>
    </row>
    <row r="1657" spans="1:18" s="62" customFormat="1" x14ac:dyDescent="0.25">
      <c r="A1657" s="358"/>
      <c r="B1657" s="361"/>
      <c r="C1657" s="245" t="s">
        <v>298</v>
      </c>
      <c r="D1657" s="240"/>
      <c r="E1657" s="253"/>
      <c r="F1657" s="253"/>
      <c r="G1657" s="227"/>
      <c r="H1657" s="241"/>
      <c r="I1657" s="206"/>
      <c r="J1657" s="228"/>
      <c r="K1657" s="207"/>
      <c r="L1657" s="257"/>
      <c r="M1657" s="209"/>
      <c r="N1657" s="210"/>
      <c r="O1657" s="198">
        <f>SUM(O1656)</f>
        <v>0</v>
      </c>
      <c r="P1657" s="267"/>
      <c r="Q1657" s="166"/>
      <c r="R1657" s="71"/>
    </row>
    <row r="1658" spans="1:18" s="61" customFormat="1" ht="30" x14ac:dyDescent="0.25">
      <c r="A1658" s="358"/>
      <c r="B1658" s="361"/>
      <c r="C1658" s="365" t="s">
        <v>81</v>
      </c>
      <c r="D1658" s="254" t="s">
        <v>410</v>
      </c>
      <c r="E1658" s="156" t="s">
        <v>28</v>
      </c>
      <c r="F1658" s="156" t="s">
        <v>28</v>
      </c>
      <c r="G1658" s="238">
        <f>MROUND(H1658*L1658*I1658/K1658,0.0000000001)</f>
        <v>3.5319030000000002E-4</v>
      </c>
      <c r="H1658" s="158">
        <f>H98</f>
        <v>7</v>
      </c>
      <c r="I1658" s="159">
        <f>I1652</f>
        <v>5.9285520000000001E-2</v>
      </c>
      <c r="J1658" s="160"/>
      <c r="K1658" s="161">
        <f>K1652</f>
        <v>1175</v>
      </c>
      <c r="L1658" s="250">
        <v>1</v>
      </c>
      <c r="M1658" s="163" t="str">
        <f>CONCATENATE(H1658," ",F1658,"*",I1658,"/",K1658,"чел.")</f>
        <v>7 шт*0,05928552/1175чел.</v>
      </c>
      <c r="N1658" s="164">
        <f>N98</f>
        <v>152142.85714285713</v>
      </c>
      <c r="O1658" s="165">
        <f>MROUND(G1658*N1658,0.000001)</f>
        <v>53.735380999999997</v>
      </c>
      <c r="P1658" s="166"/>
      <c r="Q1658" s="166">
        <f t="shared" si="346"/>
        <v>63139.072674999996</v>
      </c>
      <c r="R1658" s="71"/>
    </row>
    <row r="1659" spans="1:18" s="61" customFormat="1" x14ac:dyDescent="0.25">
      <c r="A1659" s="358"/>
      <c r="B1659" s="361"/>
      <c r="C1659" s="366"/>
      <c r="D1659" s="254" t="s">
        <v>325</v>
      </c>
      <c r="E1659" s="156" t="s">
        <v>28</v>
      </c>
      <c r="F1659" s="156" t="s">
        <v>28</v>
      </c>
      <c r="G1659" s="157">
        <f>MROUND(H1659*L1659*I1659/K1659,0.0000000001)</f>
        <v>1.1604825E-3</v>
      </c>
      <c r="H1659" s="158">
        <f>$H$99</f>
        <v>23</v>
      </c>
      <c r="I1659" s="159">
        <f>I1658</f>
        <v>5.9285520000000001E-2</v>
      </c>
      <c r="J1659" s="160"/>
      <c r="K1659" s="161">
        <f>K1658</f>
        <v>1175</v>
      </c>
      <c r="L1659" s="250">
        <v>1</v>
      </c>
      <c r="M1659" s="163" t="str">
        <f>CONCATENATE(H1659," ",F1659,"*",I1659,"/",K1659,"чел.")</f>
        <v>23 шт*0,05928552/1175чел.</v>
      </c>
      <c r="N1659" s="164">
        <f>$N$99</f>
        <v>229039.13043478262</v>
      </c>
      <c r="O1659" s="165">
        <f>MROUND(G1659*N1659,0.000001)</f>
        <v>265.79590300000001</v>
      </c>
      <c r="P1659" s="166"/>
      <c r="Q1659" s="166">
        <f t="shared" si="346"/>
        <v>312310.186025</v>
      </c>
      <c r="R1659" s="71"/>
    </row>
    <row r="1660" spans="1:18" s="61" customFormat="1" ht="30" x14ac:dyDescent="0.25">
      <c r="A1660" s="358"/>
      <c r="B1660" s="361"/>
      <c r="C1660" s="366"/>
      <c r="D1660" s="254" t="s">
        <v>411</v>
      </c>
      <c r="E1660" s="156" t="s">
        <v>28</v>
      </c>
      <c r="F1660" s="156" t="s">
        <v>28</v>
      </c>
      <c r="G1660" s="238">
        <f>MROUND(H1660*L1660*I1660/K1660,0.00000001)</f>
        <v>3.5319000000000003E-4</v>
      </c>
      <c r="H1660" s="158">
        <f>$H$100</f>
        <v>7</v>
      </c>
      <c r="I1660" s="159">
        <f>I1658</f>
        <v>5.9285520000000001E-2</v>
      </c>
      <c r="J1660" s="160"/>
      <c r="K1660" s="161">
        <f>K1658</f>
        <v>1175</v>
      </c>
      <c r="L1660" s="250">
        <v>1</v>
      </c>
      <c r="M1660" s="163" t="str">
        <f t="shared" ref="M1660:M1681" si="355">CONCATENATE(H1660," ",F1660,"*",I1660,"/",K1660,"чел.")</f>
        <v>7 шт*0,05928552/1175чел.</v>
      </c>
      <c r="N1660" s="164">
        <f t="shared" ref="N1660:N1674" si="356">N100</f>
        <v>82142.857142857145</v>
      </c>
      <c r="O1660" s="165">
        <f t="shared" ref="O1660:O1681" si="357">MROUND(G1660*N1660,0.000001)</f>
        <v>29.012035999999998</v>
      </c>
      <c r="P1660" s="166"/>
      <c r="Q1660" s="166">
        <f t="shared" si="346"/>
        <v>34089.1423</v>
      </c>
      <c r="R1660" s="71"/>
    </row>
    <row r="1661" spans="1:18" s="61" customFormat="1" x14ac:dyDescent="0.25">
      <c r="A1661" s="358"/>
      <c r="B1661" s="361"/>
      <c r="C1661" s="366"/>
      <c r="D1661" s="255" t="s">
        <v>412</v>
      </c>
      <c r="E1661" s="156" t="s">
        <v>28</v>
      </c>
      <c r="F1661" s="156" t="s">
        <v>28</v>
      </c>
      <c r="G1661" s="238">
        <f>MROUND(H1661*L1661*I1661/K1661,0.00000001)</f>
        <v>1.7659500000000001E-3</v>
      </c>
      <c r="H1661" s="158">
        <f>$H$101</f>
        <v>35</v>
      </c>
      <c r="I1661" s="159">
        <f>I1660</f>
        <v>5.9285520000000001E-2</v>
      </c>
      <c r="J1661" s="160"/>
      <c r="K1661" s="161">
        <f>K1660</f>
        <v>1175</v>
      </c>
      <c r="L1661" s="250">
        <v>1</v>
      </c>
      <c r="M1661" s="163" t="str">
        <f t="shared" si="355"/>
        <v>35 шт*0,05928552/1175чел.</v>
      </c>
      <c r="N1661" s="164">
        <f t="shared" si="356"/>
        <v>126114.97142857143</v>
      </c>
      <c r="O1661" s="165">
        <f t="shared" si="357"/>
        <v>222.71273399999998</v>
      </c>
      <c r="P1661" s="166"/>
      <c r="Q1661" s="166">
        <f t="shared" si="346"/>
        <v>261687.46244999999</v>
      </c>
      <c r="R1661" s="71"/>
    </row>
    <row r="1662" spans="1:18" s="61" customFormat="1" ht="31.5" x14ac:dyDescent="0.25">
      <c r="A1662" s="358"/>
      <c r="B1662" s="361"/>
      <c r="C1662" s="366"/>
      <c r="D1662" s="255" t="s">
        <v>413</v>
      </c>
      <c r="E1662" s="156" t="s">
        <v>28</v>
      </c>
      <c r="F1662" s="156" t="s">
        <v>28</v>
      </c>
      <c r="G1662" s="238">
        <f>MROUND(H1662*L1662*I1662/K1662,0.0000000001)</f>
        <v>7.5683640000000002E-4</v>
      </c>
      <c r="H1662" s="158">
        <f>H102</f>
        <v>15</v>
      </c>
      <c r="I1662" s="159">
        <f>I1661</f>
        <v>5.9285520000000001E-2</v>
      </c>
      <c r="J1662" s="160"/>
      <c r="K1662" s="161">
        <f>K1661</f>
        <v>1175</v>
      </c>
      <c r="L1662" s="250">
        <v>1</v>
      </c>
      <c r="M1662" s="163" t="str">
        <f t="shared" si="355"/>
        <v>15 шт*0,05928552/1175чел.</v>
      </c>
      <c r="N1662" s="164">
        <f t="shared" si="356"/>
        <v>75333.333333333328</v>
      </c>
      <c r="O1662" s="165">
        <f t="shared" si="357"/>
        <v>57.015008999999999</v>
      </c>
      <c r="P1662" s="166"/>
      <c r="Q1662" s="166">
        <f t="shared" si="346"/>
        <v>66992.635574999993</v>
      </c>
      <c r="R1662" s="71"/>
    </row>
    <row r="1663" spans="1:18" s="61" customFormat="1" x14ac:dyDescent="0.25">
      <c r="A1663" s="358"/>
      <c r="B1663" s="361"/>
      <c r="C1663" s="366"/>
      <c r="D1663" s="254" t="s">
        <v>109</v>
      </c>
      <c r="E1663" s="156" t="s">
        <v>28</v>
      </c>
      <c r="F1663" s="156" t="s">
        <v>28</v>
      </c>
      <c r="G1663" s="238">
        <f>MROUND(H1663*L1663*I1663/K1663,0.0000000001)</f>
        <v>8.072922E-4</v>
      </c>
      <c r="H1663" s="158">
        <f>$H$103</f>
        <v>16</v>
      </c>
      <c r="I1663" s="159">
        <f>I1662</f>
        <v>5.9285520000000001E-2</v>
      </c>
      <c r="J1663" s="160"/>
      <c r="K1663" s="161">
        <f>K1662</f>
        <v>1175</v>
      </c>
      <c r="L1663" s="250">
        <v>1</v>
      </c>
      <c r="M1663" s="163" t="str">
        <f t="shared" si="355"/>
        <v>16 шт*0,05928552/1175чел.</v>
      </c>
      <c r="N1663" s="164">
        <f t="shared" si="356"/>
        <v>169687.5</v>
      </c>
      <c r="O1663" s="165">
        <f t="shared" si="357"/>
        <v>136.98739499999999</v>
      </c>
      <c r="P1663" s="166"/>
      <c r="Q1663" s="166">
        <f t="shared" si="346"/>
        <v>160960.189125</v>
      </c>
      <c r="R1663" s="71"/>
    </row>
    <row r="1664" spans="1:18" s="61" customFormat="1" x14ac:dyDescent="0.25">
      <c r="A1664" s="358"/>
      <c r="B1664" s="361"/>
      <c r="C1664" s="366"/>
      <c r="D1664" s="254" t="s">
        <v>414</v>
      </c>
      <c r="E1664" s="156" t="s">
        <v>28</v>
      </c>
      <c r="F1664" s="156" t="s">
        <v>28</v>
      </c>
      <c r="G1664" s="238">
        <f>MROUND(H1664*L1664*I1664/K1664,0.0000000001)</f>
        <v>4.5410190000000003E-4</v>
      </c>
      <c r="H1664" s="158">
        <f>$H$104</f>
        <v>9</v>
      </c>
      <c r="I1664" s="159">
        <f>I1662</f>
        <v>5.9285520000000001E-2</v>
      </c>
      <c r="J1664" s="160"/>
      <c r="K1664" s="161">
        <f>K1662</f>
        <v>1175</v>
      </c>
      <c r="L1664" s="250">
        <v>1</v>
      </c>
      <c r="M1664" s="163" t="str">
        <f t="shared" si="355"/>
        <v>9 шт*0,05928552/1175чел.</v>
      </c>
      <c r="N1664" s="164">
        <f t="shared" si="356"/>
        <v>89333.333333333328</v>
      </c>
      <c r="O1664" s="165">
        <f t="shared" si="357"/>
        <v>40.566435999999996</v>
      </c>
      <c r="P1664" s="166"/>
      <c r="Q1664" s="166">
        <f t="shared" si="346"/>
        <v>47665.562299999998</v>
      </c>
      <c r="R1664" s="71"/>
    </row>
    <row r="1665" spans="1:18" s="61" customFormat="1" x14ac:dyDescent="0.25">
      <c r="A1665" s="358"/>
      <c r="B1665" s="361"/>
      <c r="C1665" s="366"/>
      <c r="D1665" s="254" t="s">
        <v>415</v>
      </c>
      <c r="E1665" s="156" t="s">
        <v>28</v>
      </c>
      <c r="F1665" s="156" t="s">
        <v>28</v>
      </c>
      <c r="G1665" s="238">
        <f>MROUND(H1665*L1665*I1665/K1665,0.00000001)</f>
        <v>5.5500999999999999E-4</v>
      </c>
      <c r="H1665" s="158">
        <f>$H$105</f>
        <v>11</v>
      </c>
      <c r="I1665" s="159">
        <f t="shared" ref="I1665:I1674" si="358">I1663</f>
        <v>5.9285520000000001E-2</v>
      </c>
      <c r="J1665" s="160"/>
      <c r="K1665" s="161">
        <f t="shared" ref="K1665:K1674" si="359">K1663</f>
        <v>1175</v>
      </c>
      <c r="L1665" s="250">
        <v>1</v>
      </c>
      <c r="M1665" s="163" t="str">
        <f t="shared" si="355"/>
        <v>11 шт*0,05928552/1175чел.</v>
      </c>
      <c r="N1665" s="164">
        <f t="shared" si="356"/>
        <v>122181.81818181818</v>
      </c>
      <c r="O1665" s="165">
        <f t="shared" si="357"/>
        <v>67.812130999999994</v>
      </c>
      <c r="P1665" s="166"/>
      <c r="Q1665" s="166">
        <f t="shared" si="346"/>
        <v>79679.253924999997</v>
      </c>
      <c r="R1665" s="71"/>
    </row>
    <row r="1666" spans="1:18" s="61" customFormat="1" x14ac:dyDescent="0.25">
      <c r="A1666" s="358"/>
      <c r="B1666" s="361"/>
      <c r="C1666" s="366"/>
      <c r="D1666" s="254" t="s">
        <v>416</v>
      </c>
      <c r="E1666" s="156" t="s">
        <v>28</v>
      </c>
      <c r="F1666" s="156" t="s">
        <v>28</v>
      </c>
      <c r="G1666" s="238">
        <f>MROUND(H1666*L1666*I1666/K1666,0.000000001)</f>
        <v>1.0091150000000001E-3</v>
      </c>
      <c r="H1666" s="246">
        <f>$H$106</f>
        <v>20</v>
      </c>
      <c r="I1666" s="159">
        <f t="shared" si="358"/>
        <v>5.9285520000000001E-2</v>
      </c>
      <c r="J1666" s="160"/>
      <c r="K1666" s="161">
        <f t="shared" si="359"/>
        <v>1175</v>
      </c>
      <c r="L1666" s="250">
        <v>1</v>
      </c>
      <c r="M1666" s="163" t="str">
        <f t="shared" si="355"/>
        <v>20 шт*0,05928552/1175чел.</v>
      </c>
      <c r="N1666" s="164">
        <f t="shared" si="356"/>
        <v>52500</v>
      </c>
      <c r="O1666" s="165">
        <f t="shared" si="357"/>
        <v>52.978538</v>
      </c>
      <c r="P1666" s="166"/>
      <c r="Q1666" s="166">
        <f t="shared" si="346"/>
        <v>62249.782149999999</v>
      </c>
      <c r="R1666" s="71"/>
    </row>
    <row r="1667" spans="1:18" s="61" customFormat="1" x14ac:dyDescent="0.25">
      <c r="A1667" s="358"/>
      <c r="B1667" s="361"/>
      <c r="C1667" s="366"/>
      <c r="D1667" s="254" t="s">
        <v>417</v>
      </c>
      <c r="E1667" s="156" t="s">
        <v>28</v>
      </c>
      <c r="F1667" s="156" t="s">
        <v>28</v>
      </c>
      <c r="G1667" s="238">
        <f>MROUND(H1667*L1667*I1667/K1667,0.00000001)</f>
        <v>8.5775000000000001E-4</v>
      </c>
      <c r="H1667" s="158">
        <f>$H$107</f>
        <v>17</v>
      </c>
      <c r="I1667" s="159">
        <f t="shared" si="358"/>
        <v>5.9285520000000001E-2</v>
      </c>
      <c r="J1667" s="160"/>
      <c r="K1667" s="161">
        <f t="shared" si="359"/>
        <v>1175</v>
      </c>
      <c r="L1667" s="250">
        <v>1</v>
      </c>
      <c r="M1667" s="163" t="str">
        <f t="shared" si="355"/>
        <v>17 шт*0,05928552/1175чел.</v>
      </c>
      <c r="N1667" s="164">
        <f t="shared" si="356"/>
        <v>75000</v>
      </c>
      <c r="O1667" s="165">
        <f t="shared" si="357"/>
        <v>64.331249999999997</v>
      </c>
      <c r="P1667" s="166"/>
      <c r="Q1667" s="166">
        <f t="shared" si="346"/>
        <v>75589.21875</v>
      </c>
      <c r="R1667" s="71"/>
    </row>
    <row r="1668" spans="1:18" s="61" customFormat="1" ht="30" x14ac:dyDescent="0.25">
      <c r="A1668" s="358"/>
      <c r="B1668" s="361"/>
      <c r="C1668" s="366"/>
      <c r="D1668" s="254" t="s">
        <v>418</v>
      </c>
      <c r="E1668" s="156" t="s">
        <v>28</v>
      </c>
      <c r="F1668" s="156" t="s">
        <v>28</v>
      </c>
      <c r="G1668" s="238">
        <f>MROUND(H1668*L1668*I1668/K1668,0.00000001)</f>
        <v>4.5410000000000003E-4</v>
      </c>
      <c r="H1668" s="158">
        <f>H108</f>
        <v>9</v>
      </c>
      <c r="I1668" s="159">
        <f t="shared" si="358"/>
        <v>5.9285520000000001E-2</v>
      </c>
      <c r="J1668" s="160"/>
      <c r="K1668" s="161">
        <f t="shared" si="359"/>
        <v>1175</v>
      </c>
      <c r="L1668" s="250">
        <v>1</v>
      </c>
      <c r="M1668" s="163" t="str">
        <f t="shared" si="355"/>
        <v>9 шт*0,05928552/1175чел.</v>
      </c>
      <c r="N1668" s="164">
        <f t="shared" si="356"/>
        <v>66666.666666666672</v>
      </c>
      <c r="O1668" s="165">
        <f t="shared" si="357"/>
        <v>30.273332999999997</v>
      </c>
      <c r="P1668" s="166"/>
      <c r="Q1668" s="166">
        <f t="shared" ref="Q1668:Q1731" si="360">O1668*K1668</f>
        <v>35571.166274999996</v>
      </c>
      <c r="R1668" s="71"/>
    </row>
    <row r="1669" spans="1:18" s="61" customFormat="1" x14ac:dyDescent="0.25">
      <c r="A1669" s="358"/>
      <c r="B1669" s="361"/>
      <c r="C1669" s="366"/>
      <c r="D1669" s="254" t="s">
        <v>324</v>
      </c>
      <c r="E1669" s="156" t="s">
        <v>28</v>
      </c>
      <c r="F1669" s="156" t="s">
        <v>28</v>
      </c>
      <c r="G1669" s="238">
        <f>MROUND(H1669*L1669*I1669/K1669,0.000000001)</f>
        <v>9.0820400000000002E-4</v>
      </c>
      <c r="H1669" s="158">
        <f>$H$109</f>
        <v>18</v>
      </c>
      <c r="I1669" s="159">
        <f t="shared" si="358"/>
        <v>5.9285520000000001E-2</v>
      </c>
      <c r="J1669" s="160"/>
      <c r="K1669" s="161">
        <f t="shared" si="359"/>
        <v>1175</v>
      </c>
      <c r="L1669" s="250">
        <v>1</v>
      </c>
      <c r="M1669" s="163" t="str">
        <f t="shared" si="355"/>
        <v>18 шт*0,05928552/1175чел.</v>
      </c>
      <c r="N1669" s="164">
        <f t="shared" si="356"/>
        <v>365277.77777777775</v>
      </c>
      <c r="O1669" s="165">
        <f t="shared" si="357"/>
        <v>331.74673899999999</v>
      </c>
      <c r="P1669" s="166"/>
      <c r="Q1669" s="166">
        <f t="shared" si="360"/>
        <v>389802.41832499998</v>
      </c>
      <c r="R1669" s="71"/>
    </row>
    <row r="1670" spans="1:18" s="61" customFormat="1" x14ac:dyDescent="0.25">
      <c r="A1670" s="358"/>
      <c r="B1670" s="361"/>
      <c r="C1670" s="366"/>
      <c r="D1670" s="254" t="s">
        <v>419</v>
      </c>
      <c r="E1670" s="156" t="s">
        <v>28</v>
      </c>
      <c r="F1670" s="156" t="s">
        <v>28</v>
      </c>
      <c r="G1670" s="238">
        <f>MROUND(H1670*L1670*I1670/K1670,0.000000001)</f>
        <v>1.2109380000000002E-3</v>
      </c>
      <c r="H1670" s="246">
        <f>$H$110</f>
        <v>24</v>
      </c>
      <c r="I1670" s="159">
        <f t="shared" si="358"/>
        <v>5.9285520000000001E-2</v>
      </c>
      <c r="J1670" s="160"/>
      <c r="K1670" s="161">
        <f t="shared" si="359"/>
        <v>1175</v>
      </c>
      <c r="L1670" s="250">
        <v>1</v>
      </c>
      <c r="M1670" s="163" t="str">
        <f t="shared" si="355"/>
        <v>24 шт*0,05928552/1175чел.</v>
      </c>
      <c r="N1670" s="164">
        <f t="shared" si="356"/>
        <v>32416.666666666668</v>
      </c>
      <c r="O1670" s="165">
        <f t="shared" si="357"/>
        <v>39.254573999999998</v>
      </c>
      <c r="P1670" s="166"/>
      <c r="Q1670" s="166">
        <f t="shared" si="360"/>
        <v>46124.124449999996</v>
      </c>
      <c r="R1670" s="71"/>
    </row>
    <row r="1671" spans="1:18" s="61" customFormat="1" x14ac:dyDescent="0.25">
      <c r="A1671" s="358"/>
      <c r="B1671" s="361"/>
      <c r="C1671" s="366"/>
      <c r="D1671" s="254" t="s">
        <v>420</v>
      </c>
      <c r="E1671" s="156" t="s">
        <v>28</v>
      </c>
      <c r="F1671" s="156" t="s">
        <v>28</v>
      </c>
      <c r="G1671" s="238">
        <f>MROUND(H1671*L1671*I1671/K1671,0.000000001)</f>
        <v>7.568360000000001E-4</v>
      </c>
      <c r="H1671" s="158">
        <f>H111</f>
        <v>15</v>
      </c>
      <c r="I1671" s="159">
        <f t="shared" si="358"/>
        <v>5.9285520000000001E-2</v>
      </c>
      <c r="J1671" s="160"/>
      <c r="K1671" s="161">
        <f t="shared" si="359"/>
        <v>1175</v>
      </c>
      <c r="L1671" s="250">
        <v>1</v>
      </c>
      <c r="M1671" s="163" t="str">
        <f t="shared" si="355"/>
        <v>15 шт*0,05928552/1175чел.</v>
      </c>
      <c r="N1671" s="164">
        <f t="shared" si="356"/>
        <v>127666.66666666667</v>
      </c>
      <c r="O1671" s="165">
        <f t="shared" si="357"/>
        <v>96.622728999999993</v>
      </c>
      <c r="P1671" s="166"/>
      <c r="Q1671" s="166">
        <f t="shared" si="360"/>
        <v>113531.70657499999</v>
      </c>
      <c r="R1671" s="71"/>
    </row>
    <row r="1672" spans="1:18" s="61" customFormat="1" x14ac:dyDescent="0.25">
      <c r="A1672" s="358"/>
      <c r="B1672" s="361"/>
      <c r="C1672" s="366"/>
      <c r="D1672" s="254" t="s">
        <v>421</v>
      </c>
      <c r="E1672" s="156" t="s">
        <v>28</v>
      </c>
      <c r="F1672" s="156" t="s">
        <v>28</v>
      </c>
      <c r="G1672" s="238">
        <f>MROUND(H1672*L1672*I1672/K1672,0.00000001)</f>
        <v>1.4632200000000001E-3</v>
      </c>
      <c r="H1672" s="158">
        <f>$H$112</f>
        <v>29</v>
      </c>
      <c r="I1672" s="159">
        <f t="shared" si="358"/>
        <v>5.9285520000000001E-2</v>
      </c>
      <c r="J1672" s="160"/>
      <c r="K1672" s="161">
        <f t="shared" si="359"/>
        <v>1175</v>
      </c>
      <c r="L1672" s="250">
        <v>1</v>
      </c>
      <c r="M1672" s="163" t="str">
        <f t="shared" si="355"/>
        <v>29 шт*0,05928552/1175чел.</v>
      </c>
      <c r="N1672" s="164">
        <f t="shared" si="356"/>
        <v>13517.241379310344</v>
      </c>
      <c r="O1672" s="165">
        <f t="shared" si="357"/>
        <v>19.778697999999999</v>
      </c>
      <c r="P1672" s="166"/>
      <c r="Q1672" s="166">
        <f t="shared" si="360"/>
        <v>23239.970149999997</v>
      </c>
      <c r="R1672" s="71"/>
    </row>
    <row r="1673" spans="1:18" s="61" customFormat="1" ht="30" x14ac:dyDescent="0.25">
      <c r="A1673" s="358"/>
      <c r="B1673" s="361"/>
      <c r="C1673" s="366"/>
      <c r="D1673" s="254" t="s">
        <v>422</v>
      </c>
      <c r="E1673" s="156" t="s">
        <v>28</v>
      </c>
      <c r="F1673" s="156" t="s">
        <v>28</v>
      </c>
      <c r="G1673" s="266">
        <f>MROUND(H1673*L1673*I1673/K1673,0.00000001)</f>
        <v>9.0820000000000007E-4</v>
      </c>
      <c r="H1673" s="158">
        <f>H1553</f>
        <v>18</v>
      </c>
      <c r="I1673" s="159">
        <f t="shared" si="358"/>
        <v>5.9285520000000001E-2</v>
      </c>
      <c r="J1673" s="160"/>
      <c r="K1673" s="161">
        <f t="shared" si="359"/>
        <v>1175</v>
      </c>
      <c r="L1673" s="250">
        <v>1</v>
      </c>
      <c r="M1673" s="163" t="str">
        <f t="shared" si="355"/>
        <v>18 шт*0,05928552/1175чел.</v>
      </c>
      <c r="N1673" s="164">
        <f t="shared" si="356"/>
        <v>34944.444444444445</v>
      </c>
      <c r="O1673" s="165">
        <f t="shared" si="357"/>
        <v>31.736543999999999</v>
      </c>
      <c r="P1673" s="166"/>
      <c r="Q1673" s="166">
        <f t="shared" si="360"/>
        <v>37290.439200000001</v>
      </c>
      <c r="R1673" s="71"/>
    </row>
    <row r="1674" spans="1:18" s="61" customFormat="1" x14ac:dyDescent="0.25">
      <c r="A1674" s="358"/>
      <c r="B1674" s="361"/>
      <c r="C1674" s="366"/>
      <c r="D1674" s="254" t="s">
        <v>423</v>
      </c>
      <c r="E1674" s="156" t="s">
        <v>28</v>
      </c>
      <c r="F1674" s="156" t="s">
        <v>28</v>
      </c>
      <c r="G1674" s="238">
        <f>MROUND(H1674*L1674*I1674/K1674,0.000000001)</f>
        <v>1.0091150000000001E-3</v>
      </c>
      <c r="H1674" s="158">
        <f>$H$114</f>
        <v>20</v>
      </c>
      <c r="I1674" s="159">
        <f t="shared" si="358"/>
        <v>5.9285520000000001E-2</v>
      </c>
      <c r="J1674" s="160"/>
      <c r="K1674" s="161">
        <f t="shared" si="359"/>
        <v>1175</v>
      </c>
      <c r="L1674" s="250">
        <v>1</v>
      </c>
      <c r="M1674" s="163" t="str">
        <f t="shared" si="355"/>
        <v>20 шт*0,05928552/1175чел.</v>
      </c>
      <c r="N1674" s="164">
        <f t="shared" si="356"/>
        <v>74500</v>
      </c>
      <c r="O1674" s="165">
        <f t="shared" si="357"/>
        <v>75.179068000000001</v>
      </c>
      <c r="P1674" s="166"/>
      <c r="Q1674" s="166">
        <f t="shared" si="360"/>
        <v>88335.404899999994</v>
      </c>
      <c r="R1674" s="71"/>
    </row>
    <row r="1675" spans="1:18" s="61" customFormat="1" x14ac:dyDescent="0.25">
      <c r="A1675" s="358"/>
      <c r="B1675" s="361"/>
      <c r="C1675" s="366"/>
      <c r="D1675" s="254" t="s">
        <v>424</v>
      </c>
      <c r="E1675" s="156" t="s">
        <v>28</v>
      </c>
      <c r="F1675" s="156" t="s">
        <v>28</v>
      </c>
      <c r="G1675" s="238">
        <f t="shared" ref="G1675:G1681" si="361">MROUND(H1675*L1675*I1675/K1675,0.00000001)</f>
        <v>1.7659500000000001E-3</v>
      </c>
      <c r="H1675" s="158">
        <f>H1195</f>
        <v>35</v>
      </c>
      <c r="I1675" s="159">
        <f>I1664</f>
        <v>5.9285520000000001E-2</v>
      </c>
      <c r="J1675" s="160"/>
      <c r="K1675" s="161">
        <f>K1664</f>
        <v>1175</v>
      </c>
      <c r="L1675" s="250">
        <v>1</v>
      </c>
      <c r="M1675" s="163" t="str">
        <f t="shared" si="355"/>
        <v>35 шт*0,05928552/1175чел.</v>
      </c>
      <c r="N1675" s="164">
        <f>N1195</f>
        <v>34285.714285714283</v>
      </c>
      <c r="O1675" s="165">
        <f t="shared" si="357"/>
        <v>60.546856999999996</v>
      </c>
      <c r="P1675" s="166"/>
      <c r="Q1675" s="166">
        <f t="shared" si="360"/>
        <v>71142.556975</v>
      </c>
      <c r="R1675" s="71"/>
    </row>
    <row r="1676" spans="1:18" s="61" customFormat="1" x14ac:dyDescent="0.25">
      <c r="A1676" s="358"/>
      <c r="B1676" s="361"/>
      <c r="C1676" s="366"/>
      <c r="D1676" s="254" t="s">
        <v>425</v>
      </c>
      <c r="E1676" s="156" t="s">
        <v>28</v>
      </c>
      <c r="F1676" s="156" t="s">
        <v>28</v>
      </c>
      <c r="G1676" s="277">
        <f t="shared" si="361"/>
        <v>1.7659500000000001E-3</v>
      </c>
      <c r="H1676" s="158">
        <f>H596</f>
        <v>35</v>
      </c>
      <c r="I1676" s="159">
        <f t="shared" ref="I1676:I1681" si="362">I1675</f>
        <v>5.9285520000000001E-2</v>
      </c>
      <c r="J1676" s="160"/>
      <c r="K1676" s="161">
        <f t="shared" ref="K1676:K1681" si="363">K1675</f>
        <v>1175</v>
      </c>
      <c r="L1676" s="250">
        <v>1</v>
      </c>
      <c r="M1676" s="163" t="str">
        <f t="shared" si="355"/>
        <v>35 шт*0,05928552/1175чел.</v>
      </c>
      <c r="N1676" s="164">
        <f t="shared" ref="N1676:N1681" si="364">N116</f>
        <v>19102.857142857141</v>
      </c>
      <c r="O1676" s="165">
        <f t="shared" si="357"/>
        <v>33.734690999999998</v>
      </c>
      <c r="P1676" s="166"/>
      <c r="Q1676" s="166">
        <f t="shared" si="360"/>
        <v>39638.261924999999</v>
      </c>
      <c r="R1676" s="71"/>
    </row>
    <row r="1677" spans="1:18" s="61" customFormat="1" x14ac:dyDescent="0.25">
      <c r="A1677" s="358"/>
      <c r="B1677" s="361"/>
      <c r="C1677" s="366"/>
      <c r="D1677" s="254" t="s">
        <v>108</v>
      </c>
      <c r="E1677" s="156" t="s">
        <v>28</v>
      </c>
      <c r="F1677" s="156" t="s">
        <v>28</v>
      </c>
      <c r="G1677" s="238">
        <f t="shared" si="361"/>
        <v>4.3644229999999999E-2</v>
      </c>
      <c r="H1677" s="158">
        <f>$H$117</f>
        <v>865</v>
      </c>
      <c r="I1677" s="159">
        <f t="shared" si="362"/>
        <v>5.9285520000000001E-2</v>
      </c>
      <c r="J1677" s="160"/>
      <c r="K1677" s="161">
        <f t="shared" si="363"/>
        <v>1175</v>
      </c>
      <c r="L1677" s="250">
        <v>1</v>
      </c>
      <c r="M1677" s="163" t="str">
        <f t="shared" si="355"/>
        <v>865 шт*0,05928552/1175чел.</v>
      </c>
      <c r="N1677" s="164">
        <f t="shared" si="364"/>
        <v>779.36416184971097</v>
      </c>
      <c r="O1677" s="165">
        <f t="shared" si="357"/>
        <v>34.014749000000002</v>
      </c>
      <c r="P1677" s="166"/>
      <c r="Q1677" s="166">
        <f t="shared" si="360"/>
        <v>39967.330075000005</v>
      </c>
      <c r="R1677" s="71"/>
    </row>
    <row r="1678" spans="1:18" s="61" customFormat="1" x14ac:dyDescent="0.25">
      <c r="A1678" s="358"/>
      <c r="B1678" s="361"/>
      <c r="C1678" s="366"/>
      <c r="D1678" s="254" t="s">
        <v>426</v>
      </c>
      <c r="E1678" s="156" t="s">
        <v>28</v>
      </c>
      <c r="F1678" s="156" t="s">
        <v>28</v>
      </c>
      <c r="G1678" s="238">
        <f t="shared" si="361"/>
        <v>2.2200499999999999E-3</v>
      </c>
      <c r="H1678" s="158">
        <f>H958</f>
        <v>44</v>
      </c>
      <c r="I1678" s="159">
        <f t="shared" si="362"/>
        <v>5.9285520000000001E-2</v>
      </c>
      <c r="J1678" s="160"/>
      <c r="K1678" s="161">
        <f t="shared" si="363"/>
        <v>1175</v>
      </c>
      <c r="L1678" s="250">
        <v>1</v>
      </c>
      <c r="M1678" s="163" t="str">
        <f t="shared" si="355"/>
        <v>44 шт*0,05928552/1175чел.</v>
      </c>
      <c r="N1678" s="164">
        <f t="shared" si="364"/>
        <v>12416.954545454546</v>
      </c>
      <c r="O1678" s="165">
        <f t="shared" si="357"/>
        <v>27.56626</v>
      </c>
      <c r="P1678" s="166"/>
      <c r="Q1678" s="166">
        <f t="shared" si="360"/>
        <v>32390.355500000001</v>
      </c>
      <c r="R1678" s="71"/>
    </row>
    <row r="1679" spans="1:18" s="61" customFormat="1" x14ac:dyDescent="0.25">
      <c r="A1679" s="358"/>
      <c r="B1679" s="361"/>
      <c r="C1679" s="366"/>
      <c r="D1679" s="254" t="s">
        <v>427</v>
      </c>
      <c r="E1679" s="156" t="s">
        <v>28</v>
      </c>
      <c r="F1679" s="156" t="s">
        <v>28</v>
      </c>
      <c r="G1679" s="238">
        <f t="shared" si="361"/>
        <v>3.33008E-3</v>
      </c>
      <c r="H1679" s="158">
        <f>H599</f>
        <v>66</v>
      </c>
      <c r="I1679" s="159">
        <f t="shared" si="362"/>
        <v>5.9285520000000001E-2</v>
      </c>
      <c r="J1679" s="160"/>
      <c r="K1679" s="161">
        <f t="shared" si="363"/>
        <v>1175</v>
      </c>
      <c r="L1679" s="250">
        <v>1</v>
      </c>
      <c r="M1679" s="163" t="str">
        <f t="shared" si="355"/>
        <v>66 шт*0,05928552/1175чел.</v>
      </c>
      <c r="N1679" s="164">
        <f t="shared" si="364"/>
        <v>13060.60606060606</v>
      </c>
      <c r="O1679" s="165">
        <f t="shared" si="357"/>
        <v>43.492863</v>
      </c>
      <c r="P1679" s="166"/>
      <c r="Q1679" s="166">
        <f t="shared" si="360"/>
        <v>51104.114025000003</v>
      </c>
      <c r="R1679" s="71"/>
    </row>
    <row r="1680" spans="1:18" s="61" customFormat="1" x14ac:dyDescent="0.25">
      <c r="A1680" s="358"/>
      <c r="B1680" s="361"/>
      <c r="C1680" s="366"/>
      <c r="D1680" s="254" t="s">
        <v>428</v>
      </c>
      <c r="E1680" s="156" t="s">
        <v>28</v>
      </c>
      <c r="F1680" s="156" t="s">
        <v>28</v>
      </c>
      <c r="G1680" s="238">
        <f t="shared" si="361"/>
        <v>1.7407240000000001E-2</v>
      </c>
      <c r="H1680" s="158">
        <f>H120</f>
        <v>345</v>
      </c>
      <c r="I1680" s="159">
        <f t="shared" si="362"/>
        <v>5.9285520000000001E-2</v>
      </c>
      <c r="J1680" s="160"/>
      <c r="K1680" s="161">
        <f t="shared" si="363"/>
        <v>1175</v>
      </c>
      <c r="L1680" s="250">
        <v>1</v>
      </c>
      <c r="M1680" s="163" t="str">
        <f t="shared" si="355"/>
        <v>345 шт*0,05928552/1175чел.</v>
      </c>
      <c r="N1680" s="164">
        <f t="shared" si="364"/>
        <v>8520.7246376811599</v>
      </c>
      <c r="O1680" s="165">
        <f t="shared" si="357"/>
        <v>148.32229899999999</v>
      </c>
      <c r="P1680" s="166"/>
      <c r="Q1680" s="166">
        <f t="shared" si="360"/>
        <v>174278.70132499997</v>
      </c>
      <c r="R1680" s="71"/>
    </row>
    <row r="1681" spans="1:18" s="61" customFormat="1" x14ac:dyDescent="0.25">
      <c r="A1681" s="358"/>
      <c r="B1681" s="361"/>
      <c r="C1681" s="366"/>
      <c r="D1681" s="255" t="s">
        <v>429</v>
      </c>
      <c r="E1681" s="156" t="s">
        <v>28</v>
      </c>
      <c r="F1681" s="156" t="s">
        <v>28</v>
      </c>
      <c r="G1681" s="238">
        <f t="shared" si="361"/>
        <v>2.47233E-3</v>
      </c>
      <c r="H1681" s="158">
        <f>H121</f>
        <v>49</v>
      </c>
      <c r="I1681" s="159">
        <f t="shared" si="362"/>
        <v>5.9285520000000001E-2</v>
      </c>
      <c r="J1681" s="160"/>
      <c r="K1681" s="161">
        <f t="shared" si="363"/>
        <v>1175</v>
      </c>
      <c r="L1681" s="250">
        <v>1</v>
      </c>
      <c r="M1681" s="163" t="str">
        <f t="shared" si="355"/>
        <v>49 шт*0,05928552/1175чел.</v>
      </c>
      <c r="N1681" s="164">
        <f t="shared" si="364"/>
        <v>53775.510204081635</v>
      </c>
      <c r="O1681" s="165">
        <f t="shared" si="357"/>
        <v>132.950807</v>
      </c>
      <c r="P1681" s="166"/>
      <c r="Q1681" s="166">
        <f t="shared" si="360"/>
        <v>156217.198225</v>
      </c>
      <c r="R1681" s="71"/>
    </row>
    <row r="1682" spans="1:18" s="62" customFormat="1" x14ac:dyDescent="0.25">
      <c r="A1682" s="358"/>
      <c r="B1682" s="361"/>
      <c r="C1682" s="249" t="s">
        <v>299</v>
      </c>
      <c r="D1682" s="256"/>
      <c r="E1682" s="240"/>
      <c r="F1682" s="240"/>
      <c r="G1682" s="227"/>
      <c r="H1682" s="241"/>
      <c r="I1682" s="206"/>
      <c r="J1682" s="228"/>
      <c r="K1682" s="207"/>
      <c r="L1682" s="257"/>
      <c r="M1682" s="209"/>
      <c r="N1682" s="210"/>
      <c r="O1682" s="198">
        <f>SUM(O1658:O1681)</f>
        <v>2096.1670239999999</v>
      </c>
      <c r="P1682" s="267"/>
      <c r="Q1682" s="166"/>
      <c r="R1682" s="71"/>
    </row>
    <row r="1683" spans="1:18" s="61" customFormat="1" ht="110.25" x14ac:dyDescent="0.25">
      <c r="A1683" s="358"/>
      <c r="B1683" s="361"/>
      <c r="C1683" s="221" t="s">
        <v>82</v>
      </c>
      <c r="D1683" s="156" t="s">
        <v>46</v>
      </c>
      <c r="E1683" s="156" t="s">
        <v>54</v>
      </c>
      <c r="F1683" s="156" t="s">
        <v>285</v>
      </c>
      <c r="G1683" s="238">
        <f>MROUND(H1683*L1683*I1683/K1683,0.000001)</f>
        <v>0.57065500000000002</v>
      </c>
      <c r="H1683" s="242">
        <f>H1203</f>
        <v>1028.181818181818</v>
      </c>
      <c r="I1683" s="159">
        <f>I1681</f>
        <v>5.9285520000000001E-2</v>
      </c>
      <c r="J1683" s="160"/>
      <c r="K1683" s="161">
        <f>K1681</f>
        <v>1175</v>
      </c>
      <c r="L1683" s="225">
        <f>L1443</f>
        <v>11</v>
      </c>
      <c r="M1683" s="163" t="str">
        <f>CONCATENATE(H1683," ",F1683,"*",L1683,"автобуса","*",I1683,"/",K1683,"чел.")</f>
        <v>1028,18181818182 л бензина АИ 92 (12,5л/день(зимой)*20дней*7мес+10л/день(летом)*20дней*4мес)*11автобуса*0,05928552/1175чел.</v>
      </c>
      <c r="N1683" s="164">
        <f>N123</f>
        <v>54.500000000000007</v>
      </c>
      <c r="O1683" s="165">
        <f>MROUND(G1683*N1683,0.000001)</f>
        <v>31.100697999999998</v>
      </c>
      <c r="P1683" s="166"/>
      <c r="Q1683" s="166">
        <f t="shared" si="360"/>
        <v>36543.32015</v>
      </c>
      <c r="R1683" s="71"/>
    </row>
    <row r="1684" spans="1:18" s="62" customFormat="1" x14ac:dyDescent="0.25">
      <c r="A1684" s="358"/>
      <c r="B1684" s="361"/>
      <c r="C1684" s="218" t="s">
        <v>300</v>
      </c>
      <c r="D1684" s="240"/>
      <c r="E1684" s="240"/>
      <c r="F1684" s="240"/>
      <c r="G1684" s="227"/>
      <c r="H1684" s="241"/>
      <c r="I1684" s="206"/>
      <c r="J1684" s="228"/>
      <c r="K1684" s="207"/>
      <c r="L1684" s="257"/>
      <c r="M1684" s="209"/>
      <c r="N1684" s="210"/>
      <c r="O1684" s="198">
        <f>SUM(O1683)</f>
        <v>31.100697999999998</v>
      </c>
      <c r="P1684" s="267"/>
      <c r="Q1684" s="166"/>
      <c r="R1684" s="71"/>
    </row>
    <row r="1685" spans="1:18" s="61" customFormat="1" ht="47.25" x14ac:dyDescent="0.25">
      <c r="A1685" s="358"/>
      <c r="B1685" s="361"/>
      <c r="C1685" s="221" t="s">
        <v>434</v>
      </c>
      <c r="D1685" s="156" t="s">
        <v>436</v>
      </c>
      <c r="E1685" s="156" t="s">
        <v>28</v>
      </c>
      <c r="F1685" s="156" t="s">
        <v>437</v>
      </c>
      <c r="G1685" s="157">
        <f>MROUND(H1685*L1685*I1685/K1685,0.000001)</f>
        <v>1.4631999999999999E-2</v>
      </c>
      <c r="H1685" s="242">
        <f>$H$125</f>
        <v>290</v>
      </c>
      <c r="I1685" s="159">
        <f>I1683</f>
        <v>5.9285520000000001E-2</v>
      </c>
      <c r="J1685" s="160"/>
      <c r="K1685" s="161">
        <f>K1683</f>
        <v>1175</v>
      </c>
      <c r="L1685" s="162">
        <v>1</v>
      </c>
      <c r="M1685" s="163" t="str">
        <f>CONCATENATE(H1685," ",F1685,"*",L1685,"автобуса","*",I1685,"/",K1685,"чел.")</f>
        <v>290 огнетушителей (потребность учреждений) *1автобуса*0,05928552/1175чел.</v>
      </c>
      <c r="N1685" s="164">
        <f>$N$125</f>
        <v>2000</v>
      </c>
      <c r="O1685" s="165">
        <f>MROUND(G1685*N1685,0.000001)</f>
        <v>29.263999999999999</v>
      </c>
      <c r="P1685" s="166"/>
      <c r="Q1685" s="166">
        <f t="shared" si="360"/>
        <v>34385.199999999997</v>
      </c>
      <c r="R1685" s="71"/>
    </row>
    <row r="1686" spans="1:18" s="61" customFormat="1" x14ac:dyDescent="0.25">
      <c r="A1686" s="358"/>
      <c r="B1686" s="361"/>
      <c r="C1686" s="218" t="s">
        <v>435</v>
      </c>
      <c r="D1686" s="240"/>
      <c r="E1686" s="240"/>
      <c r="F1686" s="240"/>
      <c r="G1686" s="251"/>
      <c r="H1686" s="241"/>
      <c r="I1686" s="206"/>
      <c r="J1686" s="228"/>
      <c r="K1686" s="207"/>
      <c r="L1686" s="229"/>
      <c r="M1686" s="209"/>
      <c r="N1686" s="210"/>
      <c r="O1686" s="198">
        <f>SUM(O1685)</f>
        <v>29.263999999999999</v>
      </c>
      <c r="P1686" s="166"/>
      <c r="Q1686" s="166"/>
      <c r="R1686" s="71"/>
    </row>
    <row r="1687" spans="1:18" s="61" customFormat="1" ht="47.25" x14ac:dyDescent="0.25">
      <c r="A1687" s="358"/>
      <c r="B1687" s="361"/>
      <c r="C1687" s="364" t="s">
        <v>118</v>
      </c>
      <c r="D1687" s="156" t="s">
        <v>47</v>
      </c>
      <c r="E1687" s="156" t="s">
        <v>28</v>
      </c>
      <c r="F1687" s="156" t="s">
        <v>239</v>
      </c>
      <c r="G1687" s="238">
        <f>MROUND(H1687*L1687*I1687/K1687,0.00000001)</f>
        <v>7.2656300000000004E-3</v>
      </c>
      <c r="H1687" s="158">
        <f>H607</f>
        <v>144</v>
      </c>
      <c r="I1687" s="159">
        <f>I1683</f>
        <v>5.9285520000000001E-2</v>
      </c>
      <c r="J1687" s="160"/>
      <c r="K1687" s="161">
        <f>K1683</f>
        <v>1175</v>
      </c>
      <c r="L1687" s="250">
        <v>1</v>
      </c>
      <c r="M1687" s="163" t="str">
        <f>CONCATENATE(H1687," ",F1687,"*",I1687,"/",K1687,"чел.")</f>
        <v>144 манометров (потребность учреждений) *0,05928552/1175чел.</v>
      </c>
      <c r="N1687" s="164">
        <f>N127</f>
        <v>708.5</v>
      </c>
      <c r="O1687" s="165">
        <f>MROUND(G1687*N1687,0.000001)</f>
        <v>5.1476989999999994</v>
      </c>
      <c r="P1687" s="166"/>
      <c r="Q1687" s="166">
        <f t="shared" si="360"/>
        <v>6048.5463249999993</v>
      </c>
      <c r="R1687" s="71"/>
    </row>
    <row r="1688" spans="1:18" s="61" customFormat="1" ht="47.25" x14ac:dyDescent="0.25">
      <c r="A1688" s="358"/>
      <c r="B1688" s="361"/>
      <c r="C1688" s="364"/>
      <c r="D1688" s="255" t="s">
        <v>113</v>
      </c>
      <c r="E1688" s="156" t="s">
        <v>28</v>
      </c>
      <c r="F1688" s="156" t="s">
        <v>240</v>
      </c>
      <c r="G1688" s="238">
        <f>MROUND(H1688*L1688*I1688/K1688,0.00000001)</f>
        <v>0.28835468000000003</v>
      </c>
      <c r="H1688" s="158">
        <f>H248</f>
        <v>5715</v>
      </c>
      <c r="I1688" s="159">
        <f>I1687</f>
        <v>5.9285520000000001E-2</v>
      </c>
      <c r="J1688" s="160"/>
      <c r="K1688" s="161">
        <f>K1687</f>
        <v>1175</v>
      </c>
      <c r="L1688" s="250">
        <v>1</v>
      </c>
      <c r="M1688" s="163" t="str">
        <f>CONCATENATE(H1688," ",F1688,"*",I1688,"/",K1688,"чел.")</f>
        <v>5715 светильников (потребность учреждений)*0,05928552/1175чел.</v>
      </c>
      <c r="N1688" s="164">
        <f>N128</f>
        <v>106.27500087489064</v>
      </c>
      <c r="O1688" s="165">
        <f>MROUND(G1688*N1688,0.000001)</f>
        <v>30.644893999999997</v>
      </c>
      <c r="P1688" s="166"/>
      <c r="Q1688" s="166">
        <f t="shared" si="360"/>
        <v>36007.75045</v>
      </c>
      <c r="R1688" s="71"/>
    </row>
    <row r="1689" spans="1:18" s="62" customFormat="1" x14ac:dyDescent="0.25">
      <c r="A1689" s="359"/>
      <c r="B1689" s="362"/>
      <c r="C1689" s="218" t="s">
        <v>301</v>
      </c>
      <c r="D1689" s="256"/>
      <c r="E1689" s="240"/>
      <c r="F1689" s="240"/>
      <c r="G1689" s="227"/>
      <c r="H1689" s="241"/>
      <c r="I1689" s="206"/>
      <c r="J1689" s="228"/>
      <c r="K1689" s="207"/>
      <c r="L1689" s="257"/>
      <c r="M1689" s="209"/>
      <c r="N1689" s="210"/>
      <c r="O1689" s="198">
        <f>SUM(O1687:O1688)</f>
        <v>35.792592999999997</v>
      </c>
      <c r="P1689" s="267"/>
      <c r="Q1689" s="166"/>
      <c r="R1689" s="71"/>
    </row>
    <row r="1690" spans="1:18" s="61" customFormat="1" x14ac:dyDescent="0.25">
      <c r="A1690" s="357" t="str">
        <f>CONCATENATE(школы!$B$21,", ",школы!$C$21,", ",школы!$D$21,"очно-заочная")</f>
        <v>Реализация основных общеобразовательных программ среднего общего образования, очно-заочная, , очно-заочная</v>
      </c>
      <c r="B1690" s="360" t="str">
        <f>школы!$A$21</f>
        <v>802112О.99.0.ББ11АЮ62001</v>
      </c>
      <c r="C1690" s="194"/>
      <c r="D1690" s="363" t="s">
        <v>15</v>
      </c>
      <c r="E1690" s="363"/>
      <c r="F1690" s="363"/>
      <c r="G1690" s="363"/>
      <c r="H1690" s="195"/>
      <c r="I1690" s="195"/>
      <c r="J1690" s="195"/>
      <c r="K1690" s="195"/>
      <c r="L1690" s="196"/>
      <c r="M1690" s="197"/>
      <c r="N1690" s="164"/>
      <c r="O1690" s="198">
        <f>O1691+O1696+O1698</f>
        <v>3373.4455368649997</v>
      </c>
      <c r="P1690" s="166"/>
      <c r="Q1690" s="166"/>
      <c r="R1690" s="71"/>
    </row>
    <row r="1691" spans="1:18" s="61" customFormat="1" x14ac:dyDescent="0.25">
      <c r="A1691" s="358"/>
      <c r="B1691" s="361"/>
      <c r="C1691" s="194"/>
      <c r="D1691" s="350" t="s">
        <v>62</v>
      </c>
      <c r="E1691" s="350"/>
      <c r="F1691" s="350"/>
      <c r="G1691" s="350"/>
      <c r="H1691" s="195"/>
      <c r="I1691" s="195"/>
      <c r="J1691" s="195"/>
      <c r="K1691" s="195"/>
      <c r="L1691" s="196"/>
      <c r="M1691" s="197"/>
      <c r="N1691" s="164"/>
      <c r="O1691" s="165">
        <f>O1693+O1695</f>
        <v>3373.4455368649997</v>
      </c>
      <c r="P1691" s="166"/>
      <c r="Q1691" s="166"/>
      <c r="R1691" s="71"/>
    </row>
    <row r="1692" spans="1:18" s="61" customFormat="1" x14ac:dyDescent="0.25">
      <c r="A1692" s="358"/>
      <c r="B1692" s="361"/>
      <c r="C1692" s="194">
        <v>211</v>
      </c>
      <c r="D1692" s="194" t="s">
        <v>86</v>
      </c>
      <c r="E1692" s="199" t="s">
        <v>95</v>
      </c>
      <c r="F1692" s="199" t="s">
        <v>95</v>
      </c>
      <c r="G1692" s="275">
        <f>MROUND(H1692*L1692*I1692/K1692,0.0000000001)</f>
        <v>0.20730175840000001</v>
      </c>
      <c r="H1692" s="201">
        <f>H852</f>
        <v>921.8</v>
      </c>
      <c r="I1692" s="159">
        <f>школы!$K$21</f>
        <v>8.4332999999999999E-4</v>
      </c>
      <c r="J1692" s="159"/>
      <c r="K1692" s="161">
        <f>школы!$G$21</f>
        <v>45</v>
      </c>
      <c r="L1692" s="202">
        <v>12</v>
      </c>
      <c r="M1692" s="163" t="str">
        <f>CONCATENATE(H1692," ",F1692," ","в мес.","*",L1692,"мес.","*",I1692,"/",K1692,"чел.")</f>
        <v>921,8 шт.ед в мес.*12мес.*0,00084333/45чел.</v>
      </c>
      <c r="N1692" s="164">
        <f>N852</f>
        <v>12498.552905979601</v>
      </c>
      <c r="O1692" s="165">
        <f>MROUND(G1692*N1692,0.000000001)</f>
        <v>2590.9719948649999</v>
      </c>
      <c r="P1692" s="166"/>
      <c r="Q1692" s="166">
        <f t="shared" si="360"/>
        <v>116593.73976892499</v>
      </c>
      <c r="R1692" s="71"/>
    </row>
    <row r="1693" spans="1:18" s="62" customFormat="1" x14ac:dyDescent="0.25">
      <c r="A1693" s="358"/>
      <c r="B1693" s="361"/>
      <c r="C1693" s="203" t="s">
        <v>288</v>
      </c>
      <c r="D1693" s="203"/>
      <c r="E1693" s="204"/>
      <c r="F1693" s="204"/>
      <c r="G1693" s="205"/>
      <c r="H1693" s="206"/>
      <c r="I1693" s="206"/>
      <c r="J1693" s="206"/>
      <c r="K1693" s="207"/>
      <c r="L1693" s="208"/>
      <c r="M1693" s="209"/>
      <c r="N1693" s="210">
        <f>N1692</f>
        <v>12498.552905979601</v>
      </c>
      <c r="O1693" s="198">
        <f>O1692</f>
        <v>2590.9719948649999</v>
      </c>
      <c r="P1693" s="267"/>
      <c r="Q1693" s="166"/>
      <c r="R1693" s="71"/>
    </row>
    <row r="1694" spans="1:18" s="61" customFormat="1" x14ac:dyDescent="0.25">
      <c r="A1694" s="358"/>
      <c r="B1694" s="361"/>
      <c r="C1694" s="194">
        <v>213</v>
      </c>
      <c r="D1694" s="194" t="s">
        <v>87</v>
      </c>
      <c r="E1694" s="194" t="s">
        <v>88</v>
      </c>
      <c r="F1694" s="194"/>
      <c r="G1694" s="211">
        <v>30.2</v>
      </c>
      <c r="H1694" s="159"/>
      <c r="I1694" s="159"/>
      <c r="J1694" s="159"/>
      <c r="K1694" s="161">
        <f>K1692</f>
        <v>45</v>
      </c>
      <c r="L1694" s="202"/>
      <c r="M1694" s="212"/>
      <c r="N1694" s="164"/>
      <c r="O1694" s="165">
        <f>MROUND(O1692*0.302,0.000001)</f>
        <v>782.47354199999995</v>
      </c>
      <c r="P1694" s="166"/>
      <c r="Q1694" s="166">
        <f>O1694*K1694</f>
        <v>35211.309389999995</v>
      </c>
      <c r="R1694" s="71"/>
    </row>
    <row r="1695" spans="1:18" s="62" customFormat="1" x14ac:dyDescent="0.25">
      <c r="A1695" s="358"/>
      <c r="B1695" s="361"/>
      <c r="C1695" s="203" t="s">
        <v>289</v>
      </c>
      <c r="D1695" s="203"/>
      <c r="E1695" s="203"/>
      <c r="F1695" s="203"/>
      <c r="G1695" s="213"/>
      <c r="H1695" s="214"/>
      <c r="I1695" s="206"/>
      <c r="J1695" s="214"/>
      <c r="K1695" s="207"/>
      <c r="L1695" s="215"/>
      <c r="M1695" s="216"/>
      <c r="N1695" s="210"/>
      <c r="O1695" s="198">
        <f>O1694</f>
        <v>782.47354199999995</v>
      </c>
      <c r="P1695" s="267"/>
      <c r="Q1695" s="166"/>
      <c r="R1695" s="71"/>
    </row>
    <row r="1696" spans="1:18" s="61" customFormat="1" x14ac:dyDescent="0.25">
      <c r="A1696" s="358"/>
      <c r="B1696" s="361"/>
      <c r="C1696" s="194"/>
      <c r="D1696" s="356" t="s">
        <v>63</v>
      </c>
      <c r="E1696" s="356"/>
      <c r="F1696" s="356"/>
      <c r="G1696" s="356"/>
      <c r="H1696" s="195"/>
      <c r="I1696" s="159"/>
      <c r="J1696" s="195"/>
      <c r="K1696" s="161"/>
      <c r="L1696" s="196"/>
      <c r="M1696" s="197"/>
      <c r="N1696" s="164"/>
      <c r="O1696" s="165"/>
      <c r="P1696" s="166"/>
      <c r="Q1696" s="166"/>
      <c r="R1696" s="71"/>
    </row>
    <row r="1697" spans="1:18" s="61" customFormat="1" x14ac:dyDescent="0.25">
      <c r="A1697" s="358"/>
      <c r="B1697" s="361"/>
      <c r="C1697" s="194"/>
      <c r="D1697" s="194"/>
      <c r="E1697" s="194"/>
      <c r="F1697" s="194"/>
      <c r="G1697" s="217"/>
      <c r="H1697" s="195"/>
      <c r="I1697" s="159"/>
      <c r="J1697" s="195"/>
      <c r="K1697" s="161"/>
      <c r="L1697" s="196"/>
      <c r="M1697" s="197"/>
      <c r="N1697" s="164"/>
      <c r="O1697" s="165"/>
      <c r="P1697" s="166"/>
      <c r="Q1697" s="166"/>
      <c r="R1697" s="71"/>
    </row>
    <row r="1698" spans="1:18" s="61" customFormat="1" x14ac:dyDescent="0.25">
      <c r="A1698" s="358"/>
      <c r="B1698" s="361"/>
      <c r="C1698" s="194"/>
      <c r="D1698" s="350" t="s">
        <v>64</v>
      </c>
      <c r="E1698" s="350"/>
      <c r="F1698" s="350"/>
      <c r="G1698" s="350"/>
      <c r="H1698" s="195"/>
      <c r="I1698" s="159"/>
      <c r="J1698" s="195"/>
      <c r="K1698" s="161"/>
      <c r="L1698" s="196"/>
      <c r="M1698" s="197"/>
      <c r="N1698" s="164"/>
      <c r="O1698" s="165"/>
      <c r="P1698" s="166"/>
      <c r="Q1698" s="166"/>
      <c r="R1698" s="71"/>
    </row>
    <row r="1699" spans="1:18" s="61" customFormat="1" x14ac:dyDescent="0.25">
      <c r="A1699" s="358"/>
      <c r="B1699" s="361"/>
      <c r="C1699" s="194"/>
      <c r="D1699" s="194"/>
      <c r="E1699" s="194"/>
      <c r="F1699" s="194"/>
      <c r="G1699" s="217"/>
      <c r="H1699" s="195"/>
      <c r="I1699" s="159"/>
      <c r="J1699" s="195"/>
      <c r="K1699" s="161"/>
      <c r="L1699" s="196"/>
      <c r="M1699" s="197"/>
      <c r="N1699" s="164"/>
      <c r="O1699" s="165"/>
      <c r="P1699" s="166"/>
      <c r="Q1699" s="166"/>
      <c r="R1699" s="71"/>
    </row>
    <row r="1700" spans="1:18" s="61" customFormat="1" x14ac:dyDescent="0.25">
      <c r="A1700" s="358"/>
      <c r="B1700" s="361"/>
      <c r="C1700" s="194"/>
      <c r="D1700" s="355" t="s">
        <v>5</v>
      </c>
      <c r="E1700" s="355"/>
      <c r="F1700" s="355"/>
      <c r="G1700" s="355"/>
      <c r="H1700" s="195"/>
      <c r="I1700" s="159"/>
      <c r="J1700" s="195"/>
      <c r="K1700" s="161"/>
      <c r="L1700" s="196"/>
      <c r="M1700" s="197"/>
      <c r="N1700" s="164"/>
      <c r="O1700" s="198">
        <f>O1701+O1711+O1722+O1724+O1726+O1728+O1730</f>
        <v>17994.90548455669</v>
      </c>
      <c r="P1700" s="166"/>
      <c r="Q1700" s="166"/>
      <c r="R1700" s="71"/>
    </row>
    <row r="1701" spans="1:18" s="61" customFormat="1" x14ac:dyDescent="0.25">
      <c r="A1701" s="358"/>
      <c r="B1701" s="361"/>
      <c r="C1701" s="218" t="s">
        <v>70</v>
      </c>
      <c r="D1701" s="355" t="s">
        <v>6</v>
      </c>
      <c r="E1701" s="355"/>
      <c r="F1701" s="355"/>
      <c r="G1701" s="355"/>
      <c r="H1701" s="189"/>
      <c r="I1701" s="159"/>
      <c r="J1701" s="189"/>
      <c r="K1701" s="161"/>
      <c r="L1701" s="190"/>
      <c r="M1701" s="197"/>
      <c r="N1701" s="210"/>
      <c r="O1701" s="198">
        <f>O1710</f>
        <v>3242.0670987999997</v>
      </c>
      <c r="P1701" s="166"/>
      <c r="Q1701" s="166"/>
      <c r="R1701" s="71"/>
    </row>
    <row r="1702" spans="1:18" s="61" customFormat="1" ht="31.5" x14ac:dyDescent="0.25">
      <c r="A1702" s="358"/>
      <c r="B1702" s="361"/>
      <c r="C1702" s="221" t="s">
        <v>72</v>
      </c>
      <c r="D1702" s="222" t="s">
        <v>7</v>
      </c>
      <c r="E1702" s="223" t="s">
        <v>8</v>
      </c>
      <c r="F1702" s="223" t="s">
        <v>8</v>
      </c>
      <c r="G1702" s="238">
        <f>MROUND(H1702*L1702*I1702/K1702,0.00000000001)</f>
        <v>62.090104278969996</v>
      </c>
      <c r="H1702" s="160">
        <f>H982</f>
        <v>3313121.4264326878</v>
      </c>
      <c r="I1702" s="159">
        <f>I1692</f>
        <v>8.4332999999999999E-4</v>
      </c>
      <c r="J1702" s="160"/>
      <c r="K1702" s="161">
        <f>K1692</f>
        <v>45</v>
      </c>
      <c r="L1702" s="250">
        <v>1</v>
      </c>
      <c r="M1702" s="163" t="str">
        <f t="shared" ref="M1702:M1707" si="365">CONCATENATE(H1702," ",F1702,"(лимиты выделенные УЖКХ) ","*",I1702,"/",K1702,"чел.")</f>
        <v>3313121,42643269 кВт час.(лимиты выделенные УЖКХ) *0,00084333/45чел.</v>
      </c>
      <c r="N1702" s="164">
        <f>N982</f>
        <v>10.418446162163715</v>
      </c>
      <c r="O1702" s="165">
        <f t="shared" ref="O1702:O1709" si="366">MROUND(G1702*N1702,0.000001)</f>
        <v>646.88240899999994</v>
      </c>
      <c r="P1702" s="166"/>
      <c r="Q1702" s="166">
        <f t="shared" si="360"/>
        <v>29109.708404999998</v>
      </c>
      <c r="R1702" s="71"/>
    </row>
    <row r="1703" spans="1:18" s="61" customFormat="1" ht="31.5" x14ac:dyDescent="0.25">
      <c r="A1703" s="358"/>
      <c r="B1703" s="361"/>
      <c r="C1703" s="221" t="s">
        <v>73</v>
      </c>
      <c r="D1703" s="222" t="s">
        <v>9</v>
      </c>
      <c r="E1703" s="223" t="s">
        <v>10</v>
      </c>
      <c r="F1703" s="223" t="s">
        <v>10</v>
      </c>
      <c r="G1703" s="238">
        <f>MROUND(H1703*L1703*I1703/K1703,0.00000000001)</f>
        <v>0.59777835352999997</v>
      </c>
      <c r="H1703" s="160">
        <f>H623</f>
        <v>31897.39</v>
      </c>
      <c r="I1703" s="159">
        <f t="shared" ref="I1703:I1755" si="367">I1702</f>
        <v>8.4332999999999999E-4</v>
      </c>
      <c r="J1703" s="160"/>
      <c r="K1703" s="161">
        <f t="shared" ref="K1703:K1709" si="368">K1702</f>
        <v>45</v>
      </c>
      <c r="L1703" s="250">
        <v>1</v>
      </c>
      <c r="M1703" s="163" t="str">
        <f t="shared" si="365"/>
        <v>31897,39 Гкал(лимиты выделенные УЖКХ) *0,00084333/45чел.</v>
      </c>
      <c r="N1703" s="164">
        <f>N623</f>
        <v>2845.3650600830792</v>
      </c>
      <c r="O1703" s="165">
        <f t="shared" si="366"/>
        <v>1700.897641</v>
      </c>
      <c r="P1703" s="166"/>
      <c r="Q1703" s="166">
        <f t="shared" si="360"/>
        <v>76540.393844999999</v>
      </c>
      <c r="R1703" s="71"/>
    </row>
    <row r="1704" spans="1:18" s="61" customFormat="1" ht="31.5" x14ac:dyDescent="0.25">
      <c r="A1704" s="358"/>
      <c r="B1704" s="361"/>
      <c r="C1704" s="364" t="s">
        <v>74</v>
      </c>
      <c r="D1704" s="222" t="s">
        <v>12</v>
      </c>
      <c r="E1704" s="222" t="s">
        <v>11</v>
      </c>
      <c r="F1704" s="222" t="s">
        <v>11</v>
      </c>
      <c r="G1704" s="238">
        <f>MROUND(H1704*L1704*I1704/K1704,0.00000000001)</f>
        <v>3.4618728359099999</v>
      </c>
      <c r="H1704" s="224">
        <f>H24</f>
        <v>184725.17</v>
      </c>
      <c r="I1704" s="159">
        <f t="shared" si="367"/>
        <v>8.4332999999999999E-4</v>
      </c>
      <c r="J1704" s="160"/>
      <c r="K1704" s="161">
        <f t="shared" si="368"/>
        <v>45</v>
      </c>
      <c r="L1704" s="250">
        <v>1</v>
      </c>
      <c r="M1704" s="163" t="str">
        <f t="shared" si="365"/>
        <v>184725,17 м3(лимиты выделенные УЖКХ) *0,00084333/45чел.</v>
      </c>
      <c r="N1704" s="164">
        <f>N24</f>
        <v>51.830000102314166</v>
      </c>
      <c r="O1704" s="165">
        <f t="shared" si="366"/>
        <v>179.42886899999999</v>
      </c>
      <c r="P1704" s="166"/>
      <c r="Q1704" s="166">
        <f t="shared" si="360"/>
        <v>8074.2991050000001</v>
      </c>
      <c r="R1704" s="71"/>
    </row>
    <row r="1705" spans="1:18" s="61" customFormat="1" ht="47.25" x14ac:dyDescent="0.25">
      <c r="A1705" s="358"/>
      <c r="B1705" s="361"/>
      <c r="C1705" s="364"/>
      <c r="D1705" s="222" t="s">
        <v>17</v>
      </c>
      <c r="E1705" s="222" t="s">
        <v>11</v>
      </c>
      <c r="F1705" s="222" t="s">
        <v>11</v>
      </c>
      <c r="G1705" s="238">
        <f>MROUND(H1705*L1705*I1705/K1705,0.00000000001)</f>
        <v>3.4618728359099999</v>
      </c>
      <c r="H1705" s="160">
        <f>H625</f>
        <v>184725.17</v>
      </c>
      <c r="I1705" s="159">
        <f t="shared" si="367"/>
        <v>8.4332999999999999E-4</v>
      </c>
      <c r="J1705" s="160"/>
      <c r="K1705" s="161">
        <f t="shared" si="368"/>
        <v>45</v>
      </c>
      <c r="L1705" s="162">
        <f>$L$25</f>
        <v>1</v>
      </c>
      <c r="M1705" s="163" t="str">
        <f t="shared" si="365"/>
        <v>184725,17 м3(лимиты выделенные УЖКХ) *0,00084333/45чел.</v>
      </c>
      <c r="N1705" s="164">
        <f>N25</f>
        <v>78.76115753094173</v>
      </c>
      <c r="O1705" s="165">
        <f t="shared" si="366"/>
        <v>272.661112</v>
      </c>
      <c r="P1705" s="166"/>
      <c r="Q1705" s="166">
        <f t="shared" si="360"/>
        <v>12269.750040000001</v>
      </c>
      <c r="R1705" s="71"/>
    </row>
    <row r="1706" spans="1:18" s="61" customFormat="1" ht="31.5" x14ac:dyDescent="0.25">
      <c r="A1706" s="358"/>
      <c r="B1706" s="361"/>
      <c r="C1706" s="364"/>
      <c r="D1706" s="222" t="s">
        <v>13</v>
      </c>
      <c r="E1706" s="222" t="s">
        <v>11</v>
      </c>
      <c r="F1706" s="222" t="s">
        <v>11</v>
      </c>
      <c r="G1706" s="238">
        <f>MROUND(H1706*L1706*I1706/K1706,0.00000000001)</f>
        <v>3.4618728359099999</v>
      </c>
      <c r="H1706" s="160">
        <f>H26</f>
        <v>184725.17</v>
      </c>
      <c r="I1706" s="159">
        <f t="shared" si="367"/>
        <v>8.4332999999999999E-4</v>
      </c>
      <c r="J1706" s="160"/>
      <c r="K1706" s="161">
        <f t="shared" si="368"/>
        <v>45</v>
      </c>
      <c r="L1706" s="162">
        <v>1</v>
      </c>
      <c r="M1706" s="163" t="str">
        <f t="shared" si="365"/>
        <v>184725,17 м3(лимиты выделенные УЖКХ) *0,00084333/45чел.</v>
      </c>
      <c r="N1706" s="164">
        <f>N26</f>
        <v>107.41979263410609</v>
      </c>
      <c r="O1706" s="165">
        <f>MROUND(G1706*N1706,0.00000001)</f>
        <v>371.87366215999998</v>
      </c>
      <c r="P1706" s="166"/>
      <c r="Q1706" s="166">
        <f t="shared" si="360"/>
        <v>16734.314797200001</v>
      </c>
      <c r="R1706" s="71"/>
    </row>
    <row r="1707" spans="1:18" s="61" customFormat="1" ht="31.5" x14ac:dyDescent="0.25">
      <c r="A1707" s="358"/>
      <c r="B1707" s="361"/>
      <c r="C1707" s="221" t="s">
        <v>75</v>
      </c>
      <c r="D1707" s="222" t="s">
        <v>18</v>
      </c>
      <c r="E1707" s="222" t="s">
        <v>48</v>
      </c>
      <c r="F1707" s="222" t="s">
        <v>48</v>
      </c>
      <c r="G1707" s="238">
        <f>MROUND(H1707*L1707*I1707/K1707,0.0000000001)</f>
        <v>0.26026288240000001</v>
      </c>
      <c r="H1707" s="160">
        <f>H27</f>
        <v>13887.6</v>
      </c>
      <c r="I1707" s="159">
        <f t="shared" si="367"/>
        <v>8.4332999999999999E-4</v>
      </c>
      <c r="J1707" s="160"/>
      <c r="K1707" s="161">
        <f t="shared" si="368"/>
        <v>45</v>
      </c>
      <c r="L1707" s="250">
        <v>1</v>
      </c>
      <c r="M1707" s="163" t="str">
        <f t="shared" si="365"/>
        <v>13887,6 тыс. м3(лимиты выделенные УЖКХ) *0,00084333/45чел.</v>
      </c>
      <c r="N1707" s="164">
        <f>N27</f>
        <v>29.231582850888564</v>
      </c>
      <c r="O1707" s="165">
        <f t="shared" si="366"/>
        <v>7.6078959999999993</v>
      </c>
      <c r="P1707" s="166"/>
      <c r="Q1707" s="166">
        <f t="shared" si="360"/>
        <v>342.35531999999995</v>
      </c>
      <c r="R1707" s="71"/>
    </row>
    <row r="1708" spans="1:18" s="61" customFormat="1" x14ac:dyDescent="0.25">
      <c r="A1708" s="358"/>
      <c r="B1708" s="361"/>
      <c r="C1708" s="364" t="s">
        <v>216</v>
      </c>
      <c r="D1708" s="222" t="s">
        <v>23</v>
      </c>
      <c r="E1708" s="222" t="s">
        <v>11</v>
      </c>
      <c r="F1708" s="222" t="s">
        <v>11</v>
      </c>
      <c r="G1708" s="238">
        <f>MROUND(H1708*L1708*I1708/K1708,0.000000000001)</f>
        <v>6.3130559360000005E-2</v>
      </c>
      <c r="H1708" s="160">
        <f>H28</f>
        <v>3368.6400000000003</v>
      </c>
      <c r="I1708" s="159">
        <f t="shared" si="367"/>
        <v>8.4332999999999999E-4</v>
      </c>
      <c r="J1708" s="160"/>
      <c r="K1708" s="161">
        <f t="shared" si="368"/>
        <v>45</v>
      </c>
      <c r="L1708" s="162">
        <f>L1707</f>
        <v>1</v>
      </c>
      <c r="M1708" s="163" t="str">
        <f>CONCATENATE(H1708," ",F1708," ","*",I1708,"/",K1708,"чел.")</f>
        <v>3368,64 м3 *0,00084333/45чел.</v>
      </c>
      <c r="N1708" s="164">
        <f>N28</f>
        <v>742.21370939013957</v>
      </c>
      <c r="O1708" s="165">
        <f>MROUND(G1708*N1708,0.00000001)</f>
        <v>46.856366640000005</v>
      </c>
      <c r="P1708" s="166"/>
      <c r="Q1708" s="166">
        <f t="shared" si="360"/>
        <v>2108.5364988000001</v>
      </c>
      <c r="R1708" s="71"/>
    </row>
    <row r="1709" spans="1:18" s="61" customFormat="1" ht="47.25" x14ac:dyDescent="0.25">
      <c r="A1709" s="358"/>
      <c r="B1709" s="361"/>
      <c r="C1709" s="364"/>
      <c r="D1709" s="222" t="s">
        <v>24</v>
      </c>
      <c r="E1709" s="222" t="s">
        <v>25</v>
      </c>
      <c r="F1709" s="222" t="s">
        <v>217</v>
      </c>
      <c r="G1709" s="238">
        <f>MROUND(H1709*L1709*I1709/K1709,0.000000000001)</f>
        <v>2.7548780000000001E-3</v>
      </c>
      <c r="H1709" s="160">
        <f>H989</f>
        <v>147</v>
      </c>
      <c r="I1709" s="159">
        <f t="shared" si="367"/>
        <v>8.4332999999999999E-4</v>
      </c>
      <c r="J1709" s="160"/>
      <c r="K1709" s="161">
        <f t="shared" si="368"/>
        <v>45</v>
      </c>
      <c r="L1709" s="250">
        <f>L1708</f>
        <v>1</v>
      </c>
      <c r="M1709" s="163" t="str">
        <f>CONCATENATE(H1709," ",F1709,"(потребность из расчета 4 контейнера для уборки территории весной и осенью на 1 учреждение)","*",I1709,"/",K1709,"чел.")</f>
        <v>147 контейнера(потребность из расчета 4 контейнера для уборки территории весной и осенью на 1 учреждение)*0,00084333/45чел.</v>
      </c>
      <c r="N1709" s="164">
        <f>N989</f>
        <v>5756.7497959183638</v>
      </c>
      <c r="O1709" s="165">
        <f t="shared" si="366"/>
        <v>15.859143</v>
      </c>
      <c r="P1709" s="166"/>
      <c r="Q1709" s="166">
        <f t="shared" si="360"/>
        <v>713.66143499999998</v>
      </c>
      <c r="R1709" s="71"/>
    </row>
    <row r="1710" spans="1:18" s="62" customFormat="1" x14ac:dyDescent="0.25">
      <c r="A1710" s="358"/>
      <c r="B1710" s="361"/>
      <c r="C1710" s="218" t="s">
        <v>290</v>
      </c>
      <c r="D1710" s="226"/>
      <c r="E1710" s="226"/>
      <c r="F1710" s="226"/>
      <c r="G1710" s="227"/>
      <c r="H1710" s="228"/>
      <c r="I1710" s="206"/>
      <c r="J1710" s="228"/>
      <c r="K1710" s="207"/>
      <c r="L1710" s="257"/>
      <c r="M1710" s="209"/>
      <c r="N1710" s="210"/>
      <c r="O1710" s="198">
        <f>SUM(O1702:O1709)</f>
        <v>3242.0670987999997</v>
      </c>
      <c r="P1710" s="267"/>
      <c r="Q1710" s="166"/>
      <c r="R1710" s="71"/>
    </row>
    <row r="1711" spans="1:18" s="61" customFormat="1" x14ac:dyDescent="0.25">
      <c r="A1711" s="358"/>
      <c r="B1711" s="361"/>
      <c r="C1711" s="221"/>
      <c r="D1711" s="356" t="s">
        <v>14</v>
      </c>
      <c r="E1711" s="356"/>
      <c r="F1711" s="356"/>
      <c r="G1711" s="356"/>
      <c r="H1711" s="188"/>
      <c r="I1711" s="159"/>
      <c r="J1711" s="188"/>
      <c r="K1711" s="161"/>
      <c r="L1711" s="250"/>
      <c r="M1711" s="230"/>
      <c r="N1711" s="164"/>
      <c r="O1711" s="198">
        <f>O1719+O1720+O1715</f>
        <v>13501.97780560669</v>
      </c>
      <c r="P1711" s="166"/>
      <c r="Q1711" s="166"/>
      <c r="R1711" s="71"/>
    </row>
    <row r="1712" spans="1:18" s="61" customFormat="1" x14ac:dyDescent="0.25">
      <c r="A1712" s="358"/>
      <c r="B1712" s="361"/>
      <c r="C1712" s="221" t="s">
        <v>379</v>
      </c>
      <c r="D1712" s="231" t="s">
        <v>49</v>
      </c>
      <c r="E1712" s="231" t="s">
        <v>22</v>
      </c>
      <c r="F1712" s="231" t="s">
        <v>22</v>
      </c>
      <c r="G1712" s="238">
        <f>MROUND(H1712*L1712*I1712/K1712,0.000000001)</f>
        <v>0</v>
      </c>
      <c r="H1712" s="160"/>
      <c r="I1712" s="159">
        <f>I1707</f>
        <v>8.4332999999999999E-4</v>
      </c>
      <c r="J1712" s="160"/>
      <c r="K1712" s="161">
        <f>K1707</f>
        <v>45</v>
      </c>
      <c r="L1712" s="250"/>
      <c r="M1712" s="163"/>
      <c r="N1712" s="164">
        <f>N872</f>
        <v>0</v>
      </c>
      <c r="O1712" s="165">
        <f>MROUND(G1712*N1712,0.00000001)</f>
        <v>0</v>
      </c>
      <c r="P1712" s="166"/>
      <c r="Q1712" s="166">
        <f t="shared" si="360"/>
        <v>0</v>
      </c>
      <c r="R1712" s="71"/>
    </row>
    <row r="1713" spans="1:18" s="61" customFormat="1" x14ac:dyDescent="0.25">
      <c r="A1713" s="358"/>
      <c r="B1713" s="361"/>
      <c r="C1713" s="221" t="s">
        <v>379</v>
      </c>
      <c r="D1713" s="231" t="s">
        <v>49</v>
      </c>
      <c r="E1713" s="231" t="s">
        <v>28</v>
      </c>
      <c r="F1713" s="231" t="s">
        <v>28</v>
      </c>
      <c r="G1713" s="238">
        <f>MROUND(H1713*L1713*I1713/K1713,0.000000001)</f>
        <v>9.3703000000000007E-5</v>
      </c>
      <c r="H1713" s="160">
        <f>H873</f>
        <v>5</v>
      </c>
      <c r="I1713" s="159">
        <f t="shared" si="367"/>
        <v>8.4332999999999999E-4</v>
      </c>
      <c r="J1713" s="160"/>
      <c r="K1713" s="161">
        <f>K1712</f>
        <v>45</v>
      </c>
      <c r="L1713" s="250">
        <v>1</v>
      </c>
      <c r="M1713" s="163" t="str">
        <f>CONCATENATE(H1713," ",F1713,"*",I1713,"/",K1713,"чел.")</f>
        <v>5 шт*0,00084333/45чел.</v>
      </c>
      <c r="N1713" s="164">
        <f>N873</f>
        <v>28120000</v>
      </c>
      <c r="O1713" s="165">
        <f>MROUND(G1713*N1713,0.00000001)</f>
        <v>2634.9283599999999</v>
      </c>
      <c r="P1713" s="166"/>
      <c r="Q1713" s="166">
        <f t="shared" si="360"/>
        <v>118571.77619999999</v>
      </c>
      <c r="R1713" s="71"/>
    </row>
    <row r="1714" spans="1:18" s="61" customFormat="1" x14ac:dyDescent="0.25">
      <c r="A1714" s="358"/>
      <c r="B1714" s="361"/>
      <c r="C1714" s="221" t="s">
        <v>379</v>
      </c>
      <c r="D1714" s="231" t="s">
        <v>49</v>
      </c>
      <c r="E1714" s="231" t="s">
        <v>101</v>
      </c>
      <c r="F1714" s="231" t="s">
        <v>101</v>
      </c>
      <c r="G1714" s="238">
        <f>MROUND(H1714*L1714*I1714/K1714,0.000000001)</f>
        <v>0</v>
      </c>
      <c r="H1714" s="160"/>
      <c r="I1714" s="159">
        <f t="shared" si="367"/>
        <v>8.4332999999999999E-4</v>
      </c>
      <c r="J1714" s="160"/>
      <c r="K1714" s="161">
        <f>K1713</f>
        <v>45</v>
      </c>
      <c r="L1714" s="250"/>
      <c r="M1714" s="163"/>
      <c r="N1714" s="164">
        <f>N874</f>
        <v>0</v>
      </c>
      <c r="O1714" s="165">
        <f>MROUND(G1714*N1714,0.00000001)</f>
        <v>0</v>
      </c>
      <c r="P1714" s="166"/>
      <c r="Q1714" s="166">
        <f t="shared" si="360"/>
        <v>0</v>
      </c>
      <c r="R1714" s="71"/>
    </row>
    <row r="1715" spans="1:18" s="62" customFormat="1" x14ac:dyDescent="0.25">
      <c r="A1715" s="358"/>
      <c r="B1715" s="361"/>
      <c r="C1715" s="218" t="s">
        <v>380</v>
      </c>
      <c r="D1715" s="232"/>
      <c r="E1715" s="232"/>
      <c r="F1715" s="232"/>
      <c r="G1715" s="227"/>
      <c r="H1715" s="228"/>
      <c r="I1715" s="206"/>
      <c r="J1715" s="228"/>
      <c r="K1715" s="207"/>
      <c r="L1715" s="257"/>
      <c r="M1715" s="209"/>
      <c r="N1715" s="210"/>
      <c r="O1715" s="198">
        <f>SUM(O1712:O1714)</f>
        <v>2634.9283599999999</v>
      </c>
      <c r="P1715" s="267"/>
      <c r="Q1715" s="166"/>
      <c r="R1715" s="71"/>
    </row>
    <row r="1716" spans="1:18" s="61" customFormat="1" x14ac:dyDescent="0.25">
      <c r="A1716" s="358"/>
      <c r="B1716" s="361"/>
      <c r="C1716" s="221" t="s">
        <v>76</v>
      </c>
      <c r="D1716" s="231" t="s">
        <v>49</v>
      </c>
      <c r="E1716" s="231" t="s">
        <v>22</v>
      </c>
      <c r="F1716" s="231" t="s">
        <v>22</v>
      </c>
      <c r="G1716" s="238">
        <f>MROUND(H1716*L1716*I1716/K1716,0.000000000000001)</f>
        <v>1.3721357661466671</v>
      </c>
      <c r="H1716" s="160">
        <f>H876</f>
        <v>73217.02</v>
      </c>
      <c r="I1716" s="159">
        <f>I1712</f>
        <v>8.4332999999999999E-4</v>
      </c>
      <c r="J1716" s="160"/>
      <c r="K1716" s="161">
        <f>K1714</f>
        <v>45</v>
      </c>
      <c r="L1716" s="250">
        <v>1</v>
      </c>
      <c r="M1716" s="163" t="str">
        <f>CONCATENATE(H1716," ",F1716,"*",I1716,"/",K1716,"чел.")</f>
        <v>73217,02 м2*0,00084333/45чел.</v>
      </c>
      <c r="N1716" s="164">
        <f>N876</f>
        <v>3335.1026185604301</v>
      </c>
      <c r="O1716" s="165">
        <f>MROUND(G1716*N1716,0.00000000001)</f>
        <v>4576.2135866961698</v>
      </c>
      <c r="P1716" s="166"/>
      <c r="Q1716" s="166">
        <f t="shared" si="360"/>
        <v>205929.61140132765</v>
      </c>
      <c r="R1716" s="71"/>
    </row>
    <row r="1717" spans="1:18" s="61" customFormat="1" x14ac:dyDescent="0.25">
      <c r="A1717" s="358"/>
      <c r="B1717" s="361"/>
      <c r="C1717" s="221"/>
      <c r="D1717" s="231" t="s">
        <v>49</v>
      </c>
      <c r="E1717" s="231" t="s">
        <v>28</v>
      </c>
      <c r="F1717" s="231" t="s">
        <v>28</v>
      </c>
      <c r="G1717" s="238">
        <f>MROUND(H1717*L1717*I1717/K1717,0.000000000001)</f>
        <v>7.7773766667000005E-2</v>
      </c>
      <c r="H1717" s="160">
        <f>H877</f>
        <v>4150</v>
      </c>
      <c r="I1717" s="159">
        <f t="shared" si="367"/>
        <v>8.4332999999999999E-4</v>
      </c>
      <c r="J1717" s="160"/>
      <c r="K1717" s="161">
        <f>K1716</f>
        <v>45</v>
      </c>
      <c r="L1717" s="250">
        <v>1</v>
      </c>
      <c r="M1717" s="163" t="str">
        <f>CONCATENATE(H1717," ",F1717,"*",I1717,"/",K1717,"чел.")</f>
        <v>4150 шт*0,00084333/45чел.</v>
      </c>
      <c r="N1717" s="164">
        <f>N877</f>
        <v>71617.619331325302</v>
      </c>
      <c r="O1717" s="165">
        <f>MROUND(G1717*N1717,0.00000000001)</f>
        <v>5569.9720151205192</v>
      </c>
      <c r="P1717" s="166"/>
      <c r="Q1717" s="166">
        <f t="shared" si="360"/>
        <v>250648.74068042336</v>
      </c>
      <c r="R1717" s="71"/>
    </row>
    <row r="1718" spans="1:18" s="61" customFormat="1" x14ac:dyDescent="0.25">
      <c r="A1718" s="358"/>
      <c r="B1718" s="361"/>
      <c r="C1718" s="221"/>
      <c r="D1718" s="231" t="s">
        <v>49</v>
      </c>
      <c r="E1718" s="231" t="s">
        <v>101</v>
      </c>
      <c r="F1718" s="231" t="s">
        <v>101</v>
      </c>
      <c r="G1718" s="238">
        <f>MROUND(H1718*L1718*I1718/K1718,0.000000001)</f>
        <v>0.26750427600000004</v>
      </c>
      <c r="H1718" s="160">
        <f>H878</f>
        <v>14274</v>
      </c>
      <c r="I1718" s="159">
        <f t="shared" si="367"/>
        <v>8.4332999999999999E-4</v>
      </c>
      <c r="J1718" s="160"/>
      <c r="K1718" s="161">
        <f>K1717</f>
        <v>45</v>
      </c>
      <c r="L1718" s="250">
        <v>1</v>
      </c>
      <c r="M1718" s="163" t="str">
        <f>CONCATENATE(H1718," ",F1718,"*",I1718,"/",K1718,"чел.")</f>
        <v>14274 погон.м.*0,00084333/45чел.</v>
      </c>
      <c r="N1718" s="164">
        <f>N878</f>
        <v>2694.7750315258509</v>
      </c>
      <c r="O1718" s="165">
        <f>MROUND(G1718*N1718,0.00000001)</f>
        <v>720.86384379000003</v>
      </c>
      <c r="P1718" s="166"/>
      <c r="Q1718" s="166">
        <f t="shared" si="360"/>
        <v>32438.872970550001</v>
      </c>
      <c r="R1718" s="71"/>
    </row>
    <row r="1719" spans="1:18" s="62" customFormat="1" x14ac:dyDescent="0.25">
      <c r="A1719" s="358"/>
      <c r="B1719" s="361"/>
      <c r="C1719" s="218" t="s">
        <v>291</v>
      </c>
      <c r="D1719" s="232"/>
      <c r="E1719" s="232"/>
      <c r="F1719" s="232"/>
      <c r="G1719" s="227"/>
      <c r="H1719" s="228"/>
      <c r="I1719" s="206"/>
      <c r="J1719" s="228"/>
      <c r="K1719" s="207"/>
      <c r="L1719" s="257"/>
      <c r="M1719" s="209"/>
      <c r="N1719" s="210"/>
      <c r="O1719" s="198">
        <f>SUM(O1716:O1718)</f>
        <v>10867.04944560669</v>
      </c>
      <c r="P1719" s="267"/>
      <c r="Q1719" s="166"/>
      <c r="R1719" s="71"/>
    </row>
    <row r="1720" spans="1:18" s="61" customFormat="1" x14ac:dyDescent="0.25">
      <c r="A1720" s="358"/>
      <c r="B1720" s="361"/>
      <c r="C1720" s="221" t="s">
        <v>77</v>
      </c>
      <c r="D1720" s="231"/>
      <c r="E1720" s="231"/>
      <c r="F1720" s="231"/>
      <c r="G1720" s="238">
        <f>MROUND(H1720*L1720*I1720/K1720,0.00000000001)</f>
        <v>0</v>
      </c>
      <c r="H1720" s="160">
        <f>H1480</f>
        <v>0</v>
      </c>
      <c r="I1720" s="159">
        <f>I1718</f>
        <v>8.4332999999999999E-4</v>
      </c>
      <c r="J1720" s="160"/>
      <c r="K1720" s="161">
        <f>K1718</f>
        <v>45</v>
      </c>
      <c r="L1720" s="250"/>
      <c r="M1720" s="163"/>
      <c r="N1720" s="164">
        <f>N1480</f>
        <v>0</v>
      </c>
      <c r="O1720" s="165">
        <f>MROUND(G1720*N1720,0.000000001)</f>
        <v>0</v>
      </c>
      <c r="P1720" s="166"/>
      <c r="Q1720" s="166">
        <f t="shared" si="360"/>
        <v>0</v>
      </c>
      <c r="R1720" s="71"/>
    </row>
    <row r="1721" spans="1:18" s="62" customFormat="1" x14ac:dyDescent="0.25">
      <c r="A1721" s="358"/>
      <c r="B1721" s="361"/>
      <c r="C1721" s="218" t="s">
        <v>292</v>
      </c>
      <c r="D1721" s="232"/>
      <c r="E1721" s="232"/>
      <c r="F1721" s="232"/>
      <c r="G1721" s="227"/>
      <c r="H1721" s="228"/>
      <c r="I1721" s="206"/>
      <c r="J1721" s="228"/>
      <c r="K1721" s="207"/>
      <c r="L1721" s="257"/>
      <c r="M1721" s="209"/>
      <c r="N1721" s="210"/>
      <c r="O1721" s="198">
        <f>O1720</f>
        <v>0</v>
      </c>
      <c r="P1721" s="267"/>
      <c r="Q1721" s="166"/>
      <c r="R1721" s="71"/>
    </row>
    <row r="1722" spans="1:18" s="61" customFormat="1" x14ac:dyDescent="0.25">
      <c r="A1722" s="358"/>
      <c r="B1722" s="361"/>
      <c r="C1722" s="221"/>
      <c r="D1722" s="350" t="s">
        <v>65</v>
      </c>
      <c r="E1722" s="350"/>
      <c r="F1722" s="350"/>
      <c r="G1722" s="350"/>
      <c r="H1722" s="195"/>
      <c r="I1722" s="159"/>
      <c r="J1722" s="195"/>
      <c r="K1722" s="161"/>
      <c r="L1722" s="196"/>
      <c r="M1722" s="230"/>
      <c r="N1722" s="164"/>
      <c r="O1722" s="165">
        <f t="shared" ref="O1722:O1729" si="369">MROUND(G1722*N1722,0.000001)</f>
        <v>0</v>
      </c>
      <c r="P1722" s="166"/>
      <c r="Q1722" s="166"/>
      <c r="R1722" s="71"/>
    </row>
    <row r="1723" spans="1:18" s="61" customFormat="1" x14ac:dyDescent="0.25">
      <c r="A1723" s="358"/>
      <c r="B1723" s="361"/>
      <c r="C1723" s="221"/>
      <c r="D1723" s="194"/>
      <c r="E1723" s="194"/>
      <c r="F1723" s="194"/>
      <c r="G1723" s="217"/>
      <c r="H1723" s="195"/>
      <c r="I1723" s="159"/>
      <c r="J1723" s="195"/>
      <c r="K1723" s="161"/>
      <c r="L1723" s="196"/>
      <c r="M1723" s="230"/>
      <c r="N1723" s="164"/>
      <c r="O1723" s="165">
        <f t="shared" si="369"/>
        <v>0</v>
      </c>
      <c r="P1723" s="166"/>
      <c r="Q1723" s="166"/>
      <c r="R1723" s="71"/>
    </row>
    <row r="1724" spans="1:18" s="61" customFormat="1" x14ac:dyDescent="0.25">
      <c r="A1724" s="358"/>
      <c r="B1724" s="361"/>
      <c r="C1724" s="221" t="s">
        <v>357</v>
      </c>
      <c r="D1724" s="368" t="s">
        <v>66</v>
      </c>
      <c r="E1724" s="368"/>
      <c r="F1724" s="368"/>
      <c r="G1724" s="368"/>
      <c r="H1724" s="195"/>
      <c r="I1724" s="159"/>
      <c r="J1724" s="195"/>
      <c r="K1724" s="161"/>
      <c r="L1724" s="234"/>
      <c r="M1724" s="230"/>
      <c r="N1724" s="164"/>
      <c r="O1724" s="198">
        <f>O1725</f>
        <v>3.3896199999999999</v>
      </c>
      <c r="P1724" s="166"/>
      <c r="Q1724" s="166"/>
      <c r="R1724" s="71"/>
    </row>
    <row r="1725" spans="1:18" s="61" customFormat="1" ht="47.25" x14ac:dyDescent="0.25">
      <c r="A1725" s="358"/>
      <c r="B1725" s="361"/>
      <c r="C1725" s="221"/>
      <c r="D1725" s="222" t="s">
        <v>374</v>
      </c>
      <c r="E1725" s="194" t="s">
        <v>28</v>
      </c>
      <c r="F1725" s="194" t="s">
        <v>28</v>
      </c>
      <c r="G1725" s="217">
        <f>MROUND(H1725*L1725*I1725/K1725,0.000000001)</f>
        <v>2.6986560000000002E-3</v>
      </c>
      <c r="H1725" s="201">
        <f>H1125</f>
        <v>36</v>
      </c>
      <c r="I1725" s="159">
        <f>I1720</f>
        <v>8.4332999999999999E-4</v>
      </c>
      <c r="J1725" s="195"/>
      <c r="K1725" s="161">
        <f>K1720</f>
        <v>45</v>
      </c>
      <c r="L1725" s="235">
        <f>L1125</f>
        <v>4</v>
      </c>
      <c r="M1725" s="163" t="str">
        <f>CONCATENATE(H1725," ",F1725,"*",I1725,"/",K1725,"чел.")</f>
        <v>36 шт*0,00084333/45чел.</v>
      </c>
      <c r="N1725" s="164">
        <f>N1125</f>
        <v>1256.0400000000006</v>
      </c>
      <c r="O1725" s="165">
        <f>MROUND(G1725*N1725,0.000001)</f>
        <v>3.3896199999999999</v>
      </c>
      <c r="P1725" s="166"/>
      <c r="Q1725" s="166">
        <f t="shared" si="360"/>
        <v>152.53289999999998</v>
      </c>
      <c r="R1725" s="71"/>
    </row>
    <row r="1726" spans="1:18" s="61" customFormat="1" x14ac:dyDescent="0.25">
      <c r="A1726" s="358"/>
      <c r="B1726" s="361"/>
      <c r="C1726" s="221"/>
      <c r="D1726" s="368" t="s">
        <v>67</v>
      </c>
      <c r="E1726" s="368"/>
      <c r="F1726" s="368"/>
      <c r="G1726" s="368"/>
      <c r="H1726" s="195"/>
      <c r="I1726" s="159"/>
      <c r="J1726" s="195"/>
      <c r="K1726" s="161"/>
      <c r="L1726" s="196"/>
      <c r="M1726" s="230"/>
      <c r="N1726" s="164"/>
      <c r="O1726" s="165">
        <f t="shared" si="369"/>
        <v>0</v>
      </c>
      <c r="P1726" s="166"/>
      <c r="Q1726" s="166"/>
      <c r="R1726" s="71"/>
    </row>
    <row r="1727" spans="1:18" s="61" customFormat="1" x14ac:dyDescent="0.25">
      <c r="A1727" s="358"/>
      <c r="B1727" s="361"/>
      <c r="C1727" s="221"/>
      <c r="D1727" s="194"/>
      <c r="E1727" s="194"/>
      <c r="F1727" s="194"/>
      <c r="G1727" s="217"/>
      <c r="H1727" s="195"/>
      <c r="I1727" s="159"/>
      <c r="J1727" s="195"/>
      <c r="K1727" s="161"/>
      <c r="L1727" s="196"/>
      <c r="M1727" s="230"/>
      <c r="N1727" s="164"/>
      <c r="O1727" s="165">
        <f t="shared" si="369"/>
        <v>0</v>
      </c>
      <c r="P1727" s="166"/>
      <c r="Q1727" s="166"/>
      <c r="R1727" s="71"/>
    </row>
    <row r="1728" spans="1:18" s="61" customFormat="1" x14ac:dyDescent="0.25">
      <c r="A1728" s="358"/>
      <c r="B1728" s="361"/>
      <c r="C1728" s="221"/>
      <c r="D1728" s="350" t="s">
        <v>68</v>
      </c>
      <c r="E1728" s="350"/>
      <c r="F1728" s="350"/>
      <c r="G1728" s="350"/>
      <c r="H1728" s="195"/>
      <c r="I1728" s="159"/>
      <c r="J1728" s="195"/>
      <c r="K1728" s="161"/>
      <c r="L1728" s="196"/>
      <c r="M1728" s="230"/>
      <c r="N1728" s="164"/>
      <c r="O1728" s="165">
        <f t="shared" si="369"/>
        <v>0</v>
      </c>
      <c r="P1728" s="166"/>
      <c r="Q1728" s="166"/>
      <c r="R1728" s="71"/>
    </row>
    <row r="1729" spans="1:41" s="61" customFormat="1" x14ac:dyDescent="0.25">
      <c r="A1729" s="358"/>
      <c r="B1729" s="361"/>
      <c r="C1729" s="221"/>
      <c r="D1729" s="156"/>
      <c r="E1729" s="156"/>
      <c r="F1729" s="156"/>
      <c r="G1729" s="236"/>
      <c r="H1729" s="195"/>
      <c r="I1729" s="159"/>
      <c r="J1729" s="195"/>
      <c r="K1729" s="161"/>
      <c r="L1729" s="196"/>
      <c r="M1729" s="230"/>
      <c r="N1729" s="164"/>
      <c r="O1729" s="165">
        <f t="shared" si="369"/>
        <v>0</v>
      </c>
      <c r="P1729" s="166"/>
      <c r="Q1729" s="166"/>
      <c r="R1729" s="71"/>
    </row>
    <row r="1730" spans="1:41" s="61" customFormat="1" x14ac:dyDescent="0.25">
      <c r="A1730" s="358"/>
      <c r="B1730" s="361"/>
      <c r="C1730" s="221"/>
      <c r="D1730" s="368" t="s">
        <v>69</v>
      </c>
      <c r="E1730" s="368"/>
      <c r="F1730" s="368"/>
      <c r="G1730" s="368"/>
      <c r="H1730" s="187"/>
      <c r="I1730" s="159"/>
      <c r="J1730" s="187"/>
      <c r="K1730" s="161"/>
      <c r="L1730" s="276"/>
      <c r="M1730" s="230"/>
      <c r="N1730" s="164"/>
      <c r="O1730" s="198">
        <f>O1732+O1739+O1756+O1758+O1773+O1775+O1777+O1802+O1804+O1809+O1806</f>
        <v>1247.4709601499999</v>
      </c>
      <c r="P1730" s="166"/>
      <c r="Q1730" s="166"/>
      <c r="R1730" s="71"/>
    </row>
    <row r="1731" spans="1:41" s="61" customFormat="1" x14ac:dyDescent="0.25">
      <c r="A1731" s="358"/>
      <c r="B1731" s="361"/>
      <c r="C1731" s="221">
        <v>224</v>
      </c>
      <c r="D1731" s="156" t="s">
        <v>21</v>
      </c>
      <c r="E1731" s="156" t="s">
        <v>22</v>
      </c>
      <c r="F1731" s="156" t="s">
        <v>22</v>
      </c>
      <c r="G1731" s="238">
        <f>MROUND(H1731*L1731*I1731/K1731,0.000001)</f>
        <v>0</v>
      </c>
      <c r="H1731" s="158">
        <f>H51</f>
        <v>0</v>
      </c>
      <c r="I1731" s="159">
        <f>I1725</f>
        <v>8.4332999999999999E-4</v>
      </c>
      <c r="J1731" s="160"/>
      <c r="K1731" s="161">
        <f>K1725</f>
        <v>45</v>
      </c>
      <c r="L1731" s="250"/>
      <c r="M1731" s="163"/>
      <c r="N1731" s="164">
        <f>N411</f>
        <v>0</v>
      </c>
      <c r="O1731" s="165">
        <f>MROUND(G1731*N1731,0.000001)</f>
        <v>0</v>
      </c>
      <c r="P1731" s="166"/>
      <c r="Q1731" s="166">
        <f t="shared" si="360"/>
        <v>0</v>
      </c>
      <c r="R1731" s="71"/>
    </row>
    <row r="1732" spans="1:41" s="62" customFormat="1" x14ac:dyDescent="0.25">
      <c r="A1732" s="358"/>
      <c r="B1732" s="361"/>
      <c r="C1732" s="218" t="s">
        <v>293</v>
      </c>
      <c r="D1732" s="240"/>
      <c r="E1732" s="240"/>
      <c r="F1732" s="240"/>
      <c r="G1732" s="227"/>
      <c r="H1732" s="241"/>
      <c r="I1732" s="206"/>
      <c r="J1732" s="228"/>
      <c r="K1732" s="207"/>
      <c r="L1732" s="257"/>
      <c r="M1732" s="209"/>
      <c r="N1732" s="210"/>
      <c r="O1732" s="198">
        <f>SUM(O1731)</f>
        <v>0</v>
      </c>
      <c r="P1732" s="267"/>
      <c r="Q1732" s="166"/>
      <c r="R1732" s="71"/>
    </row>
    <row r="1733" spans="1:41" s="61" customFormat="1" ht="31.5" x14ac:dyDescent="0.25">
      <c r="A1733" s="358"/>
      <c r="B1733" s="361"/>
      <c r="C1733" s="364" t="s">
        <v>78</v>
      </c>
      <c r="D1733" s="156" t="s">
        <v>26</v>
      </c>
      <c r="E1733" s="156" t="s">
        <v>22</v>
      </c>
      <c r="F1733" s="156" t="s">
        <v>22</v>
      </c>
      <c r="G1733" s="238">
        <f>MROUND(H1733*L1733*I1733/K1733,0.000001)</f>
        <v>5.8111059999999997</v>
      </c>
      <c r="H1733" s="158">
        <f>H53</f>
        <v>25840</v>
      </c>
      <c r="I1733" s="159">
        <f>I1731</f>
        <v>8.4332999999999999E-4</v>
      </c>
      <c r="J1733" s="160"/>
      <c r="K1733" s="161">
        <f>K1731</f>
        <v>45</v>
      </c>
      <c r="L1733" s="250">
        <v>12</v>
      </c>
      <c r="M1733" s="163" t="str">
        <f>CONCATENATE(H1733," ",F1733,"(обрабатываемая площадь в мес.)","*",L1733,"мес.","*",I1733,"/",K1733,"чел.")</f>
        <v>25840 м2(обрабатываемая площадь в мес.)*12мес.*0,00084333/45чел.</v>
      </c>
      <c r="N1733" s="164">
        <f>N53</f>
        <v>1.1553999935500519</v>
      </c>
      <c r="O1733" s="165">
        <f t="shared" ref="O1733:O1738" si="370">MROUND(G1733*N1733,0.000001)</f>
        <v>6.7141519999999995</v>
      </c>
      <c r="P1733" s="166"/>
      <c r="Q1733" s="166">
        <f t="shared" ref="Q1733:Q1794" si="371">O1733*K1733</f>
        <v>302.13683999999995</v>
      </c>
      <c r="R1733" s="71"/>
    </row>
    <row r="1734" spans="1:41" s="61" customFormat="1" ht="31.5" x14ac:dyDescent="0.25">
      <c r="A1734" s="358"/>
      <c r="B1734" s="361"/>
      <c r="C1734" s="364"/>
      <c r="D1734" s="156" t="s">
        <v>96</v>
      </c>
      <c r="E1734" s="156" t="s">
        <v>22</v>
      </c>
      <c r="F1734" s="156" t="s">
        <v>22</v>
      </c>
      <c r="G1734" s="238">
        <f>MROUND(H1734*L1734*I1734/K1734,0.000001)</f>
        <v>3.0078769999999997</v>
      </c>
      <c r="H1734" s="158">
        <f>H54</f>
        <v>13375</v>
      </c>
      <c r="I1734" s="159">
        <f t="shared" si="367"/>
        <v>8.4332999999999999E-4</v>
      </c>
      <c r="J1734" s="160"/>
      <c r="K1734" s="161">
        <f>K1733</f>
        <v>45</v>
      </c>
      <c r="L1734" s="250">
        <v>12</v>
      </c>
      <c r="M1734" s="163" t="str">
        <f>CONCATENATE(H1734," ",F1734,"(обрабатываемая площадь в мес.)","*",L1734,"мес.","*",I1734,"/",K1734,"чел.")</f>
        <v>13375 м2(обрабатываемая площадь в мес.)*12мес.*0,00084333/45чел.</v>
      </c>
      <c r="N1734" s="164">
        <f>N54</f>
        <v>1.8530000000000004</v>
      </c>
      <c r="O1734" s="165">
        <f t="shared" si="370"/>
        <v>5.5735959999999993</v>
      </c>
      <c r="P1734" s="166"/>
      <c r="Q1734" s="166">
        <f t="shared" si="371"/>
        <v>250.81181999999998</v>
      </c>
      <c r="R1734" s="71"/>
    </row>
    <row r="1735" spans="1:41" s="135" customFormat="1" ht="31.5" x14ac:dyDescent="0.25">
      <c r="A1735" s="358"/>
      <c r="B1735" s="361"/>
      <c r="C1735" s="364"/>
      <c r="D1735" s="156" t="s">
        <v>385</v>
      </c>
      <c r="E1735" s="156" t="s">
        <v>22</v>
      </c>
      <c r="F1735" s="156" t="s">
        <v>22</v>
      </c>
      <c r="G1735" s="238">
        <f>MROUND(H1735*L1735*I1735/K1735,0.000001)</f>
        <v>6.0157539999999994</v>
      </c>
      <c r="H1735" s="242">
        <f>$H$55</f>
        <v>13375</v>
      </c>
      <c r="I1735" s="159">
        <f t="shared" si="367"/>
        <v>8.4332999999999999E-4</v>
      </c>
      <c r="J1735" s="160"/>
      <c r="K1735" s="161">
        <f>K1734</f>
        <v>45</v>
      </c>
      <c r="L1735" s="162">
        <v>24</v>
      </c>
      <c r="M1735" s="163" t="str">
        <f>CONCATENATE(H1735," ",F1735,"(обрабатываемая площадь в год)","*",L1735," раза в год.","*",I1735,"/",K1735,"чел.")</f>
        <v>13375 м2(обрабатываемая площадь в год)*24 раза в год.*0,00084333/45чел.</v>
      </c>
      <c r="N1735" s="164">
        <f>$N$55</f>
        <v>2.2889999999999993</v>
      </c>
      <c r="O1735" s="165">
        <f t="shared" si="370"/>
        <v>13.770061</v>
      </c>
      <c r="P1735" s="166"/>
      <c r="Q1735" s="166">
        <f t="shared" si="371"/>
        <v>619.65274499999998</v>
      </c>
      <c r="R1735" s="71"/>
      <c r="S1735" s="61"/>
      <c r="T1735" s="61"/>
      <c r="U1735" s="61"/>
      <c r="V1735" s="61"/>
      <c r="W1735" s="61"/>
      <c r="X1735" s="61"/>
      <c r="Y1735" s="61"/>
      <c r="Z1735" s="61"/>
      <c r="AA1735" s="61"/>
      <c r="AB1735" s="61"/>
      <c r="AC1735" s="61"/>
      <c r="AD1735" s="61"/>
      <c r="AE1735" s="61"/>
      <c r="AF1735" s="61"/>
      <c r="AG1735" s="61"/>
      <c r="AH1735" s="61"/>
      <c r="AI1735" s="61"/>
      <c r="AJ1735" s="61"/>
      <c r="AK1735" s="61"/>
      <c r="AL1735" s="61"/>
      <c r="AM1735" s="61"/>
      <c r="AN1735" s="61"/>
      <c r="AO1735" s="61"/>
    </row>
    <row r="1736" spans="1:41" s="135" customFormat="1" ht="31.5" x14ac:dyDescent="0.25">
      <c r="A1736" s="358"/>
      <c r="B1736" s="361"/>
      <c r="C1736" s="364"/>
      <c r="D1736" s="156" t="s">
        <v>394</v>
      </c>
      <c r="E1736" s="156" t="s">
        <v>22</v>
      </c>
      <c r="F1736" s="156" t="s">
        <v>22</v>
      </c>
      <c r="G1736" s="238">
        <f>MROUND(H1736*L1736*I1736/K1736,0.000001)</f>
        <v>5.8111059999999997</v>
      </c>
      <c r="H1736" s="243">
        <f>$H$56</f>
        <v>25840</v>
      </c>
      <c r="I1736" s="159">
        <f t="shared" si="367"/>
        <v>8.4332999999999999E-4</v>
      </c>
      <c r="J1736" s="160"/>
      <c r="K1736" s="161">
        <f>K1735</f>
        <v>45</v>
      </c>
      <c r="L1736" s="162">
        <v>12</v>
      </c>
      <c r="M1736" s="163" t="str">
        <f>CONCATENATE(H1736," ",F1736,"(обрабатываемая площадь в мес.)","*",L1736,"мес.","*",I1736,"/",K1736,"чел.")</f>
        <v>25840 м2(обрабатываемая площадь в мес.)*12мес.*0,00084333/45чел.</v>
      </c>
      <c r="N1736" s="164">
        <f>$N$56</f>
        <v>0.54499999999999993</v>
      </c>
      <c r="O1736" s="165">
        <f t="shared" si="370"/>
        <v>3.1670529999999997</v>
      </c>
      <c r="P1736" s="166"/>
      <c r="Q1736" s="166">
        <f t="shared" si="371"/>
        <v>142.51738499999999</v>
      </c>
      <c r="R1736" s="71"/>
      <c r="S1736" s="61"/>
      <c r="T1736" s="61"/>
      <c r="U1736" s="61"/>
      <c r="V1736" s="61"/>
      <c r="W1736" s="61"/>
      <c r="X1736" s="61"/>
      <c r="Y1736" s="61"/>
      <c r="Z1736" s="61"/>
      <c r="AA1736" s="61"/>
      <c r="AB1736" s="61"/>
      <c r="AC1736" s="61"/>
      <c r="AD1736" s="61"/>
      <c r="AE1736" s="61"/>
      <c r="AF1736" s="61"/>
      <c r="AG1736" s="61"/>
      <c r="AH1736" s="61"/>
      <c r="AI1736" s="61"/>
      <c r="AJ1736" s="61"/>
      <c r="AK1736" s="61"/>
      <c r="AL1736" s="61"/>
      <c r="AM1736" s="61"/>
      <c r="AN1736" s="61"/>
      <c r="AO1736" s="61"/>
    </row>
    <row r="1737" spans="1:41" s="135" customFormat="1" ht="31.5" x14ac:dyDescent="0.25">
      <c r="A1737" s="358"/>
      <c r="B1737" s="361"/>
      <c r="C1737" s="364"/>
      <c r="D1737" s="156" t="s">
        <v>395</v>
      </c>
      <c r="E1737" s="156" t="s">
        <v>98</v>
      </c>
      <c r="F1737" s="156" t="s">
        <v>98</v>
      </c>
      <c r="G1737" s="238">
        <f>MROUND(H1737*L1737*I1737/K1737,0.000001)</f>
        <v>3.5500000000000001E-4</v>
      </c>
      <c r="H1737" s="242">
        <f>$H$57</f>
        <v>18.939999999999998</v>
      </c>
      <c r="I1737" s="159">
        <f t="shared" si="367"/>
        <v>8.4332999999999999E-4</v>
      </c>
      <c r="J1737" s="160"/>
      <c r="K1737" s="161">
        <f>K1736</f>
        <v>45</v>
      </c>
      <c r="L1737" s="162">
        <v>1</v>
      </c>
      <c r="M1737" s="163" t="str">
        <f>CONCATENATE(H1737," ",F1737,"(обрабатываемая площадь в год)","*",L1737," раз в год","*",I1737,"/",K1737,"чел.")</f>
        <v>18,94 Га(обрабатываемая площадь в год)*1 раз в год*0,00084333/45чел.</v>
      </c>
      <c r="N1737" s="164">
        <f>$N$57</f>
        <v>545</v>
      </c>
      <c r="O1737" s="165">
        <f t="shared" si="370"/>
        <v>0.19347499999999998</v>
      </c>
      <c r="P1737" s="166"/>
      <c r="Q1737" s="166">
        <f t="shared" si="371"/>
        <v>8.7063749999999995</v>
      </c>
      <c r="R1737" s="71"/>
      <c r="S1737" s="61"/>
      <c r="T1737" s="61"/>
      <c r="U1737" s="61"/>
      <c r="V1737" s="61"/>
      <c r="W1737" s="61"/>
      <c r="X1737" s="61"/>
      <c r="Y1737" s="61"/>
      <c r="Z1737" s="61"/>
      <c r="AA1737" s="61"/>
      <c r="AB1737" s="61"/>
      <c r="AC1737" s="61"/>
      <c r="AD1737" s="61"/>
      <c r="AE1737" s="61"/>
      <c r="AF1737" s="61"/>
      <c r="AG1737" s="61"/>
      <c r="AH1737" s="61"/>
      <c r="AI1737" s="61"/>
      <c r="AJ1737" s="61"/>
      <c r="AK1737" s="61"/>
      <c r="AL1737" s="61"/>
      <c r="AM1737" s="61"/>
      <c r="AN1737" s="61"/>
      <c r="AO1737" s="61"/>
    </row>
    <row r="1738" spans="1:41" s="61" customFormat="1" ht="31.5" x14ac:dyDescent="0.25">
      <c r="A1738" s="358"/>
      <c r="B1738" s="361"/>
      <c r="C1738" s="364"/>
      <c r="D1738" s="156" t="s">
        <v>97</v>
      </c>
      <c r="E1738" s="156" t="s">
        <v>98</v>
      </c>
      <c r="F1738" s="156" t="s">
        <v>98</v>
      </c>
      <c r="G1738" s="238">
        <f>MROUND(H1738*L1738*I1738/K1738,0.0000000001)</f>
        <v>3.5494820000000002E-4</v>
      </c>
      <c r="H1738" s="242">
        <f>H658</f>
        <v>18.939999999999998</v>
      </c>
      <c r="I1738" s="244">
        <f>I1734</f>
        <v>8.4332999999999999E-4</v>
      </c>
      <c r="J1738" s="160"/>
      <c r="K1738" s="161">
        <f>K1734</f>
        <v>45</v>
      </c>
      <c r="L1738" s="250">
        <v>1</v>
      </c>
      <c r="M1738" s="163" t="str">
        <f>CONCATENATE(H1738," ",F1738,"(обрабатываемая площадь в мес.)","*",L1738,"мес.","*",I1738,"/",K1738,"чел.")</f>
        <v>18,94 Га(обрабатываемая площадь в мес.)*1мес.*0,00084333/45чел.</v>
      </c>
      <c r="N1738" s="164">
        <f>N658</f>
        <v>2965.979936642027</v>
      </c>
      <c r="O1738" s="165">
        <f t="shared" si="370"/>
        <v>1.0527689999999998</v>
      </c>
      <c r="P1738" s="166"/>
      <c r="Q1738" s="166">
        <f t="shared" si="371"/>
        <v>47.374604999999995</v>
      </c>
      <c r="R1738" s="71"/>
    </row>
    <row r="1739" spans="1:41" s="62" customFormat="1" x14ac:dyDescent="0.25">
      <c r="A1739" s="358"/>
      <c r="B1739" s="361"/>
      <c r="C1739" s="245" t="s">
        <v>294</v>
      </c>
      <c r="D1739" s="240"/>
      <c r="E1739" s="240"/>
      <c r="F1739" s="240"/>
      <c r="G1739" s="227"/>
      <c r="H1739" s="241"/>
      <c r="I1739" s="206"/>
      <c r="J1739" s="228"/>
      <c r="K1739" s="207"/>
      <c r="L1739" s="257"/>
      <c r="M1739" s="209"/>
      <c r="N1739" s="210"/>
      <c r="O1739" s="198">
        <f>SUM(O1733:O1738)</f>
        <v>30.471105999999999</v>
      </c>
      <c r="P1739" s="267"/>
      <c r="Q1739" s="166"/>
      <c r="R1739" s="71"/>
    </row>
    <row r="1740" spans="1:41" s="61" customFormat="1" ht="63" x14ac:dyDescent="0.25">
      <c r="A1740" s="358"/>
      <c r="B1740" s="361"/>
      <c r="C1740" s="365" t="s">
        <v>77</v>
      </c>
      <c r="D1740" s="156" t="s">
        <v>29</v>
      </c>
      <c r="E1740" s="156" t="s">
        <v>58</v>
      </c>
      <c r="F1740" s="156" t="s">
        <v>218</v>
      </c>
      <c r="G1740" s="238">
        <f>MROUND(H1740*L1740*I1740/K1740,0.00000001)</f>
        <v>1.12444E-3</v>
      </c>
      <c r="H1740" s="158">
        <v>15</v>
      </c>
      <c r="I1740" s="159">
        <f>I1738</f>
        <v>8.4332999999999999E-4</v>
      </c>
      <c r="J1740" s="160"/>
      <c r="K1740" s="161">
        <f>K1738</f>
        <v>45</v>
      </c>
      <c r="L1740" s="162">
        <v>4</v>
      </c>
      <c r="M1740" s="163" t="str">
        <f>CONCATENATE(H1740," ",F1740,"*",L1740," раза в год","*",I1740,"/",K1740,"чел.")</f>
        <v>15 установок*4 раза в год*0,00084333/45чел.</v>
      </c>
      <c r="N1740" s="164">
        <f>N60</f>
        <v>721.75483333333329</v>
      </c>
      <c r="O1740" s="165">
        <f t="shared" ref="O1740:O1755" si="372">MROUND(G1740*N1740,0.000001)</f>
        <v>0.81157000000000001</v>
      </c>
      <c r="P1740" s="166"/>
      <c r="Q1740" s="166">
        <f t="shared" si="371"/>
        <v>36.520650000000003</v>
      </c>
      <c r="R1740" s="71"/>
    </row>
    <row r="1741" spans="1:41" s="61" customFormat="1" ht="47.25" x14ac:dyDescent="0.25">
      <c r="A1741" s="358"/>
      <c r="B1741" s="361"/>
      <c r="C1741" s="366"/>
      <c r="D1741" s="156" t="s">
        <v>30</v>
      </c>
      <c r="E1741" s="156" t="s">
        <v>58</v>
      </c>
      <c r="F1741" s="156" t="s">
        <v>218</v>
      </c>
      <c r="G1741" s="238">
        <f>MROUND(H1741*L1741*I1741/K1741,0.00000001)</f>
        <v>5.6221999999999999E-4</v>
      </c>
      <c r="H1741" s="158">
        <v>15</v>
      </c>
      <c r="I1741" s="159">
        <f t="shared" si="367"/>
        <v>8.4332999999999999E-4</v>
      </c>
      <c r="J1741" s="160"/>
      <c r="K1741" s="161">
        <f t="shared" ref="K1741:K1749" si="373">K1740</f>
        <v>45</v>
      </c>
      <c r="L1741" s="250">
        <v>2</v>
      </c>
      <c r="M1741" s="163" t="str">
        <f>CONCATENATE(H1741," ",F1741,"*",L1741,"полуг.","*",I1741,"/",K1741,"чел.")</f>
        <v>15 установок*2полуг.*0,00084333/45чел.</v>
      </c>
      <c r="N1741" s="164">
        <f>N1021</f>
        <v>721.75266666666664</v>
      </c>
      <c r="O1741" s="165">
        <f t="shared" si="372"/>
        <v>0.40578399999999998</v>
      </c>
      <c r="P1741" s="166"/>
      <c r="Q1741" s="166">
        <f t="shared" si="371"/>
        <v>18.260279999999998</v>
      </c>
      <c r="R1741" s="71"/>
    </row>
    <row r="1742" spans="1:41" s="61" customFormat="1" ht="31.5" x14ac:dyDescent="0.25">
      <c r="A1742" s="358"/>
      <c r="B1742" s="361"/>
      <c r="C1742" s="366"/>
      <c r="D1742" s="156" t="s">
        <v>397</v>
      </c>
      <c r="E1742" s="156" t="s">
        <v>433</v>
      </c>
      <c r="F1742" s="156" t="s">
        <v>433</v>
      </c>
      <c r="G1742" s="238">
        <f>MROUND(H1742*L1742*I1742/K1742,0.000001)</f>
        <v>1.1243999999999999E-2</v>
      </c>
      <c r="H1742" s="158">
        <f>H662</f>
        <v>600</v>
      </c>
      <c r="I1742" s="159">
        <f t="shared" si="367"/>
        <v>8.4332999999999999E-4</v>
      </c>
      <c r="J1742" s="160"/>
      <c r="K1742" s="161">
        <f t="shared" si="373"/>
        <v>45</v>
      </c>
      <c r="L1742" s="162">
        <v>1</v>
      </c>
      <c r="M1742" s="163" t="str">
        <f>CONCATENATE(H1742," ",F1742,"(обрабатываемая площадь в год)","*",L1742," раз в год","*",I1742,"/",K1742,"чел.")</f>
        <v>600 м2.(обрабатываемая площадь в год)*1 раз в год*0,00084333/45чел.</v>
      </c>
      <c r="N1742" s="164">
        <f>N662</f>
        <v>300</v>
      </c>
      <c r="O1742" s="165">
        <f t="shared" si="372"/>
        <v>3.3731999999999998</v>
      </c>
      <c r="P1742" s="166"/>
      <c r="Q1742" s="166">
        <f t="shared" si="371"/>
        <v>151.79399999999998</v>
      </c>
      <c r="R1742" s="71"/>
    </row>
    <row r="1743" spans="1:41" s="61" customFormat="1" ht="47.25" x14ac:dyDescent="0.25">
      <c r="A1743" s="358"/>
      <c r="B1743" s="361"/>
      <c r="C1743" s="366"/>
      <c r="D1743" s="156" t="s">
        <v>32</v>
      </c>
      <c r="E1743" s="156" t="s">
        <v>55</v>
      </c>
      <c r="F1743" s="156" t="s">
        <v>219</v>
      </c>
      <c r="G1743" s="238">
        <f>MROUND(H1743*L1743*I1743/K1743,0.000000001)</f>
        <v>2.6986560000000002E-3</v>
      </c>
      <c r="H1743" s="158">
        <f>H1023</f>
        <v>36</v>
      </c>
      <c r="I1743" s="159">
        <f>I1742</f>
        <v>8.4332999999999999E-4</v>
      </c>
      <c r="J1743" s="160"/>
      <c r="K1743" s="161">
        <f t="shared" si="373"/>
        <v>45</v>
      </c>
      <c r="L1743" s="250">
        <v>4</v>
      </c>
      <c r="M1743" s="163" t="str">
        <f>CONCATENATE(H1743," ",F1743,"*",L1743,"кв.","*",I1743,"/",K1743,"чел.")</f>
        <v>36 системы*4кв.*0,00084333/45чел.</v>
      </c>
      <c r="N1743" s="164">
        <f>N1023</f>
        <v>6924.5277777777774</v>
      </c>
      <c r="O1743" s="165">
        <f t="shared" si="372"/>
        <v>18.686917999999999</v>
      </c>
      <c r="P1743" s="166"/>
      <c r="Q1743" s="166">
        <f t="shared" si="371"/>
        <v>840.91130999999996</v>
      </c>
      <c r="R1743" s="71"/>
    </row>
    <row r="1744" spans="1:41" s="61" customFormat="1" ht="63" x14ac:dyDescent="0.25">
      <c r="A1744" s="358"/>
      <c r="B1744" s="361"/>
      <c r="C1744" s="366"/>
      <c r="D1744" s="156" t="s">
        <v>33</v>
      </c>
      <c r="E1744" s="156" t="s">
        <v>56</v>
      </c>
      <c r="F1744" s="156" t="s">
        <v>220</v>
      </c>
      <c r="G1744" s="238">
        <f>MROUND(H1744*L1744*I1744/K1744,0.000000001)</f>
        <v>6.7466400000000006E-4</v>
      </c>
      <c r="H1744" s="158">
        <f>$H$64</f>
        <v>36</v>
      </c>
      <c r="I1744" s="159">
        <f>I1743</f>
        <v>8.4332999999999999E-4</v>
      </c>
      <c r="J1744" s="160"/>
      <c r="K1744" s="161">
        <f t="shared" si="373"/>
        <v>45</v>
      </c>
      <c r="L1744" s="162">
        <v>1</v>
      </c>
      <c r="M1744" s="163" t="str">
        <f>CONCATENATE(H1744," ",F1744,"*",L1744," раз в год","*",I1744,"/",K1744,"чел.")</f>
        <v>36 дымоходов*1 раз в год*0,00084333/45чел.</v>
      </c>
      <c r="N1744" s="164">
        <f>N64</f>
        <v>6540</v>
      </c>
      <c r="O1744" s="165">
        <f t="shared" si="372"/>
        <v>4.4123029999999996</v>
      </c>
      <c r="P1744" s="166"/>
      <c r="Q1744" s="166">
        <f t="shared" si="371"/>
        <v>198.55363499999999</v>
      </c>
      <c r="R1744" s="71"/>
    </row>
    <row r="1745" spans="1:18" s="61" customFormat="1" x14ac:dyDescent="0.25">
      <c r="A1745" s="358"/>
      <c r="B1745" s="361"/>
      <c r="C1745" s="366"/>
      <c r="D1745" s="194" t="s">
        <v>398</v>
      </c>
      <c r="E1745" s="156" t="s">
        <v>60</v>
      </c>
      <c r="F1745" s="156" t="s">
        <v>60</v>
      </c>
      <c r="G1745" s="238">
        <f>MROUND(H1745*L1745*I1745/K1745,0.000000001)</f>
        <v>6.5592299999999999E-4</v>
      </c>
      <c r="H1745" s="246">
        <f>H65</f>
        <v>35</v>
      </c>
      <c r="I1745" s="159">
        <f t="shared" si="367"/>
        <v>8.4332999999999999E-4</v>
      </c>
      <c r="J1745" s="160"/>
      <c r="K1745" s="161">
        <f t="shared" si="373"/>
        <v>45</v>
      </c>
      <c r="L1745" s="250">
        <v>1</v>
      </c>
      <c r="M1745" s="163" t="str">
        <f>CONCATENATE(H1745," ",F1745,"*",I1745,"/",K1745,"чел.")</f>
        <v>35 шт.*0,00084333/45чел.</v>
      </c>
      <c r="N1745" s="164">
        <f>N65</f>
        <v>11009</v>
      </c>
      <c r="O1745" s="165">
        <f t="shared" si="372"/>
        <v>7.2210559999999999</v>
      </c>
      <c r="P1745" s="166"/>
      <c r="Q1745" s="166">
        <f t="shared" si="371"/>
        <v>324.94752</v>
      </c>
      <c r="R1745" s="71"/>
    </row>
    <row r="1746" spans="1:18" s="61" customFormat="1" ht="47.25" x14ac:dyDescent="0.25">
      <c r="A1746" s="358"/>
      <c r="B1746" s="361"/>
      <c r="C1746" s="366"/>
      <c r="D1746" s="156" t="s">
        <v>401</v>
      </c>
      <c r="E1746" s="156" t="s">
        <v>60</v>
      </c>
      <c r="F1746" s="156" t="s">
        <v>402</v>
      </c>
      <c r="G1746" s="238">
        <f>MROUND(H1746*L1746*I1746/K1746,0.000001)</f>
        <v>1.312E-3</v>
      </c>
      <c r="H1746" s="246">
        <f>H66</f>
        <v>35</v>
      </c>
      <c r="I1746" s="159">
        <f t="shared" si="367"/>
        <v>8.4332999999999999E-4</v>
      </c>
      <c r="J1746" s="160"/>
      <c r="K1746" s="161">
        <f t="shared" si="373"/>
        <v>45</v>
      </c>
      <c r="L1746" s="162">
        <v>2</v>
      </c>
      <c r="M1746" s="163" t="str">
        <f>CONCATENATE(H1746," ",F1746,"*",L1746," раз в год","*",I1746,"/",K1746,"чел.")</f>
        <v>35 противопожарных водопроводов*2 раз в год*0,00084333/45чел.</v>
      </c>
      <c r="N1746" s="164">
        <f>N66</f>
        <v>5450</v>
      </c>
      <c r="O1746" s="165">
        <f t="shared" si="372"/>
        <v>7.1503999999999994</v>
      </c>
      <c r="P1746" s="166"/>
      <c r="Q1746" s="166">
        <f t="shared" si="371"/>
        <v>321.76799999999997</v>
      </c>
      <c r="R1746" s="71"/>
    </row>
    <row r="1747" spans="1:18" s="61" customFormat="1" ht="31.5" x14ac:dyDescent="0.25">
      <c r="A1747" s="358"/>
      <c r="B1747" s="361"/>
      <c r="C1747" s="366"/>
      <c r="D1747" s="156" t="s">
        <v>221</v>
      </c>
      <c r="E1747" s="156" t="s">
        <v>60</v>
      </c>
      <c r="F1747" s="156" t="s">
        <v>60</v>
      </c>
      <c r="G1747" s="238">
        <f>MROUND(H1747*L1747*I1747/K1747,0.0000000001)</f>
        <v>4.0479840000000001E-3</v>
      </c>
      <c r="H1747" s="158">
        <f>H67</f>
        <v>18</v>
      </c>
      <c r="I1747" s="159">
        <f t="shared" si="367"/>
        <v>8.4332999999999999E-4</v>
      </c>
      <c r="J1747" s="160"/>
      <c r="K1747" s="161">
        <f t="shared" si="373"/>
        <v>45</v>
      </c>
      <c r="L1747" s="250">
        <v>12</v>
      </c>
      <c r="M1747" s="163" t="str">
        <f>CONCATENATE(H1747," ",F1747,"*",L1747,"мес.","*",I1747,"/",K1747,"чел.")</f>
        <v>18 шт.*12мес.*0,00084333/45чел.</v>
      </c>
      <c r="N1747" s="164">
        <f>N667</f>
        <v>6288.0888888888885</v>
      </c>
      <c r="O1747" s="165">
        <f t="shared" si="372"/>
        <v>25.454082999999997</v>
      </c>
      <c r="P1747" s="166"/>
      <c r="Q1747" s="166">
        <f t="shared" si="371"/>
        <v>1145.4337349999998</v>
      </c>
      <c r="R1747" s="71"/>
    </row>
    <row r="1748" spans="1:18" s="61" customFormat="1" ht="47.25" x14ac:dyDescent="0.25">
      <c r="A1748" s="358"/>
      <c r="B1748" s="361"/>
      <c r="C1748" s="366"/>
      <c r="D1748" s="156" t="s">
        <v>34</v>
      </c>
      <c r="E1748" s="156" t="s">
        <v>59</v>
      </c>
      <c r="F1748" s="156" t="s">
        <v>28</v>
      </c>
      <c r="G1748" s="238">
        <f>MROUND(H1748*L1748*I1748/K1748,0.0000000001)</f>
        <v>3.7481300000000003E-5</v>
      </c>
      <c r="H1748" s="158">
        <f>H308</f>
        <v>2</v>
      </c>
      <c r="I1748" s="159">
        <f t="shared" si="367"/>
        <v>8.4332999999999999E-4</v>
      </c>
      <c r="J1748" s="160"/>
      <c r="K1748" s="161">
        <f t="shared" si="373"/>
        <v>45</v>
      </c>
      <c r="L1748" s="250">
        <v>1</v>
      </c>
      <c r="M1748" s="163" t="str">
        <f>CONCATENATE(H1748," ",F1748,"*",I1748,"/",K1748,"чел.")</f>
        <v>2 шт*0,00084333/45чел.</v>
      </c>
      <c r="N1748" s="164">
        <f>N68</f>
        <v>7500</v>
      </c>
      <c r="O1748" s="165">
        <f t="shared" si="372"/>
        <v>0.28110999999999997</v>
      </c>
      <c r="P1748" s="166"/>
      <c r="Q1748" s="166">
        <f t="shared" si="371"/>
        <v>12.649949999999999</v>
      </c>
      <c r="R1748" s="71"/>
    </row>
    <row r="1749" spans="1:18" s="61" customFormat="1" ht="47.25" x14ac:dyDescent="0.25">
      <c r="A1749" s="358"/>
      <c r="B1749" s="361"/>
      <c r="C1749" s="366"/>
      <c r="D1749" s="156" t="s">
        <v>222</v>
      </c>
      <c r="E1749" s="156" t="s">
        <v>60</v>
      </c>
      <c r="F1749" s="156" t="s">
        <v>60</v>
      </c>
      <c r="G1749" s="238">
        <f>MROUND(H1749*L1749*I1749/K1749,0.00000000001)</f>
        <v>6.5592332999999997E-4</v>
      </c>
      <c r="H1749" s="248">
        <f>H1029</f>
        <v>35</v>
      </c>
      <c r="I1749" s="159">
        <f t="shared" si="367"/>
        <v>8.4332999999999999E-4</v>
      </c>
      <c r="J1749" s="160"/>
      <c r="K1749" s="161">
        <f t="shared" si="373"/>
        <v>45</v>
      </c>
      <c r="L1749" s="250">
        <v>1</v>
      </c>
      <c r="M1749" s="163" t="str">
        <f>CONCATENATE(H1749," ",F1749,"*",I1749,"/",K1749,"чел.")</f>
        <v>35 шт.*0,00084333/45чел.</v>
      </c>
      <c r="N1749" s="164">
        <f>N69</f>
        <v>8189.7714285714283</v>
      </c>
      <c r="O1749" s="165">
        <f>MROUND(G1749*N1749,0.00000001)</f>
        <v>5.3718621500000001</v>
      </c>
      <c r="P1749" s="166"/>
      <c r="Q1749" s="166">
        <f t="shared" si="371"/>
        <v>241.73379675000001</v>
      </c>
      <c r="R1749" s="71"/>
    </row>
    <row r="1750" spans="1:18" s="61" customFormat="1" ht="31.5" x14ac:dyDescent="0.25">
      <c r="A1750" s="358"/>
      <c r="B1750" s="361"/>
      <c r="C1750" s="366"/>
      <c r="D1750" s="156" t="s">
        <v>35</v>
      </c>
      <c r="E1750" s="156" t="s">
        <v>102</v>
      </c>
      <c r="F1750" s="156" t="s">
        <v>223</v>
      </c>
      <c r="G1750" s="238">
        <f>MROUND(H1750*L1750*I1750/K1750,0.00000001)</f>
        <v>6.5592000000000005E-4</v>
      </c>
      <c r="H1750" s="158">
        <f>H70</f>
        <v>35</v>
      </c>
      <c r="I1750" s="159">
        <f>I1748</f>
        <v>8.4332999999999999E-4</v>
      </c>
      <c r="J1750" s="160"/>
      <c r="K1750" s="161">
        <f>K1748</f>
        <v>45</v>
      </c>
      <c r="L1750" s="250">
        <v>1</v>
      </c>
      <c r="M1750" s="163" t="str">
        <f>CONCATENATE(H1750," ",F1750,"*",I1750,"/",K1750,"чел.")</f>
        <v>35 замеров*0,00084333/45чел.</v>
      </c>
      <c r="N1750" s="164">
        <f>N70</f>
        <v>20142.857142857141</v>
      </c>
      <c r="O1750" s="165">
        <f t="shared" si="372"/>
        <v>13.212102999999999</v>
      </c>
      <c r="P1750" s="166"/>
      <c r="Q1750" s="166">
        <f t="shared" si="371"/>
        <v>594.54463499999997</v>
      </c>
      <c r="R1750" s="71"/>
    </row>
    <row r="1751" spans="1:18" s="61" customFormat="1" ht="47.25" x14ac:dyDescent="0.25">
      <c r="A1751" s="358"/>
      <c r="B1751" s="361"/>
      <c r="C1751" s="366"/>
      <c r="D1751" s="156" t="s">
        <v>399</v>
      </c>
      <c r="E1751" s="156" t="s">
        <v>60</v>
      </c>
      <c r="F1751" s="156" t="s">
        <v>60</v>
      </c>
      <c r="G1751" s="238">
        <f>MROUND(H1751*L1751*I1751/K1751,0.000000001)</f>
        <v>6.5592330000000003E-3</v>
      </c>
      <c r="H1751" s="158">
        <f>H1151</f>
        <v>35</v>
      </c>
      <c r="I1751" s="159">
        <f t="shared" si="367"/>
        <v>8.4332999999999999E-4</v>
      </c>
      <c r="J1751" s="160"/>
      <c r="K1751" s="161">
        <f>K1750</f>
        <v>45</v>
      </c>
      <c r="L1751" s="250">
        <v>10</v>
      </c>
      <c r="M1751" s="163" t="str">
        <f>CONCATENATE(H1751," ",F1751,"*",L1751,"мес.","*",I1751,"/",K1751,"чел.")</f>
        <v>35 шт.*10мес.*0,00084333/45чел.</v>
      </c>
      <c r="N1751" s="164">
        <f>N1151</f>
        <v>3107.903028571428</v>
      </c>
      <c r="O1751" s="165">
        <f t="shared" si="372"/>
        <v>20.385459999999998</v>
      </c>
      <c r="P1751" s="166"/>
      <c r="Q1751" s="166">
        <f t="shared" si="371"/>
        <v>917.34569999999997</v>
      </c>
      <c r="R1751" s="71"/>
    </row>
    <row r="1752" spans="1:18" s="61" customFormat="1" ht="47.25" x14ac:dyDescent="0.25">
      <c r="A1752" s="358"/>
      <c r="B1752" s="361"/>
      <c r="C1752" s="366"/>
      <c r="D1752" s="156" t="s">
        <v>36</v>
      </c>
      <c r="E1752" s="156" t="s">
        <v>31</v>
      </c>
      <c r="F1752" s="156" t="s">
        <v>224</v>
      </c>
      <c r="G1752" s="238">
        <f>MROUND(H1752*L1752*I1752/K1752,0.00000001)</f>
        <v>8.0959700000000009E-3</v>
      </c>
      <c r="H1752" s="158">
        <f>H1032</f>
        <v>36</v>
      </c>
      <c r="I1752" s="159">
        <f t="shared" si="367"/>
        <v>8.4332999999999999E-4</v>
      </c>
      <c r="J1752" s="160"/>
      <c r="K1752" s="161">
        <f>K1751</f>
        <v>45</v>
      </c>
      <c r="L1752" s="250">
        <v>12</v>
      </c>
      <c r="M1752" s="163" t="str">
        <f>CONCATENATE(H1752," ",F1752,"*",L1752,"мес.","*",I1752,"/",K1752,"чел.")</f>
        <v>36 устройств*12мес.*0,00084333/45чел.</v>
      </c>
      <c r="N1752" s="164">
        <f>N72</f>
        <v>2200</v>
      </c>
      <c r="O1752" s="165">
        <f t="shared" si="372"/>
        <v>17.811133999999999</v>
      </c>
      <c r="P1752" s="166"/>
      <c r="Q1752" s="166">
        <f t="shared" si="371"/>
        <v>801.50103000000001</v>
      </c>
      <c r="R1752" s="71"/>
    </row>
    <row r="1753" spans="1:18" s="61" customFormat="1" ht="31.5" x14ac:dyDescent="0.25">
      <c r="A1753" s="358"/>
      <c r="B1753" s="361"/>
      <c r="C1753" s="366"/>
      <c r="D1753" s="156" t="s">
        <v>99</v>
      </c>
      <c r="E1753" s="156" t="s">
        <v>103</v>
      </c>
      <c r="F1753" s="156" t="s">
        <v>225</v>
      </c>
      <c r="G1753" s="238">
        <f>MROUND(H1753*L1753*I1753/K1753,0.00000001)</f>
        <v>7.1214500000000005E-3</v>
      </c>
      <c r="H1753" s="158">
        <f>H73</f>
        <v>380</v>
      </c>
      <c r="I1753" s="159">
        <f t="shared" si="367"/>
        <v>8.4332999999999999E-4</v>
      </c>
      <c r="J1753" s="160"/>
      <c r="K1753" s="161">
        <f>K1752</f>
        <v>45</v>
      </c>
      <c r="L1753" s="250">
        <v>1</v>
      </c>
      <c r="M1753" s="163" t="str">
        <f>CONCATENATE(H1753," ",F1753,"*",I1753,"/",K1753,"чел.")</f>
        <v>380 ед.*0,00084333/45чел.</v>
      </c>
      <c r="N1753" s="164">
        <f>N73</f>
        <v>15000</v>
      </c>
      <c r="O1753" s="165">
        <f t="shared" si="372"/>
        <v>106.82174999999999</v>
      </c>
      <c r="P1753" s="166"/>
      <c r="Q1753" s="166">
        <f t="shared" si="371"/>
        <v>4806.9787499999993</v>
      </c>
      <c r="R1753" s="71"/>
    </row>
    <row r="1754" spans="1:18" s="61" customFormat="1" x14ac:dyDescent="0.25">
      <c r="A1754" s="358"/>
      <c r="B1754" s="361"/>
      <c r="C1754" s="366"/>
      <c r="D1754" s="156" t="s">
        <v>27</v>
      </c>
      <c r="E1754" s="156" t="s">
        <v>28</v>
      </c>
      <c r="F1754" s="156" t="s">
        <v>28</v>
      </c>
      <c r="G1754" s="238">
        <f>MROUND(H1754*L1754*I1754/K1754,0.000000001)</f>
        <v>0.10710291000000001</v>
      </c>
      <c r="H1754" s="160">
        <f>H74</f>
        <v>5715</v>
      </c>
      <c r="I1754" s="159">
        <f t="shared" si="367"/>
        <v>8.4332999999999999E-4</v>
      </c>
      <c r="J1754" s="160"/>
      <c r="K1754" s="161">
        <f>K1753</f>
        <v>45</v>
      </c>
      <c r="L1754" s="250">
        <v>1</v>
      </c>
      <c r="M1754" s="163" t="str">
        <f>CONCATENATE(H1754," ",F1754,"*",I1754,"/",K1754,"чел.")</f>
        <v>5715 шт*0,00084333/45чел.</v>
      </c>
      <c r="N1754" s="164">
        <f>N74</f>
        <v>400</v>
      </c>
      <c r="O1754" s="165">
        <f t="shared" si="372"/>
        <v>42.841163999999999</v>
      </c>
      <c r="P1754" s="166"/>
      <c r="Q1754" s="166">
        <f t="shared" si="371"/>
        <v>1927.85238</v>
      </c>
      <c r="R1754" s="71"/>
    </row>
    <row r="1755" spans="1:18" s="61" customFormat="1" ht="31.5" x14ac:dyDescent="0.25">
      <c r="A1755" s="358"/>
      <c r="B1755" s="361"/>
      <c r="C1755" s="367"/>
      <c r="D1755" s="156" t="s">
        <v>104</v>
      </c>
      <c r="E1755" s="156" t="s">
        <v>105</v>
      </c>
      <c r="F1755" s="156" t="s">
        <v>226</v>
      </c>
      <c r="G1755" s="238">
        <f>MROUND(H1755*L1755*I1755/K1755,0.00000001)</f>
        <v>6.7465999999999999E-4</v>
      </c>
      <c r="H1755" s="160">
        <f>H675</f>
        <v>36</v>
      </c>
      <c r="I1755" s="159">
        <f t="shared" si="367"/>
        <v>8.4332999999999999E-4</v>
      </c>
      <c r="J1755" s="160"/>
      <c r="K1755" s="161">
        <f>K1754</f>
        <v>45</v>
      </c>
      <c r="L1755" s="250">
        <v>1</v>
      </c>
      <c r="M1755" s="163" t="str">
        <f>CONCATENATE(H1755," ",F1755,"*",I1755,"/",K1755,"чел.")</f>
        <v>36 отключений*0,00084333/45чел.</v>
      </c>
      <c r="N1755" s="164">
        <f>N75</f>
        <v>9810</v>
      </c>
      <c r="O1755" s="165">
        <f t="shared" si="372"/>
        <v>6.6184149999999997</v>
      </c>
      <c r="P1755" s="166"/>
      <c r="Q1755" s="166">
        <f t="shared" si="371"/>
        <v>297.82867499999998</v>
      </c>
      <c r="R1755" s="71"/>
    </row>
    <row r="1756" spans="1:18" s="62" customFormat="1" x14ac:dyDescent="0.25">
      <c r="A1756" s="358"/>
      <c r="B1756" s="361"/>
      <c r="C1756" s="249" t="s">
        <v>292</v>
      </c>
      <c r="D1756" s="240"/>
      <c r="E1756" s="240"/>
      <c r="F1756" s="240"/>
      <c r="G1756" s="227"/>
      <c r="H1756" s="228"/>
      <c r="I1756" s="206"/>
      <c r="J1756" s="228"/>
      <c r="K1756" s="207"/>
      <c r="L1756" s="257"/>
      <c r="M1756" s="209"/>
      <c r="N1756" s="210"/>
      <c r="O1756" s="198">
        <f>SUM(O1740:O1755)</f>
        <v>280.85831215000002</v>
      </c>
      <c r="P1756" s="267"/>
      <c r="Q1756" s="166"/>
      <c r="R1756" s="71"/>
    </row>
    <row r="1757" spans="1:18" s="61" customFormat="1" ht="31.5" x14ac:dyDescent="0.25">
      <c r="A1757" s="358"/>
      <c r="B1757" s="361"/>
      <c r="C1757" s="221" t="s">
        <v>79</v>
      </c>
      <c r="D1757" s="156" t="s">
        <v>37</v>
      </c>
      <c r="E1757" s="156" t="s">
        <v>61</v>
      </c>
      <c r="F1757" s="156" t="s">
        <v>227</v>
      </c>
      <c r="G1757" s="238">
        <f>MROUND(H1757*L1757*I1757/K1757,0.000000001)</f>
        <v>7.4963000000000007E-5</v>
      </c>
      <c r="H1757" s="158">
        <f>H77</f>
        <v>4</v>
      </c>
      <c r="I1757" s="159">
        <f>I1755</f>
        <v>8.4332999999999999E-4</v>
      </c>
      <c r="J1757" s="160"/>
      <c r="K1757" s="161">
        <f>K1755</f>
        <v>45</v>
      </c>
      <c r="L1757" s="250">
        <v>1</v>
      </c>
      <c r="M1757" s="163" t="str">
        <f>CONCATENATE(H1757," ",F1757,"*",I1757,"/",K1757,"чел.")</f>
        <v>4 автобуса*0,00084333/45чел.</v>
      </c>
      <c r="N1757" s="164">
        <f>N77</f>
        <v>93408.640000000014</v>
      </c>
      <c r="O1757" s="165">
        <f>MROUND(G1757*N1757,0.000001)</f>
        <v>7.002192</v>
      </c>
      <c r="P1757" s="166"/>
      <c r="Q1757" s="166">
        <f t="shared" si="371"/>
        <v>315.09863999999999</v>
      </c>
      <c r="R1757" s="71"/>
    </row>
    <row r="1758" spans="1:18" s="62" customFormat="1" x14ac:dyDescent="0.25">
      <c r="A1758" s="358"/>
      <c r="B1758" s="361"/>
      <c r="C1758" s="218" t="s">
        <v>295</v>
      </c>
      <c r="D1758" s="240"/>
      <c r="E1758" s="240"/>
      <c r="F1758" s="240"/>
      <c r="G1758" s="227"/>
      <c r="H1758" s="241"/>
      <c r="I1758" s="206"/>
      <c r="J1758" s="228"/>
      <c r="K1758" s="207"/>
      <c r="L1758" s="257"/>
      <c r="M1758" s="209"/>
      <c r="N1758" s="210"/>
      <c r="O1758" s="198">
        <f>SUM(O1757)</f>
        <v>7.002192</v>
      </c>
      <c r="P1758" s="267"/>
      <c r="Q1758" s="166"/>
      <c r="R1758" s="71"/>
    </row>
    <row r="1759" spans="1:18" s="61" customFormat="1" x14ac:dyDescent="0.25">
      <c r="A1759" s="358"/>
      <c r="B1759" s="361"/>
      <c r="C1759" s="364" t="s">
        <v>80</v>
      </c>
      <c r="D1759" s="156" t="s">
        <v>38</v>
      </c>
      <c r="E1759" s="156" t="s">
        <v>57</v>
      </c>
      <c r="F1759" s="156" t="s">
        <v>228</v>
      </c>
      <c r="G1759" s="238">
        <f>MROUND(H1759*L1759*I1759/K1759,0.0000000001)</f>
        <v>8.0959680000000003E-3</v>
      </c>
      <c r="H1759" s="158">
        <f>H79</f>
        <v>36</v>
      </c>
      <c r="I1759" s="159">
        <f>I1757</f>
        <v>8.4332999999999999E-4</v>
      </c>
      <c r="J1759" s="160"/>
      <c r="K1759" s="161">
        <f>K1757</f>
        <v>45</v>
      </c>
      <c r="L1759" s="250">
        <v>12</v>
      </c>
      <c r="M1759" s="163" t="str">
        <f>CONCATENATE(H1759," ",F1759,"*",L1759,"мес.","*",I1759,"/",K1759,"чел.")</f>
        <v>36 зданий*12мес.*0,00084333/45чел.</v>
      </c>
      <c r="N1759" s="164">
        <f t="shared" ref="N1759:N1767" si="374">N79</f>
        <v>4694.6300000000019</v>
      </c>
      <c r="O1759" s="165">
        <f>MROUND(G1759*N1759,0.000001)</f>
        <v>38.007573999999998</v>
      </c>
      <c r="P1759" s="166"/>
      <c r="Q1759" s="166">
        <f t="shared" si="371"/>
        <v>1710.3408299999999</v>
      </c>
      <c r="R1759" s="71"/>
    </row>
    <row r="1760" spans="1:18" s="61" customFormat="1" ht="47.25" x14ac:dyDescent="0.25">
      <c r="A1760" s="358"/>
      <c r="B1760" s="361"/>
      <c r="C1760" s="364"/>
      <c r="D1760" s="156" t="s">
        <v>229</v>
      </c>
      <c r="E1760" s="156" t="s">
        <v>60</v>
      </c>
      <c r="F1760" s="156" t="s">
        <v>60</v>
      </c>
      <c r="G1760" s="238">
        <f>MROUND(H1760*L1760*I1760/K1760,0.000001)</f>
        <v>4.4864999999999995E-2</v>
      </c>
      <c r="H1760" s="158">
        <f>H320</f>
        <v>2394</v>
      </c>
      <c r="I1760" s="159">
        <f>I1759</f>
        <v>8.4332999999999999E-4</v>
      </c>
      <c r="J1760" s="160"/>
      <c r="K1760" s="161">
        <f>K1759</f>
        <v>45</v>
      </c>
      <c r="L1760" s="250">
        <v>1</v>
      </c>
      <c r="M1760" s="163" t="str">
        <f t="shared" ref="M1760:M1767" si="375">CONCATENATE(H1760," ",F1760,"*",I1760,"/",K1760,"чел.")</f>
        <v>2394 шт.*0,00084333/45чел.</v>
      </c>
      <c r="N1760" s="164">
        <f t="shared" si="374"/>
        <v>163.5</v>
      </c>
      <c r="O1760" s="165">
        <f>MROUND(G1760*N1760,0.000001)</f>
        <v>7.3354269999999993</v>
      </c>
      <c r="P1760" s="166"/>
      <c r="Q1760" s="166">
        <f t="shared" si="371"/>
        <v>330.09421499999996</v>
      </c>
      <c r="R1760" s="71"/>
    </row>
    <row r="1761" spans="1:18" s="61" customFormat="1" ht="47.25" x14ac:dyDescent="0.25">
      <c r="A1761" s="358"/>
      <c r="B1761" s="361"/>
      <c r="C1761" s="364"/>
      <c r="D1761" s="156" t="s">
        <v>405</v>
      </c>
      <c r="E1761" s="156" t="s">
        <v>60</v>
      </c>
      <c r="F1761" s="156" t="s">
        <v>406</v>
      </c>
      <c r="G1761" s="238">
        <f>MROUND(H1761*L1761*I1761/K1761,0.00000001)</f>
        <v>6.7465999999999999E-4</v>
      </c>
      <c r="H1761" s="158">
        <f>H201</f>
        <v>36</v>
      </c>
      <c r="I1761" s="159">
        <f>I1760</f>
        <v>8.4332999999999999E-4</v>
      </c>
      <c r="J1761" s="160"/>
      <c r="K1761" s="161">
        <f>K1760</f>
        <v>45</v>
      </c>
      <c r="L1761" s="250">
        <v>1</v>
      </c>
      <c r="M1761" s="163" t="str">
        <f t="shared" si="375"/>
        <v>36 лицензий*0,00084333/45чел.</v>
      </c>
      <c r="N1761" s="164">
        <f t="shared" si="374"/>
        <v>11990</v>
      </c>
      <c r="O1761" s="165">
        <f t="shared" ref="O1761:O1770" si="376">MROUND(G1761*N1761,0.000001)</f>
        <v>8.0891729999999988</v>
      </c>
      <c r="P1761" s="166"/>
      <c r="Q1761" s="166">
        <f t="shared" si="371"/>
        <v>364.01278499999995</v>
      </c>
      <c r="R1761" s="71"/>
    </row>
    <row r="1762" spans="1:18" s="61" customFormat="1" ht="63" x14ac:dyDescent="0.25">
      <c r="A1762" s="358"/>
      <c r="B1762" s="361"/>
      <c r="C1762" s="364"/>
      <c r="D1762" s="156" t="s">
        <v>39</v>
      </c>
      <c r="E1762" s="156" t="s">
        <v>20</v>
      </c>
      <c r="F1762" s="156" t="s">
        <v>234</v>
      </c>
      <c r="G1762" s="238">
        <f>MROUND(H1762*L1762*I1762/K1762,0.000000001)</f>
        <v>2.2113990000000002E-3</v>
      </c>
      <c r="H1762" s="158">
        <f>H1282</f>
        <v>118</v>
      </c>
      <c r="I1762" s="159">
        <f>I1760</f>
        <v>8.4332999999999999E-4</v>
      </c>
      <c r="J1762" s="160"/>
      <c r="K1762" s="161">
        <f>K1760</f>
        <v>45</v>
      </c>
      <c r="L1762" s="250">
        <v>1</v>
      </c>
      <c r="M1762" s="163" t="str">
        <f t="shared" si="375"/>
        <v>118 чел(заявленная потребность руководителями учреждений)*0,00084333/45чел.</v>
      </c>
      <c r="N1762" s="164">
        <f t="shared" si="374"/>
        <v>763</v>
      </c>
      <c r="O1762" s="165">
        <f t="shared" si="376"/>
        <v>1.6872969999999998</v>
      </c>
      <c r="P1762" s="166"/>
      <c r="Q1762" s="166">
        <f t="shared" si="371"/>
        <v>75.928364999999985</v>
      </c>
      <c r="R1762" s="71"/>
    </row>
    <row r="1763" spans="1:18" s="61" customFormat="1" ht="63" x14ac:dyDescent="0.25">
      <c r="A1763" s="358"/>
      <c r="B1763" s="361"/>
      <c r="C1763" s="364"/>
      <c r="D1763" s="156" t="s">
        <v>40</v>
      </c>
      <c r="E1763" s="156" t="s">
        <v>20</v>
      </c>
      <c r="F1763" s="156" t="s">
        <v>234</v>
      </c>
      <c r="G1763" s="238">
        <f>MROUND(H1763*L1763*I1763/K1763,0.000000001)</f>
        <v>1.855326E-3</v>
      </c>
      <c r="H1763" s="158">
        <f>H1283</f>
        <v>99</v>
      </c>
      <c r="I1763" s="159">
        <f t="shared" ref="I1763:I1770" si="377">I1762</f>
        <v>8.4332999999999999E-4</v>
      </c>
      <c r="J1763" s="160"/>
      <c r="K1763" s="161">
        <f t="shared" ref="K1763:K1770" si="378">K1762</f>
        <v>45</v>
      </c>
      <c r="L1763" s="250">
        <v>1</v>
      </c>
      <c r="M1763" s="163" t="str">
        <f t="shared" si="375"/>
        <v>99 чел(заявленная потребность руководителями учреждений)*0,00084333/45чел.</v>
      </c>
      <c r="N1763" s="164">
        <f t="shared" si="374"/>
        <v>1585.4545454545455</v>
      </c>
      <c r="O1763" s="165">
        <f t="shared" si="376"/>
        <v>2.941535</v>
      </c>
      <c r="P1763" s="166"/>
      <c r="Q1763" s="166">
        <f t="shared" si="371"/>
        <v>132.36907500000001</v>
      </c>
      <c r="R1763" s="71"/>
    </row>
    <row r="1764" spans="1:18" s="61" customFormat="1" ht="63" x14ac:dyDescent="0.25">
      <c r="A1764" s="358"/>
      <c r="B1764" s="361"/>
      <c r="C1764" s="364"/>
      <c r="D1764" s="156" t="s">
        <v>100</v>
      </c>
      <c r="E1764" s="156" t="s">
        <v>20</v>
      </c>
      <c r="F1764" s="156" t="s">
        <v>234</v>
      </c>
      <c r="G1764" s="238">
        <f>MROUND(H1764*L1764*I1764/K1764,0.0000000001)</f>
        <v>1.5179940000000002E-3</v>
      </c>
      <c r="H1764" s="158">
        <f>H1284</f>
        <v>81</v>
      </c>
      <c r="I1764" s="159">
        <f t="shared" si="377"/>
        <v>8.4332999999999999E-4</v>
      </c>
      <c r="J1764" s="160"/>
      <c r="K1764" s="161">
        <f t="shared" si="378"/>
        <v>45</v>
      </c>
      <c r="L1764" s="250">
        <v>1</v>
      </c>
      <c r="M1764" s="163" t="str">
        <f t="shared" si="375"/>
        <v>81 чел(заявленная потребность руководителями учреждений)*0,00084333/45чел.</v>
      </c>
      <c r="N1764" s="164">
        <f t="shared" si="374"/>
        <v>3488</v>
      </c>
      <c r="O1764" s="165">
        <f t="shared" si="376"/>
        <v>5.2947629999999997</v>
      </c>
      <c r="P1764" s="166"/>
      <c r="Q1764" s="166">
        <f t="shared" si="371"/>
        <v>238.26433499999999</v>
      </c>
      <c r="R1764" s="71"/>
    </row>
    <row r="1765" spans="1:18" s="61" customFormat="1" ht="110.25" x14ac:dyDescent="0.25">
      <c r="A1765" s="358"/>
      <c r="B1765" s="361"/>
      <c r="C1765" s="364"/>
      <c r="D1765" s="156" t="s">
        <v>235</v>
      </c>
      <c r="E1765" s="156" t="s">
        <v>50</v>
      </c>
      <c r="F1765" s="156" t="s">
        <v>230</v>
      </c>
      <c r="G1765" s="238">
        <f>MROUND(H1765*L1765*I1765/K1765,0.00000001)</f>
        <v>6.7465999999999999E-4</v>
      </c>
      <c r="H1765" s="158">
        <f>H1525</f>
        <v>36</v>
      </c>
      <c r="I1765" s="159">
        <f t="shared" si="377"/>
        <v>8.4332999999999999E-4</v>
      </c>
      <c r="J1765" s="160"/>
      <c r="K1765" s="161">
        <f t="shared" si="378"/>
        <v>45</v>
      </c>
      <c r="L1765" s="250">
        <v>1</v>
      </c>
      <c r="M1765" s="163" t="str">
        <f t="shared" si="375"/>
        <v>36 отчетов*0,00084333/45чел.</v>
      </c>
      <c r="N1765" s="164">
        <f t="shared" si="374"/>
        <v>6540</v>
      </c>
      <c r="O1765" s="165">
        <f t="shared" si="376"/>
        <v>4.4122759999999994</v>
      </c>
      <c r="P1765" s="166"/>
      <c r="Q1765" s="166">
        <f t="shared" si="371"/>
        <v>198.55241999999998</v>
      </c>
      <c r="R1765" s="71"/>
    </row>
    <row r="1766" spans="1:18" s="61" customFormat="1" ht="63" x14ac:dyDescent="0.25">
      <c r="A1766" s="358"/>
      <c r="B1766" s="361"/>
      <c r="C1766" s="364"/>
      <c r="D1766" s="156" t="s">
        <v>42</v>
      </c>
      <c r="E1766" s="156" t="s">
        <v>51</v>
      </c>
      <c r="F1766" s="156" t="s">
        <v>407</v>
      </c>
      <c r="G1766" s="238">
        <f>MROUND(H1766*L1766*I1766/K1766,0.000001)</f>
        <v>3.823E-3</v>
      </c>
      <c r="H1766" s="158">
        <f>H1286</f>
        <v>204</v>
      </c>
      <c r="I1766" s="159">
        <f t="shared" si="377"/>
        <v>8.4332999999999999E-4</v>
      </c>
      <c r="J1766" s="160"/>
      <c r="K1766" s="161">
        <f t="shared" si="378"/>
        <v>45</v>
      </c>
      <c r="L1766" s="250">
        <v>1</v>
      </c>
      <c r="M1766" s="163" t="str">
        <f t="shared" si="375"/>
        <v>204 ед (заявленная потребность руководителями учреждений)*0,00084333/45чел.</v>
      </c>
      <c r="N1766" s="164">
        <f t="shared" si="374"/>
        <v>1090</v>
      </c>
      <c r="O1766" s="165">
        <f t="shared" si="376"/>
        <v>4.1670699999999998</v>
      </c>
      <c r="P1766" s="166"/>
      <c r="Q1766" s="166">
        <f t="shared" si="371"/>
        <v>187.51814999999999</v>
      </c>
      <c r="R1766" s="71"/>
    </row>
    <row r="1767" spans="1:18" s="61" customFormat="1" ht="31.5" x14ac:dyDescent="0.25">
      <c r="A1767" s="358"/>
      <c r="B1767" s="361"/>
      <c r="C1767" s="364"/>
      <c r="D1767" s="156" t="s">
        <v>43</v>
      </c>
      <c r="E1767" s="156" t="s">
        <v>52</v>
      </c>
      <c r="F1767" s="156" t="s">
        <v>231</v>
      </c>
      <c r="G1767" s="238">
        <f>MROUND(H1767*L1767*I1767/K1767,0.000000001)</f>
        <v>6.7466400000000006E-4</v>
      </c>
      <c r="H1767" s="158">
        <f>H687</f>
        <v>36</v>
      </c>
      <c r="I1767" s="159">
        <f t="shared" si="377"/>
        <v>8.4332999999999999E-4</v>
      </c>
      <c r="J1767" s="160"/>
      <c r="K1767" s="161">
        <f t="shared" si="378"/>
        <v>45</v>
      </c>
      <c r="L1767" s="250">
        <v>1</v>
      </c>
      <c r="M1767" s="163" t="str">
        <f t="shared" si="375"/>
        <v>36 ЭЦП*0,00084333/45чел.</v>
      </c>
      <c r="N1767" s="164">
        <f t="shared" si="374"/>
        <v>7743.3599999999924</v>
      </c>
      <c r="O1767" s="165">
        <f t="shared" si="376"/>
        <v>5.2241659999999994</v>
      </c>
      <c r="P1767" s="166"/>
      <c r="Q1767" s="166">
        <f t="shared" si="371"/>
        <v>235.08746999999997</v>
      </c>
      <c r="R1767" s="71"/>
    </row>
    <row r="1768" spans="1:18" s="61" customFormat="1" ht="47.25" x14ac:dyDescent="0.25">
      <c r="A1768" s="358"/>
      <c r="B1768" s="361"/>
      <c r="C1768" s="364"/>
      <c r="D1768" s="156" t="s">
        <v>44</v>
      </c>
      <c r="E1768" s="156" t="s">
        <v>85</v>
      </c>
      <c r="F1768" s="156" t="s">
        <v>232</v>
      </c>
      <c r="G1768" s="238">
        <f>MROUND(H1768*L1768*I1768/K1768,0.000001)</f>
        <v>2.2789E-2</v>
      </c>
      <c r="H1768" s="158">
        <f>H688</f>
        <v>1216</v>
      </c>
      <c r="I1768" s="159">
        <f t="shared" si="377"/>
        <v>8.4332999999999999E-4</v>
      </c>
      <c r="J1768" s="160"/>
      <c r="K1768" s="161">
        <f t="shared" si="378"/>
        <v>45</v>
      </c>
      <c r="L1768" s="250">
        <v>1</v>
      </c>
      <c r="M1768" s="163" t="str">
        <f>CONCATENATE(H1768," ",F1768,"*",L1768,"мес.","*",I1768,"/",K1768,"чел.")</f>
        <v>1216 мед.осмотров в мес.*1мес.*0,00084333/45чел.</v>
      </c>
      <c r="N1768" s="164">
        <f>N688</f>
        <v>56.680000000000007</v>
      </c>
      <c r="O1768" s="165">
        <f t="shared" si="376"/>
        <v>1.2916809999999999</v>
      </c>
      <c r="P1768" s="166"/>
      <c r="Q1768" s="166">
        <f t="shared" si="371"/>
        <v>58.125644999999992</v>
      </c>
      <c r="R1768" s="71"/>
    </row>
    <row r="1769" spans="1:18" s="61" customFormat="1" ht="63" x14ac:dyDescent="0.25">
      <c r="A1769" s="358"/>
      <c r="B1769" s="361"/>
      <c r="C1769" s="364"/>
      <c r="D1769" s="156" t="s">
        <v>45</v>
      </c>
      <c r="E1769" s="156" t="s">
        <v>53</v>
      </c>
      <c r="F1769" s="156" t="s">
        <v>233</v>
      </c>
      <c r="G1769" s="238">
        <f>MROUND(H1769*L1769*I1769/K1769,0.000000001)</f>
        <v>8.9955200000000008E-4</v>
      </c>
      <c r="H1769" s="158">
        <f>H1289</f>
        <v>4</v>
      </c>
      <c r="I1769" s="159">
        <f t="shared" si="377"/>
        <v>8.4332999999999999E-4</v>
      </c>
      <c r="J1769" s="160"/>
      <c r="K1769" s="161">
        <f t="shared" si="378"/>
        <v>45</v>
      </c>
      <c r="L1769" s="250">
        <v>12</v>
      </c>
      <c r="M1769" s="163" t="str">
        <f>CONCATENATE(H1769," ",F1769,"*",L1769,"мес.","*",I1769,"/",K1769,"чел.")</f>
        <v>4  машины, оборудованных системой ГЛОНАСС*12мес.*0,00084333/45чел.</v>
      </c>
      <c r="N1769" s="164">
        <f>N89</f>
        <v>880.71999999999991</v>
      </c>
      <c r="O1769" s="165">
        <f t="shared" si="376"/>
        <v>0.79225299999999999</v>
      </c>
      <c r="P1769" s="166"/>
      <c r="Q1769" s="166">
        <f t="shared" si="371"/>
        <v>35.651384999999998</v>
      </c>
      <c r="R1769" s="71"/>
    </row>
    <row r="1770" spans="1:18" s="61" customFormat="1" ht="31.5" x14ac:dyDescent="0.25">
      <c r="A1770" s="358"/>
      <c r="B1770" s="361"/>
      <c r="C1770" s="364"/>
      <c r="D1770" s="156" t="s">
        <v>408</v>
      </c>
      <c r="E1770" s="156" t="s">
        <v>20</v>
      </c>
      <c r="F1770" s="156" t="s">
        <v>20</v>
      </c>
      <c r="G1770" s="238">
        <f>MROUND(H1770*L1770*I1770/K1770,0.0000000001)</f>
        <v>3.2084021300000001E-2</v>
      </c>
      <c r="H1770" s="158">
        <f>H90</f>
        <v>1712</v>
      </c>
      <c r="I1770" s="159">
        <f t="shared" si="377"/>
        <v>8.4332999999999999E-4</v>
      </c>
      <c r="J1770" s="160"/>
      <c r="K1770" s="161">
        <f t="shared" si="378"/>
        <v>45</v>
      </c>
      <c r="L1770" s="250">
        <v>1</v>
      </c>
      <c r="M1770" s="163" t="str">
        <f>CONCATENATE(H1770," ",F1770,"*",L1770," раз в год","*",I1770,"/",K1770,"чел.")</f>
        <v>1712 чел.*1 раз в год*0,00084333/45чел.</v>
      </c>
      <c r="N1770" s="164">
        <f>N90</f>
        <v>545</v>
      </c>
      <c r="O1770" s="165">
        <f t="shared" si="376"/>
        <v>17.485792</v>
      </c>
      <c r="P1770" s="166"/>
      <c r="Q1770" s="166">
        <f t="shared" si="371"/>
        <v>786.86063999999999</v>
      </c>
      <c r="R1770" s="71"/>
    </row>
    <row r="1771" spans="1:18" s="61" customFormat="1" x14ac:dyDescent="0.25">
      <c r="A1771" s="358"/>
      <c r="B1771" s="361"/>
      <c r="C1771" s="364"/>
      <c r="D1771" s="156" t="s">
        <v>373</v>
      </c>
      <c r="E1771" s="156" t="s">
        <v>28</v>
      </c>
      <c r="F1771" s="156" t="s">
        <v>28</v>
      </c>
      <c r="G1771" s="157">
        <f>MROUND(H1771*L1771*I1771/K1771,0.000000001)</f>
        <v>6.7466400000000006E-4</v>
      </c>
      <c r="H1771" s="158">
        <f>H92</f>
        <v>36</v>
      </c>
      <c r="I1771" s="159">
        <f>I1769</f>
        <v>8.4332999999999999E-4</v>
      </c>
      <c r="J1771" s="160"/>
      <c r="K1771" s="161">
        <f>K1769</f>
        <v>45</v>
      </c>
      <c r="L1771" s="162">
        <v>1</v>
      </c>
      <c r="M1771" s="163" t="str">
        <f>CONCATENATE(H1771," ",F1771,"*",L1771,"мес.","*",I1771,"/",K1771,"чел.")</f>
        <v>36 шт*1мес.*0,00084333/45чел.</v>
      </c>
      <c r="N1771" s="164">
        <f>N92</f>
        <v>24000</v>
      </c>
      <c r="O1771" s="165">
        <f>MROUND(G1771*N1771,0.000000001)</f>
        <v>16.191936000000002</v>
      </c>
      <c r="P1771" s="166"/>
      <c r="Q1771" s="166">
        <f t="shared" si="371"/>
        <v>728.6371200000001</v>
      </c>
      <c r="R1771" s="71"/>
    </row>
    <row r="1772" spans="1:18" s="61" customFormat="1" ht="31.5" x14ac:dyDescent="0.25">
      <c r="A1772" s="358"/>
      <c r="B1772" s="361"/>
      <c r="C1772" s="364"/>
      <c r="D1772" s="156" t="s">
        <v>106</v>
      </c>
      <c r="E1772" s="156" t="s">
        <v>107</v>
      </c>
      <c r="F1772" s="156"/>
      <c r="G1772" s="238">
        <f>MROUND(H1772*L1772*I1772/K1772,0.000000001)</f>
        <v>0</v>
      </c>
      <c r="H1772" s="158">
        <f>H91</f>
        <v>0</v>
      </c>
      <c r="I1772" s="159">
        <f>I1769</f>
        <v>8.4332999999999999E-4</v>
      </c>
      <c r="J1772" s="160"/>
      <c r="K1772" s="161">
        <f>K1769</f>
        <v>45</v>
      </c>
      <c r="L1772" s="250">
        <f>L452</f>
        <v>0</v>
      </c>
      <c r="M1772" s="163"/>
      <c r="N1772" s="164">
        <f>N91</f>
        <v>1256.0400600000007</v>
      </c>
      <c r="O1772" s="165">
        <f>MROUND(G1772*N1772,0.000000001)</f>
        <v>0</v>
      </c>
      <c r="P1772" s="166"/>
      <c r="Q1772" s="166">
        <f t="shared" si="371"/>
        <v>0</v>
      </c>
      <c r="R1772" s="71"/>
    </row>
    <row r="1773" spans="1:18" s="62" customFormat="1" x14ac:dyDescent="0.25">
      <c r="A1773" s="358"/>
      <c r="B1773" s="361"/>
      <c r="C1773" s="245" t="s">
        <v>296</v>
      </c>
      <c r="D1773" s="240"/>
      <c r="E1773" s="240"/>
      <c r="F1773" s="240"/>
      <c r="G1773" s="227"/>
      <c r="H1773" s="241"/>
      <c r="I1773" s="206"/>
      <c r="J1773" s="228"/>
      <c r="K1773" s="207"/>
      <c r="L1773" s="257"/>
      <c r="M1773" s="209"/>
      <c r="N1773" s="210"/>
      <c r="O1773" s="198">
        <f>SUM(O1759:O1772)</f>
        <v>112.92094300000001</v>
      </c>
      <c r="P1773" s="267"/>
      <c r="Q1773" s="166"/>
      <c r="R1773" s="71"/>
    </row>
    <row r="1774" spans="1:18" s="61" customFormat="1" ht="31.5" x14ac:dyDescent="0.25">
      <c r="A1774" s="358"/>
      <c r="B1774" s="361"/>
      <c r="C1774" s="252" t="s">
        <v>237</v>
      </c>
      <c r="D1774" s="156" t="s">
        <v>41</v>
      </c>
      <c r="E1774" s="156" t="s">
        <v>61</v>
      </c>
      <c r="F1774" s="156" t="s">
        <v>227</v>
      </c>
      <c r="G1774" s="238">
        <f>MROUND(H1774*L1774*I1774/K1774,0.000000001)</f>
        <v>7.4963000000000007E-5</v>
      </c>
      <c r="H1774" s="158">
        <f>H694</f>
        <v>4</v>
      </c>
      <c r="I1774" s="159">
        <f>I1772</f>
        <v>8.4332999999999999E-4</v>
      </c>
      <c r="J1774" s="160"/>
      <c r="K1774" s="161">
        <f>K1772</f>
        <v>45</v>
      </c>
      <c r="L1774" s="250">
        <v>1</v>
      </c>
      <c r="M1774" s="163" t="str">
        <f>CONCATENATE(H1774," ",F1774,"*",I1774,"/",K1774,"чел.")</f>
        <v>4 автобуса*0,00084333/45чел.</v>
      </c>
      <c r="N1774" s="164">
        <f>N94</f>
        <v>25724</v>
      </c>
      <c r="O1774" s="165">
        <f>MROUND(G1774*N1774,0.000001)</f>
        <v>1.928348</v>
      </c>
      <c r="P1774" s="166"/>
      <c r="Q1774" s="166">
        <f t="shared" si="371"/>
        <v>86.775660000000002</v>
      </c>
      <c r="R1774" s="71"/>
    </row>
    <row r="1775" spans="1:18" s="62" customFormat="1" x14ac:dyDescent="0.25">
      <c r="A1775" s="358"/>
      <c r="B1775" s="361"/>
      <c r="C1775" s="245" t="s">
        <v>297</v>
      </c>
      <c r="D1775" s="240"/>
      <c r="E1775" s="240"/>
      <c r="F1775" s="240"/>
      <c r="G1775" s="227"/>
      <c r="H1775" s="241"/>
      <c r="I1775" s="206"/>
      <c r="J1775" s="228"/>
      <c r="K1775" s="207"/>
      <c r="L1775" s="257"/>
      <c r="M1775" s="209"/>
      <c r="N1775" s="210"/>
      <c r="O1775" s="198">
        <f>SUM(O1774)</f>
        <v>1.928348</v>
      </c>
      <c r="P1775" s="267"/>
      <c r="Q1775" s="166"/>
      <c r="R1775" s="71"/>
    </row>
    <row r="1776" spans="1:18" s="61" customFormat="1" ht="78.75" x14ac:dyDescent="0.25">
      <c r="A1776" s="358"/>
      <c r="B1776" s="361"/>
      <c r="C1776" s="221" t="s">
        <v>236</v>
      </c>
      <c r="D1776" s="156" t="s">
        <v>19</v>
      </c>
      <c r="E1776" s="181" t="s">
        <v>20</v>
      </c>
      <c r="F1776" s="181" t="s">
        <v>238</v>
      </c>
      <c r="G1776" s="238">
        <f>MROUND(H1776*L1776*I1776/K1776,0.000001)</f>
        <v>0</v>
      </c>
      <c r="H1776" s="158"/>
      <c r="I1776" s="159">
        <f>I1772</f>
        <v>8.4332999999999999E-4</v>
      </c>
      <c r="J1776" s="160"/>
      <c r="K1776" s="161">
        <f>K1772</f>
        <v>45</v>
      </c>
      <c r="L1776" s="250"/>
      <c r="M1776" s="163"/>
      <c r="N1776" s="164"/>
      <c r="O1776" s="165">
        <f>MROUND(G1776*N1776,0.000001)</f>
        <v>0</v>
      </c>
      <c r="P1776" s="166"/>
      <c r="Q1776" s="166">
        <f t="shared" si="371"/>
        <v>0</v>
      </c>
      <c r="R1776" s="71"/>
    </row>
    <row r="1777" spans="1:18" s="62" customFormat="1" x14ac:dyDescent="0.25">
      <c r="A1777" s="358"/>
      <c r="B1777" s="361"/>
      <c r="C1777" s="245" t="s">
        <v>298</v>
      </c>
      <c r="D1777" s="240"/>
      <c r="E1777" s="253"/>
      <c r="F1777" s="253"/>
      <c r="G1777" s="227"/>
      <c r="H1777" s="241"/>
      <c r="I1777" s="206"/>
      <c r="J1777" s="228"/>
      <c r="K1777" s="207"/>
      <c r="L1777" s="257"/>
      <c r="M1777" s="209"/>
      <c r="N1777" s="210"/>
      <c r="O1777" s="198">
        <f>SUM(O1776)</f>
        <v>0</v>
      </c>
      <c r="P1777" s="267"/>
      <c r="Q1777" s="166"/>
      <c r="R1777" s="71"/>
    </row>
    <row r="1778" spans="1:18" s="61" customFormat="1" ht="30" x14ac:dyDescent="0.25">
      <c r="A1778" s="358"/>
      <c r="B1778" s="361"/>
      <c r="C1778" s="365" t="s">
        <v>81</v>
      </c>
      <c r="D1778" s="254" t="s">
        <v>410</v>
      </c>
      <c r="E1778" s="156" t="s">
        <v>28</v>
      </c>
      <c r="F1778" s="156" t="s">
        <v>28</v>
      </c>
      <c r="G1778" s="238">
        <f>MROUND(H1778*L1778*I1778/K1778,0.0000000001)</f>
        <v>1.311847E-4</v>
      </c>
      <c r="H1778" s="158">
        <f>H98</f>
        <v>7</v>
      </c>
      <c r="I1778" s="159">
        <f>I1772</f>
        <v>8.4332999999999999E-4</v>
      </c>
      <c r="J1778" s="160"/>
      <c r="K1778" s="161">
        <f>K1772</f>
        <v>45</v>
      </c>
      <c r="L1778" s="250">
        <v>1</v>
      </c>
      <c r="M1778" s="163" t="str">
        <f>CONCATENATE(H1778," ",F1778,"*",I1778,"/",K1778,"чел.")</f>
        <v>7 шт*0,00084333/45чел.</v>
      </c>
      <c r="N1778" s="164">
        <f>N98</f>
        <v>152142.85714285713</v>
      </c>
      <c r="O1778" s="165">
        <f>MROUND(G1778*N1778,0.000001)</f>
        <v>19.958814999999998</v>
      </c>
      <c r="P1778" s="166"/>
      <c r="Q1778" s="166">
        <f t="shared" si="371"/>
        <v>898.14667499999985</v>
      </c>
      <c r="R1778" s="71"/>
    </row>
    <row r="1779" spans="1:18" s="61" customFormat="1" x14ac:dyDescent="0.25">
      <c r="A1779" s="358"/>
      <c r="B1779" s="361"/>
      <c r="C1779" s="366"/>
      <c r="D1779" s="254" t="s">
        <v>325</v>
      </c>
      <c r="E1779" s="156" t="s">
        <v>28</v>
      </c>
      <c r="F1779" s="156" t="s">
        <v>28</v>
      </c>
      <c r="G1779" s="157">
        <f>MROUND(H1779*L1779*I1779/K1779,0.0000000001)</f>
        <v>4.3103530000000002E-4</v>
      </c>
      <c r="H1779" s="158">
        <f>$H$99</f>
        <v>23</v>
      </c>
      <c r="I1779" s="159">
        <f>I1778</f>
        <v>8.4332999999999999E-4</v>
      </c>
      <c r="J1779" s="160"/>
      <c r="K1779" s="161">
        <f>K1778</f>
        <v>45</v>
      </c>
      <c r="L1779" s="250">
        <v>1</v>
      </c>
      <c r="M1779" s="163" t="str">
        <f>CONCATENATE(H1779," ",F1779,"*",I1779,"/",K1779,"чел.")</f>
        <v>23 шт*0,00084333/45чел.</v>
      </c>
      <c r="N1779" s="164">
        <f>$N$99</f>
        <v>229039.13043478262</v>
      </c>
      <c r="O1779" s="165">
        <f>MROUND(G1779*N1779,0.000001)</f>
        <v>98.723950000000002</v>
      </c>
      <c r="P1779" s="166"/>
      <c r="Q1779" s="166">
        <f t="shared" si="371"/>
        <v>4442.5777500000004</v>
      </c>
      <c r="R1779" s="71"/>
    </row>
    <row r="1780" spans="1:18" s="61" customFormat="1" ht="30" x14ac:dyDescent="0.25">
      <c r="A1780" s="358"/>
      <c r="B1780" s="361"/>
      <c r="C1780" s="366"/>
      <c r="D1780" s="254" t="s">
        <v>411</v>
      </c>
      <c r="E1780" s="156" t="s">
        <v>28</v>
      </c>
      <c r="F1780" s="156" t="s">
        <v>28</v>
      </c>
      <c r="G1780" s="238">
        <f>MROUND(H1780*L1780*I1780/K1780,0.00000001)</f>
        <v>1.3118E-4</v>
      </c>
      <c r="H1780" s="158">
        <f>$H$100</f>
        <v>7</v>
      </c>
      <c r="I1780" s="159">
        <f>I1778</f>
        <v>8.4332999999999999E-4</v>
      </c>
      <c r="J1780" s="160"/>
      <c r="K1780" s="161">
        <f>K1778</f>
        <v>45</v>
      </c>
      <c r="L1780" s="250">
        <v>1</v>
      </c>
      <c r="M1780" s="163" t="str">
        <f t="shared" ref="M1780:M1801" si="379">CONCATENATE(H1780," ",F1780,"*",I1780,"/",K1780,"чел.")</f>
        <v>7 шт*0,00084333/45чел.</v>
      </c>
      <c r="N1780" s="164">
        <f t="shared" ref="N1780:N1794" si="380">N100</f>
        <v>82142.857142857145</v>
      </c>
      <c r="O1780" s="165">
        <f t="shared" ref="O1780:O1801" si="381">MROUND(G1780*N1780,0.000001)</f>
        <v>10.775499999999999</v>
      </c>
      <c r="P1780" s="166"/>
      <c r="Q1780" s="166">
        <f t="shared" si="371"/>
        <v>484.89749999999998</v>
      </c>
      <c r="R1780" s="71"/>
    </row>
    <row r="1781" spans="1:18" s="61" customFormat="1" x14ac:dyDescent="0.25">
      <c r="A1781" s="358"/>
      <c r="B1781" s="361"/>
      <c r="C1781" s="366"/>
      <c r="D1781" s="255" t="s">
        <v>412</v>
      </c>
      <c r="E1781" s="156" t="s">
        <v>28</v>
      </c>
      <c r="F1781" s="156" t="s">
        <v>28</v>
      </c>
      <c r="G1781" s="238">
        <f>MROUND(H1781*L1781*I1781/K1781,0.00000001)</f>
        <v>6.5592000000000005E-4</v>
      </c>
      <c r="H1781" s="158">
        <f>$H$101</f>
        <v>35</v>
      </c>
      <c r="I1781" s="159">
        <f>I1780</f>
        <v>8.4332999999999999E-4</v>
      </c>
      <c r="J1781" s="160"/>
      <c r="K1781" s="161">
        <f>K1780</f>
        <v>45</v>
      </c>
      <c r="L1781" s="250">
        <v>1</v>
      </c>
      <c r="M1781" s="163" t="str">
        <f t="shared" si="379"/>
        <v>35 шт*0,00084333/45чел.</v>
      </c>
      <c r="N1781" s="164">
        <f t="shared" si="380"/>
        <v>126114.97142857143</v>
      </c>
      <c r="O1781" s="165">
        <f t="shared" si="381"/>
        <v>82.72133199999999</v>
      </c>
      <c r="P1781" s="166"/>
      <c r="Q1781" s="166">
        <f t="shared" si="371"/>
        <v>3722.4599399999997</v>
      </c>
      <c r="R1781" s="71"/>
    </row>
    <row r="1782" spans="1:18" s="61" customFormat="1" ht="31.5" x14ac:dyDescent="0.25">
      <c r="A1782" s="358"/>
      <c r="B1782" s="361"/>
      <c r="C1782" s="366"/>
      <c r="D1782" s="255" t="s">
        <v>413</v>
      </c>
      <c r="E1782" s="156" t="s">
        <v>28</v>
      </c>
      <c r="F1782" s="156" t="s">
        <v>28</v>
      </c>
      <c r="G1782" s="238">
        <f>MROUND(H1782*L1782*I1782/K1782,0.0000000001)</f>
        <v>2.8111E-4</v>
      </c>
      <c r="H1782" s="158">
        <f>H102</f>
        <v>15</v>
      </c>
      <c r="I1782" s="159">
        <f>I1781</f>
        <v>8.4332999999999999E-4</v>
      </c>
      <c r="J1782" s="160"/>
      <c r="K1782" s="161">
        <f>K1781</f>
        <v>45</v>
      </c>
      <c r="L1782" s="250">
        <v>1</v>
      </c>
      <c r="M1782" s="163" t="str">
        <f t="shared" si="379"/>
        <v>15 шт*0,00084333/45чел.</v>
      </c>
      <c r="N1782" s="164">
        <f t="shared" si="380"/>
        <v>75333.333333333328</v>
      </c>
      <c r="O1782" s="165">
        <f t="shared" si="381"/>
        <v>21.176952999999997</v>
      </c>
      <c r="P1782" s="166"/>
      <c r="Q1782" s="166">
        <f t="shared" si="371"/>
        <v>952.96288499999991</v>
      </c>
      <c r="R1782" s="71"/>
    </row>
    <row r="1783" spans="1:18" s="61" customFormat="1" x14ac:dyDescent="0.25">
      <c r="A1783" s="358"/>
      <c r="B1783" s="361"/>
      <c r="C1783" s="366"/>
      <c r="D1783" s="254" t="s">
        <v>109</v>
      </c>
      <c r="E1783" s="156" t="s">
        <v>28</v>
      </c>
      <c r="F1783" s="156" t="s">
        <v>28</v>
      </c>
      <c r="G1783" s="238">
        <f>MROUND(H1783*L1783*I1783/K1783,0.0000000001)</f>
        <v>2.9985070000000002E-4</v>
      </c>
      <c r="H1783" s="158">
        <f>$H$103</f>
        <v>16</v>
      </c>
      <c r="I1783" s="159">
        <f>I1782</f>
        <v>8.4332999999999999E-4</v>
      </c>
      <c r="J1783" s="160"/>
      <c r="K1783" s="161">
        <f>K1782</f>
        <v>45</v>
      </c>
      <c r="L1783" s="250">
        <v>1</v>
      </c>
      <c r="M1783" s="163" t="str">
        <f t="shared" si="379"/>
        <v>16 шт*0,00084333/45чел.</v>
      </c>
      <c r="N1783" s="164">
        <f t="shared" si="380"/>
        <v>169687.5</v>
      </c>
      <c r="O1783" s="165">
        <f t="shared" si="381"/>
        <v>50.880915999999999</v>
      </c>
      <c r="P1783" s="166"/>
      <c r="Q1783" s="166">
        <f t="shared" si="371"/>
        <v>2289.64122</v>
      </c>
      <c r="R1783" s="71"/>
    </row>
    <row r="1784" spans="1:18" s="61" customFormat="1" x14ac:dyDescent="0.25">
      <c r="A1784" s="358"/>
      <c r="B1784" s="361"/>
      <c r="C1784" s="366"/>
      <c r="D1784" s="254" t="s">
        <v>414</v>
      </c>
      <c r="E1784" s="156" t="s">
        <v>28</v>
      </c>
      <c r="F1784" s="156" t="s">
        <v>28</v>
      </c>
      <c r="G1784" s="238">
        <f>MROUND(H1784*L1784*I1784/K1784,0.0000000001)</f>
        <v>1.6866600000000001E-4</v>
      </c>
      <c r="H1784" s="158">
        <f>$H$104</f>
        <v>9</v>
      </c>
      <c r="I1784" s="159">
        <f>I1782</f>
        <v>8.4332999999999999E-4</v>
      </c>
      <c r="J1784" s="160"/>
      <c r="K1784" s="161">
        <f>K1782</f>
        <v>45</v>
      </c>
      <c r="L1784" s="250">
        <v>1</v>
      </c>
      <c r="M1784" s="163" t="str">
        <f t="shared" si="379"/>
        <v>9 шт*0,00084333/45чел.</v>
      </c>
      <c r="N1784" s="164">
        <f t="shared" si="380"/>
        <v>89333.333333333328</v>
      </c>
      <c r="O1784" s="165">
        <f t="shared" si="381"/>
        <v>15.067495999999998</v>
      </c>
      <c r="P1784" s="166"/>
      <c r="Q1784" s="166">
        <f t="shared" si="371"/>
        <v>678.03731999999991</v>
      </c>
      <c r="R1784" s="71"/>
    </row>
    <row r="1785" spans="1:18" s="61" customFormat="1" x14ac:dyDescent="0.25">
      <c r="A1785" s="358"/>
      <c r="B1785" s="361"/>
      <c r="C1785" s="366"/>
      <c r="D1785" s="254" t="s">
        <v>415</v>
      </c>
      <c r="E1785" s="156" t="s">
        <v>28</v>
      </c>
      <c r="F1785" s="156" t="s">
        <v>28</v>
      </c>
      <c r="G1785" s="238">
        <f>MROUND(H1785*L1785*I1785/K1785,0.00000001)</f>
        <v>2.0615E-4</v>
      </c>
      <c r="H1785" s="158">
        <f>$H$105</f>
        <v>11</v>
      </c>
      <c r="I1785" s="159">
        <f t="shared" ref="I1785:I1794" si="382">I1783</f>
        <v>8.4332999999999999E-4</v>
      </c>
      <c r="J1785" s="160"/>
      <c r="K1785" s="161">
        <f t="shared" ref="K1785:K1794" si="383">K1783</f>
        <v>45</v>
      </c>
      <c r="L1785" s="250">
        <v>1</v>
      </c>
      <c r="M1785" s="163" t="str">
        <f t="shared" si="379"/>
        <v>11 шт*0,00084333/45чел.</v>
      </c>
      <c r="N1785" s="164">
        <f t="shared" si="380"/>
        <v>122181.81818181818</v>
      </c>
      <c r="O1785" s="165">
        <f t="shared" si="381"/>
        <v>25.187781999999999</v>
      </c>
      <c r="P1785" s="166"/>
      <c r="Q1785" s="166">
        <f t="shared" si="371"/>
        <v>1133.45019</v>
      </c>
      <c r="R1785" s="71"/>
    </row>
    <row r="1786" spans="1:18" s="61" customFormat="1" x14ac:dyDescent="0.25">
      <c r="A1786" s="358"/>
      <c r="B1786" s="361"/>
      <c r="C1786" s="366"/>
      <c r="D1786" s="254" t="s">
        <v>416</v>
      </c>
      <c r="E1786" s="156" t="s">
        <v>28</v>
      </c>
      <c r="F1786" s="156" t="s">
        <v>28</v>
      </c>
      <c r="G1786" s="238">
        <f>MROUND(H1786*L1786*I1786/K1786,0.000000001)</f>
        <v>3.7481300000000005E-4</v>
      </c>
      <c r="H1786" s="246">
        <f>$H$106</f>
        <v>20</v>
      </c>
      <c r="I1786" s="159">
        <f t="shared" si="382"/>
        <v>8.4332999999999999E-4</v>
      </c>
      <c r="J1786" s="160"/>
      <c r="K1786" s="161">
        <f t="shared" si="383"/>
        <v>45</v>
      </c>
      <c r="L1786" s="250">
        <v>1</v>
      </c>
      <c r="M1786" s="163" t="str">
        <f t="shared" si="379"/>
        <v>20 шт*0,00084333/45чел.</v>
      </c>
      <c r="N1786" s="164">
        <f t="shared" si="380"/>
        <v>52500</v>
      </c>
      <c r="O1786" s="165">
        <f t="shared" si="381"/>
        <v>19.677682999999998</v>
      </c>
      <c r="P1786" s="166"/>
      <c r="Q1786" s="166">
        <f t="shared" si="371"/>
        <v>885.49573499999997</v>
      </c>
      <c r="R1786" s="71"/>
    </row>
    <row r="1787" spans="1:18" s="61" customFormat="1" x14ac:dyDescent="0.25">
      <c r="A1787" s="358"/>
      <c r="B1787" s="361"/>
      <c r="C1787" s="366"/>
      <c r="D1787" s="254" t="s">
        <v>417</v>
      </c>
      <c r="E1787" s="156" t="s">
        <v>28</v>
      </c>
      <c r="F1787" s="156" t="s">
        <v>28</v>
      </c>
      <c r="G1787" s="238">
        <f>MROUND(H1787*L1787*I1787/K1787,0.00000001)</f>
        <v>3.1859E-4</v>
      </c>
      <c r="H1787" s="158">
        <f>$H$107</f>
        <v>17</v>
      </c>
      <c r="I1787" s="159">
        <f t="shared" si="382"/>
        <v>8.4332999999999999E-4</v>
      </c>
      <c r="J1787" s="160"/>
      <c r="K1787" s="161">
        <f t="shared" si="383"/>
        <v>45</v>
      </c>
      <c r="L1787" s="250">
        <v>1</v>
      </c>
      <c r="M1787" s="163" t="str">
        <f t="shared" si="379"/>
        <v>17 шт*0,00084333/45чел.</v>
      </c>
      <c r="N1787" s="164">
        <f t="shared" si="380"/>
        <v>75000</v>
      </c>
      <c r="O1787" s="165">
        <f t="shared" si="381"/>
        <v>23.89425</v>
      </c>
      <c r="P1787" s="166"/>
      <c r="Q1787" s="166">
        <f t="shared" si="371"/>
        <v>1075.24125</v>
      </c>
      <c r="R1787" s="71"/>
    </row>
    <row r="1788" spans="1:18" s="61" customFormat="1" ht="30" x14ac:dyDescent="0.25">
      <c r="A1788" s="358"/>
      <c r="B1788" s="361"/>
      <c r="C1788" s="366"/>
      <c r="D1788" s="254" t="s">
        <v>418</v>
      </c>
      <c r="E1788" s="156" t="s">
        <v>28</v>
      </c>
      <c r="F1788" s="156" t="s">
        <v>28</v>
      </c>
      <c r="G1788" s="238">
        <f>MROUND(H1788*L1788*I1788/K1788,0.00000001)</f>
        <v>1.6867E-4</v>
      </c>
      <c r="H1788" s="158">
        <f>H108</f>
        <v>9</v>
      </c>
      <c r="I1788" s="159">
        <f t="shared" si="382"/>
        <v>8.4332999999999999E-4</v>
      </c>
      <c r="J1788" s="160"/>
      <c r="K1788" s="161">
        <f t="shared" si="383"/>
        <v>45</v>
      </c>
      <c r="L1788" s="250">
        <v>1</v>
      </c>
      <c r="M1788" s="163" t="str">
        <f t="shared" si="379"/>
        <v>9 шт*0,00084333/45чел.</v>
      </c>
      <c r="N1788" s="164">
        <f t="shared" si="380"/>
        <v>66666.666666666672</v>
      </c>
      <c r="O1788" s="165">
        <f t="shared" si="381"/>
        <v>11.244667</v>
      </c>
      <c r="P1788" s="166"/>
      <c r="Q1788" s="166">
        <f t="shared" si="371"/>
        <v>506.01001500000001</v>
      </c>
      <c r="R1788" s="71"/>
    </row>
    <row r="1789" spans="1:18" s="61" customFormat="1" x14ac:dyDescent="0.25">
      <c r="A1789" s="358"/>
      <c r="B1789" s="361"/>
      <c r="C1789" s="366"/>
      <c r="D1789" s="254" t="s">
        <v>324</v>
      </c>
      <c r="E1789" s="156" t="s">
        <v>28</v>
      </c>
      <c r="F1789" s="156" t="s">
        <v>28</v>
      </c>
      <c r="G1789" s="238">
        <f>MROUND(H1789*L1789*I1789/K1789,0.000000001)</f>
        <v>3.3733200000000003E-4</v>
      </c>
      <c r="H1789" s="158">
        <f>$H$109</f>
        <v>18</v>
      </c>
      <c r="I1789" s="159">
        <f t="shared" si="382"/>
        <v>8.4332999999999999E-4</v>
      </c>
      <c r="J1789" s="160"/>
      <c r="K1789" s="161">
        <f t="shared" si="383"/>
        <v>45</v>
      </c>
      <c r="L1789" s="250">
        <v>1</v>
      </c>
      <c r="M1789" s="163" t="str">
        <f t="shared" si="379"/>
        <v>18 шт*0,00084333/45чел.</v>
      </c>
      <c r="N1789" s="164">
        <f t="shared" si="380"/>
        <v>365277.77777777775</v>
      </c>
      <c r="O1789" s="165">
        <f t="shared" si="381"/>
        <v>123.219883</v>
      </c>
      <c r="P1789" s="166"/>
      <c r="Q1789" s="166">
        <f t="shared" si="371"/>
        <v>5544.8947349999999</v>
      </c>
      <c r="R1789" s="71"/>
    </row>
    <row r="1790" spans="1:18" s="61" customFormat="1" x14ac:dyDescent="0.25">
      <c r="A1790" s="358"/>
      <c r="B1790" s="361"/>
      <c r="C1790" s="366"/>
      <c r="D1790" s="254" t="s">
        <v>419</v>
      </c>
      <c r="E1790" s="156" t="s">
        <v>28</v>
      </c>
      <c r="F1790" s="156" t="s">
        <v>28</v>
      </c>
      <c r="G1790" s="238">
        <f>MROUND(H1790*L1790*I1790/K1790,0.000000001)</f>
        <v>4.4977600000000004E-4</v>
      </c>
      <c r="H1790" s="246">
        <f>$H$110</f>
        <v>24</v>
      </c>
      <c r="I1790" s="159">
        <f t="shared" si="382"/>
        <v>8.4332999999999999E-4</v>
      </c>
      <c r="J1790" s="160"/>
      <c r="K1790" s="161">
        <f t="shared" si="383"/>
        <v>45</v>
      </c>
      <c r="L1790" s="250">
        <v>1</v>
      </c>
      <c r="M1790" s="163" t="str">
        <f t="shared" si="379"/>
        <v>24 шт*0,00084333/45чел.</v>
      </c>
      <c r="N1790" s="164">
        <f t="shared" si="380"/>
        <v>32416.666666666668</v>
      </c>
      <c r="O1790" s="165">
        <f t="shared" si="381"/>
        <v>14.580238999999999</v>
      </c>
      <c r="P1790" s="166"/>
      <c r="Q1790" s="166">
        <f t="shared" si="371"/>
        <v>656.11075499999993</v>
      </c>
      <c r="R1790" s="71"/>
    </row>
    <row r="1791" spans="1:18" s="61" customFormat="1" x14ac:dyDescent="0.25">
      <c r="A1791" s="358"/>
      <c r="B1791" s="361"/>
      <c r="C1791" s="366"/>
      <c r="D1791" s="254" t="s">
        <v>420</v>
      </c>
      <c r="E1791" s="156" t="s">
        <v>28</v>
      </c>
      <c r="F1791" s="156" t="s">
        <v>28</v>
      </c>
      <c r="G1791" s="238">
        <f>MROUND(H1791*L1791*I1791/K1791,0.000000001)</f>
        <v>2.8111E-4</v>
      </c>
      <c r="H1791" s="158">
        <f>H111</f>
        <v>15</v>
      </c>
      <c r="I1791" s="159">
        <f t="shared" si="382"/>
        <v>8.4332999999999999E-4</v>
      </c>
      <c r="J1791" s="160"/>
      <c r="K1791" s="161">
        <f t="shared" si="383"/>
        <v>45</v>
      </c>
      <c r="L1791" s="250">
        <v>1</v>
      </c>
      <c r="M1791" s="163" t="str">
        <f t="shared" si="379"/>
        <v>15 шт*0,00084333/45чел.</v>
      </c>
      <c r="N1791" s="164">
        <f t="shared" si="380"/>
        <v>127666.66666666667</v>
      </c>
      <c r="O1791" s="165">
        <f t="shared" si="381"/>
        <v>35.888376999999998</v>
      </c>
      <c r="P1791" s="166"/>
      <c r="Q1791" s="166">
        <f t="shared" si="371"/>
        <v>1614.9769649999998</v>
      </c>
      <c r="R1791" s="71"/>
    </row>
    <row r="1792" spans="1:18" s="61" customFormat="1" x14ac:dyDescent="0.25">
      <c r="A1792" s="358"/>
      <c r="B1792" s="361"/>
      <c r="C1792" s="366"/>
      <c r="D1792" s="254" t="s">
        <v>421</v>
      </c>
      <c r="E1792" s="156" t="s">
        <v>28</v>
      </c>
      <c r="F1792" s="156" t="s">
        <v>28</v>
      </c>
      <c r="G1792" s="238">
        <f>MROUND(H1792*L1792*I1792/K1792,0.00000001)</f>
        <v>5.4348000000000005E-4</v>
      </c>
      <c r="H1792" s="158">
        <f>$H$112</f>
        <v>29</v>
      </c>
      <c r="I1792" s="159">
        <f t="shared" si="382"/>
        <v>8.4332999999999999E-4</v>
      </c>
      <c r="J1792" s="160"/>
      <c r="K1792" s="161">
        <f t="shared" si="383"/>
        <v>45</v>
      </c>
      <c r="L1792" s="250">
        <v>1</v>
      </c>
      <c r="M1792" s="163" t="str">
        <f t="shared" si="379"/>
        <v>29 шт*0,00084333/45чел.</v>
      </c>
      <c r="N1792" s="164">
        <f t="shared" si="380"/>
        <v>13517.241379310344</v>
      </c>
      <c r="O1792" s="165">
        <f t="shared" si="381"/>
        <v>7.3463499999999993</v>
      </c>
      <c r="P1792" s="166"/>
      <c r="Q1792" s="166">
        <f t="shared" si="371"/>
        <v>330.58574999999996</v>
      </c>
      <c r="R1792" s="71"/>
    </row>
    <row r="1793" spans="1:18" s="61" customFormat="1" ht="30" x14ac:dyDescent="0.25">
      <c r="A1793" s="358"/>
      <c r="B1793" s="361"/>
      <c r="C1793" s="366"/>
      <c r="D1793" s="254" t="s">
        <v>422</v>
      </c>
      <c r="E1793" s="156" t="s">
        <v>28</v>
      </c>
      <c r="F1793" s="156" t="s">
        <v>28</v>
      </c>
      <c r="G1793" s="266">
        <f>MROUND(H1793*L1793*I1793/K1793,0.00000001)</f>
        <v>3.3733E-4</v>
      </c>
      <c r="H1793" s="158">
        <f>H1673</f>
        <v>18</v>
      </c>
      <c r="I1793" s="159">
        <f t="shared" si="382"/>
        <v>8.4332999999999999E-4</v>
      </c>
      <c r="J1793" s="160"/>
      <c r="K1793" s="161">
        <f t="shared" si="383"/>
        <v>45</v>
      </c>
      <c r="L1793" s="250">
        <v>1</v>
      </c>
      <c r="M1793" s="163" t="str">
        <f t="shared" si="379"/>
        <v>18 шт*0,00084333/45чел.</v>
      </c>
      <c r="N1793" s="164">
        <f t="shared" si="380"/>
        <v>34944.444444444445</v>
      </c>
      <c r="O1793" s="165">
        <f t="shared" si="381"/>
        <v>11.787808999999999</v>
      </c>
      <c r="P1793" s="166"/>
      <c r="Q1793" s="166">
        <f t="shared" si="371"/>
        <v>530.45140500000002</v>
      </c>
      <c r="R1793" s="71"/>
    </row>
    <row r="1794" spans="1:18" s="61" customFormat="1" x14ac:dyDescent="0.25">
      <c r="A1794" s="358"/>
      <c r="B1794" s="361"/>
      <c r="C1794" s="366"/>
      <c r="D1794" s="254" t="s">
        <v>423</v>
      </c>
      <c r="E1794" s="156" t="s">
        <v>28</v>
      </c>
      <c r="F1794" s="156" t="s">
        <v>28</v>
      </c>
      <c r="G1794" s="238">
        <f>MROUND(H1794*L1794*I1794/K1794,0.000000001)</f>
        <v>3.7481300000000005E-4</v>
      </c>
      <c r="H1794" s="158">
        <f>$H$114</f>
        <v>20</v>
      </c>
      <c r="I1794" s="159">
        <f t="shared" si="382"/>
        <v>8.4332999999999999E-4</v>
      </c>
      <c r="J1794" s="160"/>
      <c r="K1794" s="161">
        <f t="shared" si="383"/>
        <v>45</v>
      </c>
      <c r="L1794" s="250">
        <v>1</v>
      </c>
      <c r="M1794" s="163" t="str">
        <f t="shared" si="379"/>
        <v>20 шт*0,00084333/45чел.</v>
      </c>
      <c r="N1794" s="164">
        <f t="shared" si="380"/>
        <v>74500</v>
      </c>
      <c r="O1794" s="165">
        <f t="shared" si="381"/>
        <v>27.923568999999997</v>
      </c>
      <c r="P1794" s="166"/>
      <c r="Q1794" s="166">
        <f t="shared" si="371"/>
        <v>1256.5606049999999</v>
      </c>
      <c r="R1794" s="71"/>
    </row>
    <row r="1795" spans="1:18" s="61" customFormat="1" x14ac:dyDescent="0.25">
      <c r="A1795" s="358"/>
      <c r="B1795" s="361"/>
      <c r="C1795" s="366"/>
      <c r="D1795" s="254" t="s">
        <v>424</v>
      </c>
      <c r="E1795" s="156" t="s">
        <v>28</v>
      </c>
      <c r="F1795" s="156" t="s">
        <v>28</v>
      </c>
      <c r="G1795" s="238">
        <f t="shared" ref="G1795:G1801" si="384">MROUND(H1795*L1795*I1795/K1795,0.00000001)</f>
        <v>6.5592000000000005E-4</v>
      </c>
      <c r="H1795" s="158">
        <f>H1315</f>
        <v>35</v>
      </c>
      <c r="I1795" s="159">
        <f>I1784</f>
        <v>8.4332999999999999E-4</v>
      </c>
      <c r="J1795" s="160"/>
      <c r="K1795" s="161">
        <f>K1784</f>
        <v>45</v>
      </c>
      <c r="L1795" s="250">
        <v>1</v>
      </c>
      <c r="M1795" s="163" t="str">
        <f t="shared" si="379"/>
        <v>35 шт*0,00084333/45чел.</v>
      </c>
      <c r="N1795" s="164">
        <f>N1315</f>
        <v>34285.714285714283</v>
      </c>
      <c r="O1795" s="165">
        <f t="shared" si="381"/>
        <v>22.488685999999998</v>
      </c>
      <c r="P1795" s="166"/>
      <c r="Q1795" s="166">
        <f t="shared" ref="Q1795:Q1858" si="385">O1795*K1795</f>
        <v>1011.9908699999999</v>
      </c>
      <c r="R1795" s="71"/>
    </row>
    <row r="1796" spans="1:18" s="61" customFormat="1" x14ac:dyDescent="0.25">
      <c r="A1796" s="358"/>
      <c r="B1796" s="361"/>
      <c r="C1796" s="366"/>
      <c r="D1796" s="254" t="s">
        <v>425</v>
      </c>
      <c r="E1796" s="156" t="s">
        <v>28</v>
      </c>
      <c r="F1796" s="156" t="s">
        <v>28</v>
      </c>
      <c r="G1796" s="277">
        <f t="shared" si="384"/>
        <v>6.5592000000000005E-4</v>
      </c>
      <c r="H1796" s="158">
        <f>H716</f>
        <v>35</v>
      </c>
      <c r="I1796" s="159">
        <f t="shared" ref="I1796:I1801" si="386">I1795</f>
        <v>8.4332999999999999E-4</v>
      </c>
      <c r="J1796" s="160"/>
      <c r="K1796" s="161">
        <f t="shared" ref="K1796:K1801" si="387">K1795</f>
        <v>45</v>
      </c>
      <c r="L1796" s="250">
        <v>1</v>
      </c>
      <c r="M1796" s="163" t="str">
        <f t="shared" si="379"/>
        <v>35 шт*0,00084333/45чел.</v>
      </c>
      <c r="N1796" s="164">
        <f t="shared" ref="N1796:N1801" si="388">N116</f>
        <v>19102.857142857141</v>
      </c>
      <c r="O1796" s="165">
        <f t="shared" si="381"/>
        <v>12.529945999999999</v>
      </c>
      <c r="P1796" s="166"/>
      <c r="Q1796" s="166">
        <f t="shared" si="385"/>
        <v>563.84756999999991</v>
      </c>
      <c r="R1796" s="71"/>
    </row>
    <row r="1797" spans="1:18" s="61" customFormat="1" x14ac:dyDescent="0.25">
      <c r="A1797" s="358"/>
      <c r="B1797" s="361"/>
      <c r="C1797" s="366"/>
      <c r="D1797" s="254" t="s">
        <v>108</v>
      </c>
      <c r="E1797" s="156" t="s">
        <v>28</v>
      </c>
      <c r="F1797" s="156" t="s">
        <v>28</v>
      </c>
      <c r="G1797" s="238">
        <f t="shared" si="384"/>
        <v>1.6210680000000002E-2</v>
      </c>
      <c r="H1797" s="158">
        <f>$H$117</f>
        <v>865</v>
      </c>
      <c r="I1797" s="159">
        <f t="shared" si="386"/>
        <v>8.4332999999999999E-4</v>
      </c>
      <c r="J1797" s="160"/>
      <c r="K1797" s="161">
        <f t="shared" si="387"/>
        <v>45</v>
      </c>
      <c r="L1797" s="250">
        <v>1</v>
      </c>
      <c r="M1797" s="163" t="str">
        <f t="shared" si="379"/>
        <v>865 шт*0,00084333/45чел.</v>
      </c>
      <c r="N1797" s="164">
        <f t="shared" si="388"/>
        <v>779.36416184971097</v>
      </c>
      <c r="O1797" s="165">
        <f t="shared" si="381"/>
        <v>12.634022999999999</v>
      </c>
      <c r="P1797" s="166"/>
      <c r="Q1797" s="166">
        <f t="shared" si="385"/>
        <v>568.53103499999997</v>
      </c>
      <c r="R1797" s="71"/>
    </row>
    <row r="1798" spans="1:18" s="61" customFormat="1" x14ac:dyDescent="0.25">
      <c r="A1798" s="358"/>
      <c r="B1798" s="361"/>
      <c r="C1798" s="366"/>
      <c r="D1798" s="254" t="s">
        <v>426</v>
      </c>
      <c r="E1798" s="156" t="s">
        <v>28</v>
      </c>
      <c r="F1798" s="156" t="s">
        <v>28</v>
      </c>
      <c r="G1798" s="238">
        <f t="shared" si="384"/>
        <v>8.2459000000000005E-4</v>
      </c>
      <c r="H1798" s="158">
        <f>H1078</f>
        <v>44</v>
      </c>
      <c r="I1798" s="159">
        <f t="shared" si="386"/>
        <v>8.4332999999999999E-4</v>
      </c>
      <c r="J1798" s="160"/>
      <c r="K1798" s="161">
        <f t="shared" si="387"/>
        <v>45</v>
      </c>
      <c r="L1798" s="250">
        <v>1</v>
      </c>
      <c r="M1798" s="163" t="str">
        <f t="shared" si="379"/>
        <v>44 шт*0,00084333/45чел.</v>
      </c>
      <c r="N1798" s="164">
        <f t="shared" si="388"/>
        <v>12416.954545454546</v>
      </c>
      <c r="O1798" s="165">
        <f t="shared" si="381"/>
        <v>10.238897</v>
      </c>
      <c r="P1798" s="166"/>
      <c r="Q1798" s="166">
        <f t="shared" si="385"/>
        <v>460.75036499999999</v>
      </c>
      <c r="R1798" s="71"/>
    </row>
    <row r="1799" spans="1:18" s="61" customFormat="1" x14ac:dyDescent="0.25">
      <c r="A1799" s="358"/>
      <c r="B1799" s="361"/>
      <c r="C1799" s="366"/>
      <c r="D1799" s="254" t="s">
        <v>427</v>
      </c>
      <c r="E1799" s="156" t="s">
        <v>28</v>
      </c>
      <c r="F1799" s="156" t="s">
        <v>28</v>
      </c>
      <c r="G1799" s="238">
        <f t="shared" si="384"/>
        <v>1.2368800000000001E-3</v>
      </c>
      <c r="H1799" s="158">
        <f>H719</f>
        <v>66</v>
      </c>
      <c r="I1799" s="159">
        <f t="shared" si="386"/>
        <v>8.4332999999999999E-4</v>
      </c>
      <c r="J1799" s="160"/>
      <c r="K1799" s="161">
        <f t="shared" si="387"/>
        <v>45</v>
      </c>
      <c r="L1799" s="250">
        <v>1</v>
      </c>
      <c r="M1799" s="163" t="str">
        <f t="shared" si="379"/>
        <v>66 шт*0,00084333/45чел.</v>
      </c>
      <c r="N1799" s="164">
        <f t="shared" si="388"/>
        <v>13060.60606060606</v>
      </c>
      <c r="O1799" s="165">
        <f t="shared" si="381"/>
        <v>16.154402000000001</v>
      </c>
      <c r="P1799" s="166"/>
      <c r="Q1799" s="166">
        <f t="shared" si="385"/>
        <v>726.94809000000009</v>
      </c>
      <c r="R1799" s="71"/>
    </row>
    <row r="1800" spans="1:18" s="61" customFormat="1" x14ac:dyDescent="0.25">
      <c r="A1800" s="358"/>
      <c r="B1800" s="361"/>
      <c r="C1800" s="366"/>
      <c r="D1800" s="254" t="s">
        <v>428</v>
      </c>
      <c r="E1800" s="156" t="s">
        <v>28</v>
      </c>
      <c r="F1800" s="156" t="s">
        <v>28</v>
      </c>
      <c r="G1800" s="238">
        <f t="shared" si="384"/>
        <v>6.4655299999999997E-3</v>
      </c>
      <c r="H1800" s="158">
        <f>H120</f>
        <v>345</v>
      </c>
      <c r="I1800" s="159">
        <f t="shared" si="386"/>
        <v>8.4332999999999999E-4</v>
      </c>
      <c r="J1800" s="160"/>
      <c r="K1800" s="161">
        <f t="shared" si="387"/>
        <v>45</v>
      </c>
      <c r="L1800" s="250">
        <v>1</v>
      </c>
      <c r="M1800" s="163" t="str">
        <f t="shared" si="379"/>
        <v>345 шт*0,00084333/45чел.</v>
      </c>
      <c r="N1800" s="164">
        <f t="shared" si="388"/>
        <v>8520.7246376811599</v>
      </c>
      <c r="O1800" s="165">
        <f t="shared" si="381"/>
        <v>55.091000999999999</v>
      </c>
      <c r="P1800" s="166"/>
      <c r="Q1800" s="166">
        <f t="shared" si="385"/>
        <v>2479.095045</v>
      </c>
      <c r="R1800" s="71"/>
    </row>
    <row r="1801" spans="1:18" s="61" customFormat="1" x14ac:dyDescent="0.25">
      <c r="A1801" s="358"/>
      <c r="B1801" s="361"/>
      <c r="C1801" s="366"/>
      <c r="D1801" s="255" t="s">
        <v>429</v>
      </c>
      <c r="E1801" s="156" t="s">
        <v>28</v>
      </c>
      <c r="F1801" s="156" t="s">
        <v>28</v>
      </c>
      <c r="G1801" s="238">
        <f t="shared" si="384"/>
        <v>9.1828999999999999E-4</v>
      </c>
      <c r="H1801" s="158">
        <f>H121</f>
        <v>49</v>
      </c>
      <c r="I1801" s="159">
        <f t="shared" si="386"/>
        <v>8.4332999999999999E-4</v>
      </c>
      <c r="J1801" s="160"/>
      <c r="K1801" s="161">
        <f t="shared" si="387"/>
        <v>45</v>
      </c>
      <c r="L1801" s="250">
        <v>1</v>
      </c>
      <c r="M1801" s="163" t="str">
        <f t="shared" si="379"/>
        <v>49 шт*0,00084333/45чел.</v>
      </c>
      <c r="N1801" s="164">
        <f t="shared" si="388"/>
        <v>53775.510204081635</v>
      </c>
      <c r="O1801" s="165">
        <f t="shared" si="381"/>
        <v>49.381512999999998</v>
      </c>
      <c r="P1801" s="166"/>
      <c r="Q1801" s="166">
        <f t="shared" si="385"/>
        <v>2222.1680849999998</v>
      </c>
      <c r="R1801" s="71"/>
    </row>
    <row r="1802" spans="1:18" s="62" customFormat="1" x14ac:dyDescent="0.25">
      <c r="A1802" s="358"/>
      <c r="B1802" s="361"/>
      <c r="C1802" s="249" t="s">
        <v>299</v>
      </c>
      <c r="D1802" s="256"/>
      <c r="E1802" s="240"/>
      <c r="F1802" s="240"/>
      <c r="G1802" s="227"/>
      <c r="H1802" s="241"/>
      <c r="I1802" s="206"/>
      <c r="J1802" s="228"/>
      <c r="K1802" s="207"/>
      <c r="L1802" s="257"/>
      <c r="M1802" s="209"/>
      <c r="N1802" s="210"/>
      <c r="O1802" s="198">
        <f>SUM(O1778:O1801)</f>
        <v>778.57403900000008</v>
      </c>
      <c r="P1802" s="267"/>
      <c r="Q1802" s="166"/>
      <c r="R1802" s="71"/>
    </row>
    <row r="1803" spans="1:18" s="61" customFormat="1" ht="110.25" x14ac:dyDescent="0.25">
      <c r="A1803" s="358"/>
      <c r="B1803" s="361"/>
      <c r="C1803" s="221" t="s">
        <v>82</v>
      </c>
      <c r="D1803" s="156" t="s">
        <v>46</v>
      </c>
      <c r="E1803" s="156" t="s">
        <v>54</v>
      </c>
      <c r="F1803" s="156" t="s">
        <v>285</v>
      </c>
      <c r="G1803" s="238">
        <f>MROUND(H1803*L1803*I1803/K1803,0.000001)</f>
        <v>0.21195699999999998</v>
      </c>
      <c r="H1803" s="242">
        <f>H1323</f>
        <v>1028.181818181818</v>
      </c>
      <c r="I1803" s="159">
        <f>I1801</f>
        <v>8.4332999999999999E-4</v>
      </c>
      <c r="J1803" s="160"/>
      <c r="K1803" s="161">
        <f>K1801</f>
        <v>45</v>
      </c>
      <c r="L1803" s="225">
        <f>L1563</f>
        <v>11</v>
      </c>
      <c r="M1803" s="163" t="str">
        <f>CONCATENATE(H1803," ",F1803,"*",L1803,"автобуса","*",I1803,"/",K1803,"чел.")</f>
        <v>1028,18181818182 л бензина АИ 92 (12,5л/день(зимой)*20дней*7мес+10л/день(летом)*20дней*4мес)*11автобуса*0,00084333/45чел.</v>
      </c>
      <c r="N1803" s="164">
        <f>N123</f>
        <v>54.500000000000007</v>
      </c>
      <c r="O1803" s="165">
        <f>MROUND(G1803*N1803,0.000001)</f>
        <v>11.551656999999999</v>
      </c>
      <c r="P1803" s="166"/>
      <c r="Q1803" s="166">
        <f t="shared" si="385"/>
        <v>519.82456499999989</v>
      </c>
      <c r="R1803" s="71"/>
    </row>
    <row r="1804" spans="1:18" s="62" customFormat="1" x14ac:dyDescent="0.25">
      <c r="A1804" s="358"/>
      <c r="B1804" s="361"/>
      <c r="C1804" s="218" t="s">
        <v>300</v>
      </c>
      <c r="D1804" s="240"/>
      <c r="E1804" s="240"/>
      <c r="F1804" s="240"/>
      <c r="G1804" s="227"/>
      <c r="H1804" s="241"/>
      <c r="I1804" s="206"/>
      <c r="J1804" s="228"/>
      <c r="K1804" s="207"/>
      <c r="L1804" s="257"/>
      <c r="M1804" s="209"/>
      <c r="N1804" s="210"/>
      <c r="O1804" s="198">
        <f>SUM(O1803)</f>
        <v>11.551656999999999</v>
      </c>
      <c r="P1804" s="267"/>
      <c r="Q1804" s="166"/>
      <c r="R1804" s="71"/>
    </row>
    <row r="1805" spans="1:18" s="61" customFormat="1" ht="47.25" x14ac:dyDescent="0.25">
      <c r="A1805" s="358"/>
      <c r="B1805" s="361"/>
      <c r="C1805" s="221" t="s">
        <v>434</v>
      </c>
      <c r="D1805" s="156" t="s">
        <v>436</v>
      </c>
      <c r="E1805" s="156" t="s">
        <v>28</v>
      </c>
      <c r="F1805" s="156" t="s">
        <v>437</v>
      </c>
      <c r="G1805" s="157">
        <f>MROUND(H1805*L1805*I1805/K1805,0.000001)</f>
        <v>5.4349999999999997E-3</v>
      </c>
      <c r="H1805" s="242">
        <f>$H$125</f>
        <v>290</v>
      </c>
      <c r="I1805" s="159">
        <f>I1803</f>
        <v>8.4332999999999999E-4</v>
      </c>
      <c r="J1805" s="160"/>
      <c r="K1805" s="161">
        <f>K1803</f>
        <v>45</v>
      </c>
      <c r="L1805" s="162">
        <v>1</v>
      </c>
      <c r="M1805" s="163" t="str">
        <f>CONCATENATE(H1805," ",F1805,"*",L1805,"автобуса","*",I1805,"/",K1805,"чел.")</f>
        <v>290 огнетушителей (потребность учреждений) *1автобуса*0,00084333/45чел.</v>
      </c>
      <c r="N1805" s="164">
        <f>$N$125</f>
        <v>2000</v>
      </c>
      <c r="O1805" s="165">
        <f>MROUND(G1805*N1805,0.000001)</f>
        <v>10.87</v>
      </c>
      <c r="P1805" s="166"/>
      <c r="Q1805" s="166">
        <f t="shared" si="385"/>
        <v>489.15</v>
      </c>
      <c r="R1805" s="71"/>
    </row>
    <row r="1806" spans="1:18" s="61" customFormat="1" x14ac:dyDescent="0.25">
      <c r="A1806" s="358"/>
      <c r="B1806" s="361"/>
      <c r="C1806" s="218" t="s">
        <v>435</v>
      </c>
      <c r="D1806" s="240"/>
      <c r="E1806" s="240"/>
      <c r="F1806" s="240"/>
      <c r="G1806" s="251"/>
      <c r="H1806" s="241"/>
      <c r="I1806" s="206"/>
      <c r="J1806" s="228"/>
      <c r="K1806" s="207"/>
      <c r="L1806" s="229"/>
      <c r="M1806" s="209"/>
      <c r="N1806" s="210"/>
      <c r="O1806" s="198">
        <f>SUM(O1805)</f>
        <v>10.87</v>
      </c>
      <c r="P1806" s="166"/>
      <c r="Q1806" s="166"/>
      <c r="R1806" s="71"/>
    </row>
    <row r="1807" spans="1:18" s="61" customFormat="1" ht="47.25" x14ac:dyDescent="0.25">
      <c r="A1807" s="358"/>
      <c r="B1807" s="361"/>
      <c r="C1807" s="364" t="s">
        <v>118</v>
      </c>
      <c r="D1807" s="156" t="s">
        <v>47</v>
      </c>
      <c r="E1807" s="156" t="s">
        <v>28</v>
      </c>
      <c r="F1807" s="156" t="s">
        <v>239</v>
      </c>
      <c r="G1807" s="238">
        <f>MROUND(H1807*L1807*I1807/K1807,0.00000001)</f>
        <v>2.6986599999999999E-3</v>
      </c>
      <c r="H1807" s="158">
        <f>H727</f>
        <v>144</v>
      </c>
      <c r="I1807" s="159">
        <f>I1803</f>
        <v>8.4332999999999999E-4</v>
      </c>
      <c r="J1807" s="160"/>
      <c r="K1807" s="161">
        <f>K1803</f>
        <v>45</v>
      </c>
      <c r="L1807" s="250">
        <v>1</v>
      </c>
      <c r="M1807" s="163" t="str">
        <f>CONCATENATE(H1807," ",F1807,"*",I1807,"/",K1807,"чел.")</f>
        <v>144 манометров (потребность учреждений) *0,00084333/45чел.</v>
      </c>
      <c r="N1807" s="164">
        <f>N127</f>
        <v>708.5</v>
      </c>
      <c r="O1807" s="165">
        <f>MROUND(G1807*N1807,0.000001)</f>
        <v>1.9120009999999998</v>
      </c>
      <c r="P1807" s="166"/>
      <c r="Q1807" s="166">
        <f t="shared" si="385"/>
        <v>86.040044999999992</v>
      </c>
      <c r="R1807" s="71"/>
    </row>
    <row r="1808" spans="1:18" s="61" customFormat="1" ht="47.25" x14ac:dyDescent="0.25">
      <c r="A1808" s="358"/>
      <c r="B1808" s="361"/>
      <c r="C1808" s="364"/>
      <c r="D1808" s="255" t="s">
        <v>113</v>
      </c>
      <c r="E1808" s="156" t="s">
        <v>28</v>
      </c>
      <c r="F1808" s="156" t="s">
        <v>240</v>
      </c>
      <c r="G1808" s="238">
        <f>MROUND(H1808*L1808*I1808/K1808,0.00000001)</f>
        <v>0.10710291</v>
      </c>
      <c r="H1808" s="158">
        <f>H368</f>
        <v>5715</v>
      </c>
      <c r="I1808" s="159">
        <f>I1807</f>
        <v>8.4332999999999999E-4</v>
      </c>
      <c r="J1808" s="160"/>
      <c r="K1808" s="161">
        <f>K1807</f>
        <v>45</v>
      </c>
      <c r="L1808" s="250">
        <v>1</v>
      </c>
      <c r="M1808" s="163" t="str">
        <f>CONCATENATE(H1808," ",F1808,"*",I1808,"/",K1808,"чел.")</f>
        <v>5715 светильников (потребность учреждений)*0,00084333/45чел.</v>
      </c>
      <c r="N1808" s="164">
        <f>N128</f>
        <v>106.27500087489064</v>
      </c>
      <c r="O1808" s="165">
        <f>MROUND(G1808*N1808,0.000001)</f>
        <v>11.382361999999999</v>
      </c>
      <c r="P1808" s="166"/>
      <c r="Q1808" s="166">
        <f t="shared" si="385"/>
        <v>512.20628999999997</v>
      </c>
      <c r="R1808" s="71"/>
    </row>
    <row r="1809" spans="1:18" s="62" customFormat="1" x14ac:dyDescent="0.25">
      <c r="A1809" s="359"/>
      <c r="B1809" s="362"/>
      <c r="C1809" s="218" t="s">
        <v>301</v>
      </c>
      <c r="D1809" s="256"/>
      <c r="E1809" s="240"/>
      <c r="F1809" s="240"/>
      <c r="G1809" s="227"/>
      <c r="H1809" s="241"/>
      <c r="I1809" s="206"/>
      <c r="J1809" s="228"/>
      <c r="K1809" s="207"/>
      <c r="L1809" s="257"/>
      <c r="M1809" s="209"/>
      <c r="N1809" s="210"/>
      <c r="O1809" s="198">
        <f>SUM(O1807:O1808)</f>
        <v>13.294362999999999</v>
      </c>
      <c r="P1809" s="267"/>
      <c r="Q1809" s="166"/>
      <c r="R1809" s="71"/>
    </row>
    <row r="1810" spans="1:18" s="61" customFormat="1" x14ac:dyDescent="0.25">
      <c r="A1810" s="357" t="str">
        <f>CONCATENATE(школы!$B$22,", ",школы!$C$22,", ",школы!$D$22)</f>
        <v>Реализация основных общеобразовательных программ среднего общего образования, образовательная программа, обеспечивающая углубленное изучение отдельных учебных предметов, предметных областей (профильное обучение), дети-инвалиды</v>
      </c>
      <c r="B1810" s="360" t="str">
        <f>школы!$A$22</f>
        <v>802112О.99.0.ББ11АО26001</v>
      </c>
      <c r="C1810" s="194"/>
      <c r="D1810" s="363" t="s">
        <v>15</v>
      </c>
      <c r="E1810" s="363"/>
      <c r="F1810" s="363"/>
      <c r="G1810" s="363"/>
      <c r="H1810" s="195"/>
      <c r="I1810" s="195"/>
      <c r="J1810" s="195"/>
      <c r="K1810" s="195"/>
      <c r="L1810" s="196"/>
      <c r="M1810" s="197"/>
      <c r="N1810" s="164"/>
      <c r="O1810" s="198">
        <f>O1811+O1816+O1818</f>
        <v>9601.3772992810009</v>
      </c>
      <c r="P1810" s="166"/>
      <c r="Q1810" s="166"/>
      <c r="R1810" s="71"/>
    </row>
    <row r="1811" spans="1:18" s="61" customFormat="1" x14ac:dyDescent="0.25">
      <c r="A1811" s="358"/>
      <c r="B1811" s="361"/>
      <c r="C1811" s="194"/>
      <c r="D1811" s="350" t="s">
        <v>62</v>
      </c>
      <c r="E1811" s="350"/>
      <c r="F1811" s="350"/>
      <c r="G1811" s="350"/>
      <c r="H1811" s="195"/>
      <c r="I1811" s="195"/>
      <c r="J1811" s="195"/>
      <c r="K1811" s="195"/>
      <c r="L1811" s="196"/>
      <c r="M1811" s="197"/>
      <c r="N1811" s="164"/>
      <c r="O1811" s="165">
        <f>O1813+O1815</f>
        <v>9601.3772992810009</v>
      </c>
      <c r="P1811" s="166"/>
      <c r="Q1811" s="166"/>
      <c r="R1811" s="71"/>
    </row>
    <row r="1812" spans="1:18" s="61" customFormat="1" x14ac:dyDescent="0.25">
      <c r="A1812" s="358"/>
      <c r="B1812" s="361"/>
      <c r="C1812" s="194">
        <v>211</v>
      </c>
      <c r="D1812" s="194" t="s">
        <v>86</v>
      </c>
      <c r="E1812" s="199" t="s">
        <v>95</v>
      </c>
      <c r="F1812" s="199" t="s">
        <v>95</v>
      </c>
      <c r="G1812" s="275">
        <f>MROUND(H1812*L1812*I1812/K1812,0.0000000001)</f>
        <v>0.59001468239999999</v>
      </c>
      <c r="H1812" s="201">
        <f>H972</f>
        <v>921.8</v>
      </c>
      <c r="I1812" s="159">
        <f>школы!$K$22</f>
        <v>5.3339000000000001E-4</v>
      </c>
      <c r="J1812" s="159"/>
      <c r="K1812" s="161">
        <f>школы!$G$22</f>
        <v>10</v>
      </c>
      <c r="L1812" s="202">
        <v>12</v>
      </c>
      <c r="M1812" s="163" t="str">
        <f>CONCATENATE(H1812," ",F1812," ","в мес.","*",L1812,"мес.","*",I1812,"/",K1812,"чел.")</f>
        <v>921,8 шт.ед в мес.*12мес.*0,00053339/10чел.</v>
      </c>
      <c r="N1812" s="164">
        <f>N972</f>
        <v>12498.552905979601</v>
      </c>
      <c r="O1812" s="165">
        <f>MROUND(G1812*N1812,0.000000001)</f>
        <v>7374.329723281</v>
      </c>
      <c r="P1812" s="166"/>
      <c r="Q1812" s="166">
        <f t="shared" si="385"/>
        <v>73743.29723281</v>
      </c>
      <c r="R1812" s="71"/>
    </row>
    <row r="1813" spans="1:18" s="62" customFormat="1" x14ac:dyDescent="0.25">
      <c r="A1813" s="358"/>
      <c r="B1813" s="361"/>
      <c r="C1813" s="203" t="s">
        <v>288</v>
      </c>
      <c r="D1813" s="203"/>
      <c r="E1813" s="204"/>
      <c r="F1813" s="204"/>
      <c r="G1813" s="205"/>
      <c r="H1813" s="206"/>
      <c r="I1813" s="206"/>
      <c r="J1813" s="206"/>
      <c r="K1813" s="207"/>
      <c r="L1813" s="208"/>
      <c r="M1813" s="209"/>
      <c r="N1813" s="210">
        <f>N1812</f>
        <v>12498.552905979601</v>
      </c>
      <c r="O1813" s="198">
        <f>O1812</f>
        <v>7374.329723281</v>
      </c>
      <c r="P1813" s="267"/>
      <c r="Q1813" s="166"/>
      <c r="R1813" s="71"/>
    </row>
    <row r="1814" spans="1:18" s="61" customFormat="1" x14ac:dyDescent="0.25">
      <c r="A1814" s="358"/>
      <c r="B1814" s="361"/>
      <c r="C1814" s="194">
        <v>213</v>
      </c>
      <c r="D1814" s="194" t="s">
        <v>87</v>
      </c>
      <c r="E1814" s="194" t="s">
        <v>88</v>
      </c>
      <c r="F1814" s="194"/>
      <c r="G1814" s="211">
        <v>30.2</v>
      </c>
      <c r="H1814" s="159"/>
      <c r="I1814" s="159"/>
      <c r="J1814" s="159"/>
      <c r="K1814" s="161">
        <f>K1812</f>
        <v>10</v>
      </c>
      <c r="L1814" s="202"/>
      <c r="M1814" s="212"/>
      <c r="N1814" s="164"/>
      <c r="O1814" s="165">
        <f>MROUND(O1812*0.302,0.000001)</f>
        <v>2227.0475759999999</v>
      </c>
      <c r="P1814" s="166"/>
      <c r="Q1814" s="166">
        <f>O1814*K1814</f>
        <v>22270.475760000001</v>
      </c>
      <c r="R1814" s="71"/>
    </row>
    <row r="1815" spans="1:18" s="62" customFormat="1" x14ac:dyDescent="0.25">
      <c r="A1815" s="358"/>
      <c r="B1815" s="361"/>
      <c r="C1815" s="203" t="s">
        <v>289</v>
      </c>
      <c r="D1815" s="203"/>
      <c r="E1815" s="203"/>
      <c r="F1815" s="203"/>
      <c r="G1815" s="213"/>
      <c r="H1815" s="214"/>
      <c r="I1815" s="206"/>
      <c r="J1815" s="214"/>
      <c r="K1815" s="207"/>
      <c r="L1815" s="215"/>
      <c r="M1815" s="216"/>
      <c r="N1815" s="210"/>
      <c r="O1815" s="198">
        <f>O1814</f>
        <v>2227.0475759999999</v>
      </c>
      <c r="P1815" s="267"/>
      <c r="Q1815" s="166"/>
      <c r="R1815" s="71"/>
    </row>
    <row r="1816" spans="1:18" s="61" customFormat="1" x14ac:dyDescent="0.25">
      <c r="A1816" s="358"/>
      <c r="B1816" s="361"/>
      <c r="C1816" s="194"/>
      <c r="D1816" s="356" t="s">
        <v>63</v>
      </c>
      <c r="E1816" s="356"/>
      <c r="F1816" s="356"/>
      <c r="G1816" s="356"/>
      <c r="H1816" s="195"/>
      <c r="I1816" s="159"/>
      <c r="J1816" s="195"/>
      <c r="K1816" s="161"/>
      <c r="L1816" s="196"/>
      <c r="M1816" s="197"/>
      <c r="N1816" s="164"/>
      <c r="O1816" s="165"/>
      <c r="P1816" s="166"/>
      <c r="Q1816" s="166"/>
      <c r="R1816" s="71"/>
    </row>
    <row r="1817" spans="1:18" s="61" customFormat="1" x14ac:dyDescent="0.25">
      <c r="A1817" s="358"/>
      <c r="B1817" s="361"/>
      <c r="C1817" s="194"/>
      <c r="D1817" s="194"/>
      <c r="E1817" s="194"/>
      <c r="F1817" s="194"/>
      <c r="G1817" s="217"/>
      <c r="H1817" s="195"/>
      <c r="I1817" s="159"/>
      <c r="J1817" s="195"/>
      <c r="K1817" s="161"/>
      <c r="L1817" s="196"/>
      <c r="M1817" s="197"/>
      <c r="N1817" s="164"/>
      <c r="O1817" s="165"/>
      <c r="P1817" s="166"/>
      <c r="Q1817" s="166"/>
      <c r="R1817" s="71"/>
    </row>
    <row r="1818" spans="1:18" s="61" customFormat="1" x14ac:dyDescent="0.25">
      <c r="A1818" s="358"/>
      <c r="B1818" s="361"/>
      <c r="C1818" s="194"/>
      <c r="D1818" s="350" t="s">
        <v>64</v>
      </c>
      <c r="E1818" s="350"/>
      <c r="F1818" s="350"/>
      <c r="G1818" s="350"/>
      <c r="H1818" s="195"/>
      <c r="I1818" s="159"/>
      <c r="J1818" s="195"/>
      <c r="K1818" s="161"/>
      <c r="L1818" s="196"/>
      <c r="M1818" s="197"/>
      <c r="N1818" s="164"/>
      <c r="O1818" s="165"/>
      <c r="P1818" s="166"/>
      <c r="Q1818" s="166"/>
      <c r="R1818" s="71"/>
    </row>
    <row r="1819" spans="1:18" s="61" customFormat="1" x14ac:dyDescent="0.25">
      <c r="A1819" s="358"/>
      <c r="B1819" s="361"/>
      <c r="C1819" s="194"/>
      <c r="D1819" s="194"/>
      <c r="E1819" s="194"/>
      <c r="F1819" s="194"/>
      <c r="G1819" s="217"/>
      <c r="H1819" s="195"/>
      <c r="I1819" s="159"/>
      <c r="J1819" s="195"/>
      <c r="K1819" s="161"/>
      <c r="L1819" s="196"/>
      <c r="M1819" s="197"/>
      <c r="N1819" s="164"/>
      <c r="O1819" s="165"/>
      <c r="P1819" s="166"/>
      <c r="Q1819" s="166"/>
      <c r="R1819" s="71"/>
    </row>
    <row r="1820" spans="1:18" s="61" customFormat="1" x14ac:dyDescent="0.25">
      <c r="A1820" s="358"/>
      <c r="B1820" s="361"/>
      <c r="C1820" s="194"/>
      <c r="D1820" s="355" t="s">
        <v>5</v>
      </c>
      <c r="E1820" s="355"/>
      <c r="F1820" s="355"/>
      <c r="G1820" s="355"/>
      <c r="H1820" s="195"/>
      <c r="I1820" s="159"/>
      <c r="J1820" s="195"/>
      <c r="K1820" s="161"/>
      <c r="L1820" s="196"/>
      <c r="M1820" s="197"/>
      <c r="N1820" s="164"/>
      <c r="O1820" s="198">
        <f>O1821+O1831+O1842+O1844+O1846+O1848+O1850</f>
        <v>51216.46909711387</v>
      </c>
      <c r="P1820" s="166"/>
      <c r="Q1820" s="166"/>
      <c r="R1820" s="71"/>
    </row>
    <row r="1821" spans="1:18" s="61" customFormat="1" x14ac:dyDescent="0.25">
      <c r="A1821" s="358"/>
      <c r="B1821" s="361"/>
      <c r="C1821" s="218" t="s">
        <v>70</v>
      </c>
      <c r="D1821" s="355" t="s">
        <v>6</v>
      </c>
      <c r="E1821" s="355"/>
      <c r="F1821" s="355"/>
      <c r="G1821" s="355"/>
      <c r="H1821" s="189"/>
      <c r="I1821" s="159"/>
      <c r="J1821" s="189"/>
      <c r="K1821" s="161"/>
      <c r="L1821" s="190"/>
      <c r="M1821" s="197"/>
      <c r="N1821" s="210"/>
      <c r="O1821" s="198">
        <f>O1830</f>
        <v>9227.4527923200003</v>
      </c>
      <c r="P1821" s="166"/>
      <c r="Q1821" s="166"/>
      <c r="R1821" s="71"/>
    </row>
    <row r="1822" spans="1:18" s="61" customFormat="1" ht="31.5" x14ac:dyDescent="0.25">
      <c r="A1822" s="358"/>
      <c r="B1822" s="361"/>
      <c r="C1822" s="221" t="s">
        <v>72</v>
      </c>
      <c r="D1822" s="222" t="s">
        <v>7</v>
      </c>
      <c r="E1822" s="223" t="s">
        <v>8</v>
      </c>
      <c r="F1822" s="223" t="s">
        <v>8</v>
      </c>
      <c r="G1822" s="238">
        <f>MROUND(H1822*L1822*I1822/K1822,0.00000000001)</f>
        <v>176.71858376448998</v>
      </c>
      <c r="H1822" s="160">
        <f>H1102</f>
        <v>3313121.4264326878</v>
      </c>
      <c r="I1822" s="159">
        <f>I1812</f>
        <v>5.3339000000000001E-4</v>
      </c>
      <c r="J1822" s="160"/>
      <c r="K1822" s="161">
        <f>K1812</f>
        <v>10</v>
      </c>
      <c r="L1822" s="250">
        <v>1</v>
      </c>
      <c r="M1822" s="163" t="str">
        <f t="shared" ref="M1822:M1827" si="389">CONCATENATE(H1822," ",F1822,"(лимиты выделенные УЖКХ) ","*",I1822,"/",K1822,"чел.")</f>
        <v>3313121,42643269 кВт час.(лимиты выделенные УЖКХ) *0,00053339/10чел.</v>
      </c>
      <c r="N1822" s="164">
        <f>N1102</f>
        <v>10.418446162163715</v>
      </c>
      <c r="O1822" s="165">
        <f t="shared" ref="O1822:O1829" si="390">MROUND(G1822*N1822,0.000001)</f>
        <v>1841.133051</v>
      </c>
      <c r="P1822" s="166"/>
      <c r="Q1822" s="166">
        <f t="shared" si="385"/>
        <v>18411.33051</v>
      </c>
      <c r="R1822" s="71"/>
    </row>
    <row r="1823" spans="1:18" s="61" customFormat="1" ht="31.5" x14ac:dyDescent="0.25">
      <c r="A1823" s="358"/>
      <c r="B1823" s="361"/>
      <c r="C1823" s="221" t="s">
        <v>73</v>
      </c>
      <c r="D1823" s="222" t="s">
        <v>9</v>
      </c>
      <c r="E1823" s="223" t="s">
        <v>10</v>
      </c>
      <c r="F1823" s="223" t="s">
        <v>10</v>
      </c>
      <c r="G1823" s="238">
        <f>MROUND(H1823*L1823*I1823/K1823,0.00000000001)</f>
        <v>1.7013748852099999</v>
      </c>
      <c r="H1823" s="160">
        <f>H743</f>
        <v>31897.39</v>
      </c>
      <c r="I1823" s="159">
        <f t="shared" ref="I1823:I1875" si="391">I1822</f>
        <v>5.3339000000000001E-4</v>
      </c>
      <c r="J1823" s="160"/>
      <c r="K1823" s="161">
        <f t="shared" ref="K1823:K1829" si="392">K1822</f>
        <v>10</v>
      </c>
      <c r="L1823" s="250">
        <v>1</v>
      </c>
      <c r="M1823" s="163" t="str">
        <f t="shared" si="389"/>
        <v>31897,39 Гкал(лимиты выделенные УЖКХ) *0,00053339/10чел.</v>
      </c>
      <c r="N1823" s="164">
        <f>N743</f>
        <v>2845.3650600830792</v>
      </c>
      <c r="O1823" s="165">
        <f t="shared" si="390"/>
        <v>4841.0326519999999</v>
      </c>
      <c r="P1823" s="166"/>
      <c r="Q1823" s="166">
        <f t="shared" si="385"/>
        <v>48410.326520000002</v>
      </c>
      <c r="R1823" s="71"/>
    </row>
    <row r="1824" spans="1:18" s="61" customFormat="1" ht="31.5" x14ac:dyDescent="0.25">
      <c r="A1824" s="358"/>
      <c r="B1824" s="361"/>
      <c r="C1824" s="364" t="s">
        <v>74</v>
      </c>
      <c r="D1824" s="222" t="s">
        <v>12</v>
      </c>
      <c r="E1824" s="222" t="s">
        <v>11</v>
      </c>
      <c r="F1824" s="222" t="s">
        <v>11</v>
      </c>
      <c r="G1824" s="238">
        <f>MROUND(H1824*L1824*I1824/K1824,0.00000000001)</f>
        <v>9.853055842629999</v>
      </c>
      <c r="H1824" s="224">
        <f>H24</f>
        <v>184725.17</v>
      </c>
      <c r="I1824" s="159">
        <f t="shared" si="391"/>
        <v>5.3339000000000001E-4</v>
      </c>
      <c r="J1824" s="160"/>
      <c r="K1824" s="161">
        <f t="shared" si="392"/>
        <v>10</v>
      </c>
      <c r="L1824" s="250">
        <v>1</v>
      </c>
      <c r="M1824" s="163" t="str">
        <f t="shared" si="389"/>
        <v>184725,17 м3(лимиты выделенные УЖКХ) *0,00053339/10чел.</v>
      </c>
      <c r="N1824" s="164">
        <f>N24</f>
        <v>51.830000102314166</v>
      </c>
      <c r="O1824" s="165">
        <f t="shared" si="390"/>
        <v>510.68388499999998</v>
      </c>
      <c r="P1824" s="166"/>
      <c r="Q1824" s="166">
        <f t="shared" si="385"/>
        <v>5106.8388500000001</v>
      </c>
      <c r="R1824" s="71"/>
    </row>
    <row r="1825" spans="1:18" s="61" customFormat="1" ht="47.25" x14ac:dyDescent="0.25">
      <c r="A1825" s="358"/>
      <c r="B1825" s="361"/>
      <c r="C1825" s="364"/>
      <c r="D1825" s="222" t="s">
        <v>17</v>
      </c>
      <c r="E1825" s="222" t="s">
        <v>11</v>
      </c>
      <c r="F1825" s="222" t="s">
        <v>11</v>
      </c>
      <c r="G1825" s="238">
        <f>MROUND(H1825*L1825*I1825/K1825,0.00000000001)</f>
        <v>9.853055842629999</v>
      </c>
      <c r="H1825" s="160">
        <f>H745</f>
        <v>184725.17</v>
      </c>
      <c r="I1825" s="159">
        <f t="shared" si="391"/>
        <v>5.3339000000000001E-4</v>
      </c>
      <c r="J1825" s="160"/>
      <c r="K1825" s="161">
        <f t="shared" si="392"/>
        <v>10</v>
      </c>
      <c r="L1825" s="162">
        <f>$L$25</f>
        <v>1</v>
      </c>
      <c r="M1825" s="163" t="str">
        <f t="shared" si="389"/>
        <v>184725,17 м3(лимиты выделенные УЖКХ) *0,00053339/10чел.</v>
      </c>
      <c r="N1825" s="164">
        <f>N25</f>
        <v>78.76115753094173</v>
      </c>
      <c r="O1825" s="165">
        <f t="shared" si="390"/>
        <v>776.03808299999992</v>
      </c>
      <c r="P1825" s="166"/>
      <c r="Q1825" s="166">
        <f t="shared" si="385"/>
        <v>7760.3808299999992</v>
      </c>
      <c r="R1825" s="71"/>
    </row>
    <row r="1826" spans="1:18" s="61" customFormat="1" ht="31.5" x14ac:dyDescent="0.25">
      <c r="A1826" s="358"/>
      <c r="B1826" s="361"/>
      <c r="C1826" s="364"/>
      <c r="D1826" s="222" t="s">
        <v>13</v>
      </c>
      <c r="E1826" s="222" t="s">
        <v>11</v>
      </c>
      <c r="F1826" s="222" t="s">
        <v>11</v>
      </c>
      <c r="G1826" s="238">
        <f>MROUND(H1826*L1826*I1826/K1826,0.00000000001)</f>
        <v>9.853055842629999</v>
      </c>
      <c r="H1826" s="160">
        <f>H26</f>
        <v>184725.17</v>
      </c>
      <c r="I1826" s="159">
        <f t="shared" si="391"/>
        <v>5.3339000000000001E-4</v>
      </c>
      <c r="J1826" s="160"/>
      <c r="K1826" s="161">
        <f t="shared" si="392"/>
        <v>10</v>
      </c>
      <c r="L1826" s="162">
        <v>1</v>
      </c>
      <c r="M1826" s="163" t="str">
        <f t="shared" si="389"/>
        <v>184725,17 м3(лимиты выделенные УЖКХ) *0,00053339/10чел.</v>
      </c>
      <c r="N1826" s="164">
        <f>N26</f>
        <v>107.41979263410609</v>
      </c>
      <c r="O1826" s="165">
        <f>MROUND(G1826*N1826,0.00000001)</f>
        <v>1058.41321543</v>
      </c>
      <c r="P1826" s="166"/>
      <c r="Q1826" s="166">
        <f t="shared" si="385"/>
        <v>10584.132154300001</v>
      </c>
      <c r="R1826" s="71"/>
    </row>
    <row r="1827" spans="1:18" s="61" customFormat="1" ht="31.5" x14ac:dyDescent="0.25">
      <c r="A1827" s="358"/>
      <c r="B1827" s="361"/>
      <c r="C1827" s="221" t="s">
        <v>75</v>
      </c>
      <c r="D1827" s="222" t="s">
        <v>18</v>
      </c>
      <c r="E1827" s="222" t="s">
        <v>48</v>
      </c>
      <c r="F1827" s="222" t="s">
        <v>48</v>
      </c>
      <c r="G1827" s="238">
        <f>MROUND(H1827*L1827*I1827/K1827,0.0000000001)</f>
        <v>0.74075069640000002</v>
      </c>
      <c r="H1827" s="160">
        <f>H27</f>
        <v>13887.6</v>
      </c>
      <c r="I1827" s="159">
        <f t="shared" si="391"/>
        <v>5.3339000000000001E-4</v>
      </c>
      <c r="J1827" s="160"/>
      <c r="K1827" s="161">
        <f t="shared" si="392"/>
        <v>10</v>
      </c>
      <c r="L1827" s="250">
        <v>1</v>
      </c>
      <c r="M1827" s="163" t="str">
        <f t="shared" si="389"/>
        <v>13887,6 тыс. м3(лимиты выделенные УЖКХ) *0,00053339/10чел.</v>
      </c>
      <c r="N1827" s="164">
        <f>N27</f>
        <v>29.231582850888564</v>
      </c>
      <c r="O1827" s="165">
        <f t="shared" si="390"/>
        <v>21.653314999999999</v>
      </c>
      <c r="P1827" s="166"/>
      <c r="Q1827" s="166">
        <f t="shared" si="385"/>
        <v>216.53314999999998</v>
      </c>
      <c r="R1827" s="71"/>
    </row>
    <row r="1828" spans="1:18" s="61" customFormat="1" x14ac:dyDescent="0.25">
      <c r="A1828" s="358"/>
      <c r="B1828" s="361"/>
      <c r="C1828" s="364" t="s">
        <v>216</v>
      </c>
      <c r="D1828" s="222" t="s">
        <v>23</v>
      </c>
      <c r="E1828" s="222" t="s">
        <v>11</v>
      </c>
      <c r="F1828" s="222" t="s">
        <v>11</v>
      </c>
      <c r="G1828" s="238">
        <f>MROUND(H1828*L1828*I1828/K1828,0.000000000001)</f>
        <v>0.17967988896000001</v>
      </c>
      <c r="H1828" s="160">
        <f>H28</f>
        <v>3368.6400000000003</v>
      </c>
      <c r="I1828" s="159">
        <f t="shared" si="391"/>
        <v>5.3339000000000001E-4</v>
      </c>
      <c r="J1828" s="160"/>
      <c r="K1828" s="161">
        <f t="shared" si="392"/>
        <v>10</v>
      </c>
      <c r="L1828" s="162">
        <f>L1827</f>
        <v>1</v>
      </c>
      <c r="M1828" s="163" t="str">
        <f>CONCATENATE(H1828," ",F1828," ","*",I1828,"/",K1828,"чел.")</f>
        <v>3368,64 м3 *0,00053339/10чел.</v>
      </c>
      <c r="N1828" s="164">
        <f>N28</f>
        <v>742.21370939013957</v>
      </c>
      <c r="O1828" s="165">
        <f>MROUND(G1828*N1828,0.00000001)</f>
        <v>133.36087689000001</v>
      </c>
      <c r="P1828" s="166"/>
      <c r="Q1828" s="166">
        <f t="shared" si="385"/>
        <v>1333.6087689000001</v>
      </c>
      <c r="R1828" s="71"/>
    </row>
    <row r="1829" spans="1:18" s="61" customFormat="1" ht="47.25" x14ac:dyDescent="0.25">
      <c r="A1829" s="358"/>
      <c r="B1829" s="361"/>
      <c r="C1829" s="364"/>
      <c r="D1829" s="222" t="s">
        <v>24</v>
      </c>
      <c r="E1829" s="222" t="s">
        <v>25</v>
      </c>
      <c r="F1829" s="222" t="s">
        <v>217</v>
      </c>
      <c r="G1829" s="238">
        <f>MROUND(H1829*L1829*I1829/K1829,0.000000000001)</f>
        <v>7.8408330000000002E-3</v>
      </c>
      <c r="H1829" s="160">
        <f>H1109</f>
        <v>147</v>
      </c>
      <c r="I1829" s="159">
        <f t="shared" si="391"/>
        <v>5.3339000000000001E-4</v>
      </c>
      <c r="J1829" s="160"/>
      <c r="K1829" s="161">
        <f t="shared" si="392"/>
        <v>10</v>
      </c>
      <c r="L1829" s="250">
        <f>L1828</f>
        <v>1</v>
      </c>
      <c r="M1829" s="163" t="str">
        <f>CONCATENATE(H1829," ",F1829,"(потребность из расчета 4 контейнера для уборки территории весной и осенью на 1 учреждение)","*",I1829,"/",K1829,"чел.")</f>
        <v>147 контейнера(потребность из расчета 4 контейнера для уборки территории весной и осенью на 1 учреждение)*0,00053339/10чел.</v>
      </c>
      <c r="N1829" s="164">
        <f>N1109</f>
        <v>5756.7497959183638</v>
      </c>
      <c r="O1829" s="165">
        <f t="shared" si="390"/>
        <v>45.137713999999995</v>
      </c>
      <c r="P1829" s="166"/>
      <c r="Q1829" s="166">
        <f t="shared" si="385"/>
        <v>451.37713999999994</v>
      </c>
      <c r="R1829" s="71"/>
    </row>
    <row r="1830" spans="1:18" s="62" customFormat="1" x14ac:dyDescent="0.25">
      <c r="A1830" s="358"/>
      <c r="B1830" s="361"/>
      <c r="C1830" s="218" t="s">
        <v>290</v>
      </c>
      <c r="D1830" s="226"/>
      <c r="E1830" s="226"/>
      <c r="F1830" s="226"/>
      <c r="G1830" s="227"/>
      <c r="H1830" s="228"/>
      <c r="I1830" s="206"/>
      <c r="J1830" s="228"/>
      <c r="K1830" s="207"/>
      <c r="L1830" s="257"/>
      <c r="M1830" s="209"/>
      <c r="N1830" s="210"/>
      <c r="O1830" s="198">
        <f>SUM(O1822:O1829)</f>
        <v>9227.4527923200003</v>
      </c>
      <c r="P1830" s="267"/>
      <c r="Q1830" s="166"/>
      <c r="R1830" s="71"/>
    </row>
    <row r="1831" spans="1:18" s="61" customFormat="1" x14ac:dyDescent="0.25">
      <c r="A1831" s="358"/>
      <c r="B1831" s="361"/>
      <c r="C1831" s="221"/>
      <c r="D1831" s="356" t="s">
        <v>14</v>
      </c>
      <c r="E1831" s="356"/>
      <c r="F1831" s="356"/>
      <c r="G1831" s="356"/>
      <c r="H1831" s="188"/>
      <c r="I1831" s="159"/>
      <c r="J1831" s="188"/>
      <c r="K1831" s="161"/>
      <c r="L1831" s="250"/>
      <c r="M1831" s="230"/>
      <c r="N1831" s="164"/>
      <c r="O1831" s="198">
        <f>O1839+O1840+O1835</f>
        <v>38428.862054153869</v>
      </c>
      <c r="P1831" s="166"/>
      <c r="Q1831" s="166"/>
      <c r="R1831" s="71"/>
    </row>
    <row r="1832" spans="1:18" s="61" customFormat="1" x14ac:dyDescent="0.25">
      <c r="A1832" s="358"/>
      <c r="B1832" s="361"/>
      <c r="C1832" s="221" t="s">
        <v>379</v>
      </c>
      <c r="D1832" s="231" t="s">
        <v>49</v>
      </c>
      <c r="E1832" s="231" t="s">
        <v>22</v>
      </c>
      <c r="F1832" s="231" t="s">
        <v>22</v>
      </c>
      <c r="G1832" s="238">
        <f>MROUND(H1832*L1832*I1832/K1832,0.000000001)</f>
        <v>0</v>
      </c>
      <c r="H1832" s="160"/>
      <c r="I1832" s="159">
        <f>I1827</f>
        <v>5.3339000000000001E-4</v>
      </c>
      <c r="J1832" s="160"/>
      <c r="K1832" s="161">
        <f>K1827</f>
        <v>10</v>
      </c>
      <c r="L1832" s="250"/>
      <c r="M1832" s="163"/>
      <c r="N1832" s="164">
        <f>N992</f>
        <v>0</v>
      </c>
      <c r="O1832" s="165">
        <f>MROUND(G1832*N1832,0.00000001)</f>
        <v>0</v>
      </c>
      <c r="P1832" s="166"/>
      <c r="Q1832" s="166">
        <f t="shared" si="385"/>
        <v>0</v>
      </c>
      <c r="R1832" s="71"/>
    </row>
    <row r="1833" spans="1:18" s="61" customFormat="1" x14ac:dyDescent="0.25">
      <c r="A1833" s="358"/>
      <c r="B1833" s="361"/>
      <c r="C1833" s="221" t="s">
        <v>379</v>
      </c>
      <c r="D1833" s="231" t="s">
        <v>49</v>
      </c>
      <c r="E1833" s="231" t="s">
        <v>28</v>
      </c>
      <c r="F1833" s="231" t="s">
        <v>28</v>
      </c>
      <c r="G1833" s="238">
        <f>MROUND(H1833*L1833*I1833/K1833,0.000000001)</f>
        <v>2.6669500000000001E-4</v>
      </c>
      <c r="H1833" s="160">
        <f>H993</f>
        <v>5</v>
      </c>
      <c r="I1833" s="159">
        <f t="shared" si="391"/>
        <v>5.3339000000000001E-4</v>
      </c>
      <c r="J1833" s="160"/>
      <c r="K1833" s="161">
        <f>K1832</f>
        <v>10</v>
      </c>
      <c r="L1833" s="250">
        <v>1</v>
      </c>
      <c r="M1833" s="163" t="str">
        <f>CONCATENATE(H1833," ",F1833,"*",I1833,"/",K1833,"чел.")</f>
        <v>5 шт*0,00053339/10чел.</v>
      </c>
      <c r="N1833" s="164">
        <f>N993</f>
        <v>28120000</v>
      </c>
      <c r="O1833" s="165">
        <f>MROUND(G1833*N1833,0.00000001)</f>
        <v>7499.4634000000005</v>
      </c>
      <c r="P1833" s="166"/>
      <c r="Q1833" s="166">
        <f t="shared" si="385"/>
        <v>74994.634000000005</v>
      </c>
      <c r="R1833" s="71"/>
    </row>
    <row r="1834" spans="1:18" s="61" customFormat="1" x14ac:dyDescent="0.25">
      <c r="A1834" s="358"/>
      <c r="B1834" s="361"/>
      <c r="C1834" s="221" t="s">
        <v>379</v>
      </c>
      <c r="D1834" s="231" t="s">
        <v>49</v>
      </c>
      <c r="E1834" s="231" t="s">
        <v>101</v>
      </c>
      <c r="F1834" s="231" t="s">
        <v>101</v>
      </c>
      <c r="G1834" s="238">
        <f>MROUND(H1834*L1834*I1834/K1834,0.000000001)</f>
        <v>0</v>
      </c>
      <c r="H1834" s="160"/>
      <c r="I1834" s="159">
        <f t="shared" si="391"/>
        <v>5.3339000000000001E-4</v>
      </c>
      <c r="J1834" s="160"/>
      <c r="K1834" s="161">
        <f>K1833</f>
        <v>10</v>
      </c>
      <c r="L1834" s="250"/>
      <c r="M1834" s="163"/>
      <c r="N1834" s="164">
        <f>N994</f>
        <v>0</v>
      </c>
      <c r="O1834" s="165">
        <f>MROUND(G1834*N1834,0.00000001)</f>
        <v>0</v>
      </c>
      <c r="P1834" s="166"/>
      <c r="Q1834" s="166">
        <f t="shared" si="385"/>
        <v>0</v>
      </c>
      <c r="R1834" s="71"/>
    </row>
    <row r="1835" spans="1:18" s="62" customFormat="1" x14ac:dyDescent="0.25">
      <c r="A1835" s="358"/>
      <c r="B1835" s="361"/>
      <c r="C1835" s="218" t="s">
        <v>380</v>
      </c>
      <c r="D1835" s="232"/>
      <c r="E1835" s="232"/>
      <c r="F1835" s="232"/>
      <c r="G1835" s="227"/>
      <c r="H1835" s="228"/>
      <c r="I1835" s="206"/>
      <c r="J1835" s="228"/>
      <c r="K1835" s="207"/>
      <c r="L1835" s="257"/>
      <c r="M1835" s="209"/>
      <c r="N1835" s="210"/>
      <c r="O1835" s="198">
        <f>SUM(O1832:O1834)</f>
        <v>7499.4634000000005</v>
      </c>
      <c r="P1835" s="267"/>
      <c r="Q1835" s="166"/>
      <c r="R1835" s="71"/>
    </row>
    <row r="1836" spans="1:18" s="61" customFormat="1" x14ac:dyDescent="0.25">
      <c r="A1836" s="358"/>
      <c r="B1836" s="361"/>
      <c r="C1836" s="221" t="s">
        <v>76</v>
      </c>
      <c r="D1836" s="231" t="s">
        <v>49</v>
      </c>
      <c r="E1836" s="231" t="s">
        <v>22</v>
      </c>
      <c r="F1836" s="231" t="s">
        <v>22</v>
      </c>
      <c r="G1836" s="238">
        <f>MROUND(H1836*L1836*I1836/K1836,0.000000000000001)</f>
        <v>3.9053226297800001</v>
      </c>
      <c r="H1836" s="160">
        <f>H996</f>
        <v>73217.02</v>
      </c>
      <c r="I1836" s="159">
        <f>I1832</f>
        <v>5.3339000000000001E-4</v>
      </c>
      <c r="J1836" s="160"/>
      <c r="K1836" s="161">
        <f>K1834</f>
        <v>10</v>
      </c>
      <c r="L1836" s="250">
        <v>1</v>
      </c>
      <c r="M1836" s="163" t="str">
        <f>CONCATENATE(H1836," ",F1836,"*",I1836,"/",K1836,"чел.")</f>
        <v>73217,02 м2*0,00053339/10чел.</v>
      </c>
      <c r="N1836" s="164">
        <f>N996</f>
        <v>3335.1026185604301</v>
      </c>
      <c r="O1836" s="165">
        <f>MROUND(G1836*N1836,0.00000000001)</f>
        <v>13024.651728902589</v>
      </c>
      <c r="P1836" s="166"/>
      <c r="Q1836" s="166">
        <f t="shared" si="385"/>
        <v>130246.51728902588</v>
      </c>
      <c r="R1836" s="71"/>
    </row>
    <row r="1837" spans="1:18" s="61" customFormat="1" x14ac:dyDescent="0.25">
      <c r="A1837" s="358"/>
      <c r="B1837" s="361"/>
      <c r="C1837" s="221"/>
      <c r="D1837" s="231" t="s">
        <v>49</v>
      </c>
      <c r="E1837" s="231" t="s">
        <v>28</v>
      </c>
      <c r="F1837" s="231" t="s">
        <v>28</v>
      </c>
      <c r="G1837" s="238">
        <f>MROUND(H1837*L1837*I1837/K1837,0.00000000001)</f>
        <v>0.22135684999999999</v>
      </c>
      <c r="H1837" s="160">
        <f>H997</f>
        <v>4150</v>
      </c>
      <c r="I1837" s="159">
        <f t="shared" si="391"/>
        <v>5.3339000000000001E-4</v>
      </c>
      <c r="J1837" s="160"/>
      <c r="K1837" s="161">
        <f>K1836</f>
        <v>10</v>
      </c>
      <c r="L1837" s="250">
        <v>1</v>
      </c>
      <c r="M1837" s="163" t="str">
        <f>CONCATENATE(H1837," ",F1837,"*",I1837,"/",K1837,"чел.")</f>
        <v>4150 шт*0,00053339/10чел.</v>
      </c>
      <c r="N1837" s="164">
        <f>N997</f>
        <v>71617.619331325302</v>
      </c>
      <c r="O1837" s="165">
        <f>MROUND(G1837*N1837,0.00000000001)</f>
        <v>15853.050619681278</v>
      </c>
      <c r="P1837" s="166"/>
      <c r="Q1837" s="166">
        <f t="shared" si="385"/>
        <v>158530.50619681278</v>
      </c>
      <c r="R1837" s="71"/>
    </row>
    <row r="1838" spans="1:18" s="61" customFormat="1" x14ac:dyDescent="0.25">
      <c r="A1838" s="358"/>
      <c r="B1838" s="361"/>
      <c r="C1838" s="221"/>
      <c r="D1838" s="231" t="s">
        <v>49</v>
      </c>
      <c r="E1838" s="231" t="s">
        <v>101</v>
      </c>
      <c r="F1838" s="231" t="s">
        <v>101</v>
      </c>
      <c r="G1838" s="238">
        <f>MROUND(H1838*L1838*I1838/K1838,0.000000001)</f>
        <v>0.76136088600000007</v>
      </c>
      <c r="H1838" s="160">
        <f>H998</f>
        <v>14274</v>
      </c>
      <c r="I1838" s="159">
        <f t="shared" si="391"/>
        <v>5.3339000000000001E-4</v>
      </c>
      <c r="J1838" s="160"/>
      <c r="K1838" s="161">
        <f>K1837</f>
        <v>10</v>
      </c>
      <c r="L1838" s="250">
        <v>1</v>
      </c>
      <c r="M1838" s="163" t="str">
        <f>CONCATENATE(H1838," ",F1838,"*",I1838,"/",K1838,"чел.")</f>
        <v>14274 погон.м.*0,00053339/10чел.</v>
      </c>
      <c r="N1838" s="164">
        <f>N998</f>
        <v>2694.7750315258509</v>
      </c>
      <c r="O1838" s="165">
        <f>MROUND(G1838*N1838,0.00000001)</f>
        <v>2051.6963055699998</v>
      </c>
      <c r="P1838" s="166"/>
      <c r="Q1838" s="166">
        <f t="shared" si="385"/>
        <v>20516.963055699998</v>
      </c>
      <c r="R1838" s="71"/>
    </row>
    <row r="1839" spans="1:18" s="62" customFormat="1" x14ac:dyDescent="0.25">
      <c r="A1839" s="358"/>
      <c r="B1839" s="361"/>
      <c r="C1839" s="218" t="s">
        <v>291</v>
      </c>
      <c r="D1839" s="232"/>
      <c r="E1839" s="232"/>
      <c r="F1839" s="232"/>
      <c r="G1839" s="227"/>
      <c r="H1839" s="228"/>
      <c r="I1839" s="206"/>
      <c r="J1839" s="228"/>
      <c r="K1839" s="207"/>
      <c r="L1839" s="257"/>
      <c r="M1839" s="209"/>
      <c r="N1839" s="210"/>
      <c r="O1839" s="198">
        <f>SUM(O1836:O1838)</f>
        <v>30929.398654153865</v>
      </c>
      <c r="P1839" s="267"/>
      <c r="Q1839" s="166"/>
      <c r="R1839" s="71"/>
    </row>
    <row r="1840" spans="1:18" s="61" customFormat="1" x14ac:dyDescent="0.25">
      <c r="A1840" s="358"/>
      <c r="B1840" s="361"/>
      <c r="C1840" s="221" t="s">
        <v>77</v>
      </c>
      <c r="D1840" s="231"/>
      <c r="E1840" s="231"/>
      <c r="F1840" s="231"/>
      <c r="G1840" s="238">
        <f>MROUND(H1840*L1840*I1840/K1840,0.00000000001)</f>
        <v>0</v>
      </c>
      <c r="H1840" s="160">
        <f>H1600</f>
        <v>0</v>
      </c>
      <c r="I1840" s="159">
        <f>I1838</f>
        <v>5.3339000000000001E-4</v>
      </c>
      <c r="J1840" s="160"/>
      <c r="K1840" s="161">
        <f>K1838</f>
        <v>10</v>
      </c>
      <c r="L1840" s="250"/>
      <c r="M1840" s="163"/>
      <c r="N1840" s="164">
        <f>N1600</f>
        <v>0</v>
      </c>
      <c r="O1840" s="165">
        <f>MROUND(G1840*N1840,0.000000001)</f>
        <v>0</v>
      </c>
      <c r="P1840" s="166"/>
      <c r="Q1840" s="166">
        <f t="shared" si="385"/>
        <v>0</v>
      </c>
      <c r="R1840" s="71"/>
    </row>
    <row r="1841" spans="1:41" s="62" customFormat="1" x14ac:dyDescent="0.25">
      <c r="A1841" s="358"/>
      <c r="B1841" s="361"/>
      <c r="C1841" s="218" t="s">
        <v>292</v>
      </c>
      <c r="D1841" s="232"/>
      <c r="E1841" s="232"/>
      <c r="F1841" s="232"/>
      <c r="G1841" s="227"/>
      <c r="H1841" s="228"/>
      <c r="I1841" s="206"/>
      <c r="J1841" s="228"/>
      <c r="K1841" s="207"/>
      <c r="L1841" s="257"/>
      <c r="M1841" s="209"/>
      <c r="N1841" s="210"/>
      <c r="O1841" s="198">
        <f>O1840</f>
        <v>0</v>
      </c>
      <c r="P1841" s="267"/>
      <c r="Q1841" s="166"/>
      <c r="R1841" s="71"/>
    </row>
    <row r="1842" spans="1:41" s="61" customFormat="1" x14ac:dyDescent="0.25">
      <c r="A1842" s="358"/>
      <c r="B1842" s="361"/>
      <c r="C1842" s="221"/>
      <c r="D1842" s="350" t="s">
        <v>65</v>
      </c>
      <c r="E1842" s="350"/>
      <c r="F1842" s="350"/>
      <c r="G1842" s="350"/>
      <c r="H1842" s="195"/>
      <c r="I1842" s="159"/>
      <c r="J1842" s="195"/>
      <c r="K1842" s="161"/>
      <c r="L1842" s="196"/>
      <c r="M1842" s="230"/>
      <c r="N1842" s="164"/>
      <c r="O1842" s="165">
        <f t="shared" ref="O1842:O1849" si="393">MROUND(G1842*N1842,0.000001)</f>
        <v>0</v>
      </c>
      <c r="P1842" s="166"/>
      <c r="Q1842" s="166"/>
      <c r="R1842" s="71"/>
    </row>
    <row r="1843" spans="1:41" s="61" customFormat="1" x14ac:dyDescent="0.25">
      <c r="A1843" s="358"/>
      <c r="B1843" s="361"/>
      <c r="C1843" s="221"/>
      <c r="D1843" s="194"/>
      <c r="E1843" s="194"/>
      <c r="F1843" s="194"/>
      <c r="G1843" s="217"/>
      <c r="H1843" s="195"/>
      <c r="I1843" s="159"/>
      <c r="J1843" s="195"/>
      <c r="K1843" s="161"/>
      <c r="L1843" s="196"/>
      <c r="M1843" s="230"/>
      <c r="N1843" s="164"/>
      <c r="O1843" s="165">
        <f t="shared" si="393"/>
        <v>0</v>
      </c>
      <c r="P1843" s="166"/>
      <c r="Q1843" s="166"/>
      <c r="R1843" s="71"/>
    </row>
    <row r="1844" spans="1:41" s="61" customFormat="1" x14ac:dyDescent="0.25">
      <c r="A1844" s="358"/>
      <c r="B1844" s="361"/>
      <c r="C1844" s="221" t="s">
        <v>357</v>
      </c>
      <c r="D1844" s="368" t="s">
        <v>66</v>
      </c>
      <c r="E1844" s="368"/>
      <c r="F1844" s="368"/>
      <c r="G1844" s="368"/>
      <c r="H1844" s="195"/>
      <c r="I1844" s="159"/>
      <c r="J1844" s="195"/>
      <c r="K1844" s="161"/>
      <c r="L1844" s="234"/>
      <c r="M1844" s="230"/>
      <c r="N1844" s="164"/>
      <c r="O1844" s="198">
        <f>O1845</f>
        <v>9.6474119999999992</v>
      </c>
      <c r="P1844" s="166"/>
      <c r="Q1844" s="166"/>
      <c r="R1844" s="71"/>
    </row>
    <row r="1845" spans="1:41" s="61" customFormat="1" ht="47.25" x14ac:dyDescent="0.25">
      <c r="A1845" s="358"/>
      <c r="B1845" s="361"/>
      <c r="C1845" s="221"/>
      <c r="D1845" s="222" t="s">
        <v>374</v>
      </c>
      <c r="E1845" s="194" t="s">
        <v>28</v>
      </c>
      <c r="F1845" s="194" t="s">
        <v>28</v>
      </c>
      <c r="G1845" s="217">
        <f>MROUND(H1845*L1845*I1845/K1845,0.000000001)</f>
        <v>7.6808160000000009E-3</v>
      </c>
      <c r="H1845" s="201">
        <f>H1245</f>
        <v>36</v>
      </c>
      <c r="I1845" s="159">
        <f>I1840</f>
        <v>5.3339000000000001E-4</v>
      </c>
      <c r="J1845" s="195"/>
      <c r="K1845" s="161">
        <f>K1840</f>
        <v>10</v>
      </c>
      <c r="L1845" s="235">
        <f>L1245</f>
        <v>4</v>
      </c>
      <c r="M1845" s="163" t="str">
        <f>CONCATENATE(H1845," ",F1845,"*",I1845,"/",K1845,"чел.")</f>
        <v>36 шт*0,00053339/10чел.</v>
      </c>
      <c r="N1845" s="164">
        <f>N1245</f>
        <v>1256.0400000000006</v>
      </c>
      <c r="O1845" s="165">
        <f>MROUND(G1845*N1845,0.000001)</f>
        <v>9.6474119999999992</v>
      </c>
      <c r="P1845" s="166"/>
      <c r="Q1845" s="166">
        <f t="shared" si="385"/>
        <v>96.474119999999999</v>
      </c>
      <c r="R1845" s="71"/>
    </row>
    <row r="1846" spans="1:41" s="61" customFormat="1" x14ac:dyDescent="0.25">
      <c r="A1846" s="358"/>
      <c r="B1846" s="361"/>
      <c r="C1846" s="221"/>
      <c r="D1846" s="368" t="s">
        <v>67</v>
      </c>
      <c r="E1846" s="368"/>
      <c r="F1846" s="368"/>
      <c r="G1846" s="368"/>
      <c r="H1846" s="195"/>
      <c r="I1846" s="159"/>
      <c r="J1846" s="195"/>
      <c r="K1846" s="161"/>
      <c r="L1846" s="196"/>
      <c r="M1846" s="230"/>
      <c r="N1846" s="164"/>
      <c r="O1846" s="165">
        <f t="shared" si="393"/>
        <v>0</v>
      </c>
      <c r="P1846" s="166"/>
      <c r="Q1846" s="166"/>
      <c r="R1846" s="71"/>
    </row>
    <row r="1847" spans="1:41" s="61" customFormat="1" x14ac:dyDescent="0.25">
      <c r="A1847" s="358"/>
      <c r="B1847" s="361"/>
      <c r="C1847" s="221"/>
      <c r="D1847" s="194"/>
      <c r="E1847" s="194"/>
      <c r="F1847" s="194"/>
      <c r="G1847" s="217"/>
      <c r="H1847" s="195"/>
      <c r="I1847" s="159"/>
      <c r="J1847" s="195"/>
      <c r="K1847" s="161"/>
      <c r="L1847" s="196"/>
      <c r="M1847" s="230"/>
      <c r="N1847" s="164"/>
      <c r="O1847" s="165">
        <f t="shared" si="393"/>
        <v>0</v>
      </c>
      <c r="P1847" s="166"/>
      <c r="Q1847" s="166"/>
      <c r="R1847" s="71"/>
    </row>
    <row r="1848" spans="1:41" s="61" customFormat="1" x14ac:dyDescent="0.25">
      <c r="A1848" s="358"/>
      <c r="B1848" s="361"/>
      <c r="C1848" s="221"/>
      <c r="D1848" s="350" t="s">
        <v>68</v>
      </c>
      <c r="E1848" s="350"/>
      <c r="F1848" s="350"/>
      <c r="G1848" s="350"/>
      <c r="H1848" s="195"/>
      <c r="I1848" s="159"/>
      <c r="J1848" s="195"/>
      <c r="K1848" s="161"/>
      <c r="L1848" s="196"/>
      <c r="M1848" s="230"/>
      <c r="N1848" s="164"/>
      <c r="O1848" s="165">
        <f t="shared" si="393"/>
        <v>0</v>
      </c>
      <c r="P1848" s="166"/>
      <c r="Q1848" s="166"/>
      <c r="R1848" s="71"/>
    </row>
    <row r="1849" spans="1:41" s="61" customFormat="1" x14ac:dyDescent="0.25">
      <c r="A1849" s="358"/>
      <c r="B1849" s="361"/>
      <c r="C1849" s="221"/>
      <c r="D1849" s="156"/>
      <c r="E1849" s="156"/>
      <c r="F1849" s="156"/>
      <c r="G1849" s="236"/>
      <c r="H1849" s="195"/>
      <c r="I1849" s="159"/>
      <c r="J1849" s="195"/>
      <c r="K1849" s="161"/>
      <c r="L1849" s="196"/>
      <c r="M1849" s="230"/>
      <c r="N1849" s="164"/>
      <c r="O1849" s="165">
        <f t="shared" si="393"/>
        <v>0</v>
      </c>
      <c r="P1849" s="166"/>
      <c r="Q1849" s="166"/>
      <c r="R1849" s="71"/>
    </row>
    <row r="1850" spans="1:41" s="61" customFormat="1" x14ac:dyDescent="0.25">
      <c r="A1850" s="358"/>
      <c r="B1850" s="361"/>
      <c r="C1850" s="221"/>
      <c r="D1850" s="368" t="s">
        <v>69</v>
      </c>
      <c r="E1850" s="368"/>
      <c r="F1850" s="368"/>
      <c r="G1850" s="368"/>
      <c r="H1850" s="187"/>
      <c r="I1850" s="159"/>
      <c r="J1850" s="187"/>
      <c r="K1850" s="161"/>
      <c r="L1850" s="276"/>
      <c r="M1850" s="230"/>
      <c r="N1850" s="164"/>
      <c r="O1850" s="198">
        <f>O1852+O1859+O1876+O1878+O1893+O1895+O1897+O1922+O1924+O1929+O1926</f>
        <v>3550.5068386399998</v>
      </c>
      <c r="P1850" s="166"/>
      <c r="Q1850" s="166"/>
      <c r="R1850" s="71"/>
    </row>
    <row r="1851" spans="1:41" s="61" customFormat="1" x14ac:dyDescent="0.25">
      <c r="A1851" s="358"/>
      <c r="B1851" s="361"/>
      <c r="C1851" s="221">
        <v>224</v>
      </c>
      <c r="D1851" s="156" t="s">
        <v>21</v>
      </c>
      <c r="E1851" s="156" t="s">
        <v>22</v>
      </c>
      <c r="F1851" s="156" t="s">
        <v>22</v>
      </c>
      <c r="G1851" s="238">
        <f>MROUND(H1851*L1851*I1851/K1851,0.000001)</f>
        <v>0</v>
      </c>
      <c r="H1851" s="158">
        <f>H51</f>
        <v>0</v>
      </c>
      <c r="I1851" s="159">
        <f>I1845</f>
        <v>5.3339000000000001E-4</v>
      </c>
      <c r="J1851" s="160"/>
      <c r="K1851" s="161">
        <f>K1845</f>
        <v>10</v>
      </c>
      <c r="L1851" s="250"/>
      <c r="M1851" s="163"/>
      <c r="N1851" s="164">
        <f>N411</f>
        <v>0</v>
      </c>
      <c r="O1851" s="165">
        <f>MROUND(G1851*N1851,0.000001)</f>
        <v>0</v>
      </c>
      <c r="P1851" s="166"/>
      <c r="Q1851" s="166">
        <f t="shared" si="385"/>
        <v>0</v>
      </c>
      <c r="R1851" s="71"/>
    </row>
    <row r="1852" spans="1:41" s="62" customFormat="1" x14ac:dyDescent="0.25">
      <c r="A1852" s="358"/>
      <c r="B1852" s="361"/>
      <c r="C1852" s="218" t="s">
        <v>293</v>
      </c>
      <c r="D1852" s="240"/>
      <c r="E1852" s="240"/>
      <c r="F1852" s="240"/>
      <c r="G1852" s="227"/>
      <c r="H1852" s="241"/>
      <c r="I1852" s="206"/>
      <c r="J1852" s="228"/>
      <c r="K1852" s="207"/>
      <c r="L1852" s="257"/>
      <c r="M1852" s="209"/>
      <c r="N1852" s="210"/>
      <c r="O1852" s="198">
        <f>SUM(O1851)</f>
        <v>0</v>
      </c>
      <c r="P1852" s="267"/>
      <c r="Q1852" s="166"/>
      <c r="R1852" s="71"/>
    </row>
    <row r="1853" spans="1:41" s="61" customFormat="1" ht="31.5" x14ac:dyDescent="0.25">
      <c r="A1853" s="358"/>
      <c r="B1853" s="361"/>
      <c r="C1853" s="364" t="s">
        <v>78</v>
      </c>
      <c r="D1853" s="156" t="s">
        <v>26</v>
      </c>
      <c r="E1853" s="156" t="s">
        <v>22</v>
      </c>
      <c r="F1853" s="156" t="s">
        <v>22</v>
      </c>
      <c r="G1853" s="238">
        <f>MROUND(H1853*L1853*I1853/K1853,0.000001)</f>
        <v>16.539356999999999</v>
      </c>
      <c r="H1853" s="158">
        <f>H53</f>
        <v>25840</v>
      </c>
      <c r="I1853" s="159">
        <f>I1851</f>
        <v>5.3339000000000001E-4</v>
      </c>
      <c r="J1853" s="160"/>
      <c r="K1853" s="161">
        <f>K1851</f>
        <v>10</v>
      </c>
      <c r="L1853" s="250">
        <v>12</v>
      </c>
      <c r="M1853" s="163" t="str">
        <f>CONCATENATE(H1853," ",F1853,"(обрабатываемая площадь в мес.)","*",L1853,"мес.","*",I1853,"/",K1853,"чел.")</f>
        <v>25840 м2(обрабатываемая площадь в мес.)*12мес.*0,00053339/10чел.</v>
      </c>
      <c r="N1853" s="164">
        <f>N53</f>
        <v>1.1553999935500519</v>
      </c>
      <c r="O1853" s="165">
        <f t="shared" ref="O1853:O1858" si="394">MROUND(G1853*N1853,0.000001)</f>
        <v>19.109572999999997</v>
      </c>
      <c r="P1853" s="166"/>
      <c r="Q1853" s="166">
        <f t="shared" si="385"/>
        <v>191.09572999999997</v>
      </c>
      <c r="R1853" s="71"/>
    </row>
    <row r="1854" spans="1:41" s="61" customFormat="1" ht="31.5" x14ac:dyDescent="0.25">
      <c r="A1854" s="358"/>
      <c r="B1854" s="361"/>
      <c r="C1854" s="364"/>
      <c r="D1854" s="156" t="s">
        <v>96</v>
      </c>
      <c r="E1854" s="156" t="s">
        <v>22</v>
      </c>
      <c r="F1854" s="156" t="s">
        <v>22</v>
      </c>
      <c r="G1854" s="238">
        <f>MROUND(H1854*L1854*I1854/K1854,0.000001)</f>
        <v>8.5609099999999998</v>
      </c>
      <c r="H1854" s="158">
        <f>H54</f>
        <v>13375</v>
      </c>
      <c r="I1854" s="159">
        <f t="shared" si="391"/>
        <v>5.3339000000000001E-4</v>
      </c>
      <c r="J1854" s="160"/>
      <c r="K1854" s="161">
        <f>K1853</f>
        <v>10</v>
      </c>
      <c r="L1854" s="250">
        <v>12</v>
      </c>
      <c r="M1854" s="163" t="str">
        <f>CONCATENATE(H1854," ",F1854,"(обрабатываемая площадь в мес.)","*",L1854,"мес.","*",I1854,"/",K1854,"чел.")</f>
        <v>13375 м2(обрабатываемая площадь в мес.)*12мес.*0,00053339/10чел.</v>
      </c>
      <c r="N1854" s="164">
        <f>N54</f>
        <v>1.8530000000000004</v>
      </c>
      <c r="O1854" s="165">
        <f t="shared" si="394"/>
        <v>15.863365999999999</v>
      </c>
      <c r="P1854" s="166"/>
      <c r="Q1854" s="166">
        <f t="shared" si="385"/>
        <v>158.63365999999999</v>
      </c>
      <c r="R1854" s="71"/>
    </row>
    <row r="1855" spans="1:41" s="135" customFormat="1" ht="31.5" x14ac:dyDescent="0.25">
      <c r="A1855" s="358"/>
      <c r="B1855" s="361"/>
      <c r="C1855" s="364"/>
      <c r="D1855" s="156" t="s">
        <v>385</v>
      </c>
      <c r="E1855" s="156" t="s">
        <v>22</v>
      </c>
      <c r="F1855" s="156" t="s">
        <v>22</v>
      </c>
      <c r="G1855" s="238">
        <f>MROUND(H1855*L1855*I1855/K1855,0.000001)</f>
        <v>17.121818999999999</v>
      </c>
      <c r="H1855" s="242">
        <f>$H$55</f>
        <v>13375</v>
      </c>
      <c r="I1855" s="159">
        <f t="shared" si="391"/>
        <v>5.3339000000000001E-4</v>
      </c>
      <c r="J1855" s="160"/>
      <c r="K1855" s="161">
        <f>K1854</f>
        <v>10</v>
      </c>
      <c r="L1855" s="162">
        <v>24</v>
      </c>
      <c r="M1855" s="163" t="str">
        <f>CONCATENATE(H1855," ",F1855,"(обрабатываемая площадь в год)","*",L1855," раза в год.","*",I1855,"/",K1855,"чел.")</f>
        <v>13375 м2(обрабатываемая площадь в год)*24 раза в год.*0,00053339/10чел.</v>
      </c>
      <c r="N1855" s="164">
        <f>$N$55</f>
        <v>2.2889999999999993</v>
      </c>
      <c r="O1855" s="165">
        <f t="shared" si="394"/>
        <v>39.191843999999996</v>
      </c>
      <c r="P1855" s="166"/>
      <c r="Q1855" s="166">
        <f t="shared" si="385"/>
        <v>391.91843999999998</v>
      </c>
      <c r="R1855" s="71"/>
      <c r="S1855" s="61"/>
      <c r="T1855" s="61"/>
      <c r="U1855" s="61"/>
      <c r="V1855" s="61"/>
      <c r="W1855" s="61"/>
      <c r="X1855" s="61"/>
      <c r="Y1855" s="61"/>
      <c r="Z1855" s="61"/>
      <c r="AA1855" s="61"/>
      <c r="AB1855" s="61"/>
      <c r="AC1855" s="61"/>
      <c r="AD1855" s="61"/>
      <c r="AE1855" s="61"/>
      <c r="AF1855" s="61"/>
      <c r="AG1855" s="61"/>
      <c r="AH1855" s="61"/>
      <c r="AI1855" s="61"/>
      <c r="AJ1855" s="61"/>
      <c r="AK1855" s="61"/>
      <c r="AL1855" s="61"/>
      <c r="AM1855" s="61"/>
      <c r="AN1855" s="61"/>
      <c r="AO1855" s="61"/>
    </row>
    <row r="1856" spans="1:41" s="135" customFormat="1" ht="31.5" x14ac:dyDescent="0.25">
      <c r="A1856" s="358"/>
      <c r="B1856" s="361"/>
      <c r="C1856" s="364"/>
      <c r="D1856" s="156" t="s">
        <v>394</v>
      </c>
      <c r="E1856" s="156" t="s">
        <v>22</v>
      </c>
      <c r="F1856" s="156" t="s">
        <v>22</v>
      </c>
      <c r="G1856" s="238">
        <f>MROUND(H1856*L1856*I1856/K1856,0.000001)</f>
        <v>16.539356999999999</v>
      </c>
      <c r="H1856" s="243">
        <f>$H$56</f>
        <v>25840</v>
      </c>
      <c r="I1856" s="159">
        <f t="shared" si="391"/>
        <v>5.3339000000000001E-4</v>
      </c>
      <c r="J1856" s="160"/>
      <c r="K1856" s="161">
        <f>K1855</f>
        <v>10</v>
      </c>
      <c r="L1856" s="162">
        <v>12</v>
      </c>
      <c r="M1856" s="163" t="str">
        <f>CONCATENATE(H1856," ",F1856,"(обрабатываемая площадь в мес.)","*",L1856,"мес.","*",I1856,"/",K1856,"чел.")</f>
        <v>25840 м2(обрабатываемая площадь в мес.)*12мес.*0,00053339/10чел.</v>
      </c>
      <c r="N1856" s="164">
        <f>$N$56</f>
        <v>0.54499999999999993</v>
      </c>
      <c r="O1856" s="165">
        <f t="shared" si="394"/>
        <v>9.0139499999999995</v>
      </c>
      <c r="P1856" s="166"/>
      <c r="Q1856" s="166">
        <f t="shared" si="385"/>
        <v>90.139499999999998</v>
      </c>
      <c r="R1856" s="71"/>
      <c r="S1856" s="61"/>
      <c r="T1856" s="61"/>
      <c r="U1856" s="61"/>
      <c r="V1856" s="61"/>
      <c r="W1856" s="61"/>
      <c r="X1856" s="61"/>
      <c r="Y1856" s="61"/>
      <c r="Z1856" s="61"/>
      <c r="AA1856" s="61"/>
      <c r="AB1856" s="61"/>
      <c r="AC1856" s="61"/>
      <c r="AD1856" s="61"/>
      <c r="AE1856" s="61"/>
      <c r="AF1856" s="61"/>
      <c r="AG1856" s="61"/>
      <c r="AH1856" s="61"/>
      <c r="AI1856" s="61"/>
      <c r="AJ1856" s="61"/>
      <c r="AK1856" s="61"/>
      <c r="AL1856" s="61"/>
      <c r="AM1856" s="61"/>
      <c r="AN1856" s="61"/>
      <c r="AO1856" s="61"/>
    </row>
    <row r="1857" spans="1:41" s="135" customFormat="1" ht="31.5" x14ac:dyDescent="0.25">
      <c r="A1857" s="358"/>
      <c r="B1857" s="361"/>
      <c r="C1857" s="364"/>
      <c r="D1857" s="156" t="s">
        <v>395</v>
      </c>
      <c r="E1857" s="156" t="s">
        <v>98</v>
      </c>
      <c r="F1857" s="156" t="s">
        <v>98</v>
      </c>
      <c r="G1857" s="238">
        <f>MROUND(H1857*L1857*I1857/K1857,0.000001)</f>
        <v>1.01E-3</v>
      </c>
      <c r="H1857" s="242">
        <f>$H$57</f>
        <v>18.939999999999998</v>
      </c>
      <c r="I1857" s="159">
        <f t="shared" si="391"/>
        <v>5.3339000000000001E-4</v>
      </c>
      <c r="J1857" s="160"/>
      <c r="K1857" s="161">
        <f>K1856</f>
        <v>10</v>
      </c>
      <c r="L1857" s="162">
        <v>1</v>
      </c>
      <c r="M1857" s="163" t="str">
        <f>CONCATENATE(H1857," ",F1857,"(обрабатываемая площадь в год)","*",L1857," раз в год","*",I1857,"/",K1857,"чел.")</f>
        <v>18,94 Га(обрабатываемая площадь в год)*1 раз в год*0,00053339/10чел.</v>
      </c>
      <c r="N1857" s="164">
        <f>$N$57</f>
        <v>545</v>
      </c>
      <c r="O1857" s="165">
        <f t="shared" si="394"/>
        <v>0.55044999999999999</v>
      </c>
      <c r="P1857" s="166"/>
      <c r="Q1857" s="166">
        <f t="shared" si="385"/>
        <v>5.5045000000000002</v>
      </c>
      <c r="R1857" s="71"/>
      <c r="S1857" s="61"/>
      <c r="T1857" s="61"/>
      <c r="U1857" s="61"/>
      <c r="V1857" s="61"/>
      <c r="W1857" s="61"/>
      <c r="X1857" s="61"/>
      <c r="Y1857" s="61"/>
      <c r="Z1857" s="61"/>
      <c r="AA1857" s="61"/>
      <c r="AB1857" s="61"/>
      <c r="AC1857" s="61"/>
      <c r="AD1857" s="61"/>
      <c r="AE1857" s="61"/>
      <c r="AF1857" s="61"/>
      <c r="AG1857" s="61"/>
      <c r="AH1857" s="61"/>
      <c r="AI1857" s="61"/>
      <c r="AJ1857" s="61"/>
      <c r="AK1857" s="61"/>
      <c r="AL1857" s="61"/>
      <c r="AM1857" s="61"/>
      <c r="AN1857" s="61"/>
      <c r="AO1857" s="61"/>
    </row>
    <row r="1858" spans="1:41" s="61" customFormat="1" ht="31.5" x14ac:dyDescent="0.25">
      <c r="A1858" s="358"/>
      <c r="B1858" s="361"/>
      <c r="C1858" s="364"/>
      <c r="D1858" s="156" t="s">
        <v>97</v>
      </c>
      <c r="E1858" s="156" t="s">
        <v>98</v>
      </c>
      <c r="F1858" s="156" t="s">
        <v>98</v>
      </c>
      <c r="G1858" s="238">
        <f>MROUND(H1858*L1858*I1858/K1858,0.000000001)</f>
        <v>1.010241E-3</v>
      </c>
      <c r="H1858" s="242">
        <f>H778</f>
        <v>18.939999999999998</v>
      </c>
      <c r="I1858" s="244">
        <f>I1854</f>
        <v>5.3339000000000001E-4</v>
      </c>
      <c r="J1858" s="160"/>
      <c r="K1858" s="161">
        <f>K1854</f>
        <v>10</v>
      </c>
      <c r="L1858" s="250">
        <v>1</v>
      </c>
      <c r="M1858" s="163" t="str">
        <f>CONCATENATE(H1858," ",F1858,"(обрабатываемая площадь в мес.)","*",L1858,"мес.","*",I1858,"/",K1858,"чел.")</f>
        <v>18,94 Га(обрабатываемая площадь в мес.)*1мес.*0,00053339/10чел.</v>
      </c>
      <c r="N1858" s="164">
        <f>N778</f>
        <v>2965.979936642027</v>
      </c>
      <c r="O1858" s="165">
        <f t="shared" si="394"/>
        <v>2.9963549999999999</v>
      </c>
      <c r="P1858" s="166"/>
      <c r="Q1858" s="166">
        <f t="shared" si="385"/>
        <v>29.963549999999998</v>
      </c>
      <c r="R1858" s="71"/>
    </row>
    <row r="1859" spans="1:41" s="62" customFormat="1" x14ac:dyDescent="0.25">
      <c r="A1859" s="358"/>
      <c r="B1859" s="361"/>
      <c r="C1859" s="245" t="s">
        <v>294</v>
      </c>
      <c r="D1859" s="240"/>
      <c r="E1859" s="240"/>
      <c r="F1859" s="240"/>
      <c r="G1859" s="227"/>
      <c r="H1859" s="241"/>
      <c r="I1859" s="206"/>
      <c r="J1859" s="228"/>
      <c r="K1859" s="207"/>
      <c r="L1859" s="257"/>
      <c r="M1859" s="209"/>
      <c r="N1859" s="210"/>
      <c r="O1859" s="198">
        <f>SUM(O1853:O1858)</f>
        <v>86.725537999999986</v>
      </c>
      <c r="P1859" s="267"/>
      <c r="Q1859" s="166"/>
      <c r="R1859" s="71"/>
    </row>
    <row r="1860" spans="1:41" s="61" customFormat="1" ht="63" x14ac:dyDescent="0.25">
      <c r="A1860" s="358"/>
      <c r="B1860" s="361"/>
      <c r="C1860" s="365" t="s">
        <v>77</v>
      </c>
      <c r="D1860" s="156" t="s">
        <v>29</v>
      </c>
      <c r="E1860" s="156" t="s">
        <v>58</v>
      </c>
      <c r="F1860" s="156" t="s">
        <v>218</v>
      </c>
      <c r="G1860" s="238">
        <f>MROUND(H1860*L1860*I1860/K1860,0.00000001)</f>
        <v>3.2003399999999999E-3</v>
      </c>
      <c r="H1860" s="158">
        <v>15</v>
      </c>
      <c r="I1860" s="159">
        <f>I1858</f>
        <v>5.3339000000000001E-4</v>
      </c>
      <c r="J1860" s="160"/>
      <c r="K1860" s="161">
        <f>K1858</f>
        <v>10</v>
      </c>
      <c r="L1860" s="162">
        <v>4</v>
      </c>
      <c r="M1860" s="163" t="str">
        <f>CONCATENATE(H1860," ",F1860,"*",L1860," раза в год","*",I1860,"/",K1860,"чел.")</f>
        <v>15 установок*4 раза в год*0,00053339/10чел.</v>
      </c>
      <c r="N1860" s="164">
        <f>N60</f>
        <v>721.75483333333329</v>
      </c>
      <c r="O1860" s="165">
        <f t="shared" ref="O1860:O1875" si="395">MROUND(G1860*N1860,0.000001)</f>
        <v>2.3098609999999997</v>
      </c>
      <c r="P1860" s="166"/>
      <c r="Q1860" s="166">
        <f t="shared" ref="Q1860:Q1921" si="396">O1860*K1860</f>
        <v>23.098609999999997</v>
      </c>
      <c r="R1860" s="71"/>
    </row>
    <row r="1861" spans="1:41" s="61" customFormat="1" ht="47.25" x14ac:dyDescent="0.25">
      <c r="A1861" s="358"/>
      <c r="B1861" s="361"/>
      <c r="C1861" s="366"/>
      <c r="D1861" s="156" t="s">
        <v>30</v>
      </c>
      <c r="E1861" s="156" t="s">
        <v>58</v>
      </c>
      <c r="F1861" s="156" t="s">
        <v>218</v>
      </c>
      <c r="G1861" s="238">
        <f>MROUND(H1861*L1861*I1861/K1861,0.00000001)</f>
        <v>1.6001699999999999E-3</v>
      </c>
      <c r="H1861" s="158">
        <v>15</v>
      </c>
      <c r="I1861" s="159">
        <f t="shared" si="391"/>
        <v>5.3339000000000001E-4</v>
      </c>
      <c r="J1861" s="160"/>
      <c r="K1861" s="161">
        <f t="shared" ref="K1861:K1869" si="397">K1860</f>
        <v>10</v>
      </c>
      <c r="L1861" s="250">
        <v>2</v>
      </c>
      <c r="M1861" s="163" t="str">
        <f>CONCATENATE(H1861," ",F1861,"*",L1861,"полуг.","*",I1861,"/",K1861,"чел.")</f>
        <v>15 установок*2полуг.*0,00053339/10чел.</v>
      </c>
      <c r="N1861" s="164">
        <f>N1141</f>
        <v>721.75266666666664</v>
      </c>
      <c r="O1861" s="165">
        <f t="shared" si="395"/>
        <v>1.154927</v>
      </c>
      <c r="P1861" s="166"/>
      <c r="Q1861" s="166">
        <f t="shared" si="396"/>
        <v>11.54927</v>
      </c>
      <c r="R1861" s="71"/>
    </row>
    <row r="1862" spans="1:41" s="61" customFormat="1" ht="31.5" x14ac:dyDescent="0.25">
      <c r="A1862" s="358"/>
      <c r="B1862" s="361"/>
      <c r="C1862" s="366"/>
      <c r="D1862" s="156" t="s">
        <v>397</v>
      </c>
      <c r="E1862" s="156" t="s">
        <v>433</v>
      </c>
      <c r="F1862" s="156" t="s">
        <v>433</v>
      </c>
      <c r="G1862" s="238">
        <f>MROUND(H1862*L1862*I1862/K1862,0.000001)</f>
        <v>3.2002999999999997E-2</v>
      </c>
      <c r="H1862" s="158">
        <f>H782</f>
        <v>600</v>
      </c>
      <c r="I1862" s="159">
        <f t="shared" si="391"/>
        <v>5.3339000000000001E-4</v>
      </c>
      <c r="J1862" s="160"/>
      <c r="K1862" s="161">
        <f t="shared" si="397"/>
        <v>10</v>
      </c>
      <c r="L1862" s="162">
        <v>1</v>
      </c>
      <c r="M1862" s="163" t="str">
        <f>CONCATENATE(H1862," ",F1862,"(обрабатываемая площадь в год)","*",L1862," раз в год","*",I1862,"/",K1862,"чел.")</f>
        <v>600 м2.(обрабатываемая площадь в год)*1 раз в год*0,00053339/10чел.</v>
      </c>
      <c r="N1862" s="164">
        <f>N782</f>
        <v>300</v>
      </c>
      <c r="O1862" s="165">
        <f t="shared" si="395"/>
        <v>9.6008999999999993</v>
      </c>
      <c r="P1862" s="166"/>
      <c r="Q1862" s="166">
        <f t="shared" si="396"/>
        <v>96.008999999999986</v>
      </c>
      <c r="R1862" s="71"/>
    </row>
    <row r="1863" spans="1:41" s="61" customFormat="1" ht="47.25" x14ac:dyDescent="0.25">
      <c r="A1863" s="358"/>
      <c r="B1863" s="361"/>
      <c r="C1863" s="366"/>
      <c r="D1863" s="156" t="s">
        <v>32</v>
      </c>
      <c r="E1863" s="156" t="s">
        <v>55</v>
      </c>
      <c r="F1863" s="156" t="s">
        <v>219</v>
      </c>
      <c r="G1863" s="238">
        <f>MROUND(H1863*L1863*I1863/K1863,0.000000001)</f>
        <v>7.6808160000000009E-3</v>
      </c>
      <c r="H1863" s="158">
        <f>H1143</f>
        <v>36</v>
      </c>
      <c r="I1863" s="159">
        <f>I1862</f>
        <v>5.3339000000000001E-4</v>
      </c>
      <c r="J1863" s="160"/>
      <c r="K1863" s="161">
        <f t="shared" si="397"/>
        <v>10</v>
      </c>
      <c r="L1863" s="250">
        <v>4</v>
      </c>
      <c r="M1863" s="163" t="str">
        <f>CONCATENATE(H1863," ",F1863,"*",L1863,"кв.","*",I1863,"/",K1863,"чел.")</f>
        <v>36 системы*4кв.*0,00053339/10чел.</v>
      </c>
      <c r="N1863" s="164">
        <f>N1143</f>
        <v>6924.5277777777774</v>
      </c>
      <c r="O1863" s="165">
        <f t="shared" si="395"/>
        <v>53.186023999999996</v>
      </c>
      <c r="P1863" s="166"/>
      <c r="Q1863" s="166">
        <f t="shared" si="396"/>
        <v>531.86023999999998</v>
      </c>
      <c r="R1863" s="71"/>
    </row>
    <row r="1864" spans="1:41" s="61" customFormat="1" ht="63" x14ac:dyDescent="0.25">
      <c r="A1864" s="358"/>
      <c r="B1864" s="361"/>
      <c r="C1864" s="366"/>
      <c r="D1864" s="156" t="s">
        <v>33</v>
      </c>
      <c r="E1864" s="156" t="s">
        <v>56</v>
      </c>
      <c r="F1864" s="156" t="s">
        <v>220</v>
      </c>
      <c r="G1864" s="238">
        <f>MROUND(H1864*L1864*I1864/K1864,0.000000001)</f>
        <v>1.9202040000000002E-3</v>
      </c>
      <c r="H1864" s="158">
        <f>$H$64</f>
        <v>36</v>
      </c>
      <c r="I1864" s="159">
        <f>I1863</f>
        <v>5.3339000000000001E-4</v>
      </c>
      <c r="J1864" s="160"/>
      <c r="K1864" s="161">
        <f t="shared" si="397"/>
        <v>10</v>
      </c>
      <c r="L1864" s="162">
        <v>1</v>
      </c>
      <c r="M1864" s="163" t="str">
        <f>CONCATENATE(H1864," ",F1864,"*",L1864," раз в год","*",I1864,"/",K1864,"чел.")</f>
        <v>36 дымоходов*1 раз в год*0,00053339/10чел.</v>
      </c>
      <c r="N1864" s="164">
        <f>N64</f>
        <v>6540</v>
      </c>
      <c r="O1864" s="165">
        <f t="shared" si="395"/>
        <v>12.558133999999999</v>
      </c>
      <c r="P1864" s="166"/>
      <c r="Q1864" s="166">
        <f t="shared" si="396"/>
        <v>125.58133999999998</v>
      </c>
      <c r="R1864" s="71"/>
    </row>
    <row r="1865" spans="1:41" s="61" customFormat="1" x14ac:dyDescent="0.25">
      <c r="A1865" s="358"/>
      <c r="B1865" s="361"/>
      <c r="C1865" s="366"/>
      <c r="D1865" s="194" t="s">
        <v>398</v>
      </c>
      <c r="E1865" s="156" t="s">
        <v>60</v>
      </c>
      <c r="F1865" s="156" t="s">
        <v>60</v>
      </c>
      <c r="G1865" s="238">
        <f>MROUND(H1865*L1865*I1865/K1865,0.000000001)</f>
        <v>1.8668650000000001E-3</v>
      </c>
      <c r="H1865" s="246">
        <f>H65</f>
        <v>35</v>
      </c>
      <c r="I1865" s="159">
        <f t="shared" si="391"/>
        <v>5.3339000000000001E-4</v>
      </c>
      <c r="J1865" s="160"/>
      <c r="K1865" s="161">
        <f t="shared" si="397"/>
        <v>10</v>
      </c>
      <c r="L1865" s="250">
        <v>1</v>
      </c>
      <c r="M1865" s="163" t="str">
        <f>CONCATENATE(H1865," ",F1865,"*",I1865,"/",K1865,"чел.")</f>
        <v>35 шт.*0,00053339/10чел.</v>
      </c>
      <c r="N1865" s="164">
        <f>N65</f>
        <v>11009</v>
      </c>
      <c r="O1865" s="165">
        <f t="shared" si="395"/>
        <v>20.552316999999999</v>
      </c>
      <c r="P1865" s="166"/>
      <c r="Q1865" s="166">
        <f t="shared" si="396"/>
        <v>205.52316999999999</v>
      </c>
      <c r="R1865" s="71"/>
    </row>
    <row r="1866" spans="1:41" s="61" customFormat="1" ht="47.25" x14ac:dyDescent="0.25">
      <c r="A1866" s="358"/>
      <c r="B1866" s="361"/>
      <c r="C1866" s="366"/>
      <c r="D1866" s="156" t="s">
        <v>401</v>
      </c>
      <c r="E1866" s="156" t="s">
        <v>60</v>
      </c>
      <c r="F1866" s="156" t="s">
        <v>402</v>
      </c>
      <c r="G1866" s="238">
        <f>MROUND(H1866*L1866*I1866/K1866,0.000001)</f>
        <v>3.7339999999999999E-3</v>
      </c>
      <c r="H1866" s="246">
        <f>H66</f>
        <v>35</v>
      </c>
      <c r="I1866" s="159">
        <f t="shared" si="391"/>
        <v>5.3339000000000001E-4</v>
      </c>
      <c r="J1866" s="160"/>
      <c r="K1866" s="161">
        <f t="shared" si="397"/>
        <v>10</v>
      </c>
      <c r="L1866" s="162">
        <v>2</v>
      </c>
      <c r="M1866" s="163" t="str">
        <f>CONCATENATE(H1866," ",F1866,"*",L1866," раз в год","*",I1866,"/",K1866,"чел.")</f>
        <v>35 противопожарных водопроводов*2 раз в год*0,00053339/10чел.</v>
      </c>
      <c r="N1866" s="164">
        <f>N66</f>
        <v>5450</v>
      </c>
      <c r="O1866" s="165">
        <f t="shared" si="395"/>
        <v>20.350300000000001</v>
      </c>
      <c r="P1866" s="166"/>
      <c r="Q1866" s="166">
        <f t="shared" si="396"/>
        <v>203.50300000000001</v>
      </c>
      <c r="R1866" s="71"/>
    </row>
    <row r="1867" spans="1:41" s="61" customFormat="1" ht="31.5" x14ac:dyDescent="0.25">
      <c r="A1867" s="358"/>
      <c r="B1867" s="361"/>
      <c r="C1867" s="366"/>
      <c r="D1867" s="156" t="s">
        <v>221</v>
      </c>
      <c r="E1867" s="156" t="s">
        <v>60</v>
      </c>
      <c r="F1867" s="156" t="s">
        <v>60</v>
      </c>
      <c r="G1867" s="238">
        <f>MROUND(H1867*L1867*I1867/K1867,0.0000000001)</f>
        <v>1.1521224E-2</v>
      </c>
      <c r="H1867" s="158">
        <f>H67</f>
        <v>18</v>
      </c>
      <c r="I1867" s="159">
        <f t="shared" si="391"/>
        <v>5.3339000000000001E-4</v>
      </c>
      <c r="J1867" s="160"/>
      <c r="K1867" s="161">
        <f t="shared" si="397"/>
        <v>10</v>
      </c>
      <c r="L1867" s="250">
        <v>12</v>
      </c>
      <c r="M1867" s="163" t="str">
        <f>CONCATENATE(H1867," ",F1867,"*",L1867,"мес.","*",I1867,"/",K1867,"чел.")</f>
        <v>18 шт.*12мес.*0,00053339/10чел.</v>
      </c>
      <c r="N1867" s="164">
        <f>N787</f>
        <v>6288.0888888888885</v>
      </c>
      <c r="O1867" s="165">
        <f t="shared" si="395"/>
        <v>72.446480999999991</v>
      </c>
      <c r="P1867" s="166"/>
      <c r="Q1867" s="166">
        <f t="shared" si="396"/>
        <v>724.46480999999994</v>
      </c>
      <c r="R1867" s="71"/>
    </row>
    <row r="1868" spans="1:41" s="61" customFormat="1" ht="47.25" x14ac:dyDescent="0.25">
      <c r="A1868" s="358"/>
      <c r="B1868" s="361"/>
      <c r="C1868" s="366"/>
      <c r="D1868" s="156" t="s">
        <v>34</v>
      </c>
      <c r="E1868" s="156" t="s">
        <v>59</v>
      </c>
      <c r="F1868" s="156" t="s">
        <v>28</v>
      </c>
      <c r="G1868" s="238">
        <f>MROUND(H1868*L1868*I1868/K1868,0.0000000001)</f>
        <v>1.06678E-4</v>
      </c>
      <c r="H1868" s="158">
        <f>H428</f>
        <v>2</v>
      </c>
      <c r="I1868" s="159">
        <f t="shared" si="391"/>
        <v>5.3339000000000001E-4</v>
      </c>
      <c r="J1868" s="160"/>
      <c r="K1868" s="161">
        <f t="shared" si="397"/>
        <v>10</v>
      </c>
      <c r="L1868" s="250">
        <v>1</v>
      </c>
      <c r="M1868" s="163" t="str">
        <f>CONCATENATE(H1868," ",F1868,"*",I1868,"/",K1868,"чел.")</f>
        <v>2 шт*0,00053339/10чел.</v>
      </c>
      <c r="N1868" s="164">
        <f>N68</f>
        <v>7500</v>
      </c>
      <c r="O1868" s="165">
        <f t="shared" si="395"/>
        <v>0.80008499999999994</v>
      </c>
      <c r="P1868" s="166"/>
      <c r="Q1868" s="166">
        <f t="shared" si="396"/>
        <v>8.0008499999999998</v>
      </c>
      <c r="R1868" s="71"/>
    </row>
    <row r="1869" spans="1:41" s="61" customFormat="1" ht="47.25" x14ac:dyDescent="0.25">
      <c r="A1869" s="358"/>
      <c r="B1869" s="361"/>
      <c r="C1869" s="366"/>
      <c r="D1869" s="156" t="s">
        <v>222</v>
      </c>
      <c r="E1869" s="156" t="s">
        <v>60</v>
      </c>
      <c r="F1869" s="156" t="s">
        <v>60</v>
      </c>
      <c r="G1869" s="238">
        <f>MROUND(H1869*L1869*I1869/K1869,0.00000000001)</f>
        <v>1.8668649999999999E-3</v>
      </c>
      <c r="H1869" s="248">
        <f>H1149</f>
        <v>35</v>
      </c>
      <c r="I1869" s="159">
        <f t="shared" si="391"/>
        <v>5.3339000000000001E-4</v>
      </c>
      <c r="J1869" s="160"/>
      <c r="K1869" s="161">
        <f t="shared" si="397"/>
        <v>10</v>
      </c>
      <c r="L1869" s="250">
        <v>1</v>
      </c>
      <c r="M1869" s="163" t="str">
        <f>CONCATENATE(H1869," ",F1869,"*",I1869,"/",K1869,"чел.")</f>
        <v>35 шт.*0,00053339/10чел.</v>
      </c>
      <c r="N1869" s="164">
        <f>N69</f>
        <v>8189.7714285714283</v>
      </c>
      <c r="O1869" s="165">
        <f>MROUND(G1869*N1869,0.00000001)</f>
        <v>15.289197640000001</v>
      </c>
      <c r="P1869" s="166"/>
      <c r="Q1869" s="166">
        <f t="shared" si="396"/>
        <v>152.8919764</v>
      </c>
      <c r="R1869" s="71"/>
    </row>
    <row r="1870" spans="1:41" s="61" customFormat="1" ht="31.5" x14ac:dyDescent="0.25">
      <c r="A1870" s="358"/>
      <c r="B1870" s="361"/>
      <c r="C1870" s="366"/>
      <c r="D1870" s="156" t="s">
        <v>35</v>
      </c>
      <c r="E1870" s="156" t="s">
        <v>102</v>
      </c>
      <c r="F1870" s="156" t="s">
        <v>223</v>
      </c>
      <c r="G1870" s="238">
        <f>MROUND(H1870*L1870*I1870/K1870,0.00000001)</f>
        <v>1.8668700000000001E-3</v>
      </c>
      <c r="H1870" s="158">
        <f>H70</f>
        <v>35</v>
      </c>
      <c r="I1870" s="159">
        <f>I1868</f>
        <v>5.3339000000000001E-4</v>
      </c>
      <c r="J1870" s="160"/>
      <c r="K1870" s="161">
        <f>K1868</f>
        <v>10</v>
      </c>
      <c r="L1870" s="250">
        <v>1</v>
      </c>
      <c r="M1870" s="163" t="str">
        <f>CONCATENATE(H1870," ",F1870,"*",I1870,"/",K1870,"чел.")</f>
        <v>35 замеров*0,00053339/10чел.</v>
      </c>
      <c r="N1870" s="164">
        <f>N70</f>
        <v>20142.857142857141</v>
      </c>
      <c r="O1870" s="165">
        <f t="shared" si="395"/>
        <v>37.604095999999998</v>
      </c>
      <c r="P1870" s="166"/>
      <c r="Q1870" s="166">
        <f t="shared" si="396"/>
        <v>376.04095999999998</v>
      </c>
      <c r="R1870" s="71"/>
    </row>
    <row r="1871" spans="1:41" s="61" customFormat="1" ht="47.25" x14ac:dyDescent="0.25">
      <c r="A1871" s="358"/>
      <c r="B1871" s="361"/>
      <c r="C1871" s="366"/>
      <c r="D1871" s="156" t="s">
        <v>399</v>
      </c>
      <c r="E1871" s="156" t="s">
        <v>60</v>
      </c>
      <c r="F1871" s="156" t="s">
        <v>60</v>
      </c>
      <c r="G1871" s="238">
        <f>MROUND(H1871*L1871*I1871/K1871,0.000000001)</f>
        <v>1.8668650000000002E-2</v>
      </c>
      <c r="H1871" s="158">
        <f>H1271</f>
        <v>35</v>
      </c>
      <c r="I1871" s="159">
        <f t="shared" si="391"/>
        <v>5.3339000000000001E-4</v>
      </c>
      <c r="J1871" s="160"/>
      <c r="K1871" s="161">
        <f>K1870</f>
        <v>10</v>
      </c>
      <c r="L1871" s="250">
        <v>10</v>
      </c>
      <c r="M1871" s="163" t="str">
        <f>CONCATENATE(H1871," ",F1871,"*",L1871,"мес.","*",I1871,"/",K1871,"чел.")</f>
        <v>35 шт.*10мес.*0,00053339/10чел.</v>
      </c>
      <c r="N1871" s="164">
        <f>N1271</f>
        <v>3107.903028571428</v>
      </c>
      <c r="O1871" s="165">
        <f t="shared" si="395"/>
        <v>58.020353999999998</v>
      </c>
      <c r="P1871" s="166"/>
      <c r="Q1871" s="166">
        <f t="shared" si="396"/>
        <v>580.20353999999998</v>
      </c>
      <c r="R1871" s="71"/>
    </row>
    <row r="1872" spans="1:41" s="61" customFormat="1" ht="47.25" x14ac:dyDescent="0.25">
      <c r="A1872" s="358"/>
      <c r="B1872" s="361"/>
      <c r="C1872" s="366"/>
      <c r="D1872" s="156" t="s">
        <v>36</v>
      </c>
      <c r="E1872" s="156" t="s">
        <v>31</v>
      </c>
      <c r="F1872" s="156" t="s">
        <v>224</v>
      </c>
      <c r="G1872" s="238">
        <f>MROUND(H1872*L1872*I1872/K1872,0.00000001)</f>
        <v>2.3042449999999999E-2</v>
      </c>
      <c r="H1872" s="158">
        <f>H1152</f>
        <v>36</v>
      </c>
      <c r="I1872" s="159">
        <f t="shared" si="391"/>
        <v>5.3339000000000001E-4</v>
      </c>
      <c r="J1872" s="160"/>
      <c r="K1872" s="161">
        <f>K1871</f>
        <v>10</v>
      </c>
      <c r="L1872" s="250">
        <v>12</v>
      </c>
      <c r="M1872" s="163" t="str">
        <f>CONCATENATE(H1872," ",F1872,"*",L1872,"мес.","*",I1872,"/",K1872,"чел.")</f>
        <v>36 устройств*12мес.*0,00053339/10чел.</v>
      </c>
      <c r="N1872" s="164">
        <f>N72</f>
        <v>2200</v>
      </c>
      <c r="O1872" s="165">
        <f t="shared" si="395"/>
        <v>50.693390000000001</v>
      </c>
      <c r="P1872" s="166"/>
      <c r="Q1872" s="166">
        <f t="shared" si="396"/>
        <v>506.93389999999999</v>
      </c>
      <c r="R1872" s="71"/>
    </row>
    <row r="1873" spans="1:18" s="61" customFormat="1" ht="31.5" x14ac:dyDescent="0.25">
      <c r="A1873" s="358"/>
      <c r="B1873" s="361"/>
      <c r="C1873" s="366"/>
      <c r="D1873" s="156" t="s">
        <v>99</v>
      </c>
      <c r="E1873" s="156" t="s">
        <v>103</v>
      </c>
      <c r="F1873" s="156" t="s">
        <v>225</v>
      </c>
      <c r="G1873" s="238">
        <f>MROUND(H1873*L1873*I1873/K1873,0.00000001)</f>
        <v>2.026882E-2</v>
      </c>
      <c r="H1873" s="158">
        <f>H73</f>
        <v>380</v>
      </c>
      <c r="I1873" s="159">
        <f t="shared" si="391"/>
        <v>5.3339000000000001E-4</v>
      </c>
      <c r="J1873" s="160"/>
      <c r="K1873" s="161">
        <f>K1872</f>
        <v>10</v>
      </c>
      <c r="L1873" s="250">
        <v>1</v>
      </c>
      <c r="M1873" s="163" t="str">
        <f>CONCATENATE(H1873," ",F1873,"*",I1873,"/",K1873,"чел.")</f>
        <v>380 ед.*0,00053339/10чел.</v>
      </c>
      <c r="N1873" s="164">
        <f>N73</f>
        <v>15000</v>
      </c>
      <c r="O1873" s="165">
        <f t="shared" si="395"/>
        <v>304.03229999999996</v>
      </c>
      <c r="P1873" s="166"/>
      <c r="Q1873" s="166">
        <f t="shared" si="396"/>
        <v>3040.3229999999994</v>
      </c>
      <c r="R1873" s="71"/>
    </row>
    <row r="1874" spans="1:18" s="61" customFormat="1" x14ac:dyDescent="0.25">
      <c r="A1874" s="358"/>
      <c r="B1874" s="361"/>
      <c r="C1874" s="366"/>
      <c r="D1874" s="156" t="s">
        <v>27</v>
      </c>
      <c r="E1874" s="156" t="s">
        <v>28</v>
      </c>
      <c r="F1874" s="156" t="s">
        <v>28</v>
      </c>
      <c r="G1874" s="238">
        <f>MROUND(H1874*L1874*I1874/K1874,0.000000001)</f>
        <v>0.30483238500000004</v>
      </c>
      <c r="H1874" s="160">
        <f>H74</f>
        <v>5715</v>
      </c>
      <c r="I1874" s="159">
        <f t="shared" si="391"/>
        <v>5.3339000000000001E-4</v>
      </c>
      <c r="J1874" s="160"/>
      <c r="K1874" s="161">
        <f>K1873</f>
        <v>10</v>
      </c>
      <c r="L1874" s="250">
        <v>1</v>
      </c>
      <c r="M1874" s="163" t="str">
        <f>CONCATENATE(H1874," ",F1874,"*",I1874,"/",K1874,"чел.")</f>
        <v>5715 шт*0,00053339/10чел.</v>
      </c>
      <c r="N1874" s="164">
        <f>N74</f>
        <v>400</v>
      </c>
      <c r="O1874" s="165">
        <f t="shared" si="395"/>
        <v>121.932954</v>
      </c>
      <c r="P1874" s="166"/>
      <c r="Q1874" s="166">
        <f t="shared" si="396"/>
        <v>1219.32954</v>
      </c>
      <c r="R1874" s="71"/>
    </row>
    <row r="1875" spans="1:18" s="61" customFormat="1" ht="31.5" x14ac:dyDescent="0.25">
      <c r="A1875" s="358"/>
      <c r="B1875" s="361"/>
      <c r="C1875" s="367"/>
      <c r="D1875" s="156" t="s">
        <v>104</v>
      </c>
      <c r="E1875" s="156" t="s">
        <v>105</v>
      </c>
      <c r="F1875" s="156" t="s">
        <v>226</v>
      </c>
      <c r="G1875" s="238">
        <f>MROUND(H1875*L1875*I1875/K1875,0.00000001)</f>
        <v>1.9201999999999999E-3</v>
      </c>
      <c r="H1875" s="160">
        <f>H795</f>
        <v>36</v>
      </c>
      <c r="I1875" s="159">
        <f t="shared" si="391"/>
        <v>5.3339000000000001E-4</v>
      </c>
      <c r="J1875" s="160"/>
      <c r="K1875" s="161">
        <f>K1874</f>
        <v>10</v>
      </c>
      <c r="L1875" s="250">
        <v>1</v>
      </c>
      <c r="M1875" s="163" t="str">
        <f>CONCATENATE(H1875," ",F1875,"*",I1875,"/",K1875,"чел.")</f>
        <v>36 отключений*0,00053339/10чел.</v>
      </c>
      <c r="N1875" s="164">
        <f>N75</f>
        <v>9810</v>
      </c>
      <c r="O1875" s="165">
        <f t="shared" si="395"/>
        <v>18.837161999999999</v>
      </c>
      <c r="P1875" s="166"/>
      <c r="Q1875" s="166">
        <f t="shared" si="396"/>
        <v>188.37162000000001</v>
      </c>
      <c r="R1875" s="71"/>
    </row>
    <row r="1876" spans="1:18" s="62" customFormat="1" x14ac:dyDescent="0.25">
      <c r="A1876" s="358"/>
      <c r="B1876" s="361"/>
      <c r="C1876" s="249" t="s">
        <v>292</v>
      </c>
      <c r="D1876" s="240"/>
      <c r="E1876" s="240"/>
      <c r="F1876" s="240"/>
      <c r="G1876" s="227"/>
      <c r="H1876" s="228"/>
      <c r="I1876" s="206"/>
      <c r="J1876" s="228"/>
      <c r="K1876" s="207"/>
      <c r="L1876" s="257"/>
      <c r="M1876" s="209"/>
      <c r="N1876" s="210"/>
      <c r="O1876" s="198">
        <f>SUM(O1860:O1875)</f>
        <v>799.36848264000002</v>
      </c>
      <c r="P1876" s="267"/>
      <c r="Q1876" s="166"/>
      <c r="R1876" s="71"/>
    </row>
    <row r="1877" spans="1:18" s="61" customFormat="1" ht="31.5" x14ac:dyDescent="0.25">
      <c r="A1877" s="358"/>
      <c r="B1877" s="361"/>
      <c r="C1877" s="221" t="s">
        <v>79</v>
      </c>
      <c r="D1877" s="156" t="s">
        <v>37</v>
      </c>
      <c r="E1877" s="156" t="s">
        <v>61</v>
      </c>
      <c r="F1877" s="156" t="s">
        <v>227</v>
      </c>
      <c r="G1877" s="238">
        <f>MROUND(H1877*L1877*I1877/K1877,0.000000001)</f>
        <v>2.1335600000000002E-4</v>
      </c>
      <c r="H1877" s="158">
        <f>H77</f>
        <v>4</v>
      </c>
      <c r="I1877" s="159">
        <f>I1875</f>
        <v>5.3339000000000001E-4</v>
      </c>
      <c r="J1877" s="160"/>
      <c r="K1877" s="161">
        <f>K1875</f>
        <v>10</v>
      </c>
      <c r="L1877" s="250">
        <v>1</v>
      </c>
      <c r="M1877" s="163" t="str">
        <f>CONCATENATE(H1877," ",F1877,"*",I1877,"/",K1877,"чел.")</f>
        <v>4 автобуса*0,00053339/10чел.</v>
      </c>
      <c r="N1877" s="164">
        <f>N77</f>
        <v>93408.640000000014</v>
      </c>
      <c r="O1877" s="165">
        <f>MROUND(G1877*N1877,0.000001)</f>
        <v>19.929293999999999</v>
      </c>
      <c r="P1877" s="166"/>
      <c r="Q1877" s="166">
        <f t="shared" si="396"/>
        <v>199.29293999999999</v>
      </c>
      <c r="R1877" s="71"/>
    </row>
    <row r="1878" spans="1:18" s="62" customFormat="1" x14ac:dyDescent="0.25">
      <c r="A1878" s="358"/>
      <c r="B1878" s="361"/>
      <c r="C1878" s="218" t="s">
        <v>295</v>
      </c>
      <c r="D1878" s="240"/>
      <c r="E1878" s="240"/>
      <c r="F1878" s="240"/>
      <c r="G1878" s="227"/>
      <c r="H1878" s="241"/>
      <c r="I1878" s="206"/>
      <c r="J1878" s="228"/>
      <c r="K1878" s="207"/>
      <c r="L1878" s="257"/>
      <c r="M1878" s="209"/>
      <c r="N1878" s="210"/>
      <c r="O1878" s="198">
        <f>SUM(O1877)</f>
        <v>19.929293999999999</v>
      </c>
      <c r="P1878" s="267"/>
      <c r="Q1878" s="166"/>
      <c r="R1878" s="71"/>
    </row>
    <row r="1879" spans="1:18" s="61" customFormat="1" x14ac:dyDescent="0.25">
      <c r="A1879" s="358"/>
      <c r="B1879" s="361"/>
      <c r="C1879" s="364" t="s">
        <v>80</v>
      </c>
      <c r="D1879" s="156" t="s">
        <v>38</v>
      </c>
      <c r="E1879" s="156" t="s">
        <v>57</v>
      </c>
      <c r="F1879" s="156" t="s">
        <v>228</v>
      </c>
      <c r="G1879" s="238">
        <f>MROUND(H1879*L1879*I1879/K1879,0.000000001)</f>
        <v>2.3042448E-2</v>
      </c>
      <c r="H1879" s="158">
        <f>H79</f>
        <v>36</v>
      </c>
      <c r="I1879" s="159">
        <f>I1877</f>
        <v>5.3339000000000001E-4</v>
      </c>
      <c r="J1879" s="160"/>
      <c r="K1879" s="161">
        <f>K1877</f>
        <v>10</v>
      </c>
      <c r="L1879" s="250">
        <v>12</v>
      </c>
      <c r="M1879" s="163" t="str">
        <f>CONCATENATE(H1879," ",F1879,"*",L1879,"мес.","*",I1879,"/",K1879,"чел.")</f>
        <v>36 зданий*12мес.*0,00053339/10чел.</v>
      </c>
      <c r="N1879" s="164">
        <f t="shared" ref="N1879:N1887" si="398">N79</f>
        <v>4694.6300000000019</v>
      </c>
      <c r="O1879" s="165">
        <f>MROUND(G1879*N1879,0.000001)</f>
        <v>108.17576799999999</v>
      </c>
      <c r="P1879" s="166"/>
      <c r="Q1879" s="166">
        <f t="shared" si="396"/>
        <v>1081.7576799999999</v>
      </c>
      <c r="R1879" s="71"/>
    </row>
    <row r="1880" spans="1:18" s="61" customFormat="1" ht="47.25" x14ac:dyDescent="0.25">
      <c r="A1880" s="358"/>
      <c r="B1880" s="361"/>
      <c r="C1880" s="364"/>
      <c r="D1880" s="156" t="s">
        <v>229</v>
      </c>
      <c r="E1880" s="156" t="s">
        <v>60</v>
      </c>
      <c r="F1880" s="156" t="s">
        <v>60</v>
      </c>
      <c r="G1880" s="238">
        <f>MROUND(H1880*L1880*I1880/K1880,0.000001)</f>
        <v>0.127694</v>
      </c>
      <c r="H1880" s="158">
        <f>H440</f>
        <v>2394</v>
      </c>
      <c r="I1880" s="159">
        <f>I1879</f>
        <v>5.3339000000000001E-4</v>
      </c>
      <c r="J1880" s="160"/>
      <c r="K1880" s="161">
        <f>K1879</f>
        <v>10</v>
      </c>
      <c r="L1880" s="250">
        <v>1</v>
      </c>
      <c r="M1880" s="163" t="str">
        <f t="shared" ref="M1880:M1887" si="399">CONCATENATE(H1880," ",F1880,"*",I1880,"/",K1880,"чел.")</f>
        <v>2394 шт.*0,00053339/10чел.</v>
      </c>
      <c r="N1880" s="164">
        <f t="shared" si="398"/>
        <v>163.5</v>
      </c>
      <c r="O1880" s="165">
        <f>MROUND(G1880*N1880,0.000001)</f>
        <v>20.877969</v>
      </c>
      <c r="P1880" s="166"/>
      <c r="Q1880" s="166">
        <f t="shared" si="396"/>
        <v>208.77969000000002</v>
      </c>
      <c r="R1880" s="71"/>
    </row>
    <row r="1881" spans="1:18" s="61" customFormat="1" ht="47.25" x14ac:dyDescent="0.25">
      <c r="A1881" s="358"/>
      <c r="B1881" s="361"/>
      <c r="C1881" s="364"/>
      <c r="D1881" s="156" t="s">
        <v>405</v>
      </c>
      <c r="E1881" s="156" t="s">
        <v>60</v>
      </c>
      <c r="F1881" s="156" t="s">
        <v>406</v>
      </c>
      <c r="G1881" s="238">
        <f>MROUND(H1881*L1881*I1881/K1881,0.00000001)</f>
        <v>1.9201999999999999E-3</v>
      </c>
      <c r="H1881" s="158">
        <f>H201</f>
        <v>36</v>
      </c>
      <c r="I1881" s="159">
        <f>I1880</f>
        <v>5.3339000000000001E-4</v>
      </c>
      <c r="J1881" s="160"/>
      <c r="K1881" s="161">
        <f>K1880</f>
        <v>10</v>
      </c>
      <c r="L1881" s="250">
        <v>1</v>
      </c>
      <c r="M1881" s="163" t="str">
        <f t="shared" si="399"/>
        <v>36 лицензий*0,00053339/10чел.</v>
      </c>
      <c r="N1881" s="164">
        <f t="shared" si="398"/>
        <v>11990</v>
      </c>
      <c r="O1881" s="165">
        <f t="shared" ref="O1881:O1890" si="400">MROUND(G1881*N1881,0.000001)</f>
        <v>23.023198000000001</v>
      </c>
      <c r="P1881" s="166"/>
      <c r="Q1881" s="166">
        <f t="shared" si="396"/>
        <v>230.23198000000002</v>
      </c>
      <c r="R1881" s="71"/>
    </row>
    <row r="1882" spans="1:18" s="61" customFormat="1" ht="63" x14ac:dyDescent="0.25">
      <c r="A1882" s="358"/>
      <c r="B1882" s="361"/>
      <c r="C1882" s="364"/>
      <c r="D1882" s="156" t="s">
        <v>39</v>
      </c>
      <c r="E1882" s="156" t="s">
        <v>20</v>
      </c>
      <c r="F1882" s="156" t="s">
        <v>234</v>
      </c>
      <c r="G1882" s="238">
        <f>MROUND(H1882*L1882*I1882/K1882,0.000000001)</f>
        <v>6.2940020000000008E-3</v>
      </c>
      <c r="H1882" s="158">
        <f>H1402</f>
        <v>118</v>
      </c>
      <c r="I1882" s="159">
        <f>I1880</f>
        <v>5.3339000000000001E-4</v>
      </c>
      <c r="J1882" s="160"/>
      <c r="K1882" s="161">
        <f>K1880</f>
        <v>10</v>
      </c>
      <c r="L1882" s="250">
        <v>1</v>
      </c>
      <c r="M1882" s="163" t="str">
        <f t="shared" si="399"/>
        <v>118 чел(заявленная потребность руководителями учреждений)*0,00053339/10чел.</v>
      </c>
      <c r="N1882" s="164">
        <f t="shared" si="398"/>
        <v>763</v>
      </c>
      <c r="O1882" s="165">
        <f t="shared" si="400"/>
        <v>4.8023239999999996</v>
      </c>
      <c r="P1882" s="166"/>
      <c r="Q1882" s="166">
        <f t="shared" si="396"/>
        <v>48.023239999999994</v>
      </c>
      <c r="R1882" s="71"/>
    </row>
    <row r="1883" spans="1:18" s="61" customFormat="1" ht="63" x14ac:dyDescent="0.25">
      <c r="A1883" s="358"/>
      <c r="B1883" s="361"/>
      <c r="C1883" s="364"/>
      <c r="D1883" s="156" t="s">
        <v>40</v>
      </c>
      <c r="E1883" s="156" t="s">
        <v>20</v>
      </c>
      <c r="F1883" s="156" t="s">
        <v>234</v>
      </c>
      <c r="G1883" s="238">
        <f>MROUND(H1883*L1883*I1883/K1883,0.000000001)</f>
        <v>5.2805610000000005E-3</v>
      </c>
      <c r="H1883" s="158">
        <f>H1403</f>
        <v>99</v>
      </c>
      <c r="I1883" s="159">
        <f t="shared" ref="I1883:I1890" si="401">I1882</f>
        <v>5.3339000000000001E-4</v>
      </c>
      <c r="J1883" s="160"/>
      <c r="K1883" s="161">
        <f t="shared" ref="K1883:K1890" si="402">K1882</f>
        <v>10</v>
      </c>
      <c r="L1883" s="250">
        <v>1</v>
      </c>
      <c r="M1883" s="163" t="str">
        <f t="shared" si="399"/>
        <v>99 чел(заявленная потребность руководителями учреждений)*0,00053339/10чел.</v>
      </c>
      <c r="N1883" s="164">
        <f t="shared" si="398"/>
        <v>1585.4545454545455</v>
      </c>
      <c r="O1883" s="165">
        <f t="shared" si="400"/>
        <v>8.372088999999999</v>
      </c>
      <c r="P1883" s="166"/>
      <c r="Q1883" s="166">
        <f t="shared" si="396"/>
        <v>83.720889999999997</v>
      </c>
      <c r="R1883" s="71"/>
    </row>
    <row r="1884" spans="1:18" s="61" customFormat="1" ht="63" x14ac:dyDescent="0.25">
      <c r="A1884" s="358"/>
      <c r="B1884" s="361"/>
      <c r="C1884" s="364"/>
      <c r="D1884" s="156" t="s">
        <v>100</v>
      </c>
      <c r="E1884" s="156" t="s">
        <v>20</v>
      </c>
      <c r="F1884" s="156" t="s">
        <v>234</v>
      </c>
      <c r="G1884" s="238">
        <f>MROUND(H1884*L1884*I1884/K1884,0.0000000001)</f>
        <v>4.3204590000000005E-3</v>
      </c>
      <c r="H1884" s="158">
        <f>H1404</f>
        <v>81</v>
      </c>
      <c r="I1884" s="159">
        <f t="shared" si="401"/>
        <v>5.3339000000000001E-4</v>
      </c>
      <c r="J1884" s="160"/>
      <c r="K1884" s="161">
        <f t="shared" si="402"/>
        <v>10</v>
      </c>
      <c r="L1884" s="250">
        <v>1</v>
      </c>
      <c r="M1884" s="163" t="str">
        <f t="shared" si="399"/>
        <v>81 чел(заявленная потребность руководителями учреждений)*0,00053339/10чел.</v>
      </c>
      <c r="N1884" s="164">
        <f t="shared" si="398"/>
        <v>3488</v>
      </c>
      <c r="O1884" s="165">
        <f t="shared" si="400"/>
        <v>15.069761</v>
      </c>
      <c r="P1884" s="166"/>
      <c r="Q1884" s="166">
        <f t="shared" si="396"/>
        <v>150.69761</v>
      </c>
      <c r="R1884" s="71"/>
    </row>
    <row r="1885" spans="1:18" s="61" customFormat="1" ht="110.25" x14ac:dyDescent="0.25">
      <c r="A1885" s="358"/>
      <c r="B1885" s="361"/>
      <c r="C1885" s="364"/>
      <c r="D1885" s="156" t="s">
        <v>235</v>
      </c>
      <c r="E1885" s="156" t="s">
        <v>50</v>
      </c>
      <c r="F1885" s="156" t="s">
        <v>230</v>
      </c>
      <c r="G1885" s="238">
        <f>MROUND(H1885*L1885*I1885/K1885,0.00000001)</f>
        <v>1.9201999999999999E-3</v>
      </c>
      <c r="H1885" s="158">
        <f>H1645</f>
        <v>36</v>
      </c>
      <c r="I1885" s="159">
        <f t="shared" si="401"/>
        <v>5.3339000000000001E-4</v>
      </c>
      <c r="J1885" s="160"/>
      <c r="K1885" s="161">
        <f t="shared" si="402"/>
        <v>10</v>
      </c>
      <c r="L1885" s="250">
        <v>1</v>
      </c>
      <c r="M1885" s="163" t="str">
        <f t="shared" si="399"/>
        <v>36 отчетов*0,00053339/10чел.</v>
      </c>
      <c r="N1885" s="164">
        <f t="shared" si="398"/>
        <v>6540</v>
      </c>
      <c r="O1885" s="165">
        <f t="shared" si="400"/>
        <v>12.558107999999999</v>
      </c>
      <c r="P1885" s="166"/>
      <c r="Q1885" s="166">
        <f t="shared" si="396"/>
        <v>125.58107999999999</v>
      </c>
      <c r="R1885" s="71"/>
    </row>
    <row r="1886" spans="1:18" s="61" customFormat="1" ht="63" x14ac:dyDescent="0.25">
      <c r="A1886" s="358"/>
      <c r="B1886" s="361"/>
      <c r="C1886" s="364"/>
      <c r="D1886" s="156" t="s">
        <v>42</v>
      </c>
      <c r="E1886" s="156" t="s">
        <v>51</v>
      </c>
      <c r="F1886" s="156" t="s">
        <v>407</v>
      </c>
      <c r="G1886" s="238">
        <f>MROUND(H1886*L1886*I1886/K1886,0.000001)</f>
        <v>1.0881E-2</v>
      </c>
      <c r="H1886" s="158">
        <f>H1406</f>
        <v>204</v>
      </c>
      <c r="I1886" s="159">
        <f t="shared" si="401"/>
        <v>5.3339000000000001E-4</v>
      </c>
      <c r="J1886" s="160"/>
      <c r="K1886" s="161">
        <f t="shared" si="402"/>
        <v>10</v>
      </c>
      <c r="L1886" s="250">
        <v>1</v>
      </c>
      <c r="M1886" s="163" t="str">
        <f t="shared" si="399"/>
        <v>204 ед (заявленная потребность руководителями учреждений)*0,00053339/10чел.</v>
      </c>
      <c r="N1886" s="164">
        <f t="shared" si="398"/>
        <v>1090</v>
      </c>
      <c r="O1886" s="165">
        <f t="shared" si="400"/>
        <v>11.860289999999999</v>
      </c>
      <c r="P1886" s="166"/>
      <c r="Q1886" s="166">
        <f t="shared" si="396"/>
        <v>118.60289999999999</v>
      </c>
      <c r="R1886" s="71"/>
    </row>
    <row r="1887" spans="1:18" s="61" customFormat="1" ht="31.5" x14ac:dyDescent="0.25">
      <c r="A1887" s="358"/>
      <c r="B1887" s="361"/>
      <c r="C1887" s="364"/>
      <c r="D1887" s="156" t="s">
        <v>43</v>
      </c>
      <c r="E1887" s="156" t="s">
        <v>52</v>
      </c>
      <c r="F1887" s="156" t="s">
        <v>231</v>
      </c>
      <c r="G1887" s="238">
        <f>MROUND(H1887*L1887*I1887/K1887,0.000000001)</f>
        <v>1.9202040000000002E-3</v>
      </c>
      <c r="H1887" s="158">
        <f>H807</f>
        <v>36</v>
      </c>
      <c r="I1887" s="159">
        <f t="shared" si="401"/>
        <v>5.3339000000000001E-4</v>
      </c>
      <c r="J1887" s="160"/>
      <c r="K1887" s="161">
        <f t="shared" si="402"/>
        <v>10</v>
      </c>
      <c r="L1887" s="250">
        <v>1</v>
      </c>
      <c r="M1887" s="163" t="str">
        <f t="shared" si="399"/>
        <v>36 ЭЦП*0,00053339/10чел.</v>
      </c>
      <c r="N1887" s="164">
        <f t="shared" si="398"/>
        <v>7743.3599999999924</v>
      </c>
      <c r="O1887" s="165">
        <f t="shared" si="400"/>
        <v>14.868831</v>
      </c>
      <c r="P1887" s="166"/>
      <c r="Q1887" s="166">
        <f t="shared" si="396"/>
        <v>148.68831</v>
      </c>
      <c r="R1887" s="71"/>
    </row>
    <row r="1888" spans="1:18" s="61" customFormat="1" ht="47.25" x14ac:dyDescent="0.25">
      <c r="A1888" s="358"/>
      <c r="B1888" s="361"/>
      <c r="C1888" s="364"/>
      <c r="D1888" s="156" t="s">
        <v>44</v>
      </c>
      <c r="E1888" s="156" t="s">
        <v>85</v>
      </c>
      <c r="F1888" s="156" t="s">
        <v>232</v>
      </c>
      <c r="G1888" s="238">
        <f>MROUND(H1888*L1888*I1888/K1888,0.000001)</f>
        <v>6.4860000000000001E-2</v>
      </c>
      <c r="H1888" s="158">
        <f>H808</f>
        <v>1216</v>
      </c>
      <c r="I1888" s="159">
        <f t="shared" si="401"/>
        <v>5.3339000000000001E-4</v>
      </c>
      <c r="J1888" s="160"/>
      <c r="K1888" s="161">
        <f t="shared" si="402"/>
        <v>10</v>
      </c>
      <c r="L1888" s="250">
        <v>1</v>
      </c>
      <c r="M1888" s="163" t="str">
        <f>CONCATENATE(H1888," ",F1888,"*",L1888,"мес.","*",I1888,"/",K1888,"чел.")</f>
        <v>1216 мед.осмотров в мес.*1мес.*0,00053339/10чел.</v>
      </c>
      <c r="N1888" s="164">
        <f>N808</f>
        <v>56.680000000000007</v>
      </c>
      <c r="O1888" s="165">
        <f t="shared" si="400"/>
        <v>3.6762649999999999</v>
      </c>
      <c r="P1888" s="166"/>
      <c r="Q1888" s="166">
        <f t="shared" si="396"/>
        <v>36.762650000000001</v>
      </c>
      <c r="R1888" s="71"/>
    </row>
    <row r="1889" spans="1:18" s="61" customFormat="1" ht="63" x14ac:dyDescent="0.25">
      <c r="A1889" s="358"/>
      <c r="B1889" s="361"/>
      <c r="C1889" s="364"/>
      <c r="D1889" s="156" t="s">
        <v>45</v>
      </c>
      <c r="E1889" s="156" t="s">
        <v>53</v>
      </c>
      <c r="F1889" s="156" t="s">
        <v>233</v>
      </c>
      <c r="G1889" s="238">
        <f>MROUND(H1889*L1889*I1889/K1889,0.000000001)</f>
        <v>2.5602720000000002E-3</v>
      </c>
      <c r="H1889" s="158">
        <f>H1409</f>
        <v>4</v>
      </c>
      <c r="I1889" s="159">
        <f t="shared" si="401"/>
        <v>5.3339000000000001E-4</v>
      </c>
      <c r="J1889" s="160"/>
      <c r="K1889" s="161">
        <f t="shared" si="402"/>
        <v>10</v>
      </c>
      <c r="L1889" s="250">
        <v>12</v>
      </c>
      <c r="M1889" s="163" t="str">
        <f>CONCATENATE(H1889," ",F1889,"*",L1889,"мес.","*",I1889,"/",K1889,"чел.")</f>
        <v>4  машины, оборудованных системой ГЛОНАСС*12мес.*0,00053339/10чел.</v>
      </c>
      <c r="N1889" s="164">
        <f>N89</f>
        <v>880.71999999999991</v>
      </c>
      <c r="O1889" s="165">
        <f t="shared" si="400"/>
        <v>2.254883</v>
      </c>
      <c r="P1889" s="166"/>
      <c r="Q1889" s="166">
        <f t="shared" si="396"/>
        <v>22.548829999999999</v>
      </c>
      <c r="R1889" s="71"/>
    </row>
    <row r="1890" spans="1:18" s="61" customFormat="1" ht="31.5" x14ac:dyDescent="0.25">
      <c r="A1890" s="358"/>
      <c r="B1890" s="361"/>
      <c r="C1890" s="364"/>
      <c r="D1890" s="156" t="s">
        <v>408</v>
      </c>
      <c r="E1890" s="156" t="s">
        <v>20</v>
      </c>
      <c r="F1890" s="156" t="s">
        <v>20</v>
      </c>
      <c r="G1890" s="238">
        <f>MROUND(H1890*L1890*I1890/K1890,0.0000000001)</f>
        <v>9.1316368000000009E-2</v>
      </c>
      <c r="H1890" s="158">
        <f>H90</f>
        <v>1712</v>
      </c>
      <c r="I1890" s="159">
        <f t="shared" si="401"/>
        <v>5.3339000000000001E-4</v>
      </c>
      <c r="J1890" s="160"/>
      <c r="K1890" s="161">
        <f t="shared" si="402"/>
        <v>10</v>
      </c>
      <c r="L1890" s="250">
        <v>1</v>
      </c>
      <c r="M1890" s="163" t="str">
        <f>CONCATENATE(H1890," ",F1890,"*",L1890," раз в год","*",I1890,"/",K1890,"чел.")</f>
        <v>1712 чел.*1 раз в год*0,00053339/10чел.</v>
      </c>
      <c r="N1890" s="164">
        <f>N90</f>
        <v>545</v>
      </c>
      <c r="O1890" s="165">
        <f t="shared" si="400"/>
        <v>49.767420999999999</v>
      </c>
      <c r="P1890" s="166"/>
      <c r="Q1890" s="166">
        <f t="shared" si="396"/>
        <v>497.67421000000002</v>
      </c>
      <c r="R1890" s="71"/>
    </row>
    <row r="1891" spans="1:18" s="61" customFormat="1" x14ac:dyDescent="0.25">
      <c r="A1891" s="358"/>
      <c r="B1891" s="361"/>
      <c r="C1891" s="364"/>
      <c r="D1891" s="156" t="s">
        <v>373</v>
      </c>
      <c r="E1891" s="156" t="s">
        <v>28</v>
      </c>
      <c r="F1891" s="156" t="s">
        <v>28</v>
      </c>
      <c r="G1891" s="157">
        <f>MROUND(H1891*L1891*I1891/K1891,0.000000001)</f>
        <v>1.9202040000000002E-3</v>
      </c>
      <c r="H1891" s="158">
        <f>H92</f>
        <v>36</v>
      </c>
      <c r="I1891" s="159">
        <f>I1889</f>
        <v>5.3339000000000001E-4</v>
      </c>
      <c r="J1891" s="160"/>
      <c r="K1891" s="161">
        <f>K1889</f>
        <v>10</v>
      </c>
      <c r="L1891" s="162">
        <v>1</v>
      </c>
      <c r="M1891" s="163" t="str">
        <f>CONCATENATE(H1891," ",F1891,"*",L1891,"мес.","*",I1891,"/",K1891,"чел.")</f>
        <v>36 шт*1мес.*0,00053339/10чел.</v>
      </c>
      <c r="N1891" s="164">
        <f>N92</f>
        <v>24000</v>
      </c>
      <c r="O1891" s="165">
        <f>MROUND(G1891*N1891,0.000000001)</f>
        <v>46.084896000000001</v>
      </c>
      <c r="P1891" s="166"/>
      <c r="Q1891" s="166">
        <f t="shared" si="396"/>
        <v>460.84896000000003</v>
      </c>
      <c r="R1891" s="71"/>
    </row>
    <row r="1892" spans="1:18" s="61" customFormat="1" ht="31.5" x14ac:dyDescent="0.25">
      <c r="A1892" s="358"/>
      <c r="B1892" s="361"/>
      <c r="C1892" s="364"/>
      <c r="D1892" s="156" t="s">
        <v>106</v>
      </c>
      <c r="E1892" s="156" t="s">
        <v>107</v>
      </c>
      <c r="F1892" s="156"/>
      <c r="G1892" s="238">
        <f>MROUND(H1892*L1892*I1892/K1892,0.000000001)</f>
        <v>0</v>
      </c>
      <c r="H1892" s="158">
        <f>H91</f>
        <v>0</v>
      </c>
      <c r="I1892" s="159">
        <f>I1889</f>
        <v>5.3339000000000001E-4</v>
      </c>
      <c r="J1892" s="160"/>
      <c r="K1892" s="161">
        <f>K1889</f>
        <v>10</v>
      </c>
      <c r="L1892" s="250">
        <f>L452</f>
        <v>0</v>
      </c>
      <c r="M1892" s="163"/>
      <c r="N1892" s="164">
        <f>N91</f>
        <v>1256.0400600000007</v>
      </c>
      <c r="O1892" s="165">
        <f>MROUND(G1892*N1892,0.000000001)</f>
        <v>0</v>
      </c>
      <c r="P1892" s="166"/>
      <c r="Q1892" s="166">
        <f t="shared" si="396"/>
        <v>0</v>
      </c>
      <c r="R1892" s="71"/>
    </row>
    <row r="1893" spans="1:18" s="62" customFormat="1" x14ac:dyDescent="0.25">
      <c r="A1893" s="358"/>
      <c r="B1893" s="361"/>
      <c r="C1893" s="245" t="s">
        <v>296</v>
      </c>
      <c r="D1893" s="240"/>
      <c r="E1893" s="240"/>
      <c r="F1893" s="240"/>
      <c r="G1893" s="227"/>
      <c r="H1893" s="241"/>
      <c r="I1893" s="206"/>
      <c r="J1893" s="228"/>
      <c r="K1893" s="207"/>
      <c r="L1893" s="257"/>
      <c r="M1893" s="209"/>
      <c r="N1893" s="210"/>
      <c r="O1893" s="198">
        <f>SUM(O1879:O1892)</f>
        <v>321.39180299999998</v>
      </c>
      <c r="P1893" s="267"/>
      <c r="Q1893" s="166"/>
      <c r="R1893" s="71"/>
    </row>
    <row r="1894" spans="1:18" s="61" customFormat="1" ht="31.5" x14ac:dyDescent="0.25">
      <c r="A1894" s="358"/>
      <c r="B1894" s="361"/>
      <c r="C1894" s="252" t="s">
        <v>237</v>
      </c>
      <c r="D1894" s="156" t="s">
        <v>41</v>
      </c>
      <c r="E1894" s="156" t="s">
        <v>61</v>
      </c>
      <c r="F1894" s="156" t="s">
        <v>227</v>
      </c>
      <c r="G1894" s="238">
        <f>MROUND(H1894*L1894*I1894/K1894,0.000000001)</f>
        <v>2.1335600000000002E-4</v>
      </c>
      <c r="H1894" s="158">
        <f>H814</f>
        <v>4</v>
      </c>
      <c r="I1894" s="159">
        <f>I1892</f>
        <v>5.3339000000000001E-4</v>
      </c>
      <c r="J1894" s="160"/>
      <c r="K1894" s="161">
        <f>K1892</f>
        <v>10</v>
      </c>
      <c r="L1894" s="250">
        <v>1</v>
      </c>
      <c r="M1894" s="163" t="str">
        <f>CONCATENATE(H1894," ",F1894,"*",I1894,"/",K1894,"чел.")</f>
        <v>4 автобуса*0,00053339/10чел.</v>
      </c>
      <c r="N1894" s="164">
        <f>N94</f>
        <v>25724</v>
      </c>
      <c r="O1894" s="165">
        <f>MROUND(G1894*N1894,0.000001)</f>
        <v>5.4883699999999997</v>
      </c>
      <c r="P1894" s="166"/>
      <c r="Q1894" s="166">
        <f t="shared" si="396"/>
        <v>54.883699999999997</v>
      </c>
      <c r="R1894" s="71"/>
    </row>
    <row r="1895" spans="1:18" s="62" customFormat="1" x14ac:dyDescent="0.25">
      <c r="A1895" s="358"/>
      <c r="B1895" s="361"/>
      <c r="C1895" s="245" t="s">
        <v>297</v>
      </c>
      <c r="D1895" s="240"/>
      <c r="E1895" s="240"/>
      <c r="F1895" s="240"/>
      <c r="G1895" s="227"/>
      <c r="H1895" s="241"/>
      <c r="I1895" s="206"/>
      <c r="J1895" s="228"/>
      <c r="K1895" s="207"/>
      <c r="L1895" s="257"/>
      <c r="M1895" s="209"/>
      <c r="N1895" s="210"/>
      <c r="O1895" s="198">
        <f>SUM(O1894)</f>
        <v>5.4883699999999997</v>
      </c>
      <c r="P1895" s="267"/>
      <c r="Q1895" s="166"/>
      <c r="R1895" s="71"/>
    </row>
    <row r="1896" spans="1:18" s="61" customFormat="1" ht="78.75" x14ac:dyDescent="0.25">
      <c r="A1896" s="358"/>
      <c r="B1896" s="361"/>
      <c r="C1896" s="221" t="s">
        <v>236</v>
      </c>
      <c r="D1896" s="156" t="s">
        <v>19</v>
      </c>
      <c r="E1896" s="181" t="s">
        <v>20</v>
      </c>
      <c r="F1896" s="181" t="s">
        <v>238</v>
      </c>
      <c r="G1896" s="238">
        <f>MROUND(H1896*L1896*I1896/K1896,0.000001)</f>
        <v>0</v>
      </c>
      <c r="H1896" s="158"/>
      <c r="I1896" s="159">
        <f>I1892</f>
        <v>5.3339000000000001E-4</v>
      </c>
      <c r="J1896" s="160"/>
      <c r="K1896" s="161">
        <f>K1892</f>
        <v>10</v>
      </c>
      <c r="L1896" s="250"/>
      <c r="M1896" s="163"/>
      <c r="N1896" s="164"/>
      <c r="O1896" s="165">
        <f>MROUND(G1896*N1896,0.000001)</f>
        <v>0</v>
      </c>
      <c r="P1896" s="166"/>
      <c r="Q1896" s="166">
        <f t="shared" si="396"/>
        <v>0</v>
      </c>
      <c r="R1896" s="71"/>
    </row>
    <row r="1897" spans="1:18" s="62" customFormat="1" x14ac:dyDescent="0.25">
      <c r="A1897" s="358"/>
      <c r="B1897" s="361"/>
      <c r="C1897" s="245" t="s">
        <v>298</v>
      </c>
      <c r="D1897" s="240"/>
      <c r="E1897" s="253"/>
      <c r="F1897" s="253"/>
      <c r="G1897" s="227"/>
      <c r="H1897" s="241"/>
      <c r="I1897" s="206"/>
      <c r="J1897" s="228"/>
      <c r="K1897" s="207"/>
      <c r="L1897" s="257"/>
      <c r="M1897" s="209"/>
      <c r="N1897" s="210"/>
      <c r="O1897" s="198">
        <f>SUM(O1896)</f>
        <v>0</v>
      </c>
      <c r="P1897" s="267"/>
      <c r="Q1897" s="166"/>
      <c r="R1897" s="71"/>
    </row>
    <row r="1898" spans="1:18" s="61" customFormat="1" ht="30" x14ac:dyDescent="0.25">
      <c r="A1898" s="358"/>
      <c r="B1898" s="361"/>
      <c r="C1898" s="365" t="s">
        <v>81</v>
      </c>
      <c r="D1898" s="254" t="s">
        <v>410</v>
      </c>
      <c r="E1898" s="156" t="s">
        <v>28</v>
      </c>
      <c r="F1898" s="156" t="s">
        <v>28</v>
      </c>
      <c r="G1898" s="238">
        <f>MROUND(H1898*L1898*I1898/K1898,0.0000000001)</f>
        <v>3.7337300000000003E-4</v>
      </c>
      <c r="H1898" s="158">
        <f>H98</f>
        <v>7</v>
      </c>
      <c r="I1898" s="159">
        <f>I1892</f>
        <v>5.3339000000000001E-4</v>
      </c>
      <c r="J1898" s="160"/>
      <c r="K1898" s="161">
        <f>K1892</f>
        <v>10</v>
      </c>
      <c r="L1898" s="250">
        <v>1</v>
      </c>
      <c r="M1898" s="163" t="str">
        <f>CONCATENATE(H1898," ",F1898,"*",I1898,"/",K1898,"чел.")</f>
        <v>7 шт*0,00053339/10чел.</v>
      </c>
      <c r="N1898" s="164">
        <f>N98</f>
        <v>152142.85714285713</v>
      </c>
      <c r="O1898" s="165">
        <f>MROUND(G1898*N1898,0.000001)</f>
        <v>56.806034999999994</v>
      </c>
      <c r="P1898" s="166"/>
      <c r="Q1898" s="166">
        <f t="shared" si="396"/>
        <v>568.06034999999997</v>
      </c>
      <c r="R1898" s="71"/>
    </row>
    <row r="1899" spans="1:18" s="61" customFormat="1" x14ac:dyDescent="0.25">
      <c r="A1899" s="358"/>
      <c r="B1899" s="361"/>
      <c r="C1899" s="366"/>
      <c r="D1899" s="254" t="s">
        <v>325</v>
      </c>
      <c r="E1899" s="156" t="s">
        <v>28</v>
      </c>
      <c r="F1899" s="156" t="s">
        <v>28</v>
      </c>
      <c r="G1899" s="157">
        <f>MROUND(H1899*L1899*I1899/K1899,0.0000000001)</f>
        <v>1.226797E-3</v>
      </c>
      <c r="H1899" s="158">
        <f>$H$99</f>
        <v>23</v>
      </c>
      <c r="I1899" s="159">
        <f>I1898</f>
        <v>5.3339000000000001E-4</v>
      </c>
      <c r="J1899" s="160"/>
      <c r="K1899" s="161">
        <f>K1898</f>
        <v>10</v>
      </c>
      <c r="L1899" s="250">
        <v>1</v>
      </c>
      <c r="M1899" s="163" t="str">
        <f>CONCATENATE(H1899," ",F1899,"*",I1899,"/",K1899,"чел.")</f>
        <v>23 шт*0,00053339/10чел.</v>
      </c>
      <c r="N1899" s="164">
        <f>$N$99</f>
        <v>229039.13043478262</v>
      </c>
      <c r="O1899" s="165">
        <f>MROUND(G1899*N1899,0.000001)</f>
        <v>280.98451799999998</v>
      </c>
      <c r="P1899" s="166"/>
      <c r="Q1899" s="166">
        <f t="shared" si="396"/>
        <v>2809.8451799999998</v>
      </c>
      <c r="R1899" s="71"/>
    </row>
    <row r="1900" spans="1:18" s="61" customFormat="1" ht="30" x14ac:dyDescent="0.25">
      <c r="A1900" s="358"/>
      <c r="B1900" s="361"/>
      <c r="C1900" s="366"/>
      <c r="D1900" s="254" t="s">
        <v>411</v>
      </c>
      <c r="E1900" s="156" t="s">
        <v>28</v>
      </c>
      <c r="F1900" s="156" t="s">
        <v>28</v>
      </c>
      <c r="G1900" s="238">
        <f>MROUND(H1900*L1900*I1900/K1900,0.00000001)</f>
        <v>3.7336999999999998E-4</v>
      </c>
      <c r="H1900" s="158">
        <f>$H$100</f>
        <v>7</v>
      </c>
      <c r="I1900" s="159">
        <f>I1898</f>
        <v>5.3339000000000001E-4</v>
      </c>
      <c r="J1900" s="160"/>
      <c r="K1900" s="161">
        <f>K1898</f>
        <v>10</v>
      </c>
      <c r="L1900" s="250">
        <v>1</v>
      </c>
      <c r="M1900" s="163" t="str">
        <f t="shared" ref="M1900:M1921" si="403">CONCATENATE(H1900," ",F1900,"*",I1900,"/",K1900,"чел.")</f>
        <v>7 шт*0,00053339/10чел.</v>
      </c>
      <c r="N1900" s="164">
        <f t="shared" ref="N1900:N1914" si="404">N100</f>
        <v>82142.857142857145</v>
      </c>
      <c r="O1900" s="165">
        <f t="shared" ref="O1900:O1921" si="405">MROUND(G1900*N1900,0.000001)</f>
        <v>30.669678999999999</v>
      </c>
      <c r="P1900" s="166"/>
      <c r="Q1900" s="166">
        <f t="shared" si="396"/>
        <v>306.69678999999996</v>
      </c>
      <c r="R1900" s="71"/>
    </row>
    <row r="1901" spans="1:18" s="61" customFormat="1" x14ac:dyDescent="0.25">
      <c r="A1901" s="358"/>
      <c r="B1901" s="361"/>
      <c r="C1901" s="366"/>
      <c r="D1901" s="255" t="s">
        <v>412</v>
      </c>
      <c r="E1901" s="156" t="s">
        <v>28</v>
      </c>
      <c r="F1901" s="156" t="s">
        <v>28</v>
      </c>
      <c r="G1901" s="238">
        <f>MROUND(H1901*L1901*I1901/K1901,0.00000001)</f>
        <v>1.8668700000000001E-3</v>
      </c>
      <c r="H1901" s="158">
        <f>$H$101</f>
        <v>35</v>
      </c>
      <c r="I1901" s="159">
        <f>I1900</f>
        <v>5.3339000000000001E-4</v>
      </c>
      <c r="J1901" s="160"/>
      <c r="K1901" s="161">
        <f>K1900</f>
        <v>10</v>
      </c>
      <c r="L1901" s="250">
        <v>1</v>
      </c>
      <c r="M1901" s="163" t="str">
        <f t="shared" si="403"/>
        <v>35 шт*0,00053339/10чел.</v>
      </c>
      <c r="N1901" s="164">
        <f t="shared" si="404"/>
        <v>126114.97142857143</v>
      </c>
      <c r="O1901" s="165">
        <f t="shared" si="405"/>
        <v>235.440257</v>
      </c>
      <c r="P1901" s="166"/>
      <c r="Q1901" s="166">
        <f t="shared" si="396"/>
        <v>2354.4025700000002</v>
      </c>
      <c r="R1901" s="71"/>
    </row>
    <row r="1902" spans="1:18" s="61" customFormat="1" ht="31.5" x14ac:dyDescent="0.25">
      <c r="A1902" s="358"/>
      <c r="B1902" s="361"/>
      <c r="C1902" s="366"/>
      <c r="D1902" s="255" t="s">
        <v>413</v>
      </c>
      <c r="E1902" s="156" t="s">
        <v>28</v>
      </c>
      <c r="F1902" s="156" t="s">
        <v>28</v>
      </c>
      <c r="G1902" s="238">
        <f>MROUND(H1902*L1902*I1902/K1902,0.0000000001)</f>
        <v>8.0008500000000008E-4</v>
      </c>
      <c r="H1902" s="158">
        <f>H102</f>
        <v>15</v>
      </c>
      <c r="I1902" s="159">
        <f>I1901</f>
        <v>5.3339000000000001E-4</v>
      </c>
      <c r="J1902" s="160"/>
      <c r="K1902" s="161">
        <f>K1901</f>
        <v>10</v>
      </c>
      <c r="L1902" s="250">
        <v>1</v>
      </c>
      <c r="M1902" s="163" t="str">
        <f t="shared" si="403"/>
        <v>15 шт*0,00053339/10чел.</v>
      </c>
      <c r="N1902" s="164">
        <f t="shared" si="404"/>
        <v>75333.333333333328</v>
      </c>
      <c r="O1902" s="165">
        <f t="shared" si="405"/>
        <v>60.273069999999997</v>
      </c>
      <c r="P1902" s="166"/>
      <c r="Q1902" s="166">
        <f t="shared" si="396"/>
        <v>602.73069999999996</v>
      </c>
      <c r="R1902" s="71"/>
    </row>
    <row r="1903" spans="1:18" s="61" customFormat="1" x14ac:dyDescent="0.25">
      <c r="A1903" s="358"/>
      <c r="B1903" s="361"/>
      <c r="C1903" s="366"/>
      <c r="D1903" s="254" t="s">
        <v>109</v>
      </c>
      <c r="E1903" s="156" t="s">
        <v>28</v>
      </c>
      <c r="F1903" s="156" t="s">
        <v>28</v>
      </c>
      <c r="G1903" s="238">
        <f>MROUND(H1903*L1903*I1903/K1903,0.0000000001)</f>
        <v>8.5342399999999998E-4</v>
      </c>
      <c r="H1903" s="158">
        <f>$H$103</f>
        <v>16</v>
      </c>
      <c r="I1903" s="159">
        <f>I1902</f>
        <v>5.3339000000000001E-4</v>
      </c>
      <c r="J1903" s="160"/>
      <c r="K1903" s="161">
        <f>K1902</f>
        <v>10</v>
      </c>
      <c r="L1903" s="250">
        <v>1</v>
      </c>
      <c r="M1903" s="163" t="str">
        <f t="shared" si="403"/>
        <v>16 шт*0,00053339/10чел.</v>
      </c>
      <c r="N1903" s="164">
        <f t="shared" si="404"/>
        <v>169687.5</v>
      </c>
      <c r="O1903" s="165">
        <f t="shared" si="405"/>
        <v>144.81538499999999</v>
      </c>
      <c r="P1903" s="166"/>
      <c r="Q1903" s="166">
        <f t="shared" si="396"/>
        <v>1448.1538499999999</v>
      </c>
      <c r="R1903" s="71"/>
    </row>
    <row r="1904" spans="1:18" s="61" customFormat="1" x14ac:dyDescent="0.25">
      <c r="A1904" s="358"/>
      <c r="B1904" s="361"/>
      <c r="C1904" s="366"/>
      <c r="D1904" s="254" t="s">
        <v>414</v>
      </c>
      <c r="E1904" s="156" t="s">
        <v>28</v>
      </c>
      <c r="F1904" s="156" t="s">
        <v>28</v>
      </c>
      <c r="G1904" s="238">
        <f>MROUND(H1904*L1904*I1904/K1904,0.0000000001)</f>
        <v>4.80051E-4</v>
      </c>
      <c r="H1904" s="158">
        <f>$H$104</f>
        <v>9</v>
      </c>
      <c r="I1904" s="159">
        <f>I1902</f>
        <v>5.3339000000000001E-4</v>
      </c>
      <c r="J1904" s="160"/>
      <c r="K1904" s="161">
        <f>K1902</f>
        <v>10</v>
      </c>
      <c r="L1904" s="250">
        <v>1</v>
      </c>
      <c r="M1904" s="163" t="str">
        <f t="shared" si="403"/>
        <v>9 шт*0,00053339/10чел.</v>
      </c>
      <c r="N1904" s="164">
        <f t="shared" si="404"/>
        <v>89333.333333333328</v>
      </c>
      <c r="O1904" s="165">
        <f t="shared" si="405"/>
        <v>42.884555999999996</v>
      </c>
      <c r="P1904" s="166"/>
      <c r="Q1904" s="166">
        <f t="shared" si="396"/>
        <v>428.84555999999998</v>
      </c>
      <c r="R1904" s="71"/>
    </row>
    <row r="1905" spans="1:18" s="61" customFormat="1" x14ac:dyDescent="0.25">
      <c r="A1905" s="358"/>
      <c r="B1905" s="361"/>
      <c r="C1905" s="366"/>
      <c r="D1905" s="254" t="s">
        <v>415</v>
      </c>
      <c r="E1905" s="156" t="s">
        <v>28</v>
      </c>
      <c r="F1905" s="156" t="s">
        <v>28</v>
      </c>
      <c r="G1905" s="238">
        <f>MROUND(H1905*L1905*I1905/K1905,0.00000001)</f>
        <v>5.8673000000000004E-4</v>
      </c>
      <c r="H1905" s="158">
        <f>$H$105</f>
        <v>11</v>
      </c>
      <c r="I1905" s="159">
        <f t="shared" ref="I1905:I1914" si="406">I1903</f>
        <v>5.3339000000000001E-4</v>
      </c>
      <c r="J1905" s="160"/>
      <c r="K1905" s="161">
        <f t="shared" ref="K1905:K1914" si="407">K1903</f>
        <v>10</v>
      </c>
      <c r="L1905" s="250">
        <v>1</v>
      </c>
      <c r="M1905" s="163" t="str">
        <f t="shared" si="403"/>
        <v>11 шт*0,00053339/10чел.</v>
      </c>
      <c r="N1905" s="164">
        <f t="shared" si="404"/>
        <v>122181.81818181818</v>
      </c>
      <c r="O1905" s="165">
        <f t="shared" si="405"/>
        <v>71.687737999999996</v>
      </c>
      <c r="P1905" s="166"/>
      <c r="Q1905" s="166">
        <f t="shared" si="396"/>
        <v>716.8773799999999</v>
      </c>
      <c r="R1905" s="71"/>
    </row>
    <row r="1906" spans="1:18" s="61" customFormat="1" x14ac:dyDescent="0.25">
      <c r="A1906" s="358"/>
      <c r="B1906" s="361"/>
      <c r="C1906" s="366"/>
      <c r="D1906" s="254" t="s">
        <v>416</v>
      </c>
      <c r="E1906" s="156" t="s">
        <v>28</v>
      </c>
      <c r="F1906" s="156" t="s">
        <v>28</v>
      </c>
      <c r="G1906" s="238">
        <f>MROUND(H1906*L1906*I1906/K1906,0.000000001)</f>
        <v>1.06678E-3</v>
      </c>
      <c r="H1906" s="246">
        <f>$H$106</f>
        <v>20</v>
      </c>
      <c r="I1906" s="159">
        <f t="shared" si="406"/>
        <v>5.3339000000000001E-4</v>
      </c>
      <c r="J1906" s="160"/>
      <c r="K1906" s="161">
        <f t="shared" si="407"/>
        <v>10</v>
      </c>
      <c r="L1906" s="250">
        <v>1</v>
      </c>
      <c r="M1906" s="163" t="str">
        <f t="shared" si="403"/>
        <v>20 шт*0,00053339/10чел.</v>
      </c>
      <c r="N1906" s="164">
        <f t="shared" si="404"/>
        <v>52500</v>
      </c>
      <c r="O1906" s="165">
        <f t="shared" si="405"/>
        <v>56.005949999999999</v>
      </c>
      <c r="P1906" s="166"/>
      <c r="Q1906" s="166">
        <f t="shared" si="396"/>
        <v>560.05949999999996</v>
      </c>
      <c r="R1906" s="71"/>
    </row>
    <row r="1907" spans="1:18" s="61" customFormat="1" x14ac:dyDescent="0.25">
      <c r="A1907" s="358"/>
      <c r="B1907" s="361"/>
      <c r="C1907" s="366"/>
      <c r="D1907" s="254" t="s">
        <v>417</v>
      </c>
      <c r="E1907" s="156" t="s">
        <v>28</v>
      </c>
      <c r="F1907" s="156" t="s">
        <v>28</v>
      </c>
      <c r="G1907" s="238">
        <f>MROUND(H1907*L1907*I1907/K1907,0.00000001)</f>
        <v>9.0676000000000005E-4</v>
      </c>
      <c r="H1907" s="158">
        <f>$H$107</f>
        <v>17</v>
      </c>
      <c r="I1907" s="159">
        <f t="shared" si="406"/>
        <v>5.3339000000000001E-4</v>
      </c>
      <c r="J1907" s="160"/>
      <c r="K1907" s="161">
        <f t="shared" si="407"/>
        <v>10</v>
      </c>
      <c r="L1907" s="250">
        <v>1</v>
      </c>
      <c r="M1907" s="163" t="str">
        <f t="shared" si="403"/>
        <v>17 шт*0,00053339/10чел.</v>
      </c>
      <c r="N1907" s="164">
        <f t="shared" si="404"/>
        <v>75000</v>
      </c>
      <c r="O1907" s="165">
        <f t="shared" si="405"/>
        <v>68.006999999999991</v>
      </c>
      <c r="P1907" s="166"/>
      <c r="Q1907" s="166">
        <f t="shared" si="396"/>
        <v>680.06999999999994</v>
      </c>
      <c r="R1907" s="71"/>
    </row>
    <row r="1908" spans="1:18" s="61" customFormat="1" ht="30" x14ac:dyDescent="0.25">
      <c r="A1908" s="358"/>
      <c r="B1908" s="361"/>
      <c r="C1908" s="366"/>
      <c r="D1908" s="254" t="s">
        <v>418</v>
      </c>
      <c r="E1908" s="156" t="s">
        <v>28</v>
      </c>
      <c r="F1908" s="156" t="s">
        <v>28</v>
      </c>
      <c r="G1908" s="238">
        <f>MROUND(H1908*L1908*I1908/K1908,0.00000001)</f>
        <v>4.8004999999999999E-4</v>
      </c>
      <c r="H1908" s="158">
        <f>H108</f>
        <v>9</v>
      </c>
      <c r="I1908" s="159">
        <f t="shared" si="406"/>
        <v>5.3339000000000001E-4</v>
      </c>
      <c r="J1908" s="160"/>
      <c r="K1908" s="161">
        <f t="shared" si="407"/>
        <v>10</v>
      </c>
      <c r="L1908" s="250">
        <v>1</v>
      </c>
      <c r="M1908" s="163" t="str">
        <f t="shared" si="403"/>
        <v>9 шт*0,00053339/10чел.</v>
      </c>
      <c r="N1908" s="164">
        <f t="shared" si="404"/>
        <v>66666.666666666672</v>
      </c>
      <c r="O1908" s="165">
        <f t="shared" si="405"/>
        <v>32.003332999999998</v>
      </c>
      <c r="P1908" s="166"/>
      <c r="Q1908" s="166">
        <f t="shared" si="396"/>
        <v>320.03332999999998</v>
      </c>
      <c r="R1908" s="71"/>
    </row>
    <row r="1909" spans="1:18" s="61" customFormat="1" x14ac:dyDescent="0.25">
      <c r="A1909" s="358"/>
      <c r="B1909" s="361"/>
      <c r="C1909" s="366"/>
      <c r="D1909" s="254" t="s">
        <v>324</v>
      </c>
      <c r="E1909" s="156" t="s">
        <v>28</v>
      </c>
      <c r="F1909" s="156" t="s">
        <v>28</v>
      </c>
      <c r="G1909" s="238">
        <f>MROUND(H1909*L1909*I1909/K1909,0.000000001)</f>
        <v>9.6010200000000011E-4</v>
      </c>
      <c r="H1909" s="158">
        <f>$H$109</f>
        <v>18</v>
      </c>
      <c r="I1909" s="159">
        <f t="shared" si="406"/>
        <v>5.3339000000000001E-4</v>
      </c>
      <c r="J1909" s="160"/>
      <c r="K1909" s="161">
        <f t="shared" si="407"/>
        <v>10</v>
      </c>
      <c r="L1909" s="250">
        <v>1</v>
      </c>
      <c r="M1909" s="163" t="str">
        <f t="shared" si="403"/>
        <v>18 шт*0,00053339/10чел.</v>
      </c>
      <c r="N1909" s="164">
        <f t="shared" si="404"/>
        <v>365277.77777777775</v>
      </c>
      <c r="O1909" s="165">
        <f t="shared" si="405"/>
        <v>350.70392499999997</v>
      </c>
      <c r="P1909" s="166"/>
      <c r="Q1909" s="166">
        <f t="shared" si="396"/>
        <v>3507.0392499999998</v>
      </c>
      <c r="R1909" s="71"/>
    </row>
    <row r="1910" spans="1:18" s="61" customFormat="1" x14ac:dyDescent="0.25">
      <c r="A1910" s="358"/>
      <c r="B1910" s="361"/>
      <c r="C1910" s="366"/>
      <c r="D1910" s="254" t="s">
        <v>419</v>
      </c>
      <c r="E1910" s="156" t="s">
        <v>28</v>
      </c>
      <c r="F1910" s="156" t="s">
        <v>28</v>
      </c>
      <c r="G1910" s="238">
        <f>MROUND(H1910*L1910*I1910/K1910,0.000000001)</f>
        <v>1.2801360000000001E-3</v>
      </c>
      <c r="H1910" s="246">
        <f>$H$110</f>
        <v>24</v>
      </c>
      <c r="I1910" s="159">
        <f t="shared" si="406"/>
        <v>5.3339000000000001E-4</v>
      </c>
      <c r="J1910" s="160"/>
      <c r="K1910" s="161">
        <f t="shared" si="407"/>
        <v>10</v>
      </c>
      <c r="L1910" s="250">
        <v>1</v>
      </c>
      <c r="M1910" s="163" t="str">
        <f t="shared" si="403"/>
        <v>24 шт*0,00053339/10чел.</v>
      </c>
      <c r="N1910" s="164">
        <f t="shared" si="404"/>
        <v>32416.666666666668</v>
      </c>
      <c r="O1910" s="165">
        <f t="shared" si="405"/>
        <v>41.497741999999995</v>
      </c>
      <c r="P1910" s="166"/>
      <c r="Q1910" s="166">
        <f t="shared" si="396"/>
        <v>414.97741999999994</v>
      </c>
      <c r="R1910" s="71"/>
    </row>
    <row r="1911" spans="1:18" s="61" customFormat="1" x14ac:dyDescent="0.25">
      <c r="A1911" s="358"/>
      <c r="B1911" s="361"/>
      <c r="C1911" s="366"/>
      <c r="D1911" s="254" t="s">
        <v>420</v>
      </c>
      <c r="E1911" s="156" t="s">
        <v>28</v>
      </c>
      <c r="F1911" s="156" t="s">
        <v>28</v>
      </c>
      <c r="G1911" s="238">
        <f>MROUND(H1911*L1911*I1911/K1911,0.000000001)</f>
        <v>8.0008500000000008E-4</v>
      </c>
      <c r="H1911" s="158">
        <f>H111</f>
        <v>15</v>
      </c>
      <c r="I1911" s="159">
        <f t="shared" si="406"/>
        <v>5.3339000000000001E-4</v>
      </c>
      <c r="J1911" s="160"/>
      <c r="K1911" s="161">
        <f t="shared" si="407"/>
        <v>10</v>
      </c>
      <c r="L1911" s="250">
        <v>1</v>
      </c>
      <c r="M1911" s="163" t="str">
        <f t="shared" si="403"/>
        <v>15 шт*0,00053339/10чел.</v>
      </c>
      <c r="N1911" s="164">
        <f t="shared" si="404"/>
        <v>127666.66666666667</v>
      </c>
      <c r="O1911" s="165">
        <f t="shared" si="405"/>
        <v>102.14418499999999</v>
      </c>
      <c r="P1911" s="166"/>
      <c r="Q1911" s="166">
        <f t="shared" si="396"/>
        <v>1021.4418499999999</v>
      </c>
      <c r="R1911" s="71"/>
    </row>
    <row r="1912" spans="1:18" s="61" customFormat="1" x14ac:dyDescent="0.25">
      <c r="A1912" s="358"/>
      <c r="B1912" s="361"/>
      <c r="C1912" s="366"/>
      <c r="D1912" s="254" t="s">
        <v>421</v>
      </c>
      <c r="E1912" s="156" t="s">
        <v>28</v>
      </c>
      <c r="F1912" s="156" t="s">
        <v>28</v>
      </c>
      <c r="G1912" s="238">
        <f>MROUND(H1912*L1912*I1912/K1912,0.00000001)</f>
        <v>1.5468300000000001E-3</v>
      </c>
      <c r="H1912" s="158">
        <f>$H$112</f>
        <v>29</v>
      </c>
      <c r="I1912" s="159">
        <f t="shared" si="406"/>
        <v>5.3339000000000001E-4</v>
      </c>
      <c r="J1912" s="160"/>
      <c r="K1912" s="161">
        <f t="shared" si="407"/>
        <v>10</v>
      </c>
      <c r="L1912" s="250">
        <v>1</v>
      </c>
      <c r="M1912" s="163" t="str">
        <f t="shared" si="403"/>
        <v>29 шт*0,00053339/10чел.</v>
      </c>
      <c r="N1912" s="164">
        <f t="shared" si="404"/>
        <v>13517.241379310344</v>
      </c>
      <c r="O1912" s="165">
        <f t="shared" si="405"/>
        <v>20.908873999999997</v>
      </c>
      <c r="P1912" s="166"/>
      <c r="Q1912" s="166">
        <f t="shared" si="396"/>
        <v>209.08873999999997</v>
      </c>
      <c r="R1912" s="71"/>
    </row>
    <row r="1913" spans="1:18" s="61" customFormat="1" ht="30" x14ac:dyDescent="0.25">
      <c r="A1913" s="358"/>
      <c r="B1913" s="361"/>
      <c r="C1913" s="366"/>
      <c r="D1913" s="254" t="s">
        <v>422</v>
      </c>
      <c r="E1913" s="156" t="s">
        <v>28</v>
      </c>
      <c r="F1913" s="156" t="s">
        <v>28</v>
      </c>
      <c r="G1913" s="266">
        <f>MROUND(H1913*L1913*I1913/K1913,0.00000001)</f>
        <v>9.6009999999999997E-4</v>
      </c>
      <c r="H1913" s="158">
        <f>H1793</f>
        <v>18</v>
      </c>
      <c r="I1913" s="159">
        <f t="shared" si="406"/>
        <v>5.3339000000000001E-4</v>
      </c>
      <c r="J1913" s="160"/>
      <c r="K1913" s="161">
        <f t="shared" si="407"/>
        <v>10</v>
      </c>
      <c r="L1913" s="250">
        <v>1</v>
      </c>
      <c r="M1913" s="163" t="str">
        <f t="shared" si="403"/>
        <v>18 шт*0,00053339/10чел.</v>
      </c>
      <c r="N1913" s="164">
        <f t="shared" si="404"/>
        <v>34944.444444444445</v>
      </c>
      <c r="O1913" s="165">
        <f t="shared" si="405"/>
        <v>33.550160999999996</v>
      </c>
      <c r="P1913" s="166"/>
      <c r="Q1913" s="166">
        <f t="shared" si="396"/>
        <v>335.50160999999997</v>
      </c>
      <c r="R1913" s="71"/>
    </row>
    <row r="1914" spans="1:18" s="61" customFormat="1" x14ac:dyDescent="0.25">
      <c r="A1914" s="358"/>
      <c r="B1914" s="361"/>
      <c r="C1914" s="366"/>
      <c r="D1914" s="254" t="s">
        <v>423</v>
      </c>
      <c r="E1914" s="156" t="s">
        <v>28</v>
      </c>
      <c r="F1914" s="156" t="s">
        <v>28</v>
      </c>
      <c r="G1914" s="238">
        <f>MROUND(H1914*L1914*I1914/K1914,0.000000001)</f>
        <v>1.06678E-3</v>
      </c>
      <c r="H1914" s="158">
        <f>$H$114</f>
        <v>20</v>
      </c>
      <c r="I1914" s="159">
        <f t="shared" si="406"/>
        <v>5.3339000000000001E-4</v>
      </c>
      <c r="J1914" s="160"/>
      <c r="K1914" s="161">
        <f t="shared" si="407"/>
        <v>10</v>
      </c>
      <c r="L1914" s="250">
        <v>1</v>
      </c>
      <c r="M1914" s="163" t="str">
        <f t="shared" si="403"/>
        <v>20 шт*0,00053339/10чел.</v>
      </c>
      <c r="N1914" s="164">
        <f t="shared" si="404"/>
        <v>74500</v>
      </c>
      <c r="O1914" s="165">
        <f t="shared" si="405"/>
        <v>79.475110000000001</v>
      </c>
      <c r="P1914" s="166"/>
      <c r="Q1914" s="166">
        <f t="shared" si="396"/>
        <v>794.75109999999995</v>
      </c>
      <c r="R1914" s="71"/>
    </row>
    <row r="1915" spans="1:18" s="61" customFormat="1" x14ac:dyDescent="0.25">
      <c r="A1915" s="358"/>
      <c r="B1915" s="361"/>
      <c r="C1915" s="366"/>
      <c r="D1915" s="254" t="s">
        <v>424</v>
      </c>
      <c r="E1915" s="156" t="s">
        <v>28</v>
      </c>
      <c r="F1915" s="156" t="s">
        <v>28</v>
      </c>
      <c r="G1915" s="238">
        <f t="shared" ref="G1915:G1921" si="408">MROUND(H1915*L1915*I1915/K1915,0.00000001)</f>
        <v>1.8668700000000001E-3</v>
      </c>
      <c r="H1915" s="158">
        <f>H1435</f>
        <v>35</v>
      </c>
      <c r="I1915" s="159">
        <f>I1904</f>
        <v>5.3339000000000001E-4</v>
      </c>
      <c r="J1915" s="160"/>
      <c r="K1915" s="161">
        <f>K1904</f>
        <v>10</v>
      </c>
      <c r="L1915" s="250">
        <v>1</v>
      </c>
      <c r="M1915" s="163" t="str">
        <f t="shared" si="403"/>
        <v>35 шт*0,00053339/10чел.</v>
      </c>
      <c r="N1915" s="164">
        <f>N1435</f>
        <v>34285.714285714283</v>
      </c>
      <c r="O1915" s="165">
        <f t="shared" si="405"/>
        <v>64.006970999999993</v>
      </c>
      <c r="P1915" s="166"/>
      <c r="Q1915" s="166">
        <f t="shared" si="396"/>
        <v>640.06970999999999</v>
      </c>
      <c r="R1915" s="71"/>
    </row>
    <row r="1916" spans="1:18" s="61" customFormat="1" x14ac:dyDescent="0.25">
      <c r="A1916" s="358"/>
      <c r="B1916" s="361"/>
      <c r="C1916" s="366"/>
      <c r="D1916" s="254" t="s">
        <v>425</v>
      </c>
      <c r="E1916" s="156" t="s">
        <v>28</v>
      </c>
      <c r="F1916" s="156" t="s">
        <v>28</v>
      </c>
      <c r="G1916" s="277">
        <f t="shared" si="408"/>
        <v>1.8668700000000001E-3</v>
      </c>
      <c r="H1916" s="158">
        <f>H836</f>
        <v>35</v>
      </c>
      <c r="I1916" s="159">
        <f t="shared" ref="I1916:I1921" si="409">I1915</f>
        <v>5.3339000000000001E-4</v>
      </c>
      <c r="J1916" s="160"/>
      <c r="K1916" s="161">
        <f t="shared" ref="K1916:K1921" si="410">K1915</f>
        <v>10</v>
      </c>
      <c r="L1916" s="250">
        <v>1</v>
      </c>
      <c r="M1916" s="163" t="str">
        <f t="shared" si="403"/>
        <v>35 шт*0,00053339/10чел.</v>
      </c>
      <c r="N1916" s="164">
        <f t="shared" ref="N1916:N1921" si="411">N116</f>
        <v>19102.857142857141</v>
      </c>
      <c r="O1916" s="165">
        <f t="shared" si="405"/>
        <v>35.662551000000001</v>
      </c>
      <c r="P1916" s="166"/>
      <c r="Q1916" s="166">
        <f t="shared" si="396"/>
        <v>356.62551000000002</v>
      </c>
      <c r="R1916" s="71"/>
    </row>
    <row r="1917" spans="1:18" s="61" customFormat="1" x14ac:dyDescent="0.25">
      <c r="A1917" s="358"/>
      <c r="B1917" s="361"/>
      <c r="C1917" s="366"/>
      <c r="D1917" s="254" t="s">
        <v>108</v>
      </c>
      <c r="E1917" s="156" t="s">
        <v>28</v>
      </c>
      <c r="F1917" s="156" t="s">
        <v>28</v>
      </c>
      <c r="G1917" s="238">
        <f t="shared" si="408"/>
        <v>4.6138240000000004E-2</v>
      </c>
      <c r="H1917" s="158">
        <f>$H$117</f>
        <v>865</v>
      </c>
      <c r="I1917" s="159">
        <f t="shared" si="409"/>
        <v>5.3339000000000001E-4</v>
      </c>
      <c r="J1917" s="160"/>
      <c r="K1917" s="161">
        <f t="shared" si="410"/>
        <v>10</v>
      </c>
      <c r="L1917" s="250">
        <v>1</v>
      </c>
      <c r="M1917" s="163" t="str">
        <f t="shared" si="403"/>
        <v>865 шт*0,00053339/10чел.</v>
      </c>
      <c r="N1917" s="164">
        <f t="shared" si="411"/>
        <v>779.36416184971097</v>
      </c>
      <c r="O1917" s="165">
        <f t="shared" si="405"/>
        <v>35.958490999999995</v>
      </c>
      <c r="P1917" s="166"/>
      <c r="Q1917" s="166">
        <f t="shared" si="396"/>
        <v>359.58490999999992</v>
      </c>
      <c r="R1917" s="71"/>
    </row>
    <row r="1918" spans="1:18" s="61" customFormat="1" x14ac:dyDescent="0.25">
      <c r="A1918" s="358"/>
      <c r="B1918" s="361"/>
      <c r="C1918" s="366"/>
      <c r="D1918" s="254" t="s">
        <v>426</v>
      </c>
      <c r="E1918" s="156" t="s">
        <v>28</v>
      </c>
      <c r="F1918" s="156" t="s">
        <v>28</v>
      </c>
      <c r="G1918" s="238">
        <f t="shared" si="408"/>
        <v>2.3469200000000002E-3</v>
      </c>
      <c r="H1918" s="158">
        <f>H1198</f>
        <v>44</v>
      </c>
      <c r="I1918" s="159">
        <f t="shared" si="409"/>
        <v>5.3339000000000001E-4</v>
      </c>
      <c r="J1918" s="160"/>
      <c r="K1918" s="161">
        <f t="shared" si="410"/>
        <v>10</v>
      </c>
      <c r="L1918" s="250">
        <v>1</v>
      </c>
      <c r="M1918" s="163" t="str">
        <f t="shared" si="403"/>
        <v>44 шт*0,00053339/10чел.</v>
      </c>
      <c r="N1918" s="164">
        <f t="shared" si="411"/>
        <v>12416.954545454546</v>
      </c>
      <c r="O1918" s="165">
        <f t="shared" si="405"/>
        <v>29.141598999999999</v>
      </c>
      <c r="P1918" s="166"/>
      <c r="Q1918" s="166">
        <f t="shared" si="396"/>
        <v>291.41598999999997</v>
      </c>
      <c r="R1918" s="71"/>
    </row>
    <row r="1919" spans="1:18" s="61" customFormat="1" x14ac:dyDescent="0.25">
      <c r="A1919" s="358"/>
      <c r="B1919" s="361"/>
      <c r="C1919" s="366"/>
      <c r="D1919" s="254" t="s">
        <v>427</v>
      </c>
      <c r="E1919" s="156" t="s">
        <v>28</v>
      </c>
      <c r="F1919" s="156" t="s">
        <v>28</v>
      </c>
      <c r="G1919" s="238">
        <f t="shared" si="408"/>
        <v>3.5203700000000001E-3</v>
      </c>
      <c r="H1919" s="158">
        <f>H839</f>
        <v>66</v>
      </c>
      <c r="I1919" s="159">
        <f t="shared" si="409"/>
        <v>5.3339000000000001E-4</v>
      </c>
      <c r="J1919" s="160"/>
      <c r="K1919" s="161">
        <f t="shared" si="410"/>
        <v>10</v>
      </c>
      <c r="L1919" s="250">
        <v>1</v>
      </c>
      <c r="M1919" s="163" t="str">
        <f t="shared" si="403"/>
        <v>66 шт*0,00053339/10чел.</v>
      </c>
      <c r="N1919" s="164">
        <f t="shared" si="411"/>
        <v>13060.60606060606</v>
      </c>
      <c r="O1919" s="165">
        <f t="shared" si="405"/>
        <v>45.978165999999995</v>
      </c>
      <c r="P1919" s="166"/>
      <c r="Q1919" s="166">
        <f t="shared" si="396"/>
        <v>459.78165999999993</v>
      </c>
      <c r="R1919" s="71"/>
    </row>
    <row r="1920" spans="1:18" s="61" customFormat="1" x14ac:dyDescent="0.25">
      <c r="A1920" s="358"/>
      <c r="B1920" s="361"/>
      <c r="C1920" s="366"/>
      <c r="D1920" s="254" t="s">
        <v>428</v>
      </c>
      <c r="E1920" s="156" t="s">
        <v>28</v>
      </c>
      <c r="F1920" s="156" t="s">
        <v>28</v>
      </c>
      <c r="G1920" s="238">
        <f t="shared" si="408"/>
        <v>1.8401960000000002E-2</v>
      </c>
      <c r="H1920" s="158">
        <f>H120</f>
        <v>345</v>
      </c>
      <c r="I1920" s="159">
        <f t="shared" si="409"/>
        <v>5.3339000000000001E-4</v>
      </c>
      <c r="J1920" s="160"/>
      <c r="K1920" s="161">
        <f t="shared" si="410"/>
        <v>10</v>
      </c>
      <c r="L1920" s="250">
        <v>1</v>
      </c>
      <c r="M1920" s="163" t="str">
        <f t="shared" si="403"/>
        <v>345 шт*0,00053339/10чел.</v>
      </c>
      <c r="N1920" s="164">
        <f t="shared" si="411"/>
        <v>8520.7246376811599</v>
      </c>
      <c r="O1920" s="165">
        <f t="shared" si="405"/>
        <v>156.798034</v>
      </c>
      <c r="P1920" s="166"/>
      <c r="Q1920" s="166">
        <f t="shared" si="396"/>
        <v>1567.9803400000001</v>
      </c>
      <c r="R1920" s="71"/>
    </row>
    <row r="1921" spans="1:18" s="61" customFormat="1" x14ac:dyDescent="0.25">
      <c r="A1921" s="358"/>
      <c r="B1921" s="361"/>
      <c r="C1921" s="366"/>
      <c r="D1921" s="255" t="s">
        <v>429</v>
      </c>
      <c r="E1921" s="156" t="s">
        <v>28</v>
      </c>
      <c r="F1921" s="156" t="s">
        <v>28</v>
      </c>
      <c r="G1921" s="238">
        <f t="shared" si="408"/>
        <v>2.6136100000000002E-3</v>
      </c>
      <c r="H1921" s="158">
        <f>H121</f>
        <v>49</v>
      </c>
      <c r="I1921" s="159">
        <f t="shared" si="409"/>
        <v>5.3339000000000001E-4</v>
      </c>
      <c r="J1921" s="160"/>
      <c r="K1921" s="161">
        <f t="shared" si="410"/>
        <v>10</v>
      </c>
      <c r="L1921" s="250">
        <v>1</v>
      </c>
      <c r="M1921" s="163" t="str">
        <f t="shared" si="403"/>
        <v>49 шт*0,00053339/10чел.</v>
      </c>
      <c r="N1921" s="164">
        <f t="shared" si="411"/>
        <v>53775.510204081635</v>
      </c>
      <c r="O1921" s="165">
        <f t="shared" si="405"/>
        <v>140.54821099999998</v>
      </c>
      <c r="P1921" s="166"/>
      <c r="Q1921" s="166">
        <f t="shared" si="396"/>
        <v>1405.4821099999999</v>
      </c>
      <c r="R1921" s="71"/>
    </row>
    <row r="1922" spans="1:18" s="62" customFormat="1" x14ac:dyDescent="0.25">
      <c r="A1922" s="358"/>
      <c r="B1922" s="361"/>
      <c r="C1922" s="249" t="s">
        <v>299</v>
      </c>
      <c r="D1922" s="256"/>
      <c r="E1922" s="240"/>
      <c r="F1922" s="240"/>
      <c r="G1922" s="227"/>
      <c r="H1922" s="241"/>
      <c r="I1922" s="206"/>
      <c r="J1922" s="228"/>
      <c r="K1922" s="207"/>
      <c r="L1922" s="257"/>
      <c r="M1922" s="209"/>
      <c r="N1922" s="210"/>
      <c r="O1922" s="198">
        <f>SUM(O1898:O1921)</f>
        <v>2215.9515409999995</v>
      </c>
      <c r="P1922" s="267"/>
      <c r="Q1922" s="166"/>
      <c r="R1922" s="71"/>
    </row>
    <row r="1923" spans="1:18" s="61" customFormat="1" ht="110.25" x14ac:dyDescent="0.25">
      <c r="A1923" s="358"/>
      <c r="B1923" s="361"/>
      <c r="C1923" s="221" t="s">
        <v>82</v>
      </c>
      <c r="D1923" s="156" t="s">
        <v>46</v>
      </c>
      <c r="E1923" s="156" t="s">
        <v>54</v>
      </c>
      <c r="F1923" s="156" t="s">
        <v>285</v>
      </c>
      <c r="G1923" s="238">
        <f>MROUND(H1923*L1923*I1923/K1923,0.000001)</f>
        <v>0.60326400000000002</v>
      </c>
      <c r="H1923" s="242">
        <f>H1443</f>
        <v>1028.181818181818</v>
      </c>
      <c r="I1923" s="159">
        <f>I1921</f>
        <v>5.3339000000000001E-4</v>
      </c>
      <c r="J1923" s="160"/>
      <c r="K1923" s="161">
        <f>K1921</f>
        <v>10</v>
      </c>
      <c r="L1923" s="225">
        <f>L1683</f>
        <v>11</v>
      </c>
      <c r="M1923" s="163" t="str">
        <f>CONCATENATE(H1923," ",F1923,"*",L1923,"автобуса","*",I1923,"/",K1923,"чел.")</f>
        <v>1028,18181818182 л бензина АИ 92 (12,5л/день(зимой)*20дней*7мес+10л/день(летом)*20дней*4мес)*11автобуса*0,00053339/10чел.</v>
      </c>
      <c r="N1923" s="164">
        <f>N123</f>
        <v>54.500000000000007</v>
      </c>
      <c r="O1923" s="165">
        <f>MROUND(G1923*N1923,0.000001)</f>
        <v>32.877887999999999</v>
      </c>
      <c r="P1923" s="166"/>
      <c r="Q1923" s="166">
        <f t="shared" ref="Q1923:Q1983" si="412">O1923*K1923</f>
        <v>328.77887999999996</v>
      </c>
      <c r="R1923" s="71"/>
    </row>
    <row r="1924" spans="1:18" s="62" customFormat="1" x14ac:dyDescent="0.25">
      <c r="A1924" s="358"/>
      <c r="B1924" s="361"/>
      <c r="C1924" s="218" t="s">
        <v>300</v>
      </c>
      <c r="D1924" s="240"/>
      <c r="E1924" s="240"/>
      <c r="F1924" s="240"/>
      <c r="G1924" s="227"/>
      <c r="H1924" s="241"/>
      <c r="I1924" s="206"/>
      <c r="J1924" s="228"/>
      <c r="K1924" s="207"/>
      <c r="L1924" s="257"/>
      <c r="M1924" s="209"/>
      <c r="N1924" s="210"/>
      <c r="O1924" s="198">
        <f>SUM(O1923)</f>
        <v>32.877887999999999</v>
      </c>
      <c r="P1924" s="267"/>
      <c r="Q1924" s="166"/>
      <c r="R1924" s="71"/>
    </row>
    <row r="1925" spans="1:18" s="61" customFormat="1" ht="47.25" x14ac:dyDescent="0.25">
      <c r="A1925" s="358"/>
      <c r="B1925" s="361"/>
      <c r="C1925" s="221" t="s">
        <v>434</v>
      </c>
      <c r="D1925" s="156" t="s">
        <v>436</v>
      </c>
      <c r="E1925" s="156" t="s">
        <v>28</v>
      </c>
      <c r="F1925" s="156" t="s">
        <v>437</v>
      </c>
      <c r="G1925" s="157">
        <f>MROUND(H1925*L1925*I1925/K1925,0.000001)</f>
        <v>1.5467999999999999E-2</v>
      </c>
      <c r="H1925" s="242">
        <f>$H$125</f>
        <v>290</v>
      </c>
      <c r="I1925" s="159">
        <f>I1923</f>
        <v>5.3339000000000001E-4</v>
      </c>
      <c r="J1925" s="160"/>
      <c r="K1925" s="161">
        <f>K1923</f>
        <v>10</v>
      </c>
      <c r="L1925" s="162">
        <v>1</v>
      </c>
      <c r="M1925" s="163" t="str">
        <f>CONCATENATE(H1925," ",F1925,"*",L1925,"автобуса","*",I1925,"/",K1925,"чел.")</f>
        <v>290 огнетушителей (потребность учреждений) *1автобуса*0,00053339/10чел.</v>
      </c>
      <c r="N1925" s="164">
        <f>$N$125</f>
        <v>2000</v>
      </c>
      <c r="O1925" s="165">
        <f>MROUND(G1925*N1925,0.000001)</f>
        <v>30.936</v>
      </c>
      <c r="P1925" s="166"/>
      <c r="Q1925" s="166">
        <f t="shared" si="412"/>
        <v>309.36</v>
      </c>
      <c r="R1925" s="71"/>
    </row>
    <row r="1926" spans="1:18" s="61" customFormat="1" x14ac:dyDescent="0.25">
      <c r="A1926" s="358"/>
      <c r="B1926" s="361"/>
      <c r="C1926" s="218" t="s">
        <v>435</v>
      </c>
      <c r="D1926" s="240"/>
      <c r="E1926" s="240"/>
      <c r="F1926" s="240"/>
      <c r="G1926" s="251"/>
      <c r="H1926" s="241"/>
      <c r="I1926" s="206"/>
      <c r="J1926" s="228"/>
      <c r="K1926" s="207"/>
      <c r="L1926" s="229"/>
      <c r="M1926" s="209"/>
      <c r="N1926" s="210"/>
      <c r="O1926" s="198">
        <f>SUM(O1925)</f>
        <v>30.936</v>
      </c>
      <c r="P1926" s="166"/>
      <c r="Q1926" s="166"/>
      <c r="R1926" s="71"/>
    </row>
    <row r="1927" spans="1:18" s="61" customFormat="1" ht="47.25" x14ac:dyDescent="0.25">
      <c r="A1927" s="358"/>
      <c r="B1927" s="361"/>
      <c r="C1927" s="364" t="s">
        <v>118</v>
      </c>
      <c r="D1927" s="156" t="s">
        <v>47</v>
      </c>
      <c r="E1927" s="156" t="s">
        <v>28</v>
      </c>
      <c r="F1927" s="156" t="s">
        <v>239</v>
      </c>
      <c r="G1927" s="238">
        <f>MROUND(H1927*L1927*I1927/K1927,0.00000001)</f>
        <v>7.6808200000000005E-3</v>
      </c>
      <c r="H1927" s="158">
        <f>H847</f>
        <v>144</v>
      </c>
      <c r="I1927" s="159">
        <f>I1923</f>
        <v>5.3339000000000001E-4</v>
      </c>
      <c r="J1927" s="160"/>
      <c r="K1927" s="161">
        <f>K1923</f>
        <v>10</v>
      </c>
      <c r="L1927" s="250">
        <v>1</v>
      </c>
      <c r="M1927" s="163" t="str">
        <f>CONCATENATE(H1927," ",F1927,"*",I1927,"/",K1927,"чел.")</f>
        <v>144 манометров (потребность учреждений) *0,00053339/10чел.</v>
      </c>
      <c r="N1927" s="164">
        <f>N127</f>
        <v>708.5</v>
      </c>
      <c r="O1927" s="165">
        <f>MROUND(G1927*N1927,0.000001)</f>
        <v>5.4418609999999994</v>
      </c>
      <c r="P1927" s="166"/>
      <c r="Q1927" s="166">
        <f t="shared" si="412"/>
        <v>54.418609999999994</v>
      </c>
      <c r="R1927" s="71"/>
    </row>
    <row r="1928" spans="1:18" s="61" customFormat="1" ht="47.25" x14ac:dyDescent="0.25">
      <c r="A1928" s="358"/>
      <c r="B1928" s="361"/>
      <c r="C1928" s="364"/>
      <c r="D1928" s="255" t="s">
        <v>113</v>
      </c>
      <c r="E1928" s="156" t="s">
        <v>28</v>
      </c>
      <c r="F1928" s="156" t="s">
        <v>240</v>
      </c>
      <c r="G1928" s="238">
        <f>MROUND(H1928*L1928*I1928/K1928,0.00000001)</f>
        <v>0.30483238000000001</v>
      </c>
      <c r="H1928" s="158">
        <f>H488</f>
        <v>5715</v>
      </c>
      <c r="I1928" s="159">
        <f>I1927</f>
        <v>5.3339000000000001E-4</v>
      </c>
      <c r="J1928" s="160"/>
      <c r="K1928" s="161">
        <f>K1927</f>
        <v>10</v>
      </c>
      <c r="L1928" s="250">
        <v>1</v>
      </c>
      <c r="M1928" s="163" t="str">
        <f>CONCATENATE(H1928," ",F1928,"*",I1928,"/",K1928,"чел.")</f>
        <v>5715 светильников (потребность учреждений)*0,00053339/10чел.</v>
      </c>
      <c r="N1928" s="164">
        <f>N128</f>
        <v>106.27500087489064</v>
      </c>
      <c r="O1928" s="165">
        <f>MROUND(G1928*N1928,0.000001)</f>
        <v>32.396060999999996</v>
      </c>
      <c r="P1928" s="166"/>
      <c r="Q1928" s="166">
        <f t="shared" si="412"/>
        <v>323.96060999999997</v>
      </c>
      <c r="R1928" s="71"/>
    </row>
    <row r="1929" spans="1:18" s="62" customFormat="1" x14ac:dyDescent="0.25">
      <c r="A1929" s="359"/>
      <c r="B1929" s="362"/>
      <c r="C1929" s="218" t="s">
        <v>301</v>
      </c>
      <c r="D1929" s="256"/>
      <c r="E1929" s="240"/>
      <c r="F1929" s="240"/>
      <c r="G1929" s="227"/>
      <c r="H1929" s="241"/>
      <c r="I1929" s="206"/>
      <c r="J1929" s="228"/>
      <c r="K1929" s="207"/>
      <c r="L1929" s="257"/>
      <c r="M1929" s="209"/>
      <c r="N1929" s="210"/>
      <c r="O1929" s="198">
        <f>SUM(O1927:O1928)</f>
        <v>37.837921999999992</v>
      </c>
      <c r="P1929" s="267"/>
      <c r="Q1929" s="166"/>
      <c r="R1929" s="71"/>
    </row>
    <row r="1930" spans="1:18" s="61" customFormat="1" x14ac:dyDescent="0.25">
      <c r="A1930" s="357" t="str">
        <f>CONCATENATE(школы!$B$23,", ",школы!$C$23,", ",школы!$D$23)</f>
        <v xml:space="preserve">Реализация основных общеобразовательных программ среднего общего образования, образовательная программа, обеспечивающая углубленное изучение отдельных учебных предметов, предметных областей (профильное обучение), </v>
      </c>
      <c r="B1930" s="360" t="str">
        <f>школы!$A$23</f>
        <v>802112О.99.0.ББ11АП76001</v>
      </c>
      <c r="C1930" s="194"/>
      <c r="D1930" s="363" t="s">
        <v>15</v>
      </c>
      <c r="E1930" s="363"/>
      <c r="F1930" s="363"/>
      <c r="G1930" s="363"/>
      <c r="H1930" s="195"/>
      <c r="I1930" s="195"/>
      <c r="J1930" s="195"/>
      <c r="K1930" s="195"/>
      <c r="L1930" s="196"/>
      <c r="M1930" s="197"/>
      <c r="N1930" s="164"/>
      <c r="O1930" s="198">
        <f>O1931+O1936+O1938</f>
        <v>9601.3676496389999</v>
      </c>
      <c r="P1930" s="166"/>
      <c r="Q1930" s="166"/>
      <c r="R1930" s="71"/>
    </row>
    <row r="1931" spans="1:18" s="61" customFormat="1" x14ac:dyDescent="0.25">
      <c r="A1931" s="358"/>
      <c r="B1931" s="361"/>
      <c r="C1931" s="194"/>
      <c r="D1931" s="350" t="s">
        <v>62</v>
      </c>
      <c r="E1931" s="350"/>
      <c r="F1931" s="350"/>
      <c r="G1931" s="350"/>
      <c r="H1931" s="195"/>
      <c r="I1931" s="195"/>
      <c r="J1931" s="195"/>
      <c r="K1931" s="195"/>
      <c r="L1931" s="196"/>
      <c r="M1931" s="197"/>
      <c r="N1931" s="164"/>
      <c r="O1931" s="165">
        <f>O1933+O1935</f>
        <v>9601.3676496389999</v>
      </c>
      <c r="P1931" s="166"/>
      <c r="Q1931" s="166"/>
      <c r="R1931" s="71"/>
    </row>
    <row r="1932" spans="1:18" s="61" customFormat="1" x14ac:dyDescent="0.25">
      <c r="A1932" s="358"/>
      <c r="B1932" s="361"/>
      <c r="C1932" s="194">
        <v>211</v>
      </c>
      <c r="D1932" s="194" t="s">
        <v>86</v>
      </c>
      <c r="E1932" s="199" t="s">
        <v>95</v>
      </c>
      <c r="F1932" s="199" t="s">
        <v>95</v>
      </c>
      <c r="G1932" s="275">
        <f>MROUND(H1932*L1932*I1932/K1932,0.0000000001)</f>
        <v>0.5900140894</v>
      </c>
      <c r="H1932" s="201">
        <f>H1092</f>
        <v>921.8</v>
      </c>
      <c r="I1932" s="159">
        <f>школы!$K$23</f>
        <v>2.8856369999999999E-2</v>
      </c>
      <c r="J1932" s="159"/>
      <c r="K1932" s="161">
        <f>школы!$G$23</f>
        <v>541</v>
      </c>
      <c r="L1932" s="202">
        <v>12</v>
      </c>
      <c r="M1932" s="163" t="str">
        <f>CONCATENATE(H1932," ",F1932," ","в мес.","*",L1932,"мес.","*",I1932,"/",K1932,"чел.")</f>
        <v>921,8 шт.ед в мес.*12мес.*0,02885637/541чел.</v>
      </c>
      <c r="N1932" s="164">
        <f>N1092</f>
        <v>12498.552905979601</v>
      </c>
      <c r="O1932" s="165">
        <f>MROUND(G1932*N1932,0.000000001)</f>
        <v>7374.3223116390009</v>
      </c>
      <c r="P1932" s="166"/>
      <c r="Q1932" s="166">
        <f t="shared" si="412"/>
        <v>3989508.3705966994</v>
      </c>
      <c r="R1932" s="71"/>
    </row>
    <row r="1933" spans="1:18" s="62" customFormat="1" x14ac:dyDescent="0.25">
      <c r="A1933" s="358"/>
      <c r="B1933" s="361"/>
      <c r="C1933" s="203" t="s">
        <v>288</v>
      </c>
      <c r="D1933" s="203"/>
      <c r="E1933" s="204"/>
      <c r="F1933" s="204"/>
      <c r="G1933" s="205"/>
      <c r="H1933" s="206"/>
      <c r="I1933" s="206"/>
      <c r="J1933" s="206"/>
      <c r="K1933" s="207"/>
      <c r="L1933" s="208"/>
      <c r="M1933" s="209"/>
      <c r="N1933" s="210">
        <f>N1932</f>
        <v>12498.552905979601</v>
      </c>
      <c r="O1933" s="198">
        <f>O1932</f>
        <v>7374.3223116390009</v>
      </c>
      <c r="P1933" s="267"/>
      <c r="Q1933" s="166"/>
      <c r="R1933" s="71"/>
    </row>
    <row r="1934" spans="1:18" s="61" customFormat="1" x14ac:dyDescent="0.25">
      <c r="A1934" s="358"/>
      <c r="B1934" s="361"/>
      <c r="C1934" s="194">
        <v>213</v>
      </c>
      <c r="D1934" s="194" t="s">
        <v>87</v>
      </c>
      <c r="E1934" s="194" t="s">
        <v>88</v>
      </c>
      <c r="F1934" s="194"/>
      <c r="G1934" s="211">
        <v>30.2</v>
      </c>
      <c r="H1934" s="159"/>
      <c r="I1934" s="159"/>
      <c r="J1934" s="159"/>
      <c r="K1934" s="161">
        <f>K1932</f>
        <v>541</v>
      </c>
      <c r="L1934" s="202"/>
      <c r="M1934" s="212"/>
      <c r="N1934" s="164"/>
      <c r="O1934" s="165">
        <f>MROUND(O1932*0.302,0.000001)</f>
        <v>2227.0453379999999</v>
      </c>
      <c r="P1934" s="166"/>
      <c r="Q1934" s="166">
        <f>O1934*K1934</f>
        <v>1204831.527858</v>
      </c>
      <c r="R1934" s="71"/>
    </row>
    <row r="1935" spans="1:18" s="62" customFormat="1" x14ac:dyDescent="0.25">
      <c r="A1935" s="358"/>
      <c r="B1935" s="361"/>
      <c r="C1935" s="203" t="s">
        <v>289</v>
      </c>
      <c r="D1935" s="203"/>
      <c r="E1935" s="203"/>
      <c r="F1935" s="203"/>
      <c r="G1935" s="213"/>
      <c r="H1935" s="214"/>
      <c r="I1935" s="206"/>
      <c r="J1935" s="214"/>
      <c r="K1935" s="207"/>
      <c r="L1935" s="215"/>
      <c r="M1935" s="216"/>
      <c r="N1935" s="210"/>
      <c r="O1935" s="198">
        <f>O1934</f>
        <v>2227.0453379999999</v>
      </c>
      <c r="P1935" s="267"/>
      <c r="Q1935" s="166"/>
      <c r="R1935" s="71"/>
    </row>
    <row r="1936" spans="1:18" s="61" customFormat="1" x14ac:dyDescent="0.25">
      <c r="A1936" s="358"/>
      <c r="B1936" s="361"/>
      <c r="C1936" s="194"/>
      <c r="D1936" s="356" t="s">
        <v>63</v>
      </c>
      <c r="E1936" s="356"/>
      <c r="F1936" s="356"/>
      <c r="G1936" s="356"/>
      <c r="H1936" s="195"/>
      <c r="I1936" s="159"/>
      <c r="J1936" s="195"/>
      <c r="K1936" s="161"/>
      <c r="L1936" s="196"/>
      <c r="M1936" s="197"/>
      <c r="N1936" s="164"/>
      <c r="O1936" s="165"/>
      <c r="P1936" s="166"/>
      <c r="Q1936" s="166"/>
      <c r="R1936" s="71"/>
    </row>
    <row r="1937" spans="1:18" s="61" customFormat="1" x14ac:dyDescent="0.25">
      <c r="A1937" s="358"/>
      <c r="B1937" s="361"/>
      <c r="C1937" s="194"/>
      <c r="D1937" s="194"/>
      <c r="E1937" s="194"/>
      <c r="F1937" s="194"/>
      <c r="G1937" s="217"/>
      <c r="H1937" s="195"/>
      <c r="I1937" s="159"/>
      <c r="J1937" s="195"/>
      <c r="K1937" s="161"/>
      <c r="L1937" s="196"/>
      <c r="M1937" s="197"/>
      <c r="N1937" s="164"/>
      <c r="O1937" s="165"/>
      <c r="P1937" s="166"/>
      <c r="Q1937" s="166"/>
      <c r="R1937" s="71"/>
    </row>
    <row r="1938" spans="1:18" s="61" customFormat="1" x14ac:dyDescent="0.25">
      <c r="A1938" s="358"/>
      <c r="B1938" s="361"/>
      <c r="C1938" s="194"/>
      <c r="D1938" s="350" t="s">
        <v>64</v>
      </c>
      <c r="E1938" s="350"/>
      <c r="F1938" s="350"/>
      <c r="G1938" s="350"/>
      <c r="H1938" s="195"/>
      <c r="I1938" s="159"/>
      <c r="J1938" s="195"/>
      <c r="K1938" s="161"/>
      <c r="L1938" s="196"/>
      <c r="M1938" s="197"/>
      <c r="N1938" s="164"/>
      <c r="O1938" s="165"/>
      <c r="P1938" s="166"/>
      <c r="Q1938" s="166"/>
      <c r="R1938" s="71"/>
    </row>
    <row r="1939" spans="1:18" s="61" customFormat="1" x14ac:dyDescent="0.25">
      <c r="A1939" s="358"/>
      <c r="B1939" s="361"/>
      <c r="C1939" s="194"/>
      <c r="D1939" s="194"/>
      <c r="E1939" s="194"/>
      <c r="F1939" s="194"/>
      <c r="G1939" s="217"/>
      <c r="H1939" s="195"/>
      <c r="I1939" s="159"/>
      <c r="J1939" s="195"/>
      <c r="K1939" s="161"/>
      <c r="L1939" s="196"/>
      <c r="M1939" s="197"/>
      <c r="N1939" s="164"/>
      <c r="O1939" s="165"/>
      <c r="P1939" s="166"/>
      <c r="Q1939" s="166"/>
      <c r="R1939" s="71"/>
    </row>
    <row r="1940" spans="1:18" s="61" customFormat="1" x14ac:dyDescent="0.25">
      <c r="A1940" s="358"/>
      <c r="B1940" s="361"/>
      <c r="C1940" s="194"/>
      <c r="D1940" s="355" t="s">
        <v>5</v>
      </c>
      <c r="E1940" s="355"/>
      <c r="F1940" s="355"/>
      <c r="G1940" s="355"/>
      <c r="H1940" s="195"/>
      <c r="I1940" s="159"/>
      <c r="J1940" s="195"/>
      <c r="K1940" s="161"/>
      <c r="L1940" s="196"/>
      <c r="M1940" s="197"/>
      <c r="N1940" s="164"/>
      <c r="O1940" s="198">
        <f>O1941+O1951+O1962+O1964+O1966+O1968+O1970</f>
        <v>51216.424793123886</v>
      </c>
      <c r="P1940" s="166"/>
      <c r="Q1940" s="166"/>
      <c r="R1940" s="71"/>
    </row>
    <row r="1941" spans="1:18" s="61" customFormat="1" x14ac:dyDescent="0.25">
      <c r="A1941" s="358"/>
      <c r="B1941" s="361"/>
      <c r="C1941" s="218" t="s">
        <v>70</v>
      </c>
      <c r="D1941" s="355" t="s">
        <v>6</v>
      </c>
      <c r="E1941" s="355"/>
      <c r="F1941" s="355"/>
      <c r="G1941" s="355"/>
      <c r="H1941" s="189"/>
      <c r="I1941" s="159"/>
      <c r="J1941" s="189"/>
      <c r="K1941" s="161"/>
      <c r="L1941" s="190"/>
      <c r="M1941" s="197"/>
      <c r="N1941" s="210"/>
      <c r="O1941" s="198">
        <f>O1950</f>
        <v>9227.4435196100003</v>
      </c>
      <c r="P1941" s="166"/>
      <c r="Q1941" s="166"/>
      <c r="R1941" s="71"/>
    </row>
    <row r="1942" spans="1:18" s="61" customFormat="1" ht="31.5" x14ac:dyDescent="0.25">
      <c r="A1942" s="358"/>
      <c r="B1942" s="361"/>
      <c r="C1942" s="221" t="s">
        <v>72</v>
      </c>
      <c r="D1942" s="222" t="s">
        <v>7</v>
      </c>
      <c r="E1942" s="223" t="s">
        <v>8</v>
      </c>
      <c r="F1942" s="223" t="s">
        <v>8</v>
      </c>
      <c r="G1942" s="238">
        <f>MROUND(H1942*L1942*I1942/K1942,0.00000000001)</f>
        <v>176.71840616648998</v>
      </c>
      <c r="H1942" s="160">
        <f>H1222</f>
        <v>3313121.4264326878</v>
      </c>
      <c r="I1942" s="159">
        <f>I1932</f>
        <v>2.8856369999999999E-2</v>
      </c>
      <c r="J1942" s="160"/>
      <c r="K1942" s="161">
        <f>K1932</f>
        <v>541</v>
      </c>
      <c r="L1942" s="250">
        <v>1</v>
      </c>
      <c r="M1942" s="163" t="str">
        <f t="shared" ref="M1942:M1947" si="413">CONCATENATE(H1942," ",F1942,"(лимиты выделенные УЖКХ) ","*",I1942,"/",K1942,"чел.")</f>
        <v>3313121,42643269 кВт час.(лимиты выделенные УЖКХ) *0,02885637/541чел.</v>
      </c>
      <c r="N1942" s="164">
        <f>N1222</f>
        <v>10.418446162163715</v>
      </c>
      <c r="O1942" s="165">
        <f t="shared" ref="O1942:O1949" si="414">MROUND(G1942*N1942,0.000001)</f>
        <v>1841.1312009999999</v>
      </c>
      <c r="P1942" s="166"/>
      <c r="Q1942" s="166">
        <f t="shared" si="412"/>
        <v>996051.97974099999</v>
      </c>
      <c r="R1942" s="71"/>
    </row>
    <row r="1943" spans="1:18" s="61" customFormat="1" ht="31.5" x14ac:dyDescent="0.25">
      <c r="A1943" s="358"/>
      <c r="B1943" s="361"/>
      <c r="C1943" s="221" t="s">
        <v>73</v>
      </c>
      <c r="D1943" s="222" t="s">
        <v>9</v>
      </c>
      <c r="E1943" s="223" t="s">
        <v>10</v>
      </c>
      <c r="F1943" s="223" t="s">
        <v>10</v>
      </c>
      <c r="G1943" s="238">
        <f>MROUND(H1943*L1943*I1943/K1943,0.00000000001)</f>
        <v>1.7013731753699999</v>
      </c>
      <c r="H1943" s="160">
        <f>H863</f>
        <v>31897.39</v>
      </c>
      <c r="I1943" s="159">
        <f t="shared" ref="I1943:I1995" si="415">I1942</f>
        <v>2.8856369999999999E-2</v>
      </c>
      <c r="J1943" s="160"/>
      <c r="K1943" s="161">
        <f t="shared" ref="K1943:K1949" si="416">K1942</f>
        <v>541</v>
      </c>
      <c r="L1943" s="250">
        <v>1</v>
      </c>
      <c r="M1943" s="163" t="str">
        <f t="shared" si="413"/>
        <v>31897,39 Гкал(лимиты выделенные УЖКХ) *0,02885637/541чел.</v>
      </c>
      <c r="N1943" s="164">
        <f>N863</f>
        <v>2845.3650600830792</v>
      </c>
      <c r="O1943" s="165">
        <f t="shared" si="414"/>
        <v>4841.027787</v>
      </c>
      <c r="P1943" s="166"/>
      <c r="Q1943" s="166">
        <f t="shared" si="412"/>
        <v>2618996.0327670001</v>
      </c>
      <c r="R1943" s="71"/>
    </row>
    <row r="1944" spans="1:18" s="61" customFormat="1" ht="31.5" x14ac:dyDescent="0.25">
      <c r="A1944" s="358"/>
      <c r="B1944" s="361"/>
      <c r="C1944" s="364" t="s">
        <v>74</v>
      </c>
      <c r="D1944" s="222" t="s">
        <v>12</v>
      </c>
      <c r="E1944" s="222" t="s">
        <v>11</v>
      </c>
      <c r="F1944" s="222" t="s">
        <v>11</v>
      </c>
      <c r="G1944" s="238">
        <f>MROUND(H1944*L1944*I1944/K1944,0.00000000001)</f>
        <v>9.8530459405399995</v>
      </c>
      <c r="H1944" s="224">
        <f>H144</f>
        <v>184725.17</v>
      </c>
      <c r="I1944" s="159">
        <f t="shared" si="415"/>
        <v>2.8856369999999999E-2</v>
      </c>
      <c r="J1944" s="160"/>
      <c r="K1944" s="161">
        <f t="shared" si="416"/>
        <v>541</v>
      </c>
      <c r="L1944" s="250">
        <v>1</v>
      </c>
      <c r="M1944" s="163" t="str">
        <f t="shared" si="413"/>
        <v>184725,17 м3(лимиты выделенные УЖКХ) *0,02885637/541чел.</v>
      </c>
      <c r="N1944" s="164">
        <f>N264</f>
        <v>51.830000102314166</v>
      </c>
      <c r="O1944" s="165">
        <f t="shared" si="414"/>
        <v>510.68337199999996</v>
      </c>
      <c r="P1944" s="166"/>
      <c r="Q1944" s="166">
        <f t="shared" si="412"/>
        <v>276279.70425199997</v>
      </c>
      <c r="R1944" s="71"/>
    </row>
    <row r="1945" spans="1:18" s="61" customFormat="1" ht="47.25" x14ac:dyDescent="0.25">
      <c r="A1945" s="358"/>
      <c r="B1945" s="361"/>
      <c r="C1945" s="364"/>
      <c r="D1945" s="222" t="s">
        <v>17</v>
      </c>
      <c r="E1945" s="222" t="s">
        <v>11</v>
      </c>
      <c r="F1945" s="222" t="s">
        <v>11</v>
      </c>
      <c r="G1945" s="238">
        <f>MROUND(H1945*L1945*I1945/K1945,0.00000000001)</f>
        <v>9.8530459405399995</v>
      </c>
      <c r="H1945" s="160">
        <f>H865</f>
        <v>184725.17</v>
      </c>
      <c r="I1945" s="159">
        <f t="shared" si="415"/>
        <v>2.8856369999999999E-2</v>
      </c>
      <c r="J1945" s="160"/>
      <c r="K1945" s="161">
        <f t="shared" si="416"/>
        <v>541</v>
      </c>
      <c r="L1945" s="162">
        <f>$L$25</f>
        <v>1</v>
      </c>
      <c r="M1945" s="163" t="str">
        <f t="shared" si="413"/>
        <v>184725,17 м3(лимиты выделенные УЖКХ) *0,02885637/541чел.</v>
      </c>
      <c r="N1945" s="164">
        <f>N25</f>
        <v>78.76115753094173</v>
      </c>
      <c r="O1945" s="165">
        <f t="shared" si="414"/>
        <v>776.03730299999995</v>
      </c>
      <c r="P1945" s="166"/>
      <c r="Q1945" s="166">
        <f t="shared" si="412"/>
        <v>419836.18092299998</v>
      </c>
      <c r="R1945" s="71"/>
    </row>
    <row r="1946" spans="1:18" s="61" customFormat="1" ht="31.5" x14ac:dyDescent="0.25">
      <c r="A1946" s="358"/>
      <c r="B1946" s="361"/>
      <c r="C1946" s="364"/>
      <c r="D1946" s="222" t="s">
        <v>13</v>
      </c>
      <c r="E1946" s="222" t="s">
        <v>11</v>
      </c>
      <c r="F1946" s="222" t="s">
        <v>11</v>
      </c>
      <c r="G1946" s="238">
        <f>MROUND(H1946*L1946*I1946/K1946,0.00000000001)</f>
        <v>9.8530459405399995</v>
      </c>
      <c r="H1946" s="160">
        <f>H266</f>
        <v>184725.17</v>
      </c>
      <c r="I1946" s="159">
        <f t="shared" si="415"/>
        <v>2.8856369999999999E-2</v>
      </c>
      <c r="J1946" s="160"/>
      <c r="K1946" s="161">
        <f t="shared" si="416"/>
        <v>541</v>
      </c>
      <c r="L1946" s="162">
        <v>1</v>
      </c>
      <c r="M1946" s="163" t="str">
        <f t="shared" si="413"/>
        <v>184725,17 м3(лимиты выделенные УЖКХ) *0,02885637/541чел.</v>
      </c>
      <c r="N1946" s="164">
        <f>N266</f>
        <v>107.41979263410609</v>
      </c>
      <c r="O1946" s="165">
        <f>MROUND(G1946*N1946,0.00000001)</f>
        <v>1058.41215175</v>
      </c>
      <c r="P1946" s="166"/>
      <c r="Q1946" s="166">
        <f t="shared" si="412"/>
        <v>572600.97409675003</v>
      </c>
      <c r="R1946" s="71"/>
    </row>
    <row r="1947" spans="1:18" s="61" customFormat="1" ht="31.5" x14ac:dyDescent="0.25">
      <c r="A1947" s="358"/>
      <c r="B1947" s="361"/>
      <c r="C1947" s="221" t="s">
        <v>75</v>
      </c>
      <c r="D1947" s="222" t="s">
        <v>18</v>
      </c>
      <c r="E1947" s="222" t="s">
        <v>48</v>
      </c>
      <c r="F1947" s="222" t="s">
        <v>48</v>
      </c>
      <c r="G1947" s="238">
        <f>MROUND(H1947*L1947*I1947/K1947,0.0000000001)</f>
        <v>0.74074995200000004</v>
      </c>
      <c r="H1947" s="160">
        <f>H27</f>
        <v>13887.6</v>
      </c>
      <c r="I1947" s="159">
        <f t="shared" si="415"/>
        <v>2.8856369999999999E-2</v>
      </c>
      <c r="J1947" s="160"/>
      <c r="K1947" s="161">
        <f t="shared" si="416"/>
        <v>541</v>
      </c>
      <c r="L1947" s="250">
        <v>1</v>
      </c>
      <c r="M1947" s="163" t="str">
        <f t="shared" si="413"/>
        <v>13887,6 тыс. м3(лимиты выделенные УЖКХ) *0,02885637/541чел.</v>
      </c>
      <c r="N1947" s="164">
        <f>N27</f>
        <v>29.231582850888564</v>
      </c>
      <c r="O1947" s="165">
        <f t="shared" si="414"/>
        <v>21.653293999999999</v>
      </c>
      <c r="P1947" s="166"/>
      <c r="Q1947" s="166">
        <f t="shared" si="412"/>
        <v>11714.432053999999</v>
      </c>
      <c r="R1947" s="71"/>
    </row>
    <row r="1948" spans="1:18" s="61" customFormat="1" x14ac:dyDescent="0.25">
      <c r="A1948" s="358"/>
      <c r="B1948" s="361"/>
      <c r="C1948" s="364" t="s">
        <v>216</v>
      </c>
      <c r="D1948" s="222" t="s">
        <v>23</v>
      </c>
      <c r="E1948" s="222" t="s">
        <v>11</v>
      </c>
      <c r="F1948" s="222" t="s">
        <v>11</v>
      </c>
      <c r="G1948" s="238">
        <f>MROUND(H1948*L1948*I1948/K1948,0.000000000001)</f>
        <v>0.179679708386</v>
      </c>
      <c r="H1948" s="160">
        <f>H28</f>
        <v>3368.6400000000003</v>
      </c>
      <c r="I1948" s="159">
        <f t="shared" si="415"/>
        <v>2.8856369999999999E-2</v>
      </c>
      <c r="J1948" s="160"/>
      <c r="K1948" s="161">
        <f t="shared" si="416"/>
        <v>541</v>
      </c>
      <c r="L1948" s="162">
        <f>L1947</f>
        <v>1</v>
      </c>
      <c r="M1948" s="163" t="str">
        <f>CONCATENATE(H1948," ",F1948," ","*",I1948,"/",K1948,"чел.")</f>
        <v>3368,64 м3 *0,02885637/541чел.</v>
      </c>
      <c r="N1948" s="164">
        <f>N28</f>
        <v>742.21370939013957</v>
      </c>
      <c r="O1948" s="165">
        <f>MROUND(G1948*N1948,0.00000001)</f>
        <v>133.36074286000002</v>
      </c>
      <c r="P1948" s="166"/>
      <c r="Q1948" s="166">
        <f t="shared" si="412"/>
        <v>72148.161887260008</v>
      </c>
      <c r="R1948" s="71"/>
    </row>
    <row r="1949" spans="1:18" s="61" customFormat="1" ht="47.25" x14ac:dyDescent="0.25">
      <c r="A1949" s="358"/>
      <c r="B1949" s="361"/>
      <c r="C1949" s="364"/>
      <c r="D1949" s="222" t="s">
        <v>24</v>
      </c>
      <c r="E1949" s="222" t="s">
        <v>25</v>
      </c>
      <c r="F1949" s="222" t="s">
        <v>217</v>
      </c>
      <c r="G1949" s="238">
        <f>MROUND(H1949*L1949*I1949/K1949,0.000000000001)</f>
        <v>7.8408251200000004E-3</v>
      </c>
      <c r="H1949" s="160">
        <f>H1229</f>
        <v>147</v>
      </c>
      <c r="I1949" s="159">
        <f t="shared" si="415"/>
        <v>2.8856369999999999E-2</v>
      </c>
      <c r="J1949" s="160"/>
      <c r="K1949" s="161">
        <f t="shared" si="416"/>
        <v>541</v>
      </c>
      <c r="L1949" s="250">
        <f>L1948</f>
        <v>1</v>
      </c>
      <c r="M1949" s="163" t="str">
        <f>CONCATENATE(H1949," ",F1949,"(потребность из расчета 4 контейнера для уборки территории весной и осенью на 1 учреждение)","*",I1949,"/",K1949,"чел.")</f>
        <v>147 контейнера(потребность из расчета 4 контейнера для уборки территории весной и осенью на 1 учреждение)*0,02885637/541чел.</v>
      </c>
      <c r="N1949" s="164">
        <f>N1229</f>
        <v>5756.7497959183638</v>
      </c>
      <c r="O1949" s="165">
        <f t="shared" si="414"/>
        <v>45.137667999999998</v>
      </c>
      <c r="P1949" s="166"/>
      <c r="Q1949" s="166">
        <f t="shared" si="412"/>
        <v>24419.478388</v>
      </c>
      <c r="R1949" s="71"/>
    </row>
    <row r="1950" spans="1:18" s="62" customFormat="1" x14ac:dyDescent="0.25">
      <c r="A1950" s="358"/>
      <c r="B1950" s="361"/>
      <c r="C1950" s="218" t="s">
        <v>290</v>
      </c>
      <c r="D1950" s="226"/>
      <c r="E1950" s="226"/>
      <c r="F1950" s="226"/>
      <c r="G1950" s="227"/>
      <c r="H1950" s="228"/>
      <c r="I1950" s="206"/>
      <c r="J1950" s="228"/>
      <c r="K1950" s="207"/>
      <c r="L1950" s="257"/>
      <c r="M1950" s="209"/>
      <c r="N1950" s="210"/>
      <c r="O1950" s="198">
        <f>SUM(O1942:O1949)</f>
        <v>9227.4435196100003</v>
      </c>
      <c r="P1950" s="267"/>
      <c r="Q1950" s="166"/>
      <c r="R1950" s="71"/>
    </row>
    <row r="1951" spans="1:18" s="61" customFormat="1" x14ac:dyDescent="0.25">
      <c r="A1951" s="358"/>
      <c r="B1951" s="361"/>
      <c r="C1951" s="221"/>
      <c r="D1951" s="356" t="s">
        <v>14</v>
      </c>
      <c r="E1951" s="356"/>
      <c r="F1951" s="356"/>
      <c r="G1951" s="356"/>
      <c r="H1951" s="188"/>
      <c r="I1951" s="159"/>
      <c r="J1951" s="188"/>
      <c r="K1951" s="161"/>
      <c r="L1951" s="250"/>
      <c r="M1951" s="230"/>
      <c r="N1951" s="164"/>
      <c r="O1951" s="198">
        <f>O1959+O1960+O1955</f>
        <v>38428.830971273885</v>
      </c>
      <c r="P1951" s="166"/>
      <c r="Q1951" s="166"/>
      <c r="R1951" s="71"/>
    </row>
    <row r="1952" spans="1:18" s="61" customFormat="1" x14ac:dyDescent="0.25">
      <c r="A1952" s="358"/>
      <c r="B1952" s="361"/>
      <c r="C1952" s="221" t="s">
        <v>379</v>
      </c>
      <c r="D1952" s="231" t="s">
        <v>49</v>
      </c>
      <c r="E1952" s="231" t="s">
        <v>22</v>
      </c>
      <c r="F1952" s="231" t="s">
        <v>22</v>
      </c>
      <c r="G1952" s="238">
        <f>MROUND(H1952*L1952*I1952/K1952,0.000000001)</f>
        <v>0</v>
      </c>
      <c r="H1952" s="160"/>
      <c r="I1952" s="159">
        <f>I1947</f>
        <v>2.8856369999999999E-2</v>
      </c>
      <c r="J1952" s="160"/>
      <c r="K1952" s="161">
        <f>K1947</f>
        <v>541</v>
      </c>
      <c r="L1952" s="250"/>
      <c r="M1952" s="163"/>
      <c r="N1952" s="164">
        <f>N1112</f>
        <v>0</v>
      </c>
      <c r="O1952" s="165">
        <f>MROUND(G1952*N1952,0.00000001)</f>
        <v>0</v>
      </c>
      <c r="P1952" s="166"/>
      <c r="Q1952" s="166">
        <f t="shared" si="412"/>
        <v>0</v>
      </c>
      <c r="R1952" s="71"/>
    </row>
    <row r="1953" spans="1:18" s="61" customFormat="1" x14ac:dyDescent="0.25">
      <c r="A1953" s="358"/>
      <c r="B1953" s="361"/>
      <c r="C1953" s="221" t="s">
        <v>379</v>
      </c>
      <c r="D1953" s="231" t="s">
        <v>49</v>
      </c>
      <c r="E1953" s="231" t="s">
        <v>28</v>
      </c>
      <c r="F1953" s="231" t="s">
        <v>28</v>
      </c>
      <c r="G1953" s="238">
        <f>MROUND(H1953*L1953*I1953/K1953,0.000000001)</f>
        <v>2.6669500000000001E-4</v>
      </c>
      <c r="H1953" s="160">
        <f>H1113</f>
        <v>5</v>
      </c>
      <c r="I1953" s="159">
        <f t="shared" si="415"/>
        <v>2.8856369999999999E-2</v>
      </c>
      <c r="J1953" s="160"/>
      <c r="K1953" s="161">
        <f>K1952</f>
        <v>541</v>
      </c>
      <c r="L1953" s="250">
        <v>1</v>
      </c>
      <c r="M1953" s="163" t="str">
        <f>CONCATENATE(H1953," ",F1953,"*",I1953,"/",K1953,"чел.")</f>
        <v>5 шт*0,02885637/541чел.</v>
      </c>
      <c r="N1953" s="164">
        <f>N1113</f>
        <v>28120000</v>
      </c>
      <c r="O1953" s="165">
        <f>MROUND(G1953*N1953,0.00000001)</f>
        <v>7499.4634000000005</v>
      </c>
      <c r="P1953" s="166"/>
      <c r="Q1953" s="166">
        <f t="shared" si="412"/>
        <v>4057209.6994000003</v>
      </c>
      <c r="R1953" s="71"/>
    </row>
    <row r="1954" spans="1:18" s="61" customFormat="1" x14ac:dyDescent="0.25">
      <c r="A1954" s="358"/>
      <c r="B1954" s="361"/>
      <c r="C1954" s="221" t="s">
        <v>379</v>
      </c>
      <c r="D1954" s="231" t="s">
        <v>49</v>
      </c>
      <c r="E1954" s="231" t="s">
        <v>101</v>
      </c>
      <c r="F1954" s="231" t="s">
        <v>101</v>
      </c>
      <c r="G1954" s="238">
        <f>MROUND(H1954*L1954*I1954/K1954,0.000000001)</f>
        <v>0</v>
      </c>
      <c r="H1954" s="160"/>
      <c r="I1954" s="159">
        <f t="shared" si="415"/>
        <v>2.8856369999999999E-2</v>
      </c>
      <c r="J1954" s="160"/>
      <c r="K1954" s="161">
        <f>K1953</f>
        <v>541</v>
      </c>
      <c r="L1954" s="250"/>
      <c r="M1954" s="163"/>
      <c r="N1954" s="164">
        <f>N1114</f>
        <v>0</v>
      </c>
      <c r="O1954" s="165">
        <f>MROUND(G1954*N1954,0.00000001)</f>
        <v>0</v>
      </c>
      <c r="P1954" s="166"/>
      <c r="Q1954" s="166">
        <f t="shared" si="412"/>
        <v>0</v>
      </c>
      <c r="R1954" s="71"/>
    </row>
    <row r="1955" spans="1:18" s="62" customFormat="1" x14ac:dyDescent="0.25">
      <c r="A1955" s="358"/>
      <c r="B1955" s="361"/>
      <c r="C1955" s="218" t="s">
        <v>380</v>
      </c>
      <c r="D1955" s="232"/>
      <c r="E1955" s="232"/>
      <c r="F1955" s="232"/>
      <c r="G1955" s="227"/>
      <c r="H1955" s="228"/>
      <c r="I1955" s="206"/>
      <c r="J1955" s="228"/>
      <c r="K1955" s="207"/>
      <c r="L1955" s="257"/>
      <c r="M1955" s="209"/>
      <c r="N1955" s="210"/>
      <c r="O1955" s="198">
        <f>SUM(O1952:O1954)</f>
        <v>7499.4634000000005</v>
      </c>
      <c r="P1955" s="267"/>
      <c r="Q1955" s="166"/>
      <c r="R1955" s="71"/>
    </row>
    <row r="1956" spans="1:18" s="61" customFormat="1" x14ac:dyDescent="0.25">
      <c r="A1956" s="358"/>
      <c r="B1956" s="361"/>
      <c r="C1956" s="221" t="s">
        <v>76</v>
      </c>
      <c r="D1956" s="231" t="s">
        <v>49</v>
      </c>
      <c r="E1956" s="231" t="s">
        <v>22</v>
      </c>
      <c r="F1956" s="231" t="s">
        <v>22</v>
      </c>
      <c r="G1956" s="238">
        <f>MROUND(H1956*L1956*I1956/K1956,0.000000000000001)</f>
        <v>3.9053187050229203</v>
      </c>
      <c r="H1956" s="160">
        <f>H1116</f>
        <v>73217.02</v>
      </c>
      <c r="I1956" s="159">
        <f>I1952</f>
        <v>2.8856369999999999E-2</v>
      </c>
      <c r="J1956" s="160"/>
      <c r="K1956" s="161">
        <f>K1954</f>
        <v>541</v>
      </c>
      <c r="L1956" s="250">
        <v>1</v>
      </c>
      <c r="M1956" s="163" t="str">
        <f>CONCATENATE(H1956," ",F1956,"*",I1956,"/",K1956,"чел.")</f>
        <v>73217,02 м2*0,02885637/541чел.</v>
      </c>
      <c r="N1956" s="164">
        <f>N1116</f>
        <v>3335.1026185604301</v>
      </c>
      <c r="O1956" s="165">
        <f>MROUND(G1956*N1956,0.00000000001)</f>
        <v>13024.638639434968</v>
      </c>
      <c r="P1956" s="166"/>
      <c r="Q1956" s="166">
        <f t="shared" si="412"/>
        <v>7046329.5039343182</v>
      </c>
      <c r="R1956" s="71"/>
    </row>
    <row r="1957" spans="1:18" s="61" customFormat="1" x14ac:dyDescent="0.25">
      <c r="A1957" s="358"/>
      <c r="B1957" s="361"/>
      <c r="C1957" s="221"/>
      <c r="D1957" s="231" t="s">
        <v>49</v>
      </c>
      <c r="E1957" s="231" t="s">
        <v>28</v>
      </c>
      <c r="F1957" s="231" t="s">
        <v>28</v>
      </c>
      <c r="G1957" s="238">
        <f>MROUND(H1957*L1957*I1957/K1957,0.000000000001)</f>
        <v>0.221356627542</v>
      </c>
      <c r="H1957" s="160">
        <f>H1117</f>
        <v>4150</v>
      </c>
      <c r="I1957" s="159">
        <f t="shared" si="415"/>
        <v>2.8856369999999999E-2</v>
      </c>
      <c r="J1957" s="160"/>
      <c r="K1957" s="161">
        <f>K1956</f>
        <v>541</v>
      </c>
      <c r="L1957" s="250">
        <v>1</v>
      </c>
      <c r="M1957" s="163" t="str">
        <f>CONCATENATE(H1957," ",F1957,"*",I1957,"/",K1957,"чел.")</f>
        <v>4150 шт*0,02885637/541чел.</v>
      </c>
      <c r="N1957" s="164">
        <f>N1117</f>
        <v>71617.619331325302</v>
      </c>
      <c r="O1957" s="165">
        <f>MROUND(G1957*N1957,0.00000000001)</f>
        <v>15853.034687768919</v>
      </c>
      <c r="P1957" s="166"/>
      <c r="Q1957" s="166">
        <f t="shared" si="412"/>
        <v>8576491.7660829853</v>
      </c>
      <c r="R1957" s="71"/>
    </row>
    <row r="1958" spans="1:18" s="61" customFormat="1" x14ac:dyDescent="0.25">
      <c r="A1958" s="358"/>
      <c r="B1958" s="361"/>
      <c r="C1958" s="221"/>
      <c r="D1958" s="231" t="s">
        <v>49</v>
      </c>
      <c r="E1958" s="231" t="s">
        <v>101</v>
      </c>
      <c r="F1958" s="231" t="s">
        <v>101</v>
      </c>
      <c r="G1958" s="238">
        <f>MROUND(H1958*L1958*I1958/K1958,0.000000001)</f>
        <v>0.76136012100000006</v>
      </c>
      <c r="H1958" s="160">
        <f>H1118</f>
        <v>14274</v>
      </c>
      <c r="I1958" s="159">
        <f t="shared" si="415"/>
        <v>2.8856369999999999E-2</v>
      </c>
      <c r="J1958" s="160"/>
      <c r="K1958" s="161">
        <f>K1957</f>
        <v>541</v>
      </c>
      <c r="L1958" s="250">
        <v>1</v>
      </c>
      <c r="M1958" s="163" t="str">
        <f>CONCATENATE(H1958," ",F1958,"*",I1958,"/",K1958,"чел.")</f>
        <v>14274 погон.м.*0,02885637/541чел.</v>
      </c>
      <c r="N1958" s="164">
        <f>N1118</f>
        <v>2694.7750315258509</v>
      </c>
      <c r="O1958" s="165">
        <f>MROUND(G1958*N1958,0.00000001)</f>
        <v>2051.69424407</v>
      </c>
      <c r="P1958" s="166"/>
      <c r="Q1958" s="166">
        <f t="shared" si="412"/>
        <v>1109966.5860418701</v>
      </c>
      <c r="R1958" s="71"/>
    </row>
    <row r="1959" spans="1:18" s="62" customFormat="1" x14ac:dyDescent="0.25">
      <c r="A1959" s="358"/>
      <c r="B1959" s="361"/>
      <c r="C1959" s="218" t="s">
        <v>291</v>
      </c>
      <c r="D1959" s="232"/>
      <c r="E1959" s="232"/>
      <c r="F1959" s="232"/>
      <c r="G1959" s="227"/>
      <c r="H1959" s="228"/>
      <c r="I1959" s="206"/>
      <c r="J1959" s="228"/>
      <c r="K1959" s="207"/>
      <c r="L1959" s="257"/>
      <c r="M1959" s="209"/>
      <c r="N1959" s="210"/>
      <c r="O1959" s="198">
        <f>SUM(O1956:O1958)</f>
        <v>30929.367571273888</v>
      </c>
      <c r="P1959" s="267"/>
      <c r="Q1959" s="166"/>
      <c r="R1959" s="71"/>
    </row>
    <row r="1960" spans="1:18" s="61" customFormat="1" x14ac:dyDescent="0.25">
      <c r="A1960" s="358"/>
      <c r="B1960" s="361"/>
      <c r="C1960" s="221" t="s">
        <v>77</v>
      </c>
      <c r="D1960" s="231"/>
      <c r="E1960" s="231"/>
      <c r="F1960" s="231"/>
      <c r="G1960" s="238">
        <f>MROUND(H1960*L1960*I1960/K1960,0.00000000001)</f>
        <v>0</v>
      </c>
      <c r="H1960" s="160">
        <f>H1720</f>
        <v>0</v>
      </c>
      <c r="I1960" s="159">
        <f>I1958</f>
        <v>2.8856369999999999E-2</v>
      </c>
      <c r="J1960" s="160"/>
      <c r="K1960" s="161">
        <f>K1958</f>
        <v>541</v>
      </c>
      <c r="L1960" s="250"/>
      <c r="M1960" s="163"/>
      <c r="N1960" s="164">
        <f>N1720</f>
        <v>0</v>
      </c>
      <c r="O1960" s="165">
        <f>MROUND(G1960*N1960,0.000000001)</f>
        <v>0</v>
      </c>
      <c r="P1960" s="166"/>
      <c r="Q1960" s="166">
        <f t="shared" si="412"/>
        <v>0</v>
      </c>
      <c r="R1960" s="71"/>
    </row>
    <row r="1961" spans="1:18" s="62" customFormat="1" x14ac:dyDescent="0.25">
      <c r="A1961" s="358"/>
      <c r="B1961" s="361"/>
      <c r="C1961" s="218" t="s">
        <v>292</v>
      </c>
      <c r="D1961" s="232"/>
      <c r="E1961" s="232"/>
      <c r="F1961" s="232"/>
      <c r="G1961" s="227"/>
      <c r="H1961" s="228"/>
      <c r="I1961" s="206"/>
      <c r="J1961" s="228"/>
      <c r="K1961" s="207"/>
      <c r="L1961" s="257"/>
      <c r="M1961" s="209"/>
      <c r="N1961" s="210"/>
      <c r="O1961" s="198">
        <f>O1960</f>
        <v>0</v>
      </c>
      <c r="P1961" s="267"/>
      <c r="Q1961" s="166"/>
      <c r="R1961" s="71"/>
    </row>
    <row r="1962" spans="1:18" s="61" customFormat="1" x14ac:dyDescent="0.25">
      <c r="A1962" s="358"/>
      <c r="B1962" s="361"/>
      <c r="C1962" s="221"/>
      <c r="D1962" s="350" t="s">
        <v>65</v>
      </c>
      <c r="E1962" s="350"/>
      <c r="F1962" s="350"/>
      <c r="G1962" s="350"/>
      <c r="H1962" s="195"/>
      <c r="I1962" s="159"/>
      <c r="J1962" s="195"/>
      <c r="K1962" s="161"/>
      <c r="L1962" s="196"/>
      <c r="M1962" s="230"/>
      <c r="N1962" s="164"/>
      <c r="O1962" s="165">
        <f t="shared" ref="O1962:O1969" si="417">MROUND(G1962*N1962,0.000001)</f>
        <v>0</v>
      </c>
      <c r="P1962" s="166"/>
      <c r="Q1962" s="166"/>
      <c r="R1962" s="71"/>
    </row>
    <row r="1963" spans="1:18" s="61" customFormat="1" x14ac:dyDescent="0.25">
      <c r="A1963" s="358"/>
      <c r="B1963" s="361"/>
      <c r="C1963" s="221"/>
      <c r="D1963" s="194"/>
      <c r="E1963" s="194"/>
      <c r="F1963" s="194"/>
      <c r="G1963" s="217"/>
      <c r="H1963" s="195"/>
      <c r="I1963" s="159"/>
      <c r="J1963" s="195"/>
      <c r="K1963" s="161"/>
      <c r="L1963" s="196"/>
      <c r="M1963" s="230"/>
      <c r="N1963" s="164"/>
      <c r="O1963" s="165">
        <f t="shared" si="417"/>
        <v>0</v>
      </c>
      <c r="P1963" s="166"/>
      <c r="Q1963" s="166"/>
      <c r="R1963" s="71"/>
    </row>
    <row r="1964" spans="1:18" s="61" customFormat="1" x14ac:dyDescent="0.25">
      <c r="A1964" s="358"/>
      <c r="B1964" s="361"/>
      <c r="C1964" s="221" t="s">
        <v>357</v>
      </c>
      <c r="D1964" s="368" t="s">
        <v>66</v>
      </c>
      <c r="E1964" s="368"/>
      <c r="F1964" s="368"/>
      <c r="G1964" s="368"/>
      <c r="H1964" s="195"/>
      <c r="I1964" s="159"/>
      <c r="J1964" s="195"/>
      <c r="K1964" s="161"/>
      <c r="L1964" s="234"/>
      <c r="M1964" s="230"/>
      <c r="N1964" s="164"/>
      <c r="O1964" s="198">
        <f>O1965</f>
        <v>9.6474019999999996</v>
      </c>
      <c r="P1964" s="166"/>
      <c r="Q1964" s="166"/>
      <c r="R1964" s="71"/>
    </row>
    <row r="1965" spans="1:18" s="61" customFormat="1" ht="47.25" x14ac:dyDescent="0.25">
      <c r="A1965" s="358"/>
      <c r="B1965" s="361"/>
      <c r="C1965" s="221"/>
      <c r="D1965" s="222" t="s">
        <v>374</v>
      </c>
      <c r="E1965" s="194" t="s">
        <v>28</v>
      </c>
      <c r="F1965" s="194" t="s">
        <v>28</v>
      </c>
      <c r="G1965" s="217">
        <f>MROUND(H1965*L1965*I1965/K1965,0.000000001)</f>
        <v>7.6808080000000008E-3</v>
      </c>
      <c r="H1965" s="201">
        <f>H1365</f>
        <v>36</v>
      </c>
      <c r="I1965" s="159">
        <f>I1960</f>
        <v>2.8856369999999999E-2</v>
      </c>
      <c r="J1965" s="195"/>
      <c r="K1965" s="161">
        <f>K1960</f>
        <v>541</v>
      </c>
      <c r="L1965" s="235">
        <f>L1365</f>
        <v>4</v>
      </c>
      <c r="M1965" s="163" t="str">
        <f>CONCATENATE(H1965," ",F1965,"*",I1965,"/",K1965,"чел.")</f>
        <v>36 шт*0,02885637/541чел.</v>
      </c>
      <c r="N1965" s="164">
        <f>N1365</f>
        <v>1256.0400000000006</v>
      </c>
      <c r="O1965" s="165">
        <f>MROUND(G1965*N1965,0.000001)</f>
        <v>9.6474019999999996</v>
      </c>
      <c r="P1965" s="166"/>
      <c r="Q1965" s="166">
        <f t="shared" si="412"/>
        <v>5219.2444820000001</v>
      </c>
      <c r="R1965" s="71"/>
    </row>
    <row r="1966" spans="1:18" s="61" customFormat="1" x14ac:dyDescent="0.25">
      <c r="A1966" s="358"/>
      <c r="B1966" s="361"/>
      <c r="C1966" s="221"/>
      <c r="D1966" s="368" t="s">
        <v>67</v>
      </c>
      <c r="E1966" s="368"/>
      <c r="F1966" s="368"/>
      <c r="G1966" s="368"/>
      <c r="H1966" s="195"/>
      <c r="I1966" s="159"/>
      <c r="J1966" s="195"/>
      <c r="K1966" s="161"/>
      <c r="L1966" s="196"/>
      <c r="M1966" s="230"/>
      <c r="N1966" s="164"/>
      <c r="O1966" s="165">
        <f t="shared" si="417"/>
        <v>0</v>
      </c>
      <c r="P1966" s="166"/>
      <c r="Q1966" s="166"/>
      <c r="R1966" s="71"/>
    </row>
    <row r="1967" spans="1:18" s="61" customFormat="1" x14ac:dyDescent="0.25">
      <c r="A1967" s="358"/>
      <c r="B1967" s="361"/>
      <c r="C1967" s="221"/>
      <c r="D1967" s="194"/>
      <c r="E1967" s="194"/>
      <c r="F1967" s="194"/>
      <c r="G1967" s="217"/>
      <c r="H1967" s="195"/>
      <c r="I1967" s="159"/>
      <c r="J1967" s="195"/>
      <c r="K1967" s="161"/>
      <c r="L1967" s="196"/>
      <c r="M1967" s="230"/>
      <c r="N1967" s="164"/>
      <c r="O1967" s="165">
        <f t="shared" si="417"/>
        <v>0</v>
      </c>
      <c r="P1967" s="166"/>
      <c r="Q1967" s="166"/>
      <c r="R1967" s="71"/>
    </row>
    <row r="1968" spans="1:18" s="61" customFormat="1" x14ac:dyDescent="0.25">
      <c r="A1968" s="358"/>
      <c r="B1968" s="361"/>
      <c r="C1968" s="221"/>
      <c r="D1968" s="350" t="s">
        <v>68</v>
      </c>
      <c r="E1968" s="350"/>
      <c r="F1968" s="350"/>
      <c r="G1968" s="350"/>
      <c r="H1968" s="195"/>
      <c r="I1968" s="159"/>
      <c r="J1968" s="195"/>
      <c r="K1968" s="161"/>
      <c r="L1968" s="196"/>
      <c r="M1968" s="230"/>
      <c r="N1968" s="164"/>
      <c r="O1968" s="165">
        <f t="shared" si="417"/>
        <v>0</v>
      </c>
      <c r="P1968" s="166"/>
      <c r="Q1968" s="166"/>
      <c r="R1968" s="71"/>
    </row>
    <row r="1969" spans="1:41" s="61" customFormat="1" x14ac:dyDescent="0.25">
      <c r="A1969" s="358"/>
      <c r="B1969" s="361"/>
      <c r="C1969" s="221"/>
      <c r="D1969" s="156"/>
      <c r="E1969" s="156"/>
      <c r="F1969" s="156"/>
      <c r="G1969" s="236"/>
      <c r="H1969" s="195"/>
      <c r="I1969" s="159"/>
      <c r="J1969" s="195"/>
      <c r="K1969" s="161"/>
      <c r="L1969" s="196"/>
      <c r="M1969" s="230"/>
      <c r="N1969" s="164"/>
      <c r="O1969" s="165">
        <f t="shared" si="417"/>
        <v>0</v>
      </c>
      <c r="P1969" s="166"/>
      <c r="Q1969" s="166"/>
      <c r="R1969" s="71"/>
    </row>
    <row r="1970" spans="1:41" s="61" customFormat="1" x14ac:dyDescent="0.25">
      <c r="A1970" s="358"/>
      <c r="B1970" s="361"/>
      <c r="C1970" s="221"/>
      <c r="D1970" s="368" t="s">
        <v>69</v>
      </c>
      <c r="E1970" s="368"/>
      <c r="F1970" s="368"/>
      <c r="G1970" s="368"/>
      <c r="H1970" s="187"/>
      <c r="I1970" s="159"/>
      <c r="J1970" s="187"/>
      <c r="K1970" s="161"/>
      <c r="L1970" s="276"/>
      <c r="M1970" s="230"/>
      <c r="N1970" s="164"/>
      <c r="O1970" s="198">
        <f>O1972+O1979+O1996+O1998+O2013+O2015+O2017+O2042+O2044+O2049+O2046</f>
        <v>3550.5029002400001</v>
      </c>
      <c r="P1970" s="166"/>
      <c r="Q1970" s="166"/>
      <c r="R1970" s="71"/>
    </row>
    <row r="1971" spans="1:41" s="61" customFormat="1" x14ac:dyDescent="0.25">
      <c r="A1971" s="358"/>
      <c r="B1971" s="361"/>
      <c r="C1971" s="221">
        <v>224</v>
      </c>
      <c r="D1971" s="156" t="s">
        <v>21</v>
      </c>
      <c r="E1971" s="156" t="s">
        <v>22</v>
      </c>
      <c r="F1971" s="156" t="s">
        <v>22</v>
      </c>
      <c r="G1971" s="238">
        <f>MROUND(H1971*L1971*I1971/K1971,0.000001)</f>
        <v>0</v>
      </c>
      <c r="H1971" s="158">
        <f>H51</f>
        <v>0</v>
      </c>
      <c r="I1971" s="159">
        <f>I1965</f>
        <v>2.8856369999999999E-2</v>
      </c>
      <c r="J1971" s="160"/>
      <c r="K1971" s="161">
        <f>K1965</f>
        <v>541</v>
      </c>
      <c r="L1971" s="250"/>
      <c r="M1971" s="163"/>
      <c r="N1971" s="164">
        <f>N531</f>
        <v>0</v>
      </c>
      <c r="O1971" s="165">
        <f>MROUND(G1971*N1971,0.000001)</f>
        <v>0</v>
      </c>
      <c r="P1971" s="166"/>
      <c r="Q1971" s="166">
        <f t="shared" si="412"/>
        <v>0</v>
      </c>
      <c r="R1971" s="71"/>
      <c r="T1971" s="71"/>
    </row>
    <row r="1972" spans="1:41" s="62" customFormat="1" x14ac:dyDescent="0.25">
      <c r="A1972" s="358"/>
      <c r="B1972" s="361"/>
      <c r="C1972" s="218" t="s">
        <v>293</v>
      </c>
      <c r="D1972" s="240"/>
      <c r="E1972" s="240"/>
      <c r="F1972" s="240"/>
      <c r="G1972" s="227"/>
      <c r="H1972" s="241"/>
      <c r="I1972" s="206"/>
      <c r="J1972" s="228"/>
      <c r="K1972" s="207"/>
      <c r="L1972" s="257"/>
      <c r="M1972" s="209"/>
      <c r="N1972" s="210"/>
      <c r="O1972" s="198">
        <f>SUM(O1971)</f>
        <v>0</v>
      </c>
      <c r="P1972" s="267"/>
      <c r="Q1972" s="166"/>
      <c r="R1972" s="71"/>
    </row>
    <row r="1973" spans="1:41" s="61" customFormat="1" ht="31.5" x14ac:dyDescent="0.25">
      <c r="A1973" s="358"/>
      <c r="B1973" s="361"/>
      <c r="C1973" s="364" t="s">
        <v>78</v>
      </c>
      <c r="D1973" s="156" t="s">
        <v>26</v>
      </c>
      <c r="E1973" s="156" t="s">
        <v>22</v>
      </c>
      <c r="F1973" s="156" t="s">
        <v>22</v>
      </c>
      <c r="G1973" s="238">
        <f>MROUND(H1973*L1973*I1973/K1973,0.000001)</f>
        <v>16.539339999999999</v>
      </c>
      <c r="H1973" s="158">
        <f>H53</f>
        <v>25840</v>
      </c>
      <c r="I1973" s="159">
        <f>I1971</f>
        <v>2.8856369999999999E-2</v>
      </c>
      <c r="J1973" s="160"/>
      <c r="K1973" s="161">
        <f>K1971</f>
        <v>541</v>
      </c>
      <c r="L1973" s="250">
        <v>12</v>
      </c>
      <c r="M1973" s="163" t="str">
        <f>CONCATENATE(H1973," ",F1973,"(обрабатываемая площадь в мес.)","*",L1973,"мес.","*",I1973,"/",K1973,"чел.")</f>
        <v>25840 м2(обрабатываемая площадь в мес.)*12мес.*0,02885637/541чел.</v>
      </c>
      <c r="N1973" s="164">
        <f>N53</f>
        <v>1.1553999935500519</v>
      </c>
      <c r="O1973" s="165">
        <f t="shared" ref="O1973:O1978" si="418">MROUND(G1973*N1973,0.000001)</f>
        <v>19.109552999999998</v>
      </c>
      <c r="P1973" s="166"/>
      <c r="Q1973" s="166">
        <f t="shared" si="412"/>
        <v>10338.268172999999</v>
      </c>
      <c r="R1973" s="71"/>
    </row>
    <row r="1974" spans="1:41" s="61" customFormat="1" ht="31.5" x14ac:dyDescent="0.25">
      <c r="A1974" s="358"/>
      <c r="B1974" s="361"/>
      <c r="C1974" s="364"/>
      <c r="D1974" s="156" t="s">
        <v>96</v>
      </c>
      <c r="E1974" s="156" t="s">
        <v>22</v>
      </c>
      <c r="F1974" s="156" t="s">
        <v>22</v>
      </c>
      <c r="G1974" s="238">
        <f>MROUND(H1974*L1974*I1974/K1974,0.000001)</f>
        <v>8.5609009999999994</v>
      </c>
      <c r="H1974" s="158">
        <f>H54</f>
        <v>13375</v>
      </c>
      <c r="I1974" s="159">
        <f t="shared" si="415"/>
        <v>2.8856369999999999E-2</v>
      </c>
      <c r="J1974" s="160"/>
      <c r="K1974" s="161">
        <f>K1973</f>
        <v>541</v>
      </c>
      <c r="L1974" s="250">
        <v>12</v>
      </c>
      <c r="M1974" s="163" t="str">
        <f>CONCATENATE(H1974," ",F1974,"(обрабатываемая площадь в мес.)","*",L1974,"мес.","*",I1974,"/",K1974,"чел.")</f>
        <v>13375 м2(обрабатываемая площадь в мес.)*12мес.*0,02885637/541чел.</v>
      </c>
      <c r="N1974" s="164">
        <f>N54</f>
        <v>1.8530000000000004</v>
      </c>
      <c r="O1974" s="165">
        <f t="shared" si="418"/>
        <v>15.863349999999999</v>
      </c>
      <c r="P1974" s="166"/>
      <c r="Q1974" s="166">
        <f t="shared" si="412"/>
        <v>8582.0723499999986</v>
      </c>
      <c r="R1974" s="71"/>
    </row>
    <row r="1975" spans="1:41" s="135" customFormat="1" ht="31.5" x14ac:dyDescent="0.25">
      <c r="A1975" s="358"/>
      <c r="B1975" s="361"/>
      <c r="C1975" s="364"/>
      <c r="D1975" s="156" t="s">
        <v>385</v>
      </c>
      <c r="E1975" s="156" t="s">
        <v>22</v>
      </c>
      <c r="F1975" s="156" t="s">
        <v>22</v>
      </c>
      <c r="G1975" s="238">
        <f>MROUND(H1975*L1975*I1975/K1975,0.000001)</f>
        <v>17.121801999999999</v>
      </c>
      <c r="H1975" s="242">
        <f>$H$55</f>
        <v>13375</v>
      </c>
      <c r="I1975" s="159">
        <f t="shared" si="415"/>
        <v>2.8856369999999999E-2</v>
      </c>
      <c r="J1975" s="160"/>
      <c r="K1975" s="161">
        <f>K1974</f>
        <v>541</v>
      </c>
      <c r="L1975" s="162">
        <v>24</v>
      </c>
      <c r="M1975" s="163" t="str">
        <f>CONCATENATE(H1975," ",F1975,"(обрабатываемая площадь в год)","*",L1975," раза в год.","*",I1975,"/",K1975,"чел.")</f>
        <v>13375 м2(обрабатываемая площадь в год)*24 раза в год.*0,02885637/541чел.</v>
      </c>
      <c r="N1975" s="164">
        <f>$N$55</f>
        <v>2.2889999999999993</v>
      </c>
      <c r="O1975" s="165">
        <f t="shared" si="418"/>
        <v>39.191804999999995</v>
      </c>
      <c r="P1975" s="166"/>
      <c r="Q1975" s="166">
        <f t="shared" si="412"/>
        <v>21202.766504999996</v>
      </c>
      <c r="R1975" s="71"/>
      <c r="S1975" s="61"/>
      <c r="T1975" s="61"/>
      <c r="U1975" s="61"/>
      <c r="V1975" s="61"/>
      <c r="W1975" s="61"/>
      <c r="X1975" s="61"/>
      <c r="Y1975" s="61"/>
      <c r="Z1975" s="61"/>
      <c r="AA1975" s="61"/>
      <c r="AB1975" s="61"/>
      <c r="AC1975" s="61"/>
      <c r="AD1975" s="61"/>
      <c r="AE1975" s="61"/>
      <c r="AF1975" s="61"/>
      <c r="AG1975" s="61"/>
      <c r="AH1975" s="61"/>
      <c r="AI1975" s="61"/>
      <c r="AJ1975" s="61"/>
      <c r="AK1975" s="61"/>
      <c r="AL1975" s="61"/>
      <c r="AM1975" s="61"/>
      <c r="AN1975" s="61"/>
      <c r="AO1975" s="61"/>
    </row>
    <row r="1976" spans="1:41" s="135" customFormat="1" ht="31.5" x14ac:dyDescent="0.25">
      <c r="A1976" s="358"/>
      <c r="B1976" s="361"/>
      <c r="C1976" s="364"/>
      <c r="D1976" s="156" t="s">
        <v>394</v>
      </c>
      <c r="E1976" s="156" t="s">
        <v>22</v>
      </c>
      <c r="F1976" s="156" t="s">
        <v>22</v>
      </c>
      <c r="G1976" s="238">
        <f>MROUND(H1976*L1976*I1976/K1976,0.000001)</f>
        <v>16.539339999999999</v>
      </c>
      <c r="H1976" s="243">
        <f>$H$56</f>
        <v>25840</v>
      </c>
      <c r="I1976" s="159">
        <f t="shared" si="415"/>
        <v>2.8856369999999999E-2</v>
      </c>
      <c r="J1976" s="160"/>
      <c r="K1976" s="161">
        <f>K1975</f>
        <v>541</v>
      </c>
      <c r="L1976" s="162">
        <v>12</v>
      </c>
      <c r="M1976" s="163" t="str">
        <f>CONCATENATE(H1976," ",F1976,"(обрабатываемая площадь в мес.)","*",L1976,"мес.","*",I1976,"/",K1976,"чел.")</f>
        <v>25840 м2(обрабатываемая площадь в мес.)*12мес.*0,02885637/541чел.</v>
      </c>
      <c r="N1976" s="164">
        <f>$N$56</f>
        <v>0.54499999999999993</v>
      </c>
      <c r="O1976" s="165">
        <f t="shared" si="418"/>
        <v>9.0139399999999998</v>
      </c>
      <c r="P1976" s="166"/>
      <c r="Q1976" s="166">
        <f t="shared" si="412"/>
        <v>4876.5415400000002</v>
      </c>
      <c r="R1976" s="71"/>
      <c r="S1976" s="61"/>
      <c r="T1976" s="61"/>
      <c r="U1976" s="61"/>
      <c r="V1976" s="61"/>
      <c r="W1976" s="61"/>
      <c r="X1976" s="61"/>
      <c r="Y1976" s="61"/>
      <c r="Z1976" s="61"/>
      <c r="AA1976" s="61"/>
      <c r="AB1976" s="61"/>
      <c r="AC1976" s="61"/>
      <c r="AD1976" s="61"/>
      <c r="AE1976" s="61"/>
      <c r="AF1976" s="61"/>
      <c r="AG1976" s="61"/>
      <c r="AH1976" s="61"/>
      <c r="AI1976" s="61"/>
      <c r="AJ1976" s="61"/>
      <c r="AK1976" s="61"/>
      <c r="AL1976" s="61"/>
      <c r="AM1976" s="61"/>
      <c r="AN1976" s="61"/>
      <c r="AO1976" s="61"/>
    </row>
    <row r="1977" spans="1:41" s="135" customFormat="1" ht="31.5" x14ac:dyDescent="0.25">
      <c r="A1977" s="358"/>
      <c r="B1977" s="361"/>
      <c r="C1977" s="364"/>
      <c r="D1977" s="156" t="s">
        <v>395</v>
      </c>
      <c r="E1977" s="156" t="s">
        <v>98</v>
      </c>
      <c r="F1977" s="156" t="s">
        <v>98</v>
      </c>
      <c r="G1977" s="238">
        <f>MROUND(H1977*L1977*I1977/K1977,0.000001)</f>
        <v>1.01E-3</v>
      </c>
      <c r="H1977" s="242">
        <f>$H$57</f>
        <v>18.939999999999998</v>
      </c>
      <c r="I1977" s="159">
        <f t="shared" si="415"/>
        <v>2.8856369999999999E-2</v>
      </c>
      <c r="J1977" s="160"/>
      <c r="K1977" s="161">
        <f>K1976</f>
        <v>541</v>
      </c>
      <c r="L1977" s="162">
        <v>1</v>
      </c>
      <c r="M1977" s="163" t="str">
        <f>CONCATENATE(H1977," ",F1977,"(обрабатываемая площадь в год)","*",L1977," раз в год","*",I1977,"/",K1977,"чел.")</f>
        <v>18,94 Га(обрабатываемая площадь в год)*1 раз в год*0,02885637/541чел.</v>
      </c>
      <c r="N1977" s="164">
        <f>$N$57</f>
        <v>545</v>
      </c>
      <c r="O1977" s="165">
        <f t="shared" si="418"/>
        <v>0.55044999999999999</v>
      </c>
      <c r="P1977" s="166"/>
      <c r="Q1977" s="166">
        <f t="shared" si="412"/>
        <v>297.79345000000001</v>
      </c>
      <c r="R1977" s="71"/>
      <c r="S1977" s="61"/>
      <c r="T1977" s="61"/>
      <c r="U1977" s="61"/>
      <c r="V1977" s="61"/>
      <c r="W1977" s="61"/>
      <c r="X1977" s="61"/>
      <c r="Y1977" s="61"/>
      <c r="Z1977" s="61"/>
      <c r="AA1977" s="61"/>
      <c r="AB1977" s="61"/>
      <c r="AC1977" s="61"/>
      <c r="AD1977" s="61"/>
      <c r="AE1977" s="61"/>
      <c r="AF1977" s="61"/>
      <c r="AG1977" s="61"/>
      <c r="AH1977" s="61"/>
      <c r="AI1977" s="61"/>
      <c r="AJ1977" s="61"/>
      <c r="AK1977" s="61"/>
      <c r="AL1977" s="61"/>
      <c r="AM1977" s="61"/>
      <c r="AN1977" s="61"/>
      <c r="AO1977" s="61"/>
    </row>
    <row r="1978" spans="1:41" s="61" customFormat="1" ht="31.5" x14ac:dyDescent="0.25">
      <c r="A1978" s="358"/>
      <c r="B1978" s="361"/>
      <c r="C1978" s="364"/>
      <c r="D1978" s="156" t="s">
        <v>97</v>
      </c>
      <c r="E1978" s="156" t="s">
        <v>98</v>
      </c>
      <c r="F1978" s="156" t="s">
        <v>98</v>
      </c>
      <c r="G1978" s="238">
        <f>MROUND(H1978*L1978*I1978/K1978,0.0000000001)</f>
        <v>1.0102396E-3</v>
      </c>
      <c r="H1978" s="242">
        <f>H898</f>
        <v>18.939999999999998</v>
      </c>
      <c r="I1978" s="244">
        <f>I1974</f>
        <v>2.8856369999999999E-2</v>
      </c>
      <c r="J1978" s="160"/>
      <c r="K1978" s="161">
        <f>K1974</f>
        <v>541</v>
      </c>
      <c r="L1978" s="250">
        <v>1</v>
      </c>
      <c r="M1978" s="163" t="str">
        <f>CONCATENATE(H1978," ",F1978,"(обрабатываемая площадь в мес.)","*",L1978,"мес.","*",I1978,"/",K1978,"чел.")</f>
        <v>18,94 Га(обрабатываемая площадь в мес.)*1мес.*0,02885637/541чел.</v>
      </c>
      <c r="N1978" s="164">
        <f>N898</f>
        <v>2965.979936642027</v>
      </c>
      <c r="O1978" s="165">
        <f t="shared" si="418"/>
        <v>2.9963500000000001</v>
      </c>
      <c r="P1978" s="166"/>
      <c r="Q1978" s="166">
        <f t="shared" si="412"/>
        <v>1621.0253500000001</v>
      </c>
      <c r="R1978" s="71"/>
      <c r="S1978" s="71"/>
    </row>
    <row r="1979" spans="1:41" s="62" customFormat="1" x14ac:dyDescent="0.25">
      <c r="A1979" s="358"/>
      <c r="B1979" s="361"/>
      <c r="C1979" s="245" t="s">
        <v>294</v>
      </c>
      <c r="D1979" s="240"/>
      <c r="E1979" s="240"/>
      <c r="F1979" s="240"/>
      <c r="G1979" s="227"/>
      <c r="H1979" s="241"/>
      <c r="I1979" s="206"/>
      <c r="J1979" s="228"/>
      <c r="K1979" s="207"/>
      <c r="L1979" s="257"/>
      <c r="M1979" s="209"/>
      <c r="N1979" s="210"/>
      <c r="O1979" s="198">
        <f>SUM(O1973:O1978)</f>
        <v>86.725448</v>
      </c>
      <c r="P1979" s="267"/>
      <c r="Q1979" s="166">
        <f t="shared" si="412"/>
        <v>0</v>
      </c>
      <c r="R1979" s="71"/>
    </row>
    <row r="1980" spans="1:41" s="61" customFormat="1" ht="63" x14ac:dyDescent="0.25">
      <c r="A1980" s="358"/>
      <c r="B1980" s="361"/>
      <c r="C1980" s="365" t="s">
        <v>77</v>
      </c>
      <c r="D1980" s="156" t="s">
        <v>29</v>
      </c>
      <c r="E1980" s="156" t="s">
        <v>58</v>
      </c>
      <c r="F1980" s="156" t="s">
        <v>218</v>
      </c>
      <c r="G1980" s="238">
        <f>MROUND(H1980*L1980*I1980/K1980,0.00000001)</f>
        <v>3.2003399999999999E-3</v>
      </c>
      <c r="H1980" s="158">
        <v>15</v>
      </c>
      <c r="I1980" s="159">
        <f>I1978</f>
        <v>2.8856369999999999E-2</v>
      </c>
      <c r="J1980" s="160"/>
      <c r="K1980" s="161">
        <f>K1978</f>
        <v>541</v>
      </c>
      <c r="L1980" s="162">
        <v>4</v>
      </c>
      <c r="M1980" s="163" t="str">
        <f>CONCATENATE(H1980," ",F1980,"*",L1980," раза в год","*",I1980,"/",K1980,"чел.")</f>
        <v>15 установок*4 раза в год*0,02885637/541чел.</v>
      </c>
      <c r="N1980" s="164">
        <f>N60</f>
        <v>721.75483333333329</v>
      </c>
      <c r="O1980" s="165">
        <f t="shared" ref="O1980:O1995" si="419">MROUND(G1980*N1980,0.000001)</f>
        <v>2.3098609999999997</v>
      </c>
      <c r="P1980" s="166"/>
      <c r="Q1980" s="166">
        <f t="shared" si="412"/>
        <v>1249.6348009999999</v>
      </c>
      <c r="R1980" s="71"/>
    </row>
    <row r="1981" spans="1:41" s="61" customFormat="1" ht="47.25" x14ac:dyDescent="0.25">
      <c r="A1981" s="358"/>
      <c r="B1981" s="361"/>
      <c r="C1981" s="366"/>
      <c r="D1981" s="156" t="s">
        <v>30</v>
      </c>
      <c r="E1981" s="156" t="s">
        <v>58</v>
      </c>
      <c r="F1981" s="156" t="s">
        <v>218</v>
      </c>
      <c r="G1981" s="238">
        <f>MROUND(H1981*L1981*I1981/K1981,0.00000001)</f>
        <v>1.6001699999999999E-3</v>
      </c>
      <c r="H1981" s="158">
        <v>15</v>
      </c>
      <c r="I1981" s="159">
        <f t="shared" si="415"/>
        <v>2.8856369999999999E-2</v>
      </c>
      <c r="J1981" s="160"/>
      <c r="K1981" s="161">
        <f t="shared" ref="K1981:K1989" si="420">K1980</f>
        <v>541</v>
      </c>
      <c r="L1981" s="250">
        <v>2</v>
      </c>
      <c r="M1981" s="163" t="str">
        <f>CONCATENATE(H1981," ",F1981,"*",L1981,"полуг.","*",I1981,"/",K1981,"чел.")</f>
        <v>15 установок*2полуг.*0,02885637/541чел.</v>
      </c>
      <c r="N1981" s="164">
        <f>N1261</f>
        <v>721.75266666666664</v>
      </c>
      <c r="O1981" s="165">
        <f t="shared" si="419"/>
        <v>1.154927</v>
      </c>
      <c r="P1981" s="166"/>
      <c r="Q1981" s="166">
        <f t="shared" si="412"/>
        <v>624.81550700000003</v>
      </c>
      <c r="R1981" s="71"/>
    </row>
    <row r="1982" spans="1:41" s="61" customFormat="1" ht="31.5" x14ac:dyDescent="0.25">
      <c r="A1982" s="358"/>
      <c r="B1982" s="361"/>
      <c r="C1982" s="366"/>
      <c r="D1982" s="156" t="s">
        <v>397</v>
      </c>
      <c r="E1982" s="156" t="s">
        <v>433</v>
      </c>
      <c r="F1982" s="156" t="s">
        <v>433</v>
      </c>
      <c r="G1982" s="238">
        <f>MROUND(H1982*L1982*I1982/K1982,0.000001)</f>
        <v>3.2002999999999997E-2</v>
      </c>
      <c r="H1982" s="158">
        <f>H902</f>
        <v>600</v>
      </c>
      <c r="I1982" s="159">
        <f t="shared" si="415"/>
        <v>2.8856369999999999E-2</v>
      </c>
      <c r="J1982" s="160"/>
      <c r="K1982" s="161">
        <f t="shared" si="420"/>
        <v>541</v>
      </c>
      <c r="L1982" s="162">
        <v>1</v>
      </c>
      <c r="M1982" s="163" t="str">
        <f>CONCATENATE(H1982," ",F1982,"(обрабатываемая площадь в год)","*",L1982," раз в год","*",I1982,"/",K1982,"чел.")</f>
        <v>600 м2.(обрабатываемая площадь в год)*1 раз в год*0,02885637/541чел.</v>
      </c>
      <c r="N1982" s="164">
        <f>N902</f>
        <v>300</v>
      </c>
      <c r="O1982" s="165">
        <f t="shared" si="419"/>
        <v>9.6008999999999993</v>
      </c>
      <c r="P1982" s="166"/>
      <c r="Q1982" s="166">
        <f t="shared" si="412"/>
        <v>5194.0868999999993</v>
      </c>
      <c r="R1982" s="71"/>
    </row>
    <row r="1983" spans="1:41" s="61" customFormat="1" ht="47.25" x14ac:dyDescent="0.25">
      <c r="A1983" s="358"/>
      <c r="B1983" s="361"/>
      <c r="C1983" s="366"/>
      <c r="D1983" s="156" t="s">
        <v>32</v>
      </c>
      <c r="E1983" s="156" t="s">
        <v>55</v>
      </c>
      <c r="F1983" s="156" t="s">
        <v>219</v>
      </c>
      <c r="G1983" s="238">
        <f>MROUND(H1983*L1983*I1983/K1983,0.000000001)</f>
        <v>7.6808080000000008E-3</v>
      </c>
      <c r="H1983" s="158">
        <f>H1263</f>
        <v>36</v>
      </c>
      <c r="I1983" s="159">
        <f>I1982</f>
        <v>2.8856369999999999E-2</v>
      </c>
      <c r="J1983" s="160"/>
      <c r="K1983" s="161">
        <f t="shared" si="420"/>
        <v>541</v>
      </c>
      <c r="L1983" s="250">
        <v>4</v>
      </c>
      <c r="M1983" s="163" t="str">
        <f>CONCATENATE(H1983," ",F1983,"*",L1983,"кв.","*",I1983,"/",K1983,"чел.")</f>
        <v>36 системы*4кв.*0,02885637/541чел.</v>
      </c>
      <c r="N1983" s="164">
        <f>N1263</f>
        <v>6924.5277777777774</v>
      </c>
      <c r="O1983" s="165">
        <f t="shared" si="419"/>
        <v>53.185967999999995</v>
      </c>
      <c r="P1983" s="166"/>
      <c r="Q1983" s="166">
        <f t="shared" si="412"/>
        <v>28773.608687999997</v>
      </c>
      <c r="R1983" s="71"/>
    </row>
    <row r="1984" spans="1:41" s="61" customFormat="1" ht="63" x14ac:dyDescent="0.25">
      <c r="A1984" s="358"/>
      <c r="B1984" s="361"/>
      <c r="C1984" s="366"/>
      <c r="D1984" s="156" t="s">
        <v>33</v>
      </c>
      <c r="E1984" s="156" t="s">
        <v>56</v>
      </c>
      <c r="F1984" s="156" t="s">
        <v>220</v>
      </c>
      <c r="G1984" s="238">
        <f>MROUND(H1984*L1984*I1984/K1984,0.000000001)</f>
        <v>1.9202020000000002E-3</v>
      </c>
      <c r="H1984" s="158">
        <f>$H$64</f>
        <v>36</v>
      </c>
      <c r="I1984" s="159">
        <f>I1983</f>
        <v>2.8856369999999999E-2</v>
      </c>
      <c r="J1984" s="160"/>
      <c r="K1984" s="161">
        <f t="shared" si="420"/>
        <v>541</v>
      </c>
      <c r="L1984" s="162">
        <v>1</v>
      </c>
      <c r="M1984" s="163" t="str">
        <f>CONCATENATE(H1984," ",F1984,"*",L1984," раз в год","*",I1984,"/",K1984,"чел.")</f>
        <v>36 дымоходов*1 раз в год*0,02885637/541чел.</v>
      </c>
      <c r="N1984" s="164">
        <f>N64</f>
        <v>6540</v>
      </c>
      <c r="O1984" s="165">
        <f t="shared" si="419"/>
        <v>12.558121</v>
      </c>
      <c r="P1984" s="166"/>
      <c r="Q1984" s="166">
        <f t="shared" ref="Q1984:Q2048" si="421">O1984*K1984</f>
        <v>6793.9434609999998</v>
      </c>
      <c r="R1984" s="71"/>
    </row>
    <row r="1985" spans="1:18" s="61" customFormat="1" x14ac:dyDescent="0.25">
      <c r="A1985" s="358"/>
      <c r="B1985" s="361"/>
      <c r="C1985" s="366"/>
      <c r="D1985" s="194" t="s">
        <v>398</v>
      </c>
      <c r="E1985" s="156" t="s">
        <v>60</v>
      </c>
      <c r="F1985" s="156" t="s">
        <v>60</v>
      </c>
      <c r="G1985" s="238">
        <f>MROUND(H1985*L1985*I1985/K1985,0.000000001)</f>
        <v>1.8668630000000001E-3</v>
      </c>
      <c r="H1985" s="246">
        <f>H65</f>
        <v>35</v>
      </c>
      <c r="I1985" s="159">
        <f t="shared" si="415"/>
        <v>2.8856369999999999E-2</v>
      </c>
      <c r="J1985" s="160"/>
      <c r="K1985" s="161">
        <f t="shared" si="420"/>
        <v>541</v>
      </c>
      <c r="L1985" s="250">
        <v>1</v>
      </c>
      <c r="M1985" s="163" t="str">
        <f>CONCATENATE(H1985," ",F1985,"*",I1985,"/",K1985,"чел.")</f>
        <v>35 шт.*0,02885637/541чел.</v>
      </c>
      <c r="N1985" s="164">
        <f>N65</f>
        <v>11009</v>
      </c>
      <c r="O1985" s="165">
        <f t="shared" si="419"/>
        <v>20.552294999999997</v>
      </c>
      <c r="P1985" s="166"/>
      <c r="Q1985" s="166">
        <f t="shared" si="421"/>
        <v>11118.791594999999</v>
      </c>
      <c r="R1985" s="71"/>
    </row>
    <row r="1986" spans="1:18" s="61" customFormat="1" ht="47.25" x14ac:dyDescent="0.25">
      <c r="A1986" s="358"/>
      <c r="B1986" s="361"/>
      <c r="C1986" s="366"/>
      <c r="D1986" s="156" t="s">
        <v>401</v>
      </c>
      <c r="E1986" s="156" t="s">
        <v>60</v>
      </c>
      <c r="F1986" s="156" t="s">
        <v>402</v>
      </c>
      <c r="G1986" s="238">
        <f>MROUND(H1986*L1986*I1986/K1986,0.000001)</f>
        <v>3.7339999999999999E-3</v>
      </c>
      <c r="H1986" s="246">
        <f>H66</f>
        <v>35</v>
      </c>
      <c r="I1986" s="159">
        <f t="shared" si="415"/>
        <v>2.8856369999999999E-2</v>
      </c>
      <c r="J1986" s="160"/>
      <c r="K1986" s="161">
        <f t="shared" si="420"/>
        <v>541</v>
      </c>
      <c r="L1986" s="162">
        <v>2</v>
      </c>
      <c r="M1986" s="163" t="str">
        <f>CONCATENATE(H1986," ",F1986,"*",L1986," раз в год","*",I1986,"/",K1986,"чел.")</f>
        <v>35 противопожарных водопроводов*2 раз в год*0,02885637/541чел.</v>
      </c>
      <c r="N1986" s="164">
        <f>N66</f>
        <v>5450</v>
      </c>
      <c r="O1986" s="165">
        <f t="shared" si="419"/>
        <v>20.350300000000001</v>
      </c>
      <c r="P1986" s="166"/>
      <c r="Q1986" s="166">
        <f t="shared" si="421"/>
        <v>11009.5123</v>
      </c>
      <c r="R1986" s="71"/>
    </row>
    <row r="1987" spans="1:18" s="61" customFormat="1" ht="31.5" x14ac:dyDescent="0.25">
      <c r="A1987" s="358"/>
      <c r="B1987" s="361"/>
      <c r="C1987" s="366"/>
      <c r="D1987" s="156" t="s">
        <v>221</v>
      </c>
      <c r="E1987" s="156" t="s">
        <v>60</v>
      </c>
      <c r="F1987" s="156" t="s">
        <v>60</v>
      </c>
      <c r="G1987" s="238">
        <f>MROUND(H1987*L1987*I1987/K1987,0.0000000001)</f>
        <v>1.15212124E-2</v>
      </c>
      <c r="H1987" s="158">
        <f>H67</f>
        <v>18</v>
      </c>
      <c r="I1987" s="159">
        <f t="shared" si="415"/>
        <v>2.8856369999999999E-2</v>
      </c>
      <c r="J1987" s="160"/>
      <c r="K1987" s="161">
        <f t="shared" si="420"/>
        <v>541</v>
      </c>
      <c r="L1987" s="250">
        <v>12</v>
      </c>
      <c r="M1987" s="163" t="str">
        <f>CONCATENATE(H1987," ",F1987,"*",L1987,"мес.","*",I1987,"/",K1987,"чел.")</f>
        <v>18 шт.*12мес.*0,02885637/541чел.</v>
      </c>
      <c r="N1987" s="164">
        <f>N907</f>
        <v>6288.0888888888885</v>
      </c>
      <c r="O1987" s="165">
        <f t="shared" si="419"/>
        <v>72.446407999999991</v>
      </c>
      <c r="P1987" s="166"/>
      <c r="Q1987" s="166">
        <f t="shared" si="421"/>
        <v>39193.506727999993</v>
      </c>
      <c r="R1987" s="71"/>
    </row>
    <row r="1988" spans="1:18" s="61" customFormat="1" ht="47.25" x14ac:dyDescent="0.25">
      <c r="A1988" s="358"/>
      <c r="B1988" s="361"/>
      <c r="C1988" s="366"/>
      <c r="D1988" s="156" t="s">
        <v>34</v>
      </c>
      <c r="E1988" s="156" t="s">
        <v>59</v>
      </c>
      <c r="F1988" s="156" t="s">
        <v>28</v>
      </c>
      <c r="G1988" s="238">
        <f>MROUND(H1988*L1988*I1988/K1988,0.0000000001)</f>
        <v>1.066779E-4</v>
      </c>
      <c r="H1988" s="158">
        <f>H548</f>
        <v>2</v>
      </c>
      <c r="I1988" s="159">
        <f t="shared" si="415"/>
        <v>2.8856369999999999E-2</v>
      </c>
      <c r="J1988" s="160"/>
      <c r="K1988" s="161">
        <f t="shared" si="420"/>
        <v>541</v>
      </c>
      <c r="L1988" s="250">
        <v>1</v>
      </c>
      <c r="M1988" s="163" t="str">
        <f>CONCATENATE(H1988," ",F1988,"*",I1988,"/",K1988,"чел.")</f>
        <v>2 шт*0,02885637/541чел.</v>
      </c>
      <c r="N1988" s="164">
        <f>N68</f>
        <v>7500</v>
      </c>
      <c r="O1988" s="165">
        <f t="shared" si="419"/>
        <v>0.80008400000000002</v>
      </c>
      <c r="P1988" s="166"/>
      <c r="Q1988" s="166">
        <f t="shared" si="421"/>
        <v>432.84544399999999</v>
      </c>
      <c r="R1988" s="71"/>
    </row>
    <row r="1989" spans="1:18" s="61" customFormat="1" ht="47.25" x14ac:dyDescent="0.25">
      <c r="A1989" s="358"/>
      <c r="B1989" s="361"/>
      <c r="C1989" s="366"/>
      <c r="D1989" s="156" t="s">
        <v>222</v>
      </c>
      <c r="E1989" s="156" t="s">
        <v>60</v>
      </c>
      <c r="F1989" s="156" t="s">
        <v>60</v>
      </c>
      <c r="G1989" s="238">
        <f>MROUND(H1989*L1989*I1989/K1989,0.00000000001)</f>
        <v>1.8668631199999998E-3</v>
      </c>
      <c r="H1989" s="248">
        <f>H1269</f>
        <v>35</v>
      </c>
      <c r="I1989" s="159">
        <f t="shared" si="415"/>
        <v>2.8856369999999999E-2</v>
      </c>
      <c r="J1989" s="160"/>
      <c r="K1989" s="161">
        <f t="shared" si="420"/>
        <v>541</v>
      </c>
      <c r="L1989" s="250">
        <v>1</v>
      </c>
      <c r="M1989" s="163" t="str">
        <f>CONCATENATE(H1989," ",F1989,"*",I1989,"/",K1989,"чел.")</f>
        <v>35 шт.*0,02885637/541чел.</v>
      </c>
      <c r="N1989" s="164">
        <f>N69</f>
        <v>8189.7714285714283</v>
      </c>
      <c r="O1989" s="165">
        <f>MROUND(G1989*N1989,0.00000001)</f>
        <v>15.289182240000001</v>
      </c>
      <c r="P1989" s="166"/>
      <c r="Q1989" s="166">
        <f t="shared" si="421"/>
        <v>8271.4475918400003</v>
      </c>
      <c r="R1989" s="71"/>
    </row>
    <row r="1990" spans="1:18" s="61" customFormat="1" ht="31.5" x14ac:dyDescent="0.25">
      <c r="A1990" s="358"/>
      <c r="B1990" s="361"/>
      <c r="C1990" s="366"/>
      <c r="D1990" s="156" t="s">
        <v>35</v>
      </c>
      <c r="E1990" s="156" t="s">
        <v>102</v>
      </c>
      <c r="F1990" s="156" t="s">
        <v>223</v>
      </c>
      <c r="G1990" s="238">
        <f>MROUND(H1990*L1990*I1990/K1990,0.00000001)</f>
        <v>1.8668600000000001E-3</v>
      </c>
      <c r="H1990" s="158">
        <f>H70</f>
        <v>35</v>
      </c>
      <c r="I1990" s="159">
        <f>I1988</f>
        <v>2.8856369999999999E-2</v>
      </c>
      <c r="J1990" s="160"/>
      <c r="K1990" s="161">
        <f>K1988</f>
        <v>541</v>
      </c>
      <c r="L1990" s="250">
        <v>1</v>
      </c>
      <c r="M1990" s="163" t="str">
        <f>CONCATENATE(H1990," ",F1990,"*",I1990,"/",K1990,"чел.")</f>
        <v>35 замеров*0,02885637/541чел.</v>
      </c>
      <c r="N1990" s="164">
        <f>N70</f>
        <v>20142.857142857141</v>
      </c>
      <c r="O1990" s="165">
        <f t="shared" si="419"/>
        <v>37.603893999999997</v>
      </c>
      <c r="P1990" s="166"/>
      <c r="Q1990" s="166">
        <f t="shared" si="421"/>
        <v>20343.706653999998</v>
      </c>
      <c r="R1990" s="71"/>
    </row>
    <row r="1991" spans="1:18" s="61" customFormat="1" ht="47.25" x14ac:dyDescent="0.25">
      <c r="A1991" s="358"/>
      <c r="B1991" s="361"/>
      <c r="C1991" s="366"/>
      <c r="D1991" s="156" t="s">
        <v>399</v>
      </c>
      <c r="E1991" s="156" t="s">
        <v>60</v>
      </c>
      <c r="F1991" s="156" t="s">
        <v>60</v>
      </c>
      <c r="G1991" s="238">
        <f>MROUND(H1991*L1991*I1991/K1991,0.000000001)</f>
        <v>1.8668631000000002E-2</v>
      </c>
      <c r="H1991" s="158">
        <f>H1391</f>
        <v>35</v>
      </c>
      <c r="I1991" s="159">
        <f t="shared" si="415"/>
        <v>2.8856369999999999E-2</v>
      </c>
      <c r="J1991" s="160"/>
      <c r="K1991" s="161">
        <f>K1990</f>
        <v>541</v>
      </c>
      <c r="L1991" s="250">
        <v>10</v>
      </c>
      <c r="M1991" s="163" t="str">
        <f>CONCATENATE(H1991," ",F1991,"*",L1991,"мес.","*",I1991,"/",K1991,"чел.")</f>
        <v>35 шт.*10мес.*0,02885637/541чел.</v>
      </c>
      <c r="N1991" s="164">
        <f>N1391</f>
        <v>3107.903028571428</v>
      </c>
      <c r="O1991" s="165">
        <f t="shared" si="419"/>
        <v>58.020294999999997</v>
      </c>
      <c r="P1991" s="166"/>
      <c r="Q1991" s="166">
        <f t="shared" si="421"/>
        <v>31388.979594999997</v>
      </c>
      <c r="R1991" s="71"/>
    </row>
    <row r="1992" spans="1:18" s="61" customFormat="1" ht="47.25" x14ac:dyDescent="0.25">
      <c r="A1992" s="358"/>
      <c r="B1992" s="361"/>
      <c r="C1992" s="366"/>
      <c r="D1992" s="156" t="s">
        <v>36</v>
      </c>
      <c r="E1992" s="156" t="s">
        <v>31</v>
      </c>
      <c r="F1992" s="156" t="s">
        <v>224</v>
      </c>
      <c r="G1992" s="238">
        <f>MROUND(H1992*L1992*I1992/K1992,0.00000001)</f>
        <v>2.3042420000000001E-2</v>
      </c>
      <c r="H1992" s="158">
        <f>H1272</f>
        <v>36</v>
      </c>
      <c r="I1992" s="159">
        <f t="shared" si="415"/>
        <v>2.8856369999999999E-2</v>
      </c>
      <c r="J1992" s="160"/>
      <c r="K1992" s="161">
        <f>K1991</f>
        <v>541</v>
      </c>
      <c r="L1992" s="250">
        <v>12</v>
      </c>
      <c r="M1992" s="163" t="str">
        <f>CONCATENATE(H1992," ",F1992,"*",L1992,"мес.","*",I1992,"/",K1992,"чел.")</f>
        <v>36 устройств*12мес.*0,02885637/541чел.</v>
      </c>
      <c r="N1992" s="164">
        <f>N72</f>
        <v>2200</v>
      </c>
      <c r="O1992" s="165">
        <f t="shared" si="419"/>
        <v>50.693323999999997</v>
      </c>
      <c r="P1992" s="166"/>
      <c r="Q1992" s="166">
        <f t="shared" si="421"/>
        <v>27425.088283999998</v>
      </c>
      <c r="R1992" s="71"/>
    </row>
    <row r="1993" spans="1:18" s="61" customFormat="1" ht="31.5" x14ac:dyDescent="0.25">
      <c r="A1993" s="358"/>
      <c r="B1993" s="361"/>
      <c r="C1993" s="366"/>
      <c r="D1993" s="156" t="s">
        <v>99</v>
      </c>
      <c r="E1993" s="156" t="s">
        <v>103</v>
      </c>
      <c r="F1993" s="156" t="s">
        <v>225</v>
      </c>
      <c r="G1993" s="238">
        <f>MROUND(H1993*L1993*I1993/K1993,0.00000001)</f>
        <v>2.02688E-2</v>
      </c>
      <c r="H1993" s="158">
        <f>H73</f>
        <v>380</v>
      </c>
      <c r="I1993" s="159">
        <f t="shared" si="415"/>
        <v>2.8856369999999999E-2</v>
      </c>
      <c r="J1993" s="160"/>
      <c r="K1993" s="161">
        <f>K1992</f>
        <v>541</v>
      </c>
      <c r="L1993" s="250">
        <v>1</v>
      </c>
      <c r="M1993" s="163" t="str">
        <f>CONCATENATE(H1993," ",F1993,"*",I1993,"/",K1993,"чел.")</f>
        <v>380 ед.*0,02885637/541чел.</v>
      </c>
      <c r="N1993" s="164">
        <f>N73</f>
        <v>15000</v>
      </c>
      <c r="O1993" s="165">
        <f t="shared" si="419"/>
        <v>304.03199999999998</v>
      </c>
      <c r="P1993" s="166"/>
      <c r="Q1993" s="166">
        <f t="shared" si="421"/>
        <v>164481.31199999998</v>
      </c>
      <c r="R1993" s="71"/>
    </row>
    <row r="1994" spans="1:18" s="61" customFormat="1" x14ac:dyDescent="0.25">
      <c r="A1994" s="358"/>
      <c r="B1994" s="361"/>
      <c r="C1994" s="366"/>
      <c r="D1994" s="156" t="s">
        <v>27</v>
      </c>
      <c r="E1994" s="156" t="s">
        <v>28</v>
      </c>
      <c r="F1994" s="156" t="s">
        <v>28</v>
      </c>
      <c r="G1994" s="238">
        <f>MROUND(H1994*L1994*I1994/K1994,0.0000000001)</f>
        <v>0.30483207870000001</v>
      </c>
      <c r="H1994" s="160">
        <f>H74</f>
        <v>5715</v>
      </c>
      <c r="I1994" s="159">
        <f t="shared" si="415"/>
        <v>2.8856369999999999E-2</v>
      </c>
      <c r="J1994" s="160"/>
      <c r="K1994" s="161">
        <f>K1993</f>
        <v>541</v>
      </c>
      <c r="L1994" s="250">
        <v>1</v>
      </c>
      <c r="M1994" s="163" t="str">
        <f>CONCATENATE(H1994," ",F1994,"*",I1994,"/",K1994,"чел.")</f>
        <v>5715 шт*0,02885637/541чел.</v>
      </c>
      <c r="N1994" s="164">
        <f>N74</f>
        <v>400</v>
      </c>
      <c r="O1994" s="165">
        <f t="shared" si="419"/>
        <v>121.93283099999999</v>
      </c>
      <c r="P1994" s="166"/>
      <c r="Q1994" s="166">
        <f t="shared" si="421"/>
        <v>65965.66157099999</v>
      </c>
      <c r="R1994" s="71"/>
    </row>
    <row r="1995" spans="1:18" s="61" customFormat="1" ht="31.5" x14ac:dyDescent="0.25">
      <c r="A1995" s="358"/>
      <c r="B1995" s="361"/>
      <c r="C1995" s="367"/>
      <c r="D1995" s="156" t="s">
        <v>104</v>
      </c>
      <c r="E1995" s="156" t="s">
        <v>105</v>
      </c>
      <c r="F1995" s="156" t="s">
        <v>226</v>
      </c>
      <c r="G1995" s="238">
        <f>MROUND(H1995*L1995*I1995/K1995,0.00000001)</f>
        <v>1.9201999999999999E-3</v>
      </c>
      <c r="H1995" s="160">
        <f>H915</f>
        <v>36</v>
      </c>
      <c r="I1995" s="159">
        <f t="shared" si="415"/>
        <v>2.8856369999999999E-2</v>
      </c>
      <c r="J1995" s="160"/>
      <c r="K1995" s="161">
        <f>K1994</f>
        <v>541</v>
      </c>
      <c r="L1995" s="250">
        <v>1</v>
      </c>
      <c r="M1995" s="163" t="str">
        <f>CONCATENATE(H1995," ",F1995,"*",I1995,"/",K1995,"чел.")</f>
        <v>36 отключений*0,02885637/541чел.</v>
      </c>
      <c r="N1995" s="164">
        <f>N75</f>
        <v>9810</v>
      </c>
      <c r="O1995" s="165">
        <f t="shared" si="419"/>
        <v>18.837161999999999</v>
      </c>
      <c r="P1995" s="166"/>
      <c r="Q1995" s="166">
        <f t="shared" si="421"/>
        <v>10190.904642</v>
      </c>
      <c r="R1995" s="71"/>
    </row>
    <row r="1996" spans="1:18" s="62" customFormat="1" x14ac:dyDescent="0.25">
      <c r="A1996" s="358"/>
      <c r="B1996" s="361"/>
      <c r="C1996" s="249" t="s">
        <v>292</v>
      </c>
      <c r="D1996" s="240"/>
      <c r="E1996" s="240"/>
      <c r="F1996" s="240"/>
      <c r="G1996" s="227"/>
      <c r="H1996" s="228"/>
      <c r="I1996" s="206"/>
      <c r="J1996" s="228"/>
      <c r="K1996" s="207"/>
      <c r="L1996" s="257"/>
      <c r="M1996" s="209"/>
      <c r="N1996" s="210"/>
      <c r="O1996" s="198">
        <f>SUM(O1980:O1995)</f>
        <v>799.36755224000001</v>
      </c>
      <c r="P1996" s="267"/>
      <c r="Q1996" s="166">
        <f t="shared" si="421"/>
        <v>0</v>
      </c>
      <c r="R1996" s="71"/>
    </row>
    <row r="1997" spans="1:18" s="61" customFormat="1" ht="31.5" x14ac:dyDescent="0.25">
      <c r="A1997" s="358"/>
      <c r="B1997" s="361"/>
      <c r="C1997" s="221" t="s">
        <v>79</v>
      </c>
      <c r="D1997" s="156" t="s">
        <v>37</v>
      </c>
      <c r="E1997" s="156" t="s">
        <v>61</v>
      </c>
      <c r="F1997" s="156" t="s">
        <v>227</v>
      </c>
      <c r="G1997" s="238">
        <f>MROUND(H1997*L1997*I1997/K1997,0.000000001)</f>
        <v>2.1335600000000002E-4</v>
      </c>
      <c r="H1997" s="158">
        <f>H77</f>
        <v>4</v>
      </c>
      <c r="I1997" s="159">
        <f>I1995</f>
        <v>2.8856369999999999E-2</v>
      </c>
      <c r="J1997" s="160"/>
      <c r="K1997" s="161">
        <f>K1995</f>
        <v>541</v>
      </c>
      <c r="L1997" s="250">
        <v>1</v>
      </c>
      <c r="M1997" s="163" t="str">
        <f>CONCATENATE(H1997," ",F1997,"*",I1997,"/",K1997,"чел.")</f>
        <v>4 автобуса*0,02885637/541чел.</v>
      </c>
      <c r="N1997" s="164">
        <f>N77</f>
        <v>93408.640000000014</v>
      </c>
      <c r="O1997" s="165">
        <f>MROUND(G1997*N1997,0.000001)</f>
        <v>19.929293999999999</v>
      </c>
      <c r="P1997" s="166"/>
      <c r="Q1997" s="166">
        <f t="shared" si="421"/>
        <v>10781.748054</v>
      </c>
      <c r="R1997" s="71"/>
    </row>
    <row r="1998" spans="1:18" s="62" customFormat="1" x14ac:dyDescent="0.25">
      <c r="A1998" s="358"/>
      <c r="B1998" s="361"/>
      <c r="C1998" s="218" t="s">
        <v>295</v>
      </c>
      <c r="D1998" s="240"/>
      <c r="E1998" s="240"/>
      <c r="F1998" s="240"/>
      <c r="G1998" s="227"/>
      <c r="H1998" s="241"/>
      <c r="I1998" s="206"/>
      <c r="J1998" s="228"/>
      <c r="K1998" s="207"/>
      <c r="L1998" s="257"/>
      <c r="M1998" s="209"/>
      <c r="N1998" s="210"/>
      <c r="O1998" s="198">
        <f>SUM(O1997)</f>
        <v>19.929293999999999</v>
      </c>
      <c r="P1998" s="267"/>
      <c r="Q1998" s="166">
        <f t="shared" si="421"/>
        <v>0</v>
      </c>
      <c r="R1998" s="71"/>
    </row>
    <row r="1999" spans="1:18" s="61" customFormat="1" x14ac:dyDescent="0.25">
      <c r="A1999" s="358"/>
      <c r="B1999" s="361"/>
      <c r="C1999" s="364" t="s">
        <v>80</v>
      </c>
      <c r="D1999" s="156" t="s">
        <v>38</v>
      </c>
      <c r="E1999" s="156" t="s">
        <v>57</v>
      </c>
      <c r="F1999" s="156" t="s">
        <v>228</v>
      </c>
      <c r="G1999" s="238">
        <f>MROUND(H1999*L1999*I1999/K1999,0.0000000001)</f>
        <v>2.3042424799999999E-2</v>
      </c>
      <c r="H1999" s="158">
        <f>H79</f>
        <v>36</v>
      </c>
      <c r="I1999" s="159">
        <f>I1997</f>
        <v>2.8856369999999999E-2</v>
      </c>
      <c r="J1999" s="160"/>
      <c r="K1999" s="161">
        <f>K1997</f>
        <v>541</v>
      </c>
      <c r="L1999" s="250">
        <v>12</v>
      </c>
      <c r="M1999" s="163" t="str">
        <f>CONCATENATE(H1999," ",F1999,"*",L1999,"мес.","*",I1999,"/",K1999,"чел.")</f>
        <v>36 зданий*12мес.*0,02885637/541чел.</v>
      </c>
      <c r="N1999" s="164">
        <f t="shared" ref="N1999:N2007" si="422">N79</f>
        <v>4694.6300000000019</v>
      </c>
      <c r="O1999" s="165">
        <f>MROUND(G1999*N1999,0.000001)</f>
        <v>108.175659</v>
      </c>
      <c r="P1999" s="166"/>
      <c r="Q1999" s="166">
        <f t="shared" si="421"/>
        <v>58523.031518999996</v>
      </c>
      <c r="R1999" s="71"/>
    </row>
    <row r="2000" spans="1:18" s="61" customFormat="1" ht="47.25" x14ac:dyDescent="0.25">
      <c r="A2000" s="358"/>
      <c r="B2000" s="361"/>
      <c r="C2000" s="364"/>
      <c r="D2000" s="156" t="s">
        <v>229</v>
      </c>
      <c r="E2000" s="156" t="s">
        <v>60</v>
      </c>
      <c r="F2000" s="156" t="s">
        <v>60</v>
      </c>
      <c r="G2000" s="238">
        <f>MROUND(H2000*L2000*I2000/K2000,0.000001)</f>
        <v>0.127693</v>
      </c>
      <c r="H2000" s="158">
        <f>H560</f>
        <v>2394</v>
      </c>
      <c r="I2000" s="159">
        <f>I1999</f>
        <v>2.8856369999999999E-2</v>
      </c>
      <c r="J2000" s="160"/>
      <c r="K2000" s="161">
        <f>K1999</f>
        <v>541</v>
      </c>
      <c r="L2000" s="250">
        <v>1</v>
      </c>
      <c r="M2000" s="163" t="str">
        <f t="shared" ref="M2000:M2007" si="423">CONCATENATE(H2000," ",F2000,"*",I2000,"/",K2000,"чел.")</f>
        <v>2394 шт.*0,02885637/541чел.</v>
      </c>
      <c r="N2000" s="164">
        <f t="shared" si="422"/>
        <v>163.5</v>
      </c>
      <c r="O2000" s="165">
        <f>MROUND(G2000*N2000,0.000001)</f>
        <v>20.877806</v>
      </c>
      <c r="P2000" s="166"/>
      <c r="Q2000" s="166">
        <f t="shared" si="421"/>
        <v>11294.893045999999</v>
      </c>
      <c r="R2000" s="71"/>
    </row>
    <row r="2001" spans="1:18" s="61" customFormat="1" ht="47.25" x14ac:dyDescent="0.25">
      <c r="A2001" s="358"/>
      <c r="B2001" s="361"/>
      <c r="C2001" s="364"/>
      <c r="D2001" s="156" t="s">
        <v>405</v>
      </c>
      <c r="E2001" s="156" t="s">
        <v>60</v>
      </c>
      <c r="F2001" s="156" t="s">
        <v>406</v>
      </c>
      <c r="G2001" s="238">
        <f>MROUND(H2001*L2001*I2001/K2001,0.00000001)</f>
        <v>1.9201999999999999E-3</v>
      </c>
      <c r="H2001" s="158">
        <f>H201</f>
        <v>36</v>
      </c>
      <c r="I2001" s="159">
        <f>I2000</f>
        <v>2.8856369999999999E-2</v>
      </c>
      <c r="J2001" s="160"/>
      <c r="K2001" s="161">
        <f>K2000</f>
        <v>541</v>
      </c>
      <c r="L2001" s="250">
        <v>1</v>
      </c>
      <c r="M2001" s="163" t="str">
        <f t="shared" si="423"/>
        <v>36 лицензий*0,02885637/541чел.</v>
      </c>
      <c r="N2001" s="164">
        <f t="shared" si="422"/>
        <v>11990</v>
      </c>
      <c r="O2001" s="165">
        <f t="shared" ref="O2001:O2010" si="424">MROUND(G2001*N2001,0.000001)</f>
        <v>23.023198000000001</v>
      </c>
      <c r="P2001" s="166"/>
      <c r="Q2001" s="166">
        <f t="shared" si="421"/>
        <v>12455.550118000001</v>
      </c>
      <c r="R2001" s="71"/>
    </row>
    <row r="2002" spans="1:18" s="61" customFormat="1" ht="63" x14ac:dyDescent="0.25">
      <c r="A2002" s="358"/>
      <c r="B2002" s="361"/>
      <c r="C2002" s="364"/>
      <c r="D2002" s="156" t="s">
        <v>39</v>
      </c>
      <c r="E2002" s="156" t="s">
        <v>20</v>
      </c>
      <c r="F2002" s="156" t="s">
        <v>234</v>
      </c>
      <c r="G2002" s="238">
        <f>MROUND(H2002*L2002*I2002/K2002,0.000000001)</f>
        <v>6.2939960000000005E-3</v>
      </c>
      <c r="H2002" s="158">
        <f>H1522</f>
        <v>118</v>
      </c>
      <c r="I2002" s="159">
        <f>I2000</f>
        <v>2.8856369999999999E-2</v>
      </c>
      <c r="J2002" s="160"/>
      <c r="K2002" s="161">
        <f>K2000</f>
        <v>541</v>
      </c>
      <c r="L2002" s="250">
        <v>1</v>
      </c>
      <c r="M2002" s="163" t="str">
        <f t="shared" si="423"/>
        <v>118 чел(заявленная потребность руководителями учреждений)*0,02885637/541чел.</v>
      </c>
      <c r="N2002" s="164">
        <f t="shared" si="422"/>
        <v>763</v>
      </c>
      <c r="O2002" s="165">
        <f t="shared" si="424"/>
        <v>4.8023189999999998</v>
      </c>
      <c r="P2002" s="166"/>
      <c r="Q2002" s="166">
        <f t="shared" si="421"/>
        <v>2598.0545790000001</v>
      </c>
      <c r="R2002" s="71"/>
    </row>
    <row r="2003" spans="1:18" s="61" customFormat="1" ht="63" x14ac:dyDescent="0.25">
      <c r="A2003" s="358"/>
      <c r="B2003" s="361"/>
      <c r="C2003" s="364"/>
      <c r="D2003" s="156" t="s">
        <v>40</v>
      </c>
      <c r="E2003" s="156" t="s">
        <v>20</v>
      </c>
      <c r="F2003" s="156" t="s">
        <v>234</v>
      </c>
      <c r="G2003" s="238">
        <f>MROUND(H2003*L2003*I2003/K2003,0.000000001)</f>
        <v>5.2805560000000005E-3</v>
      </c>
      <c r="H2003" s="158">
        <f>H1523</f>
        <v>99</v>
      </c>
      <c r="I2003" s="159">
        <f t="shared" ref="I2003:I2010" si="425">I2002</f>
        <v>2.8856369999999999E-2</v>
      </c>
      <c r="J2003" s="160"/>
      <c r="K2003" s="161">
        <f t="shared" ref="K2003:K2010" si="426">K2002</f>
        <v>541</v>
      </c>
      <c r="L2003" s="250">
        <v>1</v>
      </c>
      <c r="M2003" s="163" t="str">
        <f t="shared" si="423"/>
        <v>99 чел(заявленная потребность руководителями учреждений)*0,02885637/541чел.</v>
      </c>
      <c r="N2003" s="164">
        <f t="shared" si="422"/>
        <v>1585.4545454545455</v>
      </c>
      <c r="O2003" s="165">
        <f t="shared" si="424"/>
        <v>8.3720819999999989</v>
      </c>
      <c r="P2003" s="166"/>
      <c r="Q2003" s="166">
        <f t="shared" si="421"/>
        <v>4529.2963619999991</v>
      </c>
      <c r="R2003" s="71"/>
    </row>
    <row r="2004" spans="1:18" s="61" customFormat="1" ht="63" x14ac:dyDescent="0.25">
      <c r="A2004" s="358"/>
      <c r="B2004" s="361"/>
      <c r="C2004" s="364"/>
      <c r="D2004" s="156" t="s">
        <v>100</v>
      </c>
      <c r="E2004" s="156" t="s">
        <v>20</v>
      </c>
      <c r="F2004" s="156" t="s">
        <v>234</v>
      </c>
      <c r="G2004" s="238">
        <f>MROUND(H2004*L2004*I2004/K2004,0.0000000001)</f>
        <v>4.3204547000000003E-3</v>
      </c>
      <c r="H2004" s="158">
        <f>H1524</f>
        <v>81</v>
      </c>
      <c r="I2004" s="159">
        <f t="shared" si="425"/>
        <v>2.8856369999999999E-2</v>
      </c>
      <c r="J2004" s="160"/>
      <c r="K2004" s="161">
        <f t="shared" si="426"/>
        <v>541</v>
      </c>
      <c r="L2004" s="250">
        <v>1</v>
      </c>
      <c r="M2004" s="163" t="str">
        <f t="shared" si="423"/>
        <v>81 чел(заявленная потребность руководителями учреждений)*0,02885637/541чел.</v>
      </c>
      <c r="N2004" s="164">
        <f t="shared" si="422"/>
        <v>3488</v>
      </c>
      <c r="O2004" s="165">
        <f t="shared" si="424"/>
        <v>15.069745999999999</v>
      </c>
      <c r="P2004" s="166"/>
      <c r="Q2004" s="166">
        <f t="shared" si="421"/>
        <v>8152.7325859999992</v>
      </c>
      <c r="R2004" s="71"/>
    </row>
    <row r="2005" spans="1:18" s="61" customFormat="1" ht="110.25" x14ac:dyDescent="0.25">
      <c r="A2005" s="358"/>
      <c r="B2005" s="361"/>
      <c r="C2005" s="364"/>
      <c r="D2005" s="156" t="s">
        <v>235</v>
      </c>
      <c r="E2005" s="156" t="s">
        <v>50</v>
      </c>
      <c r="F2005" s="156" t="s">
        <v>230</v>
      </c>
      <c r="G2005" s="238">
        <f>MROUND(H2005*L2005*I2005/K2005,0.00000001)</f>
        <v>1.9201999999999999E-3</v>
      </c>
      <c r="H2005" s="158">
        <f>H1765</f>
        <v>36</v>
      </c>
      <c r="I2005" s="159">
        <f t="shared" si="425"/>
        <v>2.8856369999999999E-2</v>
      </c>
      <c r="J2005" s="160"/>
      <c r="K2005" s="161">
        <f t="shared" si="426"/>
        <v>541</v>
      </c>
      <c r="L2005" s="250">
        <v>1</v>
      </c>
      <c r="M2005" s="163" t="str">
        <f t="shared" si="423"/>
        <v>36 отчетов*0,02885637/541чел.</v>
      </c>
      <c r="N2005" s="164">
        <f t="shared" si="422"/>
        <v>6540</v>
      </c>
      <c r="O2005" s="165">
        <f t="shared" si="424"/>
        <v>12.558107999999999</v>
      </c>
      <c r="P2005" s="166"/>
      <c r="Q2005" s="166">
        <f t="shared" si="421"/>
        <v>6793.9364279999991</v>
      </c>
      <c r="R2005" s="71"/>
    </row>
    <row r="2006" spans="1:18" s="61" customFormat="1" ht="63" x14ac:dyDescent="0.25">
      <c r="A2006" s="358"/>
      <c r="B2006" s="361"/>
      <c r="C2006" s="364"/>
      <c r="D2006" s="156" t="s">
        <v>42</v>
      </c>
      <c r="E2006" s="156" t="s">
        <v>51</v>
      </c>
      <c r="F2006" s="156" t="s">
        <v>407</v>
      </c>
      <c r="G2006" s="238">
        <f>MROUND(H2006*L2006*I2006/K2006,0.000001)</f>
        <v>1.0881E-2</v>
      </c>
      <c r="H2006" s="158">
        <f>H1526</f>
        <v>204</v>
      </c>
      <c r="I2006" s="159">
        <f t="shared" si="425"/>
        <v>2.8856369999999999E-2</v>
      </c>
      <c r="J2006" s="160"/>
      <c r="K2006" s="161">
        <f t="shared" si="426"/>
        <v>541</v>
      </c>
      <c r="L2006" s="250">
        <v>1</v>
      </c>
      <c r="M2006" s="163" t="str">
        <f t="shared" si="423"/>
        <v>204 ед (заявленная потребность руководителями учреждений)*0,02885637/541чел.</v>
      </c>
      <c r="N2006" s="164">
        <f t="shared" si="422"/>
        <v>1090</v>
      </c>
      <c r="O2006" s="165">
        <f t="shared" si="424"/>
        <v>11.860289999999999</v>
      </c>
      <c r="P2006" s="166"/>
      <c r="Q2006" s="166">
        <f t="shared" si="421"/>
        <v>6416.4168899999995</v>
      </c>
      <c r="R2006" s="71"/>
    </row>
    <row r="2007" spans="1:18" s="61" customFormat="1" ht="31.5" x14ac:dyDescent="0.25">
      <c r="A2007" s="358"/>
      <c r="B2007" s="361"/>
      <c r="C2007" s="364"/>
      <c r="D2007" s="156" t="s">
        <v>43</v>
      </c>
      <c r="E2007" s="156" t="s">
        <v>52</v>
      </c>
      <c r="F2007" s="156" t="s">
        <v>231</v>
      </c>
      <c r="G2007" s="238">
        <f>MROUND(H2007*L2007*I2007/K2007,0.000000001)</f>
        <v>1.9202020000000002E-3</v>
      </c>
      <c r="H2007" s="158">
        <f>H927</f>
        <v>36</v>
      </c>
      <c r="I2007" s="159">
        <f t="shared" si="425"/>
        <v>2.8856369999999999E-2</v>
      </c>
      <c r="J2007" s="160"/>
      <c r="K2007" s="161">
        <f t="shared" si="426"/>
        <v>541</v>
      </c>
      <c r="L2007" s="250">
        <v>1</v>
      </c>
      <c r="M2007" s="163" t="str">
        <f t="shared" si="423"/>
        <v>36 ЭЦП*0,02885637/541чел.</v>
      </c>
      <c r="N2007" s="164">
        <f t="shared" si="422"/>
        <v>7743.3599999999924</v>
      </c>
      <c r="O2007" s="165">
        <f t="shared" si="424"/>
        <v>14.868815</v>
      </c>
      <c r="P2007" s="166"/>
      <c r="Q2007" s="166">
        <f t="shared" si="421"/>
        <v>8044.0289149999999</v>
      </c>
      <c r="R2007" s="71"/>
    </row>
    <row r="2008" spans="1:18" s="61" customFormat="1" ht="47.25" x14ac:dyDescent="0.25">
      <c r="A2008" s="358"/>
      <c r="B2008" s="361"/>
      <c r="C2008" s="364"/>
      <c r="D2008" s="156" t="s">
        <v>44</v>
      </c>
      <c r="E2008" s="156" t="s">
        <v>85</v>
      </c>
      <c r="F2008" s="156" t="s">
        <v>232</v>
      </c>
      <c r="G2008" s="238">
        <f>MROUND(H2008*L2008*I2008/K2008,0.000001)</f>
        <v>6.4860000000000001E-2</v>
      </c>
      <c r="H2008" s="158">
        <f>H928</f>
        <v>1216</v>
      </c>
      <c r="I2008" s="159">
        <f t="shared" si="425"/>
        <v>2.8856369999999999E-2</v>
      </c>
      <c r="J2008" s="160"/>
      <c r="K2008" s="161">
        <f t="shared" si="426"/>
        <v>541</v>
      </c>
      <c r="L2008" s="250">
        <v>1</v>
      </c>
      <c r="M2008" s="163" t="str">
        <f>CONCATENATE(H2008," ",F2008,"*",L2008,"мес.","*",I2008,"/",K2008,"чел.")</f>
        <v>1216 мед.осмотров в мес.*1мес.*0,02885637/541чел.</v>
      </c>
      <c r="N2008" s="164">
        <f>N928</f>
        <v>56.680000000000007</v>
      </c>
      <c r="O2008" s="165">
        <f t="shared" si="424"/>
        <v>3.6762649999999999</v>
      </c>
      <c r="P2008" s="166"/>
      <c r="Q2008" s="166">
        <f t="shared" si="421"/>
        <v>1988.859365</v>
      </c>
      <c r="R2008" s="71"/>
    </row>
    <row r="2009" spans="1:18" s="61" customFormat="1" ht="63" x14ac:dyDescent="0.25">
      <c r="A2009" s="358"/>
      <c r="B2009" s="361"/>
      <c r="C2009" s="364"/>
      <c r="D2009" s="156" t="s">
        <v>45</v>
      </c>
      <c r="E2009" s="156" t="s">
        <v>53</v>
      </c>
      <c r="F2009" s="156" t="s">
        <v>233</v>
      </c>
      <c r="G2009" s="238">
        <f>MROUND(H2009*L2009*I2009/K2009,0.000000001)</f>
        <v>2.560269E-3</v>
      </c>
      <c r="H2009" s="158">
        <f>H1529</f>
        <v>4</v>
      </c>
      <c r="I2009" s="159">
        <f t="shared" si="425"/>
        <v>2.8856369999999999E-2</v>
      </c>
      <c r="J2009" s="160"/>
      <c r="K2009" s="161">
        <f t="shared" si="426"/>
        <v>541</v>
      </c>
      <c r="L2009" s="250">
        <v>12</v>
      </c>
      <c r="M2009" s="163" t="str">
        <f>CONCATENATE(H2009," ",F2009,"*",L2009,"мес.","*",I2009,"/",K2009,"чел.")</f>
        <v>4  машины, оборудованных системой ГЛОНАСС*12мес.*0,02885637/541чел.</v>
      </c>
      <c r="N2009" s="164">
        <f>N89</f>
        <v>880.71999999999991</v>
      </c>
      <c r="O2009" s="165">
        <f t="shared" si="424"/>
        <v>2.25488</v>
      </c>
      <c r="P2009" s="166"/>
      <c r="Q2009" s="166">
        <f t="shared" si="421"/>
        <v>1219.8900799999999</v>
      </c>
      <c r="R2009" s="71"/>
    </row>
    <row r="2010" spans="1:18" s="61" customFormat="1" ht="31.5" x14ac:dyDescent="0.25">
      <c r="A2010" s="358"/>
      <c r="B2010" s="361"/>
      <c r="C2010" s="364"/>
      <c r="D2010" s="156" t="s">
        <v>408</v>
      </c>
      <c r="E2010" s="156" t="s">
        <v>20</v>
      </c>
      <c r="F2010" s="156" t="s">
        <v>20</v>
      </c>
      <c r="G2010" s="238">
        <f>MROUND(H2010*L2010*I2010/K2010,0.0000000001)</f>
        <v>9.1316276200000004E-2</v>
      </c>
      <c r="H2010" s="158">
        <f>H90</f>
        <v>1712</v>
      </c>
      <c r="I2010" s="159">
        <f t="shared" si="425"/>
        <v>2.8856369999999999E-2</v>
      </c>
      <c r="J2010" s="160"/>
      <c r="K2010" s="161">
        <f t="shared" si="426"/>
        <v>541</v>
      </c>
      <c r="L2010" s="250">
        <v>1</v>
      </c>
      <c r="M2010" s="163" t="str">
        <f>CONCATENATE(H2010," ",F2010,"*",L2010," раз в год","*",I2010,"/",K2010,"чел.")</f>
        <v>1712 чел.*1 раз в год*0,02885637/541чел.</v>
      </c>
      <c r="N2010" s="164">
        <f>N90</f>
        <v>545</v>
      </c>
      <c r="O2010" s="165">
        <f t="shared" si="424"/>
        <v>49.767370999999997</v>
      </c>
      <c r="P2010" s="166"/>
      <c r="Q2010" s="166">
        <f t="shared" si="421"/>
        <v>26924.147710999998</v>
      </c>
      <c r="R2010" s="71"/>
    </row>
    <row r="2011" spans="1:18" s="61" customFormat="1" x14ac:dyDescent="0.25">
      <c r="A2011" s="358"/>
      <c r="B2011" s="361"/>
      <c r="C2011" s="364"/>
      <c r="D2011" s="156" t="s">
        <v>373</v>
      </c>
      <c r="E2011" s="156" t="s">
        <v>28</v>
      </c>
      <c r="F2011" s="156" t="s">
        <v>28</v>
      </c>
      <c r="G2011" s="157">
        <f>MROUND(H2011*L2011*I2011/K2011,0.000000001)</f>
        <v>1.9202020000000002E-3</v>
      </c>
      <c r="H2011" s="158">
        <f>H92</f>
        <v>36</v>
      </c>
      <c r="I2011" s="159">
        <f>I2009</f>
        <v>2.8856369999999999E-2</v>
      </c>
      <c r="J2011" s="160"/>
      <c r="K2011" s="161">
        <f>K2009</f>
        <v>541</v>
      </c>
      <c r="L2011" s="162">
        <v>1</v>
      </c>
      <c r="M2011" s="163" t="str">
        <f>CONCATENATE(H2011," ",F2011,"*",L2011,"мес.","*",I2011,"/",K2011,"чел.")</f>
        <v>36 шт*1мес.*0,02885637/541чел.</v>
      </c>
      <c r="N2011" s="164">
        <f>N92</f>
        <v>24000</v>
      </c>
      <c r="O2011" s="165">
        <f>MROUND(G2011*N2011,0.000000001)</f>
        <v>46.084848000000001</v>
      </c>
      <c r="P2011" s="166"/>
      <c r="Q2011" s="166">
        <f t="shared" si="421"/>
        <v>24931.902768</v>
      </c>
      <c r="R2011" s="71"/>
    </row>
    <row r="2012" spans="1:18" s="61" customFormat="1" ht="31.5" x14ac:dyDescent="0.25">
      <c r="A2012" s="358"/>
      <c r="B2012" s="361"/>
      <c r="C2012" s="364"/>
      <c r="D2012" s="156" t="s">
        <v>106</v>
      </c>
      <c r="E2012" s="156" t="s">
        <v>107</v>
      </c>
      <c r="F2012" s="156"/>
      <c r="G2012" s="238">
        <f>MROUND(H2012*L2012*I2012/K2012,0.000000001)</f>
        <v>0</v>
      </c>
      <c r="H2012" s="158">
        <f>H91</f>
        <v>0</v>
      </c>
      <c r="I2012" s="159">
        <f>I2009</f>
        <v>2.8856369999999999E-2</v>
      </c>
      <c r="J2012" s="160"/>
      <c r="K2012" s="161">
        <f>K2009</f>
        <v>541</v>
      </c>
      <c r="L2012" s="250">
        <f>L452</f>
        <v>0</v>
      </c>
      <c r="M2012" s="163"/>
      <c r="N2012" s="164">
        <f>N91</f>
        <v>1256.0400600000007</v>
      </c>
      <c r="O2012" s="165">
        <f>MROUND(G2012*N2012,0.000000001)</f>
        <v>0</v>
      </c>
      <c r="P2012" s="166"/>
      <c r="Q2012" s="166">
        <f t="shared" si="421"/>
        <v>0</v>
      </c>
      <c r="R2012" s="71"/>
    </row>
    <row r="2013" spans="1:18" s="62" customFormat="1" x14ac:dyDescent="0.25">
      <c r="A2013" s="358"/>
      <c r="B2013" s="361"/>
      <c r="C2013" s="245" t="s">
        <v>296</v>
      </c>
      <c r="D2013" s="240"/>
      <c r="E2013" s="240"/>
      <c r="F2013" s="240"/>
      <c r="G2013" s="227"/>
      <c r="H2013" s="241"/>
      <c r="I2013" s="206"/>
      <c r="J2013" s="228"/>
      <c r="K2013" s="207"/>
      <c r="L2013" s="257"/>
      <c r="M2013" s="209"/>
      <c r="N2013" s="210"/>
      <c r="O2013" s="198">
        <f>SUM(O1999:O2012)</f>
        <v>321.39138700000007</v>
      </c>
      <c r="P2013" s="267"/>
      <c r="Q2013" s="166">
        <f t="shared" si="421"/>
        <v>0</v>
      </c>
      <c r="R2013" s="71"/>
    </row>
    <row r="2014" spans="1:18" s="61" customFormat="1" ht="31.5" x14ac:dyDescent="0.25">
      <c r="A2014" s="358"/>
      <c r="B2014" s="361"/>
      <c r="C2014" s="252" t="s">
        <v>237</v>
      </c>
      <c r="D2014" s="156" t="s">
        <v>41</v>
      </c>
      <c r="E2014" s="156" t="s">
        <v>61</v>
      </c>
      <c r="F2014" s="156" t="s">
        <v>227</v>
      </c>
      <c r="G2014" s="238">
        <f>MROUND(H2014*L2014*I2014/K2014,0.000000001)</f>
        <v>2.1335600000000002E-4</v>
      </c>
      <c r="H2014" s="158">
        <f>H934</f>
        <v>4</v>
      </c>
      <c r="I2014" s="159">
        <f>I2012</f>
        <v>2.8856369999999999E-2</v>
      </c>
      <c r="J2014" s="160"/>
      <c r="K2014" s="161">
        <f>K2012</f>
        <v>541</v>
      </c>
      <c r="L2014" s="250">
        <v>1</v>
      </c>
      <c r="M2014" s="163" t="str">
        <f>CONCATENATE(H2014," ",F2014,"*",I2014,"/",K2014,"чел.")</f>
        <v>4 автобуса*0,02885637/541чел.</v>
      </c>
      <c r="N2014" s="164">
        <f>N94</f>
        <v>25724</v>
      </c>
      <c r="O2014" s="165">
        <f>MROUND(G2014*N2014,0.000001)</f>
        <v>5.4883699999999997</v>
      </c>
      <c r="P2014" s="166"/>
      <c r="Q2014" s="166">
        <f t="shared" si="421"/>
        <v>2969.2081699999999</v>
      </c>
      <c r="R2014" s="71"/>
    </row>
    <row r="2015" spans="1:18" s="62" customFormat="1" x14ac:dyDescent="0.25">
      <c r="A2015" s="358"/>
      <c r="B2015" s="361"/>
      <c r="C2015" s="245" t="s">
        <v>297</v>
      </c>
      <c r="D2015" s="240"/>
      <c r="E2015" s="240"/>
      <c r="F2015" s="240"/>
      <c r="G2015" s="227"/>
      <c r="H2015" s="241"/>
      <c r="I2015" s="206"/>
      <c r="J2015" s="228"/>
      <c r="K2015" s="207"/>
      <c r="L2015" s="257"/>
      <c r="M2015" s="209"/>
      <c r="N2015" s="210"/>
      <c r="O2015" s="198">
        <f>SUM(O2014)</f>
        <v>5.4883699999999997</v>
      </c>
      <c r="P2015" s="267"/>
      <c r="Q2015" s="166">
        <f t="shared" si="421"/>
        <v>0</v>
      </c>
      <c r="R2015" s="71"/>
    </row>
    <row r="2016" spans="1:18" s="61" customFormat="1" ht="78.75" x14ac:dyDescent="0.25">
      <c r="A2016" s="358"/>
      <c r="B2016" s="361"/>
      <c r="C2016" s="221" t="s">
        <v>236</v>
      </c>
      <c r="D2016" s="156" t="s">
        <v>19</v>
      </c>
      <c r="E2016" s="181" t="s">
        <v>20</v>
      </c>
      <c r="F2016" s="181" t="s">
        <v>238</v>
      </c>
      <c r="G2016" s="238">
        <f>MROUND(H2016*L2016*I2016/K2016,0.000001)</f>
        <v>0</v>
      </c>
      <c r="H2016" s="158"/>
      <c r="I2016" s="159">
        <f>I2012</f>
        <v>2.8856369999999999E-2</v>
      </c>
      <c r="J2016" s="160"/>
      <c r="K2016" s="161">
        <f>K2012</f>
        <v>541</v>
      </c>
      <c r="L2016" s="250"/>
      <c r="M2016" s="163"/>
      <c r="N2016" s="164"/>
      <c r="O2016" s="165">
        <f>MROUND(G2016*N2016,0.000001)</f>
        <v>0</v>
      </c>
      <c r="P2016" s="166"/>
      <c r="Q2016" s="166">
        <f t="shared" si="421"/>
        <v>0</v>
      </c>
      <c r="R2016" s="71"/>
    </row>
    <row r="2017" spans="1:18" s="62" customFormat="1" x14ac:dyDescent="0.25">
      <c r="A2017" s="358"/>
      <c r="B2017" s="361"/>
      <c r="C2017" s="245" t="s">
        <v>298</v>
      </c>
      <c r="D2017" s="240"/>
      <c r="E2017" s="253"/>
      <c r="F2017" s="253"/>
      <c r="G2017" s="227"/>
      <c r="H2017" s="241"/>
      <c r="I2017" s="206"/>
      <c r="J2017" s="228"/>
      <c r="K2017" s="207"/>
      <c r="L2017" s="257"/>
      <c r="M2017" s="209"/>
      <c r="N2017" s="210"/>
      <c r="O2017" s="198">
        <f>SUM(O2016)</f>
        <v>0</v>
      </c>
      <c r="P2017" s="267"/>
      <c r="Q2017" s="166">
        <f t="shared" si="421"/>
        <v>0</v>
      </c>
      <c r="R2017" s="71"/>
    </row>
    <row r="2018" spans="1:18" s="61" customFormat="1" ht="30" x14ac:dyDescent="0.25">
      <c r="A2018" s="358"/>
      <c r="B2018" s="361"/>
      <c r="C2018" s="365" t="s">
        <v>81</v>
      </c>
      <c r="D2018" s="254" t="s">
        <v>410</v>
      </c>
      <c r="E2018" s="156" t="s">
        <v>28</v>
      </c>
      <c r="F2018" s="156" t="s">
        <v>28</v>
      </c>
      <c r="G2018" s="238">
        <f>MROUND(H2018*L2018*I2018/K2018,0.0000000001)</f>
        <v>3.733726E-4</v>
      </c>
      <c r="H2018" s="158">
        <f>H98</f>
        <v>7</v>
      </c>
      <c r="I2018" s="159">
        <f>I2012</f>
        <v>2.8856369999999999E-2</v>
      </c>
      <c r="J2018" s="160"/>
      <c r="K2018" s="161">
        <f>K2012</f>
        <v>541</v>
      </c>
      <c r="L2018" s="250">
        <v>1</v>
      </c>
      <c r="M2018" s="163" t="str">
        <f>CONCATENATE(H2018," ",F2018,"*",I2018,"/",K2018,"чел.")</f>
        <v>7 шт*0,02885637/541чел.</v>
      </c>
      <c r="N2018" s="164">
        <f>N98</f>
        <v>152142.85714285713</v>
      </c>
      <c r="O2018" s="165">
        <f>MROUND(G2018*N2018,0.000001)</f>
        <v>56.805973999999999</v>
      </c>
      <c r="P2018" s="166"/>
      <c r="Q2018" s="166">
        <f t="shared" si="421"/>
        <v>30732.031933999999</v>
      </c>
      <c r="R2018" s="71"/>
    </row>
    <row r="2019" spans="1:18" s="61" customFormat="1" x14ac:dyDescent="0.25">
      <c r="A2019" s="358"/>
      <c r="B2019" s="361"/>
      <c r="C2019" s="366"/>
      <c r="D2019" s="254" t="s">
        <v>325</v>
      </c>
      <c r="E2019" s="156" t="s">
        <v>28</v>
      </c>
      <c r="F2019" s="156" t="s">
        <v>28</v>
      </c>
      <c r="G2019" s="238">
        <f>MROUND(H2019*L2019*I2019/K2019,0.00000001)</f>
        <v>1.2268000000000001E-3</v>
      </c>
      <c r="H2019" s="158">
        <f>$H$99</f>
        <v>23</v>
      </c>
      <c r="I2019" s="159">
        <f>I2018</f>
        <v>2.8856369999999999E-2</v>
      </c>
      <c r="J2019" s="160"/>
      <c r="K2019" s="161">
        <f>K2018</f>
        <v>541</v>
      </c>
      <c r="L2019" s="250">
        <v>1</v>
      </c>
      <c r="M2019" s="163" t="str">
        <f>CONCATENATE(H2019," ",F2019,"*",I2019,"/",K2019,"чел.")</f>
        <v>23 шт*0,02885637/541чел.</v>
      </c>
      <c r="N2019" s="164">
        <f>$N$99</f>
        <v>229039.13043478262</v>
      </c>
      <c r="O2019" s="165">
        <f>MROUND(G2019*N2019,0.000001)</f>
        <v>280.98520500000001</v>
      </c>
      <c r="P2019" s="166"/>
      <c r="Q2019" s="166">
        <f>O2019*K2019</f>
        <v>152012.99590500002</v>
      </c>
      <c r="R2019" s="71"/>
    </row>
    <row r="2020" spans="1:18" s="61" customFormat="1" ht="30" x14ac:dyDescent="0.25">
      <c r="A2020" s="358"/>
      <c r="B2020" s="361"/>
      <c r="C2020" s="366"/>
      <c r="D2020" s="254" t="s">
        <v>411</v>
      </c>
      <c r="E2020" s="156" t="s">
        <v>28</v>
      </c>
      <c r="F2020" s="156" t="s">
        <v>28</v>
      </c>
      <c r="G2020" s="238">
        <f>MROUND(H2020*L2020*I2020/K2020,0.00000001)</f>
        <v>3.7336999999999998E-4</v>
      </c>
      <c r="H2020" s="158">
        <f>$H$100</f>
        <v>7</v>
      </c>
      <c r="I2020" s="159">
        <f>I2018</f>
        <v>2.8856369999999999E-2</v>
      </c>
      <c r="J2020" s="160"/>
      <c r="K2020" s="161">
        <f>K2018</f>
        <v>541</v>
      </c>
      <c r="L2020" s="250">
        <v>1</v>
      </c>
      <c r="M2020" s="163" t="str">
        <f t="shared" ref="M2020:M2041" si="427">CONCATENATE(H2020," ",F2020,"*",I2020,"/",K2020,"чел.")</f>
        <v>7 шт*0,02885637/541чел.</v>
      </c>
      <c r="N2020" s="164">
        <f t="shared" ref="N2020:N2034" si="428">N100</f>
        <v>82142.857142857145</v>
      </c>
      <c r="O2020" s="165">
        <f t="shared" ref="O2020:O2041" si="429">MROUND(G2020*N2020,0.000001)</f>
        <v>30.669678999999999</v>
      </c>
      <c r="P2020" s="166"/>
      <c r="Q2020" s="166">
        <f t="shared" si="421"/>
        <v>16592.296339</v>
      </c>
      <c r="R2020" s="71"/>
    </row>
    <row r="2021" spans="1:18" s="61" customFormat="1" x14ac:dyDescent="0.25">
      <c r="A2021" s="358"/>
      <c r="B2021" s="361"/>
      <c r="C2021" s="366"/>
      <c r="D2021" s="255" t="s">
        <v>412</v>
      </c>
      <c r="E2021" s="156" t="s">
        <v>28</v>
      </c>
      <c r="F2021" s="156" t="s">
        <v>28</v>
      </c>
      <c r="G2021" s="238">
        <f>MROUND(H2021*L2021*I2021/K2021,0.00000001)</f>
        <v>1.8668600000000001E-3</v>
      </c>
      <c r="H2021" s="158">
        <f>$H$101</f>
        <v>35</v>
      </c>
      <c r="I2021" s="159">
        <f>I2020</f>
        <v>2.8856369999999999E-2</v>
      </c>
      <c r="J2021" s="160"/>
      <c r="K2021" s="161">
        <f>K2020</f>
        <v>541</v>
      </c>
      <c r="L2021" s="250">
        <v>1</v>
      </c>
      <c r="M2021" s="163" t="str">
        <f t="shared" si="427"/>
        <v>35 шт*0,02885637/541чел.</v>
      </c>
      <c r="N2021" s="164">
        <f t="shared" si="428"/>
        <v>126114.97142857143</v>
      </c>
      <c r="O2021" s="165">
        <f t="shared" si="429"/>
        <v>235.438996</v>
      </c>
      <c r="P2021" s="166"/>
      <c r="Q2021" s="166">
        <f t="shared" si="421"/>
        <v>127372.49683600001</v>
      </c>
      <c r="R2021" s="71"/>
    </row>
    <row r="2022" spans="1:18" s="61" customFormat="1" ht="31.5" x14ac:dyDescent="0.25">
      <c r="A2022" s="358"/>
      <c r="B2022" s="361"/>
      <c r="C2022" s="366"/>
      <c r="D2022" s="255" t="s">
        <v>413</v>
      </c>
      <c r="E2022" s="156" t="s">
        <v>28</v>
      </c>
      <c r="F2022" s="156" t="s">
        <v>28</v>
      </c>
      <c r="G2022" s="238">
        <f>MROUND(H2022*L2022*I2022/K2022,0.0000000001)</f>
        <v>8.0008420000000002E-4</v>
      </c>
      <c r="H2022" s="158">
        <f>H102</f>
        <v>15</v>
      </c>
      <c r="I2022" s="159">
        <f>I2021</f>
        <v>2.8856369999999999E-2</v>
      </c>
      <c r="J2022" s="160"/>
      <c r="K2022" s="161">
        <f>K2021</f>
        <v>541</v>
      </c>
      <c r="L2022" s="250">
        <v>1</v>
      </c>
      <c r="M2022" s="163" t="str">
        <f t="shared" si="427"/>
        <v>15 шт*0,02885637/541чел.</v>
      </c>
      <c r="N2022" s="164">
        <f t="shared" si="428"/>
        <v>75333.333333333328</v>
      </c>
      <c r="O2022" s="165">
        <f t="shared" si="429"/>
        <v>60.273009999999999</v>
      </c>
      <c r="P2022" s="166"/>
      <c r="Q2022" s="166">
        <f t="shared" si="421"/>
        <v>32607.698410000001</v>
      </c>
      <c r="R2022" s="71"/>
    </row>
    <row r="2023" spans="1:18" s="61" customFormat="1" x14ac:dyDescent="0.25">
      <c r="A2023" s="358"/>
      <c r="B2023" s="361"/>
      <c r="C2023" s="366"/>
      <c r="D2023" s="254" t="s">
        <v>109</v>
      </c>
      <c r="E2023" s="156" t="s">
        <v>28</v>
      </c>
      <c r="F2023" s="156" t="s">
        <v>28</v>
      </c>
      <c r="G2023" s="238">
        <f>MROUND(H2023*L2023*I2023/K2023,0.0000000001)</f>
        <v>8.534231E-4</v>
      </c>
      <c r="H2023" s="158">
        <f>$H$103</f>
        <v>16</v>
      </c>
      <c r="I2023" s="159">
        <f>I2022</f>
        <v>2.8856369999999999E-2</v>
      </c>
      <c r="J2023" s="160"/>
      <c r="K2023" s="161">
        <f>K2022</f>
        <v>541</v>
      </c>
      <c r="L2023" s="250">
        <v>1</v>
      </c>
      <c r="M2023" s="163" t="str">
        <f t="shared" si="427"/>
        <v>16 шт*0,02885637/541чел.</v>
      </c>
      <c r="N2023" s="164">
        <f t="shared" si="428"/>
        <v>169687.5</v>
      </c>
      <c r="O2023" s="165">
        <f t="shared" si="429"/>
        <v>144.81523199999998</v>
      </c>
      <c r="P2023" s="166"/>
      <c r="Q2023" s="166">
        <f t="shared" si="421"/>
        <v>78345.040511999992</v>
      </c>
      <c r="R2023" s="71"/>
    </row>
    <row r="2024" spans="1:18" s="61" customFormat="1" x14ac:dyDescent="0.25">
      <c r="A2024" s="358"/>
      <c r="B2024" s="361"/>
      <c r="C2024" s="366"/>
      <c r="D2024" s="254" t="s">
        <v>414</v>
      </c>
      <c r="E2024" s="156" t="s">
        <v>28</v>
      </c>
      <c r="F2024" s="156" t="s">
        <v>28</v>
      </c>
      <c r="G2024" s="238">
        <f>MROUND(H2024*L2024*I2024/K2024,0.0000000001)</f>
        <v>4.8005049999999999E-4</v>
      </c>
      <c r="H2024" s="158">
        <f>$H$104</f>
        <v>9</v>
      </c>
      <c r="I2024" s="159">
        <f>I2022</f>
        <v>2.8856369999999999E-2</v>
      </c>
      <c r="J2024" s="160"/>
      <c r="K2024" s="161">
        <f>K2022</f>
        <v>541</v>
      </c>
      <c r="L2024" s="250">
        <v>1</v>
      </c>
      <c r="M2024" s="163" t="str">
        <f t="shared" si="427"/>
        <v>9 шт*0,02885637/541чел.</v>
      </c>
      <c r="N2024" s="164">
        <f t="shared" si="428"/>
        <v>89333.333333333328</v>
      </c>
      <c r="O2024" s="165">
        <f t="shared" si="429"/>
        <v>42.884510999999996</v>
      </c>
      <c r="P2024" s="166"/>
      <c r="Q2024" s="166">
        <f t="shared" si="421"/>
        <v>23200.520450999997</v>
      </c>
      <c r="R2024" s="71"/>
    </row>
    <row r="2025" spans="1:18" s="61" customFormat="1" x14ac:dyDescent="0.25">
      <c r="A2025" s="358"/>
      <c r="B2025" s="361"/>
      <c r="C2025" s="366"/>
      <c r="D2025" s="254" t="s">
        <v>415</v>
      </c>
      <c r="E2025" s="156" t="s">
        <v>28</v>
      </c>
      <c r="F2025" s="156" t="s">
        <v>28</v>
      </c>
      <c r="G2025" s="238">
        <f>MROUND(H2025*L2025*I2025/K2025,0.00000001)</f>
        <v>5.8673000000000004E-4</v>
      </c>
      <c r="H2025" s="158">
        <f>$H$105</f>
        <v>11</v>
      </c>
      <c r="I2025" s="159">
        <f t="shared" ref="I2025:I2034" si="430">I2023</f>
        <v>2.8856369999999999E-2</v>
      </c>
      <c r="J2025" s="160"/>
      <c r="K2025" s="161">
        <f t="shared" ref="K2025:K2034" si="431">K2023</f>
        <v>541</v>
      </c>
      <c r="L2025" s="250">
        <v>1</v>
      </c>
      <c r="M2025" s="163" t="str">
        <f t="shared" si="427"/>
        <v>11 шт*0,02885637/541чел.</v>
      </c>
      <c r="N2025" s="164">
        <f t="shared" si="428"/>
        <v>122181.81818181818</v>
      </c>
      <c r="O2025" s="165">
        <f t="shared" si="429"/>
        <v>71.687737999999996</v>
      </c>
      <c r="P2025" s="166"/>
      <c r="Q2025" s="166">
        <f t="shared" si="421"/>
        <v>38783.066257999999</v>
      </c>
      <c r="R2025" s="71"/>
    </row>
    <row r="2026" spans="1:18" s="61" customFormat="1" x14ac:dyDescent="0.25">
      <c r="A2026" s="358"/>
      <c r="B2026" s="361"/>
      <c r="C2026" s="366"/>
      <c r="D2026" s="254" t="s">
        <v>416</v>
      </c>
      <c r="E2026" s="156" t="s">
        <v>28</v>
      </c>
      <c r="F2026" s="156" t="s">
        <v>28</v>
      </c>
      <c r="G2026" s="238">
        <f>MROUND(H2026*L2026*I2026/K2026,0.000000001)</f>
        <v>1.0667790000000001E-3</v>
      </c>
      <c r="H2026" s="246">
        <f>$H$106</f>
        <v>20</v>
      </c>
      <c r="I2026" s="159">
        <f t="shared" si="430"/>
        <v>2.8856369999999999E-2</v>
      </c>
      <c r="J2026" s="160"/>
      <c r="K2026" s="161">
        <f t="shared" si="431"/>
        <v>541</v>
      </c>
      <c r="L2026" s="250">
        <v>1</v>
      </c>
      <c r="M2026" s="163" t="str">
        <f t="shared" si="427"/>
        <v>20 шт*0,02885637/541чел.</v>
      </c>
      <c r="N2026" s="164">
        <f t="shared" si="428"/>
        <v>52500</v>
      </c>
      <c r="O2026" s="165">
        <f t="shared" si="429"/>
        <v>56.005897999999995</v>
      </c>
      <c r="P2026" s="166"/>
      <c r="Q2026" s="166">
        <f t="shared" si="421"/>
        <v>30299.190817999995</v>
      </c>
      <c r="R2026" s="71"/>
    </row>
    <row r="2027" spans="1:18" s="61" customFormat="1" x14ac:dyDescent="0.25">
      <c r="A2027" s="358"/>
      <c r="B2027" s="361"/>
      <c r="C2027" s="366"/>
      <c r="D2027" s="254" t="s">
        <v>417</v>
      </c>
      <c r="E2027" s="156" t="s">
        <v>28</v>
      </c>
      <c r="F2027" s="156" t="s">
        <v>28</v>
      </c>
      <c r="G2027" s="238">
        <f>MROUND(H2027*L2027*I2027/K2027,0.00000001)</f>
        <v>9.0676000000000005E-4</v>
      </c>
      <c r="H2027" s="158">
        <f>$H$107</f>
        <v>17</v>
      </c>
      <c r="I2027" s="159">
        <f t="shared" si="430"/>
        <v>2.8856369999999999E-2</v>
      </c>
      <c r="J2027" s="160"/>
      <c r="K2027" s="161">
        <f t="shared" si="431"/>
        <v>541</v>
      </c>
      <c r="L2027" s="250">
        <v>1</v>
      </c>
      <c r="M2027" s="163" t="str">
        <f t="shared" si="427"/>
        <v>17 шт*0,02885637/541чел.</v>
      </c>
      <c r="N2027" s="164">
        <f t="shared" si="428"/>
        <v>75000</v>
      </c>
      <c r="O2027" s="165">
        <f t="shared" si="429"/>
        <v>68.006999999999991</v>
      </c>
      <c r="P2027" s="166"/>
      <c r="Q2027" s="166">
        <f t="shared" si="421"/>
        <v>36791.786999999997</v>
      </c>
      <c r="R2027" s="71"/>
    </row>
    <row r="2028" spans="1:18" s="61" customFormat="1" ht="30" x14ac:dyDescent="0.25">
      <c r="A2028" s="358"/>
      <c r="B2028" s="361"/>
      <c r="C2028" s="366"/>
      <c r="D2028" s="254" t="s">
        <v>418</v>
      </c>
      <c r="E2028" s="156" t="s">
        <v>28</v>
      </c>
      <c r="F2028" s="156" t="s">
        <v>28</v>
      </c>
      <c r="G2028" s="238">
        <f>MROUND(H2028*L2028*I2028/K2028,0.00000001)</f>
        <v>4.8004999999999999E-4</v>
      </c>
      <c r="H2028" s="158">
        <f>H108</f>
        <v>9</v>
      </c>
      <c r="I2028" s="159">
        <f t="shared" si="430"/>
        <v>2.8856369999999999E-2</v>
      </c>
      <c r="J2028" s="160"/>
      <c r="K2028" s="161">
        <f t="shared" si="431"/>
        <v>541</v>
      </c>
      <c r="L2028" s="250">
        <v>1</v>
      </c>
      <c r="M2028" s="163" t="str">
        <f t="shared" si="427"/>
        <v>9 шт*0,02885637/541чел.</v>
      </c>
      <c r="N2028" s="164">
        <f t="shared" si="428"/>
        <v>66666.666666666672</v>
      </c>
      <c r="O2028" s="165">
        <f t="shared" si="429"/>
        <v>32.003332999999998</v>
      </c>
      <c r="P2028" s="166"/>
      <c r="Q2028" s="166">
        <f t="shared" si="421"/>
        <v>17313.803152999997</v>
      </c>
      <c r="R2028" s="71"/>
    </row>
    <row r="2029" spans="1:18" s="61" customFormat="1" x14ac:dyDescent="0.25">
      <c r="A2029" s="358"/>
      <c r="B2029" s="361"/>
      <c r="C2029" s="366"/>
      <c r="D2029" s="254" t="s">
        <v>324</v>
      </c>
      <c r="E2029" s="156" t="s">
        <v>28</v>
      </c>
      <c r="F2029" s="156" t="s">
        <v>28</v>
      </c>
      <c r="G2029" s="238">
        <f>MROUND(H2029*L2029*I2029/K2029,0.000000001)</f>
        <v>9.601010000000001E-4</v>
      </c>
      <c r="H2029" s="158">
        <f>$H$109</f>
        <v>18</v>
      </c>
      <c r="I2029" s="159">
        <f t="shared" si="430"/>
        <v>2.8856369999999999E-2</v>
      </c>
      <c r="J2029" s="160"/>
      <c r="K2029" s="161">
        <f t="shared" si="431"/>
        <v>541</v>
      </c>
      <c r="L2029" s="250">
        <v>1</v>
      </c>
      <c r="M2029" s="163" t="str">
        <f t="shared" si="427"/>
        <v>18 шт*0,02885637/541чел.</v>
      </c>
      <c r="N2029" s="164">
        <f t="shared" si="428"/>
        <v>365277.77777777775</v>
      </c>
      <c r="O2029" s="165">
        <f t="shared" si="429"/>
        <v>350.70355999999998</v>
      </c>
      <c r="P2029" s="166"/>
      <c r="Q2029" s="166">
        <f t="shared" si="421"/>
        <v>189730.62595999998</v>
      </c>
      <c r="R2029" s="71"/>
    </row>
    <row r="2030" spans="1:18" s="61" customFormat="1" x14ac:dyDescent="0.25">
      <c r="A2030" s="358"/>
      <c r="B2030" s="361"/>
      <c r="C2030" s="366"/>
      <c r="D2030" s="254" t="s">
        <v>419</v>
      </c>
      <c r="E2030" s="156" t="s">
        <v>28</v>
      </c>
      <c r="F2030" s="156" t="s">
        <v>28</v>
      </c>
      <c r="G2030" s="238">
        <f>MROUND(H2030*L2030*I2030/K2030,0.000000001)</f>
        <v>1.2801350000000002E-3</v>
      </c>
      <c r="H2030" s="246">
        <f>$H$110</f>
        <v>24</v>
      </c>
      <c r="I2030" s="159">
        <f t="shared" si="430"/>
        <v>2.8856369999999999E-2</v>
      </c>
      <c r="J2030" s="160"/>
      <c r="K2030" s="161">
        <f t="shared" si="431"/>
        <v>541</v>
      </c>
      <c r="L2030" s="250">
        <v>1</v>
      </c>
      <c r="M2030" s="163" t="str">
        <f t="shared" si="427"/>
        <v>24 шт*0,02885637/541чел.</v>
      </c>
      <c r="N2030" s="164">
        <f t="shared" si="428"/>
        <v>32416.666666666668</v>
      </c>
      <c r="O2030" s="165">
        <f t="shared" si="429"/>
        <v>41.497709999999998</v>
      </c>
      <c r="P2030" s="166"/>
      <c r="Q2030" s="166">
        <f t="shared" si="421"/>
        <v>22450.261109999999</v>
      </c>
      <c r="R2030" s="71"/>
    </row>
    <row r="2031" spans="1:18" s="61" customFormat="1" x14ac:dyDescent="0.25">
      <c r="A2031" s="358"/>
      <c r="B2031" s="361"/>
      <c r="C2031" s="366"/>
      <c r="D2031" s="254" t="s">
        <v>420</v>
      </c>
      <c r="E2031" s="156" t="s">
        <v>28</v>
      </c>
      <c r="F2031" s="156" t="s">
        <v>28</v>
      </c>
      <c r="G2031" s="238">
        <f>MROUND(H2031*L2031*I2031/K2031,0.000000001)</f>
        <v>8.0008400000000006E-4</v>
      </c>
      <c r="H2031" s="158">
        <f>H111</f>
        <v>15</v>
      </c>
      <c r="I2031" s="159">
        <f t="shared" si="430"/>
        <v>2.8856369999999999E-2</v>
      </c>
      <c r="J2031" s="160"/>
      <c r="K2031" s="161">
        <f t="shared" si="431"/>
        <v>541</v>
      </c>
      <c r="L2031" s="250">
        <v>1</v>
      </c>
      <c r="M2031" s="163" t="str">
        <f t="shared" si="427"/>
        <v>15 шт*0,02885637/541чел.</v>
      </c>
      <c r="N2031" s="164">
        <f t="shared" si="428"/>
        <v>127666.66666666667</v>
      </c>
      <c r="O2031" s="165">
        <f t="shared" si="429"/>
        <v>102.14405699999999</v>
      </c>
      <c r="P2031" s="166"/>
      <c r="Q2031" s="166">
        <f t="shared" si="421"/>
        <v>55259.934836999993</v>
      </c>
      <c r="R2031" s="71"/>
    </row>
    <row r="2032" spans="1:18" s="61" customFormat="1" x14ac:dyDescent="0.25">
      <c r="A2032" s="358"/>
      <c r="B2032" s="361"/>
      <c r="C2032" s="366"/>
      <c r="D2032" s="254" t="s">
        <v>421</v>
      </c>
      <c r="E2032" s="156" t="s">
        <v>28</v>
      </c>
      <c r="F2032" s="156" t="s">
        <v>28</v>
      </c>
      <c r="G2032" s="238">
        <f>MROUND(H2032*L2032*I2032/K2032,0.00000001)</f>
        <v>1.5468300000000001E-3</v>
      </c>
      <c r="H2032" s="158">
        <f>$H$112</f>
        <v>29</v>
      </c>
      <c r="I2032" s="159">
        <f t="shared" si="430"/>
        <v>2.8856369999999999E-2</v>
      </c>
      <c r="J2032" s="160"/>
      <c r="K2032" s="161">
        <f t="shared" si="431"/>
        <v>541</v>
      </c>
      <c r="L2032" s="250">
        <v>1</v>
      </c>
      <c r="M2032" s="163" t="str">
        <f t="shared" si="427"/>
        <v>29 шт*0,02885637/541чел.</v>
      </c>
      <c r="N2032" s="164">
        <f t="shared" si="428"/>
        <v>13517.241379310344</v>
      </c>
      <c r="O2032" s="165">
        <f t="shared" si="429"/>
        <v>20.908873999999997</v>
      </c>
      <c r="P2032" s="166"/>
      <c r="Q2032" s="166">
        <f t="shared" si="421"/>
        <v>11311.700833999999</v>
      </c>
      <c r="R2032" s="71"/>
    </row>
    <row r="2033" spans="1:18" s="61" customFormat="1" ht="30" x14ac:dyDescent="0.25">
      <c r="A2033" s="358"/>
      <c r="B2033" s="361"/>
      <c r="C2033" s="366"/>
      <c r="D2033" s="254" t="s">
        <v>422</v>
      </c>
      <c r="E2033" s="156" t="s">
        <v>28</v>
      </c>
      <c r="F2033" s="156" t="s">
        <v>28</v>
      </c>
      <c r="G2033" s="266">
        <f>MROUND(H2033*L2033*I2033/K2033,0.00000001)</f>
        <v>9.6009999999999997E-4</v>
      </c>
      <c r="H2033" s="158">
        <f>H1913</f>
        <v>18</v>
      </c>
      <c r="I2033" s="159">
        <f t="shared" si="430"/>
        <v>2.8856369999999999E-2</v>
      </c>
      <c r="J2033" s="160"/>
      <c r="K2033" s="161">
        <f t="shared" si="431"/>
        <v>541</v>
      </c>
      <c r="L2033" s="250">
        <v>1</v>
      </c>
      <c r="M2033" s="163" t="str">
        <f t="shared" si="427"/>
        <v>18 шт*0,02885637/541чел.</v>
      </c>
      <c r="N2033" s="164">
        <f t="shared" si="428"/>
        <v>34944.444444444445</v>
      </c>
      <c r="O2033" s="165">
        <f t="shared" si="429"/>
        <v>33.550160999999996</v>
      </c>
      <c r="P2033" s="166"/>
      <c r="Q2033" s="166">
        <f t="shared" si="421"/>
        <v>18150.637100999997</v>
      </c>
      <c r="R2033" s="71"/>
    </row>
    <row r="2034" spans="1:18" s="61" customFormat="1" x14ac:dyDescent="0.25">
      <c r="A2034" s="358"/>
      <c r="B2034" s="361"/>
      <c r="C2034" s="366"/>
      <c r="D2034" s="254" t="s">
        <v>423</v>
      </c>
      <c r="E2034" s="156" t="s">
        <v>28</v>
      </c>
      <c r="F2034" s="156" t="s">
        <v>28</v>
      </c>
      <c r="G2034" s="238">
        <f>MROUND(H2034*L2034*I2034/K2034,0.000000001)</f>
        <v>1.0667790000000001E-3</v>
      </c>
      <c r="H2034" s="158">
        <f>$H$114</f>
        <v>20</v>
      </c>
      <c r="I2034" s="159">
        <f t="shared" si="430"/>
        <v>2.8856369999999999E-2</v>
      </c>
      <c r="J2034" s="160"/>
      <c r="K2034" s="161">
        <f t="shared" si="431"/>
        <v>541</v>
      </c>
      <c r="L2034" s="250">
        <v>1</v>
      </c>
      <c r="M2034" s="163" t="str">
        <f t="shared" si="427"/>
        <v>20 шт*0,02885637/541чел.</v>
      </c>
      <c r="N2034" s="164">
        <f t="shared" si="428"/>
        <v>74500</v>
      </c>
      <c r="O2034" s="165">
        <f t="shared" si="429"/>
        <v>79.475036000000003</v>
      </c>
      <c r="P2034" s="166"/>
      <c r="Q2034" s="166">
        <f t="shared" si="421"/>
        <v>42995.994476</v>
      </c>
      <c r="R2034" s="71"/>
    </row>
    <row r="2035" spans="1:18" s="61" customFormat="1" x14ac:dyDescent="0.25">
      <c r="A2035" s="358"/>
      <c r="B2035" s="361"/>
      <c r="C2035" s="366"/>
      <c r="D2035" s="254" t="s">
        <v>424</v>
      </c>
      <c r="E2035" s="156" t="s">
        <v>28</v>
      </c>
      <c r="F2035" s="156" t="s">
        <v>28</v>
      </c>
      <c r="G2035" s="238">
        <f t="shared" ref="G2035:G2041" si="432">MROUND(H2035*L2035*I2035/K2035,0.00000001)</f>
        <v>1.8668600000000001E-3</v>
      </c>
      <c r="H2035" s="158">
        <f>H1555</f>
        <v>35</v>
      </c>
      <c r="I2035" s="159">
        <f>I2024</f>
        <v>2.8856369999999999E-2</v>
      </c>
      <c r="J2035" s="160"/>
      <c r="K2035" s="161">
        <f>K2024</f>
        <v>541</v>
      </c>
      <c r="L2035" s="250">
        <v>1</v>
      </c>
      <c r="M2035" s="163" t="str">
        <f t="shared" si="427"/>
        <v>35 шт*0,02885637/541чел.</v>
      </c>
      <c r="N2035" s="164">
        <f>N1555</f>
        <v>34285.714285714283</v>
      </c>
      <c r="O2035" s="165">
        <f t="shared" si="429"/>
        <v>64.006629000000004</v>
      </c>
      <c r="P2035" s="166"/>
      <c r="Q2035" s="166">
        <f t="shared" si="421"/>
        <v>34627.586288999999</v>
      </c>
      <c r="R2035" s="71"/>
    </row>
    <row r="2036" spans="1:18" s="61" customFormat="1" x14ac:dyDescent="0.25">
      <c r="A2036" s="358"/>
      <c r="B2036" s="361"/>
      <c r="C2036" s="366"/>
      <c r="D2036" s="254" t="s">
        <v>425</v>
      </c>
      <c r="E2036" s="156" t="s">
        <v>28</v>
      </c>
      <c r="F2036" s="156" t="s">
        <v>28</v>
      </c>
      <c r="G2036" s="277">
        <f t="shared" si="432"/>
        <v>1.8668600000000001E-3</v>
      </c>
      <c r="H2036" s="158">
        <f>H956</f>
        <v>35</v>
      </c>
      <c r="I2036" s="159">
        <f t="shared" ref="I2036:I2041" si="433">I2035</f>
        <v>2.8856369999999999E-2</v>
      </c>
      <c r="J2036" s="160"/>
      <c r="K2036" s="161">
        <f t="shared" ref="K2036:K2041" si="434">K2035</f>
        <v>541</v>
      </c>
      <c r="L2036" s="250">
        <v>1</v>
      </c>
      <c r="M2036" s="163" t="str">
        <f t="shared" si="427"/>
        <v>35 шт*0,02885637/541чел.</v>
      </c>
      <c r="N2036" s="164">
        <f t="shared" ref="N2036:N2041" si="435">N116</f>
        <v>19102.857142857141</v>
      </c>
      <c r="O2036" s="165">
        <f t="shared" si="429"/>
        <v>35.66236</v>
      </c>
      <c r="P2036" s="166"/>
      <c r="Q2036" s="166">
        <f t="shared" si="421"/>
        <v>19293.336759999998</v>
      </c>
      <c r="R2036" s="71"/>
    </row>
    <row r="2037" spans="1:18" s="61" customFormat="1" x14ac:dyDescent="0.25">
      <c r="A2037" s="358"/>
      <c r="B2037" s="361"/>
      <c r="C2037" s="366"/>
      <c r="D2037" s="254" t="s">
        <v>108</v>
      </c>
      <c r="E2037" s="156" t="s">
        <v>28</v>
      </c>
      <c r="F2037" s="156" t="s">
        <v>28</v>
      </c>
      <c r="G2037" s="238">
        <f t="shared" si="432"/>
        <v>4.6138190000000003E-2</v>
      </c>
      <c r="H2037" s="158">
        <f>$H$117</f>
        <v>865</v>
      </c>
      <c r="I2037" s="159">
        <f t="shared" si="433"/>
        <v>2.8856369999999999E-2</v>
      </c>
      <c r="J2037" s="160"/>
      <c r="K2037" s="161">
        <f t="shared" si="434"/>
        <v>541</v>
      </c>
      <c r="L2037" s="250">
        <v>1</v>
      </c>
      <c r="M2037" s="163" t="str">
        <f t="shared" si="427"/>
        <v>865 шт*0,02885637/541чел.</v>
      </c>
      <c r="N2037" s="164">
        <f t="shared" si="435"/>
        <v>779.36416184971097</v>
      </c>
      <c r="O2037" s="165">
        <f t="shared" si="429"/>
        <v>35.958452000000001</v>
      </c>
      <c r="P2037" s="166"/>
      <c r="Q2037" s="166">
        <f t="shared" si="421"/>
        <v>19453.522531999999</v>
      </c>
      <c r="R2037" s="71"/>
    </row>
    <row r="2038" spans="1:18" s="61" customFormat="1" x14ac:dyDescent="0.25">
      <c r="A2038" s="358"/>
      <c r="B2038" s="361"/>
      <c r="C2038" s="366"/>
      <c r="D2038" s="254" t="s">
        <v>426</v>
      </c>
      <c r="E2038" s="156" t="s">
        <v>28</v>
      </c>
      <c r="F2038" s="156" t="s">
        <v>28</v>
      </c>
      <c r="G2038" s="238">
        <f t="shared" si="432"/>
        <v>2.3469100000000002E-3</v>
      </c>
      <c r="H2038" s="158">
        <f>H1318</f>
        <v>44</v>
      </c>
      <c r="I2038" s="159">
        <f t="shared" si="433"/>
        <v>2.8856369999999999E-2</v>
      </c>
      <c r="J2038" s="160"/>
      <c r="K2038" s="161">
        <f t="shared" si="434"/>
        <v>541</v>
      </c>
      <c r="L2038" s="250">
        <v>1</v>
      </c>
      <c r="M2038" s="163" t="str">
        <f t="shared" si="427"/>
        <v>44 шт*0,02885637/541чел.</v>
      </c>
      <c r="N2038" s="164">
        <f t="shared" si="435"/>
        <v>12416.954545454546</v>
      </c>
      <c r="O2038" s="165">
        <f t="shared" si="429"/>
        <v>29.141475</v>
      </c>
      <c r="P2038" s="166"/>
      <c r="Q2038" s="166">
        <f t="shared" si="421"/>
        <v>15765.537974999999</v>
      </c>
      <c r="R2038" s="71"/>
    </row>
    <row r="2039" spans="1:18" s="61" customFormat="1" x14ac:dyDescent="0.25">
      <c r="A2039" s="358"/>
      <c r="B2039" s="361"/>
      <c r="C2039" s="366"/>
      <c r="D2039" s="254" t="s">
        <v>427</v>
      </c>
      <c r="E2039" s="156" t="s">
        <v>28</v>
      </c>
      <c r="F2039" s="156" t="s">
        <v>28</v>
      </c>
      <c r="G2039" s="238">
        <f t="shared" si="432"/>
        <v>3.5203700000000001E-3</v>
      </c>
      <c r="H2039" s="158">
        <f>H959</f>
        <v>66</v>
      </c>
      <c r="I2039" s="159">
        <f t="shared" si="433"/>
        <v>2.8856369999999999E-2</v>
      </c>
      <c r="J2039" s="160"/>
      <c r="K2039" s="161">
        <f t="shared" si="434"/>
        <v>541</v>
      </c>
      <c r="L2039" s="250">
        <v>1</v>
      </c>
      <c r="M2039" s="163" t="str">
        <f t="shared" si="427"/>
        <v>66 шт*0,02885637/541чел.</v>
      </c>
      <c r="N2039" s="164">
        <f t="shared" si="435"/>
        <v>13060.60606060606</v>
      </c>
      <c r="O2039" s="165">
        <f t="shared" si="429"/>
        <v>45.978165999999995</v>
      </c>
      <c r="P2039" s="166"/>
      <c r="Q2039" s="166">
        <f t="shared" si="421"/>
        <v>24874.187805999998</v>
      </c>
      <c r="R2039" s="71"/>
    </row>
    <row r="2040" spans="1:18" s="61" customFormat="1" x14ac:dyDescent="0.25">
      <c r="A2040" s="358"/>
      <c r="B2040" s="361"/>
      <c r="C2040" s="366"/>
      <c r="D2040" s="254" t="s">
        <v>428</v>
      </c>
      <c r="E2040" s="156" t="s">
        <v>28</v>
      </c>
      <c r="F2040" s="156" t="s">
        <v>28</v>
      </c>
      <c r="G2040" s="238">
        <f t="shared" si="432"/>
        <v>1.8401940000000002E-2</v>
      </c>
      <c r="H2040" s="158">
        <f>H120</f>
        <v>345</v>
      </c>
      <c r="I2040" s="159">
        <f t="shared" si="433"/>
        <v>2.8856369999999999E-2</v>
      </c>
      <c r="J2040" s="160"/>
      <c r="K2040" s="161">
        <f t="shared" si="434"/>
        <v>541</v>
      </c>
      <c r="L2040" s="250">
        <v>1</v>
      </c>
      <c r="M2040" s="163" t="str">
        <f t="shared" si="427"/>
        <v>345 шт*0,02885637/541чел.</v>
      </c>
      <c r="N2040" s="164">
        <f t="shared" si="435"/>
        <v>8520.7246376811599</v>
      </c>
      <c r="O2040" s="165">
        <f t="shared" si="429"/>
        <v>156.797864</v>
      </c>
      <c r="P2040" s="166"/>
      <c r="Q2040" s="166">
        <f t="shared" si="421"/>
        <v>84827.644423999998</v>
      </c>
      <c r="R2040" s="71"/>
    </row>
    <row r="2041" spans="1:18" s="61" customFormat="1" x14ac:dyDescent="0.25">
      <c r="A2041" s="358"/>
      <c r="B2041" s="361"/>
      <c r="C2041" s="366"/>
      <c r="D2041" s="255" t="s">
        <v>429</v>
      </c>
      <c r="E2041" s="156" t="s">
        <v>28</v>
      </c>
      <c r="F2041" s="156" t="s">
        <v>28</v>
      </c>
      <c r="G2041" s="238">
        <f t="shared" si="432"/>
        <v>2.6136100000000002E-3</v>
      </c>
      <c r="H2041" s="158">
        <f>H121</f>
        <v>49</v>
      </c>
      <c r="I2041" s="159">
        <f t="shared" si="433"/>
        <v>2.8856369999999999E-2</v>
      </c>
      <c r="J2041" s="160"/>
      <c r="K2041" s="161">
        <f t="shared" si="434"/>
        <v>541</v>
      </c>
      <c r="L2041" s="250">
        <v>1</v>
      </c>
      <c r="M2041" s="163" t="str">
        <f t="shared" si="427"/>
        <v>49 шт*0,02885637/541чел.</v>
      </c>
      <c r="N2041" s="164">
        <f t="shared" si="435"/>
        <v>53775.510204081635</v>
      </c>
      <c r="O2041" s="165">
        <f t="shared" si="429"/>
        <v>140.54821099999998</v>
      </c>
      <c r="P2041" s="166"/>
      <c r="Q2041" s="166">
        <f t="shared" si="421"/>
        <v>76036.582150999995</v>
      </c>
      <c r="R2041" s="71"/>
    </row>
    <row r="2042" spans="1:18" s="62" customFormat="1" x14ac:dyDescent="0.25">
      <c r="A2042" s="358"/>
      <c r="B2042" s="361"/>
      <c r="C2042" s="249" t="s">
        <v>299</v>
      </c>
      <c r="D2042" s="256"/>
      <c r="E2042" s="240"/>
      <c r="F2042" s="240"/>
      <c r="G2042" s="227"/>
      <c r="H2042" s="241"/>
      <c r="I2042" s="206"/>
      <c r="J2042" s="228"/>
      <c r="K2042" s="207"/>
      <c r="L2042" s="257"/>
      <c r="M2042" s="209"/>
      <c r="N2042" s="210"/>
      <c r="O2042" s="198">
        <f>SUM(O2018:O2041)</f>
        <v>2215.9491309999999</v>
      </c>
      <c r="P2042" s="267"/>
      <c r="Q2042" s="166">
        <f t="shared" si="421"/>
        <v>0</v>
      </c>
      <c r="R2042" s="71"/>
    </row>
    <row r="2043" spans="1:18" s="61" customFormat="1" ht="110.25" x14ac:dyDescent="0.25">
      <c r="A2043" s="358"/>
      <c r="B2043" s="361"/>
      <c r="C2043" s="221" t="s">
        <v>82</v>
      </c>
      <c r="D2043" s="156" t="s">
        <v>46</v>
      </c>
      <c r="E2043" s="156" t="s">
        <v>54</v>
      </c>
      <c r="F2043" s="156" t="s">
        <v>285</v>
      </c>
      <c r="G2043" s="238">
        <f>MROUND(H2043*L2043*I2043/K2043,0.000001)</f>
        <v>0.60326299999999999</v>
      </c>
      <c r="H2043" s="242">
        <f>H1563</f>
        <v>1028.181818181818</v>
      </c>
      <c r="I2043" s="159">
        <f>I2041</f>
        <v>2.8856369999999999E-2</v>
      </c>
      <c r="J2043" s="160"/>
      <c r="K2043" s="161">
        <f>K2041</f>
        <v>541</v>
      </c>
      <c r="L2043" s="225">
        <f>L1803</f>
        <v>11</v>
      </c>
      <c r="M2043" s="163" t="str">
        <f>CONCATENATE(H2043," ",F2043,"*",L2043,"автобуса","*",I2043,"/",K2043,"чел.")</f>
        <v>1028,18181818182 л бензина АИ 92 (12,5л/день(зимой)*20дней*7мес+10л/день(летом)*20дней*4мес)*11автобуса*0,02885637/541чел.</v>
      </c>
      <c r="N2043" s="164">
        <f>N123</f>
        <v>54.500000000000007</v>
      </c>
      <c r="O2043" s="165">
        <f>MROUND(G2043*N2043,0.000001)</f>
        <v>32.877834</v>
      </c>
      <c r="P2043" s="166"/>
      <c r="Q2043" s="166">
        <f t="shared" si="421"/>
        <v>17786.908194</v>
      </c>
      <c r="R2043" s="71"/>
    </row>
    <row r="2044" spans="1:18" s="62" customFormat="1" x14ac:dyDescent="0.25">
      <c r="A2044" s="358"/>
      <c r="B2044" s="361"/>
      <c r="C2044" s="218" t="s">
        <v>300</v>
      </c>
      <c r="D2044" s="240"/>
      <c r="E2044" s="240"/>
      <c r="F2044" s="240"/>
      <c r="G2044" s="227"/>
      <c r="H2044" s="241"/>
      <c r="I2044" s="206"/>
      <c r="J2044" s="228"/>
      <c r="K2044" s="207"/>
      <c r="L2044" s="257"/>
      <c r="M2044" s="209"/>
      <c r="N2044" s="210"/>
      <c r="O2044" s="198">
        <f>SUM(O2043)</f>
        <v>32.877834</v>
      </c>
      <c r="P2044" s="267"/>
      <c r="Q2044" s="166">
        <f t="shared" si="421"/>
        <v>0</v>
      </c>
      <c r="R2044" s="71"/>
    </row>
    <row r="2045" spans="1:18" s="61" customFormat="1" ht="47.25" x14ac:dyDescent="0.25">
      <c r="A2045" s="358"/>
      <c r="B2045" s="361"/>
      <c r="C2045" s="221" t="s">
        <v>434</v>
      </c>
      <c r="D2045" s="156" t="s">
        <v>436</v>
      </c>
      <c r="E2045" s="156" t="s">
        <v>28</v>
      </c>
      <c r="F2045" s="156" t="s">
        <v>437</v>
      </c>
      <c r="G2045" s="157">
        <f>MROUND(H2045*L2045*I2045/K2045,0.000001)</f>
        <v>1.5467999999999999E-2</v>
      </c>
      <c r="H2045" s="242">
        <f>$H$125</f>
        <v>290</v>
      </c>
      <c r="I2045" s="159">
        <f>I2043</f>
        <v>2.8856369999999999E-2</v>
      </c>
      <c r="J2045" s="160"/>
      <c r="K2045" s="161">
        <f>K2043</f>
        <v>541</v>
      </c>
      <c r="L2045" s="162">
        <v>1</v>
      </c>
      <c r="M2045" s="163" t="str">
        <f>CONCATENATE(H2045," ",F2045,"*",L2045,"автобуса","*",I2045,"/",K2045,"чел.")</f>
        <v>290 огнетушителей (потребность учреждений) *1автобуса*0,02885637/541чел.</v>
      </c>
      <c r="N2045" s="164">
        <f>$N$125</f>
        <v>2000</v>
      </c>
      <c r="O2045" s="165">
        <f>MROUND(G2045*N2045,0.000001)</f>
        <v>30.936</v>
      </c>
      <c r="P2045" s="166"/>
      <c r="Q2045" s="166">
        <f t="shared" si="421"/>
        <v>16736.376</v>
      </c>
      <c r="R2045" s="71"/>
    </row>
    <row r="2046" spans="1:18" s="61" customFormat="1" x14ac:dyDescent="0.25">
      <c r="A2046" s="358"/>
      <c r="B2046" s="361"/>
      <c r="C2046" s="218" t="s">
        <v>435</v>
      </c>
      <c r="D2046" s="240"/>
      <c r="E2046" s="240"/>
      <c r="F2046" s="240"/>
      <c r="G2046" s="251"/>
      <c r="H2046" s="241"/>
      <c r="I2046" s="206"/>
      <c r="J2046" s="228"/>
      <c r="K2046" s="207"/>
      <c r="L2046" s="229"/>
      <c r="M2046" s="209"/>
      <c r="N2046" s="210"/>
      <c r="O2046" s="198">
        <f>SUM(O2045)</f>
        <v>30.936</v>
      </c>
      <c r="P2046" s="166"/>
      <c r="Q2046" s="166">
        <f t="shared" si="421"/>
        <v>0</v>
      </c>
      <c r="R2046" s="71"/>
    </row>
    <row r="2047" spans="1:18" s="61" customFormat="1" ht="47.25" x14ac:dyDescent="0.25">
      <c r="A2047" s="358"/>
      <c r="B2047" s="361"/>
      <c r="C2047" s="364" t="s">
        <v>118</v>
      </c>
      <c r="D2047" s="156" t="s">
        <v>47</v>
      </c>
      <c r="E2047" s="156" t="s">
        <v>28</v>
      </c>
      <c r="F2047" s="156" t="s">
        <v>239</v>
      </c>
      <c r="G2047" s="238">
        <f>MROUND(H2047*L2047*I2047/K2047,0.00000001)</f>
        <v>7.6808100000000006E-3</v>
      </c>
      <c r="H2047" s="158">
        <f>H967</f>
        <v>144</v>
      </c>
      <c r="I2047" s="159">
        <f>I2043</f>
        <v>2.8856369999999999E-2</v>
      </c>
      <c r="J2047" s="160"/>
      <c r="K2047" s="161">
        <f>K2043</f>
        <v>541</v>
      </c>
      <c r="L2047" s="250">
        <v>1</v>
      </c>
      <c r="M2047" s="163" t="str">
        <f>CONCATENATE(H2047," ",F2047,"*",I2047,"/",K2047,"чел.")</f>
        <v>144 манометров (потребность учреждений) *0,02885637/541чел.</v>
      </c>
      <c r="N2047" s="164">
        <f>N127</f>
        <v>708.5</v>
      </c>
      <c r="O2047" s="165">
        <f>MROUND(G2047*N2047,0.000001)</f>
        <v>5.4418540000000002</v>
      </c>
      <c r="P2047" s="166"/>
      <c r="Q2047" s="166">
        <f t="shared" si="421"/>
        <v>2944.0430140000003</v>
      </c>
      <c r="R2047" s="71"/>
    </row>
    <row r="2048" spans="1:18" s="61" customFormat="1" ht="47.25" x14ac:dyDescent="0.25">
      <c r="A2048" s="358"/>
      <c r="B2048" s="361"/>
      <c r="C2048" s="364"/>
      <c r="D2048" s="255" t="s">
        <v>113</v>
      </c>
      <c r="E2048" s="156" t="s">
        <v>28</v>
      </c>
      <c r="F2048" s="156" t="s">
        <v>240</v>
      </c>
      <c r="G2048" s="238">
        <f>MROUND(H2048*L2048*I2048/K2048,0.00000001)</f>
        <v>0.30483208000000001</v>
      </c>
      <c r="H2048" s="158">
        <f>H608</f>
        <v>5715</v>
      </c>
      <c r="I2048" s="159">
        <f>I2047</f>
        <v>2.8856369999999999E-2</v>
      </c>
      <c r="J2048" s="160"/>
      <c r="K2048" s="161">
        <f>K2047</f>
        <v>541</v>
      </c>
      <c r="L2048" s="250">
        <v>1</v>
      </c>
      <c r="M2048" s="163" t="str">
        <f>CONCATENATE(H2048," ",F2048,"*",I2048,"/",K2048,"чел.")</f>
        <v>5715 светильников (потребность учреждений)*0,02885637/541чел.</v>
      </c>
      <c r="N2048" s="164">
        <f>N128</f>
        <v>106.27500087489064</v>
      </c>
      <c r="O2048" s="165">
        <f>MROUND(G2048*N2048,0.000001)</f>
        <v>32.396029999999996</v>
      </c>
      <c r="P2048" s="166"/>
      <c r="Q2048" s="166">
        <f t="shared" si="421"/>
        <v>17526.252229999998</v>
      </c>
      <c r="R2048" s="71"/>
    </row>
    <row r="2049" spans="1:41" s="62" customFormat="1" x14ac:dyDescent="0.25">
      <c r="A2049" s="359"/>
      <c r="B2049" s="362"/>
      <c r="C2049" s="218" t="s">
        <v>301</v>
      </c>
      <c r="D2049" s="256"/>
      <c r="E2049" s="240"/>
      <c r="F2049" s="240"/>
      <c r="G2049" s="227"/>
      <c r="H2049" s="241"/>
      <c r="I2049" s="206"/>
      <c r="J2049" s="228"/>
      <c r="K2049" s="207"/>
      <c r="L2049" s="257"/>
      <c r="M2049" s="209"/>
      <c r="N2049" s="210"/>
      <c r="O2049" s="198">
        <f>SUM(O2047:O2048)</f>
        <v>37.837883999999995</v>
      </c>
      <c r="P2049" s="267"/>
      <c r="Q2049" s="166">
        <f>O2049*K2049</f>
        <v>0</v>
      </c>
      <c r="R2049" s="71">
        <f>SUBTOTAL(9,Q10:Q2048)</f>
        <v>1140213438.056464</v>
      </c>
      <c r="S2049" s="72"/>
      <c r="T2049" s="72"/>
    </row>
    <row r="2050" spans="1:41" s="108" customFormat="1" x14ac:dyDescent="0.25">
      <c r="A2050" s="357" t="str">
        <f>школы!$B$32</f>
        <v>Реализация дополнительных общеразвивающих программ (техническая направленность)</v>
      </c>
      <c r="B2050" s="360" t="str">
        <f>школы!$A$32</f>
        <v>801012О.99.0.ББ57АЕ04000</v>
      </c>
      <c r="C2050" s="194"/>
      <c r="D2050" s="363" t="s">
        <v>15</v>
      </c>
      <c r="E2050" s="363"/>
      <c r="F2050" s="363"/>
      <c r="G2050" s="363"/>
      <c r="H2050" s="195"/>
      <c r="I2050" s="195"/>
      <c r="J2050" s="195"/>
      <c r="K2050" s="195"/>
      <c r="L2050" s="196"/>
      <c r="M2050" s="197"/>
      <c r="N2050" s="278"/>
      <c r="O2050" s="279">
        <f>O2051+O2056</f>
        <v>131.7405221443</v>
      </c>
      <c r="P2050" s="166"/>
      <c r="Q2050" s="166">
        <f>O2050*K2050</f>
        <v>0</v>
      </c>
      <c r="R2050" s="71"/>
      <c r="S2050" s="61"/>
      <c r="T2050" s="61"/>
      <c r="U2050" s="61"/>
      <c r="V2050" s="61"/>
      <c r="W2050" s="61"/>
      <c r="X2050" s="61"/>
      <c r="Y2050" s="61"/>
      <c r="Z2050" s="61"/>
      <c r="AA2050" s="61"/>
      <c r="AB2050" s="61"/>
      <c r="AC2050" s="61"/>
      <c r="AD2050" s="61"/>
      <c r="AE2050" s="61"/>
      <c r="AF2050" s="61"/>
      <c r="AG2050" s="61"/>
      <c r="AH2050" s="61"/>
      <c r="AI2050" s="61"/>
      <c r="AJ2050" s="61"/>
      <c r="AK2050" s="61"/>
      <c r="AL2050" s="61"/>
      <c r="AM2050" s="61"/>
      <c r="AN2050" s="61"/>
      <c r="AO2050" s="61"/>
    </row>
    <row r="2051" spans="1:41" s="108" customFormat="1" x14ac:dyDescent="0.25">
      <c r="A2051" s="358"/>
      <c r="B2051" s="361"/>
      <c r="C2051" s="194"/>
      <c r="D2051" s="350" t="s">
        <v>62</v>
      </c>
      <c r="E2051" s="350"/>
      <c r="F2051" s="350"/>
      <c r="G2051" s="350"/>
      <c r="H2051" s="195"/>
      <c r="I2051" s="195"/>
      <c r="J2051" s="195"/>
      <c r="K2051" s="195"/>
      <c r="L2051" s="196"/>
      <c r="M2051" s="197"/>
      <c r="N2051" s="278"/>
      <c r="O2051" s="279">
        <f>O2052+O2054</f>
        <v>130.94600914430001</v>
      </c>
      <c r="P2051" s="166"/>
      <c r="Q2051" s="166">
        <f>O2051*K2051</f>
        <v>0</v>
      </c>
      <c r="R2051" s="71"/>
      <c r="S2051" s="61"/>
      <c r="T2051" s="61"/>
      <c r="U2051" s="61"/>
      <c r="V2051" s="61"/>
      <c r="W2051" s="61"/>
      <c r="X2051" s="61"/>
      <c r="Y2051" s="61"/>
      <c r="Z2051" s="61"/>
      <c r="AA2051" s="61"/>
      <c r="AB2051" s="61"/>
      <c r="AC2051" s="61"/>
      <c r="AD2051" s="61"/>
      <c r="AE2051" s="61"/>
      <c r="AF2051" s="61"/>
      <c r="AG2051" s="61"/>
      <c r="AH2051" s="61"/>
      <c r="AI2051" s="61"/>
      <c r="AJ2051" s="61"/>
      <c r="AK2051" s="61"/>
      <c r="AL2051" s="61"/>
      <c r="AM2051" s="61"/>
      <c r="AN2051" s="61"/>
      <c r="AO2051" s="61"/>
    </row>
    <row r="2052" spans="1:41" s="61" customFormat="1" ht="31.5" x14ac:dyDescent="0.25">
      <c r="A2052" s="358"/>
      <c r="B2052" s="361"/>
      <c r="C2052" s="194">
        <v>211</v>
      </c>
      <c r="D2052" s="194" t="s">
        <v>86</v>
      </c>
      <c r="E2052" s="199" t="s">
        <v>95</v>
      </c>
      <c r="F2052" s="199" t="s">
        <v>95</v>
      </c>
      <c r="G2052" s="275">
        <f>MROUND(H2052*L2052*I2052/K2052,0.0000000000000001)</f>
        <v>4.3007463258785995E-3</v>
      </c>
      <c r="H2052" s="201">
        <f>Лист1!G4</f>
        <v>368.4</v>
      </c>
      <c r="I2052" s="159">
        <f>школы!$K$32</f>
        <v>0.16442999999999999</v>
      </c>
      <c r="J2052" s="159"/>
      <c r="K2052" s="161">
        <f>школы!$G$32</f>
        <v>169020</v>
      </c>
      <c r="L2052" s="202">
        <v>12</v>
      </c>
      <c r="M2052" s="163" t="str">
        <f>CONCATENATE(H2052," ",F2052," ","в мес.","*",L2052,"мес.","*",I2052,"/",K2052,"чел/час")</f>
        <v>368,4 шт.ед в мес.*12мес.*0,16443/169020чел/час</v>
      </c>
      <c r="N2052" s="278">
        <f>Лист1!I4</f>
        <v>23385.182971407892</v>
      </c>
      <c r="O2052" s="280">
        <f>MROUND(N2052*G2052,0.0000000001)</f>
        <v>100.5737397443</v>
      </c>
      <c r="P2052" s="166"/>
      <c r="Q2052" s="166">
        <f t="shared" ref="Q2052:Q2115" si="436">O2052*K2052</f>
        <v>16998973.491581585</v>
      </c>
      <c r="R2052" s="71"/>
      <c r="T2052" s="71"/>
      <c r="U2052" s="71"/>
      <c r="V2052" s="120"/>
    </row>
    <row r="2053" spans="1:41" s="109" customFormat="1" x14ac:dyDescent="0.25">
      <c r="A2053" s="358"/>
      <c r="B2053" s="361"/>
      <c r="C2053" s="203" t="s">
        <v>288</v>
      </c>
      <c r="D2053" s="203"/>
      <c r="E2053" s="204"/>
      <c r="F2053" s="204"/>
      <c r="G2053" s="205"/>
      <c r="H2053" s="206"/>
      <c r="I2053" s="206"/>
      <c r="J2053" s="206"/>
      <c r="K2053" s="207"/>
      <c r="L2053" s="208"/>
      <c r="M2053" s="209"/>
      <c r="N2053" s="281"/>
      <c r="O2053" s="279">
        <f>O2052</f>
        <v>100.5737397443</v>
      </c>
      <c r="P2053" s="267"/>
      <c r="Q2053" s="166"/>
      <c r="R2053" s="71"/>
      <c r="S2053" s="62"/>
      <c r="T2053" s="62"/>
      <c r="U2053" s="62"/>
      <c r="V2053" s="62"/>
      <c r="W2053" s="62"/>
      <c r="X2053" s="62"/>
      <c r="Y2053" s="62"/>
      <c r="Z2053" s="62"/>
      <c r="AA2053" s="62"/>
      <c r="AB2053" s="62"/>
      <c r="AC2053" s="62"/>
      <c r="AD2053" s="62"/>
      <c r="AE2053" s="62"/>
      <c r="AF2053" s="62"/>
      <c r="AG2053" s="62"/>
      <c r="AH2053" s="62"/>
      <c r="AI2053" s="62"/>
      <c r="AJ2053" s="62"/>
      <c r="AK2053" s="62"/>
      <c r="AL2053" s="62"/>
      <c r="AM2053" s="62"/>
      <c r="AN2053" s="62"/>
      <c r="AO2053" s="62"/>
    </row>
    <row r="2054" spans="1:41" s="61" customFormat="1" x14ac:dyDescent="0.25">
      <c r="A2054" s="358"/>
      <c r="B2054" s="361"/>
      <c r="C2054" s="194">
        <v>213</v>
      </c>
      <c r="D2054" s="194" t="s">
        <v>87</v>
      </c>
      <c r="E2054" s="194" t="s">
        <v>88</v>
      </c>
      <c r="F2054" s="194"/>
      <c r="G2054" s="211">
        <v>30.2</v>
      </c>
      <c r="H2054" s="159"/>
      <c r="I2054" s="282">
        <f>I2052</f>
        <v>0.16442999999999999</v>
      </c>
      <c r="J2054" s="159"/>
      <c r="K2054" s="161">
        <f>K2052</f>
        <v>169020</v>
      </c>
      <c r="L2054" s="202"/>
      <c r="M2054" s="212"/>
      <c r="N2054" s="278"/>
      <c r="O2054" s="280">
        <f>MROUND(O2052*0.302,0.00000001)-0.001</f>
        <v>30.3722694</v>
      </c>
      <c r="P2054" s="166"/>
      <c r="Q2054" s="166">
        <f t="shared" si="436"/>
        <v>5133520.9739880003</v>
      </c>
      <c r="R2054" s="71"/>
    </row>
    <row r="2055" spans="1:41" s="109" customFormat="1" x14ac:dyDescent="0.25">
      <c r="A2055" s="358"/>
      <c r="B2055" s="361"/>
      <c r="C2055" s="203" t="s">
        <v>289</v>
      </c>
      <c r="D2055" s="203"/>
      <c r="E2055" s="203"/>
      <c r="F2055" s="203"/>
      <c r="G2055" s="213"/>
      <c r="H2055" s="214"/>
      <c r="I2055" s="206"/>
      <c r="J2055" s="214"/>
      <c r="K2055" s="207"/>
      <c r="L2055" s="215"/>
      <c r="M2055" s="216"/>
      <c r="N2055" s="281"/>
      <c r="O2055" s="279">
        <f>O2054</f>
        <v>30.3722694</v>
      </c>
      <c r="P2055" s="267"/>
      <c r="Q2055" s="166"/>
      <c r="R2055" s="71"/>
      <c r="S2055" s="62"/>
      <c r="T2055" s="62"/>
      <c r="U2055" s="62"/>
      <c r="V2055" s="62"/>
      <c r="W2055" s="62"/>
      <c r="X2055" s="62"/>
      <c r="Y2055" s="62"/>
      <c r="Z2055" s="62"/>
      <c r="AA2055" s="62"/>
      <c r="AB2055" s="62"/>
      <c r="AC2055" s="62"/>
      <c r="AD2055" s="62"/>
      <c r="AE2055" s="62"/>
      <c r="AF2055" s="62"/>
      <c r="AG2055" s="62"/>
      <c r="AH2055" s="62"/>
      <c r="AI2055" s="62"/>
      <c r="AJ2055" s="62"/>
      <c r="AK2055" s="62"/>
      <c r="AL2055" s="62"/>
      <c r="AM2055" s="62"/>
      <c r="AN2055" s="62"/>
      <c r="AO2055" s="62"/>
    </row>
    <row r="2056" spans="1:41" s="108" customFormat="1" x14ac:dyDescent="0.25">
      <c r="A2056" s="358"/>
      <c r="B2056" s="361"/>
      <c r="C2056" s="194"/>
      <c r="D2056" s="356" t="s">
        <v>63</v>
      </c>
      <c r="E2056" s="356"/>
      <c r="F2056" s="356"/>
      <c r="G2056" s="356"/>
      <c r="H2056" s="195"/>
      <c r="I2056" s="159"/>
      <c r="J2056" s="195"/>
      <c r="K2056" s="161"/>
      <c r="L2056" s="196"/>
      <c r="M2056" s="197"/>
      <c r="N2056" s="278"/>
      <c r="O2056" s="280">
        <f>O2057</f>
        <v>0.79451299999999991</v>
      </c>
      <c r="P2056" s="166"/>
      <c r="Q2056" s="166">
        <f t="shared" si="436"/>
        <v>0</v>
      </c>
      <c r="R2056" s="71"/>
      <c r="S2056" s="61"/>
      <c r="T2056" s="61"/>
      <c r="U2056" s="61"/>
      <c r="V2056" s="61"/>
      <c r="W2056" s="61"/>
      <c r="X2056" s="61"/>
      <c r="Y2056" s="61"/>
      <c r="Z2056" s="61"/>
      <c r="AA2056" s="61"/>
      <c r="AB2056" s="61"/>
      <c r="AC2056" s="61"/>
      <c r="AD2056" s="61"/>
      <c r="AE2056" s="61"/>
      <c r="AF2056" s="61"/>
      <c r="AG2056" s="61"/>
      <c r="AH2056" s="61"/>
      <c r="AI2056" s="61"/>
      <c r="AJ2056" s="61"/>
      <c r="AK2056" s="61"/>
      <c r="AL2056" s="61"/>
      <c r="AM2056" s="61"/>
      <c r="AN2056" s="61"/>
      <c r="AO2056" s="61"/>
    </row>
    <row r="2057" spans="1:41" s="61" customFormat="1" x14ac:dyDescent="0.25">
      <c r="A2057" s="358"/>
      <c r="B2057" s="361"/>
      <c r="C2057" s="194" t="s">
        <v>118</v>
      </c>
      <c r="D2057" s="194" t="s">
        <v>259</v>
      </c>
      <c r="E2057" s="194" t="s">
        <v>260</v>
      </c>
      <c r="F2057" s="194" t="s">
        <v>261</v>
      </c>
      <c r="G2057" s="238">
        <f>MROUND(H2057*L2057*I2057/K2057,0.0000000000001)</f>
        <v>1.179086262E-3</v>
      </c>
      <c r="H2057" s="283">
        <f>Лист1!G125</f>
        <v>1212</v>
      </c>
      <c r="I2057" s="282">
        <f>I2054</f>
        <v>0.16442999999999999</v>
      </c>
      <c r="J2057" s="195"/>
      <c r="K2057" s="161">
        <f>K2054</f>
        <v>169020</v>
      </c>
      <c r="L2057" s="196">
        <v>1</v>
      </c>
      <c r="M2057" s="163" t="str">
        <f>CONCATENATE(H2057," ",F2057,"*",I2057,"/",K2057,"чел/час")</f>
        <v>1212 упаковок*0,16443/169020чел/час</v>
      </c>
      <c r="N2057" s="278">
        <f>Лист1!I125</f>
        <v>673.83800330033012</v>
      </c>
      <c r="O2057" s="280">
        <f>MROUND(N2057*G2057,0.000001)</f>
        <v>0.79451299999999991</v>
      </c>
      <c r="P2057" s="166"/>
      <c r="Q2057" s="166">
        <f t="shared" si="436"/>
        <v>134288.58725999997</v>
      </c>
      <c r="R2057" s="71"/>
    </row>
    <row r="2058" spans="1:41" s="109" customFormat="1" x14ac:dyDescent="0.25">
      <c r="A2058" s="358"/>
      <c r="B2058" s="361"/>
      <c r="C2058" s="203" t="s">
        <v>301</v>
      </c>
      <c r="D2058" s="203"/>
      <c r="E2058" s="203"/>
      <c r="F2058" s="203"/>
      <c r="G2058" s="227"/>
      <c r="H2058" s="214"/>
      <c r="I2058" s="206"/>
      <c r="J2058" s="214"/>
      <c r="K2058" s="207"/>
      <c r="L2058" s="215"/>
      <c r="M2058" s="209"/>
      <c r="N2058" s="281"/>
      <c r="O2058" s="279">
        <f>O2057</f>
        <v>0.79451299999999991</v>
      </c>
      <c r="P2058" s="267"/>
      <c r="Q2058" s="166"/>
      <c r="R2058" s="71"/>
      <c r="S2058" s="62"/>
      <c r="T2058" s="62"/>
      <c r="U2058" s="62"/>
      <c r="V2058" s="62"/>
      <c r="W2058" s="62"/>
      <c r="X2058" s="62"/>
      <c r="Y2058" s="62"/>
      <c r="Z2058" s="62"/>
      <c r="AA2058" s="62"/>
      <c r="AB2058" s="62"/>
      <c r="AC2058" s="62"/>
      <c r="AD2058" s="62"/>
      <c r="AE2058" s="62"/>
      <c r="AF2058" s="62"/>
      <c r="AG2058" s="62"/>
      <c r="AH2058" s="62"/>
      <c r="AI2058" s="62"/>
      <c r="AJ2058" s="62"/>
      <c r="AK2058" s="62"/>
      <c r="AL2058" s="62"/>
      <c r="AM2058" s="62"/>
      <c r="AN2058" s="62"/>
      <c r="AO2058" s="62"/>
    </row>
    <row r="2059" spans="1:41" s="108" customFormat="1" x14ac:dyDescent="0.25">
      <c r="A2059" s="358"/>
      <c r="B2059" s="361"/>
      <c r="C2059" s="194"/>
      <c r="D2059" s="350" t="s">
        <v>64</v>
      </c>
      <c r="E2059" s="350"/>
      <c r="F2059" s="350"/>
      <c r="G2059" s="350"/>
      <c r="H2059" s="195"/>
      <c r="I2059" s="159"/>
      <c r="J2059" s="195"/>
      <c r="K2059" s="161"/>
      <c r="L2059" s="196"/>
      <c r="M2059" s="197"/>
      <c r="N2059" s="278"/>
      <c r="O2059" s="280"/>
      <c r="P2059" s="166"/>
      <c r="Q2059" s="166">
        <f t="shared" si="436"/>
        <v>0</v>
      </c>
      <c r="R2059" s="71"/>
      <c r="S2059" s="61"/>
      <c r="T2059" s="61"/>
      <c r="U2059" s="61"/>
      <c r="V2059" s="61"/>
      <c r="W2059" s="61"/>
      <c r="X2059" s="61"/>
      <c r="Y2059" s="61"/>
      <c r="Z2059" s="61"/>
      <c r="AA2059" s="61"/>
      <c r="AB2059" s="61"/>
      <c r="AC2059" s="61"/>
      <c r="AD2059" s="61"/>
      <c r="AE2059" s="61"/>
      <c r="AF2059" s="61"/>
      <c r="AG2059" s="61"/>
      <c r="AH2059" s="61"/>
      <c r="AI2059" s="61"/>
      <c r="AJ2059" s="61"/>
      <c r="AK2059" s="61"/>
      <c r="AL2059" s="61"/>
      <c r="AM2059" s="61"/>
      <c r="AN2059" s="61"/>
      <c r="AO2059" s="61"/>
    </row>
    <row r="2060" spans="1:41" s="108" customFormat="1" x14ac:dyDescent="0.25">
      <c r="A2060" s="358"/>
      <c r="B2060" s="361"/>
      <c r="C2060" s="194"/>
      <c r="D2060" s="194"/>
      <c r="E2060" s="194"/>
      <c r="F2060" s="194"/>
      <c r="G2060" s="217"/>
      <c r="H2060" s="195"/>
      <c r="I2060" s="159"/>
      <c r="J2060" s="195"/>
      <c r="K2060" s="161"/>
      <c r="L2060" s="196"/>
      <c r="M2060" s="197"/>
      <c r="N2060" s="278"/>
      <c r="O2060" s="280"/>
      <c r="P2060" s="166"/>
      <c r="Q2060" s="166">
        <f t="shared" si="436"/>
        <v>0</v>
      </c>
      <c r="R2060" s="71"/>
      <c r="S2060" s="61"/>
      <c r="T2060" s="61"/>
      <c r="U2060" s="61"/>
      <c r="V2060" s="61"/>
      <c r="W2060" s="61"/>
      <c r="X2060" s="61"/>
      <c r="Y2060" s="61"/>
      <c r="Z2060" s="61"/>
      <c r="AA2060" s="61"/>
      <c r="AB2060" s="61"/>
      <c r="AC2060" s="61"/>
      <c r="AD2060" s="61"/>
      <c r="AE2060" s="61"/>
      <c r="AF2060" s="61"/>
      <c r="AG2060" s="61"/>
      <c r="AH2060" s="61"/>
      <c r="AI2060" s="61"/>
      <c r="AJ2060" s="61"/>
      <c r="AK2060" s="61"/>
      <c r="AL2060" s="61"/>
      <c r="AM2060" s="61"/>
      <c r="AN2060" s="61"/>
      <c r="AO2060" s="61"/>
    </row>
    <row r="2061" spans="1:41" s="108" customFormat="1" x14ac:dyDescent="0.25">
      <c r="A2061" s="358"/>
      <c r="B2061" s="361"/>
      <c r="C2061" s="194"/>
      <c r="D2061" s="355" t="s">
        <v>5</v>
      </c>
      <c r="E2061" s="355"/>
      <c r="F2061" s="355"/>
      <c r="G2061" s="355"/>
      <c r="H2061" s="195"/>
      <c r="I2061" s="159"/>
      <c r="J2061" s="195"/>
      <c r="K2061" s="161"/>
      <c r="L2061" s="196"/>
      <c r="M2061" s="197"/>
      <c r="N2061" s="278"/>
      <c r="O2061" s="279">
        <f>O2062+O2071+O2082+O2084+O2095+O2091</f>
        <v>119.8976697736</v>
      </c>
      <c r="P2061" s="166"/>
      <c r="Q2061" s="166">
        <f t="shared" si="436"/>
        <v>0</v>
      </c>
      <c r="R2061" s="71"/>
      <c r="S2061" s="61"/>
      <c r="T2061" s="61"/>
      <c r="U2061" s="61"/>
      <c r="V2061" s="61"/>
      <c r="W2061" s="61"/>
      <c r="X2061" s="61"/>
      <c r="Y2061" s="61"/>
      <c r="Z2061" s="61"/>
      <c r="AA2061" s="61"/>
      <c r="AB2061" s="61"/>
      <c r="AC2061" s="61"/>
      <c r="AD2061" s="61"/>
      <c r="AE2061" s="61"/>
      <c r="AF2061" s="61"/>
      <c r="AG2061" s="61"/>
      <c r="AH2061" s="61"/>
      <c r="AI2061" s="61"/>
      <c r="AJ2061" s="61"/>
      <c r="AK2061" s="61"/>
      <c r="AL2061" s="61"/>
      <c r="AM2061" s="61"/>
      <c r="AN2061" s="61"/>
      <c r="AO2061" s="61"/>
    </row>
    <row r="2062" spans="1:41" s="108" customFormat="1" x14ac:dyDescent="0.25">
      <c r="A2062" s="358"/>
      <c r="B2062" s="361"/>
      <c r="C2062" s="221" t="s">
        <v>70</v>
      </c>
      <c r="D2062" s="355" t="s">
        <v>6</v>
      </c>
      <c r="E2062" s="355"/>
      <c r="F2062" s="355"/>
      <c r="G2062" s="355"/>
      <c r="H2062" s="189"/>
      <c r="I2062" s="159"/>
      <c r="J2062" s="189"/>
      <c r="K2062" s="161"/>
      <c r="L2062" s="190"/>
      <c r="M2062" s="197"/>
      <c r="N2062" s="278"/>
      <c r="O2062" s="279">
        <f>O2063+O2064+O2065+O2066+O2067+O2068+O2069</f>
        <v>6.1453470000000001</v>
      </c>
      <c r="P2062" s="166"/>
      <c r="Q2062" s="166">
        <f t="shared" si="436"/>
        <v>0</v>
      </c>
      <c r="R2062" s="71"/>
      <c r="S2062" s="61"/>
      <c r="T2062" s="61"/>
      <c r="U2062" s="61"/>
      <c r="V2062" s="61"/>
      <c r="W2062" s="61"/>
      <c r="X2062" s="61"/>
      <c r="Y2062" s="61"/>
      <c r="Z2062" s="61"/>
      <c r="AA2062" s="61"/>
      <c r="AB2062" s="61"/>
      <c r="AC2062" s="61"/>
      <c r="AD2062" s="61"/>
      <c r="AE2062" s="61"/>
      <c r="AF2062" s="61"/>
      <c r="AG2062" s="61"/>
      <c r="AH2062" s="61"/>
      <c r="AI2062" s="61"/>
      <c r="AJ2062" s="61"/>
      <c r="AK2062" s="61"/>
      <c r="AL2062" s="61"/>
      <c r="AM2062" s="61"/>
      <c r="AN2062" s="61"/>
      <c r="AO2062" s="61"/>
    </row>
    <row r="2063" spans="1:41" s="61" customFormat="1" ht="31.5" x14ac:dyDescent="0.25">
      <c r="A2063" s="358"/>
      <c r="B2063" s="361"/>
      <c r="C2063" s="221" t="s">
        <v>72</v>
      </c>
      <c r="D2063" s="222" t="s">
        <v>7</v>
      </c>
      <c r="E2063" s="223" t="s">
        <v>8</v>
      </c>
      <c r="F2063" s="223" t="s">
        <v>8</v>
      </c>
      <c r="G2063" s="238">
        <f>MROUND(H2063*L2063*I2063/K2063,0.0000000000001)</f>
        <v>0.10998981384550001</v>
      </c>
      <c r="H2063" s="160">
        <f>Лист1!G12*1000</f>
        <v>113060.13705633247</v>
      </c>
      <c r="I2063" s="282">
        <f>I2057</f>
        <v>0.16442999999999999</v>
      </c>
      <c r="J2063" s="160"/>
      <c r="K2063" s="161">
        <f>K2057</f>
        <v>169020</v>
      </c>
      <c r="L2063" s="250">
        <v>1</v>
      </c>
      <c r="M2063" s="163" t="str">
        <f>CONCATENATE(H2063," ",F2063,"(лимиты выделенные УЖКХ) ","*",I2063,"/",K2063,"чел/час")</f>
        <v>113060,137056332 кВт час.(лимиты выделенные УЖКХ) *0,16443/169020чел/час</v>
      </c>
      <c r="N2063" s="278">
        <f>Лист1!I12</f>
        <v>10.461700036774822</v>
      </c>
      <c r="O2063" s="280">
        <f>MROUND(N2063*G2063,0.000001)</f>
        <v>1.1506799999999999</v>
      </c>
      <c r="P2063" s="166"/>
      <c r="Q2063" s="166">
        <f t="shared" si="436"/>
        <v>194487.93359999999</v>
      </c>
      <c r="R2063" s="71"/>
      <c r="T2063" s="71"/>
    </row>
    <row r="2064" spans="1:41" s="61" customFormat="1" ht="31.5" x14ac:dyDescent="0.25">
      <c r="A2064" s="358"/>
      <c r="B2064" s="361"/>
      <c r="C2064" s="221" t="s">
        <v>73</v>
      </c>
      <c r="D2064" s="222" t="s">
        <v>9</v>
      </c>
      <c r="E2064" s="223" t="s">
        <v>10</v>
      </c>
      <c r="F2064" s="223" t="s">
        <v>10</v>
      </c>
      <c r="G2064" s="238">
        <f>MROUND(H2064*L2064*I2064/K2064,0.00000000001)</f>
        <v>1.3561437699999999E-3</v>
      </c>
      <c r="H2064" s="160">
        <f>Лист1!G13</f>
        <v>1394</v>
      </c>
      <c r="I2064" s="159">
        <f t="shared" ref="I2064:I2069" si="437">I2063</f>
        <v>0.16442999999999999</v>
      </c>
      <c r="J2064" s="160"/>
      <c r="K2064" s="161">
        <f t="shared" ref="K2064:K2069" si="438">K2063</f>
        <v>169020</v>
      </c>
      <c r="L2064" s="250">
        <v>1</v>
      </c>
      <c r="M2064" s="163" t="str">
        <f>CONCATENATE(H2064," ",F2064,"(лимиты выделенные УЖКХ) ","*",I2064,"/",K2064,"чел/час")</f>
        <v>1394 Гкал(лимиты выделенные УЖКХ) *0,16443/169020чел/час</v>
      </c>
      <c r="N2064" s="278">
        <f>Лист1!I13</f>
        <v>2845.3649999999998</v>
      </c>
      <c r="O2064" s="280">
        <f t="shared" ref="O2064:O2080" si="439">MROUND(N2064*G2064,0.000001)</f>
        <v>3.858724</v>
      </c>
      <c r="P2064" s="166"/>
      <c r="Q2064" s="166">
        <f t="shared" si="436"/>
        <v>652201.53047999996</v>
      </c>
      <c r="R2064" s="71"/>
      <c r="U2064" s="71"/>
    </row>
    <row r="2065" spans="1:41" s="61" customFormat="1" ht="31.5" x14ac:dyDescent="0.25">
      <c r="A2065" s="358"/>
      <c r="B2065" s="361"/>
      <c r="C2065" s="364" t="s">
        <v>74</v>
      </c>
      <c r="D2065" s="222" t="s">
        <v>12</v>
      </c>
      <c r="E2065" s="222" t="s">
        <v>11</v>
      </c>
      <c r="F2065" s="222" t="s">
        <v>11</v>
      </c>
      <c r="G2065" s="238">
        <f>MROUND(H2065*L2065*I2065/K2065,0.00000000000001)</f>
        <v>3.9313673961700003E-3</v>
      </c>
      <c r="H2065" s="224">
        <f>Лист1!G14</f>
        <v>4041.1099999999997</v>
      </c>
      <c r="I2065" s="159">
        <f t="shared" si="437"/>
        <v>0.16442999999999999</v>
      </c>
      <c r="J2065" s="160"/>
      <c r="K2065" s="161">
        <f t="shared" si="438"/>
        <v>169020</v>
      </c>
      <c r="L2065" s="250">
        <v>1</v>
      </c>
      <c r="M2065" s="163" t="str">
        <f>CONCATENATE(H2065," ",F2065,"(лимиты выделенные УЖКХ) ","*",I2065,"/",K2065,"чел/час")</f>
        <v>4041,11 м3(лимиты выделенные УЖКХ) *0,16443/169020чел/час</v>
      </c>
      <c r="N2065" s="278">
        <f>Лист1!I14</f>
        <v>51.830000000000013</v>
      </c>
      <c r="O2065" s="280">
        <f t="shared" si="439"/>
        <v>0.203763</v>
      </c>
      <c r="P2065" s="166"/>
      <c r="Q2065" s="166">
        <f t="shared" si="436"/>
        <v>34440.022259999998</v>
      </c>
      <c r="R2065" s="71"/>
    </row>
    <row r="2066" spans="1:41" s="61" customFormat="1" ht="47.25" x14ac:dyDescent="0.25">
      <c r="A2066" s="358"/>
      <c r="B2066" s="361"/>
      <c r="C2066" s="364"/>
      <c r="D2066" s="222" t="s">
        <v>17</v>
      </c>
      <c r="E2066" s="222" t="s">
        <v>11</v>
      </c>
      <c r="F2066" s="222" t="s">
        <v>11</v>
      </c>
      <c r="G2066" s="238">
        <f>MROUND(H2066*L2066*I2066/K2066,0.0000000000001)</f>
        <v>3.9313673961999997E-3</v>
      </c>
      <c r="H2066" s="160">
        <f>H2170</f>
        <v>4041.1099999999997</v>
      </c>
      <c r="I2066" s="159">
        <f t="shared" si="437"/>
        <v>0.16442999999999999</v>
      </c>
      <c r="J2066" s="160"/>
      <c r="K2066" s="161">
        <f t="shared" si="438"/>
        <v>169020</v>
      </c>
      <c r="L2066" s="162">
        <f>$L$25</f>
        <v>1</v>
      </c>
      <c r="M2066" s="163" t="str">
        <f>CONCATENATE(H2066," ",F2066,"(лимиты выделенные УЖКХ) ","*",I2066,"/",K2066,"чел/час")</f>
        <v>4041,11 м3(лимиты выделенные УЖКХ) *0,16443/169020чел/час</v>
      </c>
      <c r="N2066" s="164">
        <f>Лист1!I15</f>
        <v>78.761157534246578</v>
      </c>
      <c r="O2066" s="280">
        <f t="shared" si="439"/>
        <v>0.309639</v>
      </c>
      <c r="P2066" s="166"/>
      <c r="Q2066" s="166">
        <f t="shared" si="436"/>
        <v>52335.183779999999</v>
      </c>
      <c r="R2066" s="71"/>
      <c r="T2066" s="71"/>
    </row>
    <row r="2067" spans="1:41" s="61" customFormat="1" ht="31.5" x14ac:dyDescent="0.25">
      <c r="A2067" s="358"/>
      <c r="B2067" s="361"/>
      <c r="C2067" s="364"/>
      <c r="D2067" s="222" t="s">
        <v>13</v>
      </c>
      <c r="E2067" s="222" t="s">
        <v>11</v>
      </c>
      <c r="F2067" s="222" t="s">
        <v>11</v>
      </c>
      <c r="G2067" s="238">
        <f>MROUND(H2067*L2067*I2067/K2067,0.000000000001)</f>
        <v>3.931367396E-3</v>
      </c>
      <c r="H2067" s="160">
        <f>Лист1!G16</f>
        <v>4041.1099999999997</v>
      </c>
      <c r="I2067" s="159">
        <f t="shared" si="437"/>
        <v>0.16442999999999999</v>
      </c>
      <c r="J2067" s="160"/>
      <c r="K2067" s="161">
        <f t="shared" si="438"/>
        <v>169020</v>
      </c>
      <c r="L2067" s="162">
        <v>1</v>
      </c>
      <c r="M2067" s="163" t="str">
        <f>CONCATENATE(H2067," ",F2067,"(лимиты выделенные УЖКХ) ","*",I2067,"/",K2067,"чел/час")</f>
        <v>4041,11 м3(лимиты выделенные УЖКХ) *0,16443/169020чел/час</v>
      </c>
      <c r="N2067" s="278">
        <f>Лист1!I16</f>
        <v>96.180004349493274</v>
      </c>
      <c r="O2067" s="280">
        <f t="shared" si="439"/>
        <v>0.37811899999999998</v>
      </c>
      <c r="P2067" s="166"/>
      <c r="Q2067" s="166">
        <f t="shared" si="436"/>
        <v>63909.67338</v>
      </c>
      <c r="R2067" s="71"/>
      <c r="T2067" s="71"/>
    </row>
    <row r="2068" spans="1:41" s="61" customFormat="1" x14ac:dyDescent="0.25">
      <c r="A2068" s="358"/>
      <c r="B2068" s="361"/>
      <c r="C2068" s="364" t="s">
        <v>216</v>
      </c>
      <c r="D2068" s="222" t="s">
        <v>23</v>
      </c>
      <c r="E2068" s="222" t="s">
        <v>11</v>
      </c>
      <c r="F2068" s="222" t="s">
        <v>11</v>
      </c>
      <c r="G2068" s="238">
        <f>MROUND(H2068*L2068*I2068/K2068,0.000000000001)</f>
        <v>2.4301629000000001E-5</v>
      </c>
      <c r="H2068" s="160">
        <f>Лист1!G18</f>
        <v>24.979999999999997</v>
      </c>
      <c r="I2068" s="159">
        <f t="shared" si="437"/>
        <v>0.16442999999999999</v>
      </c>
      <c r="J2068" s="160"/>
      <c r="K2068" s="161">
        <f t="shared" si="438"/>
        <v>169020</v>
      </c>
      <c r="L2068" s="162">
        <v>1</v>
      </c>
      <c r="M2068" s="163" t="str">
        <f>CONCATENATE(H2068," ",F2068," ","*",I2068,"/",K2068,"чел/час")</f>
        <v>24,98 м3 *0,16443/169020чел/час</v>
      </c>
      <c r="N2068" s="164">
        <f>Лист1!I18</f>
        <v>8906.5644515612512</v>
      </c>
      <c r="O2068" s="280">
        <f t="shared" si="439"/>
        <v>0.216444</v>
      </c>
      <c r="P2068" s="166"/>
      <c r="Q2068" s="166">
        <f t="shared" si="436"/>
        <v>36583.364880000001</v>
      </c>
      <c r="R2068" s="71"/>
    </row>
    <row r="2069" spans="1:41" s="61" customFormat="1" ht="63" x14ac:dyDescent="0.25">
      <c r="A2069" s="358"/>
      <c r="B2069" s="361"/>
      <c r="C2069" s="364"/>
      <c r="D2069" s="222" t="s">
        <v>24</v>
      </c>
      <c r="E2069" s="222" t="s">
        <v>25</v>
      </c>
      <c r="F2069" s="222" t="s">
        <v>248</v>
      </c>
      <c r="G2069" s="238">
        <f>MROUND(H2069*L2069*I2069/K2069,0.000000000001)</f>
        <v>4.8642169999999998E-6</v>
      </c>
      <c r="H2069" s="160">
        <f>Лист1!G19</f>
        <v>5</v>
      </c>
      <c r="I2069" s="159">
        <f t="shared" si="437"/>
        <v>0.16442999999999999</v>
      </c>
      <c r="J2069" s="160"/>
      <c r="K2069" s="161">
        <f t="shared" si="438"/>
        <v>169020</v>
      </c>
      <c r="L2069" s="250">
        <v>1</v>
      </c>
      <c r="M2069" s="163" t="str">
        <f>CONCATENATE(H2069," ",F2069,"(потребность из расчета 4 контейнера для уборки территории весной и осенью на 1 учреждение)","*",I2069,"/",K2069,"чел/час")</f>
        <v>5 контейнеров(потребность из расчета 4 контейнера для уборки территории весной и осенью на 1 учреждение)*0,16443/169020чел/час</v>
      </c>
      <c r="N2069" s="278">
        <f>Лист1!I19</f>
        <v>5751.8</v>
      </c>
      <c r="O2069" s="280">
        <f t="shared" si="439"/>
        <v>2.7977999999999999E-2</v>
      </c>
      <c r="P2069" s="166"/>
      <c r="Q2069" s="166">
        <f t="shared" si="436"/>
        <v>4728.8415599999998</v>
      </c>
      <c r="R2069" s="71"/>
      <c r="S2069" s="71"/>
    </row>
    <row r="2070" spans="1:41" s="109" customFormat="1" x14ac:dyDescent="0.25">
      <c r="A2070" s="358"/>
      <c r="B2070" s="361"/>
      <c r="C2070" s="218" t="s">
        <v>290</v>
      </c>
      <c r="D2070" s="226"/>
      <c r="E2070" s="226"/>
      <c r="F2070" s="226"/>
      <c r="G2070" s="227"/>
      <c r="H2070" s="228"/>
      <c r="I2070" s="206"/>
      <c r="J2070" s="228"/>
      <c r="K2070" s="207"/>
      <c r="L2070" s="257"/>
      <c r="M2070" s="209"/>
      <c r="N2070" s="281"/>
      <c r="O2070" s="279">
        <f>SUM(O2063:O2069)</f>
        <v>6.1453470000000001</v>
      </c>
      <c r="P2070" s="267"/>
      <c r="Q2070" s="166"/>
      <c r="R2070" s="71"/>
      <c r="S2070" s="62"/>
      <c r="T2070" s="62"/>
      <c r="U2070" s="62"/>
      <c r="V2070" s="62"/>
      <c r="W2070" s="62"/>
      <c r="X2070" s="62"/>
      <c r="Y2070" s="62"/>
      <c r="Z2070" s="62"/>
      <c r="AA2070" s="62"/>
      <c r="AB2070" s="62"/>
      <c r="AC2070" s="62"/>
      <c r="AD2070" s="62"/>
      <c r="AE2070" s="62"/>
      <c r="AF2070" s="62"/>
      <c r="AG2070" s="62"/>
      <c r="AH2070" s="62"/>
      <c r="AI2070" s="62"/>
      <c r="AJ2070" s="62"/>
      <c r="AK2070" s="62"/>
      <c r="AL2070" s="62"/>
      <c r="AM2070" s="62"/>
      <c r="AN2070" s="62"/>
      <c r="AO2070" s="62"/>
    </row>
    <row r="2071" spans="1:41" s="108" customFormat="1" x14ac:dyDescent="0.25">
      <c r="A2071" s="358"/>
      <c r="B2071" s="361"/>
      <c r="C2071" s="221"/>
      <c r="D2071" s="356" t="s">
        <v>14</v>
      </c>
      <c r="E2071" s="356"/>
      <c r="F2071" s="356"/>
      <c r="G2071" s="356"/>
      <c r="H2071" s="188"/>
      <c r="I2071" s="159"/>
      <c r="J2071" s="188"/>
      <c r="K2071" s="161"/>
      <c r="L2071" s="250"/>
      <c r="M2071" s="230"/>
      <c r="N2071" s="278"/>
      <c r="O2071" s="279">
        <f>O2075+O2079+O2081</f>
        <v>101.160636575</v>
      </c>
      <c r="P2071" s="166"/>
      <c r="Q2071" s="166">
        <f t="shared" si="436"/>
        <v>0</v>
      </c>
      <c r="R2071" s="71"/>
      <c r="S2071" s="61"/>
      <c r="T2071" s="61"/>
      <c r="U2071" s="61"/>
      <c r="V2071" s="61"/>
      <c r="W2071" s="61"/>
      <c r="X2071" s="61"/>
      <c r="Y2071" s="61"/>
      <c r="Z2071" s="61"/>
      <c r="AA2071" s="61"/>
      <c r="AB2071" s="61"/>
      <c r="AC2071" s="61"/>
      <c r="AD2071" s="61"/>
      <c r="AE2071" s="61"/>
      <c r="AF2071" s="61"/>
      <c r="AG2071" s="61"/>
      <c r="AH2071" s="61"/>
      <c r="AI2071" s="61"/>
      <c r="AJ2071" s="61"/>
      <c r="AK2071" s="61"/>
      <c r="AL2071" s="61"/>
      <c r="AM2071" s="61"/>
      <c r="AN2071" s="61"/>
      <c r="AO2071" s="61"/>
    </row>
    <row r="2072" spans="1:41" s="61" customFormat="1" x14ac:dyDescent="0.25">
      <c r="A2072" s="358"/>
      <c r="B2072" s="361"/>
      <c r="C2072" s="221" t="s">
        <v>379</v>
      </c>
      <c r="D2072" s="231" t="s">
        <v>49</v>
      </c>
      <c r="E2072" s="231" t="s">
        <v>22</v>
      </c>
      <c r="F2072" s="231" t="s">
        <v>22</v>
      </c>
      <c r="G2072" s="238">
        <f>MROUND(H2072*L2072*I2072/K2072,0.00000000000001)</f>
        <v>3.24569760383E-3</v>
      </c>
      <c r="H2072" s="160">
        <f>Лист1!G20</f>
        <v>3336.3</v>
      </c>
      <c r="I2072" s="159">
        <f>I2067</f>
        <v>0.16442999999999999</v>
      </c>
      <c r="J2072" s="160"/>
      <c r="K2072" s="161">
        <f>K2067</f>
        <v>169020</v>
      </c>
      <c r="L2072" s="250">
        <v>1</v>
      </c>
      <c r="M2072" s="163" t="str">
        <f>CONCATENATE(H2072," ",F2072,"*",I2072,"/",K2072,"чел/час")</f>
        <v>3336,3 м2*0,16443/169020чел/час</v>
      </c>
      <c r="N2072" s="278">
        <f>Лист1!I20</f>
        <v>2997.3323741869735</v>
      </c>
      <c r="O2072" s="280">
        <f>MROUND(N2072*G2072,0.000000001)-0.00053</f>
        <v>9.7279045050000015</v>
      </c>
      <c r="P2072" s="166"/>
      <c r="Q2072" s="166">
        <f t="shared" si="436"/>
        <v>1644210.4194351002</v>
      </c>
      <c r="R2072" s="71"/>
      <c r="S2072" s="71"/>
    </row>
    <row r="2073" spans="1:41" s="61" customFormat="1" x14ac:dyDescent="0.25">
      <c r="A2073" s="358"/>
      <c r="B2073" s="361"/>
      <c r="C2073" s="221" t="s">
        <v>379</v>
      </c>
      <c r="D2073" s="231" t="s">
        <v>49</v>
      </c>
      <c r="E2073" s="231" t="s">
        <v>28</v>
      </c>
      <c r="F2073" s="231" t="s">
        <v>28</v>
      </c>
      <c r="G2073" s="238">
        <f>MROUND(H2073*L2073*I2073/K2073,0.0000000000001)</f>
        <v>0</v>
      </c>
      <c r="H2073" s="160"/>
      <c r="I2073" s="159">
        <f>I2072</f>
        <v>0.16442999999999999</v>
      </c>
      <c r="J2073" s="160"/>
      <c r="K2073" s="161">
        <f>K2072</f>
        <v>169020</v>
      </c>
      <c r="L2073" s="250">
        <v>1</v>
      </c>
      <c r="M2073" s="163"/>
      <c r="N2073" s="278"/>
      <c r="O2073" s="280">
        <f>MROUND(N2073*G2073,0.000000001)</f>
        <v>0</v>
      </c>
      <c r="P2073" s="166"/>
      <c r="Q2073" s="166">
        <f t="shared" si="436"/>
        <v>0</v>
      </c>
      <c r="R2073" s="71"/>
      <c r="S2073" s="71"/>
    </row>
    <row r="2074" spans="1:41" s="61" customFormat="1" x14ac:dyDescent="0.25">
      <c r="A2074" s="358"/>
      <c r="B2074" s="361"/>
      <c r="C2074" s="221" t="s">
        <v>379</v>
      </c>
      <c r="D2074" s="231" t="s">
        <v>49</v>
      </c>
      <c r="E2074" s="231" t="s">
        <v>101</v>
      </c>
      <c r="F2074" s="231" t="s">
        <v>101</v>
      </c>
      <c r="G2074" s="238">
        <f>MROUND(H2074*L2074*I2074/K2074,0.00000000001)</f>
        <v>0</v>
      </c>
      <c r="H2074" s="160"/>
      <c r="I2074" s="159">
        <f>I2072</f>
        <v>0.16442999999999999</v>
      </c>
      <c r="J2074" s="160"/>
      <c r="K2074" s="161">
        <f>K2072</f>
        <v>169020</v>
      </c>
      <c r="L2074" s="250">
        <v>1</v>
      </c>
      <c r="M2074" s="163"/>
      <c r="N2074" s="278"/>
      <c r="O2074" s="280">
        <f>MROUND(N2074*G2074,0.000001)</f>
        <v>0</v>
      </c>
      <c r="P2074" s="166"/>
      <c r="Q2074" s="166">
        <f t="shared" si="436"/>
        <v>0</v>
      </c>
      <c r="R2074" s="71"/>
      <c r="T2074" s="71"/>
    </row>
    <row r="2075" spans="1:41" s="109" customFormat="1" x14ac:dyDescent="0.25">
      <c r="A2075" s="358"/>
      <c r="B2075" s="361"/>
      <c r="C2075" s="218" t="s">
        <v>380</v>
      </c>
      <c r="D2075" s="232"/>
      <c r="E2075" s="232"/>
      <c r="F2075" s="232"/>
      <c r="G2075" s="227"/>
      <c r="H2075" s="228"/>
      <c r="I2075" s="206"/>
      <c r="J2075" s="228"/>
      <c r="K2075" s="207"/>
      <c r="L2075" s="257"/>
      <c r="M2075" s="209"/>
      <c r="N2075" s="281"/>
      <c r="O2075" s="279">
        <f>O2072+O2074+O2073</f>
        <v>9.7279045050000015</v>
      </c>
      <c r="P2075" s="267"/>
      <c r="Q2075" s="166"/>
      <c r="R2075" s="71"/>
      <c r="S2075" s="62"/>
      <c r="T2075" s="62"/>
      <c r="U2075" s="62"/>
      <c r="V2075" s="62"/>
      <c r="W2075" s="62"/>
      <c r="X2075" s="62"/>
      <c r="Y2075" s="62"/>
      <c r="Z2075" s="62"/>
      <c r="AA2075" s="62"/>
      <c r="AB2075" s="62"/>
      <c r="AC2075" s="62"/>
      <c r="AD2075" s="62"/>
      <c r="AE2075" s="62"/>
      <c r="AF2075" s="62"/>
      <c r="AG2075" s="62"/>
      <c r="AH2075" s="62"/>
      <c r="AI2075" s="62"/>
      <c r="AJ2075" s="62"/>
      <c r="AK2075" s="62"/>
      <c r="AL2075" s="62"/>
      <c r="AM2075" s="62"/>
      <c r="AN2075" s="62"/>
      <c r="AO2075" s="62"/>
    </row>
    <row r="2076" spans="1:41" s="61" customFormat="1" x14ac:dyDescent="0.25">
      <c r="A2076" s="358"/>
      <c r="B2076" s="361"/>
      <c r="C2076" s="221" t="s">
        <v>76</v>
      </c>
      <c r="D2076" s="231" t="s">
        <v>49</v>
      </c>
      <c r="E2076" s="231" t="s">
        <v>22</v>
      </c>
      <c r="F2076" s="231" t="s">
        <v>22</v>
      </c>
      <c r="G2076" s="238">
        <f>MROUND(H2076*L2076*I2076/K2076,0.00000000000001)</f>
        <v>1.8205792332270002E-2</v>
      </c>
      <c r="H2076" s="160">
        <f>Лист1!G23</f>
        <v>18714</v>
      </c>
      <c r="I2076" s="159">
        <f>I2074</f>
        <v>0.16442999999999999</v>
      </c>
      <c r="J2076" s="160"/>
      <c r="K2076" s="161">
        <f>K2074</f>
        <v>169020</v>
      </c>
      <c r="L2076" s="250">
        <v>1</v>
      </c>
      <c r="M2076" s="163" t="str">
        <f>CONCATENATE(H2076," ",F2076,"*",I2076,"/",K2076,"чел/час")</f>
        <v>18714 м2*0,16443/169020чел/час</v>
      </c>
      <c r="N2076" s="278">
        <f>Лист1!I23</f>
        <v>3265.8708987923478</v>
      </c>
      <c r="O2076" s="280">
        <f>MROUND(N2076*G2076,0.000000001)-0.0009</f>
        <v>59.456867367000001</v>
      </c>
      <c r="P2076" s="166"/>
      <c r="Q2076" s="166">
        <f t="shared" si="436"/>
        <v>10049399.72237034</v>
      </c>
      <c r="R2076" s="71"/>
      <c r="S2076" s="71"/>
    </row>
    <row r="2077" spans="1:41" s="61" customFormat="1" x14ac:dyDescent="0.25">
      <c r="A2077" s="358"/>
      <c r="B2077" s="361"/>
      <c r="C2077" s="221"/>
      <c r="D2077" s="231" t="s">
        <v>49</v>
      </c>
      <c r="E2077" s="231" t="s">
        <v>28</v>
      </c>
      <c r="F2077" s="231" t="s">
        <v>28</v>
      </c>
      <c r="G2077" s="238">
        <f>MROUND(H2077*L2077*I2077/K2077,0.00000000000001)</f>
        <v>1.9456869010000001E-4</v>
      </c>
      <c r="H2077" s="160">
        <f>Лист1!G25</f>
        <v>200</v>
      </c>
      <c r="I2077" s="159">
        <f>I2076</f>
        <v>0.16442999999999999</v>
      </c>
      <c r="J2077" s="160"/>
      <c r="K2077" s="161">
        <f>K2076</f>
        <v>169020</v>
      </c>
      <c r="L2077" s="250">
        <v>1</v>
      </c>
      <c r="M2077" s="163" t="str">
        <f>CONCATENATE(H2077," ",F2077,"*",I2077,"/",K2077,"чел/час")</f>
        <v>200 шт*0,16443/169020чел/час</v>
      </c>
      <c r="N2077" s="278">
        <f>Лист1!I25</f>
        <v>108250</v>
      </c>
      <c r="O2077" s="280">
        <f>MROUND(N2077*G2077,0.000000001)-0.0009</f>
        <v>21.061160702999999</v>
      </c>
      <c r="P2077" s="166"/>
      <c r="Q2077" s="166">
        <f t="shared" si="436"/>
        <v>3559757.3820210597</v>
      </c>
      <c r="R2077" s="71"/>
      <c r="S2077" s="71"/>
    </row>
    <row r="2078" spans="1:41" s="61" customFormat="1" x14ac:dyDescent="0.25">
      <c r="A2078" s="358"/>
      <c r="B2078" s="361"/>
      <c r="C2078" s="221"/>
      <c r="D2078" s="231" t="s">
        <v>49</v>
      </c>
      <c r="E2078" s="231" t="s">
        <v>101</v>
      </c>
      <c r="F2078" s="231" t="s">
        <v>101</v>
      </c>
      <c r="G2078" s="238">
        <f>MROUND(H2078*L2078*I2078/K2078,0.000000000001)</f>
        <v>2.1616581469999997E-3</v>
      </c>
      <c r="H2078" s="160">
        <f>Лист1!G24</f>
        <v>2222</v>
      </c>
      <c r="I2078" s="159">
        <f>I2076</f>
        <v>0.16442999999999999</v>
      </c>
      <c r="J2078" s="160"/>
      <c r="K2078" s="161">
        <f>K2076</f>
        <v>169020</v>
      </c>
      <c r="L2078" s="250">
        <v>1</v>
      </c>
      <c r="M2078" s="163" t="str">
        <f>CONCATENATE(H2078," ",F2078,"*",I2078,"/",K2078,"чел/час")</f>
        <v>2222 погон.м.*0,16443/169020чел/час</v>
      </c>
      <c r="N2078" s="278">
        <f>Лист1!I24</f>
        <v>5049.5049504950493</v>
      </c>
      <c r="O2078" s="280">
        <f>MROUND(N2078*G2078,0.000001)-0.0006</f>
        <v>10.914703999999999</v>
      </c>
      <c r="P2078" s="166"/>
      <c r="Q2078" s="166">
        <f t="shared" si="436"/>
        <v>1844803.2700799997</v>
      </c>
      <c r="R2078" s="71"/>
      <c r="T2078" s="71"/>
    </row>
    <row r="2079" spans="1:41" s="109" customFormat="1" x14ac:dyDescent="0.25">
      <c r="A2079" s="358"/>
      <c r="B2079" s="361"/>
      <c r="C2079" s="218" t="s">
        <v>291</v>
      </c>
      <c r="D2079" s="232"/>
      <c r="E2079" s="232"/>
      <c r="F2079" s="232"/>
      <c r="G2079" s="227"/>
      <c r="H2079" s="228"/>
      <c r="I2079" s="206"/>
      <c r="J2079" s="228"/>
      <c r="K2079" s="207"/>
      <c r="L2079" s="257"/>
      <c r="M2079" s="209"/>
      <c r="N2079" s="281"/>
      <c r="O2079" s="279">
        <f>O2076+O2078+O2077</f>
        <v>91.43273207</v>
      </c>
      <c r="P2079" s="267"/>
      <c r="Q2079" s="166"/>
      <c r="R2079" s="71"/>
      <c r="S2079" s="62"/>
      <c r="T2079" s="62"/>
      <c r="U2079" s="62"/>
      <c r="V2079" s="62"/>
      <c r="W2079" s="62"/>
      <c r="X2079" s="62"/>
      <c r="Y2079" s="62"/>
      <c r="Z2079" s="62"/>
      <c r="AA2079" s="62"/>
      <c r="AB2079" s="62"/>
      <c r="AC2079" s="62"/>
      <c r="AD2079" s="62"/>
      <c r="AE2079" s="62"/>
      <c r="AF2079" s="62"/>
      <c r="AG2079" s="62"/>
      <c r="AH2079" s="62"/>
      <c r="AI2079" s="62"/>
      <c r="AJ2079" s="62"/>
      <c r="AK2079" s="62"/>
      <c r="AL2079" s="62"/>
      <c r="AM2079" s="62"/>
      <c r="AN2079" s="62"/>
      <c r="AO2079" s="62"/>
    </row>
    <row r="2080" spans="1:41" s="61" customFormat="1" x14ac:dyDescent="0.25">
      <c r="A2080" s="358"/>
      <c r="B2080" s="361"/>
      <c r="C2080" s="221" t="s">
        <v>77</v>
      </c>
      <c r="D2080" s="231"/>
      <c r="E2080" s="231"/>
      <c r="F2080" s="231"/>
      <c r="G2080" s="238">
        <f>MROUND(H2080*L2080*I2080/K2080,0.0000000001)</f>
        <v>0</v>
      </c>
      <c r="H2080" s="160"/>
      <c r="I2080" s="159">
        <f>I2078</f>
        <v>0.16442999999999999</v>
      </c>
      <c r="J2080" s="160"/>
      <c r="K2080" s="161">
        <f>K2078</f>
        <v>169020</v>
      </c>
      <c r="L2080" s="250"/>
      <c r="M2080" s="163"/>
      <c r="N2080" s="278"/>
      <c r="O2080" s="280">
        <f t="shared" si="439"/>
        <v>0</v>
      </c>
      <c r="P2080" s="166"/>
      <c r="Q2080" s="166">
        <f t="shared" si="436"/>
        <v>0</v>
      </c>
      <c r="R2080" s="71"/>
      <c r="T2080" s="71"/>
    </row>
    <row r="2081" spans="1:41" s="109" customFormat="1" x14ac:dyDescent="0.25">
      <c r="A2081" s="358"/>
      <c r="B2081" s="361"/>
      <c r="C2081" s="218" t="s">
        <v>292</v>
      </c>
      <c r="D2081" s="232"/>
      <c r="E2081" s="232"/>
      <c r="F2081" s="232"/>
      <c r="G2081" s="227"/>
      <c r="H2081" s="228"/>
      <c r="I2081" s="206"/>
      <c r="J2081" s="228"/>
      <c r="K2081" s="207"/>
      <c r="L2081" s="257"/>
      <c r="M2081" s="209"/>
      <c r="N2081" s="281"/>
      <c r="O2081" s="279">
        <f>O2080</f>
        <v>0</v>
      </c>
      <c r="P2081" s="267"/>
      <c r="Q2081" s="166"/>
      <c r="R2081" s="71"/>
      <c r="S2081" s="62"/>
      <c r="T2081" s="62"/>
      <c r="U2081" s="62"/>
      <c r="V2081" s="62"/>
      <c r="W2081" s="62"/>
      <c r="X2081" s="62"/>
      <c r="Y2081" s="62"/>
      <c r="Z2081" s="62"/>
      <c r="AA2081" s="62"/>
      <c r="AB2081" s="62"/>
      <c r="AC2081" s="62"/>
      <c r="AD2081" s="62"/>
      <c r="AE2081" s="62"/>
      <c r="AF2081" s="62"/>
      <c r="AG2081" s="62"/>
      <c r="AH2081" s="62"/>
      <c r="AI2081" s="62"/>
      <c r="AJ2081" s="62"/>
      <c r="AK2081" s="62"/>
      <c r="AL2081" s="62"/>
      <c r="AM2081" s="62"/>
      <c r="AN2081" s="62"/>
      <c r="AO2081" s="62"/>
    </row>
    <row r="2082" spans="1:41" s="108" customFormat="1" x14ac:dyDescent="0.25">
      <c r="A2082" s="358"/>
      <c r="B2082" s="361"/>
      <c r="C2082" s="221"/>
      <c r="D2082" s="350" t="s">
        <v>65</v>
      </c>
      <c r="E2082" s="350"/>
      <c r="F2082" s="350"/>
      <c r="G2082" s="350"/>
      <c r="H2082" s="195"/>
      <c r="I2082" s="159"/>
      <c r="J2082" s="195"/>
      <c r="K2082" s="161"/>
      <c r="L2082" s="196"/>
      <c r="M2082" s="230"/>
      <c r="N2082" s="278"/>
      <c r="O2082" s="280"/>
      <c r="P2082" s="166"/>
      <c r="Q2082" s="166">
        <f t="shared" si="436"/>
        <v>0</v>
      </c>
      <c r="R2082" s="71"/>
      <c r="S2082" s="61"/>
      <c r="T2082" s="61"/>
      <c r="U2082" s="61"/>
      <c r="V2082" s="61"/>
      <c r="W2082" s="61"/>
      <c r="X2082" s="61"/>
      <c r="Y2082" s="61"/>
      <c r="Z2082" s="61"/>
      <c r="AA2082" s="61"/>
      <c r="AB2082" s="61"/>
      <c r="AC2082" s="61"/>
      <c r="AD2082" s="61"/>
      <c r="AE2082" s="61"/>
      <c r="AF2082" s="61"/>
      <c r="AG2082" s="61"/>
      <c r="AH2082" s="61"/>
      <c r="AI2082" s="61"/>
      <c r="AJ2082" s="61"/>
      <c r="AK2082" s="61"/>
      <c r="AL2082" s="61"/>
      <c r="AM2082" s="61"/>
      <c r="AN2082" s="61"/>
      <c r="AO2082" s="61"/>
    </row>
    <row r="2083" spans="1:41" s="108" customFormat="1" x14ac:dyDescent="0.25">
      <c r="A2083" s="358"/>
      <c r="B2083" s="361"/>
      <c r="C2083" s="221"/>
      <c r="D2083" s="194"/>
      <c r="E2083" s="194"/>
      <c r="F2083" s="194"/>
      <c r="G2083" s="217"/>
      <c r="H2083" s="195"/>
      <c r="I2083" s="159"/>
      <c r="J2083" s="195"/>
      <c r="K2083" s="161"/>
      <c r="L2083" s="196"/>
      <c r="M2083" s="230"/>
      <c r="N2083" s="278"/>
      <c r="O2083" s="280"/>
      <c r="P2083" s="166"/>
      <c r="Q2083" s="166">
        <f t="shared" si="436"/>
        <v>0</v>
      </c>
      <c r="R2083" s="71"/>
      <c r="S2083" s="61"/>
      <c r="T2083" s="61"/>
      <c r="U2083" s="61"/>
      <c r="V2083" s="61"/>
      <c r="W2083" s="61"/>
      <c r="X2083" s="61"/>
      <c r="Y2083" s="61"/>
      <c r="Z2083" s="61"/>
      <c r="AA2083" s="61"/>
      <c r="AB2083" s="61"/>
      <c r="AC2083" s="61"/>
      <c r="AD2083" s="61"/>
      <c r="AE2083" s="61"/>
      <c r="AF2083" s="61"/>
      <c r="AG2083" s="61"/>
      <c r="AH2083" s="61"/>
      <c r="AI2083" s="61"/>
      <c r="AJ2083" s="61"/>
      <c r="AK2083" s="61"/>
      <c r="AL2083" s="61"/>
      <c r="AM2083" s="61"/>
      <c r="AN2083" s="61"/>
      <c r="AO2083" s="61"/>
    </row>
    <row r="2084" spans="1:41" s="108" customFormat="1" x14ac:dyDescent="0.25">
      <c r="A2084" s="358"/>
      <c r="B2084" s="361"/>
      <c r="C2084" s="365" t="s">
        <v>357</v>
      </c>
      <c r="D2084" s="368" t="s">
        <v>66</v>
      </c>
      <c r="E2084" s="368"/>
      <c r="F2084" s="368"/>
      <c r="G2084" s="368"/>
      <c r="H2084" s="195"/>
      <c r="I2084" s="159"/>
      <c r="J2084" s="195"/>
      <c r="K2084" s="161"/>
      <c r="L2084" s="196"/>
      <c r="M2084" s="230"/>
      <c r="N2084" s="278"/>
      <c r="O2084" s="279">
        <f>O2090</f>
        <v>0.43580998900000001</v>
      </c>
      <c r="P2084" s="166"/>
      <c r="Q2084" s="166">
        <f t="shared" si="436"/>
        <v>0</v>
      </c>
      <c r="R2084" s="71"/>
      <c r="S2084" s="61"/>
      <c r="T2084" s="61"/>
      <c r="U2084" s="61"/>
      <c r="V2084" s="61"/>
      <c r="W2084" s="61"/>
      <c r="X2084" s="61"/>
      <c r="Y2084" s="61"/>
      <c r="Z2084" s="61"/>
      <c r="AA2084" s="61"/>
      <c r="AB2084" s="61"/>
      <c r="AC2084" s="61"/>
      <c r="AD2084" s="61"/>
      <c r="AE2084" s="61"/>
      <c r="AF2084" s="61"/>
      <c r="AG2084" s="61"/>
      <c r="AH2084" s="61"/>
      <c r="AI2084" s="61"/>
      <c r="AJ2084" s="61"/>
      <c r="AK2084" s="61"/>
      <c r="AL2084" s="61"/>
      <c r="AM2084" s="61"/>
      <c r="AN2084" s="61"/>
      <c r="AO2084" s="61"/>
    </row>
    <row r="2085" spans="1:41" s="61" customFormat="1" x14ac:dyDescent="0.25">
      <c r="A2085" s="358"/>
      <c r="B2085" s="361"/>
      <c r="C2085" s="366"/>
      <c r="D2085" s="284" t="s">
        <v>241</v>
      </c>
      <c r="E2085" s="156" t="s">
        <v>28</v>
      </c>
      <c r="F2085" s="156" t="s">
        <v>28</v>
      </c>
      <c r="G2085" s="238">
        <f>MROUND(H2085*L2085*I2085/K2085,0.0000000000001)</f>
        <v>1.984600639E-4</v>
      </c>
      <c r="H2085" s="158">
        <f>Лист1!G6</f>
        <v>17</v>
      </c>
      <c r="I2085" s="159">
        <f>I2080</f>
        <v>0.16442999999999999</v>
      </c>
      <c r="J2085" s="160"/>
      <c r="K2085" s="161">
        <f>K2080</f>
        <v>169020</v>
      </c>
      <c r="L2085" s="250">
        <v>12</v>
      </c>
      <c r="M2085" s="163" t="str">
        <f>CONCATENATE(H2085," ",F2085,"*",L2085,"мес.","*",I2085,"/",K2085,"чел/час")</f>
        <v>17 шт*12мес.*0,16443/169020чел/час</v>
      </c>
      <c r="N2085" s="278">
        <f>Лист1!I6</f>
        <v>327.76936274509802</v>
      </c>
      <c r="O2085" s="280">
        <f>MROUND(N2085*G2085,0.000001)</f>
        <v>6.5048999999999996E-2</v>
      </c>
      <c r="P2085" s="166"/>
      <c r="Q2085" s="166">
        <f t="shared" si="436"/>
        <v>10994.581979999999</v>
      </c>
      <c r="R2085" s="71"/>
    </row>
    <row r="2086" spans="1:41" s="61" customFormat="1" x14ac:dyDescent="0.25">
      <c r="A2086" s="358"/>
      <c r="B2086" s="361"/>
      <c r="C2086" s="366"/>
      <c r="D2086" s="284" t="s">
        <v>242</v>
      </c>
      <c r="E2086" s="156" t="s">
        <v>243</v>
      </c>
      <c r="F2086" s="156" t="s">
        <v>243</v>
      </c>
      <c r="G2086" s="238">
        <f>MROUND(H2086*L2086*I2086/K2086,0.0000000001)</f>
        <v>0.202032345</v>
      </c>
      <c r="H2086" s="158">
        <f>Лист1!G7</f>
        <v>17306</v>
      </c>
      <c r="I2086" s="159">
        <f>I2085</f>
        <v>0.16442999999999999</v>
      </c>
      <c r="J2086" s="160"/>
      <c r="K2086" s="161">
        <f>K2085</f>
        <v>169020</v>
      </c>
      <c r="L2086" s="250">
        <v>12</v>
      </c>
      <c r="M2086" s="163" t="str">
        <f>CONCATENATE(H2086," ",F2086,"*",L2086,"мес.","*",I2086,"/",K2086,"чел/час")</f>
        <v>17306 мин.*12мес.*0,16443/169020чел/час</v>
      </c>
      <c r="N2086" s="278">
        <f>Лист1!I7</f>
        <v>0.78480002118725689</v>
      </c>
      <c r="O2086" s="280">
        <f>MROUND(N2086*G2086,0.000000001)</f>
        <v>0.15855498900000001</v>
      </c>
      <c r="P2086" s="166"/>
      <c r="Q2086" s="166">
        <f t="shared" si="436"/>
        <v>26798.964240780002</v>
      </c>
      <c r="R2086" s="71"/>
    </row>
    <row r="2087" spans="1:41" s="61" customFormat="1" ht="31.5" x14ac:dyDescent="0.25">
      <c r="A2087" s="358"/>
      <c r="B2087" s="361"/>
      <c r="C2087" s="366"/>
      <c r="D2087" s="285" t="s">
        <v>244</v>
      </c>
      <c r="E2087" s="286" t="s">
        <v>245</v>
      </c>
      <c r="F2087" s="286" t="s">
        <v>247</v>
      </c>
      <c r="G2087" s="238">
        <f>MROUND(H2087*L2087*I2087/K2087,0.00000000001)</f>
        <v>5.8370609999999994E-5</v>
      </c>
      <c r="H2087" s="158">
        <f>Лист1!G8</f>
        <v>5</v>
      </c>
      <c r="I2087" s="159">
        <f>I2086</f>
        <v>0.16442999999999999</v>
      </c>
      <c r="J2087" s="160"/>
      <c r="K2087" s="161">
        <f>K2086</f>
        <v>169020</v>
      </c>
      <c r="L2087" s="250">
        <v>12</v>
      </c>
      <c r="M2087" s="163" t="str">
        <f>CONCATENATE(H2087," ",F2087,"*",L2087,"мес.","*",I2087,"/",K2087,"чел/час")</f>
        <v>5 радиоточек*12мес.*0,16443/169020чел/час</v>
      </c>
      <c r="N2087" s="278">
        <f>Лист1!I8</f>
        <v>165.68000000000004</v>
      </c>
      <c r="O2087" s="280">
        <f>MROUND(N2087*G2087,0.000001)</f>
        <v>9.670999999999999E-3</v>
      </c>
      <c r="P2087" s="166"/>
      <c r="Q2087" s="166">
        <f t="shared" si="436"/>
        <v>1634.5924199999999</v>
      </c>
      <c r="R2087" s="71"/>
    </row>
    <row r="2088" spans="1:41" s="61" customFormat="1" ht="47.25" x14ac:dyDescent="0.25">
      <c r="A2088" s="358"/>
      <c r="B2088" s="361"/>
      <c r="C2088" s="366"/>
      <c r="D2088" s="285" t="s">
        <v>374</v>
      </c>
      <c r="E2088" s="156" t="s">
        <v>28</v>
      </c>
      <c r="F2088" s="156" t="s">
        <v>28</v>
      </c>
      <c r="G2088" s="238">
        <f>MROUND(H2088*L2088*I2088/K2088,0.0000000000001)</f>
        <v>2.7239616599999999E-5</v>
      </c>
      <c r="H2088" s="158">
        <f>Лист1!G10</f>
        <v>7</v>
      </c>
      <c r="I2088" s="159">
        <f>I2086</f>
        <v>0.16442999999999999</v>
      </c>
      <c r="J2088" s="160"/>
      <c r="K2088" s="161">
        <f>K2086</f>
        <v>169020</v>
      </c>
      <c r="L2088" s="250">
        <f>Лист1!H10</f>
        <v>4</v>
      </c>
      <c r="M2088" s="163" t="str">
        <f>CONCATENATE(H2088," ",F2088,"*",L2088,"мес.","*",I2088,"/",K2088,"чел/час")</f>
        <v>7 шт*4мес.*0,16443/169020чел/час</v>
      </c>
      <c r="N2088" s="278">
        <f>Лист1!I10</f>
        <v>1256.0399999999997</v>
      </c>
      <c r="O2088" s="280">
        <f>MROUND(N2088*G2088,0.000001)</f>
        <v>3.4214000000000001E-2</v>
      </c>
      <c r="P2088" s="166"/>
      <c r="Q2088" s="166">
        <f t="shared" si="436"/>
        <v>5782.8502800000006</v>
      </c>
      <c r="R2088" s="71"/>
    </row>
    <row r="2089" spans="1:41" s="61" customFormat="1" x14ac:dyDescent="0.25">
      <c r="A2089" s="358"/>
      <c r="B2089" s="361"/>
      <c r="C2089" s="367"/>
      <c r="D2089" s="284" t="s">
        <v>246</v>
      </c>
      <c r="E2089" s="156" t="s">
        <v>28</v>
      </c>
      <c r="F2089" s="156" t="s">
        <v>28</v>
      </c>
      <c r="G2089" s="238">
        <f>MROUND(H2089*L2089*I2089/K2089,0.000000000001)</f>
        <v>5.8370606999999999E-5</v>
      </c>
      <c r="H2089" s="158">
        <v>5</v>
      </c>
      <c r="I2089" s="159">
        <f>I2087</f>
        <v>0.16442999999999999</v>
      </c>
      <c r="J2089" s="160"/>
      <c r="K2089" s="161">
        <f>K2087</f>
        <v>169020</v>
      </c>
      <c r="L2089" s="250">
        <v>12</v>
      </c>
      <c r="M2089" s="163" t="str">
        <f>CONCATENATE(H2089," ",F2089,"*",L2089,"мес.","*",I2089,"/",K2089,"чел/час")</f>
        <v>5 шт*12мес.*0,16443/169020чел/час</v>
      </c>
      <c r="N2089" s="278">
        <f>Лист1!I9</f>
        <v>2883.6603333333333</v>
      </c>
      <c r="O2089" s="280">
        <f>MROUND(N2089*G2089,0.000001)</f>
        <v>0.168321</v>
      </c>
      <c r="P2089" s="166"/>
      <c r="Q2089" s="166">
        <f t="shared" si="436"/>
        <v>28449.615419999998</v>
      </c>
      <c r="R2089" s="71"/>
    </row>
    <row r="2090" spans="1:41" s="109" customFormat="1" x14ac:dyDescent="0.25">
      <c r="A2090" s="358"/>
      <c r="B2090" s="361"/>
      <c r="C2090" s="218" t="s">
        <v>358</v>
      </c>
      <c r="D2090" s="287"/>
      <c r="E2090" s="287"/>
      <c r="F2090" s="287"/>
      <c r="G2090" s="288"/>
      <c r="H2090" s="214"/>
      <c r="I2090" s="206"/>
      <c r="J2090" s="214"/>
      <c r="K2090" s="207"/>
      <c r="L2090" s="215"/>
      <c r="M2090" s="289"/>
      <c r="N2090" s="281"/>
      <c r="O2090" s="279">
        <f>SUM(O2085:O2089)</f>
        <v>0.43580998900000001</v>
      </c>
      <c r="P2090" s="267"/>
      <c r="Q2090" s="166">
        <f t="shared" si="436"/>
        <v>0</v>
      </c>
      <c r="R2090" s="71"/>
      <c r="S2090" s="62"/>
      <c r="T2090" s="62"/>
      <c r="U2090" s="62"/>
      <c r="V2090" s="62"/>
      <c r="W2090" s="62"/>
      <c r="X2090" s="62"/>
      <c r="Y2090" s="62"/>
      <c r="Z2090" s="62"/>
      <c r="AA2090" s="62"/>
      <c r="AB2090" s="62"/>
      <c r="AC2090" s="62"/>
      <c r="AD2090" s="62"/>
      <c r="AE2090" s="62"/>
      <c r="AF2090" s="62"/>
      <c r="AG2090" s="62"/>
      <c r="AH2090" s="62"/>
      <c r="AI2090" s="62"/>
      <c r="AJ2090" s="62"/>
      <c r="AK2090" s="62"/>
      <c r="AL2090" s="62"/>
      <c r="AM2090" s="62"/>
      <c r="AN2090" s="62"/>
      <c r="AO2090" s="62"/>
    </row>
    <row r="2091" spans="1:41" s="108" customFormat="1" x14ac:dyDescent="0.25">
      <c r="A2091" s="358"/>
      <c r="B2091" s="361"/>
      <c r="C2091" s="365" t="s">
        <v>366</v>
      </c>
      <c r="D2091" s="368" t="s">
        <v>67</v>
      </c>
      <c r="E2091" s="368"/>
      <c r="F2091" s="368"/>
      <c r="G2091" s="368"/>
      <c r="H2091" s="195"/>
      <c r="I2091" s="159"/>
      <c r="J2091" s="195"/>
      <c r="K2091" s="161"/>
      <c r="L2091" s="196"/>
      <c r="M2091" s="230"/>
      <c r="N2091" s="278"/>
      <c r="O2091" s="279">
        <f>O2092</f>
        <v>5.8533999999999996E-2</v>
      </c>
      <c r="P2091" s="166"/>
      <c r="Q2091" s="166">
        <f t="shared" si="436"/>
        <v>0</v>
      </c>
      <c r="R2091" s="71"/>
      <c r="S2091" s="61"/>
      <c r="T2091" s="61"/>
      <c r="U2091" s="61"/>
      <c r="V2091" s="61"/>
      <c r="W2091" s="61"/>
      <c r="X2091" s="61"/>
      <c r="Y2091" s="61"/>
      <c r="Z2091" s="61"/>
      <c r="AA2091" s="61"/>
      <c r="AB2091" s="61"/>
      <c r="AC2091" s="61"/>
      <c r="AD2091" s="61"/>
      <c r="AE2091" s="61"/>
      <c r="AF2091" s="61"/>
      <c r="AG2091" s="61"/>
      <c r="AH2091" s="61"/>
      <c r="AI2091" s="61"/>
      <c r="AJ2091" s="61"/>
      <c r="AK2091" s="61"/>
      <c r="AL2091" s="61"/>
      <c r="AM2091" s="61"/>
      <c r="AN2091" s="61"/>
      <c r="AO2091" s="61"/>
    </row>
    <row r="2092" spans="1:41" s="61" customFormat="1" x14ac:dyDescent="0.25">
      <c r="A2092" s="358"/>
      <c r="B2092" s="361"/>
      <c r="C2092" s="367"/>
      <c r="D2092" s="194" t="s">
        <v>367</v>
      </c>
      <c r="E2092" s="194" t="s">
        <v>28</v>
      </c>
      <c r="F2092" s="194" t="s">
        <v>28</v>
      </c>
      <c r="G2092" s="217">
        <f>MROUND(H2092*L2092*I2092/K2092,0.000000000001)</f>
        <v>2.3348242999999999E-5</v>
      </c>
      <c r="H2092" s="283">
        <f>Лист1!G11</f>
        <v>2</v>
      </c>
      <c r="I2092" s="159">
        <f>I2089</f>
        <v>0.16442999999999999</v>
      </c>
      <c r="J2092" s="195"/>
      <c r="K2092" s="161">
        <f>K2089</f>
        <v>169020</v>
      </c>
      <c r="L2092" s="196">
        <v>12</v>
      </c>
      <c r="M2092" s="230"/>
      <c r="N2092" s="278">
        <f>Лист1!I11</f>
        <v>2507</v>
      </c>
      <c r="O2092" s="280">
        <f>MROUND(N2092*G2092,0.000001)</f>
        <v>5.8533999999999996E-2</v>
      </c>
      <c r="P2092" s="166"/>
      <c r="Q2092" s="166">
        <f t="shared" si="436"/>
        <v>9893.4166799999985</v>
      </c>
      <c r="R2092" s="71"/>
    </row>
    <row r="2093" spans="1:41" s="108" customFormat="1" x14ac:dyDescent="0.25">
      <c r="A2093" s="358"/>
      <c r="B2093" s="361"/>
      <c r="C2093" s="221"/>
      <c r="D2093" s="350" t="s">
        <v>68</v>
      </c>
      <c r="E2093" s="350"/>
      <c r="F2093" s="350"/>
      <c r="G2093" s="350"/>
      <c r="H2093" s="195"/>
      <c r="I2093" s="159"/>
      <c r="J2093" s="195"/>
      <c r="K2093" s="161"/>
      <c r="L2093" s="196"/>
      <c r="M2093" s="230"/>
      <c r="N2093" s="278"/>
      <c r="O2093" s="280"/>
      <c r="P2093" s="166"/>
      <c r="Q2093" s="166">
        <f t="shared" si="436"/>
        <v>0</v>
      </c>
      <c r="R2093" s="71"/>
      <c r="S2093" s="61"/>
      <c r="T2093" s="61"/>
      <c r="U2093" s="61"/>
      <c r="V2093" s="61"/>
      <c r="W2093" s="61"/>
      <c r="X2093" s="61"/>
      <c r="Y2093" s="61"/>
      <c r="Z2093" s="61"/>
      <c r="AA2093" s="61"/>
      <c r="AB2093" s="61"/>
      <c r="AC2093" s="61"/>
      <c r="AD2093" s="61"/>
      <c r="AE2093" s="61"/>
      <c r="AF2093" s="61"/>
      <c r="AG2093" s="61"/>
      <c r="AH2093" s="61"/>
      <c r="AI2093" s="61"/>
      <c r="AJ2093" s="61"/>
      <c r="AK2093" s="61"/>
      <c r="AL2093" s="61"/>
      <c r="AM2093" s="61"/>
      <c r="AN2093" s="61"/>
      <c r="AO2093" s="61"/>
    </row>
    <row r="2094" spans="1:41" s="108" customFormat="1" x14ac:dyDescent="0.25">
      <c r="A2094" s="358"/>
      <c r="B2094" s="361"/>
      <c r="C2094" s="221"/>
      <c r="D2094" s="156"/>
      <c r="E2094" s="156"/>
      <c r="F2094" s="156"/>
      <c r="G2094" s="236"/>
      <c r="H2094" s="195"/>
      <c r="I2094" s="159"/>
      <c r="J2094" s="195"/>
      <c r="K2094" s="161"/>
      <c r="L2094" s="196"/>
      <c r="M2094" s="230"/>
      <c r="N2094" s="278"/>
      <c r="O2094" s="280"/>
      <c r="P2094" s="166"/>
      <c r="Q2094" s="166">
        <f t="shared" si="436"/>
        <v>0</v>
      </c>
      <c r="R2094" s="71"/>
      <c r="S2094" s="61"/>
      <c r="T2094" s="61"/>
      <c r="U2094" s="61"/>
      <c r="V2094" s="61"/>
      <c r="W2094" s="61"/>
      <c r="X2094" s="61"/>
      <c r="Y2094" s="61"/>
      <c r="Z2094" s="61"/>
      <c r="AA2094" s="61"/>
      <c r="AB2094" s="61"/>
      <c r="AC2094" s="61"/>
      <c r="AD2094" s="61"/>
      <c r="AE2094" s="61"/>
      <c r="AF2094" s="61"/>
      <c r="AG2094" s="61"/>
      <c r="AH2094" s="61"/>
      <c r="AI2094" s="61"/>
      <c r="AJ2094" s="61"/>
      <c r="AK2094" s="61"/>
      <c r="AL2094" s="61"/>
      <c r="AM2094" s="61"/>
      <c r="AN2094" s="61"/>
      <c r="AO2094" s="61"/>
    </row>
    <row r="2095" spans="1:41" s="108" customFormat="1" x14ac:dyDescent="0.25">
      <c r="A2095" s="358"/>
      <c r="B2095" s="361"/>
      <c r="C2095" s="221"/>
      <c r="D2095" s="368" t="s">
        <v>69</v>
      </c>
      <c r="E2095" s="368"/>
      <c r="F2095" s="368"/>
      <c r="G2095" s="368"/>
      <c r="H2095" s="187"/>
      <c r="I2095" s="159"/>
      <c r="J2095" s="187"/>
      <c r="K2095" s="161"/>
      <c r="L2095" s="276"/>
      <c r="M2095" s="230"/>
      <c r="N2095" s="278"/>
      <c r="O2095" s="279">
        <f>O2102+O2118+O2121+O2134+O2135+O2136+O2147+O2149+O2153+O2150</f>
        <v>12.097342209600001</v>
      </c>
      <c r="P2095" s="166"/>
      <c r="Q2095" s="166">
        <f t="shared" si="436"/>
        <v>0</v>
      </c>
      <c r="R2095" s="71"/>
      <c r="S2095" s="61"/>
      <c r="T2095" s="61"/>
      <c r="U2095" s="61"/>
      <c r="V2095" s="61"/>
      <c r="W2095" s="61"/>
      <c r="X2095" s="61"/>
      <c r="Y2095" s="61"/>
      <c r="Z2095" s="61"/>
      <c r="AA2095" s="61"/>
      <c r="AB2095" s="61"/>
      <c r="AC2095" s="61"/>
      <c r="AD2095" s="61"/>
      <c r="AE2095" s="61"/>
      <c r="AF2095" s="61"/>
      <c r="AG2095" s="61"/>
      <c r="AH2095" s="61"/>
      <c r="AI2095" s="61"/>
      <c r="AJ2095" s="61"/>
      <c r="AK2095" s="61"/>
      <c r="AL2095" s="61"/>
      <c r="AM2095" s="61"/>
      <c r="AN2095" s="61"/>
      <c r="AO2095" s="61"/>
    </row>
    <row r="2096" spans="1:41" s="61" customFormat="1" ht="31.5" x14ac:dyDescent="0.25">
      <c r="A2096" s="358"/>
      <c r="B2096" s="361"/>
      <c r="C2096" s="365" t="s">
        <v>78</v>
      </c>
      <c r="D2096" s="156" t="s">
        <v>26</v>
      </c>
      <c r="E2096" s="156" t="s">
        <v>22</v>
      </c>
      <c r="F2096" s="156" t="s">
        <v>22</v>
      </c>
      <c r="G2096" s="238">
        <f>MROUND(H2096*L2096*I2096/K2096,0.0000000001)</f>
        <v>5.7906677400000002E-2</v>
      </c>
      <c r="H2096" s="158">
        <f>Лист1!G27</f>
        <v>4960.26</v>
      </c>
      <c r="I2096" s="159">
        <f>I2092</f>
        <v>0.16442999999999999</v>
      </c>
      <c r="J2096" s="160"/>
      <c r="K2096" s="161">
        <f>K2092</f>
        <v>169020</v>
      </c>
      <c r="L2096" s="250">
        <v>12</v>
      </c>
      <c r="M2096" s="163" t="str">
        <f>CONCATENATE(H2096," ",F2096,"(обрабатываемая площадь в мес.)","*",L2096,"мес.","*",I2096,"/",K2096,"чел/час")</f>
        <v>4960,26 м2(обрабатываемая площадь в мес.)*12мес.*0,16443/169020чел/час</v>
      </c>
      <c r="N2096" s="278">
        <f>Лист1!I27</f>
        <v>1.1553999521530458</v>
      </c>
      <c r="O2096" s="280">
        <f t="shared" ref="O2096:O2152" si="440">MROUND(N2096*G2096,0.000001)</f>
        <v>6.6904999999999992E-2</v>
      </c>
      <c r="P2096" s="166"/>
      <c r="Q2096" s="166">
        <f t="shared" si="436"/>
        <v>11308.283099999999</v>
      </c>
      <c r="R2096" s="71"/>
      <c r="S2096" s="71"/>
    </row>
    <row r="2097" spans="1:41" s="61" customFormat="1" ht="31.5" x14ac:dyDescent="0.25">
      <c r="A2097" s="358"/>
      <c r="B2097" s="361"/>
      <c r="C2097" s="366"/>
      <c r="D2097" s="156" t="s">
        <v>96</v>
      </c>
      <c r="E2097" s="156" t="s">
        <v>22</v>
      </c>
      <c r="F2097" s="156" t="s">
        <v>22</v>
      </c>
      <c r="G2097" s="238">
        <f>MROUND(H2097*L2097*I2097/K2097,0.000000000001)</f>
        <v>3.2071846772999998E-2</v>
      </c>
      <c r="H2097" s="158">
        <f>Лист1!G28</f>
        <v>2747.26</v>
      </c>
      <c r="I2097" s="159">
        <f>I2096</f>
        <v>0.16442999999999999</v>
      </c>
      <c r="J2097" s="160"/>
      <c r="K2097" s="161">
        <f>K2096</f>
        <v>169020</v>
      </c>
      <c r="L2097" s="250">
        <v>12</v>
      </c>
      <c r="M2097" s="163" t="str">
        <f>CONCATENATE(H2097," ",F2097,"(обрабатываемая площадь в мес.)","*",L2097,"мес.","*",I2097,"/",K2097,"чел/час")</f>
        <v>2747,26 м2(обрабатываемая площадь в мес.)*12мес.*0,16443/169020чел/час</v>
      </c>
      <c r="N2097" s="278">
        <f>Лист1!I28</f>
        <v>1.6108668273115756</v>
      </c>
      <c r="O2097" s="280">
        <f t="shared" si="440"/>
        <v>5.1663000000000001E-2</v>
      </c>
      <c r="P2097" s="166"/>
      <c r="Q2097" s="166">
        <f t="shared" si="436"/>
        <v>8732.0802600000006</v>
      </c>
      <c r="R2097" s="71"/>
      <c r="S2097" s="71"/>
    </row>
    <row r="2098" spans="1:41" s="135" customFormat="1" ht="31.5" x14ac:dyDescent="0.25">
      <c r="A2098" s="358"/>
      <c r="B2098" s="361"/>
      <c r="C2098" s="366"/>
      <c r="D2098" s="156" t="s">
        <v>385</v>
      </c>
      <c r="E2098" s="156" t="s">
        <v>22</v>
      </c>
      <c r="F2098" s="156" t="s">
        <v>22</v>
      </c>
      <c r="G2098" s="238">
        <f>MROUND(H2098*L2098*I2098/K2098,0.0000000001)</f>
        <v>6.4143693500000001E-2</v>
      </c>
      <c r="H2098" s="242">
        <f>Лист1!G29</f>
        <v>2747.26</v>
      </c>
      <c r="I2098" s="159">
        <f>I2097</f>
        <v>0.16442999999999999</v>
      </c>
      <c r="J2098" s="160"/>
      <c r="K2098" s="161">
        <f>K2097</f>
        <v>169020</v>
      </c>
      <c r="L2098" s="162">
        <v>24</v>
      </c>
      <c r="M2098" s="163" t="str">
        <f>CONCATENATE(H2098," ",F2098,"(обрабатываемая площадь в год)","*",L2098," раза в год.","*",I2098,"/",K2098,"чел.")</f>
        <v>2747,26 м2(обрабатываемая площадь в год)*24 раза в год.*0,16443/169020чел.</v>
      </c>
      <c r="N2098" s="164">
        <f>Лист1!I29</f>
        <v>1.7779423862321002</v>
      </c>
      <c r="O2098" s="165">
        <f>MROUND(G2098*N2098,0.000001)</f>
        <v>0.11404399999999999</v>
      </c>
      <c r="P2098" s="166"/>
      <c r="Q2098" s="166">
        <f t="shared" si="436"/>
        <v>19275.71688</v>
      </c>
      <c r="R2098" s="71"/>
      <c r="S2098" s="61"/>
      <c r="T2098" s="61"/>
      <c r="U2098" s="61"/>
      <c r="V2098" s="61"/>
      <c r="W2098" s="61"/>
      <c r="X2098" s="61"/>
      <c r="Y2098" s="61"/>
      <c r="Z2098" s="61"/>
      <c r="AA2098" s="61"/>
      <c r="AB2098" s="61"/>
      <c r="AC2098" s="61"/>
      <c r="AD2098" s="61"/>
      <c r="AE2098" s="61"/>
      <c r="AF2098" s="61"/>
      <c r="AG2098" s="61"/>
      <c r="AH2098" s="61"/>
      <c r="AI2098" s="61"/>
      <c r="AJ2098" s="61"/>
      <c r="AK2098" s="61"/>
      <c r="AL2098" s="61"/>
      <c r="AM2098" s="61"/>
      <c r="AN2098" s="61"/>
      <c r="AO2098" s="61"/>
    </row>
    <row r="2099" spans="1:41" s="135" customFormat="1" ht="31.5" x14ac:dyDescent="0.25">
      <c r="A2099" s="358"/>
      <c r="B2099" s="361"/>
      <c r="C2099" s="366"/>
      <c r="D2099" s="156" t="s">
        <v>394</v>
      </c>
      <c r="E2099" s="156" t="s">
        <v>22</v>
      </c>
      <c r="F2099" s="156" t="s">
        <v>22</v>
      </c>
      <c r="G2099" s="238">
        <f>MROUND(H2099*L2099*I2099/K2099,0.0000000001)</f>
        <v>5.7906677400000002E-2</v>
      </c>
      <c r="H2099" s="243">
        <f>Лист1!G30</f>
        <v>4960.26</v>
      </c>
      <c r="I2099" s="159">
        <f>I2098</f>
        <v>0.16442999999999999</v>
      </c>
      <c r="J2099" s="160"/>
      <c r="K2099" s="161">
        <f>K2098</f>
        <v>169020</v>
      </c>
      <c r="L2099" s="162">
        <v>12</v>
      </c>
      <c r="M2099" s="163" t="str">
        <f>CONCATENATE(H2099," ",F2099,"(обрабатываемая площадь в мес.)","*",L2099,"мес.","*",I2099,"/",K2099,"чел.")</f>
        <v>4960,26 м2(обрабатываемая площадь в мес.)*12мес.*0,16443/169020чел.</v>
      </c>
      <c r="N2099" s="164">
        <f>Лист1!I30</f>
        <v>0.54499999327992221</v>
      </c>
      <c r="O2099" s="165">
        <f>MROUND(G2099*N2099,0.000001)</f>
        <v>3.1558999999999997E-2</v>
      </c>
      <c r="P2099" s="166"/>
      <c r="Q2099" s="166">
        <f t="shared" si="436"/>
        <v>5334.1021799999999</v>
      </c>
      <c r="R2099" s="71"/>
      <c r="S2099" s="61"/>
      <c r="T2099" s="61"/>
      <c r="U2099" s="61"/>
      <c r="V2099" s="61"/>
      <c r="W2099" s="61"/>
      <c r="X2099" s="61"/>
      <c r="Y2099" s="61"/>
      <c r="Z2099" s="61"/>
      <c r="AA2099" s="61"/>
      <c r="AB2099" s="61"/>
      <c r="AC2099" s="61"/>
      <c r="AD2099" s="61"/>
      <c r="AE2099" s="61"/>
      <c r="AF2099" s="61"/>
      <c r="AG2099" s="61"/>
      <c r="AH2099" s="61"/>
      <c r="AI2099" s="61"/>
      <c r="AJ2099" s="61"/>
      <c r="AK2099" s="61"/>
      <c r="AL2099" s="61"/>
      <c r="AM2099" s="61"/>
      <c r="AN2099" s="61"/>
      <c r="AO2099" s="61"/>
    </row>
    <row r="2100" spans="1:41" s="135" customFormat="1" ht="31.5" x14ac:dyDescent="0.25">
      <c r="A2100" s="358"/>
      <c r="B2100" s="361"/>
      <c r="C2100" s="366"/>
      <c r="D2100" s="156" t="s">
        <v>395</v>
      </c>
      <c r="E2100" s="156" t="s">
        <v>98</v>
      </c>
      <c r="F2100" s="156" t="s">
        <v>98</v>
      </c>
      <c r="G2100" s="238">
        <f>MROUND(H2100*L2100*I2100/K2100,0.000000000001)</f>
        <v>1.828946E-6</v>
      </c>
      <c r="H2100" s="242">
        <f>Лист1!G32</f>
        <v>1.8800000000000001</v>
      </c>
      <c r="I2100" s="159">
        <f>I2099</f>
        <v>0.16442999999999999</v>
      </c>
      <c r="J2100" s="160"/>
      <c r="K2100" s="161">
        <f>K2099</f>
        <v>169020</v>
      </c>
      <c r="L2100" s="162">
        <v>1</v>
      </c>
      <c r="M2100" s="163" t="str">
        <f>CONCATENATE(H2100," ",F2100,"(обрабатываемая площадь в год)","*",L2100," раз в год","*",I2100,"/",K2100,"чел.")</f>
        <v>1,88 Га(обрабатываемая площадь в год)*1 раз в год*0,16443/169020чел.</v>
      </c>
      <c r="N2100" s="164">
        <f>Лист1!I32</f>
        <v>544.99999999999989</v>
      </c>
      <c r="O2100" s="165">
        <f>MROUND(G2100*N2100,0.000001)</f>
        <v>9.9700000000000006E-4</v>
      </c>
      <c r="P2100" s="166"/>
      <c r="Q2100" s="166">
        <f t="shared" si="436"/>
        <v>168.51294000000001</v>
      </c>
      <c r="R2100" s="71"/>
      <c r="S2100" s="61"/>
      <c r="T2100" s="61"/>
      <c r="U2100" s="61"/>
      <c r="V2100" s="61"/>
      <c r="W2100" s="61"/>
      <c r="X2100" s="61"/>
      <c r="Y2100" s="61"/>
      <c r="Z2100" s="61"/>
      <c r="AA2100" s="61"/>
      <c r="AB2100" s="61"/>
      <c r="AC2100" s="61"/>
      <c r="AD2100" s="61"/>
      <c r="AE2100" s="61"/>
      <c r="AF2100" s="61"/>
      <c r="AG2100" s="61"/>
      <c r="AH2100" s="61"/>
      <c r="AI2100" s="61"/>
      <c r="AJ2100" s="61"/>
      <c r="AK2100" s="61"/>
      <c r="AL2100" s="61"/>
      <c r="AM2100" s="61"/>
      <c r="AN2100" s="61"/>
      <c r="AO2100" s="61"/>
    </row>
    <row r="2101" spans="1:41" s="61" customFormat="1" ht="31.5" x14ac:dyDescent="0.25">
      <c r="A2101" s="358"/>
      <c r="B2101" s="361"/>
      <c r="C2101" s="367"/>
      <c r="D2101" s="156" t="s">
        <v>97</v>
      </c>
      <c r="E2101" s="156" t="s">
        <v>363</v>
      </c>
      <c r="F2101" s="156" t="s">
        <v>363</v>
      </c>
      <c r="G2101" s="238">
        <f>MROUND(H2101*L2101*I2101/K2101,0.0000000000001)</f>
        <v>1.8289457000000002E-6</v>
      </c>
      <c r="H2101" s="158">
        <f>Лист1!G31</f>
        <v>1.8800000000000001</v>
      </c>
      <c r="I2101" s="159">
        <f>I2097</f>
        <v>0.16442999999999999</v>
      </c>
      <c r="J2101" s="160"/>
      <c r="K2101" s="161">
        <f>K2097</f>
        <v>169020</v>
      </c>
      <c r="L2101" s="250">
        <v>1</v>
      </c>
      <c r="M2101" s="163" t="str">
        <f>CONCATENATE(H2101," ",F2101,"(обрабатываемая площадь в мес.)","*",L2101,"мес.","*",I2101,"/",K2101,"чел/час")</f>
        <v>1,88 га(обрабатываемая площадь в мес.)*1мес.*0,16443/169020чел/час</v>
      </c>
      <c r="N2101" s="278">
        <f>Лист1!I31</f>
        <v>2965.9734042553187</v>
      </c>
      <c r="O2101" s="280">
        <f>MROUND(N2101*G2101,0.000001)</f>
        <v>5.4250000000000001E-3</v>
      </c>
      <c r="P2101" s="166"/>
      <c r="Q2101" s="166">
        <f t="shared" si="436"/>
        <v>916.93349999999998</v>
      </c>
      <c r="R2101" s="71"/>
      <c r="S2101" s="71"/>
    </row>
    <row r="2102" spans="1:41" s="109" customFormat="1" x14ac:dyDescent="0.25">
      <c r="A2102" s="358"/>
      <c r="B2102" s="361"/>
      <c r="C2102" s="218" t="s">
        <v>327</v>
      </c>
      <c r="D2102" s="240"/>
      <c r="E2102" s="240"/>
      <c r="F2102" s="240"/>
      <c r="G2102" s="227"/>
      <c r="H2102" s="241"/>
      <c r="I2102" s="206"/>
      <c r="J2102" s="228"/>
      <c r="K2102" s="207"/>
      <c r="L2102" s="257"/>
      <c r="M2102" s="209"/>
      <c r="N2102" s="281"/>
      <c r="O2102" s="279">
        <f>SUM(O2096:O2101)</f>
        <v>0.27059300000000003</v>
      </c>
      <c r="P2102" s="267"/>
      <c r="Q2102" s="166"/>
      <c r="R2102" s="71"/>
      <c r="S2102" s="62"/>
      <c r="T2102" s="62"/>
      <c r="U2102" s="62"/>
      <c r="V2102" s="62"/>
      <c r="W2102" s="62"/>
      <c r="X2102" s="62"/>
      <c r="Y2102" s="62"/>
      <c r="Z2102" s="62"/>
      <c r="AA2102" s="62"/>
      <c r="AB2102" s="62"/>
      <c r="AC2102" s="62"/>
      <c r="AD2102" s="62"/>
      <c r="AE2102" s="62"/>
      <c r="AF2102" s="62"/>
      <c r="AG2102" s="62"/>
      <c r="AH2102" s="62"/>
      <c r="AI2102" s="62"/>
      <c r="AJ2102" s="62"/>
      <c r="AK2102" s="62"/>
      <c r="AL2102" s="62"/>
      <c r="AM2102" s="62"/>
      <c r="AN2102" s="62"/>
      <c r="AO2102" s="62"/>
    </row>
    <row r="2103" spans="1:41" s="61" customFormat="1" x14ac:dyDescent="0.25">
      <c r="A2103" s="358"/>
      <c r="B2103" s="361"/>
      <c r="C2103" s="366" t="s">
        <v>77</v>
      </c>
      <c r="D2103" s="156" t="s">
        <v>397</v>
      </c>
      <c r="E2103" s="156" t="s">
        <v>433</v>
      </c>
      <c r="F2103" s="156" t="s">
        <v>433</v>
      </c>
      <c r="G2103" s="238">
        <f>MROUND(H2103*L2103*I2103/K2103,0.000000000001)</f>
        <v>0</v>
      </c>
      <c r="H2103" s="158"/>
      <c r="I2103" s="159">
        <f>I2097</f>
        <v>0.16442999999999999</v>
      </c>
      <c r="J2103" s="160"/>
      <c r="K2103" s="161">
        <f>K2097</f>
        <v>169020</v>
      </c>
      <c r="L2103" s="162">
        <v>1</v>
      </c>
      <c r="M2103" s="163"/>
      <c r="N2103" s="278"/>
      <c r="O2103" s="280">
        <f t="shared" si="440"/>
        <v>0</v>
      </c>
      <c r="P2103" s="166"/>
      <c r="Q2103" s="166">
        <f t="shared" si="436"/>
        <v>0</v>
      </c>
      <c r="R2103" s="71"/>
      <c r="T2103" s="71"/>
    </row>
    <row r="2104" spans="1:41" s="61" customFormat="1" ht="63" x14ac:dyDescent="0.25">
      <c r="A2104" s="358"/>
      <c r="B2104" s="361"/>
      <c r="C2104" s="366"/>
      <c r="D2104" s="156" t="s">
        <v>249</v>
      </c>
      <c r="E2104" s="156" t="s">
        <v>22</v>
      </c>
      <c r="F2104" s="156" t="s">
        <v>22</v>
      </c>
      <c r="G2104" s="238">
        <f>MROUND(H2104*L2104*I2104/K2104,0.0000000000001)</f>
        <v>8.0643663258999996E-3</v>
      </c>
      <c r="H2104" s="158">
        <f>Лист1!G33</f>
        <v>690.79</v>
      </c>
      <c r="I2104" s="159">
        <f>I2103</f>
        <v>0.16442999999999999</v>
      </c>
      <c r="J2104" s="160"/>
      <c r="K2104" s="161">
        <f>K2103</f>
        <v>169020</v>
      </c>
      <c r="L2104" s="250">
        <v>12</v>
      </c>
      <c r="M2104" s="163" t="str">
        <f>CONCATENATE(H2104," ",F2104,"*",L2104,"мес.","*",I2104,"/",K2104,"чел/час")</f>
        <v>690,79 м2*12мес.*0,16443/169020чел/час</v>
      </c>
      <c r="N2104" s="278">
        <f>Лист1!I33</f>
        <v>30.306671829837342</v>
      </c>
      <c r="O2104" s="280">
        <f>MROUND(N2104*G2104,0.000001)</f>
        <v>0.24440399999999998</v>
      </c>
      <c r="P2104" s="166"/>
      <c r="Q2104" s="166">
        <f t="shared" si="436"/>
        <v>41309.164079999995</v>
      </c>
      <c r="R2104" s="71"/>
    </row>
    <row r="2105" spans="1:41" s="136" customFormat="1" x14ac:dyDescent="0.25">
      <c r="A2105" s="358"/>
      <c r="B2105" s="361"/>
      <c r="C2105" s="366"/>
      <c r="D2105" s="194" t="s">
        <v>398</v>
      </c>
      <c r="E2105" s="156" t="s">
        <v>60</v>
      </c>
      <c r="F2105" s="156" t="s">
        <v>60</v>
      </c>
      <c r="G2105" s="238">
        <f>MROUND(H2105*L2105*I2105/K2105,0.0000000000001)</f>
        <v>4.8642173000000004E-6</v>
      </c>
      <c r="H2105" s="158">
        <f>Лист1!G40</f>
        <v>5</v>
      </c>
      <c r="I2105" s="159">
        <f>I2104</f>
        <v>0.16442999999999999</v>
      </c>
      <c r="J2105" s="160"/>
      <c r="K2105" s="161">
        <f>K2104</f>
        <v>169020</v>
      </c>
      <c r="L2105" s="250">
        <v>1</v>
      </c>
      <c r="M2105" s="163" t="str">
        <f>CONCATENATE(H2105," ",F2105,"*",I2105,"/",K2105,"чел/час")</f>
        <v>5 шт.*0,16443/169020чел/час</v>
      </c>
      <c r="N2105" s="278">
        <f>Лист1!I40</f>
        <v>11009</v>
      </c>
      <c r="O2105" s="280">
        <f>MROUND(N2105*G2105,0.000001)</f>
        <v>5.355E-2</v>
      </c>
      <c r="P2105" s="166"/>
      <c r="Q2105" s="166">
        <f t="shared" si="436"/>
        <v>9051.0210000000006</v>
      </c>
      <c r="R2105" s="71"/>
      <c r="S2105" s="61"/>
      <c r="T2105" s="61"/>
      <c r="U2105" s="61"/>
      <c r="V2105" s="61"/>
      <c r="W2105" s="61"/>
      <c r="X2105" s="61"/>
      <c r="Y2105" s="61"/>
      <c r="Z2105" s="61"/>
      <c r="AA2105" s="61"/>
      <c r="AB2105" s="61"/>
      <c r="AC2105" s="61"/>
      <c r="AD2105" s="61"/>
      <c r="AE2105" s="61"/>
      <c r="AF2105" s="61"/>
      <c r="AG2105" s="61"/>
      <c r="AH2105" s="61"/>
      <c r="AI2105" s="61"/>
      <c r="AJ2105" s="61"/>
      <c r="AK2105" s="61"/>
      <c r="AL2105" s="61"/>
      <c r="AM2105" s="61"/>
      <c r="AN2105" s="61"/>
      <c r="AO2105" s="61"/>
    </row>
    <row r="2106" spans="1:41" s="136" customFormat="1" ht="63" x14ac:dyDescent="0.25">
      <c r="A2106" s="358"/>
      <c r="B2106" s="361"/>
      <c r="C2106" s="366"/>
      <c r="D2106" s="156" t="s">
        <v>33</v>
      </c>
      <c r="E2106" s="156" t="s">
        <v>56</v>
      </c>
      <c r="F2106" s="156" t="s">
        <v>220</v>
      </c>
      <c r="G2106" s="238">
        <f>MROUND(H2106*L2106*I2106/K2106,0.000000000001)</f>
        <v>4.8642169999999998E-6</v>
      </c>
      <c r="H2106" s="158">
        <f>Лист1!G39</f>
        <v>5</v>
      </c>
      <c r="I2106" s="159">
        <f>I2105</f>
        <v>0.16442999999999999</v>
      </c>
      <c r="J2106" s="160"/>
      <c r="K2106" s="161">
        <f>K2105</f>
        <v>169020</v>
      </c>
      <c r="L2106" s="250">
        <v>1</v>
      </c>
      <c r="M2106" s="163" t="str">
        <f>CONCATENATE(H2106," ",F2106,"*",L2106," раз в год","*",I2106,"/",K2106,"чел.")</f>
        <v>5 дымоходов*1 раз в год*0,16443/169020чел.</v>
      </c>
      <c r="N2106" s="278">
        <f>Лист1!I39</f>
        <v>6540</v>
      </c>
      <c r="O2106" s="280">
        <f>MROUND(N2106*G2106,0.000001)</f>
        <v>3.1812E-2</v>
      </c>
      <c r="P2106" s="166"/>
      <c r="Q2106" s="166">
        <f t="shared" si="436"/>
        <v>5376.8642399999999</v>
      </c>
      <c r="R2106" s="71"/>
      <c r="S2106" s="61"/>
      <c r="T2106" s="61"/>
      <c r="U2106" s="61"/>
      <c r="V2106" s="61"/>
      <c r="W2106" s="61"/>
      <c r="X2106" s="61"/>
      <c r="Y2106" s="61"/>
      <c r="Z2106" s="61"/>
      <c r="AA2106" s="61"/>
      <c r="AB2106" s="61"/>
      <c r="AC2106" s="61"/>
      <c r="AD2106" s="61"/>
      <c r="AE2106" s="61"/>
      <c r="AF2106" s="61"/>
      <c r="AG2106" s="61"/>
      <c r="AH2106" s="61"/>
      <c r="AI2106" s="61"/>
      <c r="AJ2106" s="61"/>
      <c r="AK2106" s="61"/>
      <c r="AL2106" s="61"/>
      <c r="AM2106" s="61"/>
      <c r="AN2106" s="61"/>
      <c r="AO2106" s="61"/>
    </row>
    <row r="2107" spans="1:41" s="61" customFormat="1" ht="78.75" x14ac:dyDescent="0.25">
      <c r="A2107" s="358"/>
      <c r="B2107" s="361"/>
      <c r="C2107" s="366"/>
      <c r="D2107" s="156" t="s">
        <v>250</v>
      </c>
      <c r="E2107" s="156" t="s">
        <v>251</v>
      </c>
      <c r="F2107" s="156" t="s">
        <v>60</v>
      </c>
      <c r="G2107" s="238">
        <f>MROUND(H2107*L2107*I2107/K2107,0.00000000000001)</f>
        <v>4.8642172499999996E-6</v>
      </c>
      <c r="H2107" s="158">
        <f>Лист1!G51</f>
        <v>5</v>
      </c>
      <c r="I2107" s="159">
        <f>I2104</f>
        <v>0.16442999999999999</v>
      </c>
      <c r="J2107" s="160"/>
      <c r="K2107" s="161">
        <f>K2104</f>
        <v>169020</v>
      </c>
      <c r="L2107" s="250">
        <v>1</v>
      </c>
      <c r="M2107" s="163" t="str">
        <f>CONCATENATE(H2107," ",F2107,"*",I2107,"/",K2107,"чел/час")</f>
        <v>5 шт.*0,16443/169020чел/час</v>
      </c>
      <c r="N2107" s="278">
        <f>Лист1!I51</f>
        <v>52320</v>
      </c>
      <c r="O2107" s="280">
        <f t="shared" si="440"/>
        <v>0.254496</v>
      </c>
      <c r="P2107" s="166"/>
      <c r="Q2107" s="166">
        <f t="shared" si="436"/>
        <v>43014.913919999999</v>
      </c>
      <c r="R2107" s="71"/>
    </row>
    <row r="2108" spans="1:41" s="61" customFormat="1" ht="47.25" x14ac:dyDescent="0.25">
      <c r="A2108" s="358"/>
      <c r="B2108" s="361"/>
      <c r="C2108" s="366"/>
      <c r="D2108" s="156" t="s">
        <v>401</v>
      </c>
      <c r="E2108" s="156" t="s">
        <v>60</v>
      </c>
      <c r="F2108" s="156" t="s">
        <v>402</v>
      </c>
      <c r="G2108" s="238">
        <f>MROUND(H2108*L2108*I2108/K2108,0.000000000001)</f>
        <v>9.7284350000000006E-6</v>
      </c>
      <c r="H2108" s="158">
        <f>Лист1!G41</f>
        <v>5</v>
      </c>
      <c r="I2108" s="159">
        <f>I2107</f>
        <v>0.16442999999999999</v>
      </c>
      <c r="J2108" s="160"/>
      <c r="K2108" s="161">
        <f>K2107</f>
        <v>169020</v>
      </c>
      <c r="L2108" s="250">
        <v>2</v>
      </c>
      <c r="M2108" s="163" t="str">
        <f>CONCATENATE(H2108," ",F2108,"*",I2108,"/",K2108,"чел/час")</f>
        <v>5 противопожарных водопроводов*0,16443/169020чел/час</v>
      </c>
      <c r="N2108" s="278">
        <f>Лист1!I41</f>
        <v>5450</v>
      </c>
      <c r="O2108" s="280">
        <f t="shared" si="440"/>
        <v>5.3019999999999998E-2</v>
      </c>
      <c r="P2108" s="166"/>
      <c r="Q2108" s="166">
        <f t="shared" si="436"/>
        <v>8961.4403999999995</v>
      </c>
      <c r="R2108" s="71"/>
      <c r="T2108" s="71"/>
    </row>
    <row r="2109" spans="1:41" s="61" customFormat="1" ht="47.25" x14ac:dyDescent="0.25">
      <c r="A2109" s="358"/>
      <c r="B2109" s="361"/>
      <c r="C2109" s="366"/>
      <c r="D2109" s="156" t="s">
        <v>34</v>
      </c>
      <c r="E2109" s="156" t="s">
        <v>59</v>
      </c>
      <c r="F2109" s="156" t="s">
        <v>28</v>
      </c>
      <c r="G2109" s="238">
        <f>MROUND(H2109*L2109*I2109/K2109,0.0000000000001)</f>
        <v>1.9456869000000002E-6</v>
      </c>
      <c r="H2109" s="158">
        <f>Лист1!G43</f>
        <v>2</v>
      </c>
      <c r="I2109" s="159">
        <f>I2108</f>
        <v>0.16442999999999999</v>
      </c>
      <c r="J2109" s="160"/>
      <c r="K2109" s="161">
        <f>K2108</f>
        <v>169020</v>
      </c>
      <c r="L2109" s="250">
        <v>1</v>
      </c>
      <c r="M2109" s="163" t="str">
        <f>CONCATENATE(H2109," ",F2109,"*",I2109,"/",K2109,"чел/час")</f>
        <v>2 шт*0,16443/169020чел/час</v>
      </c>
      <c r="N2109" s="278">
        <f>Лист1!I43</f>
        <v>7500</v>
      </c>
      <c r="O2109" s="280">
        <f t="shared" si="440"/>
        <v>1.4593E-2</v>
      </c>
      <c r="P2109" s="166"/>
      <c r="Q2109" s="166">
        <f t="shared" si="436"/>
        <v>2466.5088599999999</v>
      </c>
      <c r="R2109" s="71"/>
      <c r="T2109" s="71"/>
    </row>
    <row r="2110" spans="1:41" s="61" customFormat="1" ht="47.25" x14ac:dyDescent="0.25">
      <c r="A2110" s="358"/>
      <c r="B2110" s="361"/>
      <c r="C2110" s="366"/>
      <c r="D2110" s="156" t="s">
        <v>222</v>
      </c>
      <c r="E2110" s="156" t="s">
        <v>60</v>
      </c>
      <c r="F2110" s="156" t="s">
        <v>60</v>
      </c>
      <c r="G2110" s="238">
        <f>MROUND(H2110*L2110*I2110/K2110,0.0000000000001)</f>
        <v>1.9456869000000002E-6</v>
      </c>
      <c r="H2110" s="158">
        <f>Лист1!G44</f>
        <v>2</v>
      </c>
      <c r="I2110" s="159">
        <f>I2109</f>
        <v>0.16442999999999999</v>
      </c>
      <c r="J2110" s="160"/>
      <c r="K2110" s="161">
        <f>K2109</f>
        <v>169020</v>
      </c>
      <c r="L2110" s="250">
        <v>1</v>
      </c>
      <c r="M2110" s="163" t="str">
        <f>CONCATENATE(H2110," ",F2110,"*",I2110,"/",K2110,"чел/час")</f>
        <v>2 шт.*0,16443/169020чел/час</v>
      </c>
      <c r="N2110" s="278">
        <f>Лист1!I44</f>
        <v>13000</v>
      </c>
      <c r="O2110" s="280">
        <f t="shared" si="440"/>
        <v>2.5294000000000001E-2</v>
      </c>
      <c r="P2110" s="166"/>
      <c r="Q2110" s="166">
        <f t="shared" si="436"/>
        <v>4275.1918800000003</v>
      </c>
      <c r="R2110" s="71"/>
      <c r="T2110" s="71"/>
    </row>
    <row r="2111" spans="1:41" s="61" customFormat="1" ht="31.5" x14ac:dyDescent="0.25">
      <c r="A2111" s="358"/>
      <c r="B2111" s="361"/>
      <c r="C2111" s="366"/>
      <c r="D2111" s="156" t="s">
        <v>35</v>
      </c>
      <c r="E2111" s="156" t="s">
        <v>102</v>
      </c>
      <c r="F2111" s="156" t="s">
        <v>252</v>
      </c>
      <c r="G2111" s="238">
        <f>MROUND(H2111*L2111*I2111/K2111,0.00000000000001)</f>
        <v>1.9456869000000002E-6</v>
      </c>
      <c r="H2111" s="158">
        <f>Лист1!G45</f>
        <v>2</v>
      </c>
      <c r="I2111" s="159">
        <f>I2109</f>
        <v>0.16442999999999999</v>
      </c>
      <c r="J2111" s="160"/>
      <c r="K2111" s="161">
        <f>K2109</f>
        <v>169020</v>
      </c>
      <c r="L2111" s="250">
        <v>1</v>
      </c>
      <c r="M2111" s="163" t="str">
        <f>CONCATENATE(H2111," ",F2111,"*",I2111,"/",K2111,"чел/час")</f>
        <v>2 замера*0,16443/169020чел/час</v>
      </c>
      <c r="N2111" s="278">
        <f>Лист1!I45</f>
        <v>25830</v>
      </c>
      <c r="O2111" s="280">
        <f t="shared" si="440"/>
        <v>5.0256999999999996E-2</v>
      </c>
      <c r="P2111" s="166"/>
      <c r="Q2111" s="166">
        <f t="shared" si="436"/>
        <v>8494.4381400000002</v>
      </c>
      <c r="R2111" s="71"/>
      <c r="S2111" s="71"/>
    </row>
    <row r="2112" spans="1:41" s="61" customFormat="1" ht="47.25" x14ac:dyDescent="0.25">
      <c r="A2112" s="358"/>
      <c r="B2112" s="361"/>
      <c r="C2112" s="366"/>
      <c r="D2112" s="156" t="s">
        <v>399</v>
      </c>
      <c r="E2112" s="156" t="s">
        <v>60</v>
      </c>
      <c r="F2112" s="156" t="s">
        <v>60</v>
      </c>
      <c r="G2112" s="238">
        <f>MROUND(H2112*L2112*I2112/K2112,0.00000000000001)</f>
        <v>3.8913738019999997E-5</v>
      </c>
      <c r="H2112" s="158">
        <f>Лист1!G46</f>
        <v>4</v>
      </c>
      <c r="I2112" s="159">
        <f>I2111</f>
        <v>0.16442999999999999</v>
      </c>
      <c r="J2112" s="160"/>
      <c r="K2112" s="161">
        <f>K2111</f>
        <v>169020</v>
      </c>
      <c r="L2112" s="250">
        <v>10</v>
      </c>
      <c r="M2112" s="163" t="str">
        <f>CONCATENATE(H2112," ",F2112,"*",L2112,"мес.","*",I2112,"/",K2112,"чел/час")</f>
        <v>4 шт.*10мес.*0,16443/169020чел/час</v>
      </c>
      <c r="N2112" s="278">
        <f>Лист1!I46</f>
        <v>2411.625</v>
      </c>
      <c r="O2112" s="280">
        <f t="shared" si="440"/>
        <v>9.3844999999999998E-2</v>
      </c>
      <c r="P2112" s="166"/>
      <c r="Q2112" s="166">
        <f t="shared" si="436"/>
        <v>15861.6819</v>
      </c>
      <c r="R2112" s="71"/>
      <c r="T2112" s="71"/>
    </row>
    <row r="2113" spans="1:41" s="61" customFormat="1" ht="47.25" x14ac:dyDescent="0.25">
      <c r="A2113" s="358"/>
      <c r="B2113" s="361"/>
      <c r="C2113" s="366"/>
      <c r="D2113" s="156" t="s">
        <v>36</v>
      </c>
      <c r="E2113" s="156" t="s">
        <v>31</v>
      </c>
      <c r="F2113" s="156" t="s">
        <v>224</v>
      </c>
      <c r="G2113" s="238">
        <f>MROUND(H2113*L2113*I2113/K2113,0.000000000001)</f>
        <v>9.3392970999999999E-5</v>
      </c>
      <c r="H2113" s="158">
        <f>Лист1!G47</f>
        <v>8</v>
      </c>
      <c r="I2113" s="159">
        <f>I2112</f>
        <v>0.16442999999999999</v>
      </c>
      <c r="J2113" s="160"/>
      <c r="K2113" s="161">
        <f>K2112</f>
        <v>169020</v>
      </c>
      <c r="L2113" s="250">
        <v>12</v>
      </c>
      <c r="M2113" s="163" t="str">
        <f>CONCATENATE(H2113," ",F2113,"*",L2113,"мес.","*",I2113,"/",K2113,"чел/час")</f>
        <v>8 устройств*12мес.*0,16443/169020чел/час</v>
      </c>
      <c r="N2113" s="278">
        <f>Лист1!I47</f>
        <v>2200</v>
      </c>
      <c r="O2113" s="280">
        <f t="shared" si="440"/>
        <v>0.20546499999999998</v>
      </c>
      <c r="P2113" s="166"/>
      <c r="Q2113" s="166">
        <f t="shared" si="436"/>
        <v>34727.694299999996</v>
      </c>
      <c r="R2113" s="71"/>
      <c r="S2113" s="71"/>
    </row>
    <row r="2114" spans="1:41" s="61" customFormat="1" ht="63" x14ac:dyDescent="0.25">
      <c r="A2114" s="358"/>
      <c r="B2114" s="361"/>
      <c r="C2114" s="366"/>
      <c r="D2114" s="156" t="s">
        <v>253</v>
      </c>
      <c r="E2114" s="156" t="s">
        <v>55</v>
      </c>
      <c r="F2114" s="156" t="s">
        <v>55</v>
      </c>
      <c r="G2114" s="238">
        <f>MROUND(H2114*L2114*I2114/K2114,0.0000000000001)</f>
        <v>5.8370606999999999E-5</v>
      </c>
      <c r="H2114" s="158">
        <f>Лист1!G42</f>
        <v>5</v>
      </c>
      <c r="I2114" s="159">
        <f>I2113</f>
        <v>0.16442999999999999</v>
      </c>
      <c r="J2114" s="160"/>
      <c r="K2114" s="161">
        <f>K2113</f>
        <v>169020</v>
      </c>
      <c r="L2114" s="250">
        <v>12</v>
      </c>
      <c r="M2114" s="163" t="str">
        <f>CONCATENATE(H2114," ",F2114,"*",I2114,"/",K2114,"чел/час")</f>
        <v>5 система*0,16443/169020чел/час</v>
      </c>
      <c r="N2114" s="278">
        <f>Лист1!I42</f>
        <v>4251</v>
      </c>
      <c r="O2114" s="280">
        <f t="shared" si="440"/>
        <v>0.24813299999999999</v>
      </c>
      <c r="P2114" s="166"/>
      <c r="Q2114" s="166">
        <f t="shared" si="436"/>
        <v>41939.439659999996</v>
      </c>
      <c r="R2114" s="71"/>
    </row>
    <row r="2115" spans="1:41" s="61" customFormat="1" ht="31.5" x14ac:dyDescent="0.25">
      <c r="A2115" s="358"/>
      <c r="B2115" s="361"/>
      <c r="C2115" s="366"/>
      <c r="D2115" s="156" t="s">
        <v>99</v>
      </c>
      <c r="E2115" s="156" t="s">
        <v>103</v>
      </c>
      <c r="F2115" s="156" t="s">
        <v>225</v>
      </c>
      <c r="G2115" s="238">
        <f>MROUND(H2115*L2115*I2115/K2115,0.000000000001)</f>
        <v>4.5723641999999999E-5</v>
      </c>
      <c r="H2115" s="158">
        <f>Лист1!G48</f>
        <v>47</v>
      </c>
      <c r="I2115" s="159">
        <f>I2114</f>
        <v>0.16442999999999999</v>
      </c>
      <c r="J2115" s="160"/>
      <c r="K2115" s="161">
        <f>K2114</f>
        <v>169020</v>
      </c>
      <c r="L2115" s="250">
        <v>1</v>
      </c>
      <c r="M2115" s="163" t="str">
        <f>CONCATENATE(H2115," ",F2115,"*",I2115,"/",K2115,"чел.")</f>
        <v>47 ед.*0,16443/169020чел.</v>
      </c>
      <c r="N2115" s="164">
        <f>Лист1!I48</f>
        <v>15000</v>
      </c>
      <c r="O2115" s="165">
        <f>MROUND(G2115*N2115,0.000001)</f>
        <v>0.68585499999999999</v>
      </c>
      <c r="P2115" s="166"/>
      <c r="Q2115" s="166">
        <f t="shared" si="436"/>
        <v>115923.2121</v>
      </c>
      <c r="R2115" s="71"/>
    </row>
    <row r="2116" spans="1:41" s="61" customFormat="1" x14ac:dyDescent="0.25">
      <c r="A2116" s="358"/>
      <c r="B2116" s="361"/>
      <c r="C2116" s="366"/>
      <c r="D2116" s="156" t="s">
        <v>27</v>
      </c>
      <c r="E2116" s="156" t="s">
        <v>28</v>
      </c>
      <c r="F2116" s="156" t="s">
        <v>28</v>
      </c>
      <c r="G2116" s="238">
        <f>MROUND(H2116*L2116*I2116/K2116,0.000000000001)</f>
        <v>4.0859424900000001E-4</v>
      </c>
      <c r="H2116" s="160">
        <f>Лист1!G49</f>
        <v>420</v>
      </c>
      <c r="I2116" s="159">
        <f>I2114</f>
        <v>0.16442999999999999</v>
      </c>
      <c r="J2116" s="160"/>
      <c r="K2116" s="161">
        <f>K2114</f>
        <v>169020</v>
      </c>
      <c r="L2116" s="250">
        <v>1</v>
      </c>
      <c r="M2116" s="163" t="str">
        <f>CONCATENATE(H2116," ",F2116,"*",I2116,"/",K2116,"чел/час")</f>
        <v>420 шт*0,16443/169020чел/час</v>
      </c>
      <c r="N2116" s="278">
        <f>Лист1!I49</f>
        <v>400</v>
      </c>
      <c r="O2116" s="280">
        <f t="shared" si="440"/>
        <v>0.163438</v>
      </c>
      <c r="P2116" s="166"/>
      <c r="Q2116" s="166">
        <f>O2116*K2116</f>
        <v>27624.29076</v>
      </c>
      <c r="R2116" s="71"/>
      <c r="S2116" s="71"/>
    </row>
    <row r="2117" spans="1:41" s="61" customFormat="1" ht="31.5" x14ac:dyDescent="0.25">
      <c r="A2117" s="358"/>
      <c r="B2117" s="361"/>
      <c r="C2117" s="367"/>
      <c r="D2117" s="156" t="s">
        <v>104</v>
      </c>
      <c r="E2117" s="156" t="s">
        <v>105</v>
      </c>
      <c r="F2117" s="156" t="s">
        <v>226</v>
      </c>
      <c r="G2117" s="238">
        <f>MROUND(H2117*L2117*I2117/K2117,0.000000000001)</f>
        <v>4.8642169999999998E-6</v>
      </c>
      <c r="H2117" s="160">
        <f>Лист1!G50</f>
        <v>5</v>
      </c>
      <c r="I2117" s="159">
        <f>I2116</f>
        <v>0.16442999999999999</v>
      </c>
      <c r="J2117" s="160"/>
      <c r="K2117" s="161">
        <f>K2116</f>
        <v>169020</v>
      </c>
      <c r="L2117" s="250">
        <v>1</v>
      </c>
      <c r="M2117" s="163" t="str">
        <f>CONCATENATE(H2117," ",F2117,"*",I2117,"/",K2117,"чел/час")</f>
        <v>5 отключений*0,16443/169020чел/час</v>
      </c>
      <c r="N2117" s="278">
        <f>Лист1!I50</f>
        <v>9810</v>
      </c>
      <c r="O2117" s="280">
        <f t="shared" si="440"/>
        <v>4.7717999999999997E-2</v>
      </c>
      <c r="P2117" s="166"/>
      <c r="Q2117" s="166">
        <f>O2117*K2117</f>
        <v>8065.2963599999994</v>
      </c>
      <c r="R2117" s="71"/>
      <c r="S2117" s="71"/>
    </row>
    <row r="2118" spans="1:41" s="109" customFormat="1" x14ac:dyDescent="0.25">
      <c r="A2118" s="358"/>
      <c r="B2118" s="361"/>
      <c r="C2118" s="249" t="s">
        <v>326</v>
      </c>
      <c r="D2118" s="240"/>
      <c r="E2118" s="240"/>
      <c r="F2118" s="240"/>
      <c r="G2118" s="227"/>
      <c r="H2118" s="228"/>
      <c r="I2118" s="206"/>
      <c r="J2118" s="228"/>
      <c r="K2118" s="207"/>
      <c r="L2118" s="257"/>
      <c r="M2118" s="209"/>
      <c r="N2118" s="281"/>
      <c r="O2118" s="279">
        <f>SUM(O2103:O2117)</f>
        <v>2.1718800000000003</v>
      </c>
      <c r="P2118" s="267"/>
      <c r="Q2118" s="166"/>
      <c r="R2118" s="71"/>
      <c r="S2118" s="62"/>
      <c r="T2118" s="62"/>
      <c r="U2118" s="62"/>
      <c r="V2118" s="62"/>
      <c r="W2118" s="62"/>
      <c r="X2118" s="62"/>
      <c r="Y2118" s="62"/>
      <c r="Z2118" s="62"/>
      <c r="AA2118" s="62"/>
      <c r="AB2118" s="62"/>
      <c r="AC2118" s="62"/>
      <c r="AD2118" s="62"/>
      <c r="AE2118" s="62"/>
      <c r="AF2118" s="62"/>
      <c r="AG2118" s="62"/>
      <c r="AH2118" s="62"/>
      <c r="AI2118" s="62"/>
      <c r="AJ2118" s="62"/>
      <c r="AK2118" s="62"/>
      <c r="AL2118" s="62"/>
      <c r="AM2118" s="62"/>
      <c r="AN2118" s="62"/>
      <c r="AO2118" s="62"/>
    </row>
    <row r="2119" spans="1:41" s="61" customFormat="1" ht="31.5" x14ac:dyDescent="0.25">
      <c r="A2119" s="358"/>
      <c r="B2119" s="361"/>
      <c r="C2119" s="221" t="s">
        <v>79</v>
      </c>
      <c r="D2119" s="156" t="s">
        <v>37</v>
      </c>
      <c r="E2119" s="156" t="s">
        <v>61</v>
      </c>
      <c r="F2119" s="156" t="s">
        <v>254</v>
      </c>
      <c r="G2119" s="238">
        <f>MROUND(H2119*L2119*I2119/K2119,0.0000000000001)</f>
        <v>9.7284350000000006E-7</v>
      </c>
      <c r="H2119" s="158">
        <f>Лист1!G52</f>
        <v>1</v>
      </c>
      <c r="I2119" s="159">
        <f>I2117</f>
        <v>0.16442999999999999</v>
      </c>
      <c r="J2119" s="160"/>
      <c r="K2119" s="161">
        <f>K2117</f>
        <v>169020</v>
      </c>
      <c r="L2119" s="250">
        <v>1</v>
      </c>
      <c r="M2119" s="163" t="str">
        <f>CONCATENATE(H2119," ",F2119,"*",I2119,"/",K2119,"чел/час")</f>
        <v>1 автобус*0,16443/169020чел/час</v>
      </c>
      <c r="N2119" s="278">
        <f>Лист1!I52</f>
        <v>23352.160000000003</v>
      </c>
      <c r="O2119" s="280">
        <f t="shared" si="440"/>
        <v>2.2717999999999999E-2</v>
      </c>
      <c r="P2119" s="166"/>
      <c r="Q2119" s="166">
        <f>O2119*K2119</f>
        <v>3839.7963599999998</v>
      </c>
      <c r="R2119" s="71"/>
      <c r="T2119" s="71"/>
    </row>
    <row r="2120" spans="1:41" s="61" customFormat="1" x14ac:dyDescent="0.25">
      <c r="A2120" s="358"/>
      <c r="B2120" s="361"/>
      <c r="C2120" s="221"/>
      <c r="D2120" s="156" t="s">
        <v>255</v>
      </c>
      <c r="E2120" s="156" t="s">
        <v>28</v>
      </c>
      <c r="F2120" s="156" t="s">
        <v>28</v>
      </c>
      <c r="G2120" s="238">
        <f>MROUND(H2120*L2120*I2120/K2120,0.000000000001)</f>
        <v>6.7126198100000002E-4</v>
      </c>
      <c r="H2120" s="158">
        <f>Лист1!G54</f>
        <v>345</v>
      </c>
      <c r="I2120" s="159">
        <f>I2119</f>
        <v>0.16442999999999999</v>
      </c>
      <c r="J2120" s="160"/>
      <c r="K2120" s="161">
        <f>K2119</f>
        <v>169020</v>
      </c>
      <c r="L2120" s="250">
        <v>2</v>
      </c>
      <c r="M2120" s="163" t="str">
        <f>CONCATENATE(H2120," ",F2120,"*",L2120,"раза в год","*",I2120,"/",K2120,"чел/час")</f>
        <v>345 шт*2раза в год*0,16443/169020чел/час</v>
      </c>
      <c r="N2120" s="278">
        <f>Лист1!I54</f>
        <v>436</v>
      </c>
      <c r="O2120" s="280">
        <f t="shared" si="440"/>
        <v>0.29266999999999999</v>
      </c>
      <c r="P2120" s="166"/>
      <c r="Q2120" s="166">
        <f>O2120*K2120</f>
        <v>49467.083399999996</v>
      </c>
      <c r="R2120" s="71"/>
    </row>
    <row r="2121" spans="1:41" s="109" customFormat="1" x14ac:dyDescent="0.25">
      <c r="A2121" s="358"/>
      <c r="B2121" s="361"/>
      <c r="C2121" s="218" t="s">
        <v>328</v>
      </c>
      <c r="D2121" s="240"/>
      <c r="E2121" s="240"/>
      <c r="F2121" s="240"/>
      <c r="G2121" s="227"/>
      <c r="H2121" s="241"/>
      <c r="I2121" s="206"/>
      <c r="J2121" s="228"/>
      <c r="K2121" s="207"/>
      <c r="L2121" s="257"/>
      <c r="M2121" s="209"/>
      <c r="N2121" s="281"/>
      <c r="O2121" s="279">
        <f>O2120+O2119</f>
        <v>0.315388</v>
      </c>
      <c r="P2121" s="267"/>
      <c r="Q2121" s="166"/>
      <c r="R2121" s="71"/>
      <c r="S2121" s="62"/>
      <c r="T2121" s="62"/>
      <c r="U2121" s="62"/>
      <c r="V2121" s="62"/>
      <c r="W2121" s="62"/>
      <c r="X2121" s="62"/>
      <c r="Y2121" s="62"/>
      <c r="Z2121" s="62"/>
      <c r="AA2121" s="62"/>
      <c r="AB2121" s="62"/>
      <c r="AC2121" s="62"/>
      <c r="AD2121" s="62"/>
      <c r="AE2121" s="62"/>
      <c r="AF2121" s="62"/>
      <c r="AG2121" s="62"/>
      <c r="AH2121" s="62"/>
      <c r="AI2121" s="62"/>
      <c r="AJ2121" s="62"/>
      <c r="AK2121" s="62"/>
      <c r="AL2121" s="62"/>
      <c r="AM2121" s="62"/>
      <c r="AN2121" s="62"/>
      <c r="AO2121" s="62"/>
    </row>
    <row r="2122" spans="1:41" s="61" customFormat="1" x14ac:dyDescent="0.25">
      <c r="A2122" s="358"/>
      <c r="B2122" s="361"/>
      <c r="C2122" s="364" t="s">
        <v>80</v>
      </c>
      <c r="D2122" s="156" t="s">
        <v>38</v>
      </c>
      <c r="E2122" s="156" t="s">
        <v>57</v>
      </c>
      <c r="F2122" s="156" t="s">
        <v>228</v>
      </c>
      <c r="G2122" s="238">
        <f>MROUND(H2122*L2122*I2122/K2122,0.0000000000001)</f>
        <v>9.3392971200000009E-5</v>
      </c>
      <c r="H2122" s="158">
        <f>Лист1!G55</f>
        <v>8</v>
      </c>
      <c r="I2122" s="159">
        <f>I2119</f>
        <v>0.16442999999999999</v>
      </c>
      <c r="J2122" s="160"/>
      <c r="K2122" s="161">
        <f>K2119</f>
        <v>169020</v>
      </c>
      <c r="L2122" s="250">
        <v>12</v>
      </c>
      <c r="M2122" s="163" t="str">
        <f>CONCATENATE(H2122," ",F2122,"*",L2122,"мес.","*",I2122,"/",K2122,"чел/час")</f>
        <v>8 зданий*12мес.*0,16443/169020чел/час</v>
      </c>
      <c r="N2122" s="278">
        <f>Лист1!I55</f>
        <v>4694.63</v>
      </c>
      <c r="O2122" s="280">
        <f t="shared" si="440"/>
        <v>0.43844499999999997</v>
      </c>
      <c r="P2122" s="166"/>
      <c r="Q2122" s="166">
        <f t="shared" ref="Q2122:Q2133" si="441">O2122*K2122</f>
        <v>74105.973899999997</v>
      </c>
      <c r="R2122" s="71"/>
      <c r="S2122" s="71"/>
    </row>
    <row r="2123" spans="1:41" s="61" customFormat="1" x14ac:dyDescent="0.25">
      <c r="A2123" s="358"/>
      <c r="B2123" s="361"/>
      <c r="C2123" s="364"/>
      <c r="D2123" s="156" t="s">
        <v>256</v>
      </c>
      <c r="E2123" s="156" t="s">
        <v>20</v>
      </c>
      <c r="F2123" s="156" t="s">
        <v>20</v>
      </c>
      <c r="G2123" s="238">
        <f>MROUND(H2123*L2123*I2123/K2123,0.000000000001)</f>
        <v>1.8192172499999998E-4</v>
      </c>
      <c r="H2123" s="158">
        <f>Лист1!G72</f>
        <v>187</v>
      </c>
      <c r="I2123" s="159">
        <f>I2120</f>
        <v>0.16442999999999999</v>
      </c>
      <c r="J2123" s="160"/>
      <c r="K2123" s="161">
        <f>K2120</f>
        <v>169020</v>
      </c>
      <c r="L2123" s="250">
        <v>1</v>
      </c>
      <c r="M2123" s="163" t="str">
        <f t="shared" ref="M2123:M2130" si="442">CONCATENATE(H2123," ",F2123,"*",I2123,"/",K2123,"чел/час")</f>
        <v>187 чел.*0,16443/169020чел/час</v>
      </c>
      <c r="N2123" s="278">
        <f>Лист1!I72</f>
        <v>1853</v>
      </c>
      <c r="O2123" s="280">
        <f t="shared" si="440"/>
        <v>0.33710099999999998</v>
      </c>
      <c r="P2123" s="166"/>
      <c r="Q2123" s="166">
        <f t="shared" si="441"/>
        <v>56976.811019999994</v>
      </c>
      <c r="R2123" s="71"/>
    </row>
    <row r="2124" spans="1:41" s="61" customFormat="1" ht="63" x14ac:dyDescent="0.25">
      <c r="A2124" s="358"/>
      <c r="B2124" s="361"/>
      <c r="C2124" s="364"/>
      <c r="D2124" s="156" t="s">
        <v>39</v>
      </c>
      <c r="E2124" s="156" t="s">
        <v>20</v>
      </c>
      <c r="F2124" s="156" t="s">
        <v>234</v>
      </c>
      <c r="G2124" s="238">
        <f>MROUND(H2124*L2124*I2124/K2124,0.00000000001)</f>
        <v>8.755589999999999E-6</v>
      </c>
      <c r="H2124" s="158">
        <f>Лист1!G62</f>
        <v>9</v>
      </c>
      <c r="I2124" s="159">
        <f>I2122</f>
        <v>0.16442999999999999</v>
      </c>
      <c r="J2124" s="160"/>
      <c r="K2124" s="161">
        <f>K2122</f>
        <v>169020</v>
      </c>
      <c r="L2124" s="250">
        <v>1</v>
      </c>
      <c r="M2124" s="163" t="str">
        <f t="shared" si="442"/>
        <v>9 чел(заявленная потребность руководителями учреждений)*0,16443/169020чел/час</v>
      </c>
      <c r="N2124" s="278">
        <f>Лист1!I62</f>
        <v>763</v>
      </c>
      <c r="O2124" s="280">
        <f t="shared" si="440"/>
        <v>6.6809999999999994E-3</v>
      </c>
      <c r="P2124" s="166"/>
      <c r="Q2124" s="166">
        <f t="shared" si="441"/>
        <v>1129.22262</v>
      </c>
      <c r="R2124" s="71"/>
      <c r="S2124" s="71"/>
    </row>
    <row r="2125" spans="1:41" s="61" customFormat="1" ht="63" x14ac:dyDescent="0.25">
      <c r="A2125" s="358"/>
      <c r="B2125" s="361"/>
      <c r="C2125" s="364"/>
      <c r="D2125" s="156" t="s">
        <v>40</v>
      </c>
      <c r="E2125" s="156" t="s">
        <v>20</v>
      </c>
      <c r="F2125" s="156" t="s">
        <v>234</v>
      </c>
      <c r="G2125" s="238">
        <f>MROUND(H2125*L2125*I2125/K2125,0.000000000001)</f>
        <v>1.2646965E-5</v>
      </c>
      <c r="H2125" s="158">
        <f>Лист1!G63</f>
        <v>13</v>
      </c>
      <c r="I2125" s="159">
        <f t="shared" ref="I2125:I2130" si="443">I2124</f>
        <v>0.16442999999999999</v>
      </c>
      <c r="J2125" s="160"/>
      <c r="K2125" s="161">
        <f t="shared" ref="K2125:K2130" si="444">K2124</f>
        <v>169020</v>
      </c>
      <c r="L2125" s="250">
        <v>1</v>
      </c>
      <c r="M2125" s="163" t="str">
        <f t="shared" si="442"/>
        <v>13 чел(заявленная потребность руководителями учреждений)*0,16443/169020чел/час</v>
      </c>
      <c r="N2125" s="278">
        <f>Лист1!I63</f>
        <v>1635</v>
      </c>
      <c r="O2125" s="280">
        <f t="shared" si="440"/>
        <v>2.0677999999999998E-2</v>
      </c>
      <c r="P2125" s="166"/>
      <c r="Q2125" s="166">
        <f t="shared" si="441"/>
        <v>3494.9955599999998</v>
      </c>
      <c r="R2125" s="71"/>
      <c r="T2125" s="71"/>
    </row>
    <row r="2126" spans="1:41" s="61" customFormat="1" ht="63" x14ac:dyDescent="0.25">
      <c r="A2126" s="358"/>
      <c r="B2126" s="361"/>
      <c r="C2126" s="364"/>
      <c r="D2126" s="156" t="s">
        <v>100</v>
      </c>
      <c r="E2126" s="156" t="s">
        <v>20</v>
      </c>
      <c r="F2126" s="156" t="s">
        <v>234</v>
      </c>
      <c r="G2126" s="238">
        <f>MROUND(H2126*L2126*I2126/K2126,0.0000000000001)</f>
        <v>6.8099041999999998E-6</v>
      </c>
      <c r="H2126" s="158">
        <f>Лист1!G64</f>
        <v>7</v>
      </c>
      <c r="I2126" s="159">
        <f t="shared" si="443"/>
        <v>0.16442999999999999</v>
      </c>
      <c r="J2126" s="160"/>
      <c r="K2126" s="161">
        <f t="shared" si="444"/>
        <v>169020</v>
      </c>
      <c r="L2126" s="250">
        <v>1</v>
      </c>
      <c r="M2126" s="163" t="str">
        <f t="shared" si="442"/>
        <v>7 чел(заявленная потребность руководителями учреждений)*0,16443/169020чел/час</v>
      </c>
      <c r="N2126" s="278">
        <f>Лист1!I64</f>
        <v>3488</v>
      </c>
      <c r="O2126" s="280">
        <f t="shared" si="440"/>
        <v>2.3753E-2</v>
      </c>
      <c r="P2126" s="166"/>
      <c r="Q2126" s="166">
        <f t="shared" si="441"/>
        <v>4014.7320599999998</v>
      </c>
      <c r="R2126" s="71"/>
      <c r="T2126" s="71"/>
    </row>
    <row r="2127" spans="1:41" s="61" customFormat="1" ht="110.25" x14ac:dyDescent="0.25">
      <c r="A2127" s="358"/>
      <c r="B2127" s="361"/>
      <c r="C2127" s="364"/>
      <c r="D2127" s="156" t="s">
        <v>235</v>
      </c>
      <c r="E2127" s="156" t="s">
        <v>50</v>
      </c>
      <c r="F2127" s="156" t="s">
        <v>230</v>
      </c>
      <c r="G2127" s="238">
        <f>MROUND(H2127*L2127*I2127/K2127,0.0000000000001)</f>
        <v>4.8642173000000004E-6</v>
      </c>
      <c r="H2127" s="158">
        <v>5</v>
      </c>
      <c r="I2127" s="159">
        <f t="shared" si="443"/>
        <v>0.16442999999999999</v>
      </c>
      <c r="J2127" s="160"/>
      <c r="K2127" s="161">
        <f t="shared" si="444"/>
        <v>169020</v>
      </c>
      <c r="L2127" s="250">
        <v>1</v>
      </c>
      <c r="M2127" s="163" t="str">
        <f t="shared" si="442"/>
        <v>5 отчетов*0,16443/169020чел/час</v>
      </c>
      <c r="N2127" s="278">
        <f>Лист1!I65</f>
        <v>6540</v>
      </c>
      <c r="O2127" s="280">
        <f t="shared" si="440"/>
        <v>3.1812E-2</v>
      </c>
      <c r="P2127" s="166"/>
      <c r="Q2127" s="166">
        <f t="shared" si="441"/>
        <v>5376.8642399999999</v>
      </c>
      <c r="R2127" s="71"/>
      <c r="T2127" s="71"/>
    </row>
    <row r="2128" spans="1:41" s="61" customFormat="1" ht="63" x14ac:dyDescent="0.25">
      <c r="A2128" s="358"/>
      <c r="B2128" s="361"/>
      <c r="C2128" s="364"/>
      <c r="D2128" s="156" t="s">
        <v>42</v>
      </c>
      <c r="E2128" s="156" t="s">
        <v>51</v>
      </c>
      <c r="F2128" s="156" t="s">
        <v>407</v>
      </c>
      <c r="G2128" s="238">
        <f>MROUND(H2128*L2128*I2128/K2128,0.000000000001)</f>
        <v>2.5293930000000001E-5</v>
      </c>
      <c r="H2128" s="158">
        <f>Лист1!G69</f>
        <v>26</v>
      </c>
      <c r="I2128" s="159">
        <f t="shared" si="443"/>
        <v>0.16442999999999999</v>
      </c>
      <c r="J2128" s="160"/>
      <c r="K2128" s="161">
        <f t="shared" si="444"/>
        <v>169020</v>
      </c>
      <c r="L2128" s="250">
        <v>1</v>
      </c>
      <c r="M2128" s="163" t="str">
        <f t="shared" si="442"/>
        <v>26 ед (заявленная потребность руководителями учреждений)*0,16443/169020чел/час</v>
      </c>
      <c r="N2128" s="278">
        <f>Лист1!I69</f>
        <v>1090</v>
      </c>
      <c r="O2128" s="280">
        <f t="shared" si="440"/>
        <v>2.7569999999999997E-2</v>
      </c>
      <c r="P2128" s="166"/>
      <c r="Q2128" s="166">
        <f t="shared" si="441"/>
        <v>4659.8813999999993</v>
      </c>
      <c r="R2128" s="71"/>
      <c r="T2128" s="71"/>
    </row>
    <row r="2129" spans="1:41" s="61" customFormat="1" ht="31.5" x14ac:dyDescent="0.25">
      <c r="A2129" s="358"/>
      <c r="B2129" s="361"/>
      <c r="C2129" s="364"/>
      <c r="D2129" s="156" t="s">
        <v>43</v>
      </c>
      <c r="E2129" s="156" t="s">
        <v>52</v>
      </c>
      <c r="F2129" s="156" t="s">
        <v>231</v>
      </c>
      <c r="G2129" s="238">
        <f>MROUND(H2129*L2129*I2129/K2129,0.000000000001)</f>
        <v>4.8642169999999998E-6</v>
      </c>
      <c r="H2129" s="158">
        <v>5</v>
      </c>
      <c r="I2129" s="159">
        <f t="shared" si="443"/>
        <v>0.16442999999999999</v>
      </c>
      <c r="J2129" s="160"/>
      <c r="K2129" s="161">
        <f t="shared" si="444"/>
        <v>169020</v>
      </c>
      <c r="L2129" s="250">
        <v>1</v>
      </c>
      <c r="M2129" s="163" t="str">
        <f t="shared" si="442"/>
        <v>5 ЭЦП*0,16443/169020чел/час</v>
      </c>
      <c r="N2129" s="278">
        <f>Лист1!I70</f>
        <v>7743.3600000000006</v>
      </c>
      <c r="O2129" s="280">
        <f t="shared" si="440"/>
        <v>3.7664999999999997E-2</v>
      </c>
      <c r="P2129" s="166"/>
      <c r="Q2129" s="166">
        <f t="shared" si="441"/>
        <v>6366.1382999999996</v>
      </c>
      <c r="R2129" s="71"/>
      <c r="S2129" s="71"/>
    </row>
    <row r="2130" spans="1:41" s="61" customFormat="1" x14ac:dyDescent="0.25">
      <c r="A2130" s="358"/>
      <c r="B2130" s="361"/>
      <c r="C2130" s="364"/>
      <c r="D2130" s="156" t="s">
        <v>373</v>
      </c>
      <c r="E2130" s="156" t="s">
        <v>28</v>
      </c>
      <c r="F2130" s="156" t="s">
        <v>28</v>
      </c>
      <c r="G2130" s="238">
        <f>MROUND(H2130*L2130*I2130/K2130,0.0000000000001)</f>
        <v>4.8642173000000004E-6</v>
      </c>
      <c r="H2130" s="158">
        <f>Лист1!G56</f>
        <v>5</v>
      </c>
      <c r="I2130" s="159">
        <f t="shared" si="443"/>
        <v>0.16442999999999999</v>
      </c>
      <c r="J2130" s="160"/>
      <c r="K2130" s="161">
        <f t="shared" si="444"/>
        <v>169020</v>
      </c>
      <c r="L2130" s="250">
        <v>1</v>
      </c>
      <c r="M2130" s="163" t="str">
        <f t="shared" si="442"/>
        <v>5 шт*0,16443/169020чел/час</v>
      </c>
      <c r="N2130" s="278">
        <f>Лист1!I56</f>
        <v>24000</v>
      </c>
      <c r="O2130" s="280">
        <f>MROUND(N2130*G2130,0.000001)</f>
        <v>0.116741</v>
      </c>
      <c r="P2130" s="166"/>
      <c r="Q2130" s="166">
        <f t="shared" si="441"/>
        <v>19731.563819999999</v>
      </c>
      <c r="R2130" s="71"/>
    </row>
    <row r="2131" spans="1:41" s="61" customFormat="1" ht="63" x14ac:dyDescent="0.25">
      <c r="A2131" s="358"/>
      <c r="B2131" s="361"/>
      <c r="C2131" s="364"/>
      <c r="D2131" s="156" t="s">
        <v>45</v>
      </c>
      <c r="E2131" s="156" t="s">
        <v>53</v>
      </c>
      <c r="F2131" s="156" t="s">
        <v>257</v>
      </c>
      <c r="G2131" s="238">
        <f>MROUND(H2131*L2131*I2131/K2131,0.00000000001)</f>
        <v>1.1674119999999999E-5</v>
      </c>
      <c r="H2131" s="158">
        <v>1</v>
      </c>
      <c r="I2131" s="159">
        <f>I2129</f>
        <v>0.16442999999999999</v>
      </c>
      <c r="J2131" s="160"/>
      <c r="K2131" s="161">
        <f>K2129</f>
        <v>169020</v>
      </c>
      <c r="L2131" s="250">
        <v>12</v>
      </c>
      <c r="M2131" s="163" t="str">
        <f>CONCATENATE(H2131," ",F2131,"*",L2131,"мес.","*",I2131,"/",K2131,"чел/час")</f>
        <v>1  машина, оборудованная системой ГЛОНАСС*12мес.*0,16443/169020чел/час</v>
      </c>
      <c r="N2131" s="278">
        <f>Лист1!I73</f>
        <v>880.71999999999991</v>
      </c>
      <c r="O2131" s="280">
        <f t="shared" si="440"/>
        <v>1.0281999999999999E-2</v>
      </c>
      <c r="P2131" s="166"/>
      <c r="Q2131" s="166">
        <f t="shared" si="441"/>
        <v>1737.8636399999998</v>
      </c>
      <c r="R2131" s="71"/>
      <c r="S2131" s="71"/>
    </row>
    <row r="2132" spans="1:41" s="136" customFormat="1" ht="47.25" x14ac:dyDescent="0.25">
      <c r="A2132" s="375"/>
      <c r="B2132" s="361"/>
      <c r="C2132" s="364"/>
      <c r="D2132" s="156" t="s">
        <v>44</v>
      </c>
      <c r="E2132" s="156" t="s">
        <v>85</v>
      </c>
      <c r="F2132" s="156" t="s">
        <v>232</v>
      </c>
      <c r="G2132" s="238">
        <f>MROUND(H2132*L2132*I2132/K2132,0.00000000001)</f>
        <v>2.9574441000000001E-4</v>
      </c>
      <c r="H2132" s="158">
        <f>Лист1!G71</f>
        <v>304</v>
      </c>
      <c r="I2132" s="159">
        <f>I2131</f>
        <v>0.16442999999999999</v>
      </c>
      <c r="J2132" s="160"/>
      <c r="K2132" s="161">
        <f>K2131</f>
        <v>169020</v>
      </c>
      <c r="L2132" s="250">
        <v>1</v>
      </c>
      <c r="M2132" s="163" t="str">
        <f>CONCATENATE(H2132," ",F2132,"*",L2132,"мес.","*",I2132,"/",K2132,"чел.")</f>
        <v>304 мед.осмотров в мес.*1мес.*0,16443/169020чел.</v>
      </c>
      <c r="N2132" s="278">
        <f>Лист1!I71</f>
        <v>56.680000000000007</v>
      </c>
      <c r="O2132" s="280">
        <f t="shared" si="440"/>
        <v>1.6763E-2</v>
      </c>
      <c r="P2132" s="166"/>
      <c r="Q2132" s="166">
        <f t="shared" si="441"/>
        <v>2833.28226</v>
      </c>
      <c r="R2132" s="71"/>
      <c r="S2132" s="71"/>
      <c r="T2132" s="61"/>
      <c r="U2132" s="61"/>
      <c r="V2132" s="61"/>
      <c r="W2132" s="61"/>
      <c r="X2132" s="61"/>
      <c r="Y2132" s="61"/>
      <c r="Z2132" s="61"/>
      <c r="AA2132" s="61"/>
      <c r="AB2132" s="61"/>
      <c r="AC2132" s="61"/>
      <c r="AD2132" s="61"/>
      <c r="AE2132" s="61"/>
      <c r="AF2132" s="61"/>
      <c r="AG2132" s="61"/>
      <c r="AH2132" s="61"/>
      <c r="AI2132" s="61"/>
      <c r="AJ2132" s="61"/>
      <c r="AK2132" s="61"/>
      <c r="AL2132" s="61"/>
      <c r="AM2132" s="61"/>
      <c r="AN2132" s="61"/>
      <c r="AO2132" s="61"/>
    </row>
    <row r="2133" spans="1:41" s="61" customFormat="1" ht="31.5" x14ac:dyDescent="0.25">
      <c r="A2133" s="358"/>
      <c r="B2133" s="361"/>
      <c r="C2133" s="364"/>
      <c r="D2133" s="156" t="s">
        <v>408</v>
      </c>
      <c r="E2133" s="156" t="s">
        <v>20</v>
      </c>
      <c r="F2133" s="156" t="s">
        <v>20</v>
      </c>
      <c r="G2133" s="238">
        <f>MROUND(H2133*L2133*I2133/K2133,0.000000000001)</f>
        <v>2.9185304000000001E-5</v>
      </c>
      <c r="H2133" s="158">
        <f>Лист1!G74</f>
        <v>30</v>
      </c>
      <c r="I2133" s="159">
        <f>I2131</f>
        <v>0.16442999999999999</v>
      </c>
      <c r="J2133" s="160"/>
      <c r="K2133" s="161">
        <f>K2131</f>
        <v>169020</v>
      </c>
      <c r="L2133" s="250">
        <v>1</v>
      </c>
      <c r="M2133" s="163" t="str">
        <f>CONCATENATE(H2133," ",F2133,"*",L2133," раз в год","*",I2133,"/",K2133,"чел.")</f>
        <v>30 чел.*1 раз в год*0,16443/169020чел.</v>
      </c>
      <c r="N2133" s="278">
        <f>Лист1!I74</f>
        <v>472.33333333333331</v>
      </c>
      <c r="O2133" s="280">
        <f t="shared" si="440"/>
        <v>1.3784999999999999E-2</v>
      </c>
      <c r="P2133" s="166"/>
      <c r="Q2133" s="166">
        <f t="shared" si="441"/>
        <v>2329.9406999999997</v>
      </c>
      <c r="R2133" s="71"/>
      <c r="T2133" s="71"/>
    </row>
    <row r="2134" spans="1:41" s="109" customFormat="1" x14ac:dyDescent="0.25">
      <c r="A2134" s="358"/>
      <c r="B2134" s="361"/>
      <c r="C2134" s="245" t="s">
        <v>329</v>
      </c>
      <c r="D2134" s="240"/>
      <c r="E2134" s="240"/>
      <c r="F2134" s="240"/>
      <c r="G2134" s="227"/>
      <c r="H2134" s="241"/>
      <c r="I2134" s="206"/>
      <c r="J2134" s="228"/>
      <c r="K2134" s="207"/>
      <c r="L2134" s="257"/>
      <c r="M2134" s="209"/>
      <c r="N2134" s="281"/>
      <c r="O2134" s="279">
        <f>SUM(O2122:O2133)</f>
        <v>1.0812759999999999</v>
      </c>
      <c r="P2134" s="267"/>
      <c r="Q2134" s="166"/>
      <c r="R2134" s="71"/>
      <c r="S2134" s="62"/>
      <c r="T2134" s="62"/>
      <c r="U2134" s="62"/>
      <c r="V2134" s="62"/>
      <c r="W2134" s="62"/>
      <c r="X2134" s="62"/>
      <c r="Y2134" s="62"/>
      <c r="Z2134" s="62"/>
      <c r="AA2134" s="62"/>
      <c r="AB2134" s="62"/>
      <c r="AC2134" s="62"/>
      <c r="AD2134" s="62"/>
      <c r="AE2134" s="62"/>
      <c r="AF2134" s="62"/>
      <c r="AG2134" s="62"/>
      <c r="AH2134" s="62"/>
      <c r="AI2134" s="62"/>
      <c r="AJ2134" s="62"/>
      <c r="AK2134" s="62"/>
      <c r="AL2134" s="62"/>
      <c r="AM2134" s="62"/>
      <c r="AN2134" s="62"/>
      <c r="AO2134" s="62"/>
    </row>
    <row r="2135" spans="1:41" s="61" customFormat="1" ht="31.5" x14ac:dyDescent="0.25">
      <c r="A2135" s="358"/>
      <c r="B2135" s="361"/>
      <c r="C2135" s="252" t="s">
        <v>237</v>
      </c>
      <c r="D2135" s="156" t="s">
        <v>41</v>
      </c>
      <c r="E2135" s="156" t="s">
        <v>61</v>
      </c>
      <c r="F2135" s="156" t="s">
        <v>254</v>
      </c>
      <c r="G2135" s="238">
        <f>MROUND(H2135*L2135*I2135/K2135,0.000000000001)</f>
        <v>9.7284299999999995E-7</v>
      </c>
      <c r="H2135" s="158">
        <v>1</v>
      </c>
      <c r="I2135" s="159">
        <f>I2133</f>
        <v>0.16442999999999999</v>
      </c>
      <c r="J2135" s="160"/>
      <c r="K2135" s="161">
        <f>K2133</f>
        <v>169020</v>
      </c>
      <c r="L2135" s="250">
        <v>1</v>
      </c>
      <c r="M2135" s="163" t="str">
        <f>CONCATENATE(H2135," ",F2135,"*",I2135,"/",K2135,"чел/час")</f>
        <v>1 автобус*0,16443/169020чел/час</v>
      </c>
      <c r="N2135" s="278">
        <f>Лист1!I75</f>
        <v>25724</v>
      </c>
      <c r="O2135" s="280">
        <f t="shared" si="440"/>
        <v>2.5024999999999999E-2</v>
      </c>
      <c r="P2135" s="166"/>
      <c r="Q2135" s="166">
        <f t="shared" ref="Q2135:Q2146" si="445">O2135*K2135</f>
        <v>4229.7254999999996</v>
      </c>
      <c r="R2135" s="71"/>
      <c r="S2135" s="71"/>
    </row>
    <row r="2136" spans="1:41" s="61" customFormat="1" ht="78.75" x14ac:dyDescent="0.25">
      <c r="A2136" s="358"/>
      <c r="B2136" s="361"/>
      <c r="C2136" s="221" t="s">
        <v>236</v>
      </c>
      <c r="D2136" s="156" t="s">
        <v>19</v>
      </c>
      <c r="E2136" s="181" t="s">
        <v>20</v>
      </c>
      <c r="F2136" s="181" t="s">
        <v>238</v>
      </c>
      <c r="G2136" s="238">
        <f>MROUND(H2136*L2136*I2136/K2136,0.000000000001)</f>
        <v>0</v>
      </c>
      <c r="H2136" s="158"/>
      <c r="I2136" s="159">
        <f>I2133</f>
        <v>0.16442999999999999</v>
      </c>
      <c r="J2136" s="160"/>
      <c r="K2136" s="161">
        <f>K2133</f>
        <v>169020</v>
      </c>
      <c r="L2136" s="250">
        <v>1</v>
      </c>
      <c r="M2136" s="163"/>
      <c r="N2136" s="278"/>
      <c r="O2136" s="280">
        <f t="shared" si="440"/>
        <v>0</v>
      </c>
      <c r="P2136" s="166"/>
      <c r="Q2136" s="166">
        <f t="shared" si="445"/>
        <v>0</v>
      </c>
      <c r="R2136" s="71"/>
      <c r="T2136" s="71"/>
    </row>
    <row r="2137" spans="1:41" s="61" customFormat="1" ht="31.5" x14ac:dyDescent="0.25">
      <c r="A2137" s="358"/>
      <c r="B2137" s="361"/>
      <c r="C2137" s="372" t="s">
        <v>81</v>
      </c>
      <c r="D2137" s="156" t="s">
        <v>419</v>
      </c>
      <c r="E2137" s="156" t="s">
        <v>28</v>
      </c>
      <c r="F2137" s="156" t="s">
        <v>439</v>
      </c>
      <c r="G2137" s="238">
        <f>MROUND(H2137*L2137*I2137/K2137,0.00000000001)</f>
        <v>7.7827499999999993E-6</v>
      </c>
      <c r="H2137" s="158">
        <f>Лист1!G90</f>
        <v>8</v>
      </c>
      <c r="I2137" s="159">
        <f>I2136</f>
        <v>0.16442999999999999</v>
      </c>
      <c r="J2137" s="160"/>
      <c r="K2137" s="161">
        <f>K2136</f>
        <v>169020</v>
      </c>
      <c r="L2137" s="250">
        <v>1</v>
      </c>
      <c r="M2137" s="163" t="str">
        <f>CONCATENATE(H2137," ",F2137,"*",I2137,"/",K2137,"чел/час")</f>
        <v>8 шт (потребность учреждений) *0,16443/169020чел/час</v>
      </c>
      <c r="N2137" s="278">
        <f>Лист1!I90</f>
        <v>33750</v>
      </c>
      <c r="O2137" s="280">
        <f t="shared" si="440"/>
        <v>0.26266800000000001</v>
      </c>
      <c r="P2137" s="166"/>
      <c r="Q2137" s="166">
        <f t="shared" si="445"/>
        <v>44396.145360000002</v>
      </c>
      <c r="R2137" s="71"/>
      <c r="T2137" s="71"/>
    </row>
    <row r="2138" spans="1:41" s="61" customFormat="1" ht="31.5" x14ac:dyDescent="0.25">
      <c r="A2138" s="358"/>
      <c r="B2138" s="361"/>
      <c r="C2138" s="373"/>
      <c r="D2138" s="156" t="s">
        <v>425</v>
      </c>
      <c r="E2138" s="156" t="s">
        <v>28</v>
      </c>
      <c r="F2138" s="156" t="s">
        <v>439</v>
      </c>
      <c r="G2138" s="238">
        <f>MROUND(H2138*L2138*I2138/K2138,0.00000000001)</f>
        <v>2.9185299999999997E-6</v>
      </c>
      <c r="H2138" s="158">
        <f>Лист1!G96</f>
        <v>3</v>
      </c>
      <c r="I2138" s="159">
        <f t="shared" ref="I2138:I2146" si="446">I2137</f>
        <v>0.16442999999999999</v>
      </c>
      <c r="J2138" s="160"/>
      <c r="K2138" s="161">
        <f t="shared" ref="K2138:K2146" si="447">K2137</f>
        <v>169020</v>
      </c>
      <c r="L2138" s="250">
        <v>1</v>
      </c>
      <c r="M2138" s="163" t="str">
        <f t="shared" ref="M2138:M2146" si="448">CONCATENATE(H2138," ",F2138,"*",I2138,"/",K2138,"чел/час")</f>
        <v>3 шт (потребность учреждений) *0,16443/169020чел/час</v>
      </c>
      <c r="N2138" s="278">
        <f>Лист1!I96</f>
        <v>12000</v>
      </c>
      <c r="O2138" s="280">
        <f t="shared" si="440"/>
        <v>3.5021999999999998E-2</v>
      </c>
      <c r="P2138" s="166"/>
      <c r="Q2138" s="166">
        <f t="shared" si="445"/>
        <v>5919.4184399999995</v>
      </c>
      <c r="R2138" s="71"/>
      <c r="T2138" s="71"/>
    </row>
    <row r="2139" spans="1:41" s="61" customFormat="1" ht="31.5" x14ac:dyDescent="0.25">
      <c r="A2139" s="358"/>
      <c r="B2139" s="361"/>
      <c r="C2139" s="373"/>
      <c r="D2139" s="156" t="s">
        <v>426</v>
      </c>
      <c r="E2139" s="156" t="s">
        <v>28</v>
      </c>
      <c r="F2139" s="156" t="s">
        <v>439</v>
      </c>
      <c r="G2139" s="238">
        <f>MROUND(H2139*L2139*I2139/K2139,0.00000000000001)</f>
        <v>2.042971246E-5</v>
      </c>
      <c r="H2139" s="158">
        <f>Лист1!G98</f>
        <v>21</v>
      </c>
      <c r="I2139" s="159">
        <f t="shared" si="446"/>
        <v>0.16442999999999999</v>
      </c>
      <c r="J2139" s="160"/>
      <c r="K2139" s="161">
        <f t="shared" si="447"/>
        <v>169020</v>
      </c>
      <c r="L2139" s="250">
        <v>1</v>
      </c>
      <c r="M2139" s="163" t="str">
        <f t="shared" si="448"/>
        <v>21 шт (потребность учреждений) *0,16443/169020чел/час</v>
      </c>
      <c r="N2139" s="278">
        <f>Лист1!I98</f>
        <v>9714.2857142857138</v>
      </c>
      <c r="O2139" s="280">
        <f t="shared" si="440"/>
        <v>0.19846</v>
      </c>
      <c r="P2139" s="166"/>
      <c r="Q2139" s="166">
        <f t="shared" si="445"/>
        <v>33543.709199999998</v>
      </c>
      <c r="R2139" s="71"/>
      <c r="T2139" s="71"/>
    </row>
    <row r="2140" spans="1:41" s="61" customFormat="1" ht="31.5" x14ac:dyDescent="0.25">
      <c r="A2140" s="358"/>
      <c r="B2140" s="361"/>
      <c r="C2140" s="373"/>
      <c r="D2140" s="156" t="s">
        <v>427</v>
      </c>
      <c r="E2140" s="156" t="s">
        <v>28</v>
      </c>
      <c r="F2140" s="156" t="s">
        <v>439</v>
      </c>
      <c r="G2140" s="238">
        <f>MROUND(H2140*L2140*I2140/K2140,0.000000000000001)</f>
        <v>4.8642172524000002E-5</v>
      </c>
      <c r="H2140" s="158">
        <f>Лист1!G99</f>
        <v>50</v>
      </c>
      <c r="I2140" s="159">
        <f t="shared" si="446"/>
        <v>0.16442999999999999</v>
      </c>
      <c r="J2140" s="160"/>
      <c r="K2140" s="161">
        <f t="shared" si="447"/>
        <v>169020</v>
      </c>
      <c r="L2140" s="250">
        <v>1</v>
      </c>
      <c r="M2140" s="163" t="str">
        <f t="shared" si="448"/>
        <v>50 шт (потребность учреждений) *0,16443/169020чел/час</v>
      </c>
      <c r="N2140" s="278">
        <f>Лист1!I99</f>
        <v>4400</v>
      </c>
      <c r="O2140" s="280">
        <f t="shared" si="440"/>
        <v>0.21402599999999999</v>
      </c>
      <c r="P2140" s="166"/>
      <c r="Q2140" s="166">
        <f t="shared" si="445"/>
        <v>36174.67452</v>
      </c>
      <c r="R2140" s="71"/>
      <c r="T2140" s="71"/>
    </row>
    <row r="2141" spans="1:41" s="61" customFormat="1" ht="31.5" x14ac:dyDescent="0.25">
      <c r="A2141" s="358"/>
      <c r="B2141" s="361"/>
      <c r="C2141" s="373"/>
      <c r="D2141" s="156" t="s">
        <v>428</v>
      </c>
      <c r="E2141" s="156" t="s">
        <v>28</v>
      </c>
      <c r="F2141" s="156" t="s">
        <v>439</v>
      </c>
      <c r="G2141" s="238">
        <f>MROUND(H2141*L2141*I2141/K2141,0.00000000001)</f>
        <v>1.0312140999999999E-4</v>
      </c>
      <c r="H2141" s="158">
        <f>Лист1!G100</f>
        <v>106</v>
      </c>
      <c r="I2141" s="159">
        <f t="shared" si="446"/>
        <v>0.16442999999999999</v>
      </c>
      <c r="J2141" s="160"/>
      <c r="K2141" s="161">
        <f t="shared" si="447"/>
        <v>169020</v>
      </c>
      <c r="L2141" s="250">
        <v>1</v>
      </c>
      <c r="M2141" s="163" t="str">
        <f t="shared" si="448"/>
        <v>106 шт (потребность учреждений) *0,16443/169020чел/час</v>
      </c>
      <c r="N2141" s="278">
        <f>Лист1!I100</f>
        <v>4037.7358490566039</v>
      </c>
      <c r="O2141" s="280">
        <f t="shared" si="440"/>
        <v>0.416377</v>
      </c>
      <c r="P2141" s="166"/>
      <c r="Q2141" s="166">
        <f t="shared" si="445"/>
        <v>70376.040540000002</v>
      </c>
      <c r="R2141" s="71"/>
      <c r="T2141" s="71"/>
    </row>
    <row r="2142" spans="1:41" s="61" customFormat="1" ht="31.5" x14ac:dyDescent="0.25">
      <c r="A2142" s="358"/>
      <c r="B2142" s="361"/>
      <c r="C2142" s="373"/>
      <c r="D2142" s="156" t="s">
        <v>429</v>
      </c>
      <c r="E2142" s="156" t="s">
        <v>28</v>
      </c>
      <c r="F2142" s="156" t="s">
        <v>439</v>
      </c>
      <c r="G2142" s="238">
        <f>MROUND(H2142*L2142*I2142/K2142,0.00000000001)</f>
        <v>2.5293929999999997E-5</v>
      </c>
      <c r="H2142" s="158">
        <f>Лист1!G101</f>
        <v>26</v>
      </c>
      <c r="I2142" s="159">
        <f t="shared" si="446"/>
        <v>0.16442999999999999</v>
      </c>
      <c r="J2142" s="160"/>
      <c r="K2142" s="161">
        <f t="shared" si="447"/>
        <v>169020</v>
      </c>
      <c r="L2142" s="250">
        <v>1</v>
      </c>
      <c r="M2142" s="163" t="str">
        <f t="shared" si="448"/>
        <v>26 шт (потребность учреждений) *0,16443/169020чел/час</v>
      </c>
      <c r="N2142" s="278">
        <f>Лист1!I101</f>
        <v>39807.692307692305</v>
      </c>
      <c r="O2142" s="280">
        <f t="shared" si="440"/>
        <v>1.006893</v>
      </c>
      <c r="P2142" s="166"/>
      <c r="Q2142" s="166">
        <f t="shared" si="445"/>
        <v>170185.05486</v>
      </c>
      <c r="R2142" s="71"/>
      <c r="T2142" s="71"/>
    </row>
    <row r="2143" spans="1:41" s="61" customFormat="1" ht="31.5" x14ac:dyDescent="0.25">
      <c r="A2143" s="358"/>
      <c r="B2143" s="361"/>
      <c r="C2143" s="373"/>
      <c r="D2143" s="156" t="s">
        <v>110</v>
      </c>
      <c r="E2143" s="156" t="s">
        <v>28</v>
      </c>
      <c r="F2143" s="156" t="s">
        <v>439</v>
      </c>
      <c r="G2143" s="238">
        <f>MROUND(H2143*L2143*I2143/K2143,0.000000000001)</f>
        <v>2.4321085999999998E-5</v>
      </c>
      <c r="H2143" s="158">
        <f>Лист1!G102</f>
        <v>25</v>
      </c>
      <c r="I2143" s="159">
        <f t="shared" si="446"/>
        <v>0.16442999999999999</v>
      </c>
      <c r="J2143" s="160"/>
      <c r="K2143" s="161">
        <f t="shared" si="447"/>
        <v>169020</v>
      </c>
      <c r="L2143" s="250">
        <v>1</v>
      </c>
      <c r="M2143" s="163" t="str">
        <f t="shared" si="448"/>
        <v>25 шт (потребность учреждений) *0,16443/169020чел/час</v>
      </c>
      <c r="N2143" s="278">
        <f>Лист1!I102</f>
        <v>53600</v>
      </c>
      <c r="O2143" s="280">
        <f>MROUND(N2143*G2143,0.0000000000001)</f>
        <v>1.3036102096</v>
      </c>
      <c r="P2143" s="166"/>
      <c r="Q2143" s="166">
        <f t="shared" si="445"/>
        <v>220336.19762659198</v>
      </c>
      <c r="R2143" s="71"/>
      <c r="T2143" s="71"/>
    </row>
    <row r="2144" spans="1:41" s="61" customFormat="1" ht="31.5" x14ac:dyDescent="0.25">
      <c r="A2144" s="358"/>
      <c r="B2144" s="361"/>
      <c r="C2144" s="373"/>
      <c r="D2144" s="156" t="s">
        <v>112</v>
      </c>
      <c r="E2144" s="156" t="s">
        <v>28</v>
      </c>
      <c r="F2144" s="156" t="s">
        <v>439</v>
      </c>
      <c r="G2144" s="238">
        <f>MROUND(H2144*L2144*I2144/K2144,0.00000000001)</f>
        <v>4.8642199999999997E-6</v>
      </c>
      <c r="H2144" s="158">
        <f>Лист1!G103</f>
        <v>5</v>
      </c>
      <c r="I2144" s="159">
        <f t="shared" si="446"/>
        <v>0.16442999999999999</v>
      </c>
      <c r="J2144" s="160"/>
      <c r="K2144" s="161">
        <f t="shared" si="447"/>
        <v>169020</v>
      </c>
      <c r="L2144" s="250">
        <v>1</v>
      </c>
      <c r="M2144" s="163" t="str">
        <f t="shared" si="448"/>
        <v>5 шт (потребность учреждений) *0,16443/169020чел/час</v>
      </c>
      <c r="N2144" s="278">
        <f>Лист1!I103</f>
        <v>33000</v>
      </c>
      <c r="O2144" s="280">
        <f t="shared" si="440"/>
        <v>0.160519</v>
      </c>
      <c r="P2144" s="166"/>
      <c r="Q2144" s="166">
        <f t="shared" si="445"/>
        <v>27130.92138</v>
      </c>
      <c r="R2144" s="71"/>
      <c r="T2144" s="71"/>
    </row>
    <row r="2145" spans="1:41" s="61" customFormat="1" ht="31.5" x14ac:dyDescent="0.25">
      <c r="A2145" s="358"/>
      <c r="B2145" s="361"/>
      <c r="C2145" s="373"/>
      <c r="D2145" s="156" t="s">
        <v>111</v>
      </c>
      <c r="E2145" s="156" t="s">
        <v>28</v>
      </c>
      <c r="F2145" s="156" t="s">
        <v>439</v>
      </c>
      <c r="G2145" s="238">
        <f>MROUND(H2145*L2145*I2145/K2145,0.00000000001)</f>
        <v>7.101757E-5</v>
      </c>
      <c r="H2145" s="158">
        <f>Лист1!G104</f>
        <v>73</v>
      </c>
      <c r="I2145" s="159">
        <f t="shared" si="446"/>
        <v>0.16442999999999999</v>
      </c>
      <c r="J2145" s="160"/>
      <c r="K2145" s="161">
        <f t="shared" si="447"/>
        <v>169020</v>
      </c>
      <c r="L2145" s="250">
        <v>1</v>
      </c>
      <c r="M2145" s="163" t="str">
        <f t="shared" si="448"/>
        <v>73 шт (потребность учреждений) *0,16443/169020чел/час</v>
      </c>
      <c r="N2145" s="278">
        <f>Лист1!I104</f>
        <v>50616.438356164384</v>
      </c>
      <c r="O2145" s="280">
        <f t="shared" si="440"/>
        <v>3.5946559999999996</v>
      </c>
      <c r="P2145" s="166"/>
      <c r="Q2145" s="166">
        <f t="shared" si="445"/>
        <v>607568.75711999997</v>
      </c>
      <c r="R2145" s="71"/>
      <c r="T2145" s="71"/>
    </row>
    <row r="2146" spans="1:41" s="61" customFormat="1" ht="31.5" x14ac:dyDescent="0.25">
      <c r="A2146" s="358"/>
      <c r="B2146" s="361"/>
      <c r="C2146" s="374"/>
      <c r="D2146" s="156" t="s">
        <v>438</v>
      </c>
      <c r="E2146" s="156" t="s">
        <v>28</v>
      </c>
      <c r="F2146" s="156" t="s">
        <v>439</v>
      </c>
      <c r="G2146" s="238">
        <f>MROUND(H2146*L2146*I2146/K2146,0.00000000001)</f>
        <v>3.2103829999999998E-5</v>
      </c>
      <c r="H2146" s="158">
        <f>Лист1!G105</f>
        <v>33</v>
      </c>
      <c r="I2146" s="159">
        <f t="shared" si="446"/>
        <v>0.16442999999999999</v>
      </c>
      <c r="J2146" s="160"/>
      <c r="K2146" s="161">
        <f t="shared" si="447"/>
        <v>169020</v>
      </c>
      <c r="L2146" s="250">
        <v>1</v>
      </c>
      <c r="M2146" s="163" t="str">
        <f t="shared" si="448"/>
        <v>33 шт (потребность учреждений) *0,16443/169020чел/час</v>
      </c>
      <c r="N2146" s="278">
        <f>Лист1!I105</f>
        <v>25000</v>
      </c>
      <c r="O2146" s="280">
        <f t="shared" si="440"/>
        <v>0.80259599999999998</v>
      </c>
      <c r="P2146" s="166"/>
      <c r="Q2146" s="166">
        <f t="shared" si="445"/>
        <v>135654.77591999999</v>
      </c>
      <c r="R2146" s="71"/>
      <c r="T2146" s="71"/>
    </row>
    <row r="2147" spans="1:41" s="62" customFormat="1" x14ac:dyDescent="0.25">
      <c r="A2147" s="358"/>
      <c r="B2147" s="361"/>
      <c r="C2147" s="245" t="s">
        <v>299</v>
      </c>
      <c r="D2147" s="240"/>
      <c r="E2147" s="240"/>
      <c r="F2147" s="181"/>
      <c r="G2147" s="227"/>
      <c r="H2147" s="241"/>
      <c r="I2147" s="206"/>
      <c r="J2147" s="228"/>
      <c r="K2147" s="207"/>
      <c r="L2147" s="257"/>
      <c r="M2147" s="209"/>
      <c r="N2147" s="290"/>
      <c r="O2147" s="279">
        <f>SUM(O2135:O2146)</f>
        <v>8.0198522095999998</v>
      </c>
      <c r="P2147" s="267"/>
      <c r="Q2147" s="267">
        <f>O2147*K2147</f>
        <v>0</v>
      </c>
      <c r="R2147" s="72"/>
    </row>
    <row r="2148" spans="1:41" s="61" customFormat="1" ht="47.25" x14ac:dyDescent="0.25">
      <c r="A2148" s="358"/>
      <c r="B2148" s="361"/>
      <c r="C2148" s="221" t="s">
        <v>434</v>
      </c>
      <c r="D2148" s="156" t="s">
        <v>436</v>
      </c>
      <c r="E2148" s="156" t="s">
        <v>28</v>
      </c>
      <c r="F2148" s="156" t="s">
        <v>437</v>
      </c>
      <c r="G2148" s="157">
        <f>MROUND(H2148*L2148*I2148/K2148,0.000000000001)</f>
        <v>2.5293930000000001E-5</v>
      </c>
      <c r="H2148" s="242">
        <f>Лист1!G123</f>
        <v>26</v>
      </c>
      <c r="I2148" s="159">
        <f>I2146</f>
        <v>0.16442999999999999</v>
      </c>
      <c r="J2148" s="160"/>
      <c r="K2148" s="161">
        <f>K2146</f>
        <v>169020</v>
      </c>
      <c r="L2148" s="162">
        <v>1</v>
      </c>
      <c r="M2148" s="163" t="str">
        <f>CONCATENATE(H2148," ",F2148,"*",I2148,"/",K2148,"чел.")</f>
        <v>26 огнетушителей (потребность учреждений) *0,16443/169020чел.</v>
      </c>
      <c r="N2148" s="164">
        <f>Лист1!I123</f>
        <v>2180</v>
      </c>
      <c r="O2148" s="165">
        <f>MROUND(G2148*N2148,0.000001)</f>
        <v>5.5140999999999996E-2</v>
      </c>
      <c r="P2148" s="166"/>
      <c r="Q2148" s="166">
        <f>O2148*K2148</f>
        <v>9319.9318199999998</v>
      </c>
      <c r="R2148" s="71"/>
    </row>
    <row r="2149" spans="1:41" s="61" customFormat="1" x14ac:dyDescent="0.25">
      <c r="A2149" s="358"/>
      <c r="B2149" s="361"/>
      <c r="C2149" s="218" t="s">
        <v>435</v>
      </c>
      <c r="D2149" s="240"/>
      <c r="E2149" s="240"/>
      <c r="F2149" s="240"/>
      <c r="G2149" s="251"/>
      <c r="H2149" s="241"/>
      <c r="I2149" s="206"/>
      <c r="J2149" s="228"/>
      <c r="K2149" s="207"/>
      <c r="L2149" s="229"/>
      <c r="M2149" s="209"/>
      <c r="N2149" s="210"/>
      <c r="O2149" s="198">
        <f>SUM(O2148)</f>
        <v>5.5140999999999996E-2</v>
      </c>
      <c r="P2149" s="166"/>
      <c r="Q2149" s="166"/>
      <c r="R2149" s="71"/>
    </row>
    <row r="2150" spans="1:41" s="61" customFormat="1" ht="110.25" x14ac:dyDescent="0.25">
      <c r="A2150" s="358"/>
      <c r="B2150" s="361"/>
      <c r="C2150" s="221" t="s">
        <v>82</v>
      </c>
      <c r="D2150" s="156" t="s">
        <v>46</v>
      </c>
      <c r="E2150" s="156" t="s">
        <v>54</v>
      </c>
      <c r="F2150" s="156" t="s">
        <v>285</v>
      </c>
      <c r="G2150" s="238">
        <f>MROUND(H2150*L2150*I2150/K2150,0.000000001)</f>
        <v>2.4807510000000002E-3</v>
      </c>
      <c r="H2150" s="158">
        <f>Лист1!G124</f>
        <v>231.81818181818178</v>
      </c>
      <c r="I2150" s="291">
        <f>I2136</f>
        <v>0.16442999999999999</v>
      </c>
      <c r="J2150" s="160"/>
      <c r="K2150" s="161">
        <f>K2136</f>
        <v>169020</v>
      </c>
      <c r="L2150" s="250">
        <v>11</v>
      </c>
      <c r="M2150" s="163" t="str">
        <f>CONCATENATE(H2150," ",F2150,"*",L2150,"автобус","*",I2150,"/",K2150,"чел/час")</f>
        <v>231,818181818182 л бензина АИ 92 (12,5л/день(зимой)*20дней*7мес+10л/день(летом)*20дней*4мес)*11автобус*0,16443/169020чел/час</v>
      </c>
      <c r="N2150" s="278">
        <f>Лист1!I124</f>
        <v>54.500000000000007</v>
      </c>
      <c r="O2150" s="280">
        <f t="shared" si="440"/>
        <v>0.13520099999999999</v>
      </c>
      <c r="P2150" s="166"/>
      <c r="Q2150" s="166">
        <f>O2150*K2150</f>
        <v>22851.673019999998</v>
      </c>
      <c r="R2150" s="71"/>
    </row>
    <row r="2151" spans="1:41" s="61" customFormat="1" ht="47.25" x14ac:dyDescent="0.25">
      <c r="A2151" s="358"/>
      <c r="B2151" s="361"/>
      <c r="C2151" s="364" t="s">
        <v>118</v>
      </c>
      <c r="D2151" s="156" t="s">
        <v>47</v>
      </c>
      <c r="E2151" s="156" t="s">
        <v>28</v>
      </c>
      <c r="F2151" s="156" t="s">
        <v>239</v>
      </c>
      <c r="G2151" s="238">
        <f>MROUND(H2151*L2151*I2151/K2151,0.00000000001)</f>
        <v>1.9456869999999998E-5</v>
      </c>
      <c r="H2151" s="158">
        <f>Лист1!G126</f>
        <v>20</v>
      </c>
      <c r="I2151" s="159">
        <f>I2150</f>
        <v>0.16442999999999999</v>
      </c>
      <c r="J2151" s="160"/>
      <c r="K2151" s="161">
        <f>K2150</f>
        <v>169020</v>
      </c>
      <c r="L2151" s="250">
        <v>1</v>
      </c>
      <c r="M2151" s="163" t="str">
        <f>CONCATENATE(H2151," ",F2151,"*",I2151,"/",K2151,"чел/час")</f>
        <v>20 манометров (потребность учреждений) *0,16443/169020чел/час</v>
      </c>
      <c r="N2151" s="278">
        <f>Лист1!I126</f>
        <v>650</v>
      </c>
      <c r="O2151" s="280">
        <f t="shared" si="440"/>
        <v>1.2647E-2</v>
      </c>
      <c r="P2151" s="166"/>
      <c r="Q2151" s="166">
        <f>O2151*K2151</f>
        <v>2137.5959400000002</v>
      </c>
      <c r="R2151" s="71"/>
      <c r="T2151" s="71"/>
    </row>
    <row r="2152" spans="1:41" s="61" customFormat="1" ht="47.25" x14ac:dyDescent="0.25">
      <c r="A2152" s="358"/>
      <c r="B2152" s="361"/>
      <c r="C2152" s="364"/>
      <c r="D2152" s="255" t="s">
        <v>113</v>
      </c>
      <c r="E2152" s="156" t="s">
        <v>28</v>
      </c>
      <c r="F2152" s="156" t="s">
        <v>240</v>
      </c>
      <c r="G2152" s="238">
        <f>MROUND(H2152*L2152*I2152/K2152,0.00000000001)</f>
        <v>9.7284349999999996E-5</v>
      </c>
      <c r="H2152" s="158">
        <v>100</v>
      </c>
      <c r="I2152" s="159">
        <f>I2151</f>
        <v>0.16442999999999999</v>
      </c>
      <c r="J2152" s="160"/>
      <c r="K2152" s="161">
        <f>K2151</f>
        <v>169020</v>
      </c>
      <c r="L2152" s="250">
        <v>1</v>
      </c>
      <c r="M2152" s="163" t="str">
        <f>CONCATENATE(H2152," ",F2152,"*",I2152,"/",K2152,"чел/час")</f>
        <v>100 светильников (потребность учреждений)*0,16443/169020чел/час</v>
      </c>
      <c r="N2152" s="278">
        <f>Лист1!I127</f>
        <v>106.27500000000001</v>
      </c>
      <c r="O2152" s="280">
        <f t="shared" si="440"/>
        <v>1.0338999999999999E-2</v>
      </c>
      <c r="P2152" s="166"/>
      <c r="Q2152" s="166">
        <f>O2152*K2152</f>
        <v>1747.4977799999999</v>
      </c>
      <c r="R2152" s="71"/>
    </row>
    <row r="2153" spans="1:41" s="109" customFormat="1" x14ac:dyDescent="0.25">
      <c r="A2153" s="359"/>
      <c r="B2153" s="362"/>
      <c r="C2153" s="218" t="s">
        <v>301</v>
      </c>
      <c r="D2153" s="256"/>
      <c r="E2153" s="240"/>
      <c r="F2153" s="240"/>
      <c r="G2153" s="227"/>
      <c r="H2153" s="241"/>
      <c r="I2153" s="206"/>
      <c r="J2153" s="228"/>
      <c r="K2153" s="207"/>
      <c r="L2153" s="257"/>
      <c r="M2153" s="209"/>
      <c r="N2153" s="281"/>
      <c r="O2153" s="279">
        <f>O2151+O2152</f>
        <v>2.2985999999999999E-2</v>
      </c>
      <c r="P2153" s="267"/>
      <c r="Q2153" s="166"/>
      <c r="R2153" s="71"/>
      <c r="S2153" s="62"/>
      <c r="T2153" s="62"/>
      <c r="U2153" s="62"/>
      <c r="V2153" s="62"/>
      <c r="W2153" s="62"/>
      <c r="X2153" s="62"/>
      <c r="Y2153" s="62"/>
      <c r="Z2153" s="62"/>
      <c r="AA2153" s="62"/>
      <c r="AB2153" s="62"/>
      <c r="AC2153" s="62"/>
      <c r="AD2153" s="62"/>
      <c r="AE2153" s="62"/>
      <c r="AF2153" s="62"/>
      <c r="AG2153" s="62"/>
      <c r="AH2153" s="62"/>
      <c r="AI2153" s="62"/>
      <c r="AJ2153" s="62"/>
      <c r="AK2153" s="62"/>
      <c r="AL2153" s="62"/>
      <c r="AM2153" s="62"/>
      <c r="AN2153" s="62"/>
      <c r="AO2153" s="62"/>
    </row>
    <row r="2154" spans="1:41" s="108" customFormat="1" x14ac:dyDescent="0.25">
      <c r="A2154" s="357" t="str">
        <f>школы!$B$33</f>
        <v>Реализация дополнительных общеразвивающих программ (естественнонаучная направленность)</v>
      </c>
      <c r="B2154" s="360" t="str">
        <f>школы!$A$33</f>
        <v>801012О.99.0.ББ57АЕ28000</v>
      </c>
      <c r="C2154" s="194"/>
      <c r="D2154" s="363" t="s">
        <v>15</v>
      </c>
      <c r="E2154" s="363"/>
      <c r="F2154" s="363"/>
      <c r="G2154" s="363"/>
      <c r="H2154" s="195"/>
      <c r="I2154" s="195"/>
      <c r="J2154" s="195"/>
      <c r="K2154" s="195"/>
      <c r="L2154" s="196"/>
      <c r="M2154" s="197"/>
      <c r="N2154" s="278"/>
      <c r="O2154" s="279">
        <f>O2155+O2160</f>
        <v>127.41300736660001</v>
      </c>
      <c r="P2154" s="166"/>
      <c r="Q2154" s="166">
        <f>O2154*K2154</f>
        <v>0</v>
      </c>
      <c r="R2154" s="71"/>
      <c r="S2154" s="61"/>
      <c r="T2154" s="61"/>
      <c r="U2154" s="61"/>
      <c r="V2154" s="61"/>
      <c r="W2154" s="61"/>
      <c r="X2154" s="61"/>
      <c r="Y2154" s="61"/>
      <c r="Z2154" s="61"/>
      <c r="AA2154" s="61"/>
      <c r="AB2154" s="61"/>
      <c r="AC2154" s="61"/>
      <c r="AD2154" s="61"/>
      <c r="AE2154" s="61"/>
      <c r="AF2154" s="61"/>
      <c r="AG2154" s="61"/>
      <c r="AH2154" s="61"/>
      <c r="AI2154" s="61"/>
      <c r="AJ2154" s="61"/>
      <c r="AK2154" s="61"/>
      <c r="AL2154" s="61"/>
      <c r="AM2154" s="61"/>
      <c r="AN2154" s="61"/>
      <c r="AO2154" s="61"/>
    </row>
    <row r="2155" spans="1:41" s="108" customFormat="1" x14ac:dyDescent="0.25">
      <c r="A2155" s="358"/>
      <c r="B2155" s="361"/>
      <c r="C2155" s="194"/>
      <c r="D2155" s="350" t="s">
        <v>62</v>
      </c>
      <c r="E2155" s="350"/>
      <c r="F2155" s="350"/>
      <c r="G2155" s="350"/>
      <c r="H2155" s="195"/>
      <c r="I2155" s="195"/>
      <c r="J2155" s="195"/>
      <c r="K2155" s="195"/>
      <c r="L2155" s="196"/>
      <c r="M2155" s="197"/>
      <c r="N2155" s="278"/>
      <c r="O2155" s="279">
        <f>O2156+O2158</f>
        <v>126.64459836660001</v>
      </c>
      <c r="P2155" s="166"/>
      <c r="Q2155" s="166">
        <f>O2155*K2155</f>
        <v>0</v>
      </c>
      <c r="R2155" s="71"/>
      <c r="S2155" s="61"/>
      <c r="T2155" s="61"/>
      <c r="U2155" s="61"/>
      <c r="V2155" s="61"/>
      <c r="W2155" s="61"/>
      <c r="X2155" s="61"/>
      <c r="Y2155" s="61"/>
      <c r="Z2155" s="61"/>
      <c r="AA2155" s="61"/>
      <c r="AB2155" s="61"/>
      <c r="AC2155" s="61"/>
      <c r="AD2155" s="61"/>
      <c r="AE2155" s="61"/>
      <c r="AF2155" s="61"/>
      <c r="AG2155" s="61"/>
      <c r="AH2155" s="61"/>
      <c r="AI2155" s="61"/>
      <c r="AJ2155" s="61"/>
      <c r="AK2155" s="61"/>
      <c r="AL2155" s="61"/>
      <c r="AM2155" s="61"/>
      <c r="AN2155" s="61"/>
      <c r="AO2155" s="61"/>
    </row>
    <row r="2156" spans="1:41" s="61" customFormat="1" ht="31.5" x14ac:dyDescent="0.25">
      <c r="A2156" s="358"/>
      <c r="B2156" s="361"/>
      <c r="C2156" s="194">
        <v>211</v>
      </c>
      <c r="D2156" s="194" t="s">
        <v>86</v>
      </c>
      <c r="E2156" s="199" t="s">
        <v>95</v>
      </c>
      <c r="F2156" s="199" t="s">
        <v>95</v>
      </c>
      <c r="G2156" s="275">
        <f>MROUND(H2156*L2156*I2156/K2156,0.00000000001)</f>
        <v>4.1594434399999996E-3</v>
      </c>
      <c r="H2156" s="201">
        <f>H2052</f>
        <v>368.4</v>
      </c>
      <c r="I2156" s="159">
        <f>школы!$K$33</f>
        <v>5.7547999999999995E-2</v>
      </c>
      <c r="J2156" s="159"/>
      <c r="K2156" s="161">
        <f>школы!$G$33</f>
        <v>61164</v>
      </c>
      <c r="L2156" s="202">
        <v>12</v>
      </c>
      <c r="M2156" s="163" t="str">
        <f>CONCATENATE(H2156," ",F2156," ","в мес.","*",L2156,"мес.","*",I2156,"/",K2156,"чел/час")</f>
        <v>368,4 шт.ед в мес.*12мес.*0,057548/61164чел/час</v>
      </c>
      <c r="N2156" s="278">
        <f>N2052</f>
        <v>23385.182971407892</v>
      </c>
      <c r="O2156" s="280">
        <f>MROUND(N2156*G2156,0.0000000001)</f>
        <v>97.269345903599998</v>
      </c>
      <c r="P2156" s="166"/>
      <c r="Q2156" s="166">
        <f>O2156*K2156</f>
        <v>5949382.2728477903</v>
      </c>
      <c r="R2156" s="71"/>
    </row>
    <row r="2157" spans="1:41" s="110" customFormat="1" x14ac:dyDescent="0.25">
      <c r="A2157" s="358"/>
      <c r="B2157" s="361"/>
      <c r="C2157" s="261" t="s">
        <v>288</v>
      </c>
      <c r="D2157" s="261"/>
      <c r="E2157" s="292"/>
      <c r="F2157" s="292"/>
      <c r="G2157" s="293"/>
      <c r="H2157" s="262"/>
      <c r="I2157" s="262"/>
      <c r="J2157" s="262"/>
      <c r="K2157" s="263"/>
      <c r="L2157" s="264"/>
      <c r="M2157" s="209"/>
      <c r="N2157" s="210"/>
      <c r="O2157" s="294">
        <f>O2156</f>
        <v>97.269345903599998</v>
      </c>
      <c r="P2157" s="295"/>
      <c r="Q2157" s="166"/>
      <c r="R2157" s="71"/>
      <c r="S2157" s="92"/>
      <c r="T2157" s="92"/>
      <c r="U2157" s="92"/>
      <c r="V2157" s="92"/>
      <c r="W2157" s="92"/>
      <c r="X2157" s="92"/>
      <c r="Y2157" s="92"/>
      <c r="Z2157" s="92"/>
      <c r="AA2157" s="92"/>
      <c r="AB2157" s="92"/>
      <c r="AC2157" s="92"/>
      <c r="AD2157" s="92"/>
      <c r="AE2157" s="92"/>
      <c r="AF2157" s="92"/>
      <c r="AG2157" s="92"/>
      <c r="AH2157" s="92"/>
      <c r="AI2157" s="92"/>
      <c r="AJ2157" s="92"/>
      <c r="AK2157" s="92"/>
      <c r="AL2157" s="92"/>
      <c r="AM2157" s="92"/>
      <c r="AN2157" s="92"/>
      <c r="AO2157" s="92"/>
    </row>
    <row r="2158" spans="1:41" s="61" customFormat="1" x14ac:dyDescent="0.25">
      <c r="A2158" s="358"/>
      <c r="B2158" s="361"/>
      <c r="C2158" s="194">
        <v>213</v>
      </c>
      <c r="D2158" s="194" t="s">
        <v>87</v>
      </c>
      <c r="E2158" s="194" t="s">
        <v>88</v>
      </c>
      <c r="F2158" s="194"/>
      <c r="G2158" s="211">
        <v>30.2</v>
      </c>
      <c r="H2158" s="159"/>
      <c r="I2158" s="282">
        <f>I2156</f>
        <v>5.7547999999999995E-2</v>
      </c>
      <c r="J2158" s="159"/>
      <c r="K2158" s="161">
        <f>K2156</f>
        <v>61164</v>
      </c>
      <c r="L2158" s="202"/>
      <c r="M2158" s="212"/>
      <c r="N2158" s="278"/>
      <c r="O2158" s="280">
        <f>MROUND(O2156*0.302,0.000000001)-0.00009</f>
        <v>29.375252463000002</v>
      </c>
      <c r="P2158" s="166"/>
      <c r="Q2158" s="166">
        <f>O2158*K2158</f>
        <v>1796707.9416469322</v>
      </c>
      <c r="R2158" s="71"/>
    </row>
    <row r="2159" spans="1:41" s="109" customFormat="1" x14ac:dyDescent="0.25">
      <c r="A2159" s="358"/>
      <c r="B2159" s="361"/>
      <c r="C2159" s="203" t="s">
        <v>289</v>
      </c>
      <c r="D2159" s="203"/>
      <c r="E2159" s="203"/>
      <c r="F2159" s="203"/>
      <c r="G2159" s="213"/>
      <c r="H2159" s="214"/>
      <c r="I2159" s="206"/>
      <c r="J2159" s="214"/>
      <c r="K2159" s="207"/>
      <c r="L2159" s="215"/>
      <c r="M2159" s="216"/>
      <c r="N2159" s="281"/>
      <c r="O2159" s="279">
        <f>O2158</f>
        <v>29.375252463000002</v>
      </c>
      <c r="P2159" s="267"/>
      <c r="Q2159" s="166">
        <f>O2159*K2159</f>
        <v>0</v>
      </c>
      <c r="R2159" s="71"/>
      <c r="S2159" s="62"/>
      <c r="T2159" s="62"/>
      <c r="U2159" s="62"/>
      <c r="V2159" s="62"/>
      <c r="W2159" s="62"/>
      <c r="X2159" s="62"/>
      <c r="Y2159" s="62"/>
      <c r="Z2159" s="62"/>
      <c r="AA2159" s="62"/>
      <c r="AB2159" s="62"/>
      <c r="AC2159" s="62"/>
      <c r="AD2159" s="62"/>
      <c r="AE2159" s="62"/>
      <c r="AF2159" s="62"/>
      <c r="AG2159" s="62"/>
      <c r="AH2159" s="62"/>
      <c r="AI2159" s="62"/>
      <c r="AJ2159" s="62"/>
      <c r="AK2159" s="62"/>
      <c r="AL2159" s="62"/>
      <c r="AM2159" s="62"/>
      <c r="AN2159" s="62"/>
      <c r="AO2159" s="62"/>
    </row>
    <row r="2160" spans="1:41" s="108" customFormat="1" x14ac:dyDescent="0.25">
      <c r="A2160" s="358"/>
      <c r="B2160" s="361"/>
      <c r="C2160" s="194"/>
      <c r="D2160" s="356" t="s">
        <v>63</v>
      </c>
      <c r="E2160" s="356"/>
      <c r="F2160" s="356"/>
      <c r="G2160" s="356"/>
      <c r="H2160" s="195"/>
      <c r="I2160" s="159"/>
      <c r="J2160" s="195"/>
      <c r="K2160" s="161"/>
      <c r="L2160" s="196"/>
      <c r="M2160" s="197"/>
      <c r="N2160" s="278"/>
      <c r="O2160" s="280">
        <f>O2161</f>
        <v>0.76840900000000001</v>
      </c>
      <c r="P2160" s="166"/>
      <c r="Q2160" s="166">
        <f>O2160*K2160</f>
        <v>0</v>
      </c>
      <c r="R2160" s="71"/>
      <c r="S2160" s="61"/>
      <c r="T2160" s="61"/>
      <c r="U2160" s="61"/>
      <c r="V2160" s="61"/>
      <c r="W2160" s="61"/>
      <c r="X2160" s="61"/>
      <c r="Y2160" s="61"/>
      <c r="Z2160" s="61"/>
      <c r="AA2160" s="61"/>
      <c r="AB2160" s="61"/>
      <c r="AC2160" s="61"/>
      <c r="AD2160" s="61"/>
      <c r="AE2160" s="61"/>
      <c r="AF2160" s="61"/>
      <c r="AG2160" s="61"/>
      <c r="AH2160" s="61"/>
      <c r="AI2160" s="61"/>
      <c r="AJ2160" s="61"/>
      <c r="AK2160" s="61"/>
      <c r="AL2160" s="61"/>
      <c r="AM2160" s="61"/>
      <c r="AN2160" s="61"/>
      <c r="AO2160" s="61"/>
    </row>
    <row r="2161" spans="1:41" s="61" customFormat="1" x14ac:dyDescent="0.25">
      <c r="A2161" s="358"/>
      <c r="B2161" s="361"/>
      <c r="C2161" s="194" t="s">
        <v>118</v>
      </c>
      <c r="D2161" s="194" t="s">
        <v>259</v>
      </c>
      <c r="E2161" s="194" t="s">
        <v>260</v>
      </c>
      <c r="F2161" s="194" t="s">
        <v>261</v>
      </c>
      <c r="G2161" s="238">
        <f>MROUND(H2161*L2161*I2161/K2161,0.000000000001)</f>
        <v>1.140346871E-3</v>
      </c>
      <c r="H2161" s="283">
        <f>H2057</f>
        <v>1212</v>
      </c>
      <c r="I2161" s="282">
        <f>I2158</f>
        <v>5.7547999999999995E-2</v>
      </c>
      <c r="J2161" s="195"/>
      <c r="K2161" s="161">
        <f>K2158</f>
        <v>61164</v>
      </c>
      <c r="L2161" s="196">
        <v>1</v>
      </c>
      <c r="M2161" s="163" t="str">
        <f>CONCATENATE(H2161," ",F2161,"*",I2161,"/",K2161,"чел/час")</f>
        <v>1212 упаковок*0,057548/61164чел/час</v>
      </c>
      <c r="N2161" s="278">
        <f>N2057</f>
        <v>673.83800330033012</v>
      </c>
      <c r="O2161" s="280">
        <f>MROUND(N2161*G2161,0.000001)</f>
        <v>0.76840900000000001</v>
      </c>
      <c r="P2161" s="166"/>
      <c r="Q2161" s="166">
        <f>O2161*K2161</f>
        <v>46998.968075999997</v>
      </c>
      <c r="R2161" s="71"/>
    </row>
    <row r="2162" spans="1:41" s="109" customFormat="1" x14ac:dyDescent="0.25">
      <c r="A2162" s="358"/>
      <c r="B2162" s="361"/>
      <c r="C2162" s="203" t="s">
        <v>301</v>
      </c>
      <c r="D2162" s="203"/>
      <c r="E2162" s="203"/>
      <c r="F2162" s="203"/>
      <c r="G2162" s="227"/>
      <c r="H2162" s="214"/>
      <c r="I2162" s="206"/>
      <c r="J2162" s="214"/>
      <c r="K2162" s="207"/>
      <c r="L2162" s="215"/>
      <c r="M2162" s="209"/>
      <c r="N2162" s="281"/>
      <c r="O2162" s="279">
        <f>O2160+O2161</f>
        <v>1.536818</v>
      </c>
      <c r="P2162" s="267"/>
      <c r="Q2162" s="166"/>
      <c r="R2162" s="71"/>
      <c r="S2162" s="62"/>
      <c r="T2162" s="62"/>
      <c r="U2162" s="62"/>
      <c r="V2162" s="62"/>
      <c r="W2162" s="62"/>
      <c r="X2162" s="62"/>
      <c r="Y2162" s="62"/>
      <c r="Z2162" s="62"/>
      <c r="AA2162" s="62"/>
      <c r="AB2162" s="62"/>
      <c r="AC2162" s="62"/>
      <c r="AD2162" s="62"/>
      <c r="AE2162" s="62"/>
      <c r="AF2162" s="62"/>
      <c r="AG2162" s="62"/>
      <c r="AH2162" s="62"/>
      <c r="AI2162" s="62"/>
      <c r="AJ2162" s="62"/>
      <c r="AK2162" s="62"/>
      <c r="AL2162" s="62"/>
      <c r="AM2162" s="62"/>
      <c r="AN2162" s="62"/>
      <c r="AO2162" s="62"/>
    </row>
    <row r="2163" spans="1:41" s="108" customFormat="1" x14ac:dyDescent="0.25">
      <c r="A2163" s="358"/>
      <c r="B2163" s="361"/>
      <c r="C2163" s="194"/>
      <c r="D2163" s="350" t="s">
        <v>64</v>
      </c>
      <c r="E2163" s="350"/>
      <c r="F2163" s="350"/>
      <c r="G2163" s="350"/>
      <c r="H2163" s="195"/>
      <c r="I2163" s="159"/>
      <c r="J2163" s="195"/>
      <c r="K2163" s="161"/>
      <c r="L2163" s="196"/>
      <c r="M2163" s="197"/>
      <c r="N2163" s="278"/>
      <c r="O2163" s="280"/>
      <c r="P2163" s="166"/>
      <c r="Q2163" s="166">
        <f t="shared" ref="Q2163:Q2173" si="449">O2163*K2163</f>
        <v>0</v>
      </c>
      <c r="R2163" s="71"/>
      <c r="S2163" s="61"/>
      <c r="T2163" s="61"/>
      <c r="U2163" s="61"/>
      <c r="V2163" s="61"/>
      <c r="W2163" s="61"/>
      <c r="X2163" s="61"/>
      <c r="Y2163" s="61"/>
      <c r="Z2163" s="61"/>
      <c r="AA2163" s="61"/>
      <c r="AB2163" s="61"/>
      <c r="AC2163" s="61"/>
      <c r="AD2163" s="61"/>
      <c r="AE2163" s="61"/>
      <c r="AF2163" s="61"/>
      <c r="AG2163" s="61"/>
      <c r="AH2163" s="61"/>
      <c r="AI2163" s="61"/>
      <c r="AJ2163" s="61"/>
      <c r="AK2163" s="61"/>
      <c r="AL2163" s="61"/>
      <c r="AM2163" s="61"/>
      <c r="AN2163" s="61"/>
      <c r="AO2163" s="61"/>
    </row>
    <row r="2164" spans="1:41" s="108" customFormat="1" x14ac:dyDescent="0.25">
      <c r="A2164" s="358"/>
      <c r="B2164" s="361"/>
      <c r="C2164" s="194"/>
      <c r="D2164" s="194"/>
      <c r="E2164" s="194"/>
      <c r="F2164" s="194"/>
      <c r="G2164" s="217"/>
      <c r="H2164" s="195"/>
      <c r="I2164" s="159"/>
      <c r="J2164" s="195"/>
      <c r="K2164" s="161"/>
      <c r="L2164" s="196"/>
      <c r="M2164" s="197"/>
      <c r="N2164" s="278"/>
      <c r="O2164" s="280"/>
      <c r="P2164" s="166"/>
      <c r="Q2164" s="166">
        <f t="shared" si="449"/>
        <v>0</v>
      </c>
      <c r="R2164" s="71"/>
      <c r="S2164" s="61"/>
      <c r="T2164" s="61"/>
      <c r="U2164" s="61"/>
      <c r="V2164" s="61"/>
      <c r="W2164" s="61"/>
      <c r="X2164" s="61"/>
      <c r="Y2164" s="61"/>
      <c r="Z2164" s="61"/>
      <c r="AA2164" s="61"/>
      <c r="AB2164" s="61"/>
      <c r="AC2164" s="61"/>
      <c r="AD2164" s="61"/>
      <c r="AE2164" s="61"/>
      <c r="AF2164" s="61"/>
      <c r="AG2164" s="61"/>
      <c r="AH2164" s="61"/>
      <c r="AI2164" s="61"/>
      <c r="AJ2164" s="61"/>
      <c r="AK2164" s="61"/>
      <c r="AL2164" s="61"/>
      <c r="AM2164" s="61"/>
      <c r="AN2164" s="61"/>
      <c r="AO2164" s="61"/>
    </row>
    <row r="2165" spans="1:41" s="108" customFormat="1" x14ac:dyDescent="0.25">
      <c r="A2165" s="358"/>
      <c r="B2165" s="361"/>
      <c r="C2165" s="194"/>
      <c r="D2165" s="355" t="s">
        <v>5</v>
      </c>
      <c r="E2165" s="355"/>
      <c r="F2165" s="355"/>
      <c r="G2165" s="355"/>
      <c r="H2165" s="195"/>
      <c r="I2165" s="159"/>
      <c r="J2165" s="195"/>
      <c r="K2165" s="161"/>
      <c r="L2165" s="196"/>
      <c r="M2165" s="197"/>
      <c r="N2165" s="278"/>
      <c r="O2165" s="279">
        <f>O2166+O2175+O2186+O2188+O2199+O2195</f>
        <v>115.96032630799999</v>
      </c>
      <c r="P2165" s="166"/>
      <c r="Q2165" s="166">
        <f t="shared" si="449"/>
        <v>0</v>
      </c>
      <c r="R2165" s="71"/>
      <c r="S2165" s="61"/>
      <c r="T2165" s="61"/>
      <c r="U2165" s="61"/>
      <c r="V2165" s="61"/>
      <c r="W2165" s="61"/>
      <c r="X2165" s="61"/>
      <c r="Y2165" s="61"/>
      <c r="Z2165" s="61"/>
      <c r="AA2165" s="61"/>
      <c r="AB2165" s="61"/>
      <c r="AC2165" s="61"/>
      <c r="AD2165" s="61"/>
      <c r="AE2165" s="61"/>
      <c r="AF2165" s="61"/>
      <c r="AG2165" s="61"/>
      <c r="AH2165" s="61"/>
      <c r="AI2165" s="61"/>
      <c r="AJ2165" s="61"/>
      <c r="AK2165" s="61"/>
      <c r="AL2165" s="61"/>
      <c r="AM2165" s="61"/>
      <c r="AN2165" s="61"/>
      <c r="AO2165" s="61"/>
    </row>
    <row r="2166" spans="1:41" s="108" customFormat="1" x14ac:dyDescent="0.25">
      <c r="A2166" s="358"/>
      <c r="B2166" s="361"/>
      <c r="C2166" s="221" t="s">
        <v>70</v>
      </c>
      <c r="D2166" s="355" t="s">
        <v>6</v>
      </c>
      <c r="E2166" s="355"/>
      <c r="F2166" s="355"/>
      <c r="G2166" s="355"/>
      <c r="H2166" s="189"/>
      <c r="I2166" s="159"/>
      <c r="J2166" s="189"/>
      <c r="K2166" s="161"/>
      <c r="L2166" s="190"/>
      <c r="M2166" s="197"/>
      <c r="N2166" s="278"/>
      <c r="O2166" s="279">
        <f>O2167+O2168+O2169+O2170+O2171+O2172+O2173</f>
        <v>5.9434399999999998</v>
      </c>
      <c r="P2166" s="166"/>
      <c r="Q2166" s="166">
        <f t="shared" si="449"/>
        <v>0</v>
      </c>
      <c r="R2166" s="71"/>
      <c r="S2166" s="61"/>
      <c r="T2166" s="61"/>
      <c r="U2166" s="61"/>
      <c r="V2166" s="61"/>
      <c r="W2166" s="61"/>
      <c r="X2166" s="61"/>
      <c r="Y2166" s="61"/>
      <c r="Z2166" s="61"/>
      <c r="AA2166" s="61"/>
      <c r="AB2166" s="61"/>
      <c r="AC2166" s="61"/>
      <c r="AD2166" s="61"/>
      <c r="AE2166" s="61"/>
      <c r="AF2166" s="61"/>
      <c r="AG2166" s="61"/>
      <c r="AH2166" s="61"/>
      <c r="AI2166" s="61"/>
      <c r="AJ2166" s="61"/>
      <c r="AK2166" s="61"/>
      <c r="AL2166" s="61"/>
      <c r="AM2166" s="61"/>
      <c r="AN2166" s="61"/>
      <c r="AO2166" s="61"/>
    </row>
    <row r="2167" spans="1:41" s="61" customFormat="1" ht="31.5" x14ac:dyDescent="0.25">
      <c r="A2167" s="358"/>
      <c r="B2167" s="361"/>
      <c r="C2167" s="221" t="s">
        <v>72</v>
      </c>
      <c r="D2167" s="222" t="s">
        <v>7</v>
      </c>
      <c r="E2167" s="223" t="s">
        <v>8</v>
      </c>
      <c r="F2167" s="223" t="s">
        <v>8</v>
      </c>
      <c r="G2167" s="238">
        <f>MROUND(H2167*L2167*I2167/K2167,0.000000000001)</f>
        <v>0.10637605073799999</v>
      </c>
      <c r="H2167" s="160">
        <f>H2063</f>
        <v>113060.13705633247</v>
      </c>
      <c r="I2167" s="282">
        <f>I2161</f>
        <v>5.7547999999999995E-2</v>
      </c>
      <c r="J2167" s="160"/>
      <c r="K2167" s="161">
        <f>K2161</f>
        <v>61164</v>
      </c>
      <c r="L2167" s="250">
        <v>1</v>
      </c>
      <c r="M2167" s="163" t="str">
        <f>CONCATENATE(H2167," ",F2167,"(лимиты выделенные УЖКХ) ","*",I2167,"/",K2167,"чел/час")</f>
        <v>113060,137056332 кВт час.(лимиты выделенные УЖКХ) *0,057548/61164чел/час</v>
      </c>
      <c r="N2167" s="278">
        <f t="shared" ref="N2167:N2173" si="450">N2063</f>
        <v>10.461700036774822</v>
      </c>
      <c r="O2167" s="280">
        <f>MROUND(N2167*G2167,0.000001)</f>
        <v>1.1128739999999999</v>
      </c>
      <c r="P2167" s="166"/>
      <c r="Q2167" s="166">
        <f t="shared" si="449"/>
        <v>68067.825335999994</v>
      </c>
      <c r="R2167" s="71"/>
    </row>
    <row r="2168" spans="1:41" s="61" customFormat="1" ht="31.5" x14ac:dyDescent="0.25">
      <c r="A2168" s="358"/>
      <c r="B2168" s="361"/>
      <c r="C2168" s="221" t="s">
        <v>73</v>
      </c>
      <c r="D2168" s="222" t="s">
        <v>9</v>
      </c>
      <c r="E2168" s="223" t="s">
        <v>10</v>
      </c>
      <c r="F2168" s="223" t="s">
        <v>10</v>
      </c>
      <c r="G2168" s="238">
        <f>MROUND(H2168*L2168*I2168/K2168,0.0000000001)</f>
        <v>1.3115870999999999E-3</v>
      </c>
      <c r="H2168" s="160">
        <f>H2064</f>
        <v>1394</v>
      </c>
      <c r="I2168" s="159">
        <f t="shared" ref="I2168:I2173" si="451">I2167</f>
        <v>5.7547999999999995E-2</v>
      </c>
      <c r="J2168" s="160"/>
      <c r="K2168" s="161">
        <f t="shared" ref="K2168:K2173" si="452">K2167</f>
        <v>61164</v>
      </c>
      <c r="L2168" s="250">
        <v>1</v>
      </c>
      <c r="M2168" s="163" t="str">
        <f>CONCATENATE(H2168," ",F2168,"(лимиты выделенные УЖКХ) ","*",I2168,"/",K2168,"чел/час")</f>
        <v>1394 Гкал(лимиты выделенные УЖКХ) *0,057548/61164чел/час</v>
      </c>
      <c r="N2168" s="278">
        <f t="shared" si="450"/>
        <v>2845.3649999999998</v>
      </c>
      <c r="O2168" s="280">
        <f t="shared" ref="O2168:O2173" si="453">MROUND(N2168*G2168,0.000001)</f>
        <v>3.7319439999999999</v>
      </c>
      <c r="P2168" s="166"/>
      <c r="Q2168" s="166">
        <f t="shared" si="449"/>
        <v>228260.62281599999</v>
      </c>
      <c r="R2168" s="71"/>
    </row>
    <row r="2169" spans="1:41" s="61" customFormat="1" ht="31.5" x14ac:dyDescent="0.25">
      <c r="A2169" s="358"/>
      <c r="B2169" s="361"/>
      <c r="C2169" s="364" t="s">
        <v>74</v>
      </c>
      <c r="D2169" s="222" t="s">
        <v>12</v>
      </c>
      <c r="E2169" s="222" t="s">
        <v>11</v>
      </c>
      <c r="F2169" s="222" t="s">
        <v>11</v>
      </c>
      <c r="G2169" s="238">
        <f>MROUND(H2169*L2169*I2169/K2169,0.00000000001)</f>
        <v>3.8022006099999997E-3</v>
      </c>
      <c r="H2169" s="224">
        <f>H2065</f>
        <v>4041.1099999999997</v>
      </c>
      <c r="I2169" s="159">
        <f t="shared" si="451"/>
        <v>5.7547999999999995E-2</v>
      </c>
      <c r="J2169" s="160"/>
      <c r="K2169" s="161">
        <f t="shared" si="452"/>
        <v>61164</v>
      </c>
      <c r="L2169" s="250">
        <v>1</v>
      </c>
      <c r="M2169" s="163" t="str">
        <f>CONCATENATE(H2169," ",F2169,"(лимиты выделенные УЖКХ) ","*",I2169,"/",K2169,"чел/час")</f>
        <v>4041,11 м3(лимиты выделенные УЖКХ) *0,057548/61164чел/час</v>
      </c>
      <c r="N2169" s="278">
        <f t="shared" si="450"/>
        <v>51.830000000000013</v>
      </c>
      <c r="O2169" s="280">
        <f t="shared" si="453"/>
        <v>0.19706799999999999</v>
      </c>
      <c r="P2169" s="166"/>
      <c r="Q2169" s="166">
        <f t="shared" si="449"/>
        <v>12053.467151999999</v>
      </c>
      <c r="R2169" s="71"/>
    </row>
    <row r="2170" spans="1:41" s="61" customFormat="1" ht="47.25" x14ac:dyDescent="0.25">
      <c r="A2170" s="358"/>
      <c r="B2170" s="361"/>
      <c r="C2170" s="364"/>
      <c r="D2170" s="222" t="s">
        <v>17</v>
      </c>
      <c r="E2170" s="222" t="s">
        <v>11</v>
      </c>
      <c r="F2170" s="222" t="s">
        <v>11</v>
      </c>
      <c r="G2170" s="238">
        <f>MROUND(H2170*L2170*I2170/K2170,0.00000000001)</f>
        <v>3.8022006099999997E-3</v>
      </c>
      <c r="H2170" s="160">
        <f>Лист1!G15</f>
        <v>4041.1099999999997</v>
      </c>
      <c r="I2170" s="159">
        <f t="shared" si="451"/>
        <v>5.7547999999999995E-2</v>
      </c>
      <c r="J2170" s="160"/>
      <c r="K2170" s="161">
        <f t="shared" si="452"/>
        <v>61164</v>
      </c>
      <c r="L2170" s="162">
        <f>$L$25</f>
        <v>1</v>
      </c>
      <c r="M2170" s="163" t="str">
        <f>CONCATENATE(H2170," ",F2170,"(лимиты выделенные УЖКХ) ","*",I2170,"/",K2170,"чел/час")</f>
        <v>4041,11 м3(лимиты выделенные УЖКХ) *0,057548/61164чел/час</v>
      </c>
      <c r="N2170" s="164">
        <f t="shared" si="450"/>
        <v>78.761157534246578</v>
      </c>
      <c r="O2170" s="280">
        <f t="shared" si="453"/>
        <v>0.29946600000000001</v>
      </c>
      <c r="P2170" s="166"/>
      <c r="Q2170" s="166">
        <f t="shared" si="449"/>
        <v>18316.538424000002</v>
      </c>
      <c r="R2170" s="71"/>
    </row>
    <row r="2171" spans="1:41" s="61" customFormat="1" ht="31.5" x14ac:dyDescent="0.25">
      <c r="A2171" s="358"/>
      <c r="B2171" s="361"/>
      <c r="C2171" s="364"/>
      <c r="D2171" s="222" t="s">
        <v>13</v>
      </c>
      <c r="E2171" s="222" t="s">
        <v>11</v>
      </c>
      <c r="F2171" s="222" t="s">
        <v>11</v>
      </c>
      <c r="G2171" s="238">
        <f>MROUND(H2171*L2171*I2171/K2171,0.00000000001)</f>
        <v>3.8022006099999997E-3</v>
      </c>
      <c r="H2171" s="160">
        <f>H2067</f>
        <v>4041.1099999999997</v>
      </c>
      <c r="I2171" s="159">
        <f t="shared" si="451"/>
        <v>5.7547999999999995E-2</v>
      </c>
      <c r="J2171" s="160"/>
      <c r="K2171" s="161">
        <f t="shared" si="452"/>
        <v>61164</v>
      </c>
      <c r="L2171" s="162">
        <v>1</v>
      </c>
      <c r="M2171" s="163" t="str">
        <f>CONCATENATE(H2171," ",F2171,"(лимиты выделенные УЖКХ) ","*",I2171,"/",K2171,"чел/час")</f>
        <v>4041,11 м3(лимиты выделенные УЖКХ) *0,057548/61164чел/час</v>
      </c>
      <c r="N2171" s="278">
        <f t="shared" si="450"/>
        <v>96.180004349493274</v>
      </c>
      <c r="O2171" s="280">
        <f t="shared" si="453"/>
        <v>0.36569599999999997</v>
      </c>
      <c r="P2171" s="166"/>
      <c r="Q2171" s="166">
        <f t="shared" si="449"/>
        <v>22367.430143999998</v>
      </c>
      <c r="R2171" s="71"/>
    </row>
    <row r="2172" spans="1:41" s="61" customFormat="1" x14ac:dyDescent="0.25">
      <c r="A2172" s="358"/>
      <c r="B2172" s="361"/>
      <c r="C2172" s="364" t="s">
        <v>216</v>
      </c>
      <c r="D2172" s="222" t="s">
        <v>23</v>
      </c>
      <c r="E2172" s="222" t="s">
        <v>11</v>
      </c>
      <c r="F2172" s="222" t="s">
        <v>11</v>
      </c>
      <c r="G2172" s="238">
        <f>MROUND(H2172*L2172*I2172/K2172,0.0000000001)</f>
        <v>2.3503200000000002E-5</v>
      </c>
      <c r="H2172" s="160">
        <f>H2068</f>
        <v>24.979999999999997</v>
      </c>
      <c r="I2172" s="159">
        <f t="shared" si="451"/>
        <v>5.7547999999999995E-2</v>
      </c>
      <c r="J2172" s="160"/>
      <c r="K2172" s="161">
        <f t="shared" si="452"/>
        <v>61164</v>
      </c>
      <c r="L2172" s="162">
        <v>1</v>
      </c>
      <c r="M2172" s="163" t="str">
        <f>CONCATENATE(H2172," ",F2172," ","*",I2172,"/",K2172,"чел/час")</f>
        <v>24,98 м3 *0,057548/61164чел/час</v>
      </c>
      <c r="N2172" s="164">
        <f t="shared" si="450"/>
        <v>8906.5644515612512</v>
      </c>
      <c r="O2172" s="280">
        <f t="shared" si="453"/>
        <v>0.20933299999999999</v>
      </c>
      <c r="P2172" s="166"/>
      <c r="Q2172" s="166">
        <f t="shared" si="449"/>
        <v>12803.643612</v>
      </c>
      <c r="R2172" s="71"/>
    </row>
    <row r="2173" spans="1:41" s="61" customFormat="1" ht="63" x14ac:dyDescent="0.25">
      <c r="A2173" s="358"/>
      <c r="B2173" s="361"/>
      <c r="C2173" s="364"/>
      <c r="D2173" s="222" t="s">
        <v>24</v>
      </c>
      <c r="E2173" s="222" t="s">
        <v>25</v>
      </c>
      <c r="F2173" s="222" t="s">
        <v>248</v>
      </c>
      <c r="G2173" s="238">
        <f>MROUND(H2173*L2173*I2173/K2173,0.0000000001)</f>
        <v>4.7044000000000002E-6</v>
      </c>
      <c r="H2173" s="160">
        <f>H2069</f>
        <v>5</v>
      </c>
      <c r="I2173" s="159">
        <f t="shared" si="451"/>
        <v>5.7547999999999995E-2</v>
      </c>
      <c r="J2173" s="160"/>
      <c r="K2173" s="161">
        <f t="shared" si="452"/>
        <v>61164</v>
      </c>
      <c r="L2173" s="250">
        <v>1</v>
      </c>
      <c r="M2173" s="163" t="str">
        <f>CONCATENATE(H2173," ",F2173,"(потребность из расчета 4 контейнера для уборки территории весной и осенью на 1 учреждение)","*",I2173,"/",K2173,"чел/час")</f>
        <v>5 контейнеров(потребность из расчета 4 контейнера для уборки территории весной и осенью на 1 учреждение)*0,057548/61164чел/час</v>
      </c>
      <c r="N2173" s="278">
        <f t="shared" si="450"/>
        <v>5751.8</v>
      </c>
      <c r="O2173" s="280">
        <f t="shared" si="453"/>
        <v>2.7059E-2</v>
      </c>
      <c r="P2173" s="166"/>
      <c r="Q2173" s="166">
        <f t="shared" si="449"/>
        <v>1655.0366759999999</v>
      </c>
      <c r="R2173" s="71"/>
    </row>
    <row r="2174" spans="1:41" s="109" customFormat="1" x14ac:dyDescent="0.25">
      <c r="A2174" s="358"/>
      <c r="B2174" s="361"/>
      <c r="C2174" s="218" t="s">
        <v>290</v>
      </c>
      <c r="D2174" s="226"/>
      <c r="E2174" s="226"/>
      <c r="F2174" s="226"/>
      <c r="G2174" s="227"/>
      <c r="H2174" s="228"/>
      <c r="I2174" s="206"/>
      <c r="J2174" s="228"/>
      <c r="K2174" s="207"/>
      <c r="L2174" s="257"/>
      <c r="M2174" s="209"/>
      <c r="N2174" s="281"/>
      <c r="O2174" s="279">
        <f>SUM(O2167:O2173)</f>
        <v>5.9434399999999998</v>
      </c>
      <c r="P2174" s="267"/>
      <c r="Q2174" s="166"/>
      <c r="R2174" s="71"/>
      <c r="S2174" s="62"/>
      <c r="T2174" s="62"/>
      <c r="U2174" s="62"/>
      <c r="V2174" s="62"/>
      <c r="W2174" s="62"/>
      <c r="X2174" s="62"/>
      <c r="Y2174" s="62"/>
      <c r="Z2174" s="62"/>
      <c r="AA2174" s="62"/>
      <c r="AB2174" s="62"/>
      <c r="AC2174" s="62"/>
      <c r="AD2174" s="62"/>
      <c r="AE2174" s="62"/>
      <c r="AF2174" s="62"/>
      <c r="AG2174" s="62"/>
      <c r="AH2174" s="62"/>
      <c r="AI2174" s="62"/>
      <c r="AJ2174" s="62"/>
      <c r="AK2174" s="62"/>
      <c r="AL2174" s="62"/>
      <c r="AM2174" s="62"/>
      <c r="AN2174" s="62"/>
      <c r="AO2174" s="62"/>
    </row>
    <row r="2175" spans="1:41" s="108" customFormat="1" x14ac:dyDescent="0.25">
      <c r="A2175" s="358"/>
      <c r="B2175" s="361"/>
      <c r="C2175" s="221"/>
      <c r="D2175" s="356" t="s">
        <v>14</v>
      </c>
      <c r="E2175" s="356"/>
      <c r="F2175" s="356"/>
      <c r="G2175" s="356"/>
      <c r="H2175" s="188"/>
      <c r="I2175" s="159"/>
      <c r="J2175" s="188"/>
      <c r="K2175" s="161"/>
      <c r="L2175" s="250"/>
      <c r="M2175" s="230"/>
      <c r="N2175" s="278"/>
      <c r="O2175" s="279">
        <f>O2179+O2183+O2185</f>
        <v>97.838902711999992</v>
      </c>
      <c r="P2175" s="166"/>
      <c r="Q2175" s="166">
        <f>O2175*K2175</f>
        <v>0</v>
      </c>
      <c r="R2175" s="71"/>
      <c r="S2175" s="61"/>
      <c r="T2175" s="61"/>
      <c r="U2175" s="61"/>
      <c r="V2175" s="61"/>
      <c r="W2175" s="61"/>
      <c r="X2175" s="61"/>
      <c r="Y2175" s="61"/>
      <c r="Z2175" s="61"/>
      <c r="AA2175" s="61"/>
      <c r="AB2175" s="61"/>
      <c r="AC2175" s="61"/>
      <c r="AD2175" s="61"/>
      <c r="AE2175" s="61"/>
      <c r="AF2175" s="61"/>
      <c r="AG2175" s="61"/>
      <c r="AH2175" s="61"/>
      <c r="AI2175" s="61"/>
      <c r="AJ2175" s="61"/>
      <c r="AK2175" s="61"/>
      <c r="AL2175" s="61"/>
      <c r="AM2175" s="61"/>
      <c r="AN2175" s="61"/>
      <c r="AO2175" s="61"/>
    </row>
    <row r="2176" spans="1:41" s="61" customFormat="1" x14ac:dyDescent="0.25">
      <c r="A2176" s="358"/>
      <c r="B2176" s="361"/>
      <c r="C2176" s="221" t="s">
        <v>379</v>
      </c>
      <c r="D2176" s="231" t="s">
        <v>49</v>
      </c>
      <c r="E2176" s="231" t="s">
        <v>22</v>
      </c>
      <c r="F2176" s="231" t="s">
        <v>22</v>
      </c>
      <c r="G2176" s="238">
        <f>MROUND(H2176*L2176*I2176/K2176,0.00000000000001)</f>
        <v>3.1390587992900002E-3</v>
      </c>
      <c r="H2176" s="160">
        <f>H2072</f>
        <v>3336.3</v>
      </c>
      <c r="I2176" s="159">
        <f>I2171</f>
        <v>5.7547999999999995E-2</v>
      </c>
      <c r="J2176" s="160"/>
      <c r="K2176" s="161">
        <f>K2171</f>
        <v>61164</v>
      </c>
      <c r="L2176" s="250">
        <v>1</v>
      </c>
      <c r="M2176" s="163" t="str">
        <f>CONCATENATE(H2176," ",F2176,"*",I2176,"/",K2176,"чел/час")</f>
        <v>3336,3 м2*0,057548/61164чел/час</v>
      </c>
      <c r="N2176" s="278">
        <f>N2072</f>
        <v>2997.3323741869735</v>
      </c>
      <c r="O2176" s="280">
        <f>MROUND(N2176*G2176,0.000000001)</f>
        <v>9.4088025640000001</v>
      </c>
      <c r="P2176" s="166"/>
      <c r="Q2176" s="166">
        <f>O2176*K2176</f>
        <v>575480.000024496</v>
      </c>
      <c r="R2176" s="71"/>
    </row>
    <row r="2177" spans="1:41" s="61" customFormat="1" x14ac:dyDescent="0.25">
      <c r="A2177" s="358"/>
      <c r="B2177" s="361"/>
      <c r="C2177" s="221" t="s">
        <v>379</v>
      </c>
      <c r="D2177" s="231" t="s">
        <v>49</v>
      </c>
      <c r="E2177" s="231" t="s">
        <v>28</v>
      </c>
      <c r="F2177" s="231" t="s">
        <v>28</v>
      </c>
      <c r="G2177" s="238">
        <f>MROUND(H2177*L2177*I2177/K2177,0.0000000000001)</f>
        <v>0</v>
      </c>
      <c r="H2177" s="160"/>
      <c r="I2177" s="159">
        <f>I2176</f>
        <v>5.7547999999999995E-2</v>
      </c>
      <c r="J2177" s="160"/>
      <c r="K2177" s="161">
        <f>K2176</f>
        <v>61164</v>
      </c>
      <c r="L2177" s="250">
        <v>1</v>
      </c>
      <c r="M2177" s="163"/>
      <c r="N2177" s="278"/>
      <c r="O2177" s="280">
        <f>MROUND(N2177*G2177,0.000000001)</f>
        <v>0</v>
      </c>
      <c r="P2177" s="166"/>
      <c r="Q2177" s="166">
        <f>O2177*K2177</f>
        <v>0</v>
      </c>
      <c r="R2177" s="71"/>
    </row>
    <row r="2178" spans="1:41" s="61" customFormat="1" x14ac:dyDescent="0.25">
      <c r="A2178" s="358"/>
      <c r="B2178" s="361"/>
      <c r="C2178" s="221" t="s">
        <v>379</v>
      </c>
      <c r="D2178" s="231" t="s">
        <v>49</v>
      </c>
      <c r="E2178" s="231" t="s">
        <v>101</v>
      </c>
      <c r="F2178" s="231" t="s">
        <v>101</v>
      </c>
      <c r="G2178" s="238">
        <f>MROUND(H2178*L2178*I2178/K2178,0.0000000001)</f>
        <v>0</v>
      </c>
      <c r="H2178" s="160"/>
      <c r="I2178" s="159">
        <f>I2176</f>
        <v>5.7547999999999995E-2</v>
      </c>
      <c r="J2178" s="160"/>
      <c r="K2178" s="161">
        <f>K2176</f>
        <v>61164</v>
      </c>
      <c r="L2178" s="250">
        <v>1</v>
      </c>
      <c r="M2178" s="163"/>
      <c r="N2178" s="278"/>
      <c r="O2178" s="280">
        <f>MROUND(N2178*G2178,0.000001)</f>
        <v>0</v>
      </c>
      <c r="P2178" s="166"/>
      <c r="Q2178" s="166">
        <f>O2178*K2178</f>
        <v>0</v>
      </c>
      <c r="R2178" s="71"/>
    </row>
    <row r="2179" spans="1:41" s="109" customFormat="1" x14ac:dyDescent="0.25">
      <c r="A2179" s="358"/>
      <c r="B2179" s="361"/>
      <c r="C2179" s="218" t="s">
        <v>380</v>
      </c>
      <c r="D2179" s="232"/>
      <c r="E2179" s="232"/>
      <c r="F2179" s="232"/>
      <c r="G2179" s="227"/>
      <c r="H2179" s="228"/>
      <c r="I2179" s="206"/>
      <c r="J2179" s="228"/>
      <c r="K2179" s="207"/>
      <c r="L2179" s="257"/>
      <c r="M2179" s="209"/>
      <c r="N2179" s="281"/>
      <c r="O2179" s="279">
        <f>O2176+O2178+O2177</f>
        <v>9.4088025640000001</v>
      </c>
      <c r="P2179" s="267"/>
      <c r="Q2179" s="166"/>
      <c r="R2179" s="71"/>
      <c r="S2179" s="62"/>
      <c r="T2179" s="62"/>
      <c r="U2179" s="62"/>
      <c r="V2179" s="62"/>
      <c r="W2179" s="62"/>
      <c r="X2179" s="62"/>
      <c r="Y2179" s="62"/>
      <c r="Z2179" s="62"/>
      <c r="AA2179" s="62"/>
      <c r="AB2179" s="62"/>
      <c r="AC2179" s="62"/>
      <c r="AD2179" s="62"/>
      <c r="AE2179" s="62"/>
      <c r="AF2179" s="62"/>
      <c r="AG2179" s="62"/>
      <c r="AH2179" s="62"/>
      <c r="AI2179" s="62"/>
      <c r="AJ2179" s="62"/>
      <c r="AK2179" s="62"/>
      <c r="AL2179" s="62"/>
      <c r="AM2179" s="62"/>
      <c r="AN2179" s="62"/>
      <c r="AO2179" s="62"/>
    </row>
    <row r="2180" spans="1:41" s="61" customFormat="1" x14ac:dyDescent="0.25">
      <c r="A2180" s="358"/>
      <c r="B2180" s="361"/>
      <c r="C2180" s="221" t="s">
        <v>76</v>
      </c>
      <c r="D2180" s="231" t="s">
        <v>49</v>
      </c>
      <c r="E2180" s="231" t="s">
        <v>22</v>
      </c>
      <c r="F2180" s="231" t="s">
        <v>22</v>
      </c>
      <c r="G2180" s="238">
        <f>MROUND(H2180*L2180*I2180/K2180,0.0000000000001)</f>
        <v>1.76076331175E-2</v>
      </c>
      <c r="H2180" s="160">
        <f>H2076</f>
        <v>18714</v>
      </c>
      <c r="I2180" s="159">
        <f>I2178</f>
        <v>5.7547999999999995E-2</v>
      </c>
      <c r="J2180" s="160"/>
      <c r="K2180" s="161">
        <f>K2178</f>
        <v>61164</v>
      </c>
      <c r="L2180" s="250">
        <v>1</v>
      </c>
      <c r="M2180" s="163" t="str">
        <f>CONCATENATE(H2180," ",F2180,"*",I2180,"/",K2180,"чел/час")</f>
        <v>18714 м2*0,057548/61164чел/час</v>
      </c>
      <c r="N2180" s="278">
        <f>N2076</f>
        <v>3265.8708987923478</v>
      </c>
      <c r="O2180" s="280">
        <f>MROUND(N2180*G2180,0.000000001)-0.00009</f>
        <v>57.504166595000001</v>
      </c>
      <c r="P2180" s="166"/>
      <c r="Q2180" s="166">
        <f>O2180*K2180</f>
        <v>3517184.84561658</v>
      </c>
      <c r="R2180" s="71"/>
    </row>
    <row r="2181" spans="1:41" s="61" customFormat="1" x14ac:dyDescent="0.25">
      <c r="A2181" s="358"/>
      <c r="B2181" s="361"/>
      <c r="C2181" s="221"/>
      <c r="D2181" s="231" t="s">
        <v>49</v>
      </c>
      <c r="E2181" s="231" t="s">
        <v>28</v>
      </c>
      <c r="F2181" s="231" t="s">
        <v>28</v>
      </c>
      <c r="G2181" s="238">
        <f>MROUND(H2181*L2181*I2181/K2181,0.0000000000001)</f>
        <v>1.881760513E-4</v>
      </c>
      <c r="H2181" s="160">
        <f>H2077</f>
        <v>200</v>
      </c>
      <c r="I2181" s="159">
        <f>I2180</f>
        <v>5.7547999999999995E-2</v>
      </c>
      <c r="J2181" s="160"/>
      <c r="K2181" s="161">
        <f>K2180</f>
        <v>61164</v>
      </c>
      <c r="L2181" s="250">
        <v>1</v>
      </c>
      <c r="M2181" s="163" t="str">
        <f>CONCATENATE(H2181," ",F2181,"*",I2181,"/",K2181,"чел/час")</f>
        <v>200 шт*0,057548/61164чел/час</v>
      </c>
      <c r="N2181" s="278">
        <f>N2077</f>
        <v>108250</v>
      </c>
      <c r="O2181" s="280">
        <f>MROUND(N2181*G2181,0.000000001)-0.0008</f>
        <v>20.369257553000001</v>
      </c>
      <c r="P2181" s="166"/>
      <c r="Q2181" s="166">
        <f>O2181*K2181</f>
        <v>1245865.2689716921</v>
      </c>
      <c r="R2181" s="71"/>
    </row>
    <row r="2182" spans="1:41" s="61" customFormat="1" x14ac:dyDescent="0.25">
      <c r="A2182" s="358"/>
      <c r="B2182" s="361"/>
      <c r="C2182" s="221"/>
      <c r="D2182" s="231" t="s">
        <v>49</v>
      </c>
      <c r="E2182" s="231" t="s">
        <v>101</v>
      </c>
      <c r="F2182" s="231" t="s">
        <v>101</v>
      </c>
      <c r="G2182" s="238">
        <f>MROUND(H2182*L2182*I2182/K2182,0.00000000001)</f>
        <v>2.0906359299999997E-3</v>
      </c>
      <c r="H2182" s="160">
        <f>H2078</f>
        <v>2222</v>
      </c>
      <c r="I2182" s="159">
        <f>I2180</f>
        <v>5.7547999999999995E-2</v>
      </c>
      <c r="J2182" s="160"/>
      <c r="K2182" s="161">
        <f>K2180</f>
        <v>61164</v>
      </c>
      <c r="L2182" s="250">
        <v>1</v>
      </c>
      <c r="M2182" s="163" t="str">
        <f>CONCATENATE(H2182," ",F2182,"*",I2182,"/",K2182,"чел/час")</f>
        <v>2222 погон.м.*0,057548/61164чел/час</v>
      </c>
      <c r="N2182" s="278">
        <f>N2078</f>
        <v>5049.5049504950493</v>
      </c>
      <c r="O2182" s="280">
        <f>MROUND(N2182*G2182,0.000001)</f>
        <v>10.556676</v>
      </c>
      <c r="P2182" s="166"/>
      <c r="Q2182" s="166">
        <f>O2182*K2182</f>
        <v>645688.53086399997</v>
      </c>
      <c r="R2182" s="71"/>
    </row>
    <row r="2183" spans="1:41" s="109" customFormat="1" x14ac:dyDescent="0.25">
      <c r="A2183" s="358"/>
      <c r="B2183" s="361"/>
      <c r="C2183" s="218" t="s">
        <v>291</v>
      </c>
      <c r="D2183" s="232"/>
      <c r="E2183" s="232"/>
      <c r="F2183" s="232"/>
      <c r="G2183" s="227"/>
      <c r="H2183" s="228"/>
      <c r="I2183" s="206"/>
      <c r="J2183" s="228"/>
      <c r="K2183" s="207"/>
      <c r="L2183" s="257"/>
      <c r="M2183" s="209"/>
      <c r="N2183" s="281"/>
      <c r="O2183" s="279">
        <f>O2180+O2182+O2181</f>
        <v>88.430100147999994</v>
      </c>
      <c r="P2183" s="267"/>
      <c r="Q2183" s="166"/>
      <c r="R2183" s="71"/>
      <c r="S2183" s="62"/>
      <c r="T2183" s="62"/>
      <c r="U2183" s="62"/>
      <c r="V2183" s="62"/>
      <c r="W2183" s="62"/>
      <c r="X2183" s="62"/>
      <c r="Y2183" s="62"/>
      <c r="Z2183" s="62"/>
      <c r="AA2183" s="62"/>
      <c r="AB2183" s="62"/>
      <c r="AC2183" s="62"/>
      <c r="AD2183" s="62"/>
      <c r="AE2183" s="62"/>
      <c r="AF2183" s="62"/>
      <c r="AG2183" s="62"/>
      <c r="AH2183" s="62"/>
      <c r="AI2183" s="62"/>
      <c r="AJ2183" s="62"/>
      <c r="AK2183" s="62"/>
      <c r="AL2183" s="62"/>
      <c r="AM2183" s="62"/>
      <c r="AN2183" s="62"/>
      <c r="AO2183" s="62"/>
    </row>
    <row r="2184" spans="1:41" s="61" customFormat="1" x14ac:dyDescent="0.25">
      <c r="A2184" s="358"/>
      <c r="B2184" s="361"/>
      <c r="C2184" s="221" t="s">
        <v>77</v>
      </c>
      <c r="D2184" s="231"/>
      <c r="E2184" s="231"/>
      <c r="F2184" s="231"/>
      <c r="G2184" s="238">
        <f>MROUND(H2184*L2184*I2184/K2184,0.000000001)</f>
        <v>0</v>
      </c>
      <c r="H2184" s="160"/>
      <c r="I2184" s="159">
        <f>I2182</f>
        <v>5.7547999999999995E-2</v>
      </c>
      <c r="J2184" s="160"/>
      <c r="K2184" s="161">
        <f>K2182</f>
        <v>61164</v>
      </c>
      <c r="L2184" s="250"/>
      <c r="M2184" s="163"/>
      <c r="N2184" s="278"/>
      <c r="O2184" s="280">
        <f>MROUND(N2184*G2184,0.000001)</f>
        <v>0</v>
      </c>
      <c r="P2184" s="166"/>
      <c r="Q2184" s="166">
        <f>O2184*K2184</f>
        <v>0</v>
      </c>
      <c r="R2184" s="71"/>
    </row>
    <row r="2185" spans="1:41" s="109" customFormat="1" x14ac:dyDescent="0.25">
      <c r="A2185" s="358"/>
      <c r="B2185" s="361"/>
      <c r="C2185" s="218" t="s">
        <v>292</v>
      </c>
      <c r="D2185" s="232"/>
      <c r="E2185" s="232"/>
      <c r="F2185" s="232"/>
      <c r="G2185" s="227"/>
      <c r="H2185" s="228"/>
      <c r="I2185" s="206"/>
      <c r="J2185" s="228"/>
      <c r="K2185" s="207"/>
      <c r="L2185" s="257"/>
      <c r="M2185" s="209"/>
      <c r="N2185" s="281"/>
      <c r="O2185" s="279">
        <f>O2184</f>
        <v>0</v>
      </c>
      <c r="P2185" s="267"/>
      <c r="Q2185" s="166"/>
      <c r="R2185" s="71"/>
      <c r="S2185" s="62"/>
      <c r="T2185" s="62"/>
      <c r="U2185" s="62"/>
      <c r="V2185" s="62"/>
      <c r="W2185" s="62"/>
      <c r="X2185" s="62"/>
      <c r="Y2185" s="62"/>
      <c r="Z2185" s="62"/>
      <c r="AA2185" s="62"/>
      <c r="AB2185" s="62"/>
      <c r="AC2185" s="62"/>
      <c r="AD2185" s="62"/>
      <c r="AE2185" s="62"/>
      <c r="AF2185" s="62"/>
      <c r="AG2185" s="62"/>
      <c r="AH2185" s="62"/>
      <c r="AI2185" s="62"/>
      <c r="AJ2185" s="62"/>
      <c r="AK2185" s="62"/>
      <c r="AL2185" s="62"/>
      <c r="AM2185" s="62"/>
      <c r="AN2185" s="62"/>
      <c r="AO2185" s="62"/>
    </row>
    <row r="2186" spans="1:41" s="108" customFormat="1" x14ac:dyDescent="0.25">
      <c r="A2186" s="358"/>
      <c r="B2186" s="361"/>
      <c r="C2186" s="221"/>
      <c r="D2186" s="350" t="s">
        <v>65</v>
      </c>
      <c r="E2186" s="350"/>
      <c r="F2186" s="350"/>
      <c r="G2186" s="350"/>
      <c r="H2186" s="195"/>
      <c r="I2186" s="159"/>
      <c r="J2186" s="195"/>
      <c r="K2186" s="161"/>
      <c r="L2186" s="196"/>
      <c r="M2186" s="230"/>
      <c r="N2186" s="278"/>
      <c r="O2186" s="280"/>
      <c r="P2186" s="166"/>
      <c r="Q2186" s="166">
        <f t="shared" ref="Q2186:Q2205" si="454">O2186*K2186</f>
        <v>0</v>
      </c>
      <c r="R2186" s="71"/>
      <c r="S2186" s="61"/>
      <c r="T2186" s="61"/>
      <c r="U2186" s="61"/>
      <c r="V2186" s="61"/>
      <c r="W2186" s="61"/>
      <c r="X2186" s="61"/>
      <c r="Y2186" s="61"/>
      <c r="Z2186" s="61"/>
      <c r="AA2186" s="61"/>
      <c r="AB2186" s="61"/>
      <c r="AC2186" s="61"/>
      <c r="AD2186" s="61"/>
      <c r="AE2186" s="61"/>
      <c r="AF2186" s="61"/>
      <c r="AG2186" s="61"/>
      <c r="AH2186" s="61"/>
      <c r="AI2186" s="61"/>
      <c r="AJ2186" s="61"/>
      <c r="AK2186" s="61"/>
      <c r="AL2186" s="61"/>
      <c r="AM2186" s="61"/>
      <c r="AN2186" s="61"/>
      <c r="AO2186" s="61"/>
    </row>
    <row r="2187" spans="1:41" s="108" customFormat="1" x14ac:dyDescent="0.25">
      <c r="A2187" s="358"/>
      <c r="B2187" s="361"/>
      <c r="C2187" s="221"/>
      <c r="D2187" s="194"/>
      <c r="E2187" s="194"/>
      <c r="F2187" s="194"/>
      <c r="G2187" s="217"/>
      <c r="H2187" s="195"/>
      <c r="I2187" s="159"/>
      <c r="J2187" s="195"/>
      <c r="K2187" s="161"/>
      <c r="L2187" s="196"/>
      <c r="M2187" s="230"/>
      <c r="N2187" s="278"/>
      <c r="O2187" s="280"/>
      <c r="P2187" s="166"/>
      <c r="Q2187" s="166">
        <f t="shared" si="454"/>
        <v>0</v>
      </c>
      <c r="R2187" s="71"/>
      <c r="S2187" s="61"/>
      <c r="T2187" s="61"/>
      <c r="U2187" s="61"/>
      <c r="V2187" s="61"/>
      <c r="W2187" s="61"/>
      <c r="X2187" s="61"/>
      <c r="Y2187" s="61"/>
      <c r="Z2187" s="61"/>
      <c r="AA2187" s="61"/>
      <c r="AB2187" s="61"/>
      <c r="AC2187" s="61"/>
      <c r="AD2187" s="61"/>
      <c r="AE2187" s="61"/>
      <c r="AF2187" s="61"/>
      <c r="AG2187" s="61"/>
      <c r="AH2187" s="61"/>
      <c r="AI2187" s="61"/>
      <c r="AJ2187" s="61"/>
      <c r="AK2187" s="61"/>
      <c r="AL2187" s="61"/>
      <c r="AM2187" s="61"/>
      <c r="AN2187" s="61"/>
      <c r="AO2187" s="61"/>
    </row>
    <row r="2188" spans="1:41" s="108" customFormat="1" x14ac:dyDescent="0.25">
      <c r="A2188" s="358"/>
      <c r="B2188" s="361"/>
      <c r="C2188" s="365" t="s">
        <v>357</v>
      </c>
      <c r="D2188" s="368" t="s">
        <v>66</v>
      </c>
      <c r="E2188" s="368"/>
      <c r="F2188" s="368"/>
      <c r="G2188" s="368"/>
      <c r="H2188" s="195"/>
      <c r="I2188" s="159"/>
      <c r="J2188" s="195"/>
      <c r="K2188" s="161"/>
      <c r="L2188" s="196"/>
      <c r="M2188" s="230"/>
      <c r="N2188" s="278"/>
      <c r="O2188" s="279">
        <f>O2194</f>
        <v>0.42149159599999997</v>
      </c>
      <c r="P2188" s="166"/>
      <c r="Q2188" s="166">
        <f t="shared" si="454"/>
        <v>0</v>
      </c>
      <c r="R2188" s="71"/>
      <c r="S2188" s="61"/>
      <c r="T2188" s="61"/>
      <c r="U2188" s="61"/>
      <c r="V2188" s="61"/>
      <c r="W2188" s="61"/>
      <c r="X2188" s="61"/>
      <c r="Y2188" s="61"/>
      <c r="Z2188" s="61"/>
      <c r="AA2188" s="61"/>
      <c r="AB2188" s="61"/>
      <c r="AC2188" s="61"/>
      <c r="AD2188" s="61"/>
      <c r="AE2188" s="61"/>
      <c r="AF2188" s="61"/>
      <c r="AG2188" s="61"/>
      <c r="AH2188" s="61"/>
      <c r="AI2188" s="61"/>
      <c r="AJ2188" s="61"/>
      <c r="AK2188" s="61"/>
      <c r="AL2188" s="61"/>
      <c r="AM2188" s="61"/>
      <c r="AN2188" s="61"/>
      <c r="AO2188" s="61"/>
    </row>
    <row r="2189" spans="1:41" s="61" customFormat="1" x14ac:dyDescent="0.25">
      <c r="A2189" s="358"/>
      <c r="B2189" s="361"/>
      <c r="C2189" s="366"/>
      <c r="D2189" s="284" t="s">
        <v>241</v>
      </c>
      <c r="E2189" s="156" t="s">
        <v>28</v>
      </c>
      <c r="F2189" s="156" t="s">
        <v>28</v>
      </c>
      <c r="G2189" s="238">
        <f>MROUND(H2189*L2189*I2189/K2189,0.00000000001)</f>
        <v>1.9193956999999999E-4</v>
      </c>
      <c r="H2189" s="158">
        <f>H2085</f>
        <v>17</v>
      </c>
      <c r="I2189" s="159">
        <f>I2184</f>
        <v>5.7547999999999995E-2</v>
      </c>
      <c r="J2189" s="160"/>
      <c r="K2189" s="161">
        <f>K2184</f>
        <v>61164</v>
      </c>
      <c r="L2189" s="250">
        <v>12</v>
      </c>
      <c r="M2189" s="163" t="str">
        <f>CONCATENATE(H2189," ",F2189,"*",L2189,"мес.","*",I2189,"/",K2189,"чел/час")</f>
        <v>17 шт*12мес.*0,057548/61164чел/час</v>
      </c>
      <c r="N2189" s="278">
        <f>N2085</f>
        <v>327.76936274509802</v>
      </c>
      <c r="O2189" s="280">
        <f>MROUND(N2189*G2189,0.000001)</f>
        <v>6.2911999999999996E-2</v>
      </c>
      <c r="P2189" s="166"/>
      <c r="Q2189" s="166">
        <f t="shared" si="454"/>
        <v>3847.9495679999995</v>
      </c>
      <c r="R2189" s="71"/>
    </row>
    <row r="2190" spans="1:41" s="61" customFormat="1" x14ac:dyDescent="0.25">
      <c r="A2190" s="358"/>
      <c r="B2190" s="361"/>
      <c r="C2190" s="366"/>
      <c r="D2190" s="284" t="s">
        <v>242</v>
      </c>
      <c r="E2190" s="156" t="s">
        <v>243</v>
      </c>
      <c r="F2190" s="156" t="s">
        <v>243</v>
      </c>
      <c r="G2190" s="238">
        <f>MROUND(H2190*L2190*I2190/K2190,0.0000000001)</f>
        <v>0.1953944846</v>
      </c>
      <c r="H2190" s="158">
        <f>H2086</f>
        <v>17306</v>
      </c>
      <c r="I2190" s="159">
        <f>I2189</f>
        <v>5.7547999999999995E-2</v>
      </c>
      <c r="J2190" s="160"/>
      <c r="K2190" s="161">
        <f>K2189</f>
        <v>61164</v>
      </c>
      <c r="L2190" s="250">
        <v>12</v>
      </c>
      <c r="M2190" s="163" t="str">
        <f>CONCATENATE(H2190," ",F2190,"*",L2190,"мес.","*",I2190,"/",K2190,"чел/час")</f>
        <v>17306 мин.*12мес.*0,057548/61164чел/час</v>
      </c>
      <c r="N2190" s="278">
        <f>N2086</f>
        <v>0.78480002118725689</v>
      </c>
      <c r="O2190" s="280">
        <f>MROUND(N2190*G2190,0.000000001)</f>
        <v>0.153345596</v>
      </c>
      <c r="P2190" s="166"/>
      <c r="Q2190" s="166">
        <f t="shared" si="454"/>
        <v>9379.2300337439992</v>
      </c>
      <c r="R2190" s="71"/>
    </row>
    <row r="2191" spans="1:41" s="61" customFormat="1" ht="31.5" x14ac:dyDescent="0.25">
      <c r="A2191" s="358"/>
      <c r="B2191" s="361"/>
      <c r="C2191" s="366"/>
      <c r="D2191" s="285" t="s">
        <v>244</v>
      </c>
      <c r="E2191" s="286" t="s">
        <v>245</v>
      </c>
      <c r="F2191" s="286" t="s">
        <v>247</v>
      </c>
      <c r="G2191" s="238">
        <f>MROUND(H2191*L2191*I2191/K2191,0.0000000001)</f>
        <v>5.6452800000000003E-5</v>
      </c>
      <c r="H2191" s="158">
        <f>H2087</f>
        <v>5</v>
      </c>
      <c r="I2191" s="159">
        <f>I2190</f>
        <v>5.7547999999999995E-2</v>
      </c>
      <c r="J2191" s="160"/>
      <c r="K2191" s="161">
        <f>K2190</f>
        <v>61164</v>
      </c>
      <c r="L2191" s="250">
        <v>12</v>
      </c>
      <c r="M2191" s="163" t="str">
        <f>CONCATENATE(H2191," ",F2191,"*",L2191,"мес.","*",I2191,"/",K2191,"чел/час")</f>
        <v>5 радиоточек*12мес.*0,057548/61164чел/час</v>
      </c>
      <c r="N2191" s="278">
        <f>N2087</f>
        <v>165.68000000000004</v>
      </c>
      <c r="O2191" s="280">
        <f>MROUND(N2191*G2191,0.000001)</f>
        <v>9.3530000000000002E-3</v>
      </c>
      <c r="P2191" s="166"/>
      <c r="Q2191" s="166">
        <f t="shared" si="454"/>
        <v>572.06689200000005</v>
      </c>
      <c r="R2191" s="71"/>
    </row>
    <row r="2192" spans="1:41" s="61" customFormat="1" ht="47.25" x14ac:dyDescent="0.25">
      <c r="A2192" s="358"/>
      <c r="B2192" s="361"/>
      <c r="C2192" s="366"/>
      <c r="D2192" s="285" t="s">
        <v>374</v>
      </c>
      <c r="E2192" s="156" t="s">
        <v>28</v>
      </c>
      <c r="F2192" s="156" t="s">
        <v>28</v>
      </c>
      <c r="G2192" s="238">
        <f>MROUND(H2192*L2192*I2192/K2192,0.000000000001)</f>
        <v>2.6344647E-5</v>
      </c>
      <c r="H2192" s="158">
        <f>H2088</f>
        <v>7</v>
      </c>
      <c r="I2192" s="159">
        <f>I2190</f>
        <v>5.7547999999999995E-2</v>
      </c>
      <c r="J2192" s="160"/>
      <c r="K2192" s="161">
        <f>K2190</f>
        <v>61164</v>
      </c>
      <c r="L2192" s="250">
        <f>L2088</f>
        <v>4</v>
      </c>
      <c r="M2192" s="163" t="str">
        <f>CONCATENATE(H2192," ",F2192,"*",L2192,"мес.","*",I2192,"/",K2192,"чел/час")</f>
        <v>7 шт*4мес.*0,057548/61164чел/час</v>
      </c>
      <c r="N2192" s="278">
        <f>N2088</f>
        <v>1256.0399999999997</v>
      </c>
      <c r="O2192" s="280">
        <f>MROUND(N2192*G2192,0.000001)</f>
        <v>3.3090000000000001E-2</v>
      </c>
      <c r="P2192" s="166"/>
      <c r="Q2192" s="166">
        <f t="shared" si="454"/>
        <v>2023.9167600000001</v>
      </c>
      <c r="R2192" s="71"/>
    </row>
    <row r="2193" spans="1:41" s="61" customFormat="1" x14ac:dyDescent="0.25">
      <c r="A2193" s="358"/>
      <c r="B2193" s="361"/>
      <c r="C2193" s="367"/>
      <c r="D2193" s="284" t="s">
        <v>246</v>
      </c>
      <c r="E2193" s="156" t="s">
        <v>28</v>
      </c>
      <c r="F2193" s="156" t="s">
        <v>28</v>
      </c>
      <c r="G2193" s="238">
        <f>MROUND(H2193*L2193*I2193/K2193,0.000000000001)</f>
        <v>5.6452814999999997E-5</v>
      </c>
      <c r="H2193" s="158">
        <v>5</v>
      </c>
      <c r="I2193" s="159">
        <f>I2191</f>
        <v>5.7547999999999995E-2</v>
      </c>
      <c r="J2193" s="160"/>
      <c r="K2193" s="161">
        <f>K2191</f>
        <v>61164</v>
      </c>
      <c r="L2193" s="250">
        <v>12</v>
      </c>
      <c r="M2193" s="163" t="str">
        <f>CONCATENATE(H2193," ",F2193,"*",L2193,"мес.","*",I2193,"/",K2193,"чел/час")</f>
        <v>5 шт*12мес.*0,057548/61164чел/час</v>
      </c>
      <c r="N2193" s="278">
        <f>N2089</f>
        <v>2883.6603333333333</v>
      </c>
      <c r="O2193" s="280">
        <f>MROUND(N2193*G2193,0.000001)</f>
        <v>0.16279099999999999</v>
      </c>
      <c r="P2193" s="166"/>
      <c r="Q2193" s="166">
        <f t="shared" si="454"/>
        <v>9956.9487239999999</v>
      </c>
      <c r="R2193" s="71"/>
    </row>
    <row r="2194" spans="1:41" s="109" customFormat="1" x14ac:dyDescent="0.25">
      <c r="A2194" s="358"/>
      <c r="B2194" s="361"/>
      <c r="C2194" s="218" t="s">
        <v>358</v>
      </c>
      <c r="D2194" s="287"/>
      <c r="E2194" s="287"/>
      <c r="F2194" s="287"/>
      <c r="G2194" s="288"/>
      <c r="H2194" s="214"/>
      <c r="I2194" s="206"/>
      <c r="J2194" s="214"/>
      <c r="K2194" s="207"/>
      <c r="L2194" s="215"/>
      <c r="M2194" s="289"/>
      <c r="N2194" s="281"/>
      <c r="O2194" s="279">
        <f>SUM(O2189:O2193)</f>
        <v>0.42149159599999997</v>
      </c>
      <c r="P2194" s="267"/>
      <c r="Q2194" s="166">
        <f t="shared" si="454"/>
        <v>0</v>
      </c>
      <c r="R2194" s="71"/>
      <c r="S2194" s="62"/>
      <c r="T2194" s="62"/>
      <c r="U2194" s="62"/>
      <c r="V2194" s="62"/>
      <c r="W2194" s="62"/>
      <c r="X2194" s="62"/>
      <c r="Y2194" s="62"/>
      <c r="Z2194" s="62"/>
      <c r="AA2194" s="62"/>
      <c r="AB2194" s="62"/>
      <c r="AC2194" s="62"/>
      <c r="AD2194" s="62"/>
      <c r="AE2194" s="62"/>
      <c r="AF2194" s="62"/>
      <c r="AG2194" s="62"/>
      <c r="AH2194" s="62"/>
      <c r="AI2194" s="62"/>
      <c r="AJ2194" s="62"/>
      <c r="AK2194" s="62"/>
      <c r="AL2194" s="62"/>
      <c r="AM2194" s="62"/>
      <c r="AN2194" s="62"/>
      <c r="AO2194" s="62"/>
    </row>
    <row r="2195" spans="1:41" s="108" customFormat="1" x14ac:dyDescent="0.25">
      <c r="A2195" s="358"/>
      <c r="B2195" s="361"/>
      <c r="C2195" s="365" t="s">
        <v>366</v>
      </c>
      <c r="D2195" s="368" t="s">
        <v>67</v>
      </c>
      <c r="E2195" s="368"/>
      <c r="F2195" s="368"/>
      <c r="G2195" s="368"/>
      <c r="H2195" s="195"/>
      <c r="I2195" s="159"/>
      <c r="J2195" s="195"/>
      <c r="K2195" s="161"/>
      <c r="L2195" s="196"/>
      <c r="M2195" s="230"/>
      <c r="N2195" s="278"/>
      <c r="O2195" s="279">
        <f>O2196</f>
        <v>5.6610999999999995E-2</v>
      </c>
      <c r="P2195" s="166"/>
      <c r="Q2195" s="166">
        <f t="shared" si="454"/>
        <v>0</v>
      </c>
      <c r="R2195" s="71"/>
      <c r="S2195" s="61"/>
      <c r="T2195" s="61"/>
      <c r="U2195" s="61"/>
      <c r="V2195" s="61"/>
      <c r="W2195" s="61"/>
      <c r="X2195" s="61"/>
      <c r="Y2195" s="61"/>
      <c r="Z2195" s="61"/>
      <c r="AA2195" s="61"/>
      <c r="AB2195" s="61"/>
      <c r="AC2195" s="61"/>
      <c r="AD2195" s="61"/>
      <c r="AE2195" s="61"/>
      <c r="AF2195" s="61"/>
      <c r="AG2195" s="61"/>
      <c r="AH2195" s="61"/>
      <c r="AI2195" s="61"/>
      <c r="AJ2195" s="61"/>
      <c r="AK2195" s="61"/>
      <c r="AL2195" s="61"/>
      <c r="AM2195" s="61"/>
      <c r="AN2195" s="61"/>
      <c r="AO2195" s="61"/>
    </row>
    <row r="2196" spans="1:41" s="61" customFormat="1" x14ac:dyDescent="0.25">
      <c r="A2196" s="358"/>
      <c r="B2196" s="361"/>
      <c r="C2196" s="367"/>
      <c r="D2196" s="194" t="s">
        <v>367</v>
      </c>
      <c r="E2196" s="194" t="s">
        <v>28</v>
      </c>
      <c r="F2196" s="194" t="s">
        <v>28</v>
      </c>
      <c r="G2196" s="217">
        <f>MROUND(H2196*L2196*I2196/K2196,0.00000000001)</f>
        <v>2.2581129999999998E-5</v>
      </c>
      <c r="H2196" s="283">
        <f>H2092</f>
        <v>2</v>
      </c>
      <c r="I2196" s="159">
        <f>I2193</f>
        <v>5.7547999999999995E-2</v>
      </c>
      <c r="J2196" s="195"/>
      <c r="K2196" s="161">
        <f>K2193</f>
        <v>61164</v>
      </c>
      <c r="L2196" s="196">
        <v>12</v>
      </c>
      <c r="M2196" s="230"/>
      <c r="N2196" s="278">
        <f>N2092</f>
        <v>2507</v>
      </c>
      <c r="O2196" s="280">
        <f>MROUND(N2196*G2196,0.000001)</f>
        <v>5.6610999999999995E-2</v>
      </c>
      <c r="P2196" s="166"/>
      <c r="Q2196" s="166">
        <f t="shared" si="454"/>
        <v>3462.5552039999998</v>
      </c>
      <c r="R2196" s="71"/>
    </row>
    <row r="2197" spans="1:41" s="108" customFormat="1" x14ac:dyDescent="0.25">
      <c r="A2197" s="358"/>
      <c r="B2197" s="361"/>
      <c r="C2197" s="221"/>
      <c r="D2197" s="350" t="s">
        <v>68</v>
      </c>
      <c r="E2197" s="350"/>
      <c r="F2197" s="350"/>
      <c r="G2197" s="350"/>
      <c r="H2197" s="195"/>
      <c r="I2197" s="159"/>
      <c r="J2197" s="195"/>
      <c r="K2197" s="161"/>
      <c r="L2197" s="196"/>
      <c r="M2197" s="230"/>
      <c r="N2197" s="278"/>
      <c r="O2197" s="280"/>
      <c r="P2197" s="166"/>
      <c r="Q2197" s="166">
        <f t="shared" si="454"/>
        <v>0</v>
      </c>
      <c r="R2197" s="71"/>
      <c r="S2197" s="61"/>
      <c r="T2197" s="61"/>
      <c r="U2197" s="61"/>
      <c r="V2197" s="61"/>
      <c r="W2197" s="61"/>
      <c r="X2197" s="61"/>
      <c r="Y2197" s="61"/>
      <c r="Z2197" s="61"/>
      <c r="AA2197" s="61"/>
      <c r="AB2197" s="61"/>
      <c r="AC2197" s="61"/>
      <c r="AD2197" s="61"/>
      <c r="AE2197" s="61"/>
      <c r="AF2197" s="61"/>
      <c r="AG2197" s="61"/>
      <c r="AH2197" s="61"/>
      <c r="AI2197" s="61"/>
      <c r="AJ2197" s="61"/>
      <c r="AK2197" s="61"/>
      <c r="AL2197" s="61"/>
      <c r="AM2197" s="61"/>
      <c r="AN2197" s="61"/>
      <c r="AO2197" s="61"/>
    </row>
    <row r="2198" spans="1:41" s="108" customFormat="1" x14ac:dyDescent="0.25">
      <c r="A2198" s="358"/>
      <c r="B2198" s="361"/>
      <c r="C2198" s="221"/>
      <c r="D2198" s="156"/>
      <c r="E2198" s="156"/>
      <c r="F2198" s="156"/>
      <c r="G2198" s="236"/>
      <c r="H2198" s="195"/>
      <c r="I2198" s="159"/>
      <c r="J2198" s="195"/>
      <c r="K2198" s="161"/>
      <c r="L2198" s="196"/>
      <c r="M2198" s="230"/>
      <c r="N2198" s="278"/>
      <c r="O2198" s="280"/>
      <c r="P2198" s="166"/>
      <c r="Q2198" s="166">
        <f t="shared" si="454"/>
        <v>0</v>
      </c>
      <c r="R2198" s="71"/>
      <c r="S2198" s="61"/>
      <c r="T2198" s="61"/>
      <c r="U2198" s="61"/>
      <c r="V2198" s="61"/>
      <c r="W2198" s="61"/>
      <c r="X2198" s="61"/>
      <c r="Y2198" s="61"/>
      <c r="Z2198" s="61"/>
      <c r="AA2198" s="61"/>
      <c r="AB2198" s="61"/>
      <c r="AC2198" s="61"/>
      <c r="AD2198" s="61"/>
      <c r="AE2198" s="61"/>
      <c r="AF2198" s="61"/>
      <c r="AG2198" s="61"/>
      <c r="AH2198" s="61"/>
      <c r="AI2198" s="61"/>
      <c r="AJ2198" s="61"/>
      <c r="AK2198" s="61"/>
      <c r="AL2198" s="61"/>
      <c r="AM2198" s="61"/>
      <c r="AN2198" s="61"/>
      <c r="AO2198" s="61"/>
    </row>
    <row r="2199" spans="1:41" s="108" customFormat="1" x14ac:dyDescent="0.25">
      <c r="A2199" s="358"/>
      <c r="B2199" s="361"/>
      <c r="C2199" s="221"/>
      <c r="D2199" s="368" t="s">
        <v>69</v>
      </c>
      <c r="E2199" s="368"/>
      <c r="F2199" s="368"/>
      <c r="G2199" s="368"/>
      <c r="H2199" s="187"/>
      <c r="I2199" s="159"/>
      <c r="J2199" s="187"/>
      <c r="K2199" s="161"/>
      <c r="L2199" s="276"/>
      <c r="M2199" s="230"/>
      <c r="N2199" s="278"/>
      <c r="O2199" s="279">
        <f>O2206+O2222+O2225+O2238+O2239+O2240+O2251+O2253+O2257+O2254</f>
        <v>11.699881000000001</v>
      </c>
      <c r="P2199" s="166"/>
      <c r="Q2199" s="166">
        <f t="shared" si="454"/>
        <v>0</v>
      </c>
      <c r="R2199" s="71"/>
      <c r="S2199" s="61"/>
      <c r="T2199" s="61"/>
      <c r="U2199" s="61"/>
      <c r="V2199" s="61"/>
      <c r="W2199" s="61"/>
      <c r="X2199" s="61"/>
      <c r="Y2199" s="61"/>
      <c r="Z2199" s="61"/>
      <c r="AA2199" s="61"/>
      <c r="AB2199" s="61"/>
      <c r="AC2199" s="61"/>
      <c r="AD2199" s="61"/>
      <c r="AE2199" s="61"/>
      <c r="AF2199" s="61"/>
      <c r="AG2199" s="61"/>
      <c r="AH2199" s="61"/>
      <c r="AI2199" s="61"/>
      <c r="AJ2199" s="61"/>
      <c r="AK2199" s="61"/>
      <c r="AL2199" s="61"/>
      <c r="AM2199" s="61"/>
      <c r="AN2199" s="61"/>
      <c r="AO2199" s="61"/>
    </row>
    <row r="2200" spans="1:41" s="61" customFormat="1" ht="31.5" x14ac:dyDescent="0.25">
      <c r="A2200" s="358"/>
      <c r="B2200" s="361"/>
      <c r="C2200" s="365" t="s">
        <v>78</v>
      </c>
      <c r="D2200" s="156" t="s">
        <v>26</v>
      </c>
      <c r="E2200" s="156" t="s">
        <v>22</v>
      </c>
      <c r="F2200" s="156" t="s">
        <v>22</v>
      </c>
      <c r="G2200" s="238">
        <f>MROUND(H2200*L2200*I2200/K2200,0.0000000001)</f>
        <v>5.6004128399999999E-2</v>
      </c>
      <c r="H2200" s="158">
        <f>H2096</f>
        <v>4960.26</v>
      </c>
      <c r="I2200" s="159">
        <f>I2196</f>
        <v>5.7547999999999995E-2</v>
      </c>
      <c r="J2200" s="160"/>
      <c r="K2200" s="161">
        <f>K2196</f>
        <v>61164</v>
      </c>
      <c r="L2200" s="250">
        <v>12</v>
      </c>
      <c r="M2200" s="163" t="str">
        <f>CONCATENATE(H2200," ",F2200,"(обрабатываемая площадь в мес.)","*",L2200,"мес.","*",I2200,"/",K2200,"чел/час")</f>
        <v>4960,26 м2(обрабатываемая площадь в мес.)*12мес.*0,057548/61164чел/час</v>
      </c>
      <c r="N2200" s="278">
        <f>N2096</f>
        <v>1.1553999521530458</v>
      </c>
      <c r="O2200" s="280">
        <f>MROUND(N2200*G2200,0.000001)</f>
        <v>6.4707000000000001E-2</v>
      </c>
      <c r="P2200" s="166"/>
      <c r="Q2200" s="166">
        <f t="shared" si="454"/>
        <v>3957.7389480000002</v>
      </c>
      <c r="R2200" s="71"/>
    </row>
    <row r="2201" spans="1:41" s="61" customFormat="1" ht="31.5" x14ac:dyDescent="0.25">
      <c r="A2201" s="358"/>
      <c r="B2201" s="361"/>
      <c r="C2201" s="366"/>
      <c r="D2201" s="156" t="s">
        <v>96</v>
      </c>
      <c r="E2201" s="156" t="s">
        <v>22</v>
      </c>
      <c r="F2201" s="156" t="s">
        <v>22</v>
      </c>
      <c r="G2201" s="238">
        <f>MROUND(H2201*L2201*I2201/K2201,0.0000000001)</f>
        <v>3.1018112300000001E-2</v>
      </c>
      <c r="H2201" s="158">
        <f>H2097</f>
        <v>2747.26</v>
      </c>
      <c r="I2201" s="159">
        <f>I2200</f>
        <v>5.7547999999999995E-2</v>
      </c>
      <c r="J2201" s="160"/>
      <c r="K2201" s="161">
        <f>K2200</f>
        <v>61164</v>
      </c>
      <c r="L2201" s="250">
        <v>12</v>
      </c>
      <c r="M2201" s="163" t="str">
        <f>CONCATENATE(H2201," ",F2201,"(обрабатываемая площадь в мес.)","*",L2201,"мес.","*",I2201,"/",K2201,"чел/час")</f>
        <v>2747,26 м2(обрабатываемая площадь в мес.)*12мес.*0,057548/61164чел/час</v>
      </c>
      <c r="N2201" s="278">
        <f>N2097</f>
        <v>1.6108668273115756</v>
      </c>
      <c r="O2201" s="280">
        <f>MROUND(N2201*G2201,0.000001)</f>
        <v>4.9965999999999997E-2</v>
      </c>
      <c r="P2201" s="166"/>
      <c r="Q2201" s="166">
        <f t="shared" si="454"/>
        <v>3056.1204239999997</v>
      </c>
      <c r="R2201" s="71"/>
    </row>
    <row r="2202" spans="1:41" s="135" customFormat="1" ht="31.5" x14ac:dyDescent="0.25">
      <c r="A2202" s="358"/>
      <c r="B2202" s="361"/>
      <c r="C2202" s="366"/>
      <c r="D2202" s="156" t="s">
        <v>385</v>
      </c>
      <c r="E2202" s="156" t="s">
        <v>22</v>
      </c>
      <c r="F2202" s="156" t="s">
        <v>22</v>
      </c>
      <c r="G2202" s="238">
        <f>MROUND(H2202*L2202*I2202/K2202,0.0000000001)</f>
        <v>6.2036224600000002E-2</v>
      </c>
      <c r="H2202" s="242">
        <f>$H$2098</f>
        <v>2747.26</v>
      </c>
      <c r="I2202" s="159">
        <f>I2201</f>
        <v>5.7547999999999995E-2</v>
      </c>
      <c r="J2202" s="160"/>
      <c r="K2202" s="161">
        <f>K2201</f>
        <v>61164</v>
      </c>
      <c r="L2202" s="162">
        <v>24</v>
      </c>
      <c r="M2202" s="163" t="str">
        <f>CONCATENATE(H2202," ",F2202,"(обрабатываемая площадь в год)","*",L2202," раза в год.","*",I2202,"/",K2202,"чел.")</f>
        <v>2747,26 м2(обрабатываемая площадь в год)*24 раза в год.*0,057548/61164чел.</v>
      </c>
      <c r="N2202" s="164">
        <f>$N$2098</f>
        <v>1.7779423862321002</v>
      </c>
      <c r="O2202" s="165">
        <f>MROUND(G2202*N2202,0.000001)</f>
        <v>0.11029699999999999</v>
      </c>
      <c r="P2202" s="166"/>
      <c r="Q2202" s="166">
        <f t="shared" si="454"/>
        <v>6746.2057079999995</v>
      </c>
      <c r="R2202" s="71"/>
      <c r="S2202" s="61"/>
      <c r="T2202" s="61"/>
      <c r="U2202" s="61"/>
      <c r="V2202" s="61"/>
      <c r="W2202" s="61"/>
      <c r="X2202" s="61"/>
      <c r="Y2202" s="61"/>
      <c r="Z2202" s="61"/>
      <c r="AA2202" s="61"/>
      <c r="AB2202" s="61"/>
      <c r="AC2202" s="61"/>
      <c r="AD2202" s="61"/>
      <c r="AE2202" s="61"/>
      <c r="AF2202" s="61"/>
      <c r="AG2202" s="61"/>
      <c r="AH2202" s="61"/>
      <c r="AI2202" s="61"/>
      <c r="AJ2202" s="61"/>
      <c r="AK2202" s="61"/>
      <c r="AL2202" s="61"/>
      <c r="AM2202" s="61"/>
      <c r="AN2202" s="61"/>
      <c r="AO2202" s="61"/>
    </row>
    <row r="2203" spans="1:41" s="135" customFormat="1" ht="31.5" x14ac:dyDescent="0.25">
      <c r="A2203" s="358"/>
      <c r="B2203" s="361"/>
      <c r="C2203" s="366"/>
      <c r="D2203" s="156" t="s">
        <v>394</v>
      </c>
      <c r="E2203" s="156" t="s">
        <v>22</v>
      </c>
      <c r="F2203" s="156" t="s">
        <v>22</v>
      </c>
      <c r="G2203" s="238">
        <f>MROUND(H2203*L2203*I2203/K2203,0.000000001)</f>
        <v>5.6004128E-2</v>
      </c>
      <c r="H2203" s="243">
        <f>$H$2099</f>
        <v>4960.26</v>
      </c>
      <c r="I2203" s="159">
        <f>I2202</f>
        <v>5.7547999999999995E-2</v>
      </c>
      <c r="J2203" s="160"/>
      <c r="K2203" s="161">
        <f>K2202</f>
        <v>61164</v>
      </c>
      <c r="L2203" s="162">
        <v>12</v>
      </c>
      <c r="M2203" s="163" t="str">
        <f>CONCATENATE(H2203," ",F2203,"(обрабатываемая площадь в мес.)","*",L2203,"мес.","*",I2203,"/",K2203,"чел.")</f>
        <v>4960,26 м2(обрабатываемая площадь в мес.)*12мес.*0,057548/61164чел.</v>
      </c>
      <c r="N2203" s="164">
        <f>$N$2099</f>
        <v>0.54499999327992221</v>
      </c>
      <c r="O2203" s="165">
        <f>MROUND(G2203*N2203,0.000001)</f>
        <v>3.0521999999999997E-2</v>
      </c>
      <c r="P2203" s="166"/>
      <c r="Q2203" s="166">
        <f t="shared" si="454"/>
        <v>1866.8476079999998</v>
      </c>
      <c r="R2203" s="71"/>
      <c r="S2203" s="61"/>
      <c r="T2203" s="61"/>
      <c r="U2203" s="61"/>
      <c r="V2203" s="61"/>
      <c r="W2203" s="61"/>
      <c r="X2203" s="61"/>
      <c r="Y2203" s="61"/>
      <c r="Z2203" s="61"/>
      <c r="AA2203" s="61"/>
      <c r="AB2203" s="61"/>
      <c r="AC2203" s="61"/>
      <c r="AD2203" s="61"/>
      <c r="AE2203" s="61"/>
      <c r="AF2203" s="61"/>
      <c r="AG2203" s="61"/>
      <c r="AH2203" s="61"/>
      <c r="AI2203" s="61"/>
      <c r="AJ2203" s="61"/>
      <c r="AK2203" s="61"/>
      <c r="AL2203" s="61"/>
      <c r="AM2203" s="61"/>
      <c r="AN2203" s="61"/>
      <c r="AO2203" s="61"/>
    </row>
    <row r="2204" spans="1:41" s="135" customFormat="1" ht="31.5" x14ac:dyDescent="0.25">
      <c r="A2204" s="358"/>
      <c r="B2204" s="361"/>
      <c r="C2204" s="366"/>
      <c r="D2204" s="156" t="s">
        <v>395</v>
      </c>
      <c r="E2204" s="156" t="s">
        <v>98</v>
      </c>
      <c r="F2204" s="156" t="s">
        <v>98</v>
      </c>
      <c r="G2204" s="238">
        <f>MROUND(H2204*L2204*I2204/K2204,0.0000000000001)</f>
        <v>1.7688549E-6</v>
      </c>
      <c r="H2204" s="242">
        <f>$H$2100</f>
        <v>1.8800000000000001</v>
      </c>
      <c r="I2204" s="159">
        <f>I2203</f>
        <v>5.7547999999999995E-2</v>
      </c>
      <c r="J2204" s="160"/>
      <c r="K2204" s="161">
        <f>K2203</f>
        <v>61164</v>
      </c>
      <c r="L2204" s="162">
        <v>1</v>
      </c>
      <c r="M2204" s="163" t="str">
        <f>CONCATENATE(H2204," ",F2204,"(обрабатываемая площадь в год)","*",L2204," раз в год","*",I2204,"/",K2204,"чел.")</f>
        <v>1,88 Га(обрабатываемая площадь в год)*1 раз в год*0,057548/61164чел.</v>
      </c>
      <c r="N2204" s="164">
        <f>$N$2100</f>
        <v>544.99999999999989</v>
      </c>
      <c r="O2204" s="165">
        <f>MROUND(G2204*N2204,0.000001)</f>
        <v>9.639999999999999E-4</v>
      </c>
      <c r="P2204" s="166"/>
      <c r="Q2204" s="166">
        <f t="shared" si="454"/>
        <v>58.962095999999995</v>
      </c>
      <c r="R2204" s="71"/>
      <c r="S2204" s="61"/>
      <c r="T2204" s="61"/>
      <c r="U2204" s="61"/>
      <c r="V2204" s="61"/>
      <c r="W2204" s="61"/>
      <c r="X2204" s="61"/>
      <c r="Y2204" s="61"/>
      <c r="Z2204" s="61"/>
      <c r="AA2204" s="61"/>
      <c r="AB2204" s="61"/>
      <c r="AC2204" s="61"/>
      <c r="AD2204" s="61"/>
      <c r="AE2204" s="61"/>
      <c r="AF2204" s="61"/>
      <c r="AG2204" s="61"/>
      <c r="AH2204" s="61"/>
      <c r="AI2204" s="61"/>
      <c r="AJ2204" s="61"/>
      <c r="AK2204" s="61"/>
      <c r="AL2204" s="61"/>
      <c r="AM2204" s="61"/>
      <c r="AN2204" s="61"/>
      <c r="AO2204" s="61"/>
    </row>
    <row r="2205" spans="1:41" s="61" customFormat="1" ht="31.5" x14ac:dyDescent="0.25">
      <c r="A2205" s="358"/>
      <c r="B2205" s="361"/>
      <c r="C2205" s="367"/>
      <c r="D2205" s="156" t="s">
        <v>97</v>
      </c>
      <c r="E2205" s="156" t="s">
        <v>363</v>
      </c>
      <c r="F2205" s="156" t="s">
        <v>363</v>
      </c>
      <c r="G2205" s="238">
        <f>MROUND(H2205*L2205*I2205/K2205,0.00000000001)</f>
        <v>1.7688499999999998E-6</v>
      </c>
      <c r="H2205" s="158">
        <f>$H$2101</f>
        <v>1.8800000000000001</v>
      </c>
      <c r="I2205" s="159">
        <f>I2201</f>
        <v>5.7547999999999995E-2</v>
      </c>
      <c r="J2205" s="160"/>
      <c r="K2205" s="161">
        <f>K2201</f>
        <v>61164</v>
      </c>
      <c r="L2205" s="250">
        <v>1</v>
      </c>
      <c r="M2205" s="163" t="str">
        <f>CONCATENATE(H2205," ",F2205,"(обрабатываемая площадь в мес.)","*",L2205,"мес.","*",I2205,"/",K2205,"чел/час")</f>
        <v>1,88 га(обрабатываемая площадь в мес.)*1мес.*0,057548/61164чел/час</v>
      </c>
      <c r="N2205" s="278">
        <f>$N$2101</f>
        <v>2965.9734042553187</v>
      </c>
      <c r="O2205" s="280">
        <f>MROUND(N2205*G2205,0.000001)</f>
        <v>5.2459999999999998E-3</v>
      </c>
      <c r="P2205" s="166"/>
      <c r="Q2205" s="166">
        <f t="shared" si="454"/>
        <v>320.86634399999997</v>
      </c>
      <c r="R2205" s="71"/>
    </row>
    <row r="2206" spans="1:41" s="109" customFormat="1" x14ac:dyDescent="0.25">
      <c r="A2206" s="358"/>
      <c r="B2206" s="361"/>
      <c r="C2206" s="218" t="s">
        <v>327</v>
      </c>
      <c r="D2206" s="240"/>
      <c r="E2206" s="240"/>
      <c r="F2206" s="240"/>
      <c r="G2206" s="227"/>
      <c r="H2206" s="241"/>
      <c r="I2206" s="206"/>
      <c r="J2206" s="228"/>
      <c r="K2206" s="207"/>
      <c r="L2206" s="257"/>
      <c r="M2206" s="209"/>
      <c r="N2206" s="281"/>
      <c r="O2206" s="279">
        <f>SUM(O2200:O2205)</f>
        <v>0.26170199999999999</v>
      </c>
      <c r="P2206" s="267"/>
      <c r="Q2206" s="166"/>
      <c r="R2206" s="71"/>
      <c r="S2206" s="62"/>
      <c r="T2206" s="62"/>
      <c r="U2206" s="62"/>
      <c r="V2206" s="62"/>
      <c r="W2206" s="62"/>
      <c r="X2206" s="62"/>
      <c r="Y2206" s="62"/>
      <c r="Z2206" s="62"/>
      <c r="AA2206" s="62"/>
      <c r="AB2206" s="62"/>
      <c r="AC2206" s="62"/>
      <c r="AD2206" s="62"/>
      <c r="AE2206" s="62"/>
      <c r="AF2206" s="62"/>
      <c r="AG2206" s="62"/>
      <c r="AH2206" s="62"/>
      <c r="AI2206" s="62"/>
      <c r="AJ2206" s="62"/>
      <c r="AK2206" s="62"/>
      <c r="AL2206" s="62"/>
      <c r="AM2206" s="62"/>
      <c r="AN2206" s="62"/>
      <c r="AO2206" s="62"/>
    </row>
    <row r="2207" spans="1:41" s="61" customFormat="1" x14ac:dyDescent="0.25">
      <c r="A2207" s="358"/>
      <c r="B2207" s="361"/>
      <c r="C2207" s="366" t="s">
        <v>77</v>
      </c>
      <c r="D2207" s="156" t="s">
        <v>397</v>
      </c>
      <c r="E2207" s="156" t="s">
        <v>433</v>
      </c>
      <c r="F2207" s="156" t="s">
        <v>433</v>
      </c>
      <c r="G2207" s="238">
        <f>MROUND(H2207*L2207*I2207/K2207,0.000000000001)</f>
        <v>0</v>
      </c>
      <c r="H2207" s="158"/>
      <c r="I2207" s="159">
        <f>I2201</f>
        <v>5.7547999999999995E-2</v>
      </c>
      <c r="J2207" s="160"/>
      <c r="K2207" s="161">
        <f>K2201</f>
        <v>61164</v>
      </c>
      <c r="L2207" s="162">
        <v>1</v>
      </c>
      <c r="M2207" s="163"/>
      <c r="N2207" s="278"/>
      <c r="O2207" s="280">
        <f t="shared" ref="O2207:O2221" si="455">MROUND(N2207*G2207,0.000001)</f>
        <v>0</v>
      </c>
      <c r="P2207" s="166"/>
      <c r="Q2207" s="166">
        <f t="shared" ref="Q2207:Q2221" si="456">O2207*K2207</f>
        <v>0</v>
      </c>
      <c r="R2207" s="71"/>
    </row>
    <row r="2208" spans="1:41" s="61" customFormat="1" ht="63" x14ac:dyDescent="0.25">
      <c r="A2208" s="358"/>
      <c r="B2208" s="361"/>
      <c r="C2208" s="366"/>
      <c r="D2208" s="156" t="s">
        <v>249</v>
      </c>
      <c r="E2208" s="156" t="s">
        <v>22</v>
      </c>
      <c r="F2208" s="156" t="s">
        <v>22</v>
      </c>
      <c r="G2208" s="238">
        <f t="shared" ref="G2208:G2221" si="457">MROUND(H2208*L2208*I2208/K2208,0.000000000001)</f>
        <v>7.799408067E-3</v>
      </c>
      <c r="H2208" s="158">
        <f>H2104</f>
        <v>690.79</v>
      </c>
      <c r="I2208" s="159">
        <f>I2207</f>
        <v>5.7547999999999995E-2</v>
      </c>
      <c r="J2208" s="160"/>
      <c r="K2208" s="161">
        <f>K2207</f>
        <v>61164</v>
      </c>
      <c r="L2208" s="250">
        <v>12</v>
      </c>
      <c r="M2208" s="163" t="str">
        <f>CONCATENATE(H2208," ",F2208,"*",L2208,"мес.","*",I2208,"/",K2208,"чел/час")</f>
        <v>690,79 м2*12мес.*0,057548/61164чел/час</v>
      </c>
      <c r="N2208" s="278">
        <f>N2104</f>
        <v>30.306671829837342</v>
      </c>
      <c r="O2208" s="280">
        <f t="shared" si="455"/>
        <v>0.236374</v>
      </c>
      <c r="P2208" s="166"/>
      <c r="Q2208" s="166">
        <f t="shared" si="456"/>
        <v>14457.579336000001</v>
      </c>
      <c r="R2208" s="71"/>
    </row>
    <row r="2209" spans="1:41" s="136" customFormat="1" x14ac:dyDescent="0.25">
      <c r="A2209" s="358"/>
      <c r="B2209" s="361"/>
      <c r="C2209" s="366"/>
      <c r="D2209" s="194" t="s">
        <v>398</v>
      </c>
      <c r="E2209" s="156" t="s">
        <v>60</v>
      </c>
      <c r="F2209" s="156" t="s">
        <v>60</v>
      </c>
      <c r="G2209" s="238">
        <f t="shared" si="457"/>
        <v>4.7044009999999996E-6</v>
      </c>
      <c r="H2209" s="158">
        <f>$H$2105</f>
        <v>5</v>
      </c>
      <c r="I2209" s="159">
        <f>I2208</f>
        <v>5.7547999999999995E-2</v>
      </c>
      <c r="J2209" s="160"/>
      <c r="K2209" s="161">
        <f>K2208</f>
        <v>61164</v>
      </c>
      <c r="L2209" s="250">
        <v>1</v>
      </c>
      <c r="M2209" s="163" t="str">
        <f>CONCATENATE(H2209," ",F2209,"*",I2209,"/",K2209,"чел/час")</f>
        <v>5 шт.*0,057548/61164чел/час</v>
      </c>
      <c r="N2209" s="278">
        <f>$N$2105</f>
        <v>11009</v>
      </c>
      <c r="O2209" s="280">
        <f t="shared" si="455"/>
        <v>5.1790999999999997E-2</v>
      </c>
      <c r="P2209" s="166"/>
      <c r="Q2209" s="166">
        <f t="shared" si="456"/>
        <v>3167.7447239999997</v>
      </c>
      <c r="R2209" s="71"/>
      <c r="S2209" s="61"/>
      <c r="T2209" s="61"/>
      <c r="U2209" s="61"/>
      <c r="V2209" s="61"/>
      <c r="W2209" s="61"/>
      <c r="X2209" s="61"/>
      <c r="Y2209" s="61"/>
      <c r="Z2209" s="61"/>
      <c r="AA2209" s="61"/>
      <c r="AB2209" s="61"/>
      <c r="AC2209" s="61"/>
      <c r="AD2209" s="61"/>
      <c r="AE2209" s="61"/>
      <c r="AF2209" s="61"/>
      <c r="AG2209" s="61"/>
      <c r="AH2209" s="61"/>
      <c r="AI2209" s="61"/>
      <c r="AJ2209" s="61"/>
      <c r="AK2209" s="61"/>
      <c r="AL2209" s="61"/>
      <c r="AM2209" s="61"/>
      <c r="AN2209" s="61"/>
      <c r="AO2209" s="61"/>
    </row>
    <row r="2210" spans="1:41" s="136" customFormat="1" ht="63" x14ac:dyDescent="0.25">
      <c r="A2210" s="358"/>
      <c r="B2210" s="361"/>
      <c r="C2210" s="366"/>
      <c r="D2210" s="156" t="s">
        <v>33</v>
      </c>
      <c r="E2210" s="156" t="s">
        <v>56</v>
      </c>
      <c r="F2210" s="156" t="s">
        <v>220</v>
      </c>
      <c r="G2210" s="238">
        <f t="shared" si="457"/>
        <v>4.7044009999999996E-6</v>
      </c>
      <c r="H2210" s="158">
        <f>$H$2106</f>
        <v>5</v>
      </c>
      <c r="I2210" s="159">
        <f>I2209</f>
        <v>5.7547999999999995E-2</v>
      </c>
      <c r="J2210" s="160"/>
      <c r="K2210" s="161">
        <f>K2209</f>
        <v>61164</v>
      </c>
      <c r="L2210" s="250">
        <f>$L$2106</f>
        <v>1</v>
      </c>
      <c r="M2210" s="163" t="str">
        <f>CONCATENATE(H2210," ",F2210,"*",L2210," раз в год","*",I2210,"/",K2210,"чел.")</f>
        <v>5 дымоходов*1 раз в год*0,057548/61164чел.</v>
      </c>
      <c r="N2210" s="278">
        <f>$N$2106</f>
        <v>6540</v>
      </c>
      <c r="O2210" s="280">
        <f t="shared" si="455"/>
        <v>3.0766999999999999E-2</v>
      </c>
      <c r="P2210" s="166"/>
      <c r="Q2210" s="166">
        <f t="shared" si="456"/>
        <v>1881.8327879999999</v>
      </c>
      <c r="R2210" s="71"/>
      <c r="S2210" s="61"/>
      <c r="T2210" s="61"/>
      <c r="U2210" s="61"/>
      <c r="V2210" s="61"/>
      <c r="W2210" s="61"/>
      <c r="X2210" s="61"/>
      <c r="Y2210" s="61"/>
      <c r="Z2210" s="61"/>
      <c r="AA2210" s="61"/>
      <c r="AB2210" s="61"/>
      <c r="AC2210" s="61"/>
      <c r="AD2210" s="61"/>
      <c r="AE2210" s="61"/>
      <c r="AF2210" s="61"/>
      <c r="AG2210" s="61"/>
      <c r="AH2210" s="61"/>
      <c r="AI2210" s="61"/>
      <c r="AJ2210" s="61"/>
      <c r="AK2210" s="61"/>
      <c r="AL2210" s="61"/>
      <c r="AM2210" s="61"/>
      <c r="AN2210" s="61"/>
      <c r="AO2210" s="61"/>
    </row>
    <row r="2211" spans="1:41" s="61" customFormat="1" ht="78.75" x14ac:dyDescent="0.25">
      <c r="A2211" s="358"/>
      <c r="B2211" s="361"/>
      <c r="C2211" s="366"/>
      <c r="D2211" s="156" t="s">
        <v>250</v>
      </c>
      <c r="E2211" s="156" t="s">
        <v>251</v>
      </c>
      <c r="F2211" s="156" t="s">
        <v>60</v>
      </c>
      <c r="G2211" s="238">
        <f t="shared" si="457"/>
        <v>4.7044009999999996E-6</v>
      </c>
      <c r="H2211" s="158">
        <f>$H$2107</f>
        <v>5</v>
      </c>
      <c r="I2211" s="159">
        <f>I2208</f>
        <v>5.7547999999999995E-2</v>
      </c>
      <c r="J2211" s="160"/>
      <c r="K2211" s="161">
        <f>K2208</f>
        <v>61164</v>
      </c>
      <c r="L2211" s="250">
        <v>1</v>
      </c>
      <c r="M2211" s="163" t="str">
        <f>CONCATENATE(H2211," ",F2211,"*",I2211,"/",K2211,"чел/час")</f>
        <v>5 шт.*0,057548/61164чел/час</v>
      </c>
      <c r="N2211" s="278">
        <f t="shared" ref="N2211:N2221" si="458">N2107</f>
        <v>52320</v>
      </c>
      <c r="O2211" s="280">
        <f t="shared" si="455"/>
        <v>0.24613399999999999</v>
      </c>
      <c r="P2211" s="166"/>
      <c r="Q2211" s="166">
        <f t="shared" si="456"/>
        <v>15054.539976</v>
      </c>
      <c r="R2211" s="71"/>
    </row>
    <row r="2212" spans="1:41" s="61" customFormat="1" ht="47.25" x14ac:dyDescent="0.25">
      <c r="A2212" s="358"/>
      <c r="B2212" s="361"/>
      <c r="C2212" s="366"/>
      <c r="D2212" s="156" t="s">
        <v>401</v>
      </c>
      <c r="E2212" s="156" t="s">
        <v>60</v>
      </c>
      <c r="F2212" s="156" t="s">
        <v>402</v>
      </c>
      <c r="G2212" s="238">
        <f t="shared" si="457"/>
        <v>9.4088030000000003E-6</v>
      </c>
      <c r="H2212" s="158">
        <f>H2108</f>
        <v>5</v>
      </c>
      <c r="I2212" s="159">
        <f>I2211</f>
        <v>5.7547999999999995E-2</v>
      </c>
      <c r="J2212" s="160"/>
      <c r="K2212" s="161">
        <f>K2211</f>
        <v>61164</v>
      </c>
      <c r="L2212" s="250">
        <f>$L$2108</f>
        <v>2</v>
      </c>
      <c r="M2212" s="163" t="str">
        <f>CONCATENATE(H2212," ",F2212,"*",I2212,"/",K2212,"чел/час")</f>
        <v>5 противопожарных водопроводов*0,057548/61164чел/час</v>
      </c>
      <c r="N2212" s="278">
        <f t="shared" si="458"/>
        <v>5450</v>
      </c>
      <c r="O2212" s="280">
        <f t="shared" si="455"/>
        <v>5.1277999999999997E-2</v>
      </c>
      <c r="P2212" s="166"/>
      <c r="Q2212" s="166">
        <f t="shared" si="456"/>
        <v>3136.3675919999996</v>
      </c>
      <c r="R2212" s="71"/>
    </row>
    <row r="2213" spans="1:41" s="61" customFormat="1" ht="47.25" x14ac:dyDescent="0.25">
      <c r="A2213" s="358"/>
      <c r="B2213" s="361"/>
      <c r="C2213" s="366"/>
      <c r="D2213" s="156" t="s">
        <v>34</v>
      </c>
      <c r="E2213" s="156" t="s">
        <v>59</v>
      </c>
      <c r="F2213" s="156" t="s">
        <v>28</v>
      </c>
      <c r="G2213" s="238">
        <f t="shared" si="457"/>
        <v>1.8817609999999999E-6</v>
      </c>
      <c r="H2213" s="158">
        <f>H2109</f>
        <v>2</v>
      </c>
      <c r="I2213" s="159">
        <f>I2212</f>
        <v>5.7547999999999995E-2</v>
      </c>
      <c r="J2213" s="160"/>
      <c r="K2213" s="161">
        <f>K2212</f>
        <v>61164</v>
      </c>
      <c r="L2213" s="250">
        <v>1</v>
      </c>
      <c r="M2213" s="163" t="str">
        <f>CONCATENATE(H2213," ",F2213,"*",I2213,"/",K2213,"чел/час")</f>
        <v>2 шт*0,057548/61164чел/час</v>
      </c>
      <c r="N2213" s="278">
        <f t="shared" si="458"/>
        <v>7500</v>
      </c>
      <c r="O2213" s="280">
        <f t="shared" si="455"/>
        <v>1.4112999999999999E-2</v>
      </c>
      <c r="P2213" s="166"/>
      <c r="Q2213" s="166">
        <f t="shared" si="456"/>
        <v>863.2075319999999</v>
      </c>
      <c r="R2213" s="71"/>
    </row>
    <row r="2214" spans="1:41" s="61" customFormat="1" ht="47.25" x14ac:dyDescent="0.25">
      <c r="A2214" s="358"/>
      <c r="B2214" s="361"/>
      <c r="C2214" s="366"/>
      <c r="D2214" s="156" t="s">
        <v>222</v>
      </c>
      <c r="E2214" s="156" t="s">
        <v>60</v>
      </c>
      <c r="F2214" s="156" t="s">
        <v>60</v>
      </c>
      <c r="G2214" s="238">
        <f t="shared" si="457"/>
        <v>1.8817609999999999E-6</v>
      </c>
      <c r="H2214" s="158">
        <f>H2110</f>
        <v>2</v>
      </c>
      <c r="I2214" s="159">
        <f>I2213</f>
        <v>5.7547999999999995E-2</v>
      </c>
      <c r="J2214" s="160"/>
      <c r="K2214" s="161">
        <f>K2213</f>
        <v>61164</v>
      </c>
      <c r="L2214" s="250">
        <v>1</v>
      </c>
      <c r="M2214" s="163" t="str">
        <f>CONCATENATE(H2214," ",F2214,"*",I2214,"/",K2214,"чел/час")</f>
        <v>2 шт.*0,057548/61164чел/час</v>
      </c>
      <c r="N2214" s="278">
        <f t="shared" si="458"/>
        <v>13000</v>
      </c>
      <c r="O2214" s="280">
        <f t="shared" si="455"/>
        <v>2.4462999999999999E-2</v>
      </c>
      <c r="P2214" s="166"/>
      <c r="Q2214" s="166">
        <f t="shared" si="456"/>
        <v>1496.2549319999998</v>
      </c>
      <c r="R2214" s="71"/>
    </row>
    <row r="2215" spans="1:41" s="61" customFormat="1" ht="31.5" x14ac:dyDescent="0.25">
      <c r="A2215" s="358"/>
      <c r="B2215" s="361"/>
      <c r="C2215" s="366"/>
      <c r="D2215" s="156" t="s">
        <v>35</v>
      </c>
      <c r="E2215" s="156" t="s">
        <v>102</v>
      </c>
      <c r="F2215" s="156" t="s">
        <v>252</v>
      </c>
      <c r="G2215" s="238">
        <f t="shared" si="457"/>
        <v>1.8817609999999999E-6</v>
      </c>
      <c r="H2215" s="158">
        <f>H2111</f>
        <v>2</v>
      </c>
      <c r="I2215" s="159">
        <f>I2213</f>
        <v>5.7547999999999995E-2</v>
      </c>
      <c r="J2215" s="160"/>
      <c r="K2215" s="161">
        <f>K2213</f>
        <v>61164</v>
      </c>
      <c r="L2215" s="250">
        <v>1</v>
      </c>
      <c r="M2215" s="163" t="str">
        <f>CONCATENATE(H2215," ",F2215,"*",I2215,"/",K2215,"чел/час")</f>
        <v>2 замера*0,057548/61164чел/час</v>
      </c>
      <c r="N2215" s="278">
        <f t="shared" si="458"/>
        <v>25830</v>
      </c>
      <c r="O2215" s="280">
        <f t="shared" si="455"/>
        <v>4.8605999999999996E-2</v>
      </c>
      <c r="P2215" s="166"/>
      <c r="Q2215" s="166">
        <f t="shared" si="456"/>
        <v>2972.9373839999998</v>
      </c>
      <c r="R2215" s="71"/>
    </row>
    <row r="2216" spans="1:41" s="61" customFormat="1" ht="47.25" x14ac:dyDescent="0.25">
      <c r="A2216" s="358"/>
      <c r="B2216" s="361"/>
      <c r="C2216" s="366"/>
      <c r="D2216" s="156" t="s">
        <v>399</v>
      </c>
      <c r="E2216" s="156" t="s">
        <v>60</v>
      </c>
      <c r="F2216" s="156" t="s">
        <v>60</v>
      </c>
      <c r="G2216" s="238">
        <f t="shared" si="457"/>
        <v>3.7635210000000002E-5</v>
      </c>
      <c r="H2216" s="158">
        <f>$H$2112</f>
        <v>4</v>
      </c>
      <c r="I2216" s="159">
        <f>I2215</f>
        <v>5.7547999999999995E-2</v>
      </c>
      <c r="J2216" s="160"/>
      <c r="K2216" s="161">
        <f>K2215</f>
        <v>61164</v>
      </c>
      <c r="L2216" s="250">
        <v>10</v>
      </c>
      <c r="M2216" s="163" t="str">
        <f>CONCATENATE(H2216," ",F2216,"*",L2216,"мес.","*",I2216,"/",K2216,"чел/час")</f>
        <v>4 шт.*10мес.*0,057548/61164чел/час</v>
      </c>
      <c r="N2216" s="278">
        <f t="shared" si="458"/>
        <v>2411.625</v>
      </c>
      <c r="O2216" s="280">
        <f t="shared" si="455"/>
        <v>9.0761999999999995E-2</v>
      </c>
      <c r="P2216" s="166"/>
      <c r="Q2216" s="166">
        <f t="shared" si="456"/>
        <v>5551.3669679999994</v>
      </c>
      <c r="R2216" s="71"/>
    </row>
    <row r="2217" spans="1:41" s="61" customFormat="1" ht="47.25" x14ac:dyDescent="0.25">
      <c r="A2217" s="358"/>
      <c r="B2217" s="361"/>
      <c r="C2217" s="366"/>
      <c r="D2217" s="156" t="s">
        <v>36</v>
      </c>
      <c r="E2217" s="156" t="s">
        <v>31</v>
      </c>
      <c r="F2217" s="156" t="s">
        <v>224</v>
      </c>
      <c r="G2217" s="238">
        <f t="shared" si="457"/>
        <v>9.0324504999999999E-5</v>
      </c>
      <c r="H2217" s="158">
        <f>H2113</f>
        <v>8</v>
      </c>
      <c r="I2217" s="159">
        <f>I2216</f>
        <v>5.7547999999999995E-2</v>
      </c>
      <c r="J2217" s="160"/>
      <c r="K2217" s="161">
        <f>K2216</f>
        <v>61164</v>
      </c>
      <c r="L2217" s="250">
        <v>12</v>
      </c>
      <c r="M2217" s="163" t="str">
        <f>CONCATENATE(H2217," ",F2217,"*",L2217,"мес.","*",I2217,"/",K2217,"чел/час")</f>
        <v>8 устройств*12мес.*0,057548/61164чел/час</v>
      </c>
      <c r="N2217" s="278">
        <f t="shared" si="458"/>
        <v>2200</v>
      </c>
      <c r="O2217" s="280">
        <f t="shared" si="455"/>
        <v>0.198714</v>
      </c>
      <c r="P2217" s="166"/>
      <c r="Q2217" s="166">
        <f t="shared" si="456"/>
        <v>12154.143096</v>
      </c>
      <c r="R2217" s="71"/>
    </row>
    <row r="2218" spans="1:41" s="61" customFormat="1" ht="63" x14ac:dyDescent="0.25">
      <c r="A2218" s="358"/>
      <c r="B2218" s="361"/>
      <c r="C2218" s="366"/>
      <c r="D2218" s="156" t="s">
        <v>253</v>
      </c>
      <c r="E2218" s="156" t="s">
        <v>55</v>
      </c>
      <c r="F2218" s="156" t="s">
        <v>55</v>
      </c>
      <c r="G2218" s="238">
        <f t="shared" si="457"/>
        <v>5.6452814999999997E-5</v>
      </c>
      <c r="H2218" s="158">
        <f>H2114</f>
        <v>5</v>
      </c>
      <c r="I2218" s="159">
        <f>I2217</f>
        <v>5.7547999999999995E-2</v>
      </c>
      <c r="J2218" s="160"/>
      <c r="K2218" s="161">
        <f>K2217</f>
        <v>61164</v>
      </c>
      <c r="L2218" s="250">
        <v>12</v>
      </c>
      <c r="M2218" s="163" t="str">
        <f>CONCATENATE(H2218," ",F2218,"*",I2218,"/",K2218,"чел/час")</f>
        <v>5 система*0,057548/61164чел/час</v>
      </c>
      <c r="N2218" s="278">
        <f t="shared" si="458"/>
        <v>4251</v>
      </c>
      <c r="O2218" s="280">
        <f t="shared" si="455"/>
        <v>0.239981</v>
      </c>
      <c r="P2218" s="166"/>
      <c r="Q2218" s="166">
        <f t="shared" si="456"/>
        <v>14678.197883999999</v>
      </c>
      <c r="R2218" s="71"/>
    </row>
    <row r="2219" spans="1:41" s="61" customFormat="1" ht="31.5" x14ac:dyDescent="0.25">
      <c r="A2219" s="358"/>
      <c r="B2219" s="361"/>
      <c r="C2219" s="366"/>
      <c r="D2219" s="156" t="s">
        <v>99</v>
      </c>
      <c r="E2219" s="156" t="s">
        <v>103</v>
      </c>
      <c r="F2219" s="156" t="s">
        <v>225</v>
      </c>
      <c r="G2219" s="238">
        <f t="shared" si="457"/>
        <v>4.4221372E-5</v>
      </c>
      <c r="H2219" s="158">
        <f>H2115</f>
        <v>47</v>
      </c>
      <c r="I2219" s="159">
        <f>I2218</f>
        <v>5.7547999999999995E-2</v>
      </c>
      <c r="J2219" s="160"/>
      <c r="K2219" s="161">
        <f>K2218</f>
        <v>61164</v>
      </c>
      <c r="L2219" s="250">
        <v>1</v>
      </c>
      <c r="M2219" s="163" t="str">
        <f>CONCATENATE(H2219," ",F2219,"*",I2219,"/",K2219,"чел.")</f>
        <v>47 ед.*0,057548/61164чел.</v>
      </c>
      <c r="N2219" s="164">
        <f t="shared" si="458"/>
        <v>15000</v>
      </c>
      <c r="O2219" s="165">
        <f>MROUND(G2219*N2219,0.000001)</f>
        <v>0.66332099999999994</v>
      </c>
      <c r="P2219" s="166"/>
      <c r="Q2219" s="166">
        <f t="shared" si="456"/>
        <v>40571.365643999998</v>
      </c>
      <c r="R2219" s="71"/>
    </row>
    <row r="2220" spans="1:41" s="61" customFormat="1" x14ac:dyDescent="0.25">
      <c r="A2220" s="358"/>
      <c r="B2220" s="361"/>
      <c r="C2220" s="366"/>
      <c r="D2220" s="156" t="s">
        <v>27</v>
      </c>
      <c r="E2220" s="156" t="s">
        <v>28</v>
      </c>
      <c r="F2220" s="156" t="s">
        <v>28</v>
      </c>
      <c r="G2220" s="238">
        <f t="shared" si="457"/>
        <v>3.95169708E-4</v>
      </c>
      <c r="H2220" s="160">
        <f>H2116</f>
        <v>420</v>
      </c>
      <c r="I2220" s="159">
        <f>I2218</f>
        <v>5.7547999999999995E-2</v>
      </c>
      <c r="J2220" s="160"/>
      <c r="K2220" s="161">
        <f>K2218</f>
        <v>61164</v>
      </c>
      <c r="L2220" s="250">
        <v>1</v>
      </c>
      <c r="M2220" s="163" t="str">
        <f>CONCATENATE(H2220," ",F2220,"*",I2220,"/",K2220,"чел/час")</f>
        <v>420 шт*0,057548/61164чел/час</v>
      </c>
      <c r="N2220" s="278">
        <f t="shared" si="458"/>
        <v>400</v>
      </c>
      <c r="O2220" s="280">
        <f t="shared" si="455"/>
        <v>0.15806799999999999</v>
      </c>
      <c r="P2220" s="166"/>
      <c r="Q2220" s="166">
        <f t="shared" si="456"/>
        <v>9668.0711519999986</v>
      </c>
      <c r="R2220" s="71"/>
    </row>
    <row r="2221" spans="1:41" s="61" customFormat="1" ht="31.5" x14ac:dyDescent="0.25">
      <c r="A2221" s="358"/>
      <c r="B2221" s="361"/>
      <c r="C2221" s="367"/>
      <c r="D2221" s="156" t="s">
        <v>104</v>
      </c>
      <c r="E2221" s="156" t="s">
        <v>105</v>
      </c>
      <c r="F2221" s="156" t="s">
        <v>226</v>
      </c>
      <c r="G2221" s="238">
        <f t="shared" si="457"/>
        <v>4.7044009999999996E-6</v>
      </c>
      <c r="H2221" s="160">
        <f>H2117</f>
        <v>5</v>
      </c>
      <c r="I2221" s="159">
        <f>I2220</f>
        <v>5.7547999999999995E-2</v>
      </c>
      <c r="J2221" s="160"/>
      <c r="K2221" s="161">
        <f>K2220</f>
        <v>61164</v>
      </c>
      <c r="L2221" s="250">
        <v>1</v>
      </c>
      <c r="M2221" s="163" t="str">
        <f>CONCATENATE(H2221," ",F2221,"*",I2221,"/",K2221,"чел/час")</f>
        <v>5 отключений*0,057548/61164чел/час</v>
      </c>
      <c r="N2221" s="278">
        <f t="shared" si="458"/>
        <v>9810</v>
      </c>
      <c r="O2221" s="280">
        <f t="shared" si="455"/>
        <v>4.6149999999999997E-2</v>
      </c>
      <c r="P2221" s="166"/>
      <c r="Q2221" s="166">
        <f t="shared" si="456"/>
        <v>2822.7185999999997</v>
      </c>
      <c r="R2221" s="71"/>
    </row>
    <row r="2222" spans="1:41" s="109" customFormat="1" x14ac:dyDescent="0.25">
      <c r="A2222" s="358"/>
      <c r="B2222" s="361"/>
      <c r="C2222" s="249" t="s">
        <v>326</v>
      </c>
      <c r="D2222" s="240"/>
      <c r="E2222" s="240"/>
      <c r="F2222" s="240"/>
      <c r="G2222" s="227"/>
      <c r="H2222" s="228"/>
      <c r="I2222" s="206"/>
      <c r="J2222" s="228"/>
      <c r="K2222" s="207"/>
      <c r="L2222" s="257"/>
      <c r="M2222" s="209"/>
      <c r="N2222" s="281"/>
      <c r="O2222" s="279">
        <f>SUM(O2207:O2221)</f>
        <v>2.1005220000000002</v>
      </c>
      <c r="P2222" s="267"/>
      <c r="Q2222" s="166"/>
      <c r="R2222" s="71"/>
      <c r="S2222" s="62"/>
      <c r="T2222" s="62"/>
      <c r="U2222" s="62"/>
      <c r="V2222" s="62"/>
      <c r="W2222" s="62"/>
      <c r="X2222" s="62"/>
      <c r="Y2222" s="62"/>
      <c r="Z2222" s="62"/>
      <c r="AA2222" s="62"/>
      <c r="AB2222" s="62"/>
      <c r="AC2222" s="62"/>
      <c r="AD2222" s="62"/>
      <c r="AE2222" s="62"/>
      <c r="AF2222" s="62"/>
      <c r="AG2222" s="62"/>
      <c r="AH2222" s="62"/>
      <c r="AI2222" s="62"/>
      <c r="AJ2222" s="62"/>
      <c r="AK2222" s="62"/>
      <c r="AL2222" s="62"/>
      <c r="AM2222" s="62"/>
      <c r="AN2222" s="62"/>
      <c r="AO2222" s="62"/>
    </row>
    <row r="2223" spans="1:41" s="61" customFormat="1" ht="31.5" x14ac:dyDescent="0.25">
      <c r="A2223" s="358"/>
      <c r="B2223" s="361"/>
      <c r="C2223" s="221" t="s">
        <v>79</v>
      </c>
      <c r="D2223" s="156" t="s">
        <v>37</v>
      </c>
      <c r="E2223" s="156" t="s">
        <v>61</v>
      </c>
      <c r="F2223" s="156" t="s">
        <v>254</v>
      </c>
      <c r="G2223" s="238">
        <f>MROUND(H2223*L2223*I2223/K2223,0.000000000001)</f>
        <v>9.4087999999999994E-7</v>
      </c>
      <c r="H2223" s="158">
        <f>$H$2119</f>
        <v>1</v>
      </c>
      <c r="I2223" s="159">
        <f>I2221</f>
        <v>5.7547999999999995E-2</v>
      </c>
      <c r="J2223" s="160"/>
      <c r="K2223" s="161">
        <f>K2221</f>
        <v>61164</v>
      </c>
      <c r="L2223" s="250">
        <v>1</v>
      </c>
      <c r="M2223" s="163" t="str">
        <f>CONCATENATE(H2223," ",F2223,"*",I2223,"/",K2223,"чел/час")</f>
        <v>1 автобус*0,057548/61164чел/час</v>
      </c>
      <c r="N2223" s="278">
        <f>N2119</f>
        <v>23352.160000000003</v>
      </c>
      <c r="O2223" s="280">
        <f>MROUND(N2223*G2223,0.000001)</f>
        <v>2.1971999999999998E-2</v>
      </c>
      <c r="P2223" s="166"/>
      <c r="Q2223" s="166">
        <f>O2223*K2223</f>
        <v>1343.8954079999999</v>
      </c>
      <c r="R2223" s="71"/>
    </row>
    <row r="2224" spans="1:41" s="61" customFormat="1" x14ac:dyDescent="0.25">
      <c r="A2224" s="358"/>
      <c r="B2224" s="361"/>
      <c r="C2224" s="221"/>
      <c r="D2224" s="156" t="s">
        <v>255</v>
      </c>
      <c r="E2224" s="156" t="s">
        <v>28</v>
      </c>
      <c r="F2224" s="156" t="s">
        <v>28</v>
      </c>
      <c r="G2224" s="238">
        <f>MROUND(H2224*L2224*I2224/K2224,0.000000000001)</f>
        <v>6.4920737699999996E-4</v>
      </c>
      <c r="H2224" s="158">
        <f>H2120</f>
        <v>345</v>
      </c>
      <c r="I2224" s="159">
        <f>I2223</f>
        <v>5.7547999999999995E-2</v>
      </c>
      <c r="J2224" s="160"/>
      <c r="K2224" s="161">
        <f>K2223</f>
        <v>61164</v>
      </c>
      <c r="L2224" s="250">
        <v>2</v>
      </c>
      <c r="M2224" s="163" t="str">
        <f>CONCATENATE(H2224," ",F2224,"*",L2224,"раза в год","*",I2224,"/",K2224,"чел/час")</f>
        <v>345 шт*2раза в год*0,057548/61164чел/час</v>
      </c>
      <c r="N2224" s="278">
        <f>N2120</f>
        <v>436</v>
      </c>
      <c r="O2224" s="280">
        <f>MROUND(N2224*G2224,0.000001)</f>
        <v>0.28305399999999997</v>
      </c>
      <c r="P2224" s="166"/>
      <c r="Q2224" s="166">
        <f>O2224*K2224</f>
        <v>17312.714855999999</v>
      </c>
      <c r="R2224" s="71"/>
    </row>
    <row r="2225" spans="1:41" s="109" customFormat="1" x14ac:dyDescent="0.25">
      <c r="A2225" s="358"/>
      <c r="B2225" s="361"/>
      <c r="C2225" s="218" t="s">
        <v>328</v>
      </c>
      <c r="D2225" s="240"/>
      <c r="E2225" s="240"/>
      <c r="F2225" s="240"/>
      <c r="G2225" s="227"/>
      <c r="H2225" s="241"/>
      <c r="I2225" s="206"/>
      <c r="J2225" s="228"/>
      <c r="K2225" s="207"/>
      <c r="L2225" s="257"/>
      <c r="M2225" s="209"/>
      <c r="N2225" s="281"/>
      <c r="O2225" s="279">
        <f>O2224+O2223</f>
        <v>0.30502599999999996</v>
      </c>
      <c r="P2225" s="267"/>
      <c r="Q2225" s="166"/>
      <c r="R2225" s="71"/>
      <c r="S2225" s="62"/>
      <c r="T2225" s="62"/>
      <c r="U2225" s="62"/>
      <c r="V2225" s="62"/>
      <c r="W2225" s="62"/>
      <c r="X2225" s="62"/>
      <c r="Y2225" s="62"/>
      <c r="Z2225" s="62"/>
      <c r="AA2225" s="62"/>
      <c r="AB2225" s="62"/>
      <c r="AC2225" s="62"/>
      <c r="AD2225" s="62"/>
      <c r="AE2225" s="62"/>
      <c r="AF2225" s="62"/>
      <c r="AG2225" s="62"/>
      <c r="AH2225" s="62"/>
      <c r="AI2225" s="62"/>
      <c r="AJ2225" s="62"/>
      <c r="AK2225" s="62"/>
      <c r="AL2225" s="62"/>
      <c r="AM2225" s="62"/>
      <c r="AN2225" s="62"/>
      <c r="AO2225" s="62"/>
    </row>
    <row r="2226" spans="1:41" s="61" customFormat="1" x14ac:dyDescent="0.25">
      <c r="A2226" s="358"/>
      <c r="B2226" s="361"/>
      <c r="C2226" s="364" t="s">
        <v>80</v>
      </c>
      <c r="D2226" s="156" t="s">
        <v>38</v>
      </c>
      <c r="E2226" s="156" t="s">
        <v>57</v>
      </c>
      <c r="F2226" s="156" t="s">
        <v>228</v>
      </c>
      <c r="G2226" s="238">
        <f t="shared" ref="G2226:G2237" si="459">MROUND(H2226*L2226*I2226/K2226,0.000000000001)</f>
        <v>9.0324504999999999E-5</v>
      </c>
      <c r="H2226" s="158">
        <f>H2122</f>
        <v>8</v>
      </c>
      <c r="I2226" s="159">
        <f>I2223</f>
        <v>5.7547999999999995E-2</v>
      </c>
      <c r="J2226" s="160"/>
      <c r="K2226" s="161">
        <f>K2223</f>
        <v>61164</v>
      </c>
      <c r="L2226" s="250">
        <v>12</v>
      </c>
      <c r="M2226" s="163" t="str">
        <f>CONCATENATE(H2226," ",F2226,"*",L2226,"мес.","*",I2226,"/",K2226,"чел/час")</f>
        <v>8 зданий*12мес.*0,057548/61164чел/час</v>
      </c>
      <c r="N2226" s="278">
        <f t="shared" ref="N2226:N2234" si="460">N2122</f>
        <v>4694.63</v>
      </c>
      <c r="O2226" s="280">
        <f t="shared" ref="O2226:O2237" si="461">MROUND(N2226*G2226,0.000001)</f>
        <v>0.42403999999999997</v>
      </c>
      <c r="P2226" s="166"/>
      <c r="Q2226" s="166">
        <f t="shared" ref="Q2226:Q2237" si="462">O2226*K2226</f>
        <v>25935.982559999997</v>
      </c>
      <c r="R2226" s="71"/>
    </row>
    <row r="2227" spans="1:41" s="61" customFormat="1" x14ac:dyDescent="0.25">
      <c r="A2227" s="358"/>
      <c r="B2227" s="361"/>
      <c r="C2227" s="364"/>
      <c r="D2227" s="156" t="s">
        <v>256</v>
      </c>
      <c r="E2227" s="156" t="s">
        <v>20</v>
      </c>
      <c r="F2227" s="156" t="s">
        <v>20</v>
      </c>
      <c r="G2227" s="238">
        <f t="shared" si="459"/>
        <v>1.7594460799999999E-4</v>
      </c>
      <c r="H2227" s="158">
        <f>H2123</f>
        <v>187</v>
      </c>
      <c r="I2227" s="159">
        <f>I2224</f>
        <v>5.7547999999999995E-2</v>
      </c>
      <c r="J2227" s="160"/>
      <c r="K2227" s="161">
        <f>K2224</f>
        <v>61164</v>
      </c>
      <c r="L2227" s="250">
        <v>1</v>
      </c>
      <c r="M2227" s="163" t="str">
        <f t="shared" ref="M2227:M2234" si="463">CONCATENATE(H2227," ",F2227,"*",I2227,"/",K2227,"чел/час")</f>
        <v>187 чел.*0,057548/61164чел/час</v>
      </c>
      <c r="N2227" s="278">
        <f t="shared" si="460"/>
        <v>1853</v>
      </c>
      <c r="O2227" s="280">
        <f t="shared" si="461"/>
        <v>0.32602500000000001</v>
      </c>
      <c r="P2227" s="166"/>
      <c r="Q2227" s="166">
        <f t="shared" si="462"/>
        <v>19940.9931</v>
      </c>
      <c r="R2227" s="71"/>
    </row>
    <row r="2228" spans="1:41" s="61" customFormat="1" ht="63" x14ac:dyDescent="0.25">
      <c r="A2228" s="358"/>
      <c r="B2228" s="361"/>
      <c r="C2228" s="364"/>
      <c r="D2228" s="156" t="s">
        <v>39</v>
      </c>
      <c r="E2228" s="156" t="s">
        <v>20</v>
      </c>
      <c r="F2228" s="156" t="s">
        <v>234</v>
      </c>
      <c r="G2228" s="238">
        <f t="shared" si="459"/>
        <v>8.4679219999999992E-6</v>
      </c>
      <c r="H2228" s="158">
        <f>H2124</f>
        <v>9</v>
      </c>
      <c r="I2228" s="159">
        <f>I2226</f>
        <v>5.7547999999999995E-2</v>
      </c>
      <c r="J2228" s="160"/>
      <c r="K2228" s="161">
        <f>K2226</f>
        <v>61164</v>
      </c>
      <c r="L2228" s="250">
        <v>1</v>
      </c>
      <c r="M2228" s="163" t="str">
        <f t="shared" si="463"/>
        <v>9 чел(заявленная потребность руководителями учреждений)*0,057548/61164чел/час</v>
      </c>
      <c r="N2228" s="278">
        <f t="shared" si="460"/>
        <v>763</v>
      </c>
      <c r="O2228" s="280">
        <f t="shared" si="461"/>
        <v>6.4609999999999997E-3</v>
      </c>
      <c r="P2228" s="166"/>
      <c r="Q2228" s="166">
        <f t="shared" si="462"/>
        <v>395.18060399999996</v>
      </c>
      <c r="R2228" s="71"/>
    </row>
    <row r="2229" spans="1:41" s="61" customFormat="1" ht="63" x14ac:dyDescent="0.25">
      <c r="A2229" s="358"/>
      <c r="B2229" s="361"/>
      <c r="C2229" s="364"/>
      <c r="D2229" s="156" t="s">
        <v>40</v>
      </c>
      <c r="E2229" s="156" t="s">
        <v>20</v>
      </c>
      <c r="F2229" s="156" t="s">
        <v>234</v>
      </c>
      <c r="G2229" s="238">
        <f t="shared" si="459"/>
        <v>1.2231443E-5</v>
      </c>
      <c r="H2229" s="158">
        <f>H2125</f>
        <v>13</v>
      </c>
      <c r="I2229" s="159">
        <f t="shared" ref="I2229:I2234" si="464">I2228</f>
        <v>5.7547999999999995E-2</v>
      </c>
      <c r="J2229" s="160"/>
      <c r="K2229" s="161">
        <f t="shared" ref="K2229:K2234" si="465">K2228</f>
        <v>61164</v>
      </c>
      <c r="L2229" s="250">
        <v>1</v>
      </c>
      <c r="M2229" s="163" t="str">
        <f t="shared" si="463"/>
        <v>13 чел(заявленная потребность руководителями учреждений)*0,057548/61164чел/час</v>
      </c>
      <c r="N2229" s="278">
        <f t="shared" si="460"/>
        <v>1635</v>
      </c>
      <c r="O2229" s="280">
        <f t="shared" si="461"/>
        <v>1.9997999999999998E-2</v>
      </c>
      <c r="P2229" s="166"/>
      <c r="Q2229" s="166">
        <f t="shared" si="462"/>
        <v>1223.1576719999998</v>
      </c>
      <c r="R2229" s="71"/>
    </row>
    <row r="2230" spans="1:41" s="61" customFormat="1" ht="63" x14ac:dyDescent="0.25">
      <c r="A2230" s="358"/>
      <c r="B2230" s="361"/>
      <c r="C2230" s="364"/>
      <c r="D2230" s="156" t="s">
        <v>100</v>
      </c>
      <c r="E2230" s="156" t="s">
        <v>20</v>
      </c>
      <c r="F2230" s="156" t="s">
        <v>234</v>
      </c>
      <c r="G2230" s="238">
        <f t="shared" si="459"/>
        <v>6.5861619999999999E-6</v>
      </c>
      <c r="H2230" s="158">
        <f>H2126</f>
        <v>7</v>
      </c>
      <c r="I2230" s="159">
        <f t="shared" si="464"/>
        <v>5.7547999999999995E-2</v>
      </c>
      <c r="J2230" s="160"/>
      <c r="K2230" s="161">
        <f t="shared" si="465"/>
        <v>61164</v>
      </c>
      <c r="L2230" s="250">
        <v>1</v>
      </c>
      <c r="M2230" s="163" t="str">
        <f t="shared" si="463"/>
        <v>7 чел(заявленная потребность руководителями учреждений)*0,057548/61164чел/час</v>
      </c>
      <c r="N2230" s="278">
        <f t="shared" si="460"/>
        <v>3488</v>
      </c>
      <c r="O2230" s="280">
        <f t="shared" si="461"/>
        <v>2.2973E-2</v>
      </c>
      <c r="P2230" s="166"/>
      <c r="Q2230" s="166">
        <f t="shared" si="462"/>
        <v>1405.120572</v>
      </c>
      <c r="R2230" s="71"/>
    </row>
    <row r="2231" spans="1:41" s="61" customFormat="1" ht="110.25" x14ac:dyDescent="0.25">
      <c r="A2231" s="358"/>
      <c r="B2231" s="361"/>
      <c r="C2231" s="364"/>
      <c r="D2231" s="156" t="s">
        <v>235</v>
      </c>
      <c r="E2231" s="156" t="s">
        <v>50</v>
      </c>
      <c r="F2231" s="156" t="s">
        <v>230</v>
      </c>
      <c r="G2231" s="238">
        <f t="shared" si="459"/>
        <v>4.7044009999999996E-6</v>
      </c>
      <c r="H2231" s="158">
        <v>5</v>
      </c>
      <c r="I2231" s="159">
        <f t="shared" si="464"/>
        <v>5.7547999999999995E-2</v>
      </c>
      <c r="J2231" s="160"/>
      <c r="K2231" s="161">
        <f t="shared" si="465"/>
        <v>61164</v>
      </c>
      <c r="L2231" s="250">
        <v>1</v>
      </c>
      <c r="M2231" s="163" t="str">
        <f t="shared" si="463"/>
        <v>5 отчетов*0,057548/61164чел/час</v>
      </c>
      <c r="N2231" s="278">
        <f t="shared" si="460"/>
        <v>6540</v>
      </c>
      <c r="O2231" s="280">
        <f t="shared" si="461"/>
        <v>3.0766999999999999E-2</v>
      </c>
      <c r="P2231" s="166"/>
      <c r="Q2231" s="166">
        <f t="shared" si="462"/>
        <v>1881.8327879999999</v>
      </c>
      <c r="R2231" s="71"/>
    </row>
    <row r="2232" spans="1:41" s="61" customFormat="1" ht="63" x14ac:dyDescent="0.25">
      <c r="A2232" s="358"/>
      <c r="B2232" s="361"/>
      <c r="C2232" s="364"/>
      <c r="D2232" s="156" t="s">
        <v>42</v>
      </c>
      <c r="E2232" s="156" t="s">
        <v>51</v>
      </c>
      <c r="F2232" s="156" t="s">
        <v>407</v>
      </c>
      <c r="G2232" s="238">
        <f t="shared" si="459"/>
        <v>2.4462887E-5</v>
      </c>
      <c r="H2232" s="158">
        <f>H2128</f>
        <v>26</v>
      </c>
      <c r="I2232" s="159">
        <f t="shared" si="464"/>
        <v>5.7547999999999995E-2</v>
      </c>
      <c r="J2232" s="160"/>
      <c r="K2232" s="161">
        <f t="shared" si="465"/>
        <v>61164</v>
      </c>
      <c r="L2232" s="250">
        <v>1</v>
      </c>
      <c r="M2232" s="163" t="str">
        <f t="shared" si="463"/>
        <v>26 ед (заявленная потребность руководителями учреждений)*0,057548/61164чел/час</v>
      </c>
      <c r="N2232" s="278">
        <f t="shared" si="460"/>
        <v>1090</v>
      </c>
      <c r="O2232" s="280">
        <f t="shared" si="461"/>
        <v>2.6664999999999998E-2</v>
      </c>
      <c r="P2232" s="166"/>
      <c r="Q2232" s="166">
        <f t="shared" si="462"/>
        <v>1630.93806</v>
      </c>
      <c r="R2232" s="71"/>
    </row>
    <row r="2233" spans="1:41" s="61" customFormat="1" ht="31.5" x14ac:dyDescent="0.25">
      <c r="A2233" s="358"/>
      <c r="B2233" s="361"/>
      <c r="C2233" s="364"/>
      <c r="D2233" s="156" t="s">
        <v>43</v>
      </c>
      <c r="E2233" s="156" t="s">
        <v>52</v>
      </c>
      <c r="F2233" s="156" t="s">
        <v>231</v>
      </c>
      <c r="G2233" s="238">
        <f t="shared" si="459"/>
        <v>4.7044009999999996E-6</v>
      </c>
      <c r="H2233" s="158">
        <v>5</v>
      </c>
      <c r="I2233" s="159">
        <f t="shared" si="464"/>
        <v>5.7547999999999995E-2</v>
      </c>
      <c r="J2233" s="160"/>
      <c r="K2233" s="161">
        <f t="shared" si="465"/>
        <v>61164</v>
      </c>
      <c r="L2233" s="250">
        <v>1</v>
      </c>
      <c r="M2233" s="163" t="str">
        <f t="shared" si="463"/>
        <v>5 ЭЦП*0,057548/61164чел/час</v>
      </c>
      <c r="N2233" s="278">
        <f t="shared" si="460"/>
        <v>7743.3600000000006</v>
      </c>
      <c r="O2233" s="280">
        <f t="shared" si="461"/>
        <v>3.6427999999999995E-2</v>
      </c>
      <c r="P2233" s="166"/>
      <c r="Q2233" s="166">
        <f t="shared" si="462"/>
        <v>2228.0821919999998</v>
      </c>
      <c r="R2233" s="71"/>
    </row>
    <row r="2234" spans="1:41" s="61" customFormat="1" x14ac:dyDescent="0.25">
      <c r="A2234" s="358"/>
      <c r="B2234" s="361"/>
      <c r="C2234" s="364"/>
      <c r="D2234" s="156" t="s">
        <v>373</v>
      </c>
      <c r="E2234" s="156" t="s">
        <v>28</v>
      </c>
      <c r="F2234" s="156" t="s">
        <v>28</v>
      </c>
      <c r="G2234" s="238">
        <f t="shared" si="459"/>
        <v>4.7044009999999996E-6</v>
      </c>
      <c r="H2234" s="158">
        <f>H2130</f>
        <v>5</v>
      </c>
      <c r="I2234" s="159">
        <f t="shared" si="464"/>
        <v>5.7547999999999995E-2</v>
      </c>
      <c r="J2234" s="160"/>
      <c r="K2234" s="161">
        <f t="shared" si="465"/>
        <v>61164</v>
      </c>
      <c r="L2234" s="250">
        <v>1</v>
      </c>
      <c r="M2234" s="163" t="str">
        <f t="shared" si="463"/>
        <v>5 шт*0,057548/61164чел/час</v>
      </c>
      <c r="N2234" s="278">
        <f t="shared" si="460"/>
        <v>24000</v>
      </c>
      <c r="O2234" s="280">
        <f t="shared" si="461"/>
        <v>0.11290599999999999</v>
      </c>
      <c r="P2234" s="166"/>
      <c r="Q2234" s="166">
        <f t="shared" si="462"/>
        <v>6905.7825839999996</v>
      </c>
      <c r="R2234" s="71"/>
    </row>
    <row r="2235" spans="1:41" s="136" customFormat="1" ht="47.25" x14ac:dyDescent="0.25">
      <c r="A2235" s="358"/>
      <c r="B2235" s="361"/>
      <c r="C2235" s="364"/>
      <c r="D2235" s="156" t="s">
        <v>44</v>
      </c>
      <c r="E2235" s="156" t="s">
        <v>85</v>
      </c>
      <c r="F2235" s="156" t="s">
        <v>232</v>
      </c>
      <c r="G2235" s="238">
        <f t="shared" si="459"/>
        <v>2.86027598E-4</v>
      </c>
      <c r="H2235" s="158">
        <f>$H$2132</f>
        <v>304</v>
      </c>
      <c r="I2235" s="159">
        <f>I2233</f>
        <v>5.7547999999999995E-2</v>
      </c>
      <c r="J2235" s="160"/>
      <c r="K2235" s="161">
        <f>K2233</f>
        <v>61164</v>
      </c>
      <c r="L2235" s="250">
        <v>1</v>
      </c>
      <c r="M2235" s="163" t="str">
        <f>CONCATENATE(H2235," ",F2235,"*",L2235,"мес.","*",I2235,"/",K2235,"чел.")</f>
        <v>304 мед.осмотров в мес.*1мес.*0,057548/61164чел.</v>
      </c>
      <c r="N2235" s="278">
        <f>$N$2132</f>
        <v>56.680000000000007</v>
      </c>
      <c r="O2235" s="280">
        <f t="shared" si="461"/>
        <v>1.6212000000000001E-2</v>
      </c>
      <c r="P2235" s="166"/>
      <c r="Q2235" s="166">
        <f t="shared" si="462"/>
        <v>991.59076800000003</v>
      </c>
      <c r="R2235" s="71"/>
      <c r="S2235" s="71"/>
      <c r="T2235" s="61"/>
      <c r="U2235" s="61"/>
      <c r="V2235" s="61"/>
      <c r="W2235" s="61"/>
      <c r="X2235" s="61"/>
      <c r="Y2235" s="61"/>
      <c r="Z2235" s="61"/>
      <c r="AA2235" s="61"/>
      <c r="AB2235" s="61"/>
      <c r="AC2235" s="61"/>
      <c r="AD2235" s="61"/>
      <c r="AE2235" s="61"/>
      <c r="AF2235" s="61"/>
      <c r="AG2235" s="61"/>
      <c r="AH2235" s="61"/>
      <c r="AI2235" s="61"/>
      <c r="AJ2235" s="61"/>
      <c r="AK2235" s="61"/>
      <c r="AL2235" s="61"/>
      <c r="AM2235" s="61"/>
      <c r="AN2235" s="61"/>
      <c r="AO2235" s="61"/>
    </row>
    <row r="2236" spans="1:41" s="61" customFormat="1" ht="63" x14ac:dyDescent="0.25">
      <c r="A2236" s="358"/>
      <c r="B2236" s="361"/>
      <c r="C2236" s="364"/>
      <c r="D2236" s="156" t="s">
        <v>45</v>
      </c>
      <c r="E2236" s="156" t="s">
        <v>53</v>
      </c>
      <c r="F2236" s="156" t="s">
        <v>257</v>
      </c>
      <c r="G2236" s="238">
        <f t="shared" si="459"/>
        <v>1.1290563E-5</v>
      </c>
      <c r="H2236" s="158">
        <v>1</v>
      </c>
      <c r="I2236" s="159">
        <f>I2235</f>
        <v>5.7547999999999995E-2</v>
      </c>
      <c r="J2236" s="160"/>
      <c r="K2236" s="161">
        <f>K2235</f>
        <v>61164</v>
      </c>
      <c r="L2236" s="250">
        <v>12</v>
      </c>
      <c r="M2236" s="163" t="str">
        <f>CONCATENATE(H2236," ",F2236,"*",L2236,"мес.","*",I2236,"/",K2236,"чел/час")</f>
        <v>1  машина, оборудованная системой ГЛОНАСС*12мес.*0,057548/61164чел/час</v>
      </c>
      <c r="N2236" s="278">
        <f>N2131</f>
        <v>880.71999999999991</v>
      </c>
      <c r="O2236" s="280">
        <f t="shared" si="461"/>
        <v>9.9439999999999997E-3</v>
      </c>
      <c r="P2236" s="166"/>
      <c r="Q2236" s="166">
        <f t="shared" si="462"/>
        <v>608.21481599999993</v>
      </c>
      <c r="R2236" s="71"/>
    </row>
    <row r="2237" spans="1:41" s="61" customFormat="1" ht="31.5" x14ac:dyDescent="0.25">
      <c r="A2237" s="358"/>
      <c r="B2237" s="361"/>
      <c r="C2237" s="364"/>
      <c r="D2237" s="156" t="s">
        <v>408</v>
      </c>
      <c r="E2237" s="156" t="s">
        <v>20</v>
      </c>
      <c r="F2237" s="156" t="s">
        <v>20</v>
      </c>
      <c r="G2237" s="238">
        <f t="shared" si="459"/>
        <v>2.8226408E-5</v>
      </c>
      <c r="H2237" s="158">
        <f>H2133</f>
        <v>30</v>
      </c>
      <c r="I2237" s="159">
        <f>I2235</f>
        <v>5.7547999999999995E-2</v>
      </c>
      <c r="J2237" s="160"/>
      <c r="K2237" s="161">
        <f>K2235</f>
        <v>61164</v>
      </c>
      <c r="L2237" s="250">
        <f>L2133</f>
        <v>1</v>
      </c>
      <c r="M2237" s="163" t="str">
        <f>CONCATENATE(H2237," ",F2237,"*",L2237," раз в год","*",I2237,"/",K2237,"чел.")</f>
        <v>30 чел.*1 раз в год*0,057548/61164чел.</v>
      </c>
      <c r="N2237" s="278">
        <f>N2133</f>
        <v>472.33333333333331</v>
      </c>
      <c r="O2237" s="280">
        <f t="shared" si="461"/>
        <v>1.3332E-2</v>
      </c>
      <c r="P2237" s="166"/>
      <c r="Q2237" s="166">
        <f t="shared" si="462"/>
        <v>815.43844799999999</v>
      </c>
      <c r="R2237" s="71"/>
    </row>
    <row r="2238" spans="1:41" s="109" customFormat="1" x14ac:dyDescent="0.25">
      <c r="A2238" s="358"/>
      <c r="B2238" s="361"/>
      <c r="C2238" s="245" t="s">
        <v>329</v>
      </c>
      <c r="D2238" s="240"/>
      <c r="E2238" s="240"/>
      <c r="F2238" s="240"/>
      <c r="G2238" s="227"/>
      <c r="H2238" s="241"/>
      <c r="I2238" s="206"/>
      <c r="J2238" s="228"/>
      <c r="K2238" s="207"/>
      <c r="L2238" s="257"/>
      <c r="M2238" s="209"/>
      <c r="N2238" s="281"/>
      <c r="O2238" s="279">
        <f>SUM(O2226:O2237)</f>
        <v>1.0457509999999999</v>
      </c>
      <c r="P2238" s="267"/>
      <c r="Q2238" s="166"/>
      <c r="R2238" s="71"/>
      <c r="S2238" s="62"/>
      <c r="T2238" s="62"/>
      <c r="U2238" s="62"/>
      <c r="V2238" s="62"/>
      <c r="W2238" s="62"/>
      <c r="X2238" s="62"/>
      <c r="Y2238" s="62"/>
      <c r="Z2238" s="62"/>
      <c r="AA2238" s="62"/>
      <c r="AB2238" s="62"/>
      <c r="AC2238" s="62"/>
      <c r="AD2238" s="62"/>
      <c r="AE2238" s="62"/>
      <c r="AF2238" s="62"/>
      <c r="AG2238" s="62"/>
      <c r="AH2238" s="62"/>
      <c r="AI2238" s="62"/>
      <c r="AJ2238" s="62"/>
      <c r="AK2238" s="62"/>
      <c r="AL2238" s="62"/>
      <c r="AM2238" s="62"/>
      <c r="AN2238" s="62"/>
      <c r="AO2238" s="62"/>
    </row>
    <row r="2239" spans="1:41" s="61" customFormat="1" ht="31.5" x14ac:dyDescent="0.25">
      <c r="A2239" s="358"/>
      <c r="B2239" s="361"/>
      <c r="C2239" s="252" t="s">
        <v>237</v>
      </c>
      <c r="D2239" s="156" t="s">
        <v>41</v>
      </c>
      <c r="E2239" s="156" t="s">
        <v>61</v>
      </c>
      <c r="F2239" s="156" t="s">
        <v>254</v>
      </c>
      <c r="G2239" s="238">
        <f t="shared" ref="G2239:G2250" si="466">MROUND(H2239*L2239*I2239/K2239,0.000000000001)</f>
        <v>9.4087999999999994E-7</v>
      </c>
      <c r="H2239" s="158">
        <v>1</v>
      </c>
      <c r="I2239" s="159">
        <f>I2237</f>
        <v>5.7547999999999995E-2</v>
      </c>
      <c r="J2239" s="160"/>
      <c r="K2239" s="161">
        <f>K2237</f>
        <v>61164</v>
      </c>
      <c r="L2239" s="250">
        <v>1</v>
      </c>
      <c r="M2239" s="163" t="str">
        <f>CONCATENATE(H2239," ",F2239,"*",I2239,"/",K2239,"чел/час")</f>
        <v>1 автобус*0,057548/61164чел/час</v>
      </c>
      <c r="N2239" s="278">
        <f>N2135</f>
        <v>25724</v>
      </c>
      <c r="O2239" s="280">
        <f t="shared" ref="O2239:O2256" si="467">MROUND(N2239*G2239,0.000001)</f>
        <v>2.4202999999999999E-2</v>
      </c>
      <c r="P2239" s="166"/>
      <c r="Q2239" s="166">
        <f t="shared" ref="Q2239:Q2250" si="468">O2239*K2239</f>
        <v>1480.352292</v>
      </c>
      <c r="R2239" s="71"/>
    </row>
    <row r="2240" spans="1:41" s="61" customFormat="1" ht="78.75" x14ac:dyDescent="0.25">
      <c r="A2240" s="358"/>
      <c r="B2240" s="361"/>
      <c r="C2240" s="221" t="s">
        <v>236</v>
      </c>
      <c r="D2240" s="156" t="s">
        <v>19</v>
      </c>
      <c r="E2240" s="181" t="s">
        <v>20</v>
      </c>
      <c r="F2240" s="181" t="s">
        <v>238</v>
      </c>
      <c r="G2240" s="238">
        <f t="shared" si="466"/>
        <v>0</v>
      </c>
      <c r="H2240" s="158"/>
      <c r="I2240" s="159">
        <f>I2237</f>
        <v>5.7547999999999995E-2</v>
      </c>
      <c r="J2240" s="160"/>
      <c r="K2240" s="161">
        <f>K2237</f>
        <v>61164</v>
      </c>
      <c r="L2240" s="250"/>
      <c r="M2240" s="163"/>
      <c r="N2240" s="278"/>
      <c r="O2240" s="280">
        <f t="shared" si="467"/>
        <v>0</v>
      </c>
      <c r="P2240" s="166"/>
      <c r="Q2240" s="166">
        <f t="shared" si="468"/>
        <v>0</v>
      </c>
      <c r="R2240" s="71"/>
    </row>
    <row r="2241" spans="1:41" s="136" customFormat="1" ht="31.5" x14ac:dyDescent="0.25">
      <c r="A2241" s="358"/>
      <c r="B2241" s="361"/>
      <c r="C2241" s="372" t="s">
        <v>81</v>
      </c>
      <c r="D2241" s="156" t="s">
        <v>419</v>
      </c>
      <c r="E2241" s="156" t="s">
        <v>28</v>
      </c>
      <c r="F2241" s="156" t="s">
        <v>439</v>
      </c>
      <c r="G2241" s="238">
        <f t="shared" si="466"/>
        <v>7.527042E-6</v>
      </c>
      <c r="H2241" s="158">
        <f>$H$2137</f>
        <v>8</v>
      </c>
      <c r="I2241" s="159">
        <f>I2240</f>
        <v>5.7547999999999995E-2</v>
      </c>
      <c r="J2241" s="160"/>
      <c r="K2241" s="161">
        <f>K2240</f>
        <v>61164</v>
      </c>
      <c r="L2241" s="250">
        <v>1</v>
      </c>
      <c r="M2241" s="163" t="str">
        <f>CONCATENATE(H2241," ",F2241,"*",I2241,"/",K2241,"чел/час")</f>
        <v>8 шт (потребность учреждений) *0,057548/61164чел/час</v>
      </c>
      <c r="N2241" s="278">
        <f>$N$2137</f>
        <v>33750</v>
      </c>
      <c r="O2241" s="280">
        <f t="shared" si="467"/>
        <v>0.25403799999999999</v>
      </c>
      <c r="P2241" s="166"/>
      <c r="Q2241" s="166">
        <f t="shared" si="468"/>
        <v>15537.980232</v>
      </c>
      <c r="R2241" s="71"/>
      <c r="S2241" s="61"/>
      <c r="T2241" s="71"/>
      <c r="U2241" s="61"/>
      <c r="V2241" s="61"/>
      <c r="W2241" s="61"/>
      <c r="X2241" s="61"/>
      <c r="Y2241" s="61"/>
      <c r="Z2241" s="61"/>
      <c r="AA2241" s="61"/>
      <c r="AB2241" s="61"/>
      <c r="AC2241" s="61"/>
      <c r="AD2241" s="61"/>
      <c r="AE2241" s="61"/>
      <c r="AF2241" s="61"/>
      <c r="AG2241" s="61"/>
      <c r="AH2241" s="61"/>
      <c r="AI2241" s="61"/>
      <c r="AJ2241" s="61"/>
      <c r="AK2241" s="61"/>
      <c r="AL2241" s="61"/>
      <c r="AM2241" s="61"/>
      <c r="AN2241" s="61"/>
      <c r="AO2241" s="61"/>
    </row>
    <row r="2242" spans="1:41" s="136" customFormat="1" ht="31.5" x14ac:dyDescent="0.25">
      <c r="A2242" s="358"/>
      <c r="B2242" s="361"/>
      <c r="C2242" s="373"/>
      <c r="D2242" s="156" t="s">
        <v>425</v>
      </c>
      <c r="E2242" s="156" t="s">
        <v>28</v>
      </c>
      <c r="F2242" s="156" t="s">
        <v>439</v>
      </c>
      <c r="G2242" s="238">
        <f t="shared" si="466"/>
        <v>2.822641E-6</v>
      </c>
      <c r="H2242" s="158">
        <f>$H$2138</f>
        <v>3</v>
      </c>
      <c r="I2242" s="159">
        <f t="shared" ref="I2242:I2250" si="469">I2241</f>
        <v>5.7547999999999995E-2</v>
      </c>
      <c r="J2242" s="160"/>
      <c r="K2242" s="161">
        <f t="shared" ref="K2242:K2250" si="470">K2241</f>
        <v>61164</v>
      </c>
      <c r="L2242" s="250">
        <v>1</v>
      </c>
      <c r="M2242" s="163" t="str">
        <f t="shared" ref="M2242:M2250" si="471">CONCATENATE(H2242," ",F2242,"*",I2242,"/",K2242,"чел/час")</f>
        <v>3 шт (потребность учреждений) *0,057548/61164чел/час</v>
      </c>
      <c r="N2242" s="278">
        <f>$N$2138</f>
        <v>12000</v>
      </c>
      <c r="O2242" s="280">
        <f t="shared" si="467"/>
        <v>3.3871999999999999E-2</v>
      </c>
      <c r="P2242" s="166"/>
      <c r="Q2242" s="166">
        <f t="shared" si="468"/>
        <v>2071.7470079999998</v>
      </c>
      <c r="R2242" s="71"/>
      <c r="S2242" s="61"/>
      <c r="T2242" s="71"/>
      <c r="U2242" s="61"/>
      <c r="V2242" s="61"/>
      <c r="W2242" s="61"/>
      <c r="X2242" s="61"/>
      <c r="Y2242" s="61"/>
      <c r="Z2242" s="61"/>
      <c r="AA2242" s="61"/>
      <c r="AB2242" s="61"/>
      <c r="AC2242" s="61"/>
      <c r="AD2242" s="61"/>
      <c r="AE2242" s="61"/>
      <c r="AF2242" s="61"/>
      <c r="AG2242" s="61"/>
      <c r="AH2242" s="61"/>
      <c r="AI2242" s="61"/>
      <c r="AJ2242" s="61"/>
      <c r="AK2242" s="61"/>
      <c r="AL2242" s="61"/>
      <c r="AM2242" s="61"/>
      <c r="AN2242" s="61"/>
      <c r="AO2242" s="61"/>
    </row>
    <row r="2243" spans="1:41" s="136" customFormat="1" ht="31.5" x14ac:dyDescent="0.25">
      <c r="A2243" s="358"/>
      <c r="B2243" s="361"/>
      <c r="C2243" s="373"/>
      <c r="D2243" s="156" t="s">
        <v>426</v>
      </c>
      <c r="E2243" s="156" t="s">
        <v>28</v>
      </c>
      <c r="F2243" s="156" t="s">
        <v>439</v>
      </c>
      <c r="G2243" s="238">
        <f t="shared" si="466"/>
        <v>1.9758485E-5</v>
      </c>
      <c r="H2243" s="158">
        <f>$H$2139</f>
        <v>21</v>
      </c>
      <c r="I2243" s="159">
        <f t="shared" si="469"/>
        <v>5.7547999999999995E-2</v>
      </c>
      <c r="J2243" s="160"/>
      <c r="K2243" s="161">
        <f t="shared" si="470"/>
        <v>61164</v>
      </c>
      <c r="L2243" s="250">
        <v>1</v>
      </c>
      <c r="M2243" s="163" t="str">
        <f t="shared" si="471"/>
        <v>21 шт (потребность учреждений) *0,057548/61164чел/час</v>
      </c>
      <c r="N2243" s="278">
        <f>$N$2139</f>
        <v>9714.2857142857138</v>
      </c>
      <c r="O2243" s="280">
        <f t="shared" si="467"/>
        <v>0.19194</v>
      </c>
      <c r="P2243" s="166"/>
      <c r="Q2243" s="166">
        <f t="shared" si="468"/>
        <v>11739.818160000001</v>
      </c>
      <c r="R2243" s="71"/>
      <c r="S2243" s="61"/>
      <c r="T2243" s="71"/>
      <c r="U2243" s="61"/>
      <c r="V2243" s="61"/>
      <c r="W2243" s="61"/>
      <c r="X2243" s="61"/>
      <c r="Y2243" s="61"/>
      <c r="Z2243" s="61"/>
      <c r="AA2243" s="61"/>
      <c r="AB2243" s="61"/>
      <c r="AC2243" s="61"/>
      <c r="AD2243" s="61"/>
      <c r="AE2243" s="61"/>
      <c r="AF2243" s="61"/>
      <c r="AG2243" s="61"/>
      <c r="AH2243" s="61"/>
      <c r="AI2243" s="61"/>
      <c r="AJ2243" s="61"/>
      <c r="AK2243" s="61"/>
      <c r="AL2243" s="61"/>
      <c r="AM2243" s="61"/>
      <c r="AN2243" s="61"/>
      <c r="AO2243" s="61"/>
    </row>
    <row r="2244" spans="1:41" s="136" customFormat="1" ht="31.5" x14ac:dyDescent="0.25">
      <c r="A2244" s="358"/>
      <c r="B2244" s="361"/>
      <c r="C2244" s="373"/>
      <c r="D2244" s="156" t="s">
        <v>427</v>
      </c>
      <c r="E2244" s="156" t="s">
        <v>28</v>
      </c>
      <c r="F2244" s="156" t="s">
        <v>439</v>
      </c>
      <c r="G2244" s="238">
        <f t="shared" si="466"/>
        <v>4.7044013000000001E-5</v>
      </c>
      <c r="H2244" s="158">
        <f>$H$2140</f>
        <v>50</v>
      </c>
      <c r="I2244" s="159">
        <f t="shared" si="469"/>
        <v>5.7547999999999995E-2</v>
      </c>
      <c r="J2244" s="160"/>
      <c r="K2244" s="161">
        <f t="shared" si="470"/>
        <v>61164</v>
      </c>
      <c r="L2244" s="250">
        <v>1</v>
      </c>
      <c r="M2244" s="163" t="str">
        <f t="shared" si="471"/>
        <v>50 шт (потребность учреждений) *0,057548/61164чел/час</v>
      </c>
      <c r="N2244" s="278">
        <f>$N$2140</f>
        <v>4400</v>
      </c>
      <c r="O2244" s="280">
        <f t="shared" si="467"/>
        <v>0.20699399999999998</v>
      </c>
      <c r="P2244" s="166"/>
      <c r="Q2244" s="166">
        <f t="shared" si="468"/>
        <v>12660.581015999998</v>
      </c>
      <c r="R2244" s="71"/>
      <c r="S2244" s="61"/>
      <c r="T2244" s="71"/>
      <c r="U2244" s="61"/>
      <c r="V2244" s="61"/>
      <c r="W2244" s="61"/>
      <c r="X2244" s="61"/>
      <c r="Y2244" s="61"/>
      <c r="Z2244" s="61"/>
      <c r="AA2244" s="61"/>
      <c r="AB2244" s="61"/>
      <c r="AC2244" s="61"/>
      <c r="AD2244" s="61"/>
      <c r="AE2244" s="61"/>
      <c r="AF2244" s="61"/>
      <c r="AG2244" s="61"/>
      <c r="AH2244" s="61"/>
      <c r="AI2244" s="61"/>
      <c r="AJ2244" s="61"/>
      <c r="AK2244" s="61"/>
      <c r="AL2244" s="61"/>
      <c r="AM2244" s="61"/>
      <c r="AN2244" s="61"/>
      <c r="AO2244" s="61"/>
    </row>
    <row r="2245" spans="1:41" s="136" customFormat="1" ht="31.5" x14ac:dyDescent="0.25">
      <c r="A2245" s="358"/>
      <c r="B2245" s="361"/>
      <c r="C2245" s="373"/>
      <c r="D2245" s="156" t="s">
        <v>428</v>
      </c>
      <c r="E2245" s="156" t="s">
        <v>28</v>
      </c>
      <c r="F2245" s="156" t="s">
        <v>439</v>
      </c>
      <c r="G2245" s="238">
        <f t="shared" si="466"/>
        <v>9.9733306999999995E-5</v>
      </c>
      <c r="H2245" s="158">
        <f>$H$2141</f>
        <v>106</v>
      </c>
      <c r="I2245" s="159">
        <f t="shared" si="469"/>
        <v>5.7547999999999995E-2</v>
      </c>
      <c r="J2245" s="160"/>
      <c r="K2245" s="161">
        <f t="shared" si="470"/>
        <v>61164</v>
      </c>
      <c r="L2245" s="250">
        <v>1</v>
      </c>
      <c r="M2245" s="163" t="str">
        <f t="shared" si="471"/>
        <v>106 шт (потребность учреждений) *0,057548/61164чел/час</v>
      </c>
      <c r="N2245" s="278">
        <f>N$2141</f>
        <v>4037.7358490566039</v>
      </c>
      <c r="O2245" s="280">
        <f t="shared" si="467"/>
        <v>0.40269699999999997</v>
      </c>
      <c r="P2245" s="166"/>
      <c r="Q2245" s="166">
        <f t="shared" si="468"/>
        <v>24630.559308</v>
      </c>
      <c r="R2245" s="71"/>
      <c r="S2245" s="61"/>
      <c r="T2245" s="71"/>
      <c r="U2245" s="61"/>
      <c r="V2245" s="61"/>
      <c r="W2245" s="61"/>
      <c r="X2245" s="61"/>
      <c r="Y2245" s="61"/>
      <c r="Z2245" s="61"/>
      <c r="AA2245" s="61"/>
      <c r="AB2245" s="61"/>
      <c r="AC2245" s="61"/>
      <c r="AD2245" s="61"/>
      <c r="AE2245" s="61"/>
      <c r="AF2245" s="61"/>
      <c r="AG2245" s="61"/>
      <c r="AH2245" s="61"/>
      <c r="AI2245" s="61"/>
      <c r="AJ2245" s="61"/>
      <c r="AK2245" s="61"/>
      <c r="AL2245" s="61"/>
      <c r="AM2245" s="61"/>
      <c r="AN2245" s="61"/>
      <c r="AO2245" s="61"/>
    </row>
    <row r="2246" spans="1:41" s="136" customFormat="1" ht="31.5" x14ac:dyDescent="0.25">
      <c r="A2246" s="358"/>
      <c r="B2246" s="361"/>
      <c r="C2246" s="373"/>
      <c r="D2246" s="156" t="s">
        <v>429</v>
      </c>
      <c r="E2246" s="156" t="s">
        <v>28</v>
      </c>
      <c r="F2246" s="156" t="s">
        <v>439</v>
      </c>
      <c r="G2246" s="238">
        <f t="shared" si="466"/>
        <v>2.4462887E-5</v>
      </c>
      <c r="H2246" s="158">
        <f>$H$2142</f>
        <v>26</v>
      </c>
      <c r="I2246" s="159">
        <f t="shared" si="469"/>
        <v>5.7547999999999995E-2</v>
      </c>
      <c r="J2246" s="160"/>
      <c r="K2246" s="161">
        <f t="shared" si="470"/>
        <v>61164</v>
      </c>
      <c r="L2246" s="250">
        <v>1</v>
      </c>
      <c r="M2246" s="163" t="str">
        <f t="shared" si="471"/>
        <v>26 шт (потребность учреждений) *0,057548/61164чел/час</v>
      </c>
      <c r="N2246" s="278">
        <f>$N$2142</f>
        <v>39807.692307692305</v>
      </c>
      <c r="O2246" s="280">
        <f t="shared" si="467"/>
        <v>0.97381099999999998</v>
      </c>
      <c r="P2246" s="166"/>
      <c r="Q2246" s="166">
        <f t="shared" si="468"/>
        <v>59562.176004000001</v>
      </c>
      <c r="R2246" s="71"/>
      <c r="S2246" s="61"/>
      <c r="T2246" s="71"/>
      <c r="U2246" s="61"/>
      <c r="V2246" s="61"/>
      <c r="W2246" s="61"/>
      <c r="X2246" s="61"/>
      <c r="Y2246" s="61"/>
      <c r="Z2246" s="61"/>
      <c r="AA2246" s="61"/>
      <c r="AB2246" s="61"/>
      <c r="AC2246" s="61"/>
      <c r="AD2246" s="61"/>
      <c r="AE2246" s="61"/>
      <c r="AF2246" s="61"/>
      <c r="AG2246" s="61"/>
      <c r="AH2246" s="61"/>
      <c r="AI2246" s="61"/>
      <c r="AJ2246" s="61"/>
      <c r="AK2246" s="61"/>
      <c r="AL2246" s="61"/>
      <c r="AM2246" s="61"/>
      <c r="AN2246" s="61"/>
      <c r="AO2246" s="61"/>
    </row>
    <row r="2247" spans="1:41" s="136" customFormat="1" ht="31.5" x14ac:dyDescent="0.25">
      <c r="A2247" s="358"/>
      <c r="B2247" s="361"/>
      <c r="C2247" s="373"/>
      <c r="D2247" s="156" t="s">
        <v>110</v>
      </c>
      <c r="E2247" s="156" t="s">
        <v>28</v>
      </c>
      <c r="F2247" s="156" t="s">
        <v>439</v>
      </c>
      <c r="G2247" s="238">
        <f t="shared" si="466"/>
        <v>2.3522005999999999E-5</v>
      </c>
      <c r="H2247" s="158">
        <f>$H$2143</f>
        <v>25</v>
      </c>
      <c r="I2247" s="159">
        <f t="shared" si="469"/>
        <v>5.7547999999999995E-2</v>
      </c>
      <c r="J2247" s="160"/>
      <c r="K2247" s="161">
        <f t="shared" si="470"/>
        <v>61164</v>
      </c>
      <c r="L2247" s="250">
        <v>1</v>
      </c>
      <c r="M2247" s="163" t="str">
        <f t="shared" si="471"/>
        <v>25 шт (потребность учреждений) *0,057548/61164чел/час</v>
      </c>
      <c r="N2247" s="278">
        <f>$N$2143</f>
        <v>53600</v>
      </c>
      <c r="O2247" s="280">
        <f t="shared" si="467"/>
        <v>1.26078</v>
      </c>
      <c r="P2247" s="166"/>
      <c r="Q2247" s="166">
        <f t="shared" si="468"/>
        <v>77114.34792</v>
      </c>
      <c r="R2247" s="71"/>
      <c r="S2247" s="61"/>
      <c r="T2247" s="71"/>
      <c r="U2247" s="61"/>
      <c r="V2247" s="61"/>
      <c r="W2247" s="61"/>
      <c r="X2247" s="61"/>
      <c r="Y2247" s="61"/>
      <c r="Z2247" s="61"/>
      <c r="AA2247" s="61"/>
      <c r="AB2247" s="61"/>
      <c r="AC2247" s="61"/>
      <c r="AD2247" s="61"/>
      <c r="AE2247" s="61"/>
      <c r="AF2247" s="61"/>
      <c r="AG2247" s="61"/>
      <c r="AH2247" s="61"/>
      <c r="AI2247" s="61"/>
      <c r="AJ2247" s="61"/>
      <c r="AK2247" s="61"/>
      <c r="AL2247" s="61"/>
      <c r="AM2247" s="61"/>
      <c r="AN2247" s="61"/>
      <c r="AO2247" s="61"/>
    </row>
    <row r="2248" spans="1:41" s="136" customFormat="1" ht="31.5" x14ac:dyDescent="0.25">
      <c r="A2248" s="358"/>
      <c r="B2248" s="361"/>
      <c r="C2248" s="373"/>
      <c r="D2248" s="156" t="s">
        <v>112</v>
      </c>
      <c r="E2248" s="156" t="s">
        <v>28</v>
      </c>
      <c r="F2248" s="156" t="s">
        <v>439</v>
      </c>
      <c r="G2248" s="238">
        <f t="shared" si="466"/>
        <v>4.7044009999999996E-6</v>
      </c>
      <c r="H2248" s="158">
        <f>$H$2144</f>
        <v>5</v>
      </c>
      <c r="I2248" s="159">
        <f t="shared" si="469"/>
        <v>5.7547999999999995E-2</v>
      </c>
      <c r="J2248" s="160"/>
      <c r="K2248" s="161">
        <f t="shared" si="470"/>
        <v>61164</v>
      </c>
      <c r="L2248" s="250">
        <v>1</v>
      </c>
      <c r="M2248" s="163" t="str">
        <f t="shared" si="471"/>
        <v>5 шт (потребность учреждений) *0,057548/61164чел/час</v>
      </c>
      <c r="N2248" s="278">
        <f>$N$2144</f>
        <v>33000</v>
      </c>
      <c r="O2248" s="280">
        <f t="shared" si="467"/>
        <v>0.15524499999999999</v>
      </c>
      <c r="P2248" s="166"/>
      <c r="Q2248" s="166">
        <f t="shared" si="468"/>
        <v>9495.4051799999997</v>
      </c>
      <c r="R2248" s="71"/>
      <c r="S2248" s="61"/>
      <c r="T2248" s="71"/>
      <c r="U2248" s="61"/>
      <c r="V2248" s="61"/>
      <c r="W2248" s="61"/>
      <c r="X2248" s="61"/>
      <c r="Y2248" s="61"/>
      <c r="Z2248" s="61"/>
      <c r="AA2248" s="61"/>
      <c r="AB2248" s="61"/>
      <c r="AC2248" s="61"/>
      <c r="AD2248" s="61"/>
      <c r="AE2248" s="61"/>
      <c r="AF2248" s="61"/>
      <c r="AG2248" s="61"/>
      <c r="AH2248" s="61"/>
      <c r="AI2248" s="61"/>
      <c r="AJ2248" s="61"/>
      <c r="AK2248" s="61"/>
      <c r="AL2248" s="61"/>
      <c r="AM2248" s="61"/>
      <c r="AN2248" s="61"/>
      <c r="AO2248" s="61"/>
    </row>
    <row r="2249" spans="1:41" s="136" customFormat="1" ht="31.5" x14ac:dyDescent="0.25">
      <c r="A2249" s="358"/>
      <c r="B2249" s="361"/>
      <c r="C2249" s="373"/>
      <c r="D2249" s="156" t="s">
        <v>111</v>
      </c>
      <c r="E2249" s="156" t="s">
        <v>28</v>
      </c>
      <c r="F2249" s="156" t="s">
        <v>439</v>
      </c>
      <c r="G2249" s="238">
        <f t="shared" si="466"/>
        <v>6.8684259000000004E-5</v>
      </c>
      <c r="H2249" s="158">
        <f>$H$2145</f>
        <v>73</v>
      </c>
      <c r="I2249" s="159">
        <f t="shared" si="469"/>
        <v>5.7547999999999995E-2</v>
      </c>
      <c r="J2249" s="160"/>
      <c r="K2249" s="161">
        <f t="shared" si="470"/>
        <v>61164</v>
      </c>
      <c r="L2249" s="250">
        <v>1</v>
      </c>
      <c r="M2249" s="163" t="str">
        <f t="shared" si="471"/>
        <v>73 шт (потребность учреждений) *0,057548/61164чел/час</v>
      </c>
      <c r="N2249" s="278">
        <f>$N$2145</f>
        <v>50616.438356164384</v>
      </c>
      <c r="O2249" s="280">
        <f t="shared" si="467"/>
        <v>3.476553</v>
      </c>
      <c r="P2249" s="166"/>
      <c r="Q2249" s="166">
        <f t="shared" si="468"/>
        <v>212639.88769199999</v>
      </c>
      <c r="R2249" s="71"/>
      <c r="S2249" s="61"/>
      <c r="T2249" s="71"/>
      <c r="U2249" s="61"/>
      <c r="V2249" s="61"/>
      <c r="W2249" s="61"/>
      <c r="X2249" s="61"/>
      <c r="Y2249" s="61"/>
      <c r="Z2249" s="61"/>
      <c r="AA2249" s="61"/>
      <c r="AB2249" s="61"/>
      <c r="AC2249" s="61"/>
      <c r="AD2249" s="61"/>
      <c r="AE2249" s="61"/>
      <c r="AF2249" s="61"/>
      <c r="AG2249" s="61"/>
      <c r="AH2249" s="61"/>
      <c r="AI2249" s="61"/>
      <c r="AJ2249" s="61"/>
      <c r="AK2249" s="61"/>
      <c r="AL2249" s="61"/>
      <c r="AM2249" s="61"/>
      <c r="AN2249" s="61"/>
      <c r="AO2249" s="61"/>
    </row>
    <row r="2250" spans="1:41" s="136" customFormat="1" ht="31.5" x14ac:dyDescent="0.25">
      <c r="A2250" s="358"/>
      <c r="B2250" s="361"/>
      <c r="C2250" s="374"/>
      <c r="D2250" s="156" t="s">
        <v>438</v>
      </c>
      <c r="E2250" s="156" t="s">
        <v>28</v>
      </c>
      <c r="F2250" s="156" t="s">
        <v>439</v>
      </c>
      <c r="G2250" s="238">
        <f t="shared" si="466"/>
        <v>3.1049047999999998E-5</v>
      </c>
      <c r="H2250" s="158">
        <f>$H$2146</f>
        <v>33</v>
      </c>
      <c r="I2250" s="159">
        <f t="shared" si="469"/>
        <v>5.7547999999999995E-2</v>
      </c>
      <c r="J2250" s="160"/>
      <c r="K2250" s="161">
        <f t="shared" si="470"/>
        <v>61164</v>
      </c>
      <c r="L2250" s="250">
        <v>1</v>
      </c>
      <c r="M2250" s="163" t="str">
        <f t="shared" si="471"/>
        <v>33 шт (потребность учреждений) *0,057548/61164чел/час</v>
      </c>
      <c r="N2250" s="278">
        <f>$N$2146</f>
        <v>25000</v>
      </c>
      <c r="O2250" s="280">
        <f t="shared" si="467"/>
        <v>0.77622599999999997</v>
      </c>
      <c r="P2250" s="166"/>
      <c r="Q2250" s="166">
        <f t="shared" si="468"/>
        <v>47477.087063999999</v>
      </c>
      <c r="R2250" s="71"/>
      <c r="S2250" s="61"/>
      <c r="T2250" s="71"/>
      <c r="U2250" s="61"/>
      <c r="V2250" s="61"/>
      <c r="W2250" s="61"/>
      <c r="X2250" s="61"/>
      <c r="Y2250" s="61"/>
      <c r="Z2250" s="61"/>
      <c r="AA2250" s="61"/>
      <c r="AB2250" s="61"/>
      <c r="AC2250" s="61"/>
      <c r="AD2250" s="61"/>
      <c r="AE2250" s="61"/>
      <c r="AF2250" s="61"/>
      <c r="AG2250" s="61"/>
      <c r="AH2250" s="61"/>
      <c r="AI2250" s="61"/>
      <c r="AJ2250" s="61"/>
      <c r="AK2250" s="61"/>
      <c r="AL2250" s="61"/>
      <c r="AM2250" s="61"/>
      <c r="AN2250" s="61"/>
      <c r="AO2250" s="61"/>
    </row>
    <row r="2251" spans="1:41" s="61" customFormat="1" x14ac:dyDescent="0.25">
      <c r="A2251" s="358"/>
      <c r="B2251" s="361"/>
      <c r="C2251" s="245" t="s">
        <v>299</v>
      </c>
      <c r="D2251" s="240"/>
      <c r="E2251" s="240"/>
      <c r="F2251" s="181"/>
      <c r="G2251" s="227"/>
      <c r="H2251" s="241"/>
      <c r="I2251" s="206"/>
      <c r="J2251" s="228"/>
      <c r="K2251" s="207"/>
      <c r="L2251" s="257"/>
      <c r="M2251" s="209"/>
      <c r="N2251" s="290"/>
      <c r="O2251" s="279">
        <f>SUM(O2239:O2250)</f>
        <v>7.7563590000000007</v>
      </c>
      <c r="P2251" s="166"/>
      <c r="Q2251" s="166">
        <f>O2251*K2251</f>
        <v>0</v>
      </c>
      <c r="R2251" s="71"/>
    </row>
    <row r="2252" spans="1:41" s="61" customFormat="1" ht="47.25" x14ac:dyDescent="0.25">
      <c r="A2252" s="358"/>
      <c r="B2252" s="361"/>
      <c r="C2252" s="221" t="s">
        <v>434</v>
      </c>
      <c r="D2252" s="156" t="s">
        <v>436</v>
      </c>
      <c r="E2252" s="156" t="s">
        <v>28</v>
      </c>
      <c r="F2252" s="156" t="s">
        <v>437</v>
      </c>
      <c r="G2252" s="238">
        <f>MROUND(H2252*L2252*I2252/K2252,0.000000000001)</f>
        <v>2.4462887E-5</v>
      </c>
      <c r="H2252" s="242">
        <f>$H$2148</f>
        <v>26</v>
      </c>
      <c r="I2252" s="159">
        <f>I2250</f>
        <v>5.7547999999999995E-2</v>
      </c>
      <c r="J2252" s="160"/>
      <c r="K2252" s="161">
        <f>K2250</f>
        <v>61164</v>
      </c>
      <c r="L2252" s="162">
        <v>1</v>
      </c>
      <c r="M2252" s="163" t="str">
        <f>CONCATENATE(H2252," ",F2252,"*",I2252,"/",K2252,"чел.")</f>
        <v>26 огнетушителей (потребность учреждений) *0,057548/61164чел.</v>
      </c>
      <c r="N2252" s="164">
        <f>$N$2148</f>
        <v>2180</v>
      </c>
      <c r="O2252" s="165">
        <f>MROUND(G2252*N2252,0.000001)</f>
        <v>5.3328999999999994E-2</v>
      </c>
      <c r="P2252" s="166"/>
      <c r="Q2252" s="166">
        <f>O2252*K2252</f>
        <v>3261.8149559999997</v>
      </c>
      <c r="R2252" s="71"/>
    </row>
    <row r="2253" spans="1:41" s="61" customFormat="1" x14ac:dyDescent="0.25">
      <c r="A2253" s="358"/>
      <c r="B2253" s="361"/>
      <c r="C2253" s="218" t="s">
        <v>435</v>
      </c>
      <c r="D2253" s="240"/>
      <c r="E2253" s="240"/>
      <c r="F2253" s="240"/>
      <c r="G2253" s="251"/>
      <c r="H2253" s="241"/>
      <c r="I2253" s="206"/>
      <c r="J2253" s="228"/>
      <c r="K2253" s="207"/>
      <c r="L2253" s="229"/>
      <c r="M2253" s="209"/>
      <c r="N2253" s="210"/>
      <c r="O2253" s="198">
        <f>SUM(O2252)</f>
        <v>5.3328999999999994E-2</v>
      </c>
      <c r="P2253" s="166"/>
      <c r="Q2253" s="166"/>
      <c r="R2253" s="71"/>
    </row>
    <row r="2254" spans="1:41" s="61" customFormat="1" ht="110.25" x14ac:dyDescent="0.25">
      <c r="A2254" s="358"/>
      <c r="B2254" s="361"/>
      <c r="C2254" s="221" t="s">
        <v>82</v>
      </c>
      <c r="D2254" s="156" t="s">
        <v>46</v>
      </c>
      <c r="E2254" s="156" t="s">
        <v>54</v>
      </c>
      <c r="F2254" s="156" t="s">
        <v>285</v>
      </c>
      <c r="G2254" s="238">
        <f>MROUND(H2254*L2254*I2254/K2254,0.000000000001)</f>
        <v>2.399244654E-3</v>
      </c>
      <c r="H2254" s="158">
        <f>H2150</f>
        <v>231.81818181818178</v>
      </c>
      <c r="I2254" s="291">
        <f>I2240</f>
        <v>5.7547999999999995E-2</v>
      </c>
      <c r="J2254" s="160"/>
      <c r="K2254" s="161">
        <f>K2240</f>
        <v>61164</v>
      </c>
      <c r="L2254" s="250">
        <f>$L$2150</f>
        <v>11</v>
      </c>
      <c r="M2254" s="163" t="str">
        <f>CONCATENATE(H2254," ",F2254,"*",L2254,"автобус","*",I2254,"/",K2254,"чел/час")</f>
        <v>231,818181818182 л бензина АИ 92 (12,5л/день(зимой)*20дней*7мес+10л/день(летом)*20дней*4мес)*11автобус*0,057548/61164чел/час</v>
      </c>
      <c r="N2254" s="278">
        <f>N2150</f>
        <v>54.500000000000007</v>
      </c>
      <c r="O2254" s="280">
        <f t="shared" si="467"/>
        <v>0.13075899999999999</v>
      </c>
      <c r="P2254" s="166"/>
      <c r="Q2254" s="166">
        <f>O2254*K2254</f>
        <v>7997.7434759999987</v>
      </c>
      <c r="R2254" s="71"/>
    </row>
    <row r="2255" spans="1:41" s="61" customFormat="1" ht="47.25" x14ac:dyDescent="0.25">
      <c r="A2255" s="358"/>
      <c r="B2255" s="361"/>
      <c r="C2255" s="364" t="s">
        <v>118</v>
      </c>
      <c r="D2255" s="156" t="s">
        <v>47</v>
      </c>
      <c r="E2255" s="156" t="s">
        <v>28</v>
      </c>
      <c r="F2255" s="156" t="s">
        <v>239</v>
      </c>
      <c r="G2255" s="238">
        <f>MROUND(H2255*L2255*I2255/K2255,0.000000000001)</f>
        <v>1.8817605000000001E-5</v>
      </c>
      <c r="H2255" s="158">
        <f>H2151</f>
        <v>20</v>
      </c>
      <c r="I2255" s="159">
        <f>I2254</f>
        <v>5.7547999999999995E-2</v>
      </c>
      <c r="J2255" s="160"/>
      <c r="K2255" s="161">
        <f>K2254</f>
        <v>61164</v>
      </c>
      <c r="L2255" s="250">
        <v>1</v>
      </c>
      <c r="M2255" s="163" t="str">
        <f>CONCATENATE(H2255," ",F2255,"*",I2255,"/",K2255,"чел/час")</f>
        <v>20 манометров (потребность учреждений) *0,057548/61164чел/час</v>
      </c>
      <c r="N2255" s="278">
        <f>N2151</f>
        <v>650</v>
      </c>
      <c r="O2255" s="280">
        <f t="shared" si="467"/>
        <v>1.2230999999999999E-2</v>
      </c>
      <c r="P2255" s="166"/>
      <c r="Q2255" s="166">
        <f>O2255*K2255</f>
        <v>748.09688399999993</v>
      </c>
      <c r="R2255" s="71"/>
    </row>
    <row r="2256" spans="1:41" s="61" customFormat="1" ht="47.25" x14ac:dyDescent="0.25">
      <c r="A2256" s="358"/>
      <c r="B2256" s="361"/>
      <c r="C2256" s="364"/>
      <c r="D2256" s="255" t="s">
        <v>113</v>
      </c>
      <c r="E2256" s="156" t="s">
        <v>28</v>
      </c>
      <c r="F2256" s="156" t="s">
        <v>240</v>
      </c>
      <c r="G2256" s="238">
        <f>MROUND(H2256*L2256*I2256/K2256,0.000000000001)</f>
        <v>9.4088026000000002E-5</v>
      </c>
      <c r="H2256" s="158">
        <v>100</v>
      </c>
      <c r="I2256" s="159">
        <f>I2255</f>
        <v>5.7547999999999995E-2</v>
      </c>
      <c r="J2256" s="160"/>
      <c r="K2256" s="161">
        <f>K2255</f>
        <v>61164</v>
      </c>
      <c r="L2256" s="250">
        <v>1</v>
      </c>
      <c r="M2256" s="163" t="str">
        <f>CONCATENATE(H2256," ",F2256,"*",I2256,"/",K2256,"чел/час")</f>
        <v>100 светильников (потребность учреждений)*0,057548/61164чел/час</v>
      </c>
      <c r="N2256" s="278">
        <f>N2152</f>
        <v>106.27500000000001</v>
      </c>
      <c r="O2256" s="280">
        <f t="shared" si="467"/>
        <v>9.9989999999999992E-3</v>
      </c>
      <c r="P2256" s="166"/>
      <c r="Q2256" s="166">
        <f>O2256*K2256</f>
        <v>611.57883599999991</v>
      </c>
      <c r="R2256" s="71"/>
    </row>
    <row r="2257" spans="1:41" s="109" customFormat="1" x14ac:dyDescent="0.25">
      <c r="A2257" s="359"/>
      <c r="B2257" s="362"/>
      <c r="C2257" s="218" t="s">
        <v>301</v>
      </c>
      <c r="D2257" s="256"/>
      <c r="E2257" s="240"/>
      <c r="F2257" s="240"/>
      <c r="G2257" s="227"/>
      <c r="H2257" s="241"/>
      <c r="I2257" s="206"/>
      <c r="J2257" s="228"/>
      <c r="K2257" s="207"/>
      <c r="L2257" s="257"/>
      <c r="M2257" s="209"/>
      <c r="N2257" s="281"/>
      <c r="O2257" s="279">
        <f>O2255+O2256</f>
        <v>2.223E-2</v>
      </c>
      <c r="P2257" s="267"/>
      <c r="Q2257" s="166"/>
      <c r="R2257" s="71"/>
      <c r="S2257" s="62"/>
      <c r="T2257" s="62"/>
      <c r="U2257" s="62"/>
      <c r="V2257" s="62"/>
      <c r="W2257" s="62"/>
      <c r="X2257" s="62"/>
      <c r="Y2257" s="62"/>
      <c r="Z2257" s="62"/>
      <c r="AA2257" s="62"/>
      <c r="AB2257" s="62"/>
      <c r="AC2257" s="62"/>
      <c r="AD2257" s="62"/>
      <c r="AE2257" s="62"/>
      <c r="AF2257" s="62"/>
      <c r="AG2257" s="62"/>
      <c r="AH2257" s="62"/>
      <c r="AI2257" s="62"/>
      <c r="AJ2257" s="62"/>
      <c r="AK2257" s="62"/>
      <c r="AL2257" s="62"/>
      <c r="AM2257" s="62"/>
      <c r="AN2257" s="62"/>
      <c r="AO2257" s="62"/>
    </row>
    <row r="2258" spans="1:41" s="108" customFormat="1" x14ac:dyDescent="0.25">
      <c r="A2258" s="357" t="str">
        <f>школы!$B$34</f>
        <v>Реализация дополнительных общеразвивающих программ (художественная направленность)</v>
      </c>
      <c r="B2258" s="360" t="str">
        <f>школы!$A$34</f>
        <v>801012О.99.0.ББ57АЕ76000</v>
      </c>
      <c r="C2258" s="194"/>
      <c r="D2258" s="363" t="s">
        <v>15</v>
      </c>
      <c r="E2258" s="363"/>
      <c r="F2258" s="363"/>
      <c r="G2258" s="363"/>
      <c r="H2258" s="195"/>
      <c r="I2258" s="195"/>
      <c r="J2258" s="195"/>
      <c r="K2258" s="195"/>
      <c r="L2258" s="196"/>
      <c r="M2258" s="197"/>
      <c r="N2258" s="278"/>
      <c r="O2258" s="279">
        <f>O2259+O2264</f>
        <v>132.16136911019001</v>
      </c>
      <c r="P2258" s="166"/>
      <c r="Q2258" s="166">
        <f>O2258*K2258</f>
        <v>0</v>
      </c>
      <c r="R2258" s="71"/>
      <c r="S2258" s="61"/>
      <c r="T2258" s="61"/>
      <c r="U2258" s="61"/>
      <c r="V2258" s="61"/>
      <c r="W2258" s="61"/>
      <c r="X2258" s="61"/>
      <c r="Y2258" s="61"/>
      <c r="Z2258" s="61"/>
      <c r="AA2258" s="61"/>
      <c r="AB2258" s="61"/>
      <c r="AC2258" s="61"/>
      <c r="AD2258" s="61"/>
      <c r="AE2258" s="61"/>
      <c r="AF2258" s="61"/>
      <c r="AG2258" s="61"/>
      <c r="AH2258" s="61"/>
      <c r="AI2258" s="61"/>
      <c r="AJ2258" s="61"/>
      <c r="AK2258" s="61"/>
      <c r="AL2258" s="61"/>
      <c r="AM2258" s="61"/>
      <c r="AN2258" s="61"/>
      <c r="AO2258" s="61"/>
    </row>
    <row r="2259" spans="1:41" s="108" customFormat="1" x14ac:dyDescent="0.25">
      <c r="A2259" s="358"/>
      <c r="B2259" s="361"/>
      <c r="C2259" s="194"/>
      <c r="D2259" s="350" t="s">
        <v>62</v>
      </c>
      <c r="E2259" s="350"/>
      <c r="F2259" s="350"/>
      <c r="G2259" s="350"/>
      <c r="H2259" s="195"/>
      <c r="I2259" s="195"/>
      <c r="J2259" s="195"/>
      <c r="K2259" s="195"/>
      <c r="L2259" s="196"/>
      <c r="M2259" s="197"/>
      <c r="N2259" s="278"/>
      <c r="O2259" s="279">
        <f>O2260+O2262</f>
        <v>131.36432311019001</v>
      </c>
      <c r="P2259" s="166"/>
      <c r="Q2259" s="166">
        <f>O2259*K2259</f>
        <v>0</v>
      </c>
      <c r="R2259" s="71"/>
      <c r="S2259" s="61"/>
      <c r="T2259" s="61"/>
      <c r="U2259" s="61"/>
      <c r="V2259" s="61"/>
      <c r="W2259" s="61"/>
      <c r="X2259" s="61"/>
      <c r="Y2259" s="61"/>
      <c r="Z2259" s="61"/>
      <c r="AA2259" s="61"/>
      <c r="AB2259" s="61"/>
      <c r="AC2259" s="61"/>
      <c r="AD2259" s="61"/>
      <c r="AE2259" s="61"/>
      <c r="AF2259" s="61"/>
      <c r="AG2259" s="61"/>
      <c r="AH2259" s="61"/>
      <c r="AI2259" s="61"/>
      <c r="AJ2259" s="61"/>
      <c r="AK2259" s="61"/>
      <c r="AL2259" s="61"/>
      <c r="AM2259" s="61"/>
      <c r="AN2259" s="61"/>
      <c r="AO2259" s="61"/>
    </row>
    <row r="2260" spans="1:41" s="61" customFormat="1" ht="31.5" x14ac:dyDescent="0.25">
      <c r="A2260" s="358"/>
      <c r="B2260" s="361"/>
      <c r="C2260" s="194">
        <v>211</v>
      </c>
      <c r="D2260" s="194" t="s">
        <v>86</v>
      </c>
      <c r="E2260" s="199" t="s">
        <v>95</v>
      </c>
      <c r="F2260" s="199" t="s">
        <v>95</v>
      </c>
      <c r="G2260" s="238">
        <f>MROUND(H2260*L2260*I2260/K2260,0.000000000001)</f>
        <v>4.3144549669999997E-3</v>
      </c>
      <c r="H2260" s="201">
        <f>H2052</f>
        <v>368.4</v>
      </c>
      <c r="I2260" s="159">
        <f>школы!$K$34</f>
        <v>0.36996099999999998</v>
      </c>
      <c r="J2260" s="159"/>
      <c r="K2260" s="161">
        <f>школы!$G$34</f>
        <v>379080</v>
      </c>
      <c r="L2260" s="202">
        <v>12</v>
      </c>
      <c r="M2260" s="163" t="str">
        <f>CONCATENATE(H2260," ",F2260," ","в мес.","*",L2260,"мес.","*",I2260,"/",K2260,"чел/час")</f>
        <v>368,4 шт.ед в мес.*12мес.*0,369961/379080чел/час</v>
      </c>
      <c r="N2260" s="278">
        <f>N2052</f>
        <v>23385.182971407892</v>
      </c>
      <c r="O2260" s="280">
        <f>MROUND(N2260*G2260,0.00000000001)</f>
        <v>100.89431882519</v>
      </c>
      <c r="P2260" s="166"/>
      <c r="Q2260" s="166">
        <f>O2260*K2260</f>
        <v>38247018.380253024</v>
      </c>
      <c r="R2260" s="71"/>
    </row>
    <row r="2261" spans="1:41" s="109" customFormat="1" x14ac:dyDescent="0.25">
      <c r="A2261" s="358"/>
      <c r="B2261" s="361"/>
      <c r="C2261" s="203" t="s">
        <v>288</v>
      </c>
      <c r="D2261" s="203"/>
      <c r="E2261" s="204"/>
      <c r="F2261" s="204"/>
      <c r="G2261" s="205"/>
      <c r="H2261" s="206"/>
      <c r="I2261" s="206"/>
      <c r="J2261" s="206"/>
      <c r="K2261" s="207"/>
      <c r="L2261" s="208"/>
      <c r="M2261" s="209"/>
      <c r="N2261" s="281"/>
      <c r="O2261" s="279">
        <f>O2260</f>
        <v>100.89431882519</v>
      </c>
      <c r="P2261" s="267"/>
      <c r="Q2261" s="166"/>
      <c r="R2261" s="71"/>
      <c r="S2261" s="62"/>
      <c r="T2261" s="62"/>
      <c r="U2261" s="62"/>
      <c r="V2261" s="62"/>
      <c r="W2261" s="62"/>
      <c r="X2261" s="62"/>
      <c r="Y2261" s="62"/>
      <c r="Z2261" s="62"/>
      <c r="AA2261" s="62"/>
      <c r="AB2261" s="62"/>
      <c r="AC2261" s="62"/>
      <c r="AD2261" s="62"/>
      <c r="AE2261" s="62"/>
      <c r="AF2261" s="62"/>
      <c r="AG2261" s="62"/>
      <c r="AH2261" s="62"/>
      <c r="AI2261" s="62"/>
      <c r="AJ2261" s="62"/>
      <c r="AK2261" s="62"/>
      <c r="AL2261" s="62"/>
      <c r="AM2261" s="62"/>
      <c r="AN2261" s="62"/>
      <c r="AO2261" s="62"/>
    </row>
    <row r="2262" spans="1:41" s="61" customFormat="1" x14ac:dyDescent="0.25">
      <c r="A2262" s="358"/>
      <c r="B2262" s="361"/>
      <c r="C2262" s="194">
        <v>213</v>
      </c>
      <c r="D2262" s="194" t="s">
        <v>87</v>
      </c>
      <c r="E2262" s="194" t="s">
        <v>88</v>
      </c>
      <c r="F2262" s="194"/>
      <c r="G2262" s="211">
        <v>30.2</v>
      </c>
      <c r="H2262" s="159"/>
      <c r="I2262" s="282">
        <f>I2260</f>
        <v>0.36996099999999998</v>
      </c>
      <c r="J2262" s="159"/>
      <c r="K2262" s="161">
        <f>K2260</f>
        <v>379080</v>
      </c>
      <c r="L2262" s="202"/>
      <c r="M2262" s="212"/>
      <c r="N2262" s="278"/>
      <c r="O2262" s="280">
        <f>MROUND(O2260*0.302,0.000000001)-0.00008</f>
        <v>30.470004285000002</v>
      </c>
      <c r="P2262" s="166"/>
      <c r="Q2262" s="166">
        <f>O2262*K2262</f>
        <v>11550569.224357801</v>
      </c>
      <c r="R2262" s="71"/>
    </row>
    <row r="2263" spans="1:41" s="109" customFormat="1" x14ac:dyDescent="0.25">
      <c r="A2263" s="358"/>
      <c r="B2263" s="361"/>
      <c r="C2263" s="203" t="s">
        <v>289</v>
      </c>
      <c r="D2263" s="203"/>
      <c r="E2263" s="203"/>
      <c r="F2263" s="203"/>
      <c r="G2263" s="213"/>
      <c r="H2263" s="214"/>
      <c r="I2263" s="206"/>
      <c r="J2263" s="214"/>
      <c r="K2263" s="207"/>
      <c r="L2263" s="215"/>
      <c r="M2263" s="216"/>
      <c r="N2263" s="281"/>
      <c r="O2263" s="279">
        <f>O2262</f>
        <v>30.470004285000002</v>
      </c>
      <c r="P2263" s="267"/>
      <c r="Q2263" s="166">
        <f>O2263*K2263</f>
        <v>0</v>
      </c>
      <c r="R2263" s="71"/>
      <c r="S2263" s="62"/>
      <c r="T2263" s="62"/>
      <c r="U2263" s="62"/>
      <c r="V2263" s="62"/>
      <c r="W2263" s="62"/>
      <c r="X2263" s="62"/>
      <c r="Y2263" s="62"/>
      <c r="Z2263" s="62"/>
      <c r="AA2263" s="62"/>
      <c r="AB2263" s="62"/>
      <c r="AC2263" s="62"/>
      <c r="AD2263" s="62"/>
      <c r="AE2263" s="62"/>
      <c r="AF2263" s="62"/>
      <c r="AG2263" s="62"/>
      <c r="AH2263" s="62"/>
      <c r="AI2263" s="62"/>
      <c r="AJ2263" s="62"/>
      <c r="AK2263" s="62"/>
      <c r="AL2263" s="62"/>
      <c r="AM2263" s="62"/>
      <c r="AN2263" s="62"/>
      <c r="AO2263" s="62"/>
    </row>
    <row r="2264" spans="1:41" s="108" customFormat="1" x14ac:dyDescent="0.25">
      <c r="A2264" s="358"/>
      <c r="B2264" s="361"/>
      <c r="C2264" s="194"/>
      <c r="D2264" s="356" t="s">
        <v>63</v>
      </c>
      <c r="E2264" s="356"/>
      <c r="F2264" s="356"/>
      <c r="G2264" s="356"/>
      <c r="H2264" s="195"/>
      <c r="I2264" s="159"/>
      <c r="J2264" s="195"/>
      <c r="K2264" s="161"/>
      <c r="L2264" s="196"/>
      <c r="M2264" s="197"/>
      <c r="N2264" s="278"/>
      <c r="O2264" s="280">
        <f>O2265</f>
        <v>0.79704599999999992</v>
      </c>
      <c r="P2264" s="166"/>
      <c r="Q2264" s="166">
        <f>O2264*K2264</f>
        <v>0</v>
      </c>
      <c r="R2264" s="71"/>
      <c r="S2264" s="61"/>
      <c r="T2264" s="61"/>
      <c r="U2264" s="61"/>
      <c r="V2264" s="61"/>
      <c r="W2264" s="61"/>
      <c r="X2264" s="61"/>
      <c r="Y2264" s="61"/>
      <c r="Z2264" s="61"/>
      <c r="AA2264" s="61"/>
      <c r="AB2264" s="61"/>
      <c r="AC2264" s="61"/>
      <c r="AD2264" s="61"/>
      <c r="AE2264" s="61"/>
      <c r="AF2264" s="61"/>
      <c r="AG2264" s="61"/>
      <c r="AH2264" s="61"/>
      <c r="AI2264" s="61"/>
      <c r="AJ2264" s="61"/>
      <c r="AK2264" s="61"/>
      <c r="AL2264" s="61"/>
      <c r="AM2264" s="61"/>
      <c r="AN2264" s="61"/>
      <c r="AO2264" s="61"/>
    </row>
    <row r="2265" spans="1:41" s="61" customFormat="1" x14ac:dyDescent="0.25">
      <c r="A2265" s="358"/>
      <c r="B2265" s="361"/>
      <c r="C2265" s="194" t="s">
        <v>118</v>
      </c>
      <c r="D2265" s="194" t="s">
        <v>259</v>
      </c>
      <c r="E2265" s="194" t="s">
        <v>260</v>
      </c>
      <c r="F2265" s="194" t="s">
        <v>261</v>
      </c>
      <c r="G2265" s="238">
        <f>MROUND(H2265*L2265*I2265/K2265,0.000000000001)</f>
        <v>1.1828446029999999E-3</v>
      </c>
      <c r="H2265" s="283">
        <f>H2057</f>
        <v>1212</v>
      </c>
      <c r="I2265" s="282">
        <f>I2262</f>
        <v>0.36996099999999998</v>
      </c>
      <c r="J2265" s="195"/>
      <c r="K2265" s="161">
        <f>K2262</f>
        <v>379080</v>
      </c>
      <c r="L2265" s="196">
        <v>1</v>
      </c>
      <c r="M2265" s="163" t="str">
        <f>CONCATENATE(H2265," ",F2265,"*",I2265,"/",K2265,"чел/час")</f>
        <v>1212 упаковок*0,369961/379080чел/час</v>
      </c>
      <c r="N2265" s="278">
        <f>N2057</f>
        <v>673.83800330033012</v>
      </c>
      <c r="O2265" s="280">
        <f>MROUND(N2265*G2265,0.000001)</f>
        <v>0.79704599999999992</v>
      </c>
      <c r="P2265" s="166"/>
      <c r="Q2265" s="166">
        <f>O2265*K2265</f>
        <v>302144.19767999998</v>
      </c>
      <c r="R2265" s="71"/>
    </row>
    <row r="2266" spans="1:41" s="109" customFormat="1" x14ac:dyDescent="0.25">
      <c r="A2266" s="358"/>
      <c r="B2266" s="361"/>
      <c r="C2266" s="203" t="s">
        <v>301</v>
      </c>
      <c r="D2266" s="203"/>
      <c r="E2266" s="203"/>
      <c r="F2266" s="203"/>
      <c r="G2266" s="227"/>
      <c r="H2266" s="214"/>
      <c r="I2266" s="206"/>
      <c r="J2266" s="214"/>
      <c r="K2266" s="207"/>
      <c r="L2266" s="215"/>
      <c r="M2266" s="209"/>
      <c r="N2266" s="281"/>
      <c r="O2266" s="279">
        <f>O2264+O2265</f>
        <v>1.5940919999999998</v>
      </c>
      <c r="P2266" s="267"/>
      <c r="Q2266" s="166"/>
      <c r="R2266" s="71"/>
      <c r="S2266" s="62"/>
      <c r="T2266" s="62"/>
      <c r="U2266" s="62"/>
      <c r="V2266" s="62"/>
      <c r="W2266" s="62"/>
      <c r="X2266" s="62"/>
      <c r="Y2266" s="62"/>
      <c r="Z2266" s="62"/>
      <c r="AA2266" s="62"/>
      <c r="AB2266" s="62"/>
      <c r="AC2266" s="62"/>
      <c r="AD2266" s="62"/>
      <c r="AE2266" s="62"/>
      <c r="AF2266" s="62"/>
      <c r="AG2266" s="62"/>
      <c r="AH2266" s="62"/>
      <c r="AI2266" s="62"/>
      <c r="AJ2266" s="62"/>
      <c r="AK2266" s="62"/>
      <c r="AL2266" s="62"/>
      <c r="AM2266" s="62"/>
      <c r="AN2266" s="62"/>
      <c r="AO2266" s="62"/>
    </row>
    <row r="2267" spans="1:41" s="108" customFormat="1" x14ac:dyDescent="0.25">
      <c r="A2267" s="358"/>
      <c r="B2267" s="361"/>
      <c r="C2267" s="194"/>
      <c r="D2267" s="350" t="s">
        <v>64</v>
      </c>
      <c r="E2267" s="350"/>
      <c r="F2267" s="350"/>
      <c r="G2267" s="350"/>
      <c r="H2267" s="195"/>
      <c r="I2267" s="159"/>
      <c r="J2267" s="195"/>
      <c r="K2267" s="161"/>
      <c r="L2267" s="196"/>
      <c r="M2267" s="197"/>
      <c r="N2267" s="278"/>
      <c r="O2267" s="280"/>
      <c r="P2267" s="166"/>
      <c r="Q2267" s="166">
        <f t="shared" ref="Q2267:Q2277" si="472">O2267*K2267</f>
        <v>0</v>
      </c>
      <c r="R2267" s="71"/>
      <c r="S2267" s="61"/>
      <c r="T2267" s="61"/>
      <c r="U2267" s="61"/>
      <c r="V2267" s="61"/>
      <c r="W2267" s="61"/>
      <c r="X2267" s="61"/>
      <c r="Y2267" s="61"/>
      <c r="Z2267" s="61"/>
      <c r="AA2267" s="61"/>
      <c r="AB2267" s="61"/>
      <c r="AC2267" s="61"/>
      <c r="AD2267" s="61"/>
      <c r="AE2267" s="61"/>
      <c r="AF2267" s="61"/>
      <c r="AG2267" s="61"/>
      <c r="AH2267" s="61"/>
      <c r="AI2267" s="61"/>
      <c r="AJ2267" s="61"/>
      <c r="AK2267" s="61"/>
      <c r="AL2267" s="61"/>
      <c r="AM2267" s="61"/>
      <c r="AN2267" s="61"/>
      <c r="AO2267" s="61"/>
    </row>
    <row r="2268" spans="1:41" s="108" customFormat="1" x14ac:dyDescent="0.25">
      <c r="A2268" s="358"/>
      <c r="B2268" s="361"/>
      <c r="C2268" s="194"/>
      <c r="D2268" s="194"/>
      <c r="E2268" s="194"/>
      <c r="F2268" s="194"/>
      <c r="G2268" s="217"/>
      <c r="H2268" s="195"/>
      <c r="I2268" s="159"/>
      <c r="J2268" s="195"/>
      <c r="K2268" s="161"/>
      <c r="L2268" s="196"/>
      <c r="M2268" s="197"/>
      <c r="N2268" s="278"/>
      <c r="O2268" s="280"/>
      <c r="P2268" s="166"/>
      <c r="Q2268" s="166">
        <f t="shared" si="472"/>
        <v>0</v>
      </c>
      <c r="R2268" s="71"/>
      <c r="S2268" s="61"/>
      <c r="T2268" s="61"/>
      <c r="U2268" s="61"/>
      <c r="V2268" s="61"/>
      <c r="W2268" s="61"/>
      <c r="X2268" s="61"/>
      <c r="Y2268" s="61"/>
      <c r="Z2268" s="61"/>
      <c r="AA2268" s="61"/>
      <c r="AB2268" s="61"/>
      <c r="AC2268" s="61"/>
      <c r="AD2268" s="61"/>
      <c r="AE2268" s="61"/>
      <c r="AF2268" s="61"/>
      <c r="AG2268" s="61"/>
      <c r="AH2268" s="61"/>
      <c r="AI2268" s="61"/>
      <c r="AJ2268" s="61"/>
      <c r="AK2268" s="61"/>
      <c r="AL2268" s="61"/>
      <c r="AM2268" s="61"/>
      <c r="AN2268" s="61"/>
      <c r="AO2268" s="61"/>
    </row>
    <row r="2269" spans="1:41" s="108" customFormat="1" x14ac:dyDescent="0.25">
      <c r="A2269" s="358"/>
      <c r="B2269" s="361"/>
      <c r="C2269" s="194"/>
      <c r="D2269" s="355" t="s">
        <v>5</v>
      </c>
      <c r="E2269" s="355"/>
      <c r="F2269" s="355"/>
      <c r="G2269" s="355"/>
      <c r="H2269" s="195"/>
      <c r="I2269" s="159"/>
      <c r="J2269" s="195"/>
      <c r="K2269" s="161"/>
      <c r="L2269" s="196"/>
      <c r="M2269" s="197"/>
      <c r="N2269" s="278"/>
      <c r="O2269" s="279">
        <f>O2270+O2279+O2290+O2292+O2303+O2299</f>
        <v>120.281880509</v>
      </c>
      <c r="P2269" s="166"/>
      <c r="Q2269" s="166">
        <f t="shared" si="472"/>
        <v>0</v>
      </c>
      <c r="R2269" s="71"/>
      <c r="S2269" s="61"/>
      <c r="T2269" s="61"/>
      <c r="U2269" s="61"/>
      <c r="V2269" s="61"/>
      <c r="W2269" s="61"/>
      <c r="X2269" s="61"/>
      <c r="Y2269" s="61"/>
      <c r="Z2269" s="61"/>
      <c r="AA2269" s="61"/>
      <c r="AB2269" s="61"/>
      <c r="AC2269" s="61"/>
      <c r="AD2269" s="61"/>
      <c r="AE2269" s="61"/>
      <c r="AF2269" s="61"/>
      <c r="AG2269" s="61"/>
      <c r="AH2269" s="61"/>
      <c r="AI2269" s="61"/>
      <c r="AJ2269" s="61"/>
      <c r="AK2269" s="61"/>
      <c r="AL2269" s="61"/>
      <c r="AM2269" s="61"/>
      <c r="AN2269" s="61"/>
      <c r="AO2269" s="61"/>
    </row>
    <row r="2270" spans="1:41" s="108" customFormat="1" x14ac:dyDescent="0.25">
      <c r="A2270" s="358"/>
      <c r="B2270" s="361"/>
      <c r="C2270" s="221" t="s">
        <v>70</v>
      </c>
      <c r="D2270" s="355" t="s">
        <v>6</v>
      </c>
      <c r="E2270" s="355"/>
      <c r="F2270" s="355"/>
      <c r="G2270" s="355"/>
      <c r="H2270" s="189"/>
      <c r="I2270" s="159"/>
      <c r="J2270" s="189"/>
      <c r="K2270" s="161"/>
      <c r="L2270" s="190"/>
      <c r="M2270" s="197"/>
      <c r="N2270" s="278"/>
      <c r="O2270" s="279">
        <f>O2271+O2272+O2273+O2274+O2275+O2276+O2277</f>
        <v>6.1649349999999998</v>
      </c>
      <c r="P2270" s="166"/>
      <c r="Q2270" s="166">
        <f t="shared" si="472"/>
        <v>0</v>
      </c>
      <c r="R2270" s="71"/>
      <c r="S2270" s="61"/>
      <c r="T2270" s="61"/>
      <c r="U2270" s="61"/>
      <c r="V2270" s="61"/>
      <c r="W2270" s="61"/>
      <c r="X2270" s="61"/>
      <c r="Y2270" s="61"/>
      <c r="Z2270" s="61"/>
      <c r="AA2270" s="61"/>
      <c r="AB2270" s="61"/>
      <c r="AC2270" s="61"/>
      <c r="AD2270" s="61"/>
      <c r="AE2270" s="61"/>
      <c r="AF2270" s="61"/>
      <c r="AG2270" s="61"/>
      <c r="AH2270" s="61"/>
      <c r="AI2270" s="61"/>
      <c r="AJ2270" s="61"/>
      <c r="AK2270" s="61"/>
      <c r="AL2270" s="61"/>
      <c r="AM2270" s="61"/>
      <c r="AN2270" s="61"/>
      <c r="AO2270" s="61"/>
    </row>
    <row r="2271" spans="1:41" s="61" customFormat="1" ht="31.5" x14ac:dyDescent="0.25">
      <c r="A2271" s="358"/>
      <c r="B2271" s="361"/>
      <c r="C2271" s="221" t="s">
        <v>72</v>
      </c>
      <c r="D2271" s="222" t="s">
        <v>7</v>
      </c>
      <c r="E2271" s="223" t="s">
        <v>8</v>
      </c>
      <c r="F2271" s="223" t="s">
        <v>8</v>
      </c>
      <c r="G2271" s="238">
        <f>MROUND(H2271*L2271*I2271/K2271,0.000000000001)</f>
        <v>0.11034040668299999</v>
      </c>
      <c r="H2271" s="160">
        <f>H2063</f>
        <v>113060.13705633247</v>
      </c>
      <c r="I2271" s="282">
        <f>I2265</f>
        <v>0.36996099999999998</v>
      </c>
      <c r="J2271" s="160"/>
      <c r="K2271" s="161">
        <f>K2265</f>
        <v>379080</v>
      </c>
      <c r="L2271" s="250">
        <v>1</v>
      </c>
      <c r="M2271" s="163" t="str">
        <f>CONCATENATE(H2271," ",F2271,"(лимиты выделенные УЖКХ) ","*",I2271,"/",K2271,"чел/час")</f>
        <v>113060,137056332 кВт час.(лимиты выделенные УЖКХ) *0,369961/379080чел/час</v>
      </c>
      <c r="N2271" s="278">
        <f>N2063</f>
        <v>10.461700036774822</v>
      </c>
      <c r="O2271" s="280">
        <f>MROUND(N2271*G2271,0.000001)</f>
        <v>1.1543479999999999</v>
      </c>
      <c r="P2271" s="166"/>
      <c r="Q2271" s="166">
        <f t="shared" si="472"/>
        <v>437590.23983999999</v>
      </c>
      <c r="R2271" s="71"/>
    </row>
    <row r="2272" spans="1:41" s="61" customFormat="1" ht="31.5" x14ac:dyDescent="0.25">
      <c r="A2272" s="358"/>
      <c r="B2272" s="361"/>
      <c r="C2272" s="221" t="s">
        <v>73</v>
      </c>
      <c r="D2272" s="222" t="s">
        <v>9</v>
      </c>
      <c r="E2272" s="223" t="s">
        <v>10</v>
      </c>
      <c r="F2272" s="223" t="s">
        <v>10</v>
      </c>
      <c r="G2272" s="238">
        <f t="shared" ref="G2272:G2277" si="473">MROUND(H2272*L2272*I2272/K2272,0.000000000001)</f>
        <v>1.3604664819999999E-3</v>
      </c>
      <c r="H2272" s="160">
        <f>H2064</f>
        <v>1394</v>
      </c>
      <c r="I2272" s="159">
        <f t="shared" ref="I2272:I2277" si="474">I2271</f>
        <v>0.36996099999999998</v>
      </c>
      <c r="J2272" s="160"/>
      <c r="K2272" s="161">
        <f t="shared" ref="K2272:K2277" si="475">K2271</f>
        <v>379080</v>
      </c>
      <c r="L2272" s="250">
        <v>1</v>
      </c>
      <c r="M2272" s="163" t="str">
        <f>CONCATENATE(H2272," ",F2272,"(лимиты выделенные УЖКХ) ","*",I2272,"/",K2272,"чел/час")</f>
        <v>1394 Гкал(лимиты выделенные УЖКХ) *0,369961/379080чел/час</v>
      </c>
      <c r="N2272" s="278">
        <f>N2168</f>
        <v>2845.3649999999998</v>
      </c>
      <c r="O2272" s="280">
        <f t="shared" ref="O2272:O2277" si="476">MROUND(N2272*G2272,0.000001)</f>
        <v>3.8710239999999998</v>
      </c>
      <c r="P2272" s="166"/>
      <c r="Q2272" s="166">
        <f t="shared" si="472"/>
        <v>1467427.77792</v>
      </c>
      <c r="R2272" s="71"/>
    </row>
    <row r="2273" spans="1:41" s="61" customFormat="1" ht="31.5" x14ac:dyDescent="0.25">
      <c r="A2273" s="358"/>
      <c r="B2273" s="361"/>
      <c r="C2273" s="364" t="s">
        <v>74</v>
      </c>
      <c r="D2273" s="222" t="s">
        <v>12</v>
      </c>
      <c r="E2273" s="222" t="s">
        <v>11</v>
      </c>
      <c r="F2273" s="222" t="s">
        <v>11</v>
      </c>
      <c r="G2273" s="238">
        <f t="shared" si="473"/>
        <v>3.943898641E-3</v>
      </c>
      <c r="H2273" s="224">
        <f>H2065</f>
        <v>4041.1099999999997</v>
      </c>
      <c r="I2273" s="159">
        <f t="shared" si="474"/>
        <v>0.36996099999999998</v>
      </c>
      <c r="J2273" s="160"/>
      <c r="K2273" s="161">
        <f t="shared" si="475"/>
        <v>379080</v>
      </c>
      <c r="L2273" s="250">
        <v>1</v>
      </c>
      <c r="M2273" s="163" t="str">
        <f>CONCATENATE(H2273," ",F2273,"(лимиты выделенные УЖКХ) ","*",I2273,"/",K2273,"чел/час")</f>
        <v>4041,11 м3(лимиты выделенные УЖКХ) *0,369961/379080чел/час</v>
      </c>
      <c r="N2273" s="278">
        <f>N2065</f>
        <v>51.830000000000013</v>
      </c>
      <c r="O2273" s="280">
        <f t="shared" si="476"/>
        <v>0.20441199999999998</v>
      </c>
      <c r="P2273" s="166"/>
      <c r="Q2273" s="166">
        <f t="shared" si="472"/>
        <v>77488.50095999999</v>
      </c>
      <c r="R2273" s="71"/>
    </row>
    <row r="2274" spans="1:41" s="61" customFormat="1" ht="47.25" x14ac:dyDescent="0.25">
      <c r="A2274" s="358"/>
      <c r="B2274" s="361"/>
      <c r="C2274" s="364"/>
      <c r="D2274" s="222" t="s">
        <v>17</v>
      </c>
      <c r="E2274" s="222" t="s">
        <v>11</v>
      </c>
      <c r="F2274" s="222" t="s">
        <v>11</v>
      </c>
      <c r="G2274" s="238">
        <f t="shared" si="473"/>
        <v>3.943898641E-3</v>
      </c>
      <c r="H2274" s="160">
        <f>H2170</f>
        <v>4041.1099999999997</v>
      </c>
      <c r="I2274" s="159">
        <f t="shared" si="474"/>
        <v>0.36996099999999998</v>
      </c>
      <c r="J2274" s="160"/>
      <c r="K2274" s="161">
        <f t="shared" si="475"/>
        <v>379080</v>
      </c>
      <c r="L2274" s="162">
        <f>$L$25</f>
        <v>1</v>
      </c>
      <c r="M2274" s="163" t="str">
        <f>CONCATENATE(H2274," ",F2274,"(лимиты выделенные УЖКХ) ","*",I2274,"/",K2274,"чел/час")</f>
        <v>4041,11 м3(лимиты выделенные УЖКХ) *0,369961/379080чел/час</v>
      </c>
      <c r="N2274" s="164">
        <f>N2066</f>
        <v>78.761157534246578</v>
      </c>
      <c r="O2274" s="280">
        <f t="shared" si="476"/>
        <v>0.31062600000000001</v>
      </c>
      <c r="P2274" s="166"/>
      <c r="Q2274" s="166">
        <f t="shared" si="472"/>
        <v>117752.10408</v>
      </c>
      <c r="R2274" s="71"/>
    </row>
    <row r="2275" spans="1:41" s="61" customFormat="1" ht="31.5" x14ac:dyDescent="0.25">
      <c r="A2275" s="358"/>
      <c r="B2275" s="361"/>
      <c r="C2275" s="364"/>
      <c r="D2275" s="222" t="s">
        <v>13</v>
      </c>
      <c r="E2275" s="222" t="s">
        <v>11</v>
      </c>
      <c r="F2275" s="222" t="s">
        <v>11</v>
      </c>
      <c r="G2275" s="238">
        <f t="shared" si="473"/>
        <v>3.943898641E-3</v>
      </c>
      <c r="H2275" s="160">
        <f>H2067</f>
        <v>4041.1099999999997</v>
      </c>
      <c r="I2275" s="159">
        <f t="shared" si="474"/>
        <v>0.36996099999999998</v>
      </c>
      <c r="J2275" s="160"/>
      <c r="K2275" s="161">
        <f t="shared" si="475"/>
        <v>379080</v>
      </c>
      <c r="L2275" s="162">
        <v>1</v>
      </c>
      <c r="M2275" s="163" t="str">
        <f>CONCATENATE(H2275," ",F2275,"(лимиты выделенные УЖКХ) ","*",I2275,"/",K2275,"чел/час")</f>
        <v>4041,11 м3(лимиты выделенные УЖКХ) *0,369961/379080чел/час</v>
      </c>
      <c r="N2275" s="278">
        <f>N2067</f>
        <v>96.180004349493274</v>
      </c>
      <c r="O2275" s="280">
        <f t="shared" si="476"/>
        <v>0.37932399999999999</v>
      </c>
      <c r="P2275" s="166"/>
      <c r="Q2275" s="166">
        <f t="shared" si="472"/>
        <v>143794.14191999999</v>
      </c>
      <c r="R2275" s="71"/>
    </row>
    <row r="2276" spans="1:41" s="61" customFormat="1" x14ac:dyDescent="0.25">
      <c r="A2276" s="358"/>
      <c r="B2276" s="361"/>
      <c r="C2276" s="364" t="s">
        <v>216</v>
      </c>
      <c r="D2276" s="222" t="s">
        <v>23</v>
      </c>
      <c r="E2276" s="222" t="s">
        <v>11</v>
      </c>
      <c r="F2276" s="222" t="s">
        <v>11</v>
      </c>
      <c r="G2276" s="238">
        <f t="shared" si="473"/>
        <v>2.4379091E-5</v>
      </c>
      <c r="H2276" s="160">
        <f>H2068</f>
        <v>24.979999999999997</v>
      </c>
      <c r="I2276" s="159">
        <f t="shared" si="474"/>
        <v>0.36996099999999998</v>
      </c>
      <c r="J2276" s="160"/>
      <c r="K2276" s="161">
        <f t="shared" si="475"/>
        <v>379080</v>
      </c>
      <c r="L2276" s="162">
        <v>1</v>
      </c>
      <c r="M2276" s="163" t="str">
        <f>CONCATENATE(H2276," ",F2276," ","*",I2276,"/",K2276,"чел/час")</f>
        <v>24,98 м3 *0,369961/379080чел/час</v>
      </c>
      <c r="N2276" s="164">
        <f>N2068</f>
        <v>8906.5644515612512</v>
      </c>
      <c r="O2276" s="280">
        <f t="shared" si="476"/>
        <v>0.21713399999999999</v>
      </c>
      <c r="P2276" s="166"/>
      <c r="Q2276" s="166">
        <f t="shared" si="472"/>
        <v>82311.156719999999</v>
      </c>
      <c r="R2276" s="71"/>
    </row>
    <row r="2277" spans="1:41" s="61" customFormat="1" ht="63" x14ac:dyDescent="0.25">
      <c r="A2277" s="358"/>
      <c r="B2277" s="361"/>
      <c r="C2277" s="364"/>
      <c r="D2277" s="222" t="s">
        <v>24</v>
      </c>
      <c r="E2277" s="222" t="s">
        <v>25</v>
      </c>
      <c r="F2277" s="222" t="s">
        <v>248</v>
      </c>
      <c r="G2277" s="238">
        <f t="shared" si="473"/>
        <v>4.8797220000000002E-6</v>
      </c>
      <c r="H2277" s="160">
        <f>H2069</f>
        <v>5</v>
      </c>
      <c r="I2277" s="159">
        <f t="shared" si="474"/>
        <v>0.36996099999999998</v>
      </c>
      <c r="J2277" s="160"/>
      <c r="K2277" s="161">
        <f t="shared" si="475"/>
        <v>379080</v>
      </c>
      <c r="L2277" s="250">
        <v>1</v>
      </c>
      <c r="M2277" s="163" t="str">
        <f>CONCATENATE(H2277," ",F2277,"(потребность из расчета 4 контейнера для уборки территории весной и осенью на 1 учреждение)","*",I2277,"/",K2277,"чел/час")</f>
        <v>5 контейнеров(потребность из расчета 4 контейнера для уборки территории весной и осенью на 1 учреждение)*0,369961/379080чел/час</v>
      </c>
      <c r="N2277" s="278">
        <f>N2069</f>
        <v>5751.8</v>
      </c>
      <c r="O2277" s="280">
        <f t="shared" si="476"/>
        <v>2.8066999999999998E-2</v>
      </c>
      <c r="P2277" s="166"/>
      <c r="Q2277" s="166">
        <f t="shared" si="472"/>
        <v>10639.638359999999</v>
      </c>
      <c r="R2277" s="71"/>
    </row>
    <row r="2278" spans="1:41" s="109" customFormat="1" x14ac:dyDescent="0.25">
      <c r="A2278" s="358"/>
      <c r="B2278" s="361"/>
      <c r="C2278" s="218" t="s">
        <v>290</v>
      </c>
      <c r="D2278" s="226"/>
      <c r="E2278" s="226"/>
      <c r="F2278" s="226"/>
      <c r="G2278" s="227"/>
      <c r="H2278" s="228"/>
      <c r="I2278" s="206"/>
      <c r="J2278" s="228"/>
      <c r="K2278" s="207"/>
      <c r="L2278" s="257"/>
      <c r="M2278" s="209"/>
      <c r="N2278" s="281"/>
      <c r="O2278" s="279">
        <f>SUM(O2271:O2277)</f>
        <v>6.1649349999999998</v>
      </c>
      <c r="P2278" s="267"/>
      <c r="Q2278" s="166"/>
      <c r="R2278" s="71"/>
      <c r="S2278" s="62"/>
      <c r="T2278" s="62"/>
      <c r="U2278" s="62"/>
      <c r="V2278" s="62"/>
      <c r="W2278" s="62"/>
      <c r="X2278" s="62"/>
      <c r="Y2278" s="62"/>
      <c r="Z2278" s="62"/>
      <c r="AA2278" s="62"/>
      <c r="AB2278" s="62"/>
      <c r="AC2278" s="62"/>
      <c r="AD2278" s="62"/>
      <c r="AE2278" s="62"/>
      <c r="AF2278" s="62"/>
      <c r="AG2278" s="62"/>
      <c r="AH2278" s="62"/>
      <c r="AI2278" s="62"/>
      <c r="AJ2278" s="62"/>
      <c r="AK2278" s="62"/>
      <c r="AL2278" s="62"/>
      <c r="AM2278" s="62"/>
      <c r="AN2278" s="62"/>
      <c r="AO2278" s="62"/>
    </row>
    <row r="2279" spans="1:41" s="108" customFormat="1" x14ac:dyDescent="0.25">
      <c r="A2279" s="358"/>
      <c r="B2279" s="361"/>
      <c r="C2279" s="221"/>
      <c r="D2279" s="356" t="s">
        <v>14</v>
      </c>
      <c r="E2279" s="356"/>
      <c r="F2279" s="356"/>
      <c r="G2279" s="356"/>
      <c r="H2279" s="188"/>
      <c r="I2279" s="159"/>
      <c r="J2279" s="188"/>
      <c r="K2279" s="161"/>
      <c r="L2279" s="250"/>
      <c r="M2279" s="230"/>
      <c r="N2279" s="278"/>
      <c r="O2279" s="279">
        <f>O2283+O2287+O2289</f>
        <v>101.485125126</v>
      </c>
      <c r="P2279" s="166"/>
      <c r="Q2279" s="166">
        <f>O2279*K2279</f>
        <v>0</v>
      </c>
      <c r="R2279" s="71"/>
      <c r="S2279" s="61"/>
      <c r="T2279" s="61"/>
      <c r="U2279" s="61"/>
      <c r="V2279" s="61"/>
      <c r="W2279" s="61"/>
      <c r="X2279" s="61"/>
      <c r="Y2279" s="61"/>
      <c r="Z2279" s="61"/>
      <c r="AA2279" s="61"/>
      <c r="AB2279" s="61"/>
      <c r="AC2279" s="61"/>
      <c r="AD2279" s="61"/>
      <c r="AE2279" s="61"/>
      <c r="AF2279" s="61"/>
      <c r="AG2279" s="61"/>
      <c r="AH2279" s="61"/>
      <c r="AI2279" s="61"/>
      <c r="AJ2279" s="61"/>
      <c r="AK2279" s="61"/>
      <c r="AL2279" s="61"/>
      <c r="AM2279" s="61"/>
      <c r="AN2279" s="61"/>
      <c r="AO2279" s="61"/>
    </row>
    <row r="2280" spans="1:41" s="61" customFormat="1" x14ac:dyDescent="0.25">
      <c r="A2280" s="358"/>
      <c r="B2280" s="361"/>
      <c r="C2280" s="221" t="s">
        <v>379</v>
      </c>
      <c r="D2280" s="231" t="s">
        <v>49</v>
      </c>
      <c r="E2280" s="231" t="s">
        <v>22</v>
      </c>
      <c r="F2280" s="231" t="s">
        <v>22</v>
      </c>
      <c r="G2280" s="238">
        <f>MROUND(H2280*L2280*I2280/K2280,0.000000000001)</f>
        <v>3.2560432739999999E-3</v>
      </c>
      <c r="H2280" s="160">
        <f>H2072</f>
        <v>3336.3</v>
      </c>
      <c r="I2280" s="159">
        <f>I2275</f>
        <v>0.36996099999999998</v>
      </c>
      <c r="J2280" s="160"/>
      <c r="K2280" s="161">
        <f>K2275</f>
        <v>379080</v>
      </c>
      <c r="L2280" s="250">
        <v>1</v>
      </c>
      <c r="M2280" s="163" t="str">
        <f>CONCATENATE(H2280," ",F2280,"*",I2280,"/",K2280,"чел/час")</f>
        <v>3336,3 м2*0,369961/379080чел/час</v>
      </c>
      <c r="N2280" s="278">
        <f>N2072</f>
        <v>2997.3323741869735</v>
      </c>
      <c r="O2280" s="280">
        <f>MROUND(N2280*G2280,0.000000001)</f>
        <v>9.7594439170000005</v>
      </c>
      <c r="P2280" s="166"/>
      <c r="Q2280" s="166">
        <f>O2280*K2280</f>
        <v>3699610.0000563604</v>
      </c>
      <c r="R2280" s="71"/>
    </row>
    <row r="2281" spans="1:41" s="61" customFormat="1" x14ac:dyDescent="0.25">
      <c r="A2281" s="358"/>
      <c r="B2281" s="361"/>
      <c r="C2281" s="221" t="s">
        <v>379</v>
      </c>
      <c r="D2281" s="231" t="s">
        <v>49</v>
      </c>
      <c r="E2281" s="231" t="s">
        <v>28</v>
      </c>
      <c r="F2281" s="231" t="s">
        <v>28</v>
      </c>
      <c r="G2281" s="238">
        <f>MROUND(H2281*L2281*I2281/K2281,0.000000000001)</f>
        <v>0</v>
      </c>
      <c r="H2281" s="160"/>
      <c r="I2281" s="159">
        <f>I2280</f>
        <v>0.36996099999999998</v>
      </c>
      <c r="J2281" s="160"/>
      <c r="K2281" s="161">
        <f>K2280</f>
        <v>379080</v>
      </c>
      <c r="L2281" s="250">
        <v>1</v>
      </c>
      <c r="M2281" s="163"/>
      <c r="N2281" s="278"/>
      <c r="O2281" s="280">
        <f>MROUND(N2281*G2281,0.000000001)</f>
        <v>0</v>
      </c>
      <c r="P2281" s="166"/>
      <c r="Q2281" s="166">
        <f>O2281*K2281</f>
        <v>0</v>
      </c>
      <c r="R2281" s="71"/>
    </row>
    <row r="2282" spans="1:41" s="61" customFormat="1" x14ac:dyDescent="0.25">
      <c r="A2282" s="358"/>
      <c r="B2282" s="361"/>
      <c r="C2282" s="221" t="s">
        <v>379</v>
      </c>
      <c r="D2282" s="231" t="s">
        <v>49</v>
      </c>
      <c r="E2282" s="231" t="s">
        <v>101</v>
      </c>
      <c r="F2282" s="231" t="s">
        <v>101</v>
      </c>
      <c r="G2282" s="238">
        <f>MROUND(H2282*L2282*I2282/K2282,0.000000000001)</f>
        <v>0</v>
      </c>
      <c r="H2282" s="160"/>
      <c r="I2282" s="159">
        <f>I2280</f>
        <v>0.36996099999999998</v>
      </c>
      <c r="J2282" s="160"/>
      <c r="K2282" s="161">
        <f>K2280</f>
        <v>379080</v>
      </c>
      <c r="L2282" s="250">
        <v>1</v>
      </c>
      <c r="M2282" s="163"/>
      <c r="N2282" s="278"/>
      <c r="O2282" s="280">
        <f>MROUND(N2282*G2282,0.000001)</f>
        <v>0</v>
      </c>
      <c r="P2282" s="166"/>
      <c r="Q2282" s="166">
        <f>O2282*K2282</f>
        <v>0</v>
      </c>
      <c r="R2282" s="71"/>
    </row>
    <row r="2283" spans="1:41" s="108" customFormat="1" x14ac:dyDescent="0.25">
      <c r="A2283" s="358"/>
      <c r="B2283" s="361"/>
      <c r="C2283" s="218" t="s">
        <v>380</v>
      </c>
      <c r="D2283" s="231"/>
      <c r="E2283" s="231"/>
      <c r="F2283" s="231"/>
      <c r="G2283" s="238"/>
      <c r="H2283" s="160"/>
      <c r="I2283" s="206"/>
      <c r="J2283" s="228"/>
      <c r="K2283" s="207"/>
      <c r="L2283" s="250"/>
      <c r="M2283" s="163"/>
      <c r="N2283" s="278"/>
      <c r="O2283" s="279">
        <f>SUM(O2280:O2282)</f>
        <v>9.7594439170000005</v>
      </c>
      <c r="P2283" s="166"/>
      <c r="Q2283" s="166"/>
      <c r="R2283" s="71"/>
      <c r="S2283" s="61"/>
      <c r="T2283" s="61"/>
      <c r="U2283" s="61"/>
      <c r="V2283" s="61"/>
      <c r="W2283" s="61"/>
      <c r="X2283" s="61"/>
      <c r="Y2283" s="61"/>
      <c r="Z2283" s="61"/>
      <c r="AA2283" s="61"/>
      <c r="AB2283" s="61"/>
      <c r="AC2283" s="61"/>
      <c r="AD2283" s="61"/>
      <c r="AE2283" s="61"/>
      <c r="AF2283" s="61"/>
      <c r="AG2283" s="61"/>
      <c r="AH2283" s="61"/>
      <c r="AI2283" s="61"/>
      <c r="AJ2283" s="61"/>
      <c r="AK2283" s="61"/>
      <c r="AL2283" s="61"/>
      <c r="AM2283" s="61"/>
      <c r="AN2283" s="61"/>
      <c r="AO2283" s="61"/>
    </row>
    <row r="2284" spans="1:41" s="61" customFormat="1" x14ac:dyDescent="0.25">
      <c r="A2284" s="358"/>
      <c r="B2284" s="361"/>
      <c r="C2284" s="221" t="s">
        <v>76</v>
      </c>
      <c r="D2284" s="231" t="s">
        <v>49</v>
      </c>
      <c r="E2284" s="231" t="s">
        <v>22</v>
      </c>
      <c r="F2284" s="231" t="s">
        <v>22</v>
      </c>
      <c r="G2284" s="238">
        <f>MROUND(H2284*L2284*I2284/K2284,0.000000000001)</f>
        <v>1.8263823345999998E-2</v>
      </c>
      <c r="H2284" s="160">
        <f>H2076</f>
        <v>18714</v>
      </c>
      <c r="I2284" s="159">
        <f>I2282</f>
        <v>0.36996099999999998</v>
      </c>
      <c r="J2284" s="160"/>
      <c r="K2284" s="161">
        <f>K2282</f>
        <v>379080</v>
      </c>
      <c r="L2284" s="250">
        <v>1</v>
      </c>
      <c r="M2284" s="163" t="str">
        <f>CONCATENATE(H2284," ",F2284,"*",I2284,"/",K2284,"чел/час")</f>
        <v>18714 м2*0,369961/379080чел/час</v>
      </c>
      <c r="N2284" s="278">
        <f>N2076</f>
        <v>3265.8708987923478</v>
      </c>
      <c r="O2284" s="280">
        <f>MROUND(N2284*G2284,0.000000001)-0.0009</f>
        <v>59.646389165999999</v>
      </c>
      <c r="P2284" s="166"/>
      <c r="Q2284" s="166">
        <f>O2284*K2284</f>
        <v>22610753.20504728</v>
      </c>
      <c r="R2284" s="71"/>
    </row>
    <row r="2285" spans="1:41" s="61" customFormat="1" x14ac:dyDescent="0.25">
      <c r="A2285" s="358"/>
      <c r="B2285" s="361"/>
      <c r="C2285" s="221"/>
      <c r="D2285" s="231" t="s">
        <v>49</v>
      </c>
      <c r="E2285" s="231" t="s">
        <v>28</v>
      </c>
      <c r="F2285" s="231" t="s">
        <v>28</v>
      </c>
      <c r="G2285" s="238">
        <f>MROUND(H2285*L2285*I2285/K2285,0.000000000001)</f>
        <v>1.9518887799999999E-4</v>
      </c>
      <c r="H2285" s="160">
        <f>H2077</f>
        <v>200</v>
      </c>
      <c r="I2285" s="159">
        <f>I2284</f>
        <v>0.36996099999999998</v>
      </c>
      <c r="J2285" s="160"/>
      <c r="K2285" s="161">
        <f>K2284</f>
        <v>379080</v>
      </c>
      <c r="L2285" s="250">
        <v>1</v>
      </c>
      <c r="M2285" s="163" t="str">
        <f>CONCATENATE(H2285," ",F2285,"*",I2285,"/",K2285,"чел/час")</f>
        <v>200 шт*0,369961/379080чел/час</v>
      </c>
      <c r="N2285" s="278">
        <f>N2077</f>
        <v>108250</v>
      </c>
      <c r="O2285" s="280">
        <f>MROUND(N2285*G2285,0.000000001)</f>
        <v>21.129196043</v>
      </c>
      <c r="P2285" s="166"/>
      <c r="Q2285" s="166">
        <f>O2285*K2285</f>
        <v>8009655.6359804403</v>
      </c>
      <c r="R2285" s="71"/>
    </row>
    <row r="2286" spans="1:41" s="61" customFormat="1" x14ac:dyDescent="0.25">
      <c r="A2286" s="358"/>
      <c r="B2286" s="361"/>
      <c r="C2286" s="221"/>
      <c r="D2286" s="231" t="s">
        <v>49</v>
      </c>
      <c r="E2286" s="231" t="s">
        <v>101</v>
      </c>
      <c r="F2286" s="231" t="s">
        <v>101</v>
      </c>
      <c r="G2286" s="238">
        <f>MROUND(H2286*L2286*I2286/K2286,0.000000000001)</f>
        <v>2.1685484380000002E-3</v>
      </c>
      <c r="H2286" s="160">
        <f>H2078</f>
        <v>2222</v>
      </c>
      <c r="I2286" s="159">
        <f>I2284</f>
        <v>0.36996099999999998</v>
      </c>
      <c r="J2286" s="160"/>
      <c r="K2286" s="161">
        <f>K2284</f>
        <v>379080</v>
      </c>
      <c r="L2286" s="250">
        <v>1</v>
      </c>
      <c r="M2286" s="163" t="str">
        <f>CONCATENATE(H2286," ",F2286,"*",I2286,"/",K2286,"чел/час")</f>
        <v>2222 погон.м.*0,369961/379080чел/час</v>
      </c>
      <c r="N2286" s="278">
        <f>N2078</f>
        <v>5049.5049504950493</v>
      </c>
      <c r="O2286" s="280">
        <f>MROUND(N2286*G2286,0.000001)</f>
        <v>10.950096</v>
      </c>
      <c r="P2286" s="166"/>
      <c r="Q2286" s="166">
        <f>O2286*K2286</f>
        <v>4150962.3916799999</v>
      </c>
      <c r="R2286" s="71"/>
    </row>
    <row r="2287" spans="1:41" s="108" customFormat="1" x14ac:dyDescent="0.25">
      <c r="A2287" s="358"/>
      <c r="B2287" s="361"/>
      <c r="C2287" s="218" t="s">
        <v>291</v>
      </c>
      <c r="D2287" s="231"/>
      <c r="E2287" s="231"/>
      <c r="F2287" s="231"/>
      <c r="G2287" s="238"/>
      <c r="H2287" s="160"/>
      <c r="I2287" s="206"/>
      <c r="J2287" s="228"/>
      <c r="K2287" s="207"/>
      <c r="L2287" s="250"/>
      <c r="M2287" s="163"/>
      <c r="N2287" s="278"/>
      <c r="O2287" s="279">
        <f>SUM(O2284:O2286)</f>
        <v>91.725681209000001</v>
      </c>
      <c r="P2287" s="166"/>
      <c r="Q2287" s="166"/>
      <c r="R2287" s="71"/>
      <c r="S2287" s="61"/>
      <c r="T2287" s="61"/>
      <c r="U2287" s="61"/>
      <c r="V2287" s="61"/>
      <c r="W2287" s="61"/>
      <c r="X2287" s="61"/>
      <c r="Y2287" s="61"/>
      <c r="Z2287" s="61"/>
      <c r="AA2287" s="61"/>
      <c r="AB2287" s="61"/>
      <c r="AC2287" s="61"/>
      <c r="AD2287" s="61"/>
      <c r="AE2287" s="61"/>
      <c r="AF2287" s="61"/>
      <c r="AG2287" s="61"/>
      <c r="AH2287" s="61"/>
      <c r="AI2287" s="61"/>
      <c r="AJ2287" s="61"/>
      <c r="AK2287" s="61"/>
      <c r="AL2287" s="61"/>
      <c r="AM2287" s="61"/>
      <c r="AN2287" s="61"/>
      <c r="AO2287" s="61"/>
    </row>
    <row r="2288" spans="1:41" s="61" customFormat="1" x14ac:dyDescent="0.25">
      <c r="A2288" s="358"/>
      <c r="B2288" s="361"/>
      <c r="C2288" s="221" t="s">
        <v>77</v>
      </c>
      <c r="D2288" s="231"/>
      <c r="E2288" s="231"/>
      <c r="F2288" s="231"/>
      <c r="G2288" s="238">
        <f>MROUND(H2288*L2288*I2288/K2288,0.000000000001)</f>
        <v>0</v>
      </c>
      <c r="H2288" s="160"/>
      <c r="I2288" s="159">
        <f>I2286</f>
        <v>0.36996099999999998</v>
      </c>
      <c r="J2288" s="160"/>
      <c r="K2288" s="161">
        <f>K2286</f>
        <v>379080</v>
      </c>
      <c r="L2288" s="250"/>
      <c r="M2288" s="163"/>
      <c r="N2288" s="278"/>
      <c r="O2288" s="280">
        <f>MROUND(N2288*G2288,0.000001)</f>
        <v>0</v>
      </c>
      <c r="P2288" s="166"/>
      <c r="Q2288" s="166">
        <f>O2288*K2288</f>
        <v>0</v>
      </c>
      <c r="R2288" s="71"/>
    </row>
    <row r="2289" spans="1:41" s="108" customFormat="1" x14ac:dyDescent="0.25">
      <c r="A2289" s="358"/>
      <c r="B2289" s="361"/>
      <c r="C2289" s="218" t="s">
        <v>292</v>
      </c>
      <c r="D2289" s="231"/>
      <c r="E2289" s="231"/>
      <c r="F2289" s="231"/>
      <c r="G2289" s="238"/>
      <c r="H2289" s="160"/>
      <c r="I2289" s="206"/>
      <c r="J2289" s="228"/>
      <c r="K2289" s="207"/>
      <c r="L2289" s="250"/>
      <c r="M2289" s="163"/>
      <c r="N2289" s="278"/>
      <c r="O2289" s="279">
        <f>O2288</f>
        <v>0</v>
      </c>
      <c r="P2289" s="166"/>
      <c r="Q2289" s="166"/>
      <c r="R2289" s="71"/>
      <c r="S2289" s="61"/>
      <c r="T2289" s="61"/>
      <c r="U2289" s="61"/>
      <c r="V2289" s="61"/>
      <c r="W2289" s="61"/>
      <c r="X2289" s="61"/>
      <c r="Y2289" s="61"/>
      <c r="Z2289" s="61"/>
      <c r="AA2289" s="61"/>
      <c r="AB2289" s="61"/>
      <c r="AC2289" s="61"/>
      <c r="AD2289" s="61"/>
      <c r="AE2289" s="61"/>
      <c r="AF2289" s="61"/>
      <c r="AG2289" s="61"/>
      <c r="AH2289" s="61"/>
      <c r="AI2289" s="61"/>
      <c r="AJ2289" s="61"/>
      <c r="AK2289" s="61"/>
      <c r="AL2289" s="61"/>
      <c r="AM2289" s="61"/>
      <c r="AN2289" s="61"/>
      <c r="AO2289" s="61"/>
    </row>
    <row r="2290" spans="1:41" s="108" customFormat="1" x14ac:dyDescent="0.25">
      <c r="A2290" s="358"/>
      <c r="B2290" s="361"/>
      <c r="C2290" s="221"/>
      <c r="D2290" s="350" t="s">
        <v>65</v>
      </c>
      <c r="E2290" s="350"/>
      <c r="F2290" s="350"/>
      <c r="G2290" s="350"/>
      <c r="H2290" s="195"/>
      <c r="I2290" s="159"/>
      <c r="J2290" s="195"/>
      <c r="K2290" s="161"/>
      <c r="L2290" s="196"/>
      <c r="M2290" s="230"/>
      <c r="N2290" s="278"/>
      <c r="O2290" s="280"/>
      <c r="P2290" s="166"/>
      <c r="Q2290" s="166">
        <f t="shared" ref="Q2290:Q2309" si="477">O2290*K2290</f>
        <v>0</v>
      </c>
      <c r="R2290" s="71"/>
      <c r="S2290" s="61"/>
      <c r="T2290" s="61"/>
      <c r="U2290" s="61"/>
      <c r="V2290" s="61"/>
      <c r="W2290" s="61"/>
      <c r="X2290" s="61"/>
      <c r="Y2290" s="61"/>
      <c r="Z2290" s="61"/>
      <c r="AA2290" s="61"/>
      <c r="AB2290" s="61"/>
      <c r="AC2290" s="61"/>
      <c r="AD2290" s="61"/>
      <c r="AE2290" s="61"/>
      <c r="AF2290" s="61"/>
      <c r="AG2290" s="61"/>
      <c r="AH2290" s="61"/>
      <c r="AI2290" s="61"/>
      <c r="AJ2290" s="61"/>
      <c r="AK2290" s="61"/>
      <c r="AL2290" s="61"/>
      <c r="AM2290" s="61"/>
      <c r="AN2290" s="61"/>
      <c r="AO2290" s="61"/>
    </row>
    <row r="2291" spans="1:41" s="108" customFormat="1" x14ac:dyDescent="0.25">
      <c r="A2291" s="358"/>
      <c r="B2291" s="361"/>
      <c r="C2291" s="221"/>
      <c r="D2291" s="194"/>
      <c r="E2291" s="194"/>
      <c r="F2291" s="194"/>
      <c r="G2291" s="217"/>
      <c r="H2291" s="195"/>
      <c r="I2291" s="159"/>
      <c r="J2291" s="195"/>
      <c r="K2291" s="161"/>
      <c r="L2291" s="196"/>
      <c r="M2291" s="230"/>
      <c r="N2291" s="278"/>
      <c r="O2291" s="280"/>
      <c r="P2291" s="166"/>
      <c r="Q2291" s="166">
        <f t="shared" si="477"/>
        <v>0</v>
      </c>
      <c r="R2291" s="71"/>
      <c r="S2291" s="61"/>
      <c r="T2291" s="61"/>
      <c r="U2291" s="61"/>
      <c r="V2291" s="61"/>
      <c r="W2291" s="61"/>
      <c r="X2291" s="61"/>
      <c r="Y2291" s="61"/>
      <c r="Z2291" s="61"/>
      <c r="AA2291" s="61"/>
      <c r="AB2291" s="61"/>
      <c r="AC2291" s="61"/>
      <c r="AD2291" s="61"/>
      <c r="AE2291" s="61"/>
      <c r="AF2291" s="61"/>
      <c r="AG2291" s="61"/>
      <c r="AH2291" s="61"/>
      <c r="AI2291" s="61"/>
      <c r="AJ2291" s="61"/>
      <c r="AK2291" s="61"/>
      <c r="AL2291" s="61"/>
      <c r="AM2291" s="61"/>
      <c r="AN2291" s="61"/>
      <c r="AO2291" s="61"/>
    </row>
    <row r="2292" spans="1:41" s="108" customFormat="1" x14ac:dyDescent="0.25">
      <c r="A2292" s="358"/>
      <c r="B2292" s="361"/>
      <c r="C2292" s="365" t="s">
        <v>357</v>
      </c>
      <c r="D2292" s="368" t="s">
        <v>66</v>
      </c>
      <c r="E2292" s="368"/>
      <c r="F2292" s="368"/>
      <c r="G2292" s="368"/>
      <c r="H2292" s="195"/>
      <c r="I2292" s="159"/>
      <c r="J2292" s="195"/>
      <c r="K2292" s="161"/>
      <c r="L2292" s="196"/>
      <c r="M2292" s="230"/>
      <c r="N2292" s="278"/>
      <c r="O2292" s="279">
        <f>O2298</f>
        <v>0.43719938299999994</v>
      </c>
      <c r="P2292" s="166"/>
      <c r="Q2292" s="166">
        <f t="shared" si="477"/>
        <v>0</v>
      </c>
      <c r="R2292" s="71"/>
      <c r="S2292" s="61"/>
      <c r="T2292" s="61"/>
      <c r="U2292" s="61"/>
      <c r="V2292" s="61"/>
      <c r="W2292" s="61"/>
      <c r="X2292" s="61"/>
      <c r="Y2292" s="61"/>
      <c r="Z2292" s="61"/>
      <c r="AA2292" s="61"/>
      <c r="AB2292" s="61"/>
      <c r="AC2292" s="61"/>
      <c r="AD2292" s="61"/>
      <c r="AE2292" s="61"/>
      <c r="AF2292" s="61"/>
      <c r="AG2292" s="61"/>
      <c r="AH2292" s="61"/>
      <c r="AI2292" s="61"/>
      <c r="AJ2292" s="61"/>
      <c r="AK2292" s="61"/>
      <c r="AL2292" s="61"/>
      <c r="AM2292" s="61"/>
      <c r="AN2292" s="61"/>
      <c r="AO2292" s="61"/>
    </row>
    <row r="2293" spans="1:41" s="61" customFormat="1" x14ac:dyDescent="0.25">
      <c r="A2293" s="358"/>
      <c r="B2293" s="361"/>
      <c r="C2293" s="366"/>
      <c r="D2293" s="284" t="s">
        <v>241</v>
      </c>
      <c r="E2293" s="156" t="s">
        <v>28</v>
      </c>
      <c r="F2293" s="156" t="s">
        <v>28</v>
      </c>
      <c r="G2293" s="238">
        <f>MROUND(H2293*L2293*I2293/K2293,0.000000000001)</f>
        <v>1.9909265600000001E-4</v>
      </c>
      <c r="H2293" s="158">
        <f>H2085</f>
        <v>17</v>
      </c>
      <c r="I2293" s="159">
        <f>I2288</f>
        <v>0.36996099999999998</v>
      </c>
      <c r="J2293" s="160"/>
      <c r="K2293" s="161">
        <f>K2288</f>
        <v>379080</v>
      </c>
      <c r="L2293" s="250">
        <v>12</v>
      </c>
      <c r="M2293" s="163" t="str">
        <f>CONCATENATE(H2293," ",F2293,"*",L2293,"мес.","*",I2293,"/",K2293,"чел/час")</f>
        <v>17 шт*12мес.*0,369961/379080чел/час</v>
      </c>
      <c r="N2293" s="278">
        <f>N2085</f>
        <v>327.76936274509802</v>
      </c>
      <c r="O2293" s="280">
        <f>MROUND(N2293*G2293,0.000001)</f>
        <v>6.5255999999999995E-2</v>
      </c>
      <c r="P2293" s="166"/>
      <c r="Q2293" s="166">
        <f t="shared" si="477"/>
        <v>24737.244479999998</v>
      </c>
      <c r="R2293" s="71"/>
    </row>
    <row r="2294" spans="1:41" s="61" customFormat="1" x14ac:dyDescent="0.25">
      <c r="A2294" s="358"/>
      <c r="B2294" s="361"/>
      <c r="C2294" s="366"/>
      <c r="D2294" s="284" t="s">
        <v>242</v>
      </c>
      <c r="E2294" s="156" t="s">
        <v>243</v>
      </c>
      <c r="F2294" s="156" t="s">
        <v>243</v>
      </c>
      <c r="G2294" s="238">
        <f>MROUND(H2294*L2294*I2294/K2294,0.000000000001)</f>
        <v>0.20267632370999999</v>
      </c>
      <c r="H2294" s="158">
        <f>H2086</f>
        <v>17306</v>
      </c>
      <c r="I2294" s="159">
        <f>I2293</f>
        <v>0.36996099999999998</v>
      </c>
      <c r="J2294" s="160"/>
      <c r="K2294" s="161">
        <f>K2293</f>
        <v>379080</v>
      </c>
      <c r="L2294" s="250">
        <v>12</v>
      </c>
      <c r="M2294" s="163" t="str">
        <f>CONCATENATE(H2294," ",F2294,"*",L2294,"мес.","*",I2294,"/",K2294,"чел/час")</f>
        <v>17306 мин.*12мес.*0,369961/379080чел/час</v>
      </c>
      <c r="N2294" s="278">
        <f>N2086</f>
        <v>0.78480002118725689</v>
      </c>
      <c r="O2294" s="280">
        <f>MROUND(N2294*G2294,0.000000001)</f>
        <v>0.159060383</v>
      </c>
      <c r="P2294" s="166"/>
      <c r="Q2294" s="166">
        <f t="shared" si="477"/>
        <v>60296.609987639997</v>
      </c>
      <c r="R2294" s="71"/>
    </row>
    <row r="2295" spans="1:41" s="61" customFormat="1" ht="31.5" x14ac:dyDescent="0.25">
      <c r="A2295" s="358"/>
      <c r="B2295" s="361"/>
      <c r="C2295" s="366"/>
      <c r="D2295" s="285" t="s">
        <v>244</v>
      </c>
      <c r="E2295" s="286" t="s">
        <v>245</v>
      </c>
      <c r="F2295" s="286" t="s">
        <v>247</v>
      </c>
      <c r="G2295" s="238">
        <f>MROUND(H2295*L2295*I2295/K2295,0.000000000001)</f>
        <v>5.8556663999999996E-5</v>
      </c>
      <c r="H2295" s="158">
        <f>H2087</f>
        <v>5</v>
      </c>
      <c r="I2295" s="159">
        <f>I2294</f>
        <v>0.36996099999999998</v>
      </c>
      <c r="J2295" s="160"/>
      <c r="K2295" s="161">
        <f>K2294</f>
        <v>379080</v>
      </c>
      <c r="L2295" s="250">
        <v>12</v>
      </c>
      <c r="M2295" s="163" t="str">
        <f>CONCATENATE(H2295," ",F2295,"*",L2295,"мес.","*",I2295,"/",K2295,"чел/час")</f>
        <v>5 радиоточек*12мес.*0,369961/379080чел/час</v>
      </c>
      <c r="N2295" s="278">
        <f>N2087</f>
        <v>165.68000000000004</v>
      </c>
      <c r="O2295" s="280">
        <f>MROUND(N2295*G2295,0.000001)</f>
        <v>9.7019999999999988E-3</v>
      </c>
      <c r="P2295" s="166"/>
      <c r="Q2295" s="166">
        <f t="shared" si="477"/>
        <v>3677.8341599999994</v>
      </c>
      <c r="R2295" s="71"/>
    </row>
    <row r="2296" spans="1:41" s="61" customFormat="1" ht="47.25" x14ac:dyDescent="0.25">
      <c r="A2296" s="358"/>
      <c r="B2296" s="361"/>
      <c r="C2296" s="366"/>
      <c r="D2296" s="285" t="s">
        <v>374</v>
      </c>
      <c r="E2296" s="156" t="s">
        <v>28</v>
      </c>
      <c r="F2296" s="156" t="s">
        <v>28</v>
      </c>
      <c r="G2296" s="238">
        <f>MROUND(H2296*L2296*I2296/K2296,0.000000000001)</f>
        <v>2.7326443000000001E-5</v>
      </c>
      <c r="H2296" s="158">
        <f>H2088</f>
        <v>7</v>
      </c>
      <c r="I2296" s="159">
        <f>I2294</f>
        <v>0.36996099999999998</v>
      </c>
      <c r="J2296" s="160"/>
      <c r="K2296" s="161">
        <f>K2294</f>
        <v>379080</v>
      </c>
      <c r="L2296" s="250">
        <f>L2088</f>
        <v>4</v>
      </c>
      <c r="M2296" s="163" t="str">
        <f>CONCATENATE(H2296," ",F2296,"*",L2296,"мес.","*",I2296,"/",K2296,"чел/час")</f>
        <v>7 шт*4мес.*0,369961/379080чел/час</v>
      </c>
      <c r="N2296" s="278">
        <f>N2088</f>
        <v>1256.0399999999997</v>
      </c>
      <c r="O2296" s="280">
        <f>MROUND(N2296*G2296,0.000001)</f>
        <v>3.4322999999999999E-2</v>
      </c>
      <c r="P2296" s="166"/>
      <c r="Q2296" s="166">
        <f t="shared" si="477"/>
        <v>13011.162839999999</v>
      </c>
      <c r="R2296" s="71"/>
    </row>
    <row r="2297" spans="1:41" s="61" customFormat="1" x14ac:dyDescent="0.25">
      <c r="A2297" s="358"/>
      <c r="B2297" s="361"/>
      <c r="C2297" s="367"/>
      <c r="D2297" s="284" t="s">
        <v>246</v>
      </c>
      <c r="E2297" s="156" t="s">
        <v>28</v>
      </c>
      <c r="F2297" s="156" t="s">
        <v>28</v>
      </c>
      <c r="G2297" s="238">
        <f>MROUND(H2297*L2297*I2297/K2297,0.000000000001)</f>
        <v>5.8556663999999996E-5</v>
      </c>
      <c r="H2297" s="158">
        <v>5</v>
      </c>
      <c r="I2297" s="159">
        <f>I2295</f>
        <v>0.36996099999999998</v>
      </c>
      <c r="J2297" s="160"/>
      <c r="K2297" s="161">
        <f>K2295</f>
        <v>379080</v>
      </c>
      <c r="L2297" s="250">
        <v>12</v>
      </c>
      <c r="M2297" s="163" t="str">
        <f>CONCATENATE(H2297," ",F2297,"*",L2297,"мес.","*",I2297,"/",K2297,"чел/час")</f>
        <v>5 шт*12мес.*0,369961/379080чел/час</v>
      </c>
      <c r="N2297" s="278">
        <f>N2089</f>
        <v>2883.6603333333333</v>
      </c>
      <c r="O2297" s="280">
        <f>MROUND(N2297*G2297,0.000001)</f>
        <v>0.16885799999999998</v>
      </c>
      <c r="P2297" s="166"/>
      <c r="Q2297" s="166">
        <f t="shared" si="477"/>
        <v>64010.690639999993</v>
      </c>
      <c r="R2297" s="71"/>
    </row>
    <row r="2298" spans="1:41" s="109" customFormat="1" x14ac:dyDescent="0.25">
      <c r="A2298" s="358"/>
      <c r="B2298" s="361"/>
      <c r="C2298" s="218" t="s">
        <v>358</v>
      </c>
      <c r="D2298" s="287"/>
      <c r="E2298" s="287"/>
      <c r="F2298" s="287"/>
      <c r="G2298" s="288"/>
      <c r="H2298" s="214"/>
      <c r="I2298" s="206"/>
      <c r="J2298" s="214"/>
      <c r="K2298" s="207"/>
      <c r="L2298" s="215"/>
      <c r="M2298" s="289"/>
      <c r="N2298" s="281"/>
      <c r="O2298" s="279">
        <f>SUM(O2293:O2297)</f>
        <v>0.43719938299999994</v>
      </c>
      <c r="P2298" s="267"/>
      <c r="Q2298" s="166">
        <f t="shared" si="477"/>
        <v>0</v>
      </c>
      <c r="R2298" s="71"/>
      <c r="S2298" s="62"/>
      <c r="T2298" s="62"/>
      <c r="U2298" s="62"/>
      <c r="V2298" s="62"/>
      <c r="W2298" s="62"/>
      <c r="X2298" s="62"/>
      <c r="Y2298" s="62"/>
      <c r="Z2298" s="62"/>
      <c r="AA2298" s="62"/>
      <c r="AB2298" s="62"/>
      <c r="AC2298" s="62"/>
      <c r="AD2298" s="62"/>
      <c r="AE2298" s="62"/>
      <c r="AF2298" s="62"/>
      <c r="AG2298" s="62"/>
      <c r="AH2298" s="62"/>
      <c r="AI2298" s="62"/>
      <c r="AJ2298" s="62"/>
      <c r="AK2298" s="62"/>
      <c r="AL2298" s="62"/>
      <c r="AM2298" s="62"/>
      <c r="AN2298" s="62"/>
      <c r="AO2298" s="62"/>
    </row>
    <row r="2299" spans="1:41" s="108" customFormat="1" ht="15" customHeight="1" x14ac:dyDescent="0.25">
      <c r="A2299" s="358"/>
      <c r="B2299" s="361"/>
      <c r="C2299" s="365" t="s">
        <v>366</v>
      </c>
      <c r="D2299" s="368" t="s">
        <v>67</v>
      </c>
      <c r="E2299" s="368"/>
      <c r="F2299" s="368"/>
      <c r="G2299" s="368"/>
      <c r="H2299" s="195"/>
      <c r="I2299" s="159"/>
      <c r="J2299" s="195"/>
      <c r="K2299" s="161"/>
      <c r="L2299" s="196"/>
      <c r="M2299" s="230"/>
      <c r="N2299" s="278"/>
      <c r="O2299" s="279">
        <f>O2300</f>
        <v>5.8720999999999995E-2</v>
      </c>
      <c r="P2299" s="166"/>
      <c r="Q2299" s="166">
        <f t="shared" si="477"/>
        <v>0</v>
      </c>
      <c r="R2299" s="71"/>
      <c r="S2299" s="61"/>
      <c r="T2299" s="61"/>
      <c r="U2299" s="61"/>
      <c r="V2299" s="61"/>
      <c r="W2299" s="61"/>
      <c r="X2299" s="61"/>
      <c r="Y2299" s="61"/>
      <c r="Z2299" s="61"/>
      <c r="AA2299" s="61"/>
      <c r="AB2299" s="61"/>
      <c r="AC2299" s="61"/>
      <c r="AD2299" s="61"/>
      <c r="AE2299" s="61"/>
      <c r="AF2299" s="61"/>
      <c r="AG2299" s="61"/>
      <c r="AH2299" s="61"/>
      <c r="AI2299" s="61"/>
      <c r="AJ2299" s="61"/>
      <c r="AK2299" s="61"/>
      <c r="AL2299" s="61"/>
      <c r="AM2299" s="61"/>
      <c r="AN2299" s="61"/>
      <c r="AO2299" s="61"/>
    </row>
    <row r="2300" spans="1:41" s="61" customFormat="1" x14ac:dyDescent="0.25">
      <c r="A2300" s="358"/>
      <c r="B2300" s="361"/>
      <c r="C2300" s="367"/>
      <c r="D2300" s="194" t="s">
        <v>367</v>
      </c>
      <c r="E2300" s="156" t="s">
        <v>28</v>
      </c>
      <c r="F2300" s="156" t="s">
        <v>28</v>
      </c>
      <c r="G2300" s="238">
        <f>MROUND(H2300*L2300*I2300/K2300,0.000000000001)</f>
        <v>2.3422664999999999E-5</v>
      </c>
      <c r="H2300" s="158">
        <f>H2092</f>
        <v>2</v>
      </c>
      <c r="I2300" s="159">
        <f>I2297</f>
        <v>0.36996099999999998</v>
      </c>
      <c r="J2300" s="195"/>
      <c r="K2300" s="161">
        <f>K2297</f>
        <v>379080</v>
      </c>
      <c r="L2300" s="250">
        <v>12</v>
      </c>
      <c r="M2300" s="163" t="str">
        <f>CONCATENATE(H2300," ",F2300,"*",L2300,"мес.","*",I2300,"/",K2300,"чел/час")</f>
        <v>2 шт*12мес.*0,369961/379080чел/час</v>
      </c>
      <c r="N2300" s="278">
        <f>N2092</f>
        <v>2507</v>
      </c>
      <c r="O2300" s="280">
        <f>MROUND(N2300*G2300,0.000001)</f>
        <v>5.8720999999999995E-2</v>
      </c>
      <c r="P2300" s="166"/>
      <c r="Q2300" s="166">
        <f t="shared" si="477"/>
        <v>22259.956679999999</v>
      </c>
      <c r="R2300" s="71"/>
    </row>
    <row r="2301" spans="1:41" s="108" customFormat="1" x14ac:dyDescent="0.25">
      <c r="A2301" s="358"/>
      <c r="B2301" s="361"/>
      <c r="C2301" s="221"/>
      <c r="D2301" s="350" t="s">
        <v>68</v>
      </c>
      <c r="E2301" s="350"/>
      <c r="F2301" s="350"/>
      <c r="G2301" s="350"/>
      <c r="H2301" s="195"/>
      <c r="I2301" s="159"/>
      <c r="J2301" s="195"/>
      <c r="K2301" s="161"/>
      <c r="L2301" s="196"/>
      <c r="M2301" s="230"/>
      <c r="N2301" s="278"/>
      <c r="O2301" s="280"/>
      <c r="P2301" s="166"/>
      <c r="Q2301" s="166">
        <f t="shared" si="477"/>
        <v>0</v>
      </c>
      <c r="R2301" s="71"/>
      <c r="S2301" s="61"/>
      <c r="T2301" s="61"/>
      <c r="U2301" s="61"/>
      <c r="V2301" s="61"/>
      <c r="W2301" s="61"/>
      <c r="X2301" s="61"/>
      <c r="Y2301" s="61"/>
      <c r="Z2301" s="61"/>
      <c r="AA2301" s="61"/>
      <c r="AB2301" s="61"/>
      <c r="AC2301" s="61"/>
      <c r="AD2301" s="61"/>
      <c r="AE2301" s="61"/>
      <c r="AF2301" s="61"/>
      <c r="AG2301" s="61"/>
      <c r="AH2301" s="61"/>
      <c r="AI2301" s="61"/>
      <c r="AJ2301" s="61"/>
      <c r="AK2301" s="61"/>
      <c r="AL2301" s="61"/>
      <c r="AM2301" s="61"/>
      <c r="AN2301" s="61"/>
      <c r="AO2301" s="61"/>
    </row>
    <row r="2302" spans="1:41" s="108" customFormat="1" x14ac:dyDescent="0.25">
      <c r="A2302" s="358"/>
      <c r="B2302" s="361"/>
      <c r="C2302" s="221"/>
      <c r="D2302" s="156"/>
      <c r="E2302" s="156"/>
      <c r="F2302" s="156"/>
      <c r="G2302" s="236"/>
      <c r="H2302" s="195"/>
      <c r="I2302" s="159"/>
      <c r="J2302" s="195"/>
      <c r="K2302" s="161"/>
      <c r="L2302" s="196"/>
      <c r="M2302" s="230"/>
      <c r="N2302" s="278"/>
      <c r="O2302" s="280"/>
      <c r="P2302" s="166"/>
      <c r="Q2302" s="166">
        <f t="shared" si="477"/>
        <v>0</v>
      </c>
      <c r="R2302" s="71"/>
      <c r="S2302" s="61"/>
      <c r="T2302" s="61"/>
      <c r="U2302" s="61"/>
      <c r="V2302" s="61"/>
      <c r="W2302" s="61"/>
      <c r="X2302" s="61"/>
      <c r="Y2302" s="61"/>
      <c r="Z2302" s="61"/>
      <c r="AA2302" s="61"/>
      <c r="AB2302" s="61"/>
      <c r="AC2302" s="61"/>
      <c r="AD2302" s="61"/>
      <c r="AE2302" s="61"/>
      <c r="AF2302" s="61"/>
      <c r="AG2302" s="61"/>
      <c r="AH2302" s="61"/>
      <c r="AI2302" s="61"/>
      <c r="AJ2302" s="61"/>
      <c r="AK2302" s="61"/>
      <c r="AL2302" s="61"/>
      <c r="AM2302" s="61"/>
      <c r="AN2302" s="61"/>
      <c r="AO2302" s="61"/>
    </row>
    <row r="2303" spans="1:41" s="108" customFormat="1" x14ac:dyDescent="0.25">
      <c r="A2303" s="358"/>
      <c r="B2303" s="361"/>
      <c r="C2303" s="221"/>
      <c r="D2303" s="368" t="s">
        <v>69</v>
      </c>
      <c r="E2303" s="368"/>
      <c r="F2303" s="368"/>
      <c r="G2303" s="368"/>
      <c r="H2303" s="187"/>
      <c r="I2303" s="159"/>
      <c r="J2303" s="187"/>
      <c r="K2303" s="161"/>
      <c r="L2303" s="276"/>
      <c r="M2303" s="230"/>
      <c r="N2303" s="278"/>
      <c r="O2303" s="279">
        <f>O2310+O2326+O2329+O2342+O2343+O2344+O2355+O2357+O2361+O2358</f>
        <v>12.135899999999999</v>
      </c>
      <c r="P2303" s="166"/>
      <c r="Q2303" s="166">
        <f t="shared" si="477"/>
        <v>0</v>
      </c>
      <c r="R2303" s="71"/>
      <c r="S2303" s="61"/>
      <c r="T2303" s="61"/>
      <c r="U2303" s="61"/>
      <c r="V2303" s="61"/>
      <c r="W2303" s="61"/>
      <c r="X2303" s="61"/>
      <c r="Y2303" s="61"/>
      <c r="Z2303" s="61"/>
      <c r="AA2303" s="61"/>
      <c r="AB2303" s="61"/>
      <c r="AC2303" s="61"/>
      <c r="AD2303" s="61"/>
      <c r="AE2303" s="61"/>
      <c r="AF2303" s="61"/>
      <c r="AG2303" s="61"/>
      <c r="AH2303" s="61"/>
      <c r="AI2303" s="61"/>
      <c r="AJ2303" s="61"/>
      <c r="AK2303" s="61"/>
      <c r="AL2303" s="61"/>
      <c r="AM2303" s="61"/>
      <c r="AN2303" s="61"/>
      <c r="AO2303" s="61"/>
    </row>
    <row r="2304" spans="1:41" s="61" customFormat="1" ht="31.5" x14ac:dyDescent="0.25">
      <c r="A2304" s="358"/>
      <c r="B2304" s="361"/>
      <c r="C2304" s="365" t="s">
        <v>78</v>
      </c>
      <c r="D2304" s="156" t="s">
        <v>26</v>
      </c>
      <c r="E2304" s="156" t="s">
        <v>22</v>
      </c>
      <c r="F2304" s="156" t="s">
        <v>22</v>
      </c>
      <c r="G2304" s="238">
        <f t="shared" ref="G2304:G2309" si="478">MROUND(H2304*L2304*I2304/K2304,0.000000000001)</f>
        <v>5.8091255139999999E-2</v>
      </c>
      <c r="H2304" s="158">
        <f>H2096</f>
        <v>4960.26</v>
      </c>
      <c r="I2304" s="159">
        <f>I2300</f>
        <v>0.36996099999999998</v>
      </c>
      <c r="J2304" s="160"/>
      <c r="K2304" s="161">
        <f>K2300</f>
        <v>379080</v>
      </c>
      <c r="L2304" s="250">
        <v>12</v>
      </c>
      <c r="M2304" s="163" t="str">
        <f>CONCATENATE(H2304," ",F2304,"(обрабатываемая площадь в мес.)","*",L2304,"мес.","*",I2304,"/",K2304,"чел/час")</f>
        <v>4960,26 м2(обрабатываемая площадь в мес.)*12мес.*0,369961/379080чел/час</v>
      </c>
      <c r="N2304" s="278">
        <f>N2096</f>
        <v>1.1553999521530458</v>
      </c>
      <c r="O2304" s="280">
        <f>MROUND(N2304*G2304,0.000001)</f>
        <v>6.7118999999999998E-2</v>
      </c>
      <c r="P2304" s="166"/>
      <c r="Q2304" s="166">
        <f t="shared" si="477"/>
        <v>25443.470519999999</v>
      </c>
      <c r="R2304" s="71"/>
    </row>
    <row r="2305" spans="1:41" s="61" customFormat="1" ht="31.5" x14ac:dyDescent="0.25">
      <c r="A2305" s="358"/>
      <c r="B2305" s="361"/>
      <c r="C2305" s="366"/>
      <c r="D2305" s="156" t="s">
        <v>96</v>
      </c>
      <c r="E2305" s="156" t="s">
        <v>22</v>
      </c>
      <c r="F2305" s="156" t="s">
        <v>22</v>
      </c>
      <c r="G2305" s="238">
        <f t="shared" si="478"/>
        <v>3.2174075874000001E-2</v>
      </c>
      <c r="H2305" s="158">
        <f>H2097</f>
        <v>2747.26</v>
      </c>
      <c r="I2305" s="159">
        <f>I2304</f>
        <v>0.36996099999999998</v>
      </c>
      <c r="J2305" s="160"/>
      <c r="K2305" s="161">
        <f>K2304</f>
        <v>379080</v>
      </c>
      <c r="L2305" s="250">
        <v>12</v>
      </c>
      <c r="M2305" s="163" t="str">
        <f>CONCATENATE(H2305," ",F2305,"(обрабатываемая площадь в мес.)","*",L2305,"мес.","*",I2305,"/",K2305,"чел/час")</f>
        <v>2747,26 м2(обрабатываемая площадь в мес.)*12мес.*0,369961/379080чел/час</v>
      </c>
      <c r="N2305" s="278">
        <f>N2097</f>
        <v>1.6108668273115756</v>
      </c>
      <c r="O2305" s="280">
        <f>MROUND(N2305*G2305,0.000001)</f>
        <v>5.1827999999999999E-2</v>
      </c>
      <c r="P2305" s="166"/>
      <c r="Q2305" s="166">
        <f t="shared" si="477"/>
        <v>19646.95824</v>
      </c>
      <c r="R2305" s="71"/>
    </row>
    <row r="2306" spans="1:41" s="135" customFormat="1" ht="31.5" x14ac:dyDescent="0.25">
      <c r="A2306" s="358"/>
      <c r="B2306" s="361"/>
      <c r="C2306" s="366"/>
      <c r="D2306" s="156" t="s">
        <v>385</v>
      </c>
      <c r="E2306" s="156" t="s">
        <v>22</v>
      </c>
      <c r="F2306" s="156" t="s">
        <v>22</v>
      </c>
      <c r="G2306" s="238">
        <f t="shared" si="478"/>
        <v>6.4348151748000001E-2</v>
      </c>
      <c r="H2306" s="242">
        <f>$H$2098</f>
        <v>2747.26</v>
      </c>
      <c r="I2306" s="159">
        <f>I2305</f>
        <v>0.36996099999999998</v>
      </c>
      <c r="J2306" s="160"/>
      <c r="K2306" s="161">
        <f>K2305</f>
        <v>379080</v>
      </c>
      <c r="L2306" s="162">
        <v>24</v>
      </c>
      <c r="M2306" s="163" t="str">
        <f>CONCATENATE(H2306," ",F2306,"(обрабатываемая площадь в год)","*",L2306," раза в год.","*",I2306,"/",K2306,"чел.")</f>
        <v>2747,26 м2(обрабатываемая площадь в год)*24 раза в год.*0,369961/379080чел.</v>
      </c>
      <c r="N2306" s="164">
        <f>$N$2098</f>
        <v>1.7779423862321002</v>
      </c>
      <c r="O2306" s="165">
        <f>MROUND(G2306*N2306,0.000001)</f>
        <v>0.11440699999999999</v>
      </c>
      <c r="P2306" s="166"/>
      <c r="Q2306" s="166">
        <f t="shared" si="477"/>
        <v>43369.405559999999</v>
      </c>
      <c r="R2306" s="71"/>
      <c r="S2306" s="61"/>
      <c r="T2306" s="61"/>
      <c r="U2306" s="61"/>
      <c r="V2306" s="61"/>
      <c r="W2306" s="61"/>
      <c r="X2306" s="61"/>
      <c r="Y2306" s="61"/>
      <c r="Z2306" s="61"/>
      <c r="AA2306" s="61"/>
      <c r="AB2306" s="61"/>
      <c r="AC2306" s="61"/>
      <c r="AD2306" s="61"/>
      <c r="AE2306" s="61"/>
      <c r="AF2306" s="61"/>
      <c r="AG2306" s="61"/>
      <c r="AH2306" s="61"/>
      <c r="AI2306" s="61"/>
      <c r="AJ2306" s="61"/>
      <c r="AK2306" s="61"/>
      <c r="AL2306" s="61"/>
      <c r="AM2306" s="61"/>
      <c r="AN2306" s="61"/>
      <c r="AO2306" s="61"/>
    </row>
    <row r="2307" spans="1:41" s="135" customFormat="1" ht="31.5" x14ac:dyDescent="0.25">
      <c r="A2307" s="358"/>
      <c r="B2307" s="361"/>
      <c r="C2307" s="366"/>
      <c r="D2307" s="156" t="s">
        <v>394</v>
      </c>
      <c r="E2307" s="156" t="s">
        <v>22</v>
      </c>
      <c r="F2307" s="156" t="s">
        <v>22</v>
      </c>
      <c r="G2307" s="238">
        <f t="shared" si="478"/>
        <v>5.8091255139999999E-2</v>
      </c>
      <c r="H2307" s="243">
        <f>$H$2099</f>
        <v>4960.26</v>
      </c>
      <c r="I2307" s="159">
        <f>I2306</f>
        <v>0.36996099999999998</v>
      </c>
      <c r="J2307" s="160"/>
      <c r="K2307" s="161">
        <f>K2306</f>
        <v>379080</v>
      </c>
      <c r="L2307" s="162">
        <v>12</v>
      </c>
      <c r="M2307" s="163" t="str">
        <f>CONCATENATE(H2307," ",F2307,"(обрабатываемая площадь в мес.)","*",L2307,"мес.","*",I2307,"/",K2307,"чел.")</f>
        <v>4960,26 м2(обрабатываемая площадь в мес.)*12мес.*0,369961/379080чел.</v>
      </c>
      <c r="N2307" s="164">
        <f>$N$2099</f>
        <v>0.54499999327992221</v>
      </c>
      <c r="O2307" s="165">
        <f>MROUND(G2307*N2307,0.000001)</f>
        <v>3.1660000000000001E-2</v>
      </c>
      <c r="P2307" s="166"/>
      <c r="Q2307" s="166">
        <f t="shared" si="477"/>
        <v>12001.6728</v>
      </c>
      <c r="R2307" s="71"/>
      <c r="S2307" s="61"/>
      <c r="T2307" s="61"/>
      <c r="U2307" s="61"/>
      <c r="V2307" s="61"/>
      <c r="W2307" s="61"/>
      <c r="X2307" s="61"/>
      <c r="Y2307" s="61"/>
      <c r="Z2307" s="61"/>
      <c r="AA2307" s="61"/>
      <c r="AB2307" s="61"/>
      <c r="AC2307" s="61"/>
      <c r="AD2307" s="61"/>
      <c r="AE2307" s="61"/>
      <c r="AF2307" s="61"/>
      <c r="AG2307" s="61"/>
      <c r="AH2307" s="61"/>
      <c r="AI2307" s="61"/>
      <c r="AJ2307" s="61"/>
      <c r="AK2307" s="61"/>
      <c r="AL2307" s="61"/>
      <c r="AM2307" s="61"/>
      <c r="AN2307" s="61"/>
      <c r="AO2307" s="61"/>
    </row>
    <row r="2308" spans="1:41" s="135" customFormat="1" ht="31.5" x14ac:dyDescent="0.25">
      <c r="A2308" s="358"/>
      <c r="B2308" s="361"/>
      <c r="C2308" s="366"/>
      <c r="D2308" s="156" t="s">
        <v>395</v>
      </c>
      <c r="E2308" s="156" t="s">
        <v>98</v>
      </c>
      <c r="F2308" s="156" t="s">
        <v>98</v>
      </c>
      <c r="G2308" s="238">
        <f t="shared" si="478"/>
        <v>1.8347749999999999E-6</v>
      </c>
      <c r="H2308" s="242">
        <f>$H$2100</f>
        <v>1.8800000000000001</v>
      </c>
      <c r="I2308" s="159">
        <f>I2307</f>
        <v>0.36996099999999998</v>
      </c>
      <c r="J2308" s="160"/>
      <c r="K2308" s="161">
        <f>K2307</f>
        <v>379080</v>
      </c>
      <c r="L2308" s="162">
        <v>1</v>
      </c>
      <c r="M2308" s="163" t="str">
        <f>CONCATENATE(H2308," ",F2308,"(обрабатываемая площадь в год)","*",L2308," раз в год","*",I2308,"/",K2308,"чел.")</f>
        <v>1,88 Га(обрабатываемая площадь в год)*1 раз в год*0,369961/379080чел.</v>
      </c>
      <c r="N2308" s="164">
        <f>$N$2100</f>
        <v>544.99999999999989</v>
      </c>
      <c r="O2308" s="165">
        <f>MROUND(G2308*N2308,0.000001)</f>
        <v>1E-3</v>
      </c>
      <c r="P2308" s="166"/>
      <c r="Q2308" s="166">
        <f t="shared" si="477"/>
        <v>379.08</v>
      </c>
      <c r="R2308" s="71"/>
      <c r="S2308" s="61"/>
      <c r="T2308" s="61"/>
      <c r="U2308" s="61"/>
      <c r="V2308" s="61"/>
      <c r="W2308" s="61"/>
      <c r="X2308" s="61"/>
      <c r="Y2308" s="61"/>
      <c r="Z2308" s="61"/>
      <c r="AA2308" s="61"/>
      <c r="AB2308" s="61"/>
      <c r="AC2308" s="61"/>
      <c r="AD2308" s="61"/>
      <c r="AE2308" s="61"/>
      <c r="AF2308" s="61"/>
      <c r="AG2308" s="61"/>
      <c r="AH2308" s="61"/>
      <c r="AI2308" s="61"/>
      <c r="AJ2308" s="61"/>
      <c r="AK2308" s="61"/>
      <c r="AL2308" s="61"/>
      <c r="AM2308" s="61"/>
      <c r="AN2308" s="61"/>
      <c r="AO2308" s="61"/>
    </row>
    <row r="2309" spans="1:41" s="61" customFormat="1" ht="31.5" x14ac:dyDescent="0.25">
      <c r="A2309" s="358"/>
      <c r="B2309" s="361"/>
      <c r="C2309" s="367"/>
      <c r="D2309" s="156" t="s">
        <v>97</v>
      </c>
      <c r="E2309" s="156" t="s">
        <v>363</v>
      </c>
      <c r="F2309" s="156" t="s">
        <v>363</v>
      </c>
      <c r="G2309" s="238">
        <f t="shared" si="478"/>
        <v>1.8347749999999999E-6</v>
      </c>
      <c r="H2309" s="158">
        <f>$H$2101</f>
        <v>1.8800000000000001</v>
      </c>
      <c r="I2309" s="159">
        <f>I2305</f>
        <v>0.36996099999999998</v>
      </c>
      <c r="J2309" s="160"/>
      <c r="K2309" s="161">
        <f>K2305</f>
        <v>379080</v>
      </c>
      <c r="L2309" s="250">
        <v>1</v>
      </c>
      <c r="M2309" s="163" t="str">
        <f>CONCATENATE(H2309," ",F2309,"(обрабатываемая площадь в мес.)","*",L2309,"мес.","*",I2309,"/",K2309,"чел/час")</f>
        <v>1,88 га(обрабатываемая площадь в мес.)*1мес.*0,369961/379080чел/час</v>
      </c>
      <c r="N2309" s="278">
        <f>$N$2101</f>
        <v>2965.9734042553187</v>
      </c>
      <c r="O2309" s="280">
        <f>MROUND(N2309*G2309,0.000001)</f>
        <v>5.4419999999999998E-3</v>
      </c>
      <c r="P2309" s="166"/>
      <c r="Q2309" s="166">
        <f t="shared" si="477"/>
        <v>2062.95336</v>
      </c>
      <c r="R2309" s="71"/>
    </row>
    <row r="2310" spans="1:41" s="109" customFormat="1" x14ac:dyDescent="0.25">
      <c r="A2310" s="358"/>
      <c r="B2310" s="361"/>
      <c r="C2310" s="218" t="s">
        <v>327</v>
      </c>
      <c r="D2310" s="240"/>
      <c r="E2310" s="240"/>
      <c r="F2310" s="240"/>
      <c r="G2310" s="227"/>
      <c r="H2310" s="241"/>
      <c r="I2310" s="206"/>
      <c r="J2310" s="228"/>
      <c r="K2310" s="207"/>
      <c r="L2310" s="257"/>
      <c r="M2310" s="209"/>
      <c r="N2310" s="281"/>
      <c r="O2310" s="279">
        <f>SUM(O2304:O2309)</f>
        <v>0.27145600000000003</v>
      </c>
      <c r="P2310" s="267"/>
      <c r="Q2310" s="166"/>
      <c r="R2310" s="71"/>
      <c r="S2310" s="62"/>
      <c r="T2310" s="62"/>
      <c r="U2310" s="62"/>
      <c r="V2310" s="62"/>
      <c r="W2310" s="62"/>
      <c r="X2310" s="62"/>
      <c r="Y2310" s="62"/>
      <c r="Z2310" s="62"/>
      <c r="AA2310" s="62"/>
      <c r="AB2310" s="62"/>
      <c r="AC2310" s="62"/>
      <c r="AD2310" s="62"/>
      <c r="AE2310" s="62"/>
      <c r="AF2310" s="62"/>
      <c r="AG2310" s="62"/>
      <c r="AH2310" s="62"/>
      <c r="AI2310" s="62"/>
      <c r="AJ2310" s="62"/>
      <c r="AK2310" s="62"/>
      <c r="AL2310" s="62"/>
      <c r="AM2310" s="62"/>
      <c r="AN2310" s="62"/>
      <c r="AO2310" s="62"/>
    </row>
    <row r="2311" spans="1:41" s="61" customFormat="1" x14ac:dyDescent="0.25">
      <c r="A2311" s="358"/>
      <c r="B2311" s="361"/>
      <c r="C2311" s="366" t="s">
        <v>77</v>
      </c>
      <c r="D2311" s="156" t="s">
        <v>397</v>
      </c>
      <c r="E2311" s="156" t="s">
        <v>433</v>
      </c>
      <c r="F2311" s="156" t="s">
        <v>433</v>
      </c>
      <c r="G2311" s="238">
        <f t="shared" ref="G2311:G2325" si="479">MROUND(H2311*L2311*I2311/K2311,0.000000000001)</f>
        <v>0</v>
      </c>
      <c r="H2311" s="158"/>
      <c r="I2311" s="159">
        <f>I2305</f>
        <v>0.36996099999999998</v>
      </c>
      <c r="J2311" s="160"/>
      <c r="K2311" s="161">
        <f>K2305</f>
        <v>379080</v>
      </c>
      <c r="L2311" s="162">
        <v>1</v>
      </c>
      <c r="M2311" s="163"/>
      <c r="N2311" s="278"/>
      <c r="O2311" s="280">
        <f t="shared" ref="O2311:O2325" si="480">MROUND(N2311*G2311,0.000001)</f>
        <v>0</v>
      </c>
      <c r="P2311" s="166"/>
      <c r="Q2311" s="166">
        <f t="shared" ref="Q2311:Q2325" si="481">O2311*K2311</f>
        <v>0</v>
      </c>
      <c r="R2311" s="71"/>
    </row>
    <row r="2312" spans="1:41" s="61" customFormat="1" ht="63" x14ac:dyDescent="0.25">
      <c r="A2312" s="358"/>
      <c r="B2312" s="361"/>
      <c r="C2312" s="366"/>
      <c r="D2312" s="156" t="s">
        <v>249</v>
      </c>
      <c r="E2312" s="156" t="s">
        <v>22</v>
      </c>
      <c r="F2312" s="156" t="s">
        <v>22</v>
      </c>
      <c r="G2312" s="238">
        <f t="shared" si="479"/>
        <v>8.0900715160000004E-3</v>
      </c>
      <c r="H2312" s="158">
        <f>H2104</f>
        <v>690.79</v>
      </c>
      <c r="I2312" s="159">
        <f>I2311</f>
        <v>0.36996099999999998</v>
      </c>
      <c r="J2312" s="160"/>
      <c r="K2312" s="161">
        <f>K2311</f>
        <v>379080</v>
      </c>
      <c r="L2312" s="250">
        <v>12</v>
      </c>
      <c r="M2312" s="163" t="str">
        <f>CONCATENATE(H2312," ",F2312,"*",L2312,"мес.","*",I2312,"/",K2312,"чел/час")</f>
        <v>690,79 м2*12мес.*0,369961/379080чел/час</v>
      </c>
      <c r="N2312" s="278">
        <f>N2104</f>
        <v>30.306671829837342</v>
      </c>
      <c r="O2312" s="280">
        <f t="shared" si="480"/>
        <v>0.24518299999999998</v>
      </c>
      <c r="P2312" s="166"/>
      <c r="Q2312" s="166">
        <f t="shared" si="481"/>
        <v>92943.971639999989</v>
      </c>
      <c r="R2312" s="71"/>
    </row>
    <row r="2313" spans="1:41" s="136" customFormat="1" x14ac:dyDescent="0.25">
      <c r="A2313" s="358"/>
      <c r="B2313" s="361"/>
      <c r="C2313" s="366"/>
      <c r="D2313" s="194" t="s">
        <v>398</v>
      </c>
      <c r="E2313" s="156" t="s">
        <v>60</v>
      </c>
      <c r="F2313" s="156" t="s">
        <v>60</v>
      </c>
      <c r="G2313" s="238">
        <f t="shared" si="479"/>
        <v>4.8797220000000002E-6</v>
      </c>
      <c r="H2313" s="158">
        <f>$H$2105</f>
        <v>5</v>
      </c>
      <c r="I2313" s="159">
        <f>I2312</f>
        <v>0.36996099999999998</v>
      </c>
      <c r="J2313" s="160"/>
      <c r="K2313" s="161">
        <f>K2312</f>
        <v>379080</v>
      </c>
      <c r="L2313" s="250">
        <v>1</v>
      </c>
      <c r="M2313" s="163" t="str">
        <f>CONCATENATE(H2313," ",F2313,"*",I2313,"/",K2313,"чел/час")</f>
        <v>5 шт.*0,369961/379080чел/час</v>
      </c>
      <c r="N2313" s="278">
        <f>$N$2105</f>
        <v>11009</v>
      </c>
      <c r="O2313" s="280">
        <f t="shared" si="480"/>
        <v>5.3720999999999998E-2</v>
      </c>
      <c r="P2313" s="166"/>
      <c r="Q2313" s="166">
        <f t="shared" si="481"/>
        <v>20364.556679999998</v>
      </c>
      <c r="R2313" s="71"/>
      <c r="S2313" s="61"/>
      <c r="T2313" s="61"/>
      <c r="U2313" s="61"/>
      <c r="V2313" s="61"/>
      <c r="W2313" s="61"/>
      <c r="X2313" s="61"/>
      <c r="Y2313" s="61"/>
      <c r="Z2313" s="61"/>
      <c r="AA2313" s="61"/>
      <c r="AB2313" s="61"/>
      <c r="AC2313" s="61"/>
      <c r="AD2313" s="61"/>
      <c r="AE2313" s="61"/>
      <c r="AF2313" s="61"/>
      <c r="AG2313" s="61"/>
      <c r="AH2313" s="61"/>
      <c r="AI2313" s="61"/>
      <c r="AJ2313" s="61"/>
      <c r="AK2313" s="61"/>
      <c r="AL2313" s="61"/>
      <c r="AM2313" s="61"/>
      <c r="AN2313" s="61"/>
      <c r="AO2313" s="61"/>
    </row>
    <row r="2314" spans="1:41" s="136" customFormat="1" ht="63" x14ac:dyDescent="0.25">
      <c r="A2314" s="358"/>
      <c r="B2314" s="361"/>
      <c r="C2314" s="366"/>
      <c r="D2314" s="156" t="s">
        <v>33</v>
      </c>
      <c r="E2314" s="156" t="s">
        <v>56</v>
      </c>
      <c r="F2314" s="156" t="s">
        <v>220</v>
      </c>
      <c r="G2314" s="238">
        <f t="shared" si="479"/>
        <v>4.8797220000000002E-6</v>
      </c>
      <c r="H2314" s="158">
        <f>$H$2106</f>
        <v>5</v>
      </c>
      <c r="I2314" s="159">
        <f>I2313</f>
        <v>0.36996099999999998</v>
      </c>
      <c r="J2314" s="160"/>
      <c r="K2314" s="161">
        <f>K2313</f>
        <v>379080</v>
      </c>
      <c r="L2314" s="250">
        <f>$L$2106</f>
        <v>1</v>
      </c>
      <c r="M2314" s="163" t="str">
        <f>CONCATENATE(H2314," ",F2314,"*",L2314," раз в год","*",I2314,"/",K2314,"чел.")</f>
        <v>5 дымоходов*1 раз в год*0,369961/379080чел.</v>
      </c>
      <c r="N2314" s="278">
        <f>$N$2106</f>
        <v>6540</v>
      </c>
      <c r="O2314" s="280">
        <f t="shared" si="480"/>
        <v>3.1912999999999997E-2</v>
      </c>
      <c r="P2314" s="166"/>
      <c r="Q2314" s="166">
        <f t="shared" si="481"/>
        <v>12097.580039999999</v>
      </c>
      <c r="R2314" s="71"/>
      <c r="S2314" s="61"/>
      <c r="T2314" s="61"/>
      <c r="U2314" s="61"/>
      <c r="V2314" s="61"/>
      <c r="W2314" s="61"/>
      <c r="X2314" s="61"/>
      <c r="Y2314" s="61"/>
      <c r="Z2314" s="61"/>
      <c r="AA2314" s="61"/>
      <c r="AB2314" s="61"/>
      <c r="AC2314" s="61"/>
      <c r="AD2314" s="61"/>
      <c r="AE2314" s="61"/>
      <c r="AF2314" s="61"/>
      <c r="AG2314" s="61"/>
      <c r="AH2314" s="61"/>
      <c r="AI2314" s="61"/>
      <c r="AJ2314" s="61"/>
      <c r="AK2314" s="61"/>
      <c r="AL2314" s="61"/>
      <c r="AM2314" s="61"/>
      <c r="AN2314" s="61"/>
      <c r="AO2314" s="61"/>
    </row>
    <row r="2315" spans="1:41" s="61" customFormat="1" ht="78.75" x14ac:dyDescent="0.25">
      <c r="A2315" s="358"/>
      <c r="B2315" s="361"/>
      <c r="C2315" s="366"/>
      <c r="D2315" s="156" t="s">
        <v>250</v>
      </c>
      <c r="E2315" s="156" t="s">
        <v>251</v>
      </c>
      <c r="F2315" s="156" t="s">
        <v>60</v>
      </c>
      <c r="G2315" s="238">
        <f t="shared" si="479"/>
        <v>4.8797220000000002E-6</v>
      </c>
      <c r="H2315" s="158">
        <f>$H$2107</f>
        <v>5</v>
      </c>
      <c r="I2315" s="159">
        <f>I2312</f>
        <v>0.36996099999999998</v>
      </c>
      <c r="J2315" s="160"/>
      <c r="K2315" s="161">
        <f>K2312</f>
        <v>379080</v>
      </c>
      <c r="L2315" s="250">
        <v>1</v>
      </c>
      <c r="M2315" s="163" t="str">
        <f>CONCATENATE(H2315," ",F2315,"*",I2315,"/",K2315,"чел/час")</f>
        <v>5 шт.*0,369961/379080чел/час</v>
      </c>
      <c r="N2315" s="278">
        <f t="shared" ref="N2315:N2325" si="482">N2107</f>
        <v>52320</v>
      </c>
      <c r="O2315" s="280">
        <f t="shared" si="480"/>
        <v>0.25530700000000001</v>
      </c>
      <c r="P2315" s="166"/>
      <c r="Q2315" s="166">
        <f t="shared" si="481"/>
        <v>96781.777560000002</v>
      </c>
      <c r="R2315" s="71"/>
    </row>
    <row r="2316" spans="1:41" s="61" customFormat="1" ht="47.25" x14ac:dyDescent="0.25">
      <c r="A2316" s="358"/>
      <c r="B2316" s="361"/>
      <c r="C2316" s="366"/>
      <c r="D2316" s="156" t="s">
        <v>401</v>
      </c>
      <c r="E2316" s="156" t="s">
        <v>60</v>
      </c>
      <c r="F2316" s="156" t="s">
        <v>402</v>
      </c>
      <c r="G2316" s="238">
        <f t="shared" si="479"/>
        <v>9.7594440000000005E-6</v>
      </c>
      <c r="H2316" s="158">
        <f>H2108</f>
        <v>5</v>
      </c>
      <c r="I2316" s="159">
        <f>I2315</f>
        <v>0.36996099999999998</v>
      </c>
      <c r="J2316" s="160"/>
      <c r="K2316" s="161">
        <f>K2315</f>
        <v>379080</v>
      </c>
      <c r="L2316" s="250">
        <f>$L$2108</f>
        <v>2</v>
      </c>
      <c r="M2316" s="163" t="str">
        <f>CONCATENATE(H2316," ",F2316,"*",I2316,"/",K2316,"чел/час")</f>
        <v>5 противопожарных водопроводов*0,369961/379080чел/час</v>
      </c>
      <c r="N2316" s="278">
        <f t="shared" si="482"/>
        <v>5450</v>
      </c>
      <c r="O2316" s="280">
        <f t="shared" si="480"/>
        <v>5.3189E-2</v>
      </c>
      <c r="P2316" s="166"/>
      <c r="Q2316" s="166">
        <f t="shared" si="481"/>
        <v>20162.886119999999</v>
      </c>
      <c r="R2316" s="71"/>
    </row>
    <row r="2317" spans="1:41" s="61" customFormat="1" ht="47.25" x14ac:dyDescent="0.25">
      <c r="A2317" s="358"/>
      <c r="B2317" s="361"/>
      <c r="C2317" s="366"/>
      <c r="D2317" s="156" t="s">
        <v>34</v>
      </c>
      <c r="E2317" s="156" t="s">
        <v>59</v>
      </c>
      <c r="F2317" s="156" t="s">
        <v>28</v>
      </c>
      <c r="G2317" s="238">
        <f t="shared" si="479"/>
        <v>1.9518889999999998E-6</v>
      </c>
      <c r="H2317" s="158">
        <f>H2109</f>
        <v>2</v>
      </c>
      <c r="I2317" s="159">
        <f>I2316</f>
        <v>0.36996099999999998</v>
      </c>
      <c r="J2317" s="160"/>
      <c r="K2317" s="161">
        <f>K2316</f>
        <v>379080</v>
      </c>
      <c r="L2317" s="250">
        <v>1</v>
      </c>
      <c r="M2317" s="163" t="str">
        <f>CONCATENATE(H2317," ",F2317,"*",I2317,"/",K2317,"чел/час")</f>
        <v>2 шт*0,369961/379080чел/час</v>
      </c>
      <c r="N2317" s="278">
        <f t="shared" si="482"/>
        <v>7500</v>
      </c>
      <c r="O2317" s="280">
        <f t="shared" si="480"/>
        <v>1.4638999999999999E-2</v>
      </c>
      <c r="P2317" s="166"/>
      <c r="Q2317" s="166">
        <f t="shared" si="481"/>
        <v>5549.3521199999996</v>
      </c>
      <c r="R2317" s="71"/>
    </row>
    <row r="2318" spans="1:41" s="61" customFormat="1" ht="47.25" x14ac:dyDescent="0.25">
      <c r="A2318" s="358"/>
      <c r="B2318" s="361"/>
      <c r="C2318" s="366"/>
      <c r="D2318" s="156" t="s">
        <v>222</v>
      </c>
      <c r="E2318" s="156" t="s">
        <v>60</v>
      </c>
      <c r="F2318" s="156" t="s">
        <v>60</v>
      </c>
      <c r="G2318" s="238">
        <f t="shared" si="479"/>
        <v>1.9518889999999998E-6</v>
      </c>
      <c r="H2318" s="158">
        <f>H2110</f>
        <v>2</v>
      </c>
      <c r="I2318" s="159">
        <f>I2317</f>
        <v>0.36996099999999998</v>
      </c>
      <c r="J2318" s="160"/>
      <c r="K2318" s="161">
        <f>K2317</f>
        <v>379080</v>
      </c>
      <c r="L2318" s="250">
        <v>1</v>
      </c>
      <c r="M2318" s="163" t="str">
        <f>CONCATENATE(H2318," ",F2318,"*",I2318,"/",K2318,"чел/час")</f>
        <v>2 шт.*0,369961/379080чел/час</v>
      </c>
      <c r="N2318" s="278">
        <f t="shared" si="482"/>
        <v>13000</v>
      </c>
      <c r="O2318" s="280">
        <f t="shared" si="480"/>
        <v>2.5374999999999998E-2</v>
      </c>
      <c r="P2318" s="166"/>
      <c r="Q2318" s="166">
        <f t="shared" si="481"/>
        <v>9619.1549999999988</v>
      </c>
      <c r="R2318" s="71"/>
    </row>
    <row r="2319" spans="1:41" s="61" customFormat="1" ht="31.5" x14ac:dyDescent="0.25">
      <c r="A2319" s="358"/>
      <c r="B2319" s="361"/>
      <c r="C2319" s="366"/>
      <c r="D2319" s="156" t="s">
        <v>35</v>
      </c>
      <c r="E2319" s="156" t="s">
        <v>102</v>
      </c>
      <c r="F2319" s="156" t="s">
        <v>252</v>
      </c>
      <c r="G2319" s="238">
        <f t="shared" si="479"/>
        <v>1.9518889999999998E-6</v>
      </c>
      <c r="H2319" s="158">
        <f>H2111</f>
        <v>2</v>
      </c>
      <c r="I2319" s="159">
        <f>I2317</f>
        <v>0.36996099999999998</v>
      </c>
      <c r="J2319" s="160"/>
      <c r="K2319" s="161">
        <f>K2317</f>
        <v>379080</v>
      </c>
      <c r="L2319" s="250">
        <v>1</v>
      </c>
      <c r="M2319" s="163" t="str">
        <f>CONCATENATE(H2319," ",F2319,"*",I2319,"/",K2319,"чел/час")</f>
        <v>2 замера*0,369961/379080чел/час</v>
      </c>
      <c r="N2319" s="278">
        <f t="shared" si="482"/>
        <v>25830</v>
      </c>
      <c r="O2319" s="280">
        <f t="shared" si="480"/>
        <v>5.0416999999999997E-2</v>
      </c>
      <c r="P2319" s="166"/>
      <c r="Q2319" s="166">
        <f t="shared" si="481"/>
        <v>19112.076359999999</v>
      </c>
      <c r="R2319" s="71"/>
    </row>
    <row r="2320" spans="1:41" s="61" customFormat="1" ht="47.25" x14ac:dyDescent="0.25">
      <c r="A2320" s="358"/>
      <c r="B2320" s="361"/>
      <c r="C2320" s="366"/>
      <c r="D2320" s="156" t="s">
        <v>399</v>
      </c>
      <c r="E2320" s="156" t="s">
        <v>60</v>
      </c>
      <c r="F2320" s="156" t="s">
        <v>60</v>
      </c>
      <c r="G2320" s="238">
        <f t="shared" si="479"/>
        <v>3.9037776000000002E-5</v>
      </c>
      <c r="H2320" s="158">
        <f>$H$2112</f>
        <v>4</v>
      </c>
      <c r="I2320" s="159">
        <f>I2319</f>
        <v>0.36996099999999998</v>
      </c>
      <c r="J2320" s="160"/>
      <c r="K2320" s="161">
        <f>K2319</f>
        <v>379080</v>
      </c>
      <c r="L2320" s="250">
        <v>10</v>
      </c>
      <c r="M2320" s="163" t="str">
        <f>CONCATENATE(H2320," ",F2320,"*",L2320,"мес.","*",I2320,"/",K2320,"чел/час")</f>
        <v>4 шт.*10мес.*0,369961/379080чел/час</v>
      </c>
      <c r="N2320" s="278">
        <f t="shared" si="482"/>
        <v>2411.625</v>
      </c>
      <c r="O2320" s="280">
        <f t="shared" si="480"/>
        <v>9.4143999999999992E-2</v>
      </c>
      <c r="P2320" s="166"/>
      <c r="Q2320" s="166">
        <f t="shared" si="481"/>
        <v>35688.107519999998</v>
      </c>
      <c r="R2320" s="71"/>
    </row>
    <row r="2321" spans="1:41" s="61" customFormat="1" ht="47.25" x14ac:dyDescent="0.25">
      <c r="A2321" s="358"/>
      <c r="B2321" s="361"/>
      <c r="C2321" s="366"/>
      <c r="D2321" s="156" t="s">
        <v>36</v>
      </c>
      <c r="E2321" s="156" t="s">
        <v>31</v>
      </c>
      <c r="F2321" s="156" t="s">
        <v>224</v>
      </c>
      <c r="G2321" s="238">
        <f t="shared" si="479"/>
        <v>9.3690662000000003E-5</v>
      </c>
      <c r="H2321" s="158">
        <f>H2113</f>
        <v>8</v>
      </c>
      <c r="I2321" s="159">
        <f>I2320</f>
        <v>0.36996099999999998</v>
      </c>
      <c r="J2321" s="160"/>
      <c r="K2321" s="161">
        <f>K2320</f>
        <v>379080</v>
      </c>
      <c r="L2321" s="250">
        <v>12</v>
      </c>
      <c r="M2321" s="163" t="str">
        <f>CONCATENATE(H2321," ",F2321,"*",L2321,"мес.","*",I2321,"/",K2321,"чел/час")</f>
        <v>8 устройств*12мес.*0,369961/379080чел/час</v>
      </c>
      <c r="N2321" s="278">
        <f t="shared" si="482"/>
        <v>2200</v>
      </c>
      <c r="O2321" s="280">
        <f t="shared" si="480"/>
        <v>0.206119</v>
      </c>
      <c r="P2321" s="166"/>
      <c r="Q2321" s="166">
        <f t="shared" si="481"/>
        <v>78135.590519999998</v>
      </c>
      <c r="R2321" s="71"/>
    </row>
    <row r="2322" spans="1:41" s="61" customFormat="1" ht="63" x14ac:dyDescent="0.25">
      <c r="A2322" s="358"/>
      <c r="B2322" s="361"/>
      <c r="C2322" s="366"/>
      <c r="D2322" s="156" t="s">
        <v>253</v>
      </c>
      <c r="E2322" s="156" t="s">
        <v>55</v>
      </c>
      <c r="F2322" s="156" t="s">
        <v>55</v>
      </c>
      <c r="G2322" s="238">
        <f t="shared" si="479"/>
        <v>5.8556663999999996E-5</v>
      </c>
      <c r="H2322" s="158">
        <f>H2114</f>
        <v>5</v>
      </c>
      <c r="I2322" s="159">
        <f>I2321</f>
        <v>0.36996099999999998</v>
      </c>
      <c r="J2322" s="160"/>
      <c r="K2322" s="161">
        <f>K2321</f>
        <v>379080</v>
      </c>
      <c r="L2322" s="250">
        <v>12</v>
      </c>
      <c r="M2322" s="163" t="str">
        <f>CONCATENATE(H2322," ",F2322,"*",I2322,"/",K2322,"чел/час")</f>
        <v>5 система*0,369961/379080чел/час</v>
      </c>
      <c r="N2322" s="278">
        <f t="shared" si="482"/>
        <v>4251</v>
      </c>
      <c r="O2322" s="280">
        <f t="shared" si="480"/>
        <v>0.24892399999999998</v>
      </c>
      <c r="P2322" s="166"/>
      <c r="Q2322" s="166">
        <f t="shared" si="481"/>
        <v>94362.109919999988</v>
      </c>
      <c r="R2322" s="71"/>
    </row>
    <row r="2323" spans="1:41" s="61" customFormat="1" ht="31.5" x14ac:dyDescent="0.25">
      <c r="A2323" s="358"/>
      <c r="B2323" s="361"/>
      <c r="C2323" s="366"/>
      <c r="D2323" s="156" t="s">
        <v>99</v>
      </c>
      <c r="E2323" s="156" t="s">
        <v>103</v>
      </c>
      <c r="F2323" s="156" t="s">
        <v>225</v>
      </c>
      <c r="G2323" s="238">
        <f t="shared" si="479"/>
        <v>4.5869386E-5</v>
      </c>
      <c r="H2323" s="158">
        <f>H2115</f>
        <v>47</v>
      </c>
      <c r="I2323" s="159">
        <f>I2322</f>
        <v>0.36996099999999998</v>
      </c>
      <c r="J2323" s="160"/>
      <c r="K2323" s="161">
        <f>K2322</f>
        <v>379080</v>
      </c>
      <c r="L2323" s="250">
        <v>1</v>
      </c>
      <c r="M2323" s="163" t="str">
        <f>CONCATENATE(H2323," ",F2323,"*",I2323,"/",K2323,"чел.")</f>
        <v>47 ед.*0,369961/379080чел.</v>
      </c>
      <c r="N2323" s="164">
        <f t="shared" si="482"/>
        <v>15000</v>
      </c>
      <c r="O2323" s="165">
        <f>MROUND(G2323*N2323,0.000001)</f>
        <v>0.68804100000000001</v>
      </c>
      <c r="P2323" s="166"/>
      <c r="Q2323" s="166">
        <f t="shared" si="481"/>
        <v>260822.58228</v>
      </c>
      <c r="R2323" s="71"/>
    </row>
    <row r="2324" spans="1:41" s="61" customFormat="1" x14ac:dyDescent="0.25">
      <c r="A2324" s="358"/>
      <c r="B2324" s="361"/>
      <c r="C2324" s="366"/>
      <c r="D2324" s="156" t="s">
        <v>27</v>
      </c>
      <c r="E2324" s="156" t="s">
        <v>28</v>
      </c>
      <c r="F2324" s="156" t="s">
        <v>28</v>
      </c>
      <c r="G2324" s="238">
        <f t="shared" si="479"/>
        <v>4.09896645E-4</v>
      </c>
      <c r="H2324" s="160">
        <f>H2116</f>
        <v>420</v>
      </c>
      <c r="I2324" s="159">
        <f>I2322</f>
        <v>0.36996099999999998</v>
      </c>
      <c r="J2324" s="160"/>
      <c r="K2324" s="161">
        <f>K2322</f>
        <v>379080</v>
      </c>
      <c r="L2324" s="250">
        <v>1</v>
      </c>
      <c r="M2324" s="163" t="str">
        <f>CONCATENATE(H2324," ",F2324,"*",I2324,"/",K2324,"чел/час")</f>
        <v>420 шт*0,369961/379080чел/час</v>
      </c>
      <c r="N2324" s="278">
        <f t="shared" si="482"/>
        <v>400</v>
      </c>
      <c r="O2324" s="280">
        <f t="shared" si="480"/>
        <v>0.16395899999999999</v>
      </c>
      <c r="P2324" s="166"/>
      <c r="Q2324" s="166">
        <f t="shared" si="481"/>
        <v>62153.577720000001</v>
      </c>
      <c r="R2324" s="71"/>
    </row>
    <row r="2325" spans="1:41" s="61" customFormat="1" ht="31.5" x14ac:dyDescent="0.25">
      <c r="A2325" s="358"/>
      <c r="B2325" s="361"/>
      <c r="C2325" s="367"/>
      <c r="D2325" s="156" t="s">
        <v>104</v>
      </c>
      <c r="E2325" s="156" t="s">
        <v>105</v>
      </c>
      <c r="F2325" s="156" t="s">
        <v>226</v>
      </c>
      <c r="G2325" s="238">
        <f t="shared" si="479"/>
        <v>4.8797220000000002E-6</v>
      </c>
      <c r="H2325" s="160">
        <f>H2117</f>
        <v>5</v>
      </c>
      <c r="I2325" s="159">
        <f>I2324</f>
        <v>0.36996099999999998</v>
      </c>
      <c r="J2325" s="160"/>
      <c r="K2325" s="161">
        <f>K2324</f>
        <v>379080</v>
      </c>
      <c r="L2325" s="250">
        <v>1</v>
      </c>
      <c r="M2325" s="163" t="str">
        <f>CONCATENATE(H2325," ",F2325,"*",I2325,"/",K2325,"чел/час")</f>
        <v>5 отключений*0,369961/379080чел/час</v>
      </c>
      <c r="N2325" s="278">
        <f t="shared" si="482"/>
        <v>9810</v>
      </c>
      <c r="O2325" s="280">
        <f t="shared" si="480"/>
        <v>4.7869999999999996E-2</v>
      </c>
      <c r="P2325" s="166"/>
      <c r="Q2325" s="166">
        <f t="shared" si="481"/>
        <v>18146.559599999997</v>
      </c>
      <c r="R2325" s="71"/>
    </row>
    <row r="2326" spans="1:41" s="109" customFormat="1" x14ac:dyDescent="0.25">
      <c r="A2326" s="358"/>
      <c r="B2326" s="361"/>
      <c r="C2326" s="249" t="s">
        <v>326</v>
      </c>
      <c r="D2326" s="240"/>
      <c r="E2326" s="240"/>
      <c r="F2326" s="240"/>
      <c r="G2326" s="227"/>
      <c r="H2326" s="228"/>
      <c r="I2326" s="206"/>
      <c r="J2326" s="228"/>
      <c r="K2326" s="207"/>
      <c r="L2326" s="257"/>
      <c r="M2326" s="209"/>
      <c r="N2326" s="281"/>
      <c r="O2326" s="279">
        <f>SUM(O2311:O2325)</f>
        <v>2.1788010000000004</v>
      </c>
      <c r="P2326" s="267"/>
      <c r="Q2326" s="166"/>
      <c r="R2326" s="71"/>
      <c r="S2326" s="62"/>
      <c r="T2326" s="62"/>
      <c r="U2326" s="62"/>
      <c r="V2326" s="62"/>
      <c r="W2326" s="62"/>
      <c r="X2326" s="62"/>
      <c r="Y2326" s="62"/>
      <c r="Z2326" s="62"/>
      <c r="AA2326" s="62"/>
      <c r="AB2326" s="62"/>
      <c r="AC2326" s="62"/>
      <c r="AD2326" s="62"/>
      <c r="AE2326" s="62"/>
      <c r="AF2326" s="62"/>
      <c r="AG2326" s="62"/>
      <c r="AH2326" s="62"/>
      <c r="AI2326" s="62"/>
      <c r="AJ2326" s="62"/>
      <c r="AK2326" s="62"/>
      <c r="AL2326" s="62"/>
      <c r="AM2326" s="62"/>
      <c r="AN2326" s="62"/>
      <c r="AO2326" s="62"/>
    </row>
    <row r="2327" spans="1:41" s="61" customFormat="1" ht="31.5" x14ac:dyDescent="0.25">
      <c r="A2327" s="358"/>
      <c r="B2327" s="361"/>
      <c r="C2327" s="221" t="s">
        <v>79</v>
      </c>
      <c r="D2327" s="156" t="s">
        <v>37</v>
      </c>
      <c r="E2327" s="156" t="s">
        <v>61</v>
      </c>
      <c r="F2327" s="156" t="s">
        <v>254</v>
      </c>
      <c r="G2327" s="238">
        <f>MROUND(H2327*L2327*I2327/K2327,0.000000000001)</f>
        <v>9.7594399999999999E-7</v>
      </c>
      <c r="H2327" s="158">
        <f>$H$2119</f>
        <v>1</v>
      </c>
      <c r="I2327" s="159">
        <f>I2325</f>
        <v>0.36996099999999998</v>
      </c>
      <c r="J2327" s="160"/>
      <c r="K2327" s="161">
        <f>K2325</f>
        <v>379080</v>
      </c>
      <c r="L2327" s="250">
        <v>1</v>
      </c>
      <c r="M2327" s="163" t="str">
        <f>CONCATENATE(H2327," ",F2327,"*",I2327,"/",K2327,"чел/час")</f>
        <v>1 автобус*0,369961/379080чел/час</v>
      </c>
      <c r="N2327" s="278">
        <f>N2119</f>
        <v>23352.160000000003</v>
      </c>
      <c r="O2327" s="280">
        <f>MROUND(N2327*G2327,0.000001)</f>
        <v>2.2789999999999998E-2</v>
      </c>
      <c r="P2327" s="166"/>
      <c r="Q2327" s="166">
        <f>O2327*K2327</f>
        <v>8639.2331999999988</v>
      </c>
      <c r="R2327" s="71"/>
    </row>
    <row r="2328" spans="1:41" s="61" customFormat="1" x14ac:dyDescent="0.25">
      <c r="A2328" s="358"/>
      <c r="B2328" s="361"/>
      <c r="C2328" s="221"/>
      <c r="D2328" s="156" t="s">
        <v>255</v>
      </c>
      <c r="E2328" s="156" t="s">
        <v>28</v>
      </c>
      <c r="F2328" s="156" t="s">
        <v>28</v>
      </c>
      <c r="G2328" s="238">
        <f>MROUND(H2328*L2328*I2328/K2328,0.000000000001)</f>
        <v>6.7340162999999999E-4</v>
      </c>
      <c r="H2328" s="158">
        <f>H2120</f>
        <v>345</v>
      </c>
      <c r="I2328" s="159">
        <f>I2327</f>
        <v>0.36996099999999998</v>
      </c>
      <c r="J2328" s="160"/>
      <c r="K2328" s="161">
        <f>K2327</f>
        <v>379080</v>
      </c>
      <c r="L2328" s="250">
        <v>2</v>
      </c>
      <c r="M2328" s="163" t="str">
        <f>CONCATENATE(H2328," ",F2328,"*",L2328,"раза в год","*",I2328,"/",K2328,"чел/час")</f>
        <v>345 шт*2раза в год*0,369961/379080чел/час</v>
      </c>
      <c r="N2328" s="278">
        <f>N2120</f>
        <v>436</v>
      </c>
      <c r="O2328" s="280">
        <f>MROUND(N2328*G2328,0.000001)</f>
        <v>0.293603</v>
      </c>
      <c r="P2328" s="166"/>
      <c r="Q2328" s="166">
        <f>O2328*K2328</f>
        <v>111299.02524</v>
      </c>
      <c r="R2328" s="71"/>
    </row>
    <row r="2329" spans="1:41" s="109" customFormat="1" x14ac:dyDescent="0.25">
      <c r="A2329" s="358"/>
      <c r="B2329" s="361"/>
      <c r="C2329" s="218" t="s">
        <v>328</v>
      </c>
      <c r="D2329" s="240"/>
      <c r="E2329" s="240"/>
      <c r="F2329" s="240"/>
      <c r="G2329" s="227"/>
      <c r="H2329" s="241"/>
      <c r="I2329" s="206"/>
      <c r="J2329" s="228"/>
      <c r="K2329" s="207"/>
      <c r="L2329" s="257"/>
      <c r="M2329" s="209"/>
      <c r="N2329" s="281"/>
      <c r="O2329" s="279">
        <f>O2328+O2327</f>
        <v>0.31639299999999998</v>
      </c>
      <c r="P2329" s="267"/>
      <c r="Q2329" s="166"/>
      <c r="R2329" s="71"/>
      <c r="S2329" s="62"/>
      <c r="T2329" s="62"/>
      <c r="U2329" s="62"/>
      <c r="V2329" s="62"/>
      <c r="W2329" s="62"/>
      <c r="X2329" s="62"/>
      <c r="Y2329" s="62"/>
      <c r="Z2329" s="62"/>
      <c r="AA2329" s="62"/>
      <c r="AB2329" s="62"/>
      <c r="AC2329" s="62"/>
      <c r="AD2329" s="62"/>
      <c r="AE2329" s="62"/>
      <c r="AF2329" s="62"/>
      <c r="AG2329" s="62"/>
      <c r="AH2329" s="62"/>
      <c r="AI2329" s="62"/>
      <c r="AJ2329" s="62"/>
      <c r="AK2329" s="62"/>
      <c r="AL2329" s="62"/>
      <c r="AM2329" s="62"/>
      <c r="AN2329" s="62"/>
      <c r="AO2329" s="62"/>
    </row>
    <row r="2330" spans="1:41" s="61" customFormat="1" x14ac:dyDescent="0.25">
      <c r="A2330" s="358"/>
      <c r="B2330" s="361"/>
      <c r="C2330" s="364" t="s">
        <v>80</v>
      </c>
      <c r="D2330" s="156" t="s">
        <v>38</v>
      </c>
      <c r="E2330" s="156" t="s">
        <v>57</v>
      </c>
      <c r="F2330" s="156" t="s">
        <v>228</v>
      </c>
      <c r="G2330" s="238">
        <f t="shared" ref="G2330:G2341" si="483">MROUND(H2330*L2330*I2330/K2330,0.000000000001)</f>
        <v>9.3690662000000003E-5</v>
      </c>
      <c r="H2330" s="158">
        <f>H2122</f>
        <v>8</v>
      </c>
      <c r="I2330" s="159">
        <f>I2327</f>
        <v>0.36996099999999998</v>
      </c>
      <c r="J2330" s="160"/>
      <c r="K2330" s="161">
        <f>K2327</f>
        <v>379080</v>
      </c>
      <c r="L2330" s="250">
        <v>12</v>
      </c>
      <c r="M2330" s="163" t="str">
        <f>CONCATENATE(H2330," ",F2330,"*",L2330,"мес.","*",I2330,"/",K2330,"чел/час")</f>
        <v>8 зданий*12мес.*0,369961/379080чел/час</v>
      </c>
      <c r="N2330" s="278">
        <f t="shared" ref="N2330:N2338" si="484">N2122</f>
        <v>4694.63</v>
      </c>
      <c r="O2330" s="280">
        <f t="shared" ref="O2330:O2341" si="485">MROUND(N2330*G2330,0.000001)</f>
        <v>0.43984299999999998</v>
      </c>
      <c r="P2330" s="166"/>
      <c r="Q2330" s="166">
        <f t="shared" ref="Q2330:Q2341" si="486">O2330*K2330</f>
        <v>166735.68443999998</v>
      </c>
      <c r="R2330" s="71"/>
    </row>
    <row r="2331" spans="1:41" s="61" customFormat="1" x14ac:dyDescent="0.25">
      <c r="A2331" s="358"/>
      <c r="B2331" s="361"/>
      <c r="C2331" s="364"/>
      <c r="D2331" s="156" t="s">
        <v>256</v>
      </c>
      <c r="E2331" s="156" t="s">
        <v>20</v>
      </c>
      <c r="F2331" s="156" t="s">
        <v>20</v>
      </c>
      <c r="G2331" s="238">
        <f t="shared" si="483"/>
        <v>1.8250160099999999E-4</v>
      </c>
      <c r="H2331" s="158">
        <f>H2123</f>
        <v>187</v>
      </c>
      <c r="I2331" s="159">
        <f>I2328</f>
        <v>0.36996099999999998</v>
      </c>
      <c r="J2331" s="160"/>
      <c r="K2331" s="161">
        <f>K2328</f>
        <v>379080</v>
      </c>
      <c r="L2331" s="250">
        <v>1</v>
      </c>
      <c r="M2331" s="163" t="str">
        <f t="shared" ref="M2331:M2338" si="487">CONCATENATE(H2331," ",F2331,"*",I2331,"/",K2331,"чел/час")</f>
        <v>187 чел.*0,369961/379080чел/час</v>
      </c>
      <c r="N2331" s="278">
        <f t="shared" si="484"/>
        <v>1853</v>
      </c>
      <c r="O2331" s="280">
        <f t="shared" si="485"/>
        <v>0.338175</v>
      </c>
      <c r="P2331" s="166"/>
      <c r="Q2331" s="166">
        <f t="shared" si="486"/>
        <v>128195.379</v>
      </c>
      <c r="R2331" s="71"/>
    </row>
    <row r="2332" spans="1:41" s="61" customFormat="1" ht="63" x14ac:dyDescent="0.25">
      <c r="A2332" s="358"/>
      <c r="B2332" s="361"/>
      <c r="C2332" s="364"/>
      <c r="D2332" s="156" t="s">
        <v>39</v>
      </c>
      <c r="E2332" s="156" t="s">
        <v>20</v>
      </c>
      <c r="F2332" s="156" t="s">
        <v>234</v>
      </c>
      <c r="G2332" s="238">
        <f t="shared" si="483"/>
        <v>8.7834999999999998E-6</v>
      </c>
      <c r="H2332" s="158">
        <f>H2124</f>
        <v>9</v>
      </c>
      <c r="I2332" s="159">
        <f>I2330</f>
        <v>0.36996099999999998</v>
      </c>
      <c r="J2332" s="160"/>
      <c r="K2332" s="161">
        <f>K2330</f>
        <v>379080</v>
      </c>
      <c r="L2332" s="250">
        <v>1</v>
      </c>
      <c r="M2332" s="163" t="str">
        <f t="shared" si="487"/>
        <v>9 чел(заявленная потребность руководителями учреждений)*0,369961/379080чел/час</v>
      </c>
      <c r="N2332" s="278">
        <f t="shared" si="484"/>
        <v>763</v>
      </c>
      <c r="O2332" s="280">
        <f t="shared" si="485"/>
        <v>6.7019999999999996E-3</v>
      </c>
      <c r="P2332" s="166"/>
      <c r="Q2332" s="166">
        <f t="shared" si="486"/>
        <v>2540.5941599999996</v>
      </c>
      <c r="R2332" s="71"/>
    </row>
    <row r="2333" spans="1:41" s="61" customFormat="1" ht="63" x14ac:dyDescent="0.25">
      <c r="A2333" s="358"/>
      <c r="B2333" s="361"/>
      <c r="C2333" s="364"/>
      <c r="D2333" s="156" t="s">
        <v>40</v>
      </c>
      <c r="E2333" s="156" t="s">
        <v>20</v>
      </c>
      <c r="F2333" s="156" t="s">
        <v>234</v>
      </c>
      <c r="G2333" s="238">
        <f t="shared" si="483"/>
        <v>1.2687277E-5</v>
      </c>
      <c r="H2333" s="158">
        <f>H2125</f>
        <v>13</v>
      </c>
      <c r="I2333" s="159">
        <f t="shared" ref="I2333:I2338" si="488">I2332</f>
        <v>0.36996099999999998</v>
      </c>
      <c r="J2333" s="160"/>
      <c r="K2333" s="161">
        <f t="shared" ref="K2333:K2338" si="489">K2332</f>
        <v>379080</v>
      </c>
      <c r="L2333" s="250">
        <v>1</v>
      </c>
      <c r="M2333" s="163" t="str">
        <f t="shared" si="487"/>
        <v>13 чел(заявленная потребность руководителями учреждений)*0,369961/379080чел/час</v>
      </c>
      <c r="N2333" s="278">
        <f t="shared" si="484"/>
        <v>1635</v>
      </c>
      <c r="O2333" s="280">
        <f t="shared" si="485"/>
        <v>2.0743999999999999E-2</v>
      </c>
      <c r="P2333" s="166"/>
      <c r="Q2333" s="166">
        <f t="shared" si="486"/>
        <v>7863.6355199999998</v>
      </c>
      <c r="R2333" s="71"/>
    </row>
    <row r="2334" spans="1:41" s="61" customFormat="1" ht="63" x14ac:dyDescent="0.25">
      <c r="A2334" s="358"/>
      <c r="B2334" s="361"/>
      <c r="C2334" s="364"/>
      <c r="D2334" s="156" t="s">
        <v>100</v>
      </c>
      <c r="E2334" s="156" t="s">
        <v>20</v>
      </c>
      <c r="F2334" s="156" t="s">
        <v>234</v>
      </c>
      <c r="G2334" s="238">
        <f t="shared" si="483"/>
        <v>6.831611E-6</v>
      </c>
      <c r="H2334" s="158">
        <f>H2126</f>
        <v>7</v>
      </c>
      <c r="I2334" s="159">
        <f t="shared" si="488"/>
        <v>0.36996099999999998</v>
      </c>
      <c r="J2334" s="160"/>
      <c r="K2334" s="161">
        <f t="shared" si="489"/>
        <v>379080</v>
      </c>
      <c r="L2334" s="250">
        <v>1</v>
      </c>
      <c r="M2334" s="163" t="str">
        <f t="shared" si="487"/>
        <v>7 чел(заявленная потребность руководителями учреждений)*0,369961/379080чел/час</v>
      </c>
      <c r="N2334" s="278">
        <f t="shared" si="484"/>
        <v>3488</v>
      </c>
      <c r="O2334" s="280">
        <f t="shared" si="485"/>
        <v>2.3828999999999999E-2</v>
      </c>
      <c r="P2334" s="166"/>
      <c r="Q2334" s="166">
        <f t="shared" si="486"/>
        <v>9033.0973199999989</v>
      </c>
      <c r="R2334" s="71"/>
    </row>
    <row r="2335" spans="1:41" s="61" customFormat="1" ht="110.25" x14ac:dyDescent="0.25">
      <c r="A2335" s="358"/>
      <c r="B2335" s="361"/>
      <c r="C2335" s="364"/>
      <c r="D2335" s="156" t="s">
        <v>235</v>
      </c>
      <c r="E2335" s="156" t="s">
        <v>50</v>
      </c>
      <c r="F2335" s="156" t="s">
        <v>230</v>
      </c>
      <c r="G2335" s="238">
        <f t="shared" si="483"/>
        <v>4.8797220000000002E-6</v>
      </c>
      <c r="H2335" s="158">
        <v>5</v>
      </c>
      <c r="I2335" s="159">
        <f t="shared" si="488"/>
        <v>0.36996099999999998</v>
      </c>
      <c r="J2335" s="160"/>
      <c r="K2335" s="161">
        <f t="shared" si="489"/>
        <v>379080</v>
      </c>
      <c r="L2335" s="250">
        <v>1</v>
      </c>
      <c r="M2335" s="163" t="str">
        <f t="shared" si="487"/>
        <v>5 отчетов*0,369961/379080чел/час</v>
      </c>
      <c r="N2335" s="278">
        <f t="shared" si="484"/>
        <v>6540</v>
      </c>
      <c r="O2335" s="280">
        <f t="shared" si="485"/>
        <v>3.1912999999999997E-2</v>
      </c>
      <c r="P2335" s="166"/>
      <c r="Q2335" s="166">
        <f t="shared" si="486"/>
        <v>12097.580039999999</v>
      </c>
      <c r="R2335" s="71"/>
    </row>
    <row r="2336" spans="1:41" s="61" customFormat="1" ht="63" x14ac:dyDescent="0.25">
      <c r="A2336" s="358"/>
      <c r="B2336" s="361"/>
      <c r="C2336" s="364"/>
      <c r="D2336" s="156" t="s">
        <v>42</v>
      </c>
      <c r="E2336" s="156" t="s">
        <v>51</v>
      </c>
      <c r="F2336" s="156" t="s">
        <v>407</v>
      </c>
      <c r="G2336" s="238">
        <f t="shared" si="483"/>
        <v>2.5374554E-5</v>
      </c>
      <c r="H2336" s="158">
        <f>H2128</f>
        <v>26</v>
      </c>
      <c r="I2336" s="159">
        <f t="shared" si="488"/>
        <v>0.36996099999999998</v>
      </c>
      <c r="J2336" s="160"/>
      <c r="K2336" s="161">
        <f t="shared" si="489"/>
        <v>379080</v>
      </c>
      <c r="L2336" s="250">
        <v>1</v>
      </c>
      <c r="M2336" s="163" t="str">
        <f t="shared" si="487"/>
        <v>26 ед (заявленная потребность руководителями учреждений)*0,369961/379080чел/час</v>
      </c>
      <c r="N2336" s="278">
        <f t="shared" si="484"/>
        <v>1090</v>
      </c>
      <c r="O2336" s="280">
        <f t="shared" si="485"/>
        <v>2.7657999999999999E-2</v>
      </c>
      <c r="P2336" s="166"/>
      <c r="Q2336" s="166">
        <f t="shared" si="486"/>
        <v>10484.594639999999</v>
      </c>
      <c r="R2336" s="71"/>
    </row>
    <row r="2337" spans="1:41" s="61" customFormat="1" ht="31.5" x14ac:dyDescent="0.25">
      <c r="A2337" s="358"/>
      <c r="B2337" s="361"/>
      <c r="C2337" s="364"/>
      <c r="D2337" s="156" t="s">
        <v>43</v>
      </c>
      <c r="E2337" s="156" t="s">
        <v>52</v>
      </c>
      <c r="F2337" s="156" t="s">
        <v>231</v>
      </c>
      <c r="G2337" s="238">
        <f t="shared" si="483"/>
        <v>4.8797220000000002E-6</v>
      </c>
      <c r="H2337" s="158">
        <v>5</v>
      </c>
      <c r="I2337" s="159">
        <f t="shared" si="488"/>
        <v>0.36996099999999998</v>
      </c>
      <c r="J2337" s="160"/>
      <c r="K2337" s="161">
        <f t="shared" si="489"/>
        <v>379080</v>
      </c>
      <c r="L2337" s="250">
        <v>1</v>
      </c>
      <c r="M2337" s="163" t="str">
        <f t="shared" si="487"/>
        <v>5 ЭЦП*0,369961/379080чел/час</v>
      </c>
      <c r="N2337" s="278">
        <f t="shared" si="484"/>
        <v>7743.3600000000006</v>
      </c>
      <c r="O2337" s="280">
        <f t="shared" si="485"/>
        <v>3.7784999999999999E-2</v>
      </c>
      <c r="P2337" s="166"/>
      <c r="Q2337" s="166">
        <f t="shared" si="486"/>
        <v>14323.5378</v>
      </c>
      <c r="R2337" s="71"/>
    </row>
    <row r="2338" spans="1:41" s="61" customFormat="1" x14ac:dyDescent="0.25">
      <c r="A2338" s="358"/>
      <c r="B2338" s="361"/>
      <c r="C2338" s="364"/>
      <c r="D2338" s="156" t="s">
        <v>373</v>
      </c>
      <c r="E2338" s="156" t="s">
        <v>28</v>
      </c>
      <c r="F2338" s="156" t="s">
        <v>28</v>
      </c>
      <c r="G2338" s="238">
        <f t="shared" si="483"/>
        <v>4.8797220000000002E-6</v>
      </c>
      <c r="H2338" s="158">
        <f>H2130</f>
        <v>5</v>
      </c>
      <c r="I2338" s="159">
        <f t="shared" si="488"/>
        <v>0.36996099999999998</v>
      </c>
      <c r="J2338" s="160"/>
      <c r="K2338" s="161">
        <f t="shared" si="489"/>
        <v>379080</v>
      </c>
      <c r="L2338" s="250">
        <v>1</v>
      </c>
      <c r="M2338" s="163" t="str">
        <f t="shared" si="487"/>
        <v>5 шт*0,369961/379080чел/час</v>
      </c>
      <c r="N2338" s="278">
        <f t="shared" si="484"/>
        <v>24000</v>
      </c>
      <c r="O2338" s="280">
        <f t="shared" si="485"/>
        <v>0.11711299999999999</v>
      </c>
      <c r="P2338" s="166"/>
      <c r="Q2338" s="166">
        <f t="shared" si="486"/>
        <v>44395.196039999995</v>
      </c>
      <c r="R2338" s="71"/>
    </row>
    <row r="2339" spans="1:41" s="136" customFormat="1" ht="47.25" x14ac:dyDescent="0.25">
      <c r="A2339" s="358"/>
      <c r="B2339" s="361"/>
      <c r="C2339" s="364"/>
      <c r="D2339" s="156" t="s">
        <v>44</v>
      </c>
      <c r="E2339" s="156" t="s">
        <v>85</v>
      </c>
      <c r="F2339" s="156" t="s">
        <v>232</v>
      </c>
      <c r="G2339" s="238">
        <f t="shared" si="483"/>
        <v>2.9668709500000001E-4</v>
      </c>
      <c r="H2339" s="158">
        <f>$H$2132</f>
        <v>304</v>
      </c>
      <c r="I2339" s="159">
        <f>I2337</f>
        <v>0.36996099999999998</v>
      </c>
      <c r="J2339" s="160"/>
      <c r="K2339" s="161">
        <f>K2337</f>
        <v>379080</v>
      </c>
      <c r="L2339" s="250">
        <v>1</v>
      </c>
      <c r="M2339" s="163" t="str">
        <f>CONCATENATE(H2339," ",F2339,"*",L2339,"мес.","*",I2339,"/",K2339,"чел.")</f>
        <v>304 мед.осмотров в мес.*1мес.*0,369961/379080чел.</v>
      </c>
      <c r="N2339" s="278">
        <f>$N$2132</f>
        <v>56.680000000000007</v>
      </c>
      <c r="O2339" s="280">
        <f t="shared" si="485"/>
        <v>1.6815999999999998E-2</v>
      </c>
      <c r="P2339" s="166"/>
      <c r="Q2339" s="166">
        <f t="shared" si="486"/>
        <v>6374.6092799999988</v>
      </c>
      <c r="R2339" s="71"/>
      <c r="S2339" s="71"/>
      <c r="T2339" s="61"/>
      <c r="U2339" s="61"/>
      <c r="V2339" s="61"/>
      <c r="W2339" s="61"/>
      <c r="X2339" s="61"/>
      <c r="Y2339" s="61"/>
      <c r="Z2339" s="61"/>
      <c r="AA2339" s="61"/>
      <c r="AB2339" s="61"/>
      <c r="AC2339" s="61"/>
      <c r="AD2339" s="61"/>
      <c r="AE2339" s="61"/>
      <c r="AF2339" s="61"/>
      <c r="AG2339" s="61"/>
      <c r="AH2339" s="61"/>
      <c r="AI2339" s="61"/>
      <c r="AJ2339" s="61"/>
      <c r="AK2339" s="61"/>
      <c r="AL2339" s="61"/>
      <c r="AM2339" s="61"/>
      <c r="AN2339" s="61"/>
      <c r="AO2339" s="61"/>
    </row>
    <row r="2340" spans="1:41" s="61" customFormat="1" ht="63" x14ac:dyDescent="0.25">
      <c r="A2340" s="358"/>
      <c r="B2340" s="361"/>
      <c r="C2340" s="364"/>
      <c r="D2340" s="156" t="s">
        <v>45</v>
      </c>
      <c r="E2340" s="156" t="s">
        <v>53</v>
      </c>
      <c r="F2340" s="156" t="s">
        <v>257</v>
      </c>
      <c r="G2340" s="238">
        <f t="shared" si="483"/>
        <v>1.1711332999999999E-5</v>
      </c>
      <c r="H2340" s="158">
        <v>1</v>
      </c>
      <c r="I2340" s="159">
        <f>I2339</f>
        <v>0.36996099999999998</v>
      </c>
      <c r="J2340" s="160"/>
      <c r="K2340" s="161">
        <f>K2339</f>
        <v>379080</v>
      </c>
      <c r="L2340" s="250">
        <v>12</v>
      </c>
      <c r="M2340" s="163" t="str">
        <f>CONCATENATE(H2340," ",F2340,"*",L2340,"мес.","*",I2340,"/",K2340,"чел/час")</f>
        <v>1  машина, оборудованная системой ГЛОНАСС*12мес.*0,369961/379080чел/час</v>
      </c>
      <c r="N2340" s="278">
        <f>N2131</f>
        <v>880.71999999999991</v>
      </c>
      <c r="O2340" s="280">
        <f t="shared" si="485"/>
        <v>1.0314E-2</v>
      </c>
      <c r="P2340" s="166"/>
      <c r="Q2340" s="166">
        <f t="shared" si="486"/>
        <v>3909.8311200000003</v>
      </c>
      <c r="R2340" s="71"/>
    </row>
    <row r="2341" spans="1:41" s="61" customFormat="1" ht="31.5" x14ac:dyDescent="0.25">
      <c r="A2341" s="358"/>
      <c r="B2341" s="361"/>
      <c r="C2341" s="364"/>
      <c r="D2341" s="156" t="s">
        <v>408</v>
      </c>
      <c r="E2341" s="156" t="s">
        <v>20</v>
      </c>
      <c r="F2341" s="156" t="s">
        <v>20</v>
      </c>
      <c r="G2341" s="238">
        <f t="shared" si="483"/>
        <v>2.9278331999999998E-5</v>
      </c>
      <c r="H2341" s="158">
        <f>H2133</f>
        <v>30</v>
      </c>
      <c r="I2341" s="159">
        <f>I2339</f>
        <v>0.36996099999999998</v>
      </c>
      <c r="J2341" s="160"/>
      <c r="K2341" s="161">
        <f>K2339</f>
        <v>379080</v>
      </c>
      <c r="L2341" s="250">
        <f>L2133</f>
        <v>1</v>
      </c>
      <c r="M2341" s="163" t="str">
        <f>CONCATENATE(H2341," ",F2341,"*",L2341," раз в год","*",I2341,"/",K2341,"чел.")</f>
        <v>30 чел.*1 раз в год*0,369961/379080чел.</v>
      </c>
      <c r="N2341" s="278">
        <f>N2133</f>
        <v>472.33333333333331</v>
      </c>
      <c r="O2341" s="280">
        <f t="shared" si="485"/>
        <v>1.3828999999999999E-2</v>
      </c>
      <c r="P2341" s="166"/>
      <c r="Q2341" s="166">
        <f t="shared" si="486"/>
        <v>5242.2973199999997</v>
      </c>
      <c r="R2341" s="71"/>
    </row>
    <row r="2342" spans="1:41" s="109" customFormat="1" x14ac:dyDescent="0.25">
      <c r="A2342" s="358"/>
      <c r="B2342" s="361"/>
      <c r="C2342" s="245" t="s">
        <v>329</v>
      </c>
      <c r="D2342" s="240"/>
      <c r="E2342" s="240"/>
      <c r="F2342" s="240"/>
      <c r="G2342" s="227"/>
      <c r="H2342" s="241"/>
      <c r="I2342" s="206"/>
      <c r="J2342" s="228"/>
      <c r="K2342" s="207"/>
      <c r="L2342" s="257"/>
      <c r="M2342" s="209"/>
      <c r="N2342" s="281"/>
      <c r="O2342" s="279">
        <f>SUM(O2330:O2341)</f>
        <v>1.0847209999999998</v>
      </c>
      <c r="P2342" s="267"/>
      <c r="Q2342" s="166"/>
      <c r="R2342" s="71"/>
      <c r="S2342" s="62"/>
      <c r="T2342" s="62"/>
      <c r="U2342" s="62"/>
      <c r="V2342" s="62"/>
      <c r="W2342" s="62"/>
      <c r="X2342" s="62"/>
      <c r="Y2342" s="62"/>
      <c r="Z2342" s="62"/>
      <c r="AA2342" s="62"/>
      <c r="AB2342" s="62"/>
      <c r="AC2342" s="62"/>
      <c r="AD2342" s="62"/>
      <c r="AE2342" s="62"/>
      <c r="AF2342" s="62"/>
      <c r="AG2342" s="62"/>
      <c r="AH2342" s="62"/>
      <c r="AI2342" s="62"/>
      <c r="AJ2342" s="62"/>
      <c r="AK2342" s="62"/>
      <c r="AL2342" s="62"/>
      <c r="AM2342" s="62"/>
      <c r="AN2342" s="62"/>
      <c r="AO2342" s="62"/>
    </row>
    <row r="2343" spans="1:41" s="61" customFormat="1" ht="31.5" x14ac:dyDescent="0.25">
      <c r="A2343" s="358"/>
      <c r="B2343" s="361"/>
      <c r="C2343" s="252" t="s">
        <v>237</v>
      </c>
      <c r="D2343" s="156" t="s">
        <v>41</v>
      </c>
      <c r="E2343" s="156" t="s">
        <v>61</v>
      </c>
      <c r="F2343" s="156" t="s">
        <v>254</v>
      </c>
      <c r="G2343" s="238">
        <f t="shared" ref="G2343:G2354" si="490">MROUND(H2343*L2343*I2343/K2343,0.000000000001)</f>
        <v>9.7594399999999999E-7</v>
      </c>
      <c r="H2343" s="158">
        <v>1</v>
      </c>
      <c r="I2343" s="159">
        <f>I2341</f>
        <v>0.36996099999999998</v>
      </c>
      <c r="J2343" s="160"/>
      <c r="K2343" s="161">
        <f>K2341</f>
        <v>379080</v>
      </c>
      <c r="L2343" s="250">
        <v>1</v>
      </c>
      <c r="M2343" s="163" t="str">
        <f>CONCATENATE(H2343," ",F2343,"*",I2343,"/",K2343,"чел/час")</f>
        <v>1 автобус*0,369961/379080чел/час</v>
      </c>
      <c r="N2343" s="278">
        <f>N2135</f>
        <v>25724</v>
      </c>
      <c r="O2343" s="280">
        <f t="shared" ref="O2343:O2360" si="491">MROUND(N2343*G2343,0.000001)</f>
        <v>2.5104999999999999E-2</v>
      </c>
      <c r="P2343" s="166"/>
      <c r="Q2343" s="166">
        <f t="shared" ref="Q2343:Q2354" si="492">O2343*K2343</f>
        <v>9516.8033999999989</v>
      </c>
      <c r="R2343" s="71"/>
    </row>
    <row r="2344" spans="1:41" s="61" customFormat="1" ht="78.75" x14ac:dyDescent="0.25">
      <c r="A2344" s="358"/>
      <c r="B2344" s="361"/>
      <c r="C2344" s="221" t="s">
        <v>236</v>
      </c>
      <c r="D2344" s="156" t="s">
        <v>19</v>
      </c>
      <c r="E2344" s="181" t="s">
        <v>20</v>
      </c>
      <c r="F2344" s="181" t="s">
        <v>238</v>
      </c>
      <c r="G2344" s="238">
        <f t="shared" si="490"/>
        <v>0</v>
      </c>
      <c r="H2344" s="158"/>
      <c r="I2344" s="159">
        <f>I2341</f>
        <v>0.36996099999999998</v>
      </c>
      <c r="J2344" s="160"/>
      <c r="K2344" s="161">
        <f>K2341</f>
        <v>379080</v>
      </c>
      <c r="L2344" s="250"/>
      <c r="M2344" s="163"/>
      <c r="N2344" s="278"/>
      <c r="O2344" s="280">
        <f t="shared" si="491"/>
        <v>0</v>
      </c>
      <c r="P2344" s="166"/>
      <c r="Q2344" s="166">
        <f t="shared" si="492"/>
        <v>0</v>
      </c>
      <c r="R2344" s="71"/>
    </row>
    <row r="2345" spans="1:41" s="136" customFormat="1" ht="31.5" x14ac:dyDescent="0.25">
      <c r="A2345" s="358"/>
      <c r="B2345" s="361"/>
      <c r="C2345" s="372" t="s">
        <v>81</v>
      </c>
      <c r="D2345" s="156" t="s">
        <v>419</v>
      </c>
      <c r="E2345" s="156" t="s">
        <v>28</v>
      </c>
      <c r="F2345" s="156" t="s">
        <v>439</v>
      </c>
      <c r="G2345" s="238">
        <f t="shared" si="490"/>
        <v>7.8075549999999998E-6</v>
      </c>
      <c r="H2345" s="158">
        <f>$H$2137</f>
        <v>8</v>
      </c>
      <c r="I2345" s="159">
        <f>I2344</f>
        <v>0.36996099999999998</v>
      </c>
      <c r="J2345" s="160"/>
      <c r="K2345" s="161">
        <f>K2344</f>
        <v>379080</v>
      </c>
      <c r="L2345" s="250">
        <v>1</v>
      </c>
      <c r="M2345" s="163" t="str">
        <f>CONCATENATE(H2345," ",F2345,"*",I2345,"/",K2345,"чел/час")</f>
        <v>8 шт (потребность учреждений) *0,369961/379080чел/час</v>
      </c>
      <c r="N2345" s="278">
        <f>$N$2137</f>
        <v>33750</v>
      </c>
      <c r="O2345" s="280">
        <f t="shared" si="491"/>
        <v>0.26350499999999999</v>
      </c>
      <c r="P2345" s="166"/>
      <c r="Q2345" s="166">
        <f t="shared" si="492"/>
        <v>99889.475399999996</v>
      </c>
      <c r="R2345" s="71"/>
      <c r="S2345" s="61"/>
      <c r="T2345" s="71"/>
      <c r="U2345" s="61"/>
      <c r="V2345" s="61"/>
      <c r="W2345" s="61"/>
      <c r="X2345" s="61"/>
      <c r="Y2345" s="61"/>
      <c r="Z2345" s="61"/>
      <c r="AA2345" s="61"/>
      <c r="AB2345" s="61"/>
      <c r="AC2345" s="61"/>
      <c r="AD2345" s="61"/>
      <c r="AE2345" s="61"/>
      <c r="AF2345" s="61"/>
      <c r="AG2345" s="61"/>
      <c r="AH2345" s="61"/>
      <c r="AI2345" s="61"/>
      <c r="AJ2345" s="61"/>
      <c r="AK2345" s="61"/>
      <c r="AL2345" s="61"/>
      <c r="AM2345" s="61"/>
      <c r="AN2345" s="61"/>
      <c r="AO2345" s="61"/>
    </row>
    <row r="2346" spans="1:41" s="136" customFormat="1" ht="31.5" x14ac:dyDescent="0.25">
      <c r="A2346" s="358"/>
      <c r="B2346" s="361"/>
      <c r="C2346" s="373"/>
      <c r="D2346" s="156" t="s">
        <v>425</v>
      </c>
      <c r="E2346" s="156" t="s">
        <v>28</v>
      </c>
      <c r="F2346" s="156" t="s">
        <v>439</v>
      </c>
      <c r="G2346" s="238">
        <f t="shared" si="490"/>
        <v>2.927833E-6</v>
      </c>
      <c r="H2346" s="158">
        <f>$H$2138</f>
        <v>3</v>
      </c>
      <c r="I2346" s="159">
        <f t="shared" ref="I2346:I2354" si="493">I2345</f>
        <v>0.36996099999999998</v>
      </c>
      <c r="J2346" s="160"/>
      <c r="K2346" s="161">
        <f t="shared" ref="K2346:K2354" si="494">K2345</f>
        <v>379080</v>
      </c>
      <c r="L2346" s="250">
        <v>1</v>
      </c>
      <c r="M2346" s="163" t="str">
        <f t="shared" ref="M2346:M2354" si="495">CONCATENATE(H2346," ",F2346,"*",I2346,"/",K2346,"чел/час")</f>
        <v>3 шт (потребность учреждений) *0,369961/379080чел/час</v>
      </c>
      <c r="N2346" s="278">
        <f>$N$2138</f>
        <v>12000</v>
      </c>
      <c r="O2346" s="280">
        <f t="shared" si="491"/>
        <v>3.5133999999999999E-2</v>
      </c>
      <c r="P2346" s="166"/>
      <c r="Q2346" s="166">
        <f t="shared" si="492"/>
        <v>13318.59672</v>
      </c>
      <c r="R2346" s="71"/>
      <c r="S2346" s="61"/>
      <c r="T2346" s="71"/>
      <c r="U2346" s="61"/>
      <c r="V2346" s="61"/>
      <c r="W2346" s="61"/>
      <c r="X2346" s="61"/>
      <c r="Y2346" s="61"/>
      <c r="Z2346" s="61"/>
      <c r="AA2346" s="61"/>
      <c r="AB2346" s="61"/>
      <c r="AC2346" s="61"/>
      <c r="AD2346" s="61"/>
      <c r="AE2346" s="61"/>
      <c r="AF2346" s="61"/>
      <c r="AG2346" s="61"/>
      <c r="AH2346" s="61"/>
      <c r="AI2346" s="61"/>
      <c r="AJ2346" s="61"/>
      <c r="AK2346" s="61"/>
      <c r="AL2346" s="61"/>
      <c r="AM2346" s="61"/>
      <c r="AN2346" s="61"/>
      <c r="AO2346" s="61"/>
    </row>
    <row r="2347" spans="1:41" s="136" customFormat="1" ht="31.5" x14ac:dyDescent="0.25">
      <c r="A2347" s="358"/>
      <c r="B2347" s="361"/>
      <c r="C2347" s="373"/>
      <c r="D2347" s="156" t="s">
        <v>426</v>
      </c>
      <c r="E2347" s="156" t="s">
        <v>28</v>
      </c>
      <c r="F2347" s="156" t="s">
        <v>439</v>
      </c>
      <c r="G2347" s="238">
        <f t="shared" si="490"/>
        <v>2.0494832E-5</v>
      </c>
      <c r="H2347" s="158">
        <f>$H$2139</f>
        <v>21</v>
      </c>
      <c r="I2347" s="159">
        <f t="shared" si="493"/>
        <v>0.36996099999999998</v>
      </c>
      <c r="J2347" s="160"/>
      <c r="K2347" s="161">
        <f t="shared" si="494"/>
        <v>379080</v>
      </c>
      <c r="L2347" s="250">
        <v>1</v>
      </c>
      <c r="M2347" s="163" t="str">
        <f t="shared" si="495"/>
        <v>21 шт (потребность учреждений) *0,369961/379080чел/час</v>
      </c>
      <c r="N2347" s="278">
        <f>$N$2139</f>
        <v>9714.2857142857138</v>
      </c>
      <c r="O2347" s="280">
        <f t="shared" si="491"/>
        <v>0.19909299999999999</v>
      </c>
      <c r="P2347" s="166"/>
      <c r="Q2347" s="166">
        <f t="shared" si="492"/>
        <v>75472.174440000003</v>
      </c>
      <c r="R2347" s="71"/>
      <c r="S2347" s="61"/>
      <c r="T2347" s="71"/>
      <c r="U2347" s="61"/>
      <c r="V2347" s="61"/>
      <c r="W2347" s="61"/>
      <c r="X2347" s="61"/>
      <c r="Y2347" s="61"/>
      <c r="Z2347" s="61"/>
      <c r="AA2347" s="61"/>
      <c r="AB2347" s="61"/>
      <c r="AC2347" s="61"/>
      <c r="AD2347" s="61"/>
      <c r="AE2347" s="61"/>
      <c r="AF2347" s="61"/>
      <c r="AG2347" s="61"/>
      <c r="AH2347" s="61"/>
      <c r="AI2347" s="61"/>
      <c r="AJ2347" s="61"/>
      <c r="AK2347" s="61"/>
      <c r="AL2347" s="61"/>
      <c r="AM2347" s="61"/>
      <c r="AN2347" s="61"/>
      <c r="AO2347" s="61"/>
    </row>
    <row r="2348" spans="1:41" s="136" customFormat="1" ht="31.5" x14ac:dyDescent="0.25">
      <c r="A2348" s="358"/>
      <c r="B2348" s="361"/>
      <c r="C2348" s="373"/>
      <c r="D2348" s="156" t="s">
        <v>427</v>
      </c>
      <c r="E2348" s="156" t="s">
        <v>28</v>
      </c>
      <c r="F2348" s="156" t="s">
        <v>439</v>
      </c>
      <c r="G2348" s="238">
        <f t="shared" si="490"/>
        <v>4.8797220000000002E-5</v>
      </c>
      <c r="H2348" s="158">
        <f>$H$2140</f>
        <v>50</v>
      </c>
      <c r="I2348" s="159">
        <f t="shared" si="493"/>
        <v>0.36996099999999998</v>
      </c>
      <c r="J2348" s="160"/>
      <c r="K2348" s="161">
        <f t="shared" si="494"/>
        <v>379080</v>
      </c>
      <c r="L2348" s="250">
        <v>1</v>
      </c>
      <c r="M2348" s="163" t="str">
        <f t="shared" si="495"/>
        <v>50 шт (потребность учреждений) *0,369961/379080чел/час</v>
      </c>
      <c r="N2348" s="278">
        <f>$N$2140</f>
        <v>4400</v>
      </c>
      <c r="O2348" s="280">
        <f t="shared" si="491"/>
        <v>0.21470799999999998</v>
      </c>
      <c r="P2348" s="166"/>
      <c r="Q2348" s="166">
        <f t="shared" si="492"/>
        <v>81391.50864</v>
      </c>
      <c r="R2348" s="71"/>
      <c r="S2348" s="61"/>
      <c r="T2348" s="71"/>
      <c r="U2348" s="61"/>
      <c r="V2348" s="61"/>
      <c r="W2348" s="61"/>
      <c r="X2348" s="61"/>
      <c r="Y2348" s="61"/>
      <c r="Z2348" s="61"/>
      <c r="AA2348" s="61"/>
      <c r="AB2348" s="61"/>
      <c r="AC2348" s="61"/>
      <c r="AD2348" s="61"/>
      <c r="AE2348" s="61"/>
      <c r="AF2348" s="61"/>
      <c r="AG2348" s="61"/>
      <c r="AH2348" s="61"/>
      <c r="AI2348" s="61"/>
      <c r="AJ2348" s="61"/>
      <c r="AK2348" s="61"/>
      <c r="AL2348" s="61"/>
      <c r="AM2348" s="61"/>
      <c r="AN2348" s="61"/>
      <c r="AO2348" s="61"/>
    </row>
    <row r="2349" spans="1:41" s="136" customFormat="1" ht="31.5" x14ac:dyDescent="0.25">
      <c r="A2349" s="358"/>
      <c r="B2349" s="361"/>
      <c r="C2349" s="373"/>
      <c r="D2349" s="156" t="s">
        <v>428</v>
      </c>
      <c r="E2349" s="156" t="s">
        <v>28</v>
      </c>
      <c r="F2349" s="156" t="s">
        <v>439</v>
      </c>
      <c r="G2349" s="238">
        <f t="shared" si="490"/>
        <v>1.03450106E-4</v>
      </c>
      <c r="H2349" s="158">
        <f>$H$2141</f>
        <v>106</v>
      </c>
      <c r="I2349" s="159">
        <f t="shared" si="493"/>
        <v>0.36996099999999998</v>
      </c>
      <c r="J2349" s="160"/>
      <c r="K2349" s="161">
        <f t="shared" si="494"/>
        <v>379080</v>
      </c>
      <c r="L2349" s="250">
        <v>1</v>
      </c>
      <c r="M2349" s="163" t="str">
        <f t="shared" si="495"/>
        <v>106 шт (потребность учреждений) *0,369961/379080чел/час</v>
      </c>
      <c r="N2349" s="278">
        <f>N$2141</f>
        <v>4037.7358490566039</v>
      </c>
      <c r="O2349" s="280">
        <f t="shared" si="491"/>
        <v>0.41770399999999996</v>
      </c>
      <c r="P2349" s="166"/>
      <c r="Q2349" s="166">
        <f t="shared" si="492"/>
        <v>158343.23231999998</v>
      </c>
      <c r="R2349" s="71"/>
      <c r="S2349" s="61"/>
      <c r="T2349" s="71"/>
      <c r="U2349" s="61"/>
      <c r="V2349" s="61"/>
      <c r="W2349" s="61"/>
      <c r="X2349" s="61"/>
      <c r="Y2349" s="61"/>
      <c r="Z2349" s="61"/>
      <c r="AA2349" s="61"/>
      <c r="AB2349" s="61"/>
      <c r="AC2349" s="61"/>
      <c r="AD2349" s="61"/>
      <c r="AE2349" s="61"/>
      <c r="AF2349" s="61"/>
      <c r="AG2349" s="61"/>
      <c r="AH2349" s="61"/>
      <c r="AI2349" s="61"/>
      <c r="AJ2349" s="61"/>
      <c r="AK2349" s="61"/>
      <c r="AL2349" s="61"/>
      <c r="AM2349" s="61"/>
      <c r="AN2349" s="61"/>
      <c r="AO2349" s="61"/>
    </row>
    <row r="2350" spans="1:41" s="136" customFormat="1" ht="31.5" x14ac:dyDescent="0.25">
      <c r="A2350" s="358"/>
      <c r="B2350" s="361"/>
      <c r="C2350" s="373"/>
      <c r="D2350" s="156" t="s">
        <v>429</v>
      </c>
      <c r="E2350" s="156" t="s">
        <v>28</v>
      </c>
      <c r="F2350" s="156" t="s">
        <v>439</v>
      </c>
      <c r="G2350" s="238">
        <f t="shared" si="490"/>
        <v>2.5374554E-5</v>
      </c>
      <c r="H2350" s="158">
        <f>$H$2142</f>
        <v>26</v>
      </c>
      <c r="I2350" s="159">
        <f t="shared" si="493"/>
        <v>0.36996099999999998</v>
      </c>
      <c r="J2350" s="160"/>
      <c r="K2350" s="161">
        <f t="shared" si="494"/>
        <v>379080</v>
      </c>
      <c r="L2350" s="250">
        <v>1</v>
      </c>
      <c r="M2350" s="163" t="str">
        <f t="shared" si="495"/>
        <v>26 шт (потребность учреждений) *0,369961/379080чел/час</v>
      </c>
      <c r="N2350" s="278">
        <f>$N$2142</f>
        <v>39807.692307692305</v>
      </c>
      <c r="O2350" s="280">
        <f t="shared" si="491"/>
        <v>1.0101020000000001</v>
      </c>
      <c r="P2350" s="166"/>
      <c r="Q2350" s="166">
        <f t="shared" si="492"/>
        <v>382909.46616000001</v>
      </c>
      <c r="R2350" s="71"/>
      <c r="S2350" s="61"/>
      <c r="T2350" s="71"/>
      <c r="U2350" s="61"/>
      <c r="V2350" s="61"/>
      <c r="W2350" s="61"/>
      <c r="X2350" s="61"/>
      <c r="Y2350" s="61"/>
      <c r="Z2350" s="61"/>
      <c r="AA2350" s="61"/>
      <c r="AB2350" s="61"/>
      <c r="AC2350" s="61"/>
      <c r="AD2350" s="61"/>
      <c r="AE2350" s="61"/>
      <c r="AF2350" s="61"/>
      <c r="AG2350" s="61"/>
      <c r="AH2350" s="61"/>
      <c r="AI2350" s="61"/>
      <c r="AJ2350" s="61"/>
      <c r="AK2350" s="61"/>
      <c r="AL2350" s="61"/>
      <c r="AM2350" s="61"/>
      <c r="AN2350" s="61"/>
      <c r="AO2350" s="61"/>
    </row>
    <row r="2351" spans="1:41" s="136" customFormat="1" ht="31.5" x14ac:dyDescent="0.25">
      <c r="A2351" s="358"/>
      <c r="B2351" s="361"/>
      <c r="C2351" s="373"/>
      <c r="D2351" s="156" t="s">
        <v>110</v>
      </c>
      <c r="E2351" s="156" t="s">
        <v>28</v>
      </c>
      <c r="F2351" s="156" t="s">
        <v>439</v>
      </c>
      <c r="G2351" s="238">
        <f>MROUND(H2351*L2351*I2351/K2351,0.0000000000000001)</f>
        <v>2.4398609792099999E-5</v>
      </c>
      <c r="H2351" s="158">
        <f>$H$2143</f>
        <v>25</v>
      </c>
      <c r="I2351" s="159">
        <f t="shared" si="493"/>
        <v>0.36996099999999998</v>
      </c>
      <c r="J2351" s="160"/>
      <c r="K2351" s="161">
        <f t="shared" si="494"/>
        <v>379080</v>
      </c>
      <c r="L2351" s="250">
        <v>1</v>
      </c>
      <c r="M2351" s="163" t="str">
        <f t="shared" si="495"/>
        <v>25 шт (потребность учреждений) *0,369961/379080чел/час</v>
      </c>
      <c r="N2351" s="278">
        <f>$N$2143</f>
        <v>53600</v>
      </c>
      <c r="O2351" s="280">
        <f t="shared" si="491"/>
        <v>1.3077649999999998</v>
      </c>
      <c r="P2351" s="166"/>
      <c r="Q2351" s="166">
        <f t="shared" si="492"/>
        <v>495747.55619999993</v>
      </c>
      <c r="R2351" s="71"/>
      <c r="S2351" s="61"/>
      <c r="T2351" s="71"/>
      <c r="U2351" s="61"/>
      <c r="V2351" s="61"/>
      <c r="W2351" s="61"/>
      <c r="X2351" s="61"/>
      <c r="Y2351" s="61"/>
      <c r="Z2351" s="61"/>
      <c r="AA2351" s="61"/>
      <c r="AB2351" s="61"/>
      <c r="AC2351" s="61"/>
      <c r="AD2351" s="61"/>
      <c r="AE2351" s="61"/>
      <c r="AF2351" s="61"/>
      <c r="AG2351" s="61"/>
      <c r="AH2351" s="61"/>
      <c r="AI2351" s="61"/>
      <c r="AJ2351" s="61"/>
      <c r="AK2351" s="61"/>
      <c r="AL2351" s="61"/>
      <c r="AM2351" s="61"/>
      <c r="AN2351" s="61"/>
      <c r="AO2351" s="61"/>
    </row>
    <row r="2352" spans="1:41" s="136" customFormat="1" ht="31.5" x14ac:dyDescent="0.25">
      <c r="A2352" s="358"/>
      <c r="B2352" s="361"/>
      <c r="C2352" s="373"/>
      <c r="D2352" s="156" t="s">
        <v>112</v>
      </c>
      <c r="E2352" s="156" t="s">
        <v>28</v>
      </c>
      <c r="F2352" s="156" t="s">
        <v>439</v>
      </c>
      <c r="G2352" s="238">
        <f t="shared" si="490"/>
        <v>4.8797220000000002E-6</v>
      </c>
      <c r="H2352" s="158">
        <f>$H$2144</f>
        <v>5</v>
      </c>
      <c r="I2352" s="159">
        <f t="shared" si="493"/>
        <v>0.36996099999999998</v>
      </c>
      <c r="J2352" s="160"/>
      <c r="K2352" s="161">
        <f t="shared" si="494"/>
        <v>379080</v>
      </c>
      <c r="L2352" s="250">
        <v>1</v>
      </c>
      <c r="M2352" s="163" t="str">
        <f t="shared" si="495"/>
        <v>5 шт (потребность учреждений) *0,369961/379080чел/час</v>
      </c>
      <c r="N2352" s="278">
        <f>$N$2144</f>
        <v>33000</v>
      </c>
      <c r="O2352" s="280">
        <f t="shared" si="491"/>
        <v>0.16103099999999998</v>
      </c>
      <c r="P2352" s="166"/>
      <c r="Q2352" s="166">
        <f t="shared" si="492"/>
        <v>61043.631479999989</v>
      </c>
      <c r="R2352" s="71"/>
      <c r="S2352" s="61"/>
      <c r="T2352" s="71"/>
      <c r="U2352" s="61"/>
      <c r="V2352" s="61"/>
      <c r="W2352" s="61"/>
      <c r="X2352" s="61"/>
      <c r="Y2352" s="61"/>
      <c r="Z2352" s="61"/>
      <c r="AA2352" s="61"/>
      <c r="AB2352" s="61"/>
      <c r="AC2352" s="61"/>
      <c r="AD2352" s="61"/>
      <c r="AE2352" s="61"/>
      <c r="AF2352" s="61"/>
      <c r="AG2352" s="61"/>
      <c r="AH2352" s="61"/>
      <c r="AI2352" s="61"/>
      <c r="AJ2352" s="61"/>
      <c r="AK2352" s="61"/>
      <c r="AL2352" s="61"/>
      <c r="AM2352" s="61"/>
      <c r="AN2352" s="61"/>
      <c r="AO2352" s="61"/>
    </row>
    <row r="2353" spans="1:41" s="136" customFormat="1" ht="31.5" x14ac:dyDescent="0.25">
      <c r="A2353" s="358"/>
      <c r="B2353" s="361"/>
      <c r="C2353" s="373"/>
      <c r="D2353" s="156" t="s">
        <v>111</v>
      </c>
      <c r="E2353" s="156" t="s">
        <v>28</v>
      </c>
      <c r="F2353" s="156" t="s">
        <v>439</v>
      </c>
      <c r="G2353" s="238">
        <f t="shared" si="490"/>
        <v>7.1243941000000003E-5</v>
      </c>
      <c r="H2353" s="158">
        <f>$H$2145</f>
        <v>73</v>
      </c>
      <c r="I2353" s="159">
        <f t="shared" si="493"/>
        <v>0.36996099999999998</v>
      </c>
      <c r="J2353" s="160"/>
      <c r="K2353" s="161">
        <f t="shared" si="494"/>
        <v>379080</v>
      </c>
      <c r="L2353" s="250">
        <v>1</v>
      </c>
      <c r="M2353" s="163" t="str">
        <f t="shared" si="495"/>
        <v>73 шт (потребность учреждений) *0,369961/379080чел/час</v>
      </c>
      <c r="N2353" s="278">
        <f>$N$2145</f>
        <v>50616.438356164384</v>
      </c>
      <c r="O2353" s="280">
        <f t="shared" si="491"/>
        <v>3.606115</v>
      </c>
      <c r="P2353" s="166"/>
      <c r="Q2353" s="166">
        <f t="shared" si="492"/>
        <v>1367006.0741999999</v>
      </c>
      <c r="R2353" s="71"/>
      <c r="S2353" s="61"/>
      <c r="T2353" s="71"/>
      <c r="U2353" s="61"/>
      <c r="V2353" s="61"/>
      <c r="W2353" s="61"/>
      <c r="X2353" s="61"/>
      <c r="Y2353" s="61"/>
      <c r="Z2353" s="61"/>
      <c r="AA2353" s="61"/>
      <c r="AB2353" s="61"/>
      <c r="AC2353" s="61"/>
      <c r="AD2353" s="61"/>
      <c r="AE2353" s="61"/>
      <c r="AF2353" s="61"/>
      <c r="AG2353" s="61"/>
      <c r="AH2353" s="61"/>
      <c r="AI2353" s="61"/>
      <c r="AJ2353" s="61"/>
      <c r="AK2353" s="61"/>
      <c r="AL2353" s="61"/>
      <c r="AM2353" s="61"/>
      <c r="AN2353" s="61"/>
      <c r="AO2353" s="61"/>
    </row>
    <row r="2354" spans="1:41" s="136" customFormat="1" ht="31.5" x14ac:dyDescent="0.25">
      <c r="A2354" s="358"/>
      <c r="B2354" s="361"/>
      <c r="C2354" s="374"/>
      <c r="D2354" s="156" t="s">
        <v>438</v>
      </c>
      <c r="E2354" s="156" t="s">
        <v>28</v>
      </c>
      <c r="F2354" s="156" t="s">
        <v>439</v>
      </c>
      <c r="G2354" s="238">
        <f t="shared" si="490"/>
        <v>3.2206165000000001E-5</v>
      </c>
      <c r="H2354" s="158">
        <f>$H$2146</f>
        <v>33</v>
      </c>
      <c r="I2354" s="159">
        <f t="shared" si="493"/>
        <v>0.36996099999999998</v>
      </c>
      <c r="J2354" s="160"/>
      <c r="K2354" s="161">
        <f t="shared" si="494"/>
        <v>379080</v>
      </c>
      <c r="L2354" s="250">
        <v>1</v>
      </c>
      <c r="M2354" s="163" t="str">
        <f t="shared" si="495"/>
        <v>33 шт (потребность учреждений) *0,369961/379080чел/час</v>
      </c>
      <c r="N2354" s="278">
        <f>$N$2146</f>
        <v>25000</v>
      </c>
      <c r="O2354" s="280">
        <f t="shared" si="491"/>
        <v>0.80515399999999993</v>
      </c>
      <c r="P2354" s="166"/>
      <c r="Q2354" s="166">
        <f t="shared" si="492"/>
        <v>305217.77831999998</v>
      </c>
      <c r="R2354" s="71"/>
      <c r="S2354" s="61"/>
      <c r="T2354" s="71"/>
      <c r="U2354" s="61"/>
      <c r="V2354" s="61"/>
      <c r="W2354" s="61"/>
      <c r="X2354" s="61"/>
      <c r="Y2354" s="61"/>
      <c r="Z2354" s="61"/>
      <c r="AA2354" s="61"/>
      <c r="AB2354" s="61"/>
      <c r="AC2354" s="61"/>
      <c r="AD2354" s="61"/>
      <c r="AE2354" s="61"/>
      <c r="AF2354" s="61"/>
      <c r="AG2354" s="61"/>
      <c r="AH2354" s="61"/>
      <c r="AI2354" s="61"/>
      <c r="AJ2354" s="61"/>
      <c r="AK2354" s="61"/>
      <c r="AL2354" s="61"/>
      <c r="AM2354" s="61"/>
      <c r="AN2354" s="61"/>
      <c r="AO2354" s="61"/>
    </row>
    <row r="2355" spans="1:41" s="61" customFormat="1" x14ac:dyDescent="0.25">
      <c r="A2355" s="358"/>
      <c r="B2355" s="361"/>
      <c r="C2355" s="245" t="s">
        <v>299</v>
      </c>
      <c r="D2355" s="240"/>
      <c r="E2355" s="240"/>
      <c r="F2355" s="181"/>
      <c r="G2355" s="227"/>
      <c r="H2355" s="241"/>
      <c r="I2355" s="206"/>
      <c r="J2355" s="228"/>
      <c r="K2355" s="207"/>
      <c r="L2355" s="257"/>
      <c r="M2355" s="209"/>
      <c r="N2355" s="290"/>
      <c r="O2355" s="279">
        <f>SUM(O2343:O2354)</f>
        <v>8.0454159999999995</v>
      </c>
      <c r="P2355" s="166"/>
      <c r="Q2355" s="166">
        <f>O2355*K2355</f>
        <v>0</v>
      </c>
      <c r="R2355" s="71"/>
    </row>
    <row r="2356" spans="1:41" s="61" customFormat="1" ht="47.25" x14ac:dyDescent="0.25">
      <c r="A2356" s="358"/>
      <c r="B2356" s="361"/>
      <c r="C2356" s="221" t="s">
        <v>434</v>
      </c>
      <c r="D2356" s="156" t="s">
        <v>436</v>
      </c>
      <c r="E2356" s="156" t="s">
        <v>28</v>
      </c>
      <c r="F2356" s="156" t="s">
        <v>437</v>
      </c>
      <c r="G2356" s="238">
        <f>MROUND(H2356*L2356*I2356/K2356,0.000000000001)</f>
        <v>2.5374554E-5</v>
      </c>
      <c r="H2356" s="242">
        <f>$H$2148</f>
        <v>26</v>
      </c>
      <c r="I2356" s="159">
        <f>I2354</f>
        <v>0.36996099999999998</v>
      </c>
      <c r="J2356" s="160"/>
      <c r="K2356" s="161">
        <f>K2354</f>
        <v>379080</v>
      </c>
      <c r="L2356" s="162">
        <v>1</v>
      </c>
      <c r="M2356" s="163" t="str">
        <f>CONCATENATE(H2356," ",F2356,"*",I2356,"/",K2356,"чел.")</f>
        <v>26 огнетушителей (потребность учреждений) *0,369961/379080чел.</v>
      </c>
      <c r="N2356" s="164">
        <f>$N$2148</f>
        <v>2180</v>
      </c>
      <c r="O2356" s="165">
        <f>MROUND(G2356*N2356,0.000001)</f>
        <v>5.5316999999999998E-2</v>
      </c>
      <c r="P2356" s="166"/>
      <c r="Q2356" s="166">
        <f>O2356*K2356</f>
        <v>20969.568359999997</v>
      </c>
      <c r="R2356" s="71"/>
    </row>
    <row r="2357" spans="1:41" s="61" customFormat="1" x14ac:dyDescent="0.25">
      <c r="A2357" s="358"/>
      <c r="B2357" s="361"/>
      <c r="C2357" s="218" t="s">
        <v>435</v>
      </c>
      <c r="D2357" s="240"/>
      <c r="E2357" s="240"/>
      <c r="F2357" s="240"/>
      <c r="G2357" s="251"/>
      <c r="H2357" s="241"/>
      <c r="I2357" s="206"/>
      <c r="J2357" s="228"/>
      <c r="K2357" s="207"/>
      <c r="L2357" s="229"/>
      <c r="M2357" s="209"/>
      <c r="N2357" s="210"/>
      <c r="O2357" s="198">
        <f>SUM(O2356)</f>
        <v>5.5316999999999998E-2</v>
      </c>
      <c r="P2357" s="166"/>
      <c r="Q2357" s="166"/>
      <c r="R2357" s="71"/>
    </row>
    <row r="2358" spans="1:41" s="61" customFormat="1" ht="110.25" x14ac:dyDescent="0.25">
      <c r="A2358" s="358"/>
      <c r="B2358" s="361"/>
      <c r="C2358" s="221" t="s">
        <v>82</v>
      </c>
      <c r="D2358" s="156" t="s">
        <v>46</v>
      </c>
      <c r="E2358" s="156" t="s">
        <v>54</v>
      </c>
      <c r="F2358" s="156" t="s">
        <v>285</v>
      </c>
      <c r="G2358" s="238">
        <f>MROUND(H2358*L2358*I2358/K2358,0.000000000001)</f>
        <v>2.488658199E-3</v>
      </c>
      <c r="H2358" s="158">
        <f>H2150</f>
        <v>231.81818181818178</v>
      </c>
      <c r="I2358" s="291">
        <f>I2344</f>
        <v>0.36996099999999998</v>
      </c>
      <c r="J2358" s="160"/>
      <c r="K2358" s="161">
        <f>K2344</f>
        <v>379080</v>
      </c>
      <c r="L2358" s="250">
        <f>$L$2150</f>
        <v>11</v>
      </c>
      <c r="M2358" s="163" t="str">
        <f>CONCATENATE(H2358," ",F2358,"*",L2358,"автобус","*",I2358,"/",K2358,"чел/час")</f>
        <v>231,818181818182 л бензина АИ 92 (12,5л/день(зимой)*20дней*7мес+10л/день(летом)*20дней*4мес)*11автобус*0,369961/379080чел/час</v>
      </c>
      <c r="N2358" s="278">
        <f>N2150</f>
        <v>54.500000000000007</v>
      </c>
      <c r="O2358" s="280">
        <f t="shared" si="491"/>
        <v>0.135632</v>
      </c>
      <c r="P2358" s="166"/>
      <c r="Q2358" s="166">
        <f>O2358*K2358</f>
        <v>51415.378559999997</v>
      </c>
      <c r="R2358" s="71"/>
    </row>
    <row r="2359" spans="1:41" s="61" customFormat="1" ht="47.25" x14ac:dyDescent="0.25">
      <c r="A2359" s="358"/>
      <c r="B2359" s="361"/>
      <c r="C2359" s="364" t="s">
        <v>118</v>
      </c>
      <c r="D2359" s="156" t="s">
        <v>47</v>
      </c>
      <c r="E2359" s="156" t="s">
        <v>28</v>
      </c>
      <c r="F2359" s="156" t="s">
        <v>239</v>
      </c>
      <c r="G2359" s="238">
        <f>MROUND(H2359*L2359*I2359/K2359,0.000000000001)</f>
        <v>1.9518888000000001E-5</v>
      </c>
      <c r="H2359" s="158">
        <f>H2151</f>
        <v>20</v>
      </c>
      <c r="I2359" s="159">
        <f>I2358</f>
        <v>0.36996099999999998</v>
      </c>
      <c r="J2359" s="160"/>
      <c r="K2359" s="161">
        <f>K2358</f>
        <v>379080</v>
      </c>
      <c r="L2359" s="250">
        <v>1</v>
      </c>
      <c r="M2359" s="163" t="str">
        <f>CONCATENATE(H2359," ",F2359,"*",I2359,"/",K2359,"чел/час")</f>
        <v>20 манометров (потребность учреждений) *0,369961/379080чел/час</v>
      </c>
      <c r="N2359" s="278">
        <f>N2151</f>
        <v>650</v>
      </c>
      <c r="O2359" s="280">
        <f t="shared" si="491"/>
        <v>1.2686999999999999E-2</v>
      </c>
      <c r="P2359" s="166"/>
      <c r="Q2359" s="166">
        <f>O2359*K2359</f>
        <v>4809.3879599999991</v>
      </c>
      <c r="R2359" s="71"/>
    </row>
    <row r="2360" spans="1:41" s="61" customFormat="1" ht="47.25" x14ac:dyDescent="0.25">
      <c r="A2360" s="358"/>
      <c r="B2360" s="361"/>
      <c r="C2360" s="364"/>
      <c r="D2360" s="255" t="s">
        <v>113</v>
      </c>
      <c r="E2360" s="156" t="s">
        <v>28</v>
      </c>
      <c r="F2360" s="156" t="s">
        <v>240</v>
      </c>
      <c r="G2360" s="238">
        <f>MROUND(H2360*L2360*I2360/K2360,0.000000000001)</f>
        <v>9.7594438999999995E-5</v>
      </c>
      <c r="H2360" s="158">
        <v>100</v>
      </c>
      <c r="I2360" s="159">
        <f>I2359</f>
        <v>0.36996099999999998</v>
      </c>
      <c r="J2360" s="160"/>
      <c r="K2360" s="161">
        <f>K2359</f>
        <v>379080</v>
      </c>
      <c r="L2360" s="250">
        <v>1</v>
      </c>
      <c r="M2360" s="163" t="str">
        <f>CONCATENATE(H2360," ",F2360,"*",I2360,"/",K2360,"чел/час")</f>
        <v>100 светильников (потребность учреждений)*0,369961/379080чел/час</v>
      </c>
      <c r="N2360" s="278">
        <f>N2152</f>
        <v>106.27500000000001</v>
      </c>
      <c r="O2360" s="280">
        <f t="shared" si="491"/>
        <v>1.0371999999999999E-2</v>
      </c>
      <c r="P2360" s="166"/>
      <c r="Q2360" s="166">
        <f>O2360*K2360</f>
        <v>3931.8177599999999</v>
      </c>
      <c r="R2360" s="71"/>
    </row>
    <row r="2361" spans="1:41" s="109" customFormat="1" x14ac:dyDescent="0.25">
      <c r="A2361" s="359"/>
      <c r="B2361" s="362"/>
      <c r="C2361" s="218" t="s">
        <v>301</v>
      </c>
      <c r="D2361" s="256"/>
      <c r="E2361" s="240"/>
      <c r="F2361" s="240"/>
      <c r="G2361" s="227"/>
      <c r="H2361" s="241"/>
      <c r="I2361" s="206"/>
      <c r="J2361" s="228"/>
      <c r="K2361" s="207"/>
      <c r="L2361" s="257"/>
      <c r="M2361" s="209"/>
      <c r="N2361" s="281"/>
      <c r="O2361" s="279">
        <f>O2359+O2360</f>
        <v>2.3058999999999996E-2</v>
      </c>
      <c r="P2361" s="267"/>
      <c r="Q2361" s="166"/>
      <c r="R2361" s="71"/>
      <c r="S2361" s="62"/>
      <c r="T2361" s="62"/>
      <c r="U2361" s="62"/>
      <c r="V2361" s="62"/>
      <c r="W2361" s="62"/>
      <c r="X2361" s="62"/>
      <c r="Y2361" s="62"/>
      <c r="Z2361" s="62"/>
      <c r="AA2361" s="62"/>
      <c r="AB2361" s="62"/>
      <c r="AC2361" s="62"/>
      <c r="AD2361" s="62"/>
      <c r="AE2361" s="62"/>
      <c r="AF2361" s="62"/>
      <c r="AG2361" s="62"/>
      <c r="AH2361" s="62"/>
      <c r="AI2361" s="62"/>
      <c r="AJ2361" s="62"/>
      <c r="AK2361" s="62"/>
      <c r="AL2361" s="62"/>
      <c r="AM2361" s="62"/>
      <c r="AN2361" s="62"/>
      <c r="AO2361" s="62"/>
    </row>
    <row r="2362" spans="1:41" s="108" customFormat="1" x14ac:dyDescent="0.25">
      <c r="A2362" s="357" t="str">
        <f>школы!$B$35</f>
        <v>Реализация дополнительных общеразвивающих программ (туристско-краеведческая направленность)</v>
      </c>
      <c r="B2362" s="360" t="str">
        <f>школы!$A$35</f>
        <v>801012О.99.0.ББ57АЖ00000</v>
      </c>
      <c r="C2362" s="194"/>
      <c r="D2362" s="363" t="s">
        <v>15</v>
      </c>
      <c r="E2362" s="363"/>
      <c r="F2362" s="363"/>
      <c r="G2362" s="363"/>
      <c r="H2362" s="195"/>
      <c r="I2362" s="195"/>
      <c r="J2362" s="195"/>
      <c r="K2362" s="195"/>
      <c r="L2362" s="196"/>
      <c r="M2362" s="197"/>
      <c r="N2362" s="278"/>
      <c r="O2362" s="279">
        <f>O2363+O2367</f>
        <v>159.38414748360003</v>
      </c>
      <c r="P2362" s="166"/>
      <c r="Q2362" s="166">
        <f t="shared" ref="Q2362:Q2379" si="496">O2362*K2362</f>
        <v>0</v>
      </c>
      <c r="R2362" s="71"/>
      <c r="S2362" s="61"/>
      <c r="T2362" s="61"/>
      <c r="U2362" s="61"/>
      <c r="V2362" s="61"/>
      <c r="W2362" s="61"/>
      <c r="X2362" s="61"/>
      <c r="Y2362" s="61"/>
      <c r="Z2362" s="61"/>
      <c r="AA2362" s="61"/>
      <c r="AB2362" s="61"/>
      <c r="AC2362" s="61"/>
      <c r="AD2362" s="61"/>
      <c r="AE2362" s="61"/>
      <c r="AF2362" s="61"/>
      <c r="AG2362" s="61"/>
      <c r="AH2362" s="61"/>
      <c r="AI2362" s="61"/>
      <c r="AJ2362" s="61"/>
      <c r="AK2362" s="61"/>
      <c r="AL2362" s="61"/>
      <c r="AM2362" s="61"/>
      <c r="AN2362" s="61"/>
      <c r="AO2362" s="61"/>
    </row>
    <row r="2363" spans="1:41" s="108" customFormat="1" x14ac:dyDescent="0.25">
      <c r="A2363" s="358"/>
      <c r="B2363" s="361"/>
      <c r="C2363" s="194"/>
      <c r="D2363" s="350" t="s">
        <v>62</v>
      </c>
      <c r="E2363" s="350"/>
      <c r="F2363" s="350"/>
      <c r="G2363" s="350"/>
      <c r="H2363" s="195"/>
      <c r="I2363" s="195"/>
      <c r="J2363" s="195"/>
      <c r="K2363" s="195"/>
      <c r="L2363" s="196"/>
      <c r="M2363" s="197"/>
      <c r="N2363" s="278"/>
      <c r="O2363" s="279">
        <f>O2364+O2365</f>
        <v>158.42292148360002</v>
      </c>
      <c r="P2363" s="166"/>
      <c r="Q2363" s="166">
        <f t="shared" si="496"/>
        <v>0</v>
      </c>
      <c r="R2363" s="71"/>
      <c r="S2363" s="61"/>
      <c r="T2363" s="61"/>
      <c r="U2363" s="61"/>
      <c r="V2363" s="61"/>
      <c r="W2363" s="61"/>
      <c r="X2363" s="61"/>
      <c r="Y2363" s="61"/>
      <c r="Z2363" s="61"/>
      <c r="AA2363" s="61"/>
      <c r="AB2363" s="61"/>
      <c r="AC2363" s="61"/>
      <c r="AD2363" s="61"/>
      <c r="AE2363" s="61"/>
      <c r="AF2363" s="61"/>
      <c r="AG2363" s="61"/>
      <c r="AH2363" s="61"/>
      <c r="AI2363" s="61"/>
      <c r="AJ2363" s="61"/>
      <c r="AK2363" s="61"/>
      <c r="AL2363" s="61"/>
      <c r="AM2363" s="61"/>
      <c r="AN2363" s="61"/>
      <c r="AO2363" s="61"/>
    </row>
    <row r="2364" spans="1:41" s="61" customFormat="1" ht="31.5" x14ac:dyDescent="0.25">
      <c r="A2364" s="358"/>
      <c r="B2364" s="361"/>
      <c r="C2364" s="194">
        <v>211</v>
      </c>
      <c r="D2364" s="194" t="s">
        <v>86</v>
      </c>
      <c r="E2364" s="199" t="s">
        <v>95</v>
      </c>
      <c r="F2364" s="199" t="s">
        <v>95</v>
      </c>
      <c r="G2364" s="238">
        <f>MROUND(H2364*L2364*I2364/K2364,0.000000000001)</f>
        <v>5.2031752579999998E-3</v>
      </c>
      <c r="H2364" s="201">
        <f>H2052</f>
        <v>368.4</v>
      </c>
      <c r="I2364" s="159">
        <f>школы!$K$35</f>
        <v>1.644E-2</v>
      </c>
      <c r="J2364" s="159"/>
      <c r="K2364" s="161">
        <f>школы!$G$35</f>
        <v>13968</v>
      </c>
      <c r="L2364" s="202">
        <v>12</v>
      </c>
      <c r="M2364" s="163" t="str">
        <f>CONCATENATE(H2364," ",F2364," ","в мес.","*",L2364,"мес.","*",I2364,"/",K2364,"чел/час")</f>
        <v>368,4 шт.ед в мес.*12мес.*0,01644/13968чел/час</v>
      </c>
      <c r="N2364" s="278">
        <f>N2052</f>
        <v>23385.182971407892</v>
      </c>
      <c r="O2364" s="280">
        <f>MROUND(N2364*G2364,0.0000000001)</f>
        <v>121.67720544060001</v>
      </c>
      <c r="P2364" s="166"/>
      <c r="Q2364" s="166">
        <f t="shared" si="496"/>
        <v>1699587.2055943008</v>
      </c>
      <c r="R2364" s="71"/>
    </row>
    <row r="2365" spans="1:41" s="61" customFormat="1" x14ac:dyDescent="0.25">
      <c r="A2365" s="358"/>
      <c r="B2365" s="361"/>
      <c r="C2365" s="194">
        <v>213</v>
      </c>
      <c r="D2365" s="194" t="s">
        <v>87</v>
      </c>
      <c r="E2365" s="194" t="s">
        <v>88</v>
      </c>
      <c r="F2365" s="194"/>
      <c r="G2365" s="211">
        <v>30.2</v>
      </c>
      <c r="H2365" s="159"/>
      <c r="I2365" s="282">
        <f>I2364</f>
        <v>1.644E-2</v>
      </c>
      <c r="J2365" s="159"/>
      <c r="K2365" s="161">
        <f>K2364</f>
        <v>13968</v>
      </c>
      <c r="L2365" s="202"/>
      <c r="M2365" s="212"/>
      <c r="N2365" s="278"/>
      <c r="O2365" s="280">
        <f>MROUND(O2364*0.302,0.000000001)-0.0008</f>
        <v>36.745716043000002</v>
      </c>
      <c r="P2365" s="166"/>
      <c r="Q2365" s="166">
        <f t="shared" si="496"/>
        <v>513264.16168862401</v>
      </c>
      <c r="R2365" s="71"/>
    </row>
    <row r="2366" spans="1:41" s="108" customFormat="1" x14ac:dyDescent="0.25">
      <c r="A2366" s="358"/>
      <c r="B2366" s="361"/>
      <c r="C2366" s="194"/>
      <c r="D2366" s="194"/>
      <c r="E2366" s="194"/>
      <c r="F2366" s="194"/>
      <c r="G2366" s="217"/>
      <c r="H2366" s="195"/>
      <c r="I2366" s="159"/>
      <c r="J2366" s="195"/>
      <c r="K2366" s="161"/>
      <c r="L2366" s="196"/>
      <c r="M2366" s="197"/>
      <c r="N2366" s="278"/>
      <c r="O2366" s="280"/>
      <c r="P2366" s="166"/>
      <c r="Q2366" s="166">
        <f t="shared" si="496"/>
        <v>0</v>
      </c>
      <c r="R2366" s="71"/>
      <c r="S2366" s="61"/>
      <c r="T2366" s="61"/>
      <c r="U2366" s="61"/>
      <c r="V2366" s="61"/>
      <c r="W2366" s="61"/>
      <c r="X2366" s="61"/>
      <c r="Y2366" s="61"/>
      <c r="Z2366" s="61"/>
      <c r="AA2366" s="61"/>
      <c r="AB2366" s="61"/>
      <c r="AC2366" s="61"/>
      <c r="AD2366" s="61"/>
      <c r="AE2366" s="61"/>
      <c r="AF2366" s="61"/>
      <c r="AG2366" s="61"/>
      <c r="AH2366" s="61"/>
      <c r="AI2366" s="61"/>
      <c r="AJ2366" s="61"/>
      <c r="AK2366" s="61"/>
      <c r="AL2366" s="61"/>
      <c r="AM2366" s="61"/>
      <c r="AN2366" s="61"/>
      <c r="AO2366" s="61"/>
    </row>
    <row r="2367" spans="1:41" s="108" customFormat="1" x14ac:dyDescent="0.25">
      <c r="A2367" s="358"/>
      <c r="B2367" s="361"/>
      <c r="C2367" s="194"/>
      <c r="D2367" s="356" t="s">
        <v>63</v>
      </c>
      <c r="E2367" s="356"/>
      <c r="F2367" s="356"/>
      <c r="G2367" s="356"/>
      <c r="H2367" s="195"/>
      <c r="I2367" s="159"/>
      <c r="J2367" s="195"/>
      <c r="K2367" s="161"/>
      <c r="L2367" s="196"/>
      <c r="M2367" s="197"/>
      <c r="N2367" s="278"/>
      <c r="O2367" s="280">
        <f>O2368</f>
        <v>0.96122599999999991</v>
      </c>
      <c r="P2367" s="166"/>
      <c r="Q2367" s="166">
        <f t="shared" si="496"/>
        <v>0</v>
      </c>
      <c r="R2367" s="71"/>
      <c r="S2367" s="61"/>
      <c r="T2367" s="61"/>
      <c r="U2367" s="61"/>
      <c r="V2367" s="61"/>
      <c r="W2367" s="61"/>
      <c r="X2367" s="61"/>
      <c r="Y2367" s="61"/>
      <c r="Z2367" s="61"/>
      <c r="AA2367" s="61"/>
      <c r="AB2367" s="61"/>
      <c r="AC2367" s="61"/>
      <c r="AD2367" s="61"/>
      <c r="AE2367" s="61"/>
      <c r="AF2367" s="61"/>
      <c r="AG2367" s="61"/>
      <c r="AH2367" s="61"/>
      <c r="AI2367" s="61"/>
      <c r="AJ2367" s="61"/>
      <c r="AK2367" s="61"/>
      <c r="AL2367" s="61"/>
      <c r="AM2367" s="61"/>
      <c r="AN2367" s="61"/>
      <c r="AO2367" s="61"/>
    </row>
    <row r="2368" spans="1:41" s="61" customFormat="1" x14ac:dyDescent="0.25">
      <c r="A2368" s="358"/>
      <c r="B2368" s="361"/>
      <c r="C2368" s="194">
        <v>346</v>
      </c>
      <c r="D2368" s="194" t="s">
        <v>259</v>
      </c>
      <c r="E2368" s="194" t="s">
        <v>260</v>
      </c>
      <c r="F2368" s="194" t="s">
        <v>261</v>
      </c>
      <c r="G2368" s="238">
        <f>MROUND(H2368*L2368*I2368/K2368,0.000000000001)</f>
        <v>1.426494845E-3</v>
      </c>
      <c r="H2368" s="283">
        <f>H2057</f>
        <v>1212</v>
      </c>
      <c r="I2368" s="282">
        <f>I2365</f>
        <v>1.644E-2</v>
      </c>
      <c r="J2368" s="195"/>
      <c r="K2368" s="161">
        <f>K2365</f>
        <v>13968</v>
      </c>
      <c r="L2368" s="196">
        <v>1</v>
      </c>
      <c r="M2368" s="163" t="str">
        <f>CONCATENATE(H2368," ",F2368,"*",I2368,"/",K2368,"чел/час")</f>
        <v>1212 упаковок*0,01644/13968чел/час</v>
      </c>
      <c r="N2368" s="278">
        <f>N2057</f>
        <v>673.83800330033012</v>
      </c>
      <c r="O2368" s="280">
        <f>MROUND(N2368*G2368,0.000001)</f>
        <v>0.96122599999999991</v>
      </c>
      <c r="P2368" s="166"/>
      <c r="Q2368" s="166">
        <f t="shared" si="496"/>
        <v>13426.404767999999</v>
      </c>
      <c r="R2368" s="71"/>
    </row>
    <row r="2369" spans="1:41" s="108" customFormat="1" x14ac:dyDescent="0.25">
      <c r="A2369" s="358"/>
      <c r="B2369" s="361"/>
      <c r="C2369" s="194"/>
      <c r="D2369" s="350" t="s">
        <v>64</v>
      </c>
      <c r="E2369" s="350"/>
      <c r="F2369" s="350"/>
      <c r="G2369" s="350"/>
      <c r="H2369" s="195"/>
      <c r="I2369" s="159"/>
      <c r="J2369" s="195"/>
      <c r="K2369" s="161"/>
      <c r="L2369" s="196"/>
      <c r="M2369" s="197"/>
      <c r="N2369" s="278"/>
      <c r="O2369" s="280"/>
      <c r="P2369" s="166"/>
      <c r="Q2369" s="166">
        <f t="shared" si="496"/>
        <v>0</v>
      </c>
      <c r="R2369" s="71"/>
      <c r="S2369" s="61"/>
      <c r="T2369" s="61"/>
      <c r="U2369" s="61"/>
      <c r="V2369" s="61"/>
      <c r="W2369" s="61"/>
      <c r="X2369" s="61"/>
      <c r="Y2369" s="61"/>
      <c r="Z2369" s="61"/>
      <c r="AA2369" s="61"/>
      <c r="AB2369" s="61"/>
      <c r="AC2369" s="61"/>
      <c r="AD2369" s="61"/>
      <c r="AE2369" s="61"/>
      <c r="AF2369" s="61"/>
      <c r="AG2369" s="61"/>
      <c r="AH2369" s="61"/>
      <c r="AI2369" s="61"/>
      <c r="AJ2369" s="61"/>
      <c r="AK2369" s="61"/>
      <c r="AL2369" s="61"/>
      <c r="AM2369" s="61"/>
      <c r="AN2369" s="61"/>
      <c r="AO2369" s="61"/>
    </row>
    <row r="2370" spans="1:41" s="108" customFormat="1" x14ac:dyDescent="0.25">
      <c r="A2370" s="358"/>
      <c r="B2370" s="361"/>
      <c r="C2370" s="194"/>
      <c r="D2370" s="194"/>
      <c r="E2370" s="194"/>
      <c r="F2370" s="194"/>
      <c r="G2370" s="217"/>
      <c r="H2370" s="195"/>
      <c r="I2370" s="159"/>
      <c r="J2370" s="195"/>
      <c r="K2370" s="161"/>
      <c r="L2370" s="196"/>
      <c r="M2370" s="197"/>
      <c r="N2370" s="278"/>
      <c r="O2370" s="280"/>
      <c r="P2370" s="166"/>
      <c r="Q2370" s="166">
        <f t="shared" si="496"/>
        <v>0</v>
      </c>
      <c r="R2370" s="71"/>
      <c r="S2370" s="61"/>
      <c r="T2370" s="61"/>
      <c r="U2370" s="61"/>
      <c r="V2370" s="61"/>
      <c r="W2370" s="61"/>
      <c r="X2370" s="61"/>
      <c r="Y2370" s="61"/>
      <c r="Z2370" s="61"/>
      <c r="AA2370" s="61"/>
      <c r="AB2370" s="61"/>
      <c r="AC2370" s="61"/>
      <c r="AD2370" s="61"/>
      <c r="AE2370" s="61"/>
      <c r="AF2370" s="61"/>
      <c r="AG2370" s="61"/>
      <c r="AH2370" s="61"/>
      <c r="AI2370" s="61"/>
      <c r="AJ2370" s="61"/>
      <c r="AK2370" s="61"/>
      <c r="AL2370" s="61"/>
      <c r="AM2370" s="61"/>
      <c r="AN2370" s="61"/>
      <c r="AO2370" s="61"/>
    </row>
    <row r="2371" spans="1:41" s="108" customFormat="1" x14ac:dyDescent="0.25">
      <c r="A2371" s="358"/>
      <c r="B2371" s="361"/>
      <c r="C2371" s="194"/>
      <c r="D2371" s="355" t="s">
        <v>5</v>
      </c>
      <c r="E2371" s="355"/>
      <c r="F2371" s="355"/>
      <c r="G2371" s="355"/>
      <c r="H2371" s="195"/>
      <c r="I2371" s="159"/>
      <c r="J2371" s="195"/>
      <c r="K2371" s="161"/>
      <c r="L2371" s="196"/>
      <c r="M2371" s="197"/>
      <c r="N2371" s="278"/>
      <c r="O2371" s="279">
        <f>O2372+O2381+O2392+O2394+O2405+O2401</f>
        <v>145.059347393</v>
      </c>
      <c r="P2371" s="166"/>
      <c r="Q2371" s="166">
        <f t="shared" si="496"/>
        <v>0</v>
      </c>
      <c r="R2371" s="71"/>
      <c r="S2371" s="61"/>
      <c r="T2371" s="61"/>
      <c r="U2371" s="61"/>
      <c r="V2371" s="61"/>
      <c r="W2371" s="61"/>
      <c r="X2371" s="61"/>
      <c r="Y2371" s="61"/>
      <c r="Z2371" s="61"/>
      <c r="AA2371" s="61"/>
      <c r="AB2371" s="61"/>
      <c r="AC2371" s="61"/>
      <c r="AD2371" s="61"/>
      <c r="AE2371" s="61"/>
      <c r="AF2371" s="61"/>
      <c r="AG2371" s="61"/>
      <c r="AH2371" s="61"/>
      <c r="AI2371" s="61"/>
      <c r="AJ2371" s="61"/>
      <c r="AK2371" s="61"/>
      <c r="AL2371" s="61"/>
      <c r="AM2371" s="61"/>
      <c r="AN2371" s="61"/>
      <c r="AO2371" s="61"/>
    </row>
    <row r="2372" spans="1:41" s="108" customFormat="1" x14ac:dyDescent="0.25">
      <c r="A2372" s="358"/>
      <c r="B2372" s="361"/>
      <c r="C2372" s="221" t="s">
        <v>70</v>
      </c>
      <c r="D2372" s="355" t="s">
        <v>6</v>
      </c>
      <c r="E2372" s="355"/>
      <c r="F2372" s="355"/>
      <c r="G2372" s="355"/>
      <c r="H2372" s="189"/>
      <c r="I2372" s="159"/>
      <c r="J2372" s="189"/>
      <c r="K2372" s="161"/>
      <c r="L2372" s="190"/>
      <c r="M2372" s="197"/>
      <c r="N2372" s="278"/>
      <c r="O2372" s="279">
        <f>O2373+O2374+O2375+O2376+O2377+O2378+O2379</f>
        <v>7.4348309999999991</v>
      </c>
      <c r="P2372" s="166"/>
      <c r="Q2372" s="166">
        <f t="shared" si="496"/>
        <v>0</v>
      </c>
      <c r="R2372" s="71"/>
      <c r="S2372" s="61"/>
      <c r="T2372" s="61"/>
      <c r="U2372" s="61"/>
      <c r="V2372" s="61"/>
      <c r="W2372" s="61"/>
      <c r="X2372" s="61"/>
      <c r="Y2372" s="61"/>
      <c r="Z2372" s="61"/>
      <c r="AA2372" s="61"/>
      <c r="AB2372" s="61"/>
      <c r="AC2372" s="61"/>
      <c r="AD2372" s="61"/>
      <c r="AE2372" s="61"/>
      <c r="AF2372" s="61"/>
      <c r="AG2372" s="61"/>
      <c r="AH2372" s="61"/>
      <c r="AI2372" s="61"/>
      <c r="AJ2372" s="61"/>
      <c r="AK2372" s="61"/>
      <c r="AL2372" s="61"/>
      <c r="AM2372" s="61"/>
      <c r="AN2372" s="61"/>
      <c r="AO2372" s="61"/>
    </row>
    <row r="2373" spans="1:41" s="61" customFormat="1" ht="31.5" x14ac:dyDescent="0.25">
      <c r="A2373" s="358"/>
      <c r="B2373" s="361"/>
      <c r="C2373" s="221" t="s">
        <v>72</v>
      </c>
      <c r="D2373" s="222" t="s">
        <v>7</v>
      </c>
      <c r="E2373" s="223" t="s">
        <v>8</v>
      </c>
      <c r="F2373" s="223" t="s">
        <v>8</v>
      </c>
      <c r="G2373" s="238">
        <f t="shared" ref="G2373:G2379" si="497">MROUND(H2373*L2373*I2373/K2373,0.000000000001)</f>
        <v>0.13306906165599999</v>
      </c>
      <c r="H2373" s="160">
        <f>H2063</f>
        <v>113060.13705633247</v>
      </c>
      <c r="I2373" s="282">
        <f>I2365</f>
        <v>1.644E-2</v>
      </c>
      <c r="J2373" s="160"/>
      <c r="K2373" s="161">
        <f>K2365</f>
        <v>13968</v>
      </c>
      <c r="L2373" s="250">
        <v>1</v>
      </c>
      <c r="M2373" s="163" t="str">
        <f>CONCATENATE(H2373," ",F2373,"(лимиты выделенные УЖКХ) ","*",I2373,"/",K2373,"чел/час")</f>
        <v>113060,137056332 кВт час.(лимиты выделенные УЖКХ) *0,01644/13968чел/час</v>
      </c>
      <c r="N2373" s="278">
        <f>N2063</f>
        <v>10.461700036774822</v>
      </c>
      <c r="O2373" s="280">
        <f>MROUND(N2373*G2373,0.000001)</f>
        <v>1.3921289999999999</v>
      </c>
      <c r="P2373" s="166"/>
      <c r="Q2373" s="166">
        <f t="shared" si="496"/>
        <v>19445.257871999998</v>
      </c>
      <c r="R2373" s="71"/>
    </row>
    <row r="2374" spans="1:41" s="61" customFormat="1" ht="31.5" x14ac:dyDescent="0.25">
      <c r="A2374" s="358"/>
      <c r="B2374" s="361"/>
      <c r="C2374" s="221" t="s">
        <v>73</v>
      </c>
      <c r="D2374" s="222" t="s">
        <v>9</v>
      </c>
      <c r="E2374" s="223" t="s">
        <v>10</v>
      </c>
      <c r="F2374" s="223" t="s">
        <v>10</v>
      </c>
      <c r="G2374" s="238">
        <f t="shared" si="497"/>
        <v>1.6407044669999999E-3</v>
      </c>
      <c r="H2374" s="160">
        <f>H2064</f>
        <v>1394</v>
      </c>
      <c r="I2374" s="159">
        <f t="shared" ref="I2374:I2379" si="498">I2373</f>
        <v>1.644E-2</v>
      </c>
      <c r="J2374" s="160"/>
      <c r="K2374" s="161">
        <f t="shared" ref="K2374:K2379" si="499">K2373</f>
        <v>13968</v>
      </c>
      <c r="L2374" s="250">
        <v>1</v>
      </c>
      <c r="M2374" s="163" t="str">
        <f>CONCATENATE(H2374," ",F2374,"(лимиты выделенные УЖКХ) ","*",I2374,"/",K2374,"чел/час")</f>
        <v>1394 Гкал(лимиты выделенные УЖКХ) *0,01644/13968чел/час</v>
      </c>
      <c r="N2374" s="278">
        <f>N2168</f>
        <v>2845.3649999999998</v>
      </c>
      <c r="O2374" s="280">
        <f t="shared" ref="O2374:O2379" si="500">MROUND(N2374*G2374,0.000001)</f>
        <v>4.6684029999999996</v>
      </c>
      <c r="P2374" s="166"/>
      <c r="Q2374" s="166">
        <f t="shared" si="496"/>
        <v>65208.253103999996</v>
      </c>
      <c r="R2374" s="71"/>
    </row>
    <row r="2375" spans="1:41" s="61" customFormat="1" ht="31.5" x14ac:dyDescent="0.25">
      <c r="A2375" s="358"/>
      <c r="B2375" s="361"/>
      <c r="C2375" s="364" t="s">
        <v>74</v>
      </c>
      <c r="D2375" s="222" t="s">
        <v>12</v>
      </c>
      <c r="E2375" s="222" t="s">
        <v>11</v>
      </c>
      <c r="F2375" s="222" t="s">
        <v>11</v>
      </c>
      <c r="G2375" s="238">
        <f t="shared" si="497"/>
        <v>4.7562892609999997E-3</v>
      </c>
      <c r="H2375" s="224">
        <f>H2065</f>
        <v>4041.1099999999997</v>
      </c>
      <c r="I2375" s="159">
        <f t="shared" si="498"/>
        <v>1.644E-2</v>
      </c>
      <c r="J2375" s="160"/>
      <c r="K2375" s="161">
        <f t="shared" si="499"/>
        <v>13968</v>
      </c>
      <c r="L2375" s="250">
        <v>1</v>
      </c>
      <c r="M2375" s="163" t="str">
        <f>CONCATENATE(H2375," ",F2375,"(лимиты выделенные УЖКХ) ","*",I2375,"/",K2375,"чел/час")</f>
        <v>4041,11 м3(лимиты выделенные УЖКХ) *0,01644/13968чел/час</v>
      </c>
      <c r="N2375" s="278">
        <f>N2065</f>
        <v>51.830000000000013</v>
      </c>
      <c r="O2375" s="280">
        <f t="shared" si="500"/>
        <v>0.24651799999999999</v>
      </c>
      <c r="P2375" s="166"/>
      <c r="Q2375" s="166">
        <f t="shared" si="496"/>
        <v>3443.3634239999997</v>
      </c>
      <c r="R2375" s="71"/>
    </row>
    <row r="2376" spans="1:41" s="61" customFormat="1" ht="47.25" x14ac:dyDescent="0.25">
      <c r="A2376" s="358"/>
      <c r="B2376" s="361"/>
      <c r="C2376" s="364"/>
      <c r="D2376" s="222" t="s">
        <v>17</v>
      </c>
      <c r="E2376" s="222" t="s">
        <v>11</v>
      </c>
      <c r="F2376" s="222" t="s">
        <v>11</v>
      </c>
      <c r="G2376" s="238">
        <f t="shared" si="497"/>
        <v>4.7562892609999997E-3</v>
      </c>
      <c r="H2376" s="160">
        <f>H2170</f>
        <v>4041.1099999999997</v>
      </c>
      <c r="I2376" s="159">
        <f t="shared" si="498"/>
        <v>1.644E-2</v>
      </c>
      <c r="J2376" s="160"/>
      <c r="K2376" s="161">
        <f t="shared" si="499"/>
        <v>13968</v>
      </c>
      <c r="L2376" s="162">
        <f>$L$25</f>
        <v>1</v>
      </c>
      <c r="M2376" s="163" t="str">
        <f>CONCATENATE(H2376," ",F2376,"(лимиты выделенные УЖКХ) ","*",I2376,"/",K2376,"чел/час")</f>
        <v>4041,11 м3(лимиты выделенные УЖКХ) *0,01644/13968чел/час</v>
      </c>
      <c r="N2376" s="164">
        <f>N2066</f>
        <v>78.761157534246578</v>
      </c>
      <c r="O2376" s="280">
        <f t="shared" si="500"/>
        <v>0.37461099999999997</v>
      </c>
      <c r="P2376" s="166"/>
      <c r="Q2376" s="166">
        <f t="shared" si="496"/>
        <v>5232.5664479999996</v>
      </c>
      <c r="R2376" s="71"/>
    </row>
    <row r="2377" spans="1:41" s="61" customFormat="1" ht="31.5" x14ac:dyDescent="0.25">
      <c r="A2377" s="358"/>
      <c r="B2377" s="361"/>
      <c r="C2377" s="364"/>
      <c r="D2377" s="222" t="s">
        <v>13</v>
      </c>
      <c r="E2377" s="222" t="s">
        <v>11</v>
      </c>
      <c r="F2377" s="222" t="s">
        <v>11</v>
      </c>
      <c r="G2377" s="238">
        <f t="shared" si="497"/>
        <v>4.7562892609999997E-3</v>
      </c>
      <c r="H2377" s="160">
        <f>H2067</f>
        <v>4041.1099999999997</v>
      </c>
      <c r="I2377" s="159">
        <f t="shared" si="498"/>
        <v>1.644E-2</v>
      </c>
      <c r="J2377" s="160"/>
      <c r="K2377" s="161">
        <f t="shared" si="499"/>
        <v>13968</v>
      </c>
      <c r="L2377" s="162">
        <v>1</v>
      </c>
      <c r="M2377" s="163" t="str">
        <f>CONCATENATE(H2377," ",F2377,"(лимиты выделенные УЖКХ) ","*",I2377,"/",K2377,"чел/час")</f>
        <v>4041,11 м3(лимиты выделенные УЖКХ) *0,01644/13968чел/час</v>
      </c>
      <c r="N2377" s="278">
        <f>N2067</f>
        <v>96.180004349493274</v>
      </c>
      <c r="O2377" s="280">
        <f t="shared" si="500"/>
        <v>0.45745999999999998</v>
      </c>
      <c r="P2377" s="166"/>
      <c r="Q2377" s="166">
        <f t="shared" si="496"/>
        <v>6389.8012799999997</v>
      </c>
      <c r="R2377" s="71"/>
    </row>
    <row r="2378" spans="1:41" s="61" customFormat="1" x14ac:dyDescent="0.25">
      <c r="A2378" s="358"/>
      <c r="B2378" s="361"/>
      <c r="C2378" s="364" t="s">
        <v>216</v>
      </c>
      <c r="D2378" s="222" t="s">
        <v>23</v>
      </c>
      <c r="E2378" s="222" t="s">
        <v>11</v>
      </c>
      <c r="F2378" s="222" t="s">
        <v>11</v>
      </c>
      <c r="G2378" s="238">
        <f t="shared" si="497"/>
        <v>2.9400859E-5</v>
      </c>
      <c r="H2378" s="160">
        <f>H2068</f>
        <v>24.979999999999997</v>
      </c>
      <c r="I2378" s="159">
        <f t="shared" si="498"/>
        <v>1.644E-2</v>
      </c>
      <c r="J2378" s="160"/>
      <c r="K2378" s="161">
        <f t="shared" si="499"/>
        <v>13968</v>
      </c>
      <c r="L2378" s="162">
        <v>1</v>
      </c>
      <c r="M2378" s="163" t="str">
        <f>CONCATENATE(H2378," ",F2378," ","*",I2378,"/",K2378,"чел/час")</f>
        <v>24,98 м3 *0,01644/13968чел/час</v>
      </c>
      <c r="N2378" s="164">
        <f>N2068</f>
        <v>8906.5644515612512</v>
      </c>
      <c r="O2378" s="280">
        <f t="shared" si="500"/>
        <v>0.26186100000000001</v>
      </c>
      <c r="P2378" s="166"/>
      <c r="Q2378" s="166">
        <f t="shared" si="496"/>
        <v>3657.6744480000002</v>
      </c>
      <c r="R2378" s="71"/>
    </row>
    <row r="2379" spans="1:41" s="61" customFormat="1" ht="63" x14ac:dyDescent="0.25">
      <c r="A2379" s="358"/>
      <c r="B2379" s="361"/>
      <c r="C2379" s="364"/>
      <c r="D2379" s="222" t="s">
        <v>24</v>
      </c>
      <c r="E2379" s="222" t="s">
        <v>25</v>
      </c>
      <c r="F2379" s="222" t="s">
        <v>248</v>
      </c>
      <c r="G2379" s="238">
        <f t="shared" si="497"/>
        <v>5.8848799999999996E-6</v>
      </c>
      <c r="H2379" s="160">
        <f>H2069</f>
        <v>5</v>
      </c>
      <c r="I2379" s="159">
        <f t="shared" si="498"/>
        <v>1.644E-2</v>
      </c>
      <c r="J2379" s="160"/>
      <c r="K2379" s="161">
        <f t="shared" si="499"/>
        <v>13968</v>
      </c>
      <c r="L2379" s="250">
        <v>1</v>
      </c>
      <c r="M2379" s="163" t="str">
        <f>CONCATENATE(H2379," ",F2379,"(потребность из расчета 4 контейнера для уборки территории весной и осенью на 1 учреждение)","*",I2379,"/",K2379,"чел/час")</f>
        <v>5 контейнеров(потребность из расчета 4 контейнера для уборки территории весной и осенью на 1 учреждение)*0,01644/13968чел/час</v>
      </c>
      <c r="N2379" s="278">
        <f>N2069</f>
        <v>5751.8</v>
      </c>
      <c r="O2379" s="280">
        <f t="shared" si="500"/>
        <v>3.3848999999999997E-2</v>
      </c>
      <c r="P2379" s="166"/>
      <c r="Q2379" s="166">
        <f t="shared" si="496"/>
        <v>472.80283199999997</v>
      </c>
      <c r="R2379" s="71"/>
    </row>
    <row r="2380" spans="1:41" s="109" customFormat="1" x14ac:dyDescent="0.25">
      <c r="A2380" s="358"/>
      <c r="B2380" s="361"/>
      <c r="C2380" s="218" t="s">
        <v>290</v>
      </c>
      <c r="D2380" s="226"/>
      <c r="E2380" s="226"/>
      <c r="F2380" s="226"/>
      <c r="G2380" s="227"/>
      <c r="H2380" s="228"/>
      <c r="I2380" s="206"/>
      <c r="J2380" s="228"/>
      <c r="K2380" s="207"/>
      <c r="L2380" s="257"/>
      <c r="M2380" s="209"/>
      <c r="N2380" s="281"/>
      <c r="O2380" s="279">
        <f>SUM(O2373:O2379)</f>
        <v>7.4348309999999991</v>
      </c>
      <c r="P2380" s="267"/>
      <c r="Q2380" s="166"/>
      <c r="R2380" s="71"/>
      <c r="S2380" s="62"/>
      <c r="T2380" s="62"/>
      <c r="U2380" s="62"/>
      <c r="V2380" s="62"/>
      <c r="W2380" s="62"/>
      <c r="X2380" s="62"/>
      <c r="Y2380" s="62"/>
      <c r="Z2380" s="62"/>
      <c r="AA2380" s="62"/>
      <c r="AB2380" s="62"/>
      <c r="AC2380" s="62"/>
      <c r="AD2380" s="62"/>
      <c r="AE2380" s="62"/>
      <c r="AF2380" s="62"/>
      <c r="AG2380" s="62"/>
      <c r="AH2380" s="62"/>
      <c r="AI2380" s="62"/>
      <c r="AJ2380" s="62"/>
      <c r="AK2380" s="62"/>
      <c r="AL2380" s="62"/>
      <c r="AM2380" s="62"/>
      <c r="AN2380" s="62"/>
      <c r="AO2380" s="62"/>
    </row>
    <row r="2381" spans="1:41" s="108" customFormat="1" x14ac:dyDescent="0.25">
      <c r="A2381" s="358"/>
      <c r="B2381" s="361"/>
      <c r="C2381" s="221"/>
      <c r="D2381" s="356" t="s">
        <v>14</v>
      </c>
      <c r="E2381" s="356"/>
      <c r="F2381" s="356"/>
      <c r="G2381" s="356"/>
      <c r="H2381" s="188"/>
      <c r="I2381" s="159"/>
      <c r="J2381" s="188"/>
      <c r="K2381" s="161"/>
      <c r="L2381" s="250"/>
      <c r="M2381" s="230"/>
      <c r="N2381" s="278"/>
      <c r="O2381" s="279">
        <f>O2385+O2389+O2390</f>
        <v>122.390705393</v>
      </c>
      <c r="P2381" s="166"/>
      <c r="Q2381" s="166">
        <f>O2381*K2381</f>
        <v>0</v>
      </c>
      <c r="R2381" s="71"/>
      <c r="S2381" s="61"/>
      <c r="T2381" s="61"/>
      <c r="U2381" s="61"/>
      <c r="V2381" s="61"/>
      <c r="W2381" s="61"/>
      <c r="X2381" s="61"/>
      <c r="Y2381" s="61"/>
      <c r="Z2381" s="61"/>
      <c r="AA2381" s="61"/>
      <c r="AB2381" s="61"/>
      <c r="AC2381" s="61"/>
      <c r="AD2381" s="61"/>
      <c r="AE2381" s="61"/>
      <c r="AF2381" s="61"/>
      <c r="AG2381" s="61"/>
      <c r="AH2381" s="61"/>
      <c r="AI2381" s="61"/>
      <c r="AJ2381" s="61"/>
      <c r="AK2381" s="61"/>
      <c r="AL2381" s="61"/>
      <c r="AM2381" s="61"/>
      <c r="AN2381" s="61"/>
      <c r="AO2381" s="61"/>
    </row>
    <row r="2382" spans="1:41" s="61" customFormat="1" x14ac:dyDescent="0.25">
      <c r="A2382" s="358"/>
      <c r="B2382" s="361"/>
      <c r="C2382" s="221" t="s">
        <v>379</v>
      </c>
      <c r="D2382" s="231" t="s">
        <v>49</v>
      </c>
      <c r="E2382" s="231" t="s">
        <v>22</v>
      </c>
      <c r="F2382" s="231" t="s">
        <v>22</v>
      </c>
      <c r="G2382" s="238">
        <f>MROUND(H2382*L2382*I2382/K2382,0.000000000001)</f>
        <v>3.9267448449999999E-3</v>
      </c>
      <c r="H2382" s="160">
        <f>H2072</f>
        <v>3336.3</v>
      </c>
      <c r="I2382" s="159">
        <f>I2377</f>
        <v>1.644E-2</v>
      </c>
      <c r="J2382" s="160"/>
      <c r="K2382" s="161">
        <f>K2377</f>
        <v>13968</v>
      </c>
      <c r="L2382" s="250">
        <v>1</v>
      </c>
      <c r="M2382" s="163" t="str">
        <f>CONCATENATE(H2382," ",F2382,"*",I2382,"/",K2382,"чел/час")</f>
        <v>3336,3 м2*0,01644/13968чел/час</v>
      </c>
      <c r="N2382" s="278">
        <f>N2072</f>
        <v>2997.3323741869735</v>
      </c>
      <c r="O2382" s="280">
        <f>MROUND(N2382*G2382,0.000000001)</f>
        <v>11.769759449</v>
      </c>
      <c r="P2382" s="166"/>
      <c r="Q2382" s="166">
        <f>O2382*K2382</f>
        <v>164399.99998363201</v>
      </c>
      <c r="R2382" s="71"/>
    </row>
    <row r="2383" spans="1:41" s="61" customFormat="1" x14ac:dyDescent="0.25">
      <c r="A2383" s="358"/>
      <c r="B2383" s="361"/>
      <c r="C2383" s="221" t="s">
        <v>379</v>
      </c>
      <c r="D2383" s="231" t="s">
        <v>49</v>
      </c>
      <c r="E2383" s="231" t="s">
        <v>28</v>
      </c>
      <c r="F2383" s="231" t="s">
        <v>28</v>
      </c>
      <c r="G2383" s="238">
        <f>MROUND(H2383*L2383*I2383/K2383,0.000000000001)</f>
        <v>0</v>
      </c>
      <c r="H2383" s="160"/>
      <c r="I2383" s="159">
        <f>I2382</f>
        <v>1.644E-2</v>
      </c>
      <c r="J2383" s="160"/>
      <c r="K2383" s="161">
        <f>K2382</f>
        <v>13968</v>
      </c>
      <c r="L2383" s="250">
        <v>1</v>
      </c>
      <c r="M2383" s="163"/>
      <c r="N2383" s="278"/>
      <c r="O2383" s="280">
        <f>MROUND(N2383*G2383,0.000000001)</f>
        <v>0</v>
      </c>
      <c r="P2383" s="166"/>
      <c r="Q2383" s="166">
        <f>O2383*K2383</f>
        <v>0</v>
      </c>
      <c r="R2383" s="71"/>
    </row>
    <row r="2384" spans="1:41" s="61" customFormat="1" x14ac:dyDescent="0.25">
      <c r="A2384" s="358"/>
      <c r="B2384" s="361"/>
      <c r="C2384" s="221" t="s">
        <v>379</v>
      </c>
      <c r="D2384" s="231" t="s">
        <v>49</v>
      </c>
      <c r="E2384" s="231" t="s">
        <v>101</v>
      </c>
      <c r="F2384" s="231" t="s">
        <v>101</v>
      </c>
      <c r="G2384" s="238">
        <f>MROUND(H2384*L2384*I2384/K2384,0.000000000001)</f>
        <v>0</v>
      </c>
      <c r="H2384" s="160"/>
      <c r="I2384" s="159">
        <f>I2382</f>
        <v>1.644E-2</v>
      </c>
      <c r="J2384" s="160"/>
      <c r="K2384" s="161">
        <f>K2382</f>
        <v>13968</v>
      </c>
      <c r="L2384" s="250">
        <v>1</v>
      </c>
      <c r="M2384" s="163"/>
      <c r="N2384" s="278"/>
      <c r="O2384" s="280">
        <f>MROUND(N2384*G2384,0.000001)</f>
        <v>0</v>
      </c>
      <c r="P2384" s="166"/>
      <c r="Q2384" s="166">
        <f>O2384*K2384</f>
        <v>0</v>
      </c>
      <c r="R2384" s="71"/>
    </row>
    <row r="2385" spans="1:41" s="109" customFormat="1" x14ac:dyDescent="0.25">
      <c r="A2385" s="358"/>
      <c r="B2385" s="361"/>
      <c r="C2385" s="218" t="s">
        <v>380</v>
      </c>
      <c r="D2385" s="232"/>
      <c r="E2385" s="232"/>
      <c r="F2385" s="232"/>
      <c r="G2385" s="227"/>
      <c r="H2385" s="228"/>
      <c r="I2385" s="206"/>
      <c r="J2385" s="228"/>
      <c r="K2385" s="207"/>
      <c r="L2385" s="257"/>
      <c r="M2385" s="209"/>
      <c r="N2385" s="281"/>
      <c r="O2385" s="279">
        <f>SUM(O2382:O2384)</f>
        <v>11.769759449</v>
      </c>
      <c r="P2385" s="267"/>
      <c r="Q2385" s="166"/>
      <c r="R2385" s="72"/>
      <c r="S2385" s="62"/>
      <c r="T2385" s="62"/>
      <c r="U2385" s="62"/>
      <c r="V2385" s="62"/>
      <c r="W2385" s="62"/>
      <c r="X2385" s="62"/>
      <c r="Y2385" s="62"/>
      <c r="Z2385" s="62"/>
      <c r="AA2385" s="62"/>
      <c r="AB2385" s="62"/>
      <c r="AC2385" s="62"/>
      <c r="AD2385" s="62"/>
      <c r="AE2385" s="62"/>
      <c r="AF2385" s="62"/>
      <c r="AG2385" s="62"/>
      <c r="AH2385" s="62"/>
      <c r="AI2385" s="62"/>
      <c r="AJ2385" s="62"/>
      <c r="AK2385" s="62"/>
      <c r="AL2385" s="62"/>
      <c r="AM2385" s="62"/>
      <c r="AN2385" s="62"/>
      <c r="AO2385" s="62"/>
    </row>
    <row r="2386" spans="1:41" s="61" customFormat="1" x14ac:dyDescent="0.25">
      <c r="A2386" s="358"/>
      <c r="B2386" s="361"/>
      <c r="C2386" s="221" t="s">
        <v>76</v>
      </c>
      <c r="D2386" s="231" t="s">
        <v>49</v>
      </c>
      <c r="E2386" s="231" t="s">
        <v>22</v>
      </c>
      <c r="F2386" s="231" t="s">
        <v>22</v>
      </c>
      <c r="G2386" s="238">
        <f>MROUND(H2386*L2386*I2386/K2386,0.000000000001)</f>
        <v>2.2025927835E-2</v>
      </c>
      <c r="H2386" s="160">
        <f>H2076</f>
        <v>18714</v>
      </c>
      <c r="I2386" s="159">
        <f>I2384</f>
        <v>1.644E-2</v>
      </c>
      <c r="J2386" s="160"/>
      <c r="K2386" s="161">
        <f>K2384</f>
        <v>13968</v>
      </c>
      <c r="L2386" s="250">
        <v>1</v>
      </c>
      <c r="M2386" s="163" t="str">
        <f>CONCATENATE(H2386," ",F2386,"*",I2386,"/",K2386,"чел/час")</f>
        <v>18714 м2*0,01644/13968чел/час</v>
      </c>
      <c r="N2386" s="278">
        <f>N2076</f>
        <v>3265.8708987923478</v>
      </c>
      <c r="O2386" s="280">
        <f>MROUND(N2386*G2386,0.000000001)-0.00009</f>
        <v>71.933746735</v>
      </c>
      <c r="P2386" s="166"/>
      <c r="Q2386" s="166">
        <f>O2386*K2386</f>
        <v>1004770.57439448</v>
      </c>
      <c r="R2386" s="71"/>
    </row>
    <row r="2387" spans="1:41" s="61" customFormat="1" x14ac:dyDescent="0.25">
      <c r="A2387" s="358"/>
      <c r="B2387" s="361"/>
      <c r="C2387" s="221"/>
      <c r="D2387" s="231" t="s">
        <v>49</v>
      </c>
      <c r="E2387" s="231" t="s">
        <v>28</v>
      </c>
      <c r="F2387" s="231" t="s">
        <v>28</v>
      </c>
      <c r="G2387" s="238">
        <f>MROUND(H2387*L2387*I2387/K2387,0.000000000001)</f>
        <v>2.3539518899999998E-4</v>
      </c>
      <c r="H2387" s="160">
        <f>H2077</f>
        <v>200</v>
      </c>
      <c r="I2387" s="159">
        <f>I2386</f>
        <v>1.644E-2</v>
      </c>
      <c r="J2387" s="160"/>
      <c r="K2387" s="161">
        <f>K2386</f>
        <v>13968</v>
      </c>
      <c r="L2387" s="250">
        <v>1</v>
      </c>
      <c r="M2387" s="163" t="str">
        <f>CONCATENATE(H2387," ",F2387,"*",I2387,"/",K2387,"чел/час")</f>
        <v>200 шт*0,01644/13968чел/час</v>
      </c>
      <c r="N2387" s="278">
        <f>N2077</f>
        <v>108250</v>
      </c>
      <c r="O2387" s="280">
        <f>MROUND(N2387*G2387,0.000000001)</f>
        <v>25.481529209000001</v>
      </c>
      <c r="P2387" s="166"/>
      <c r="Q2387" s="166">
        <f>O2387*K2387</f>
        <v>355925.99999131204</v>
      </c>
      <c r="R2387" s="71"/>
    </row>
    <row r="2388" spans="1:41" s="61" customFormat="1" x14ac:dyDescent="0.25">
      <c r="A2388" s="358"/>
      <c r="B2388" s="361"/>
      <c r="C2388" s="221"/>
      <c r="D2388" s="231" t="s">
        <v>49</v>
      </c>
      <c r="E2388" s="231" t="s">
        <v>101</v>
      </c>
      <c r="F2388" s="231" t="s">
        <v>101</v>
      </c>
      <c r="G2388" s="238">
        <f>MROUND(H2388*L2388*I2388/K2388,0.000000000001)</f>
        <v>2.61524055E-3</v>
      </c>
      <c r="H2388" s="160">
        <f>H2078</f>
        <v>2222</v>
      </c>
      <c r="I2388" s="159">
        <f>I2386</f>
        <v>1.644E-2</v>
      </c>
      <c r="J2388" s="160"/>
      <c r="K2388" s="161">
        <f>K2386</f>
        <v>13968</v>
      </c>
      <c r="L2388" s="250">
        <v>1</v>
      </c>
      <c r="M2388" s="163" t="str">
        <f>CONCATENATE(H2388," ",F2388,"*",I2388,"/",K2388,"чел/час")</f>
        <v>2222 погон.м.*0,01644/13968чел/час</v>
      </c>
      <c r="N2388" s="278">
        <f>N2078</f>
        <v>5049.5049504950493</v>
      </c>
      <c r="O2388" s="280">
        <f>MROUND(N2388*G2388,0.000001)</f>
        <v>13.20567</v>
      </c>
      <c r="P2388" s="166"/>
      <c r="Q2388" s="166">
        <f>O2388*K2388</f>
        <v>184456.79856</v>
      </c>
      <c r="R2388" s="71"/>
    </row>
    <row r="2389" spans="1:41" s="109" customFormat="1" x14ac:dyDescent="0.25">
      <c r="A2389" s="358"/>
      <c r="B2389" s="361"/>
      <c r="C2389" s="218" t="s">
        <v>291</v>
      </c>
      <c r="D2389" s="232"/>
      <c r="E2389" s="232"/>
      <c r="F2389" s="232"/>
      <c r="G2389" s="227"/>
      <c r="H2389" s="228"/>
      <c r="I2389" s="206"/>
      <c r="J2389" s="228"/>
      <c r="K2389" s="207"/>
      <c r="L2389" s="257"/>
      <c r="M2389" s="209"/>
      <c r="N2389" s="281"/>
      <c r="O2389" s="279">
        <f>SUM(O2386:O2388)</f>
        <v>110.620945944</v>
      </c>
      <c r="P2389" s="267"/>
      <c r="Q2389" s="166"/>
      <c r="R2389" s="72"/>
      <c r="S2389" s="62"/>
      <c r="T2389" s="62"/>
      <c r="U2389" s="62"/>
      <c r="V2389" s="62"/>
      <c r="W2389" s="62"/>
      <c r="X2389" s="62"/>
      <c r="Y2389" s="62"/>
      <c r="Z2389" s="62"/>
      <c r="AA2389" s="62"/>
      <c r="AB2389" s="62"/>
      <c r="AC2389" s="62"/>
      <c r="AD2389" s="62"/>
      <c r="AE2389" s="62"/>
      <c r="AF2389" s="62"/>
      <c r="AG2389" s="62"/>
      <c r="AH2389" s="62"/>
      <c r="AI2389" s="62"/>
      <c r="AJ2389" s="62"/>
      <c r="AK2389" s="62"/>
      <c r="AL2389" s="62"/>
      <c r="AM2389" s="62"/>
      <c r="AN2389" s="62"/>
      <c r="AO2389" s="62"/>
    </row>
    <row r="2390" spans="1:41" s="61" customFormat="1" x14ac:dyDescent="0.25">
      <c r="A2390" s="358"/>
      <c r="B2390" s="361"/>
      <c r="C2390" s="221" t="s">
        <v>77</v>
      </c>
      <c r="D2390" s="231"/>
      <c r="E2390" s="231"/>
      <c r="F2390" s="231"/>
      <c r="G2390" s="238">
        <f>MROUND(H2390*L2390*I2390/K2390,0.000000000001)</f>
        <v>0</v>
      </c>
      <c r="H2390" s="160"/>
      <c r="I2390" s="159">
        <f>I2388</f>
        <v>1.644E-2</v>
      </c>
      <c r="J2390" s="160"/>
      <c r="K2390" s="161">
        <f>K2388</f>
        <v>13968</v>
      </c>
      <c r="L2390" s="250"/>
      <c r="M2390" s="163"/>
      <c r="N2390" s="278"/>
      <c r="O2390" s="280">
        <f>MROUND(N2390*G2390,0.000001)</f>
        <v>0</v>
      </c>
      <c r="P2390" s="166"/>
      <c r="Q2390" s="166">
        <f>O2390*K2390</f>
        <v>0</v>
      </c>
      <c r="R2390" s="71"/>
    </row>
    <row r="2391" spans="1:41" s="109" customFormat="1" x14ac:dyDescent="0.25">
      <c r="A2391" s="358"/>
      <c r="B2391" s="361"/>
      <c r="C2391" s="218" t="s">
        <v>292</v>
      </c>
      <c r="D2391" s="232"/>
      <c r="E2391" s="232"/>
      <c r="F2391" s="232"/>
      <c r="G2391" s="227"/>
      <c r="H2391" s="228"/>
      <c r="I2391" s="206"/>
      <c r="J2391" s="228"/>
      <c r="K2391" s="207"/>
      <c r="L2391" s="257"/>
      <c r="M2391" s="209"/>
      <c r="N2391" s="281"/>
      <c r="O2391" s="279">
        <f>O2390</f>
        <v>0</v>
      </c>
      <c r="P2391" s="267"/>
      <c r="Q2391" s="166"/>
      <c r="R2391" s="72"/>
      <c r="S2391" s="62"/>
      <c r="T2391" s="62"/>
      <c r="U2391" s="62"/>
      <c r="V2391" s="62"/>
      <c r="W2391" s="62"/>
      <c r="X2391" s="62"/>
      <c r="Y2391" s="62"/>
      <c r="Z2391" s="62"/>
      <c r="AA2391" s="62"/>
      <c r="AB2391" s="62"/>
      <c r="AC2391" s="62"/>
      <c r="AD2391" s="62"/>
      <c r="AE2391" s="62"/>
      <c r="AF2391" s="62"/>
      <c r="AG2391" s="62"/>
      <c r="AH2391" s="62"/>
      <c r="AI2391" s="62"/>
      <c r="AJ2391" s="62"/>
      <c r="AK2391" s="62"/>
      <c r="AL2391" s="62"/>
      <c r="AM2391" s="62"/>
      <c r="AN2391" s="62"/>
      <c r="AO2391" s="62"/>
    </row>
    <row r="2392" spans="1:41" s="108" customFormat="1" x14ac:dyDescent="0.25">
      <c r="A2392" s="358"/>
      <c r="B2392" s="361"/>
      <c r="C2392" s="221"/>
      <c r="D2392" s="350" t="s">
        <v>65</v>
      </c>
      <c r="E2392" s="350"/>
      <c r="F2392" s="350"/>
      <c r="G2392" s="350"/>
      <c r="H2392" s="195"/>
      <c r="I2392" s="159"/>
      <c r="J2392" s="195"/>
      <c r="K2392" s="161"/>
      <c r="L2392" s="196"/>
      <c r="M2392" s="230"/>
      <c r="N2392" s="278"/>
      <c r="O2392" s="280"/>
      <c r="P2392" s="166"/>
      <c r="Q2392" s="166">
        <f t="shared" ref="Q2392:Q2411" si="501">O2392*K2392</f>
        <v>0</v>
      </c>
      <c r="R2392" s="71"/>
      <c r="S2392" s="61"/>
      <c r="T2392" s="61"/>
      <c r="U2392" s="61"/>
      <c r="V2392" s="61"/>
      <c r="W2392" s="61"/>
      <c r="X2392" s="61"/>
      <c r="Y2392" s="61"/>
      <c r="Z2392" s="61"/>
      <c r="AA2392" s="61"/>
      <c r="AB2392" s="61"/>
      <c r="AC2392" s="61"/>
      <c r="AD2392" s="61"/>
      <c r="AE2392" s="61"/>
      <c r="AF2392" s="61"/>
      <c r="AG2392" s="61"/>
      <c r="AH2392" s="61"/>
      <c r="AI2392" s="61"/>
      <c r="AJ2392" s="61"/>
      <c r="AK2392" s="61"/>
      <c r="AL2392" s="61"/>
      <c r="AM2392" s="61"/>
      <c r="AN2392" s="61"/>
      <c r="AO2392" s="61"/>
    </row>
    <row r="2393" spans="1:41" s="108" customFormat="1" x14ac:dyDescent="0.25">
      <c r="A2393" s="358"/>
      <c r="B2393" s="361"/>
      <c r="C2393" s="221"/>
      <c r="D2393" s="194"/>
      <c r="E2393" s="194"/>
      <c r="F2393" s="194"/>
      <c r="G2393" s="217"/>
      <c r="H2393" s="195"/>
      <c r="I2393" s="159"/>
      <c r="J2393" s="195"/>
      <c r="K2393" s="161"/>
      <c r="L2393" s="196"/>
      <c r="M2393" s="230"/>
      <c r="N2393" s="278"/>
      <c r="O2393" s="280"/>
      <c r="P2393" s="166"/>
      <c r="Q2393" s="166">
        <f t="shared" si="501"/>
        <v>0</v>
      </c>
      <c r="R2393" s="71"/>
      <c r="S2393" s="61"/>
      <c r="T2393" s="61"/>
      <c r="U2393" s="61"/>
      <c r="V2393" s="61"/>
      <c r="W2393" s="61"/>
      <c r="X2393" s="61"/>
      <c r="Y2393" s="61"/>
      <c r="Z2393" s="61"/>
      <c r="AA2393" s="61"/>
      <c r="AB2393" s="61"/>
      <c r="AC2393" s="61"/>
      <c r="AD2393" s="61"/>
      <c r="AE2393" s="61"/>
      <c r="AF2393" s="61"/>
      <c r="AG2393" s="61"/>
      <c r="AH2393" s="61"/>
      <c r="AI2393" s="61"/>
      <c r="AJ2393" s="61"/>
      <c r="AK2393" s="61"/>
      <c r="AL2393" s="61"/>
      <c r="AM2393" s="61"/>
      <c r="AN2393" s="61"/>
      <c r="AO2393" s="61"/>
    </row>
    <row r="2394" spans="1:41" s="108" customFormat="1" x14ac:dyDescent="0.25">
      <c r="A2394" s="358"/>
      <c r="B2394" s="361"/>
      <c r="C2394" s="365" t="s">
        <v>357</v>
      </c>
      <c r="D2394" s="368" t="s">
        <v>66</v>
      </c>
      <c r="E2394" s="368"/>
      <c r="F2394" s="368"/>
      <c r="G2394" s="368"/>
      <c r="H2394" s="195"/>
      <c r="I2394" s="159"/>
      <c r="J2394" s="195"/>
      <c r="K2394" s="161"/>
      <c r="L2394" s="196"/>
      <c r="M2394" s="230"/>
      <c r="N2394" s="278"/>
      <c r="O2394" s="279">
        <f>O2400</f>
        <v>0.52725599999999995</v>
      </c>
      <c r="P2394" s="166"/>
      <c r="Q2394" s="166">
        <f t="shared" si="501"/>
        <v>0</v>
      </c>
      <c r="R2394" s="71"/>
      <c r="S2394" s="61"/>
      <c r="T2394" s="61"/>
      <c r="U2394" s="61"/>
      <c r="V2394" s="61"/>
      <c r="W2394" s="61"/>
      <c r="X2394" s="61"/>
      <c r="Y2394" s="61"/>
      <c r="Z2394" s="61"/>
      <c r="AA2394" s="61"/>
      <c r="AB2394" s="61"/>
      <c r="AC2394" s="61"/>
      <c r="AD2394" s="61"/>
      <c r="AE2394" s="61"/>
      <c r="AF2394" s="61"/>
      <c r="AG2394" s="61"/>
      <c r="AH2394" s="61"/>
      <c r="AI2394" s="61"/>
      <c r="AJ2394" s="61"/>
      <c r="AK2394" s="61"/>
      <c r="AL2394" s="61"/>
      <c r="AM2394" s="61"/>
      <c r="AN2394" s="61"/>
      <c r="AO2394" s="61"/>
    </row>
    <row r="2395" spans="1:41" s="61" customFormat="1" x14ac:dyDescent="0.25">
      <c r="A2395" s="358"/>
      <c r="B2395" s="361"/>
      <c r="C2395" s="366"/>
      <c r="D2395" s="284" t="s">
        <v>241</v>
      </c>
      <c r="E2395" s="156" t="s">
        <v>28</v>
      </c>
      <c r="F2395" s="156" t="s">
        <v>28</v>
      </c>
      <c r="G2395" s="238">
        <f>MROUND(H2395*L2395*I2395/K2395,0.000000000001)</f>
        <v>2.4010309299999998E-4</v>
      </c>
      <c r="H2395" s="158">
        <f>H2085</f>
        <v>17</v>
      </c>
      <c r="I2395" s="159">
        <f>I2388</f>
        <v>1.644E-2</v>
      </c>
      <c r="J2395" s="160"/>
      <c r="K2395" s="161">
        <f>K2388</f>
        <v>13968</v>
      </c>
      <c r="L2395" s="250">
        <v>12</v>
      </c>
      <c r="M2395" s="163" t="str">
        <f>CONCATENATE(H2395," ",F2395,"*",L2395,"мес.","*",I2395,"/",K2395,"чел/час")</f>
        <v>17 шт*12мес.*0,01644/13968чел/час</v>
      </c>
      <c r="N2395" s="278">
        <f>N2085</f>
        <v>327.76936274509802</v>
      </c>
      <c r="O2395" s="280">
        <f>MROUND(N2395*G2395,0.000001)</f>
        <v>7.869799999999999E-2</v>
      </c>
      <c r="P2395" s="166"/>
      <c r="Q2395" s="166">
        <f t="shared" si="501"/>
        <v>1099.2536639999998</v>
      </c>
      <c r="R2395" s="71"/>
    </row>
    <row r="2396" spans="1:41" s="61" customFormat="1" x14ac:dyDescent="0.25">
      <c r="A2396" s="358"/>
      <c r="B2396" s="361"/>
      <c r="C2396" s="366"/>
      <c r="D2396" s="284" t="s">
        <v>242</v>
      </c>
      <c r="E2396" s="156" t="s">
        <v>243</v>
      </c>
      <c r="F2396" s="156" t="s">
        <v>243</v>
      </c>
      <c r="G2396" s="238">
        <f>MROUND(H2396*L2396*I2396/K2396,0.000000000001)</f>
        <v>0.24442494845400001</v>
      </c>
      <c r="H2396" s="158">
        <f>H2086</f>
        <v>17306</v>
      </c>
      <c r="I2396" s="159">
        <f>I2395</f>
        <v>1.644E-2</v>
      </c>
      <c r="J2396" s="160"/>
      <c r="K2396" s="161">
        <f>K2395</f>
        <v>13968</v>
      </c>
      <c r="L2396" s="250">
        <v>12</v>
      </c>
      <c r="M2396" s="163" t="str">
        <f>CONCATENATE(H2396," ",F2396,"*",L2396,"мес.","*",I2396,"/",K2396,"чел/час")</f>
        <v>17306 мин.*12мес.*0,01644/13968чел/час</v>
      </c>
      <c r="N2396" s="278">
        <f>N2086</f>
        <v>0.78480002118725689</v>
      </c>
      <c r="O2396" s="280">
        <f>MROUND(N2396*G2396,0.000001)</f>
        <v>0.191825</v>
      </c>
      <c r="P2396" s="166"/>
      <c r="Q2396" s="166">
        <f t="shared" si="501"/>
        <v>2679.4115999999999</v>
      </c>
      <c r="R2396" s="71"/>
    </row>
    <row r="2397" spans="1:41" s="61" customFormat="1" ht="31.5" x14ac:dyDescent="0.25">
      <c r="A2397" s="358"/>
      <c r="B2397" s="361"/>
      <c r="C2397" s="366"/>
      <c r="D2397" s="285" t="s">
        <v>244</v>
      </c>
      <c r="E2397" s="286" t="s">
        <v>245</v>
      </c>
      <c r="F2397" s="286" t="s">
        <v>247</v>
      </c>
      <c r="G2397" s="238">
        <f>MROUND(H2397*L2397*I2397/K2397,0.000000000001)</f>
        <v>7.0618557000000004E-5</v>
      </c>
      <c r="H2397" s="158">
        <f>H2087</f>
        <v>5</v>
      </c>
      <c r="I2397" s="159">
        <f>I2396</f>
        <v>1.644E-2</v>
      </c>
      <c r="J2397" s="160"/>
      <c r="K2397" s="161">
        <f>K2396</f>
        <v>13968</v>
      </c>
      <c r="L2397" s="250">
        <v>12</v>
      </c>
      <c r="M2397" s="163" t="str">
        <f>CONCATENATE(H2397," ",F2397,"*",L2397,"мес.","*",I2397,"/",K2397,"чел/час")</f>
        <v>5 радиоточек*12мес.*0,01644/13968чел/час</v>
      </c>
      <c r="N2397" s="278">
        <f>N2087</f>
        <v>165.68000000000004</v>
      </c>
      <c r="O2397" s="280">
        <f>MROUND(N2397*G2397,0.000001)</f>
        <v>1.17E-2</v>
      </c>
      <c r="P2397" s="166"/>
      <c r="Q2397" s="166">
        <f t="shared" si="501"/>
        <v>163.4256</v>
      </c>
      <c r="R2397" s="71"/>
    </row>
    <row r="2398" spans="1:41" s="61" customFormat="1" ht="47.25" x14ac:dyDescent="0.25">
      <c r="A2398" s="358"/>
      <c r="B2398" s="361"/>
      <c r="C2398" s="366"/>
      <c r="D2398" s="285" t="s">
        <v>374</v>
      </c>
      <c r="E2398" s="156" t="s">
        <v>28</v>
      </c>
      <c r="F2398" s="156" t="s">
        <v>28</v>
      </c>
      <c r="G2398" s="238">
        <f>MROUND(H2398*L2398*I2398/K2398,0.000000000001)</f>
        <v>3.2955325999999997E-5</v>
      </c>
      <c r="H2398" s="158">
        <f>H2088</f>
        <v>7</v>
      </c>
      <c r="I2398" s="159">
        <f>I2396</f>
        <v>1.644E-2</v>
      </c>
      <c r="J2398" s="160"/>
      <c r="K2398" s="161">
        <f>K2396</f>
        <v>13968</v>
      </c>
      <c r="L2398" s="250">
        <f>L2088</f>
        <v>4</v>
      </c>
      <c r="M2398" s="163" t="str">
        <f>CONCATENATE(H2398," ",F2398,"*",L2398,"мес.","*",I2398,"/",K2398,"чел/час")</f>
        <v>7 шт*4мес.*0,01644/13968чел/час</v>
      </c>
      <c r="N2398" s="278">
        <f>N2088</f>
        <v>1256.0399999999997</v>
      </c>
      <c r="O2398" s="280">
        <f>MROUND(N2398*G2398,0.000001)</f>
        <v>4.1392999999999999E-2</v>
      </c>
      <c r="P2398" s="166"/>
      <c r="Q2398" s="166">
        <f t="shared" si="501"/>
        <v>578.17742399999997</v>
      </c>
      <c r="R2398" s="71"/>
    </row>
    <row r="2399" spans="1:41" s="61" customFormat="1" x14ac:dyDescent="0.25">
      <c r="A2399" s="358"/>
      <c r="B2399" s="361"/>
      <c r="C2399" s="367"/>
      <c r="D2399" s="284" t="s">
        <v>246</v>
      </c>
      <c r="E2399" s="156" t="s">
        <v>28</v>
      </c>
      <c r="F2399" s="156" t="s">
        <v>28</v>
      </c>
      <c r="G2399" s="238">
        <f>MROUND(H2399*L2399*I2399/K2399,0.000000000001)</f>
        <v>7.0618557000000004E-5</v>
      </c>
      <c r="H2399" s="158">
        <v>5</v>
      </c>
      <c r="I2399" s="159">
        <f>I2397</f>
        <v>1.644E-2</v>
      </c>
      <c r="J2399" s="160"/>
      <c r="K2399" s="161">
        <f>K2397</f>
        <v>13968</v>
      </c>
      <c r="L2399" s="250">
        <v>12</v>
      </c>
      <c r="M2399" s="163" t="str">
        <f>CONCATENATE(H2399," ",F2399,"*",L2399,"мес.","*",I2399,"/",K2399,"чел/час")</f>
        <v>5 шт*12мес.*0,01644/13968чел/час</v>
      </c>
      <c r="N2399" s="278">
        <f>N2089</f>
        <v>2883.6603333333333</v>
      </c>
      <c r="O2399" s="280">
        <f>MROUND(N2399*G2399,0.000001)</f>
        <v>0.20363999999999999</v>
      </c>
      <c r="P2399" s="166"/>
      <c r="Q2399" s="166">
        <f t="shared" si="501"/>
        <v>2844.4435199999998</v>
      </c>
      <c r="R2399" s="71"/>
    </row>
    <row r="2400" spans="1:41" s="109" customFormat="1" x14ac:dyDescent="0.25">
      <c r="A2400" s="358"/>
      <c r="B2400" s="361"/>
      <c r="C2400" s="218" t="s">
        <v>358</v>
      </c>
      <c r="D2400" s="287"/>
      <c r="E2400" s="287"/>
      <c r="F2400" s="287"/>
      <c r="G2400" s="288"/>
      <c r="H2400" s="214"/>
      <c r="I2400" s="206"/>
      <c r="J2400" s="214"/>
      <c r="K2400" s="207"/>
      <c r="L2400" s="215"/>
      <c r="M2400" s="289"/>
      <c r="N2400" s="281"/>
      <c r="O2400" s="279">
        <f>SUM(O2395:O2399)</f>
        <v>0.52725599999999995</v>
      </c>
      <c r="P2400" s="267"/>
      <c r="Q2400" s="166">
        <f t="shared" si="501"/>
        <v>0</v>
      </c>
      <c r="R2400" s="71"/>
      <c r="S2400" s="62"/>
      <c r="T2400" s="62"/>
      <c r="U2400" s="62"/>
      <c r="V2400" s="62"/>
      <c r="W2400" s="62"/>
      <c r="X2400" s="62"/>
      <c r="Y2400" s="62"/>
      <c r="Z2400" s="62"/>
      <c r="AA2400" s="62"/>
      <c r="AB2400" s="62"/>
      <c r="AC2400" s="62"/>
      <c r="AD2400" s="62"/>
      <c r="AE2400" s="62"/>
      <c r="AF2400" s="62"/>
      <c r="AG2400" s="62"/>
      <c r="AH2400" s="62"/>
      <c r="AI2400" s="62"/>
      <c r="AJ2400" s="62"/>
      <c r="AK2400" s="62"/>
      <c r="AL2400" s="62"/>
      <c r="AM2400" s="62"/>
      <c r="AN2400" s="62"/>
      <c r="AO2400" s="62"/>
    </row>
    <row r="2401" spans="1:41" s="108" customFormat="1" x14ac:dyDescent="0.25">
      <c r="A2401" s="358"/>
      <c r="B2401" s="361"/>
      <c r="C2401" s="365" t="s">
        <v>366</v>
      </c>
      <c r="D2401" s="368" t="s">
        <v>67</v>
      </c>
      <c r="E2401" s="368"/>
      <c r="F2401" s="368"/>
      <c r="G2401" s="368"/>
      <c r="H2401" s="195"/>
      <c r="I2401" s="159"/>
      <c r="J2401" s="195"/>
      <c r="K2401" s="161"/>
      <c r="L2401" s="196"/>
      <c r="M2401" s="230"/>
      <c r="N2401" s="278"/>
      <c r="O2401" s="279">
        <f>O2402</f>
        <v>7.081599999999999E-2</v>
      </c>
      <c r="P2401" s="166"/>
      <c r="Q2401" s="166">
        <f t="shared" si="501"/>
        <v>0</v>
      </c>
      <c r="R2401" s="71"/>
      <c r="S2401" s="61"/>
      <c r="T2401" s="61"/>
      <c r="U2401" s="61"/>
      <c r="V2401" s="61"/>
      <c r="W2401" s="61"/>
      <c r="X2401" s="61"/>
      <c r="Y2401" s="61"/>
      <c r="Z2401" s="61"/>
      <c r="AA2401" s="61"/>
      <c r="AB2401" s="61"/>
      <c r="AC2401" s="61"/>
      <c r="AD2401" s="61"/>
      <c r="AE2401" s="61"/>
      <c r="AF2401" s="61"/>
      <c r="AG2401" s="61"/>
      <c r="AH2401" s="61"/>
      <c r="AI2401" s="61"/>
      <c r="AJ2401" s="61"/>
      <c r="AK2401" s="61"/>
      <c r="AL2401" s="61"/>
      <c r="AM2401" s="61"/>
      <c r="AN2401" s="61"/>
      <c r="AO2401" s="61"/>
    </row>
    <row r="2402" spans="1:41" s="61" customFormat="1" x14ac:dyDescent="0.25">
      <c r="A2402" s="358"/>
      <c r="B2402" s="361"/>
      <c r="C2402" s="367"/>
      <c r="D2402" s="194" t="s">
        <v>367</v>
      </c>
      <c r="E2402" s="156" t="s">
        <v>28</v>
      </c>
      <c r="F2402" s="156" t="s">
        <v>28</v>
      </c>
      <c r="G2402" s="238">
        <f>MROUND(H2402*L2402*I2402/K2402,0.000000000001)</f>
        <v>2.8247423E-5</v>
      </c>
      <c r="H2402" s="158">
        <f>H2092</f>
        <v>2</v>
      </c>
      <c r="I2402" s="159">
        <f>I2399</f>
        <v>1.644E-2</v>
      </c>
      <c r="J2402" s="160"/>
      <c r="K2402" s="161">
        <f>K2399</f>
        <v>13968</v>
      </c>
      <c r="L2402" s="250">
        <v>12</v>
      </c>
      <c r="M2402" s="163" t="str">
        <f>CONCATENATE(H2402," ",F2402,"*",L2402,"мес.","*",I2402,"/",K2402,"чел/час")</f>
        <v>2 шт*12мес.*0,01644/13968чел/час</v>
      </c>
      <c r="N2402" s="278">
        <f>N2092</f>
        <v>2507</v>
      </c>
      <c r="O2402" s="280">
        <f>MROUND(N2402*G2402,0.000001)</f>
        <v>7.081599999999999E-2</v>
      </c>
      <c r="P2402" s="166"/>
      <c r="Q2402" s="166">
        <f t="shared" si="501"/>
        <v>989.15788799999984</v>
      </c>
      <c r="R2402" s="71"/>
    </row>
    <row r="2403" spans="1:41" s="108" customFormat="1" x14ac:dyDescent="0.25">
      <c r="A2403" s="358"/>
      <c r="B2403" s="361"/>
      <c r="C2403" s="221"/>
      <c r="D2403" s="350" t="s">
        <v>68</v>
      </c>
      <c r="E2403" s="350"/>
      <c r="F2403" s="350"/>
      <c r="G2403" s="350"/>
      <c r="H2403" s="195"/>
      <c r="I2403" s="159"/>
      <c r="J2403" s="195"/>
      <c r="K2403" s="161"/>
      <c r="L2403" s="196"/>
      <c r="M2403" s="230"/>
      <c r="N2403" s="278"/>
      <c r="O2403" s="280"/>
      <c r="P2403" s="166"/>
      <c r="Q2403" s="166">
        <f t="shared" si="501"/>
        <v>0</v>
      </c>
      <c r="R2403" s="71"/>
      <c r="S2403" s="61"/>
      <c r="T2403" s="61"/>
      <c r="U2403" s="61"/>
      <c r="V2403" s="61"/>
      <c r="W2403" s="61"/>
      <c r="X2403" s="61"/>
      <c r="Y2403" s="61"/>
      <c r="Z2403" s="61"/>
      <c r="AA2403" s="61"/>
      <c r="AB2403" s="61"/>
      <c r="AC2403" s="61"/>
      <c r="AD2403" s="61"/>
      <c r="AE2403" s="61"/>
      <c r="AF2403" s="61"/>
      <c r="AG2403" s="61"/>
      <c r="AH2403" s="61"/>
      <c r="AI2403" s="61"/>
      <c r="AJ2403" s="61"/>
      <c r="AK2403" s="61"/>
      <c r="AL2403" s="61"/>
      <c r="AM2403" s="61"/>
      <c r="AN2403" s="61"/>
      <c r="AO2403" s="61"/>
    </row>
    <row r="2404" spans="1:41" s="108" customFormat="1" x14ac:dyDescent="0.25">
      <c r="A2404" s="358"/>
      <c r="B2404" s="361"/>
      <c r="C2404" s="221"/>
      <c r="D2404" s="156"/>
      <c r="E2404" s="156"/>
      <c r="F2404" s="156"/>
      <c r="G2404" s="236"/>
      <c r="H2404" s="195"/>
      <c r="I2404" s="159"/>
      <c r="J2404" s="195"/>
      <c r="K2404" s="161"/>
      <c r="L2404" s="196"/>
      <c r="M2404" s="230"/>
      <c r="N2404" s="278"/>
      <c r="O2404" s="280"/>
      <c r="P2404" s="166"/>
      <c r="Q2404" s="166">
        <f t="shared" si="501"/>
        <v>0</v>
      </c>
      <c r="R2404" s="71"/>
      <c r="S2404" s="61"/>
      <c r="T2404" s="61"/>
      <c r="U2404" s="61"/>
      <c r="V2404" s="61"/>
      <c r="W2404" s="61"/>
      <c r="X2404" s="61"/>
      <c r="Y2404" s="61"/>
      <c r="Z2404" s="61"/>
      <c r="AA2404" s="61"/>
      <c r="AB2404" s="61"/>
      <c r="AC2404" s="61"/>
      <c r="AD2404" s="61"/>
      <c r="AE2404" s="61"/>
      <c r="AF2404" s="61"/>
      <c r="AG2404" s="61"/>
      <c r="AH2404" s="61"/>
      <c r="AI2404" s="61"/>
      <c r="AJ2404" s="61"/>
      <c r="AK2404" s="61"/>
      <c r="AL2404" s="61"/>
      <c r="AM2404" s="61"/>
      <c r="AN2404" s="61"/>
      <c r="AO2404" s="61"/>
    </row>
    <row r="2405" spans="1:41" s="108" customFormat="1" x14ac:dyDescent="0.25">
      <c r="A2405" s="358"/>
      <c r="B2405" s="361"/>
      <c r="C2405" s="221"/>
      <c r="D2405" s="368" t="s">
        <v>69</v>
      </c>
      <c r="E2405" s="368"/>
      <c r="F2405" s="368"/>
      <c r="G2405" s="368"/>
      <c r="H2405" s="187"/>
      <c r="I2405" s="159"/>
      <c r="J2405" s="187"/>
      <c r="K2405" s="161"/>
      <c r="L2405" s="276"/>
      <c r="M2405" s="230"/>
      <c r="N2405" s="278"/>
      <c r="O2405" s="279">
        <f>O2412+O2428+O2431+O2444+O2445+O2446+O2457+O2459+O2463+O2460</f>
        <v>14.635738999999997</v>
      </c>
      <c r="P2405" s="166"/>
      <c r="Q2405" s="166">
        <f t="shared" si="501"/>
        <v>0</v>
      </c>
      <c r="R2405" s="71"/>
      <c r="S2405" s="61"/>
      <c r="T2405" s="61"/>
      <c r="U2405" s="61"/>
      <c r="V2405" s="61"/>
      <c r="W2405" s="61"/>
      <c r="X2405" s="61"/>
      <c r="Y2405" s="61"/>
      <c r="Z2405" s="61"/>
      <c r="AA2405" s="61"/>
      <c r="AB2405" s="61"/>
      <c r="AC2405" s="61"/>
      <c r="AD2405" s="61"/>
      <c r="AE2405" s="61"/>
      <c r="AF2405" s="61"/>
      <c r="AG2405" s="61"/>
      <c r="AH2405" s="61"/>
      <c r="AI2405" s="61"/>
      <c r="AJ2405" s="61"/>
      <c r="AK2405" s="61"/>
      <c r="AL2405" s="61"/>
      <c r="AM2405" s="61"/>
      <c r="AN2405" s="61"/>
      <c r="AO2405" s="61"/>
    </row>
    <row r="2406" spans="1:41" s="61" customFormat="1" ht="31.5" x14ac:dyDescent="0.25">
      <c r="A2406" s="358"/>
      <c r="B2406" s="361"/>
      <c r="C2406" s="365" t="s">
        <v>78</v>
      </c>
      <c r="D2406" s="156" t="s">
        <v>26</v>
      </c>
      <c r="E2406" s="156" t="s">
        <v>22</v>
      </c>
      <c r="F2406" s="156" t="s">
        <v>22</v>
      </c>
      <c r="G2406" s="238">
        <f t="shared" ref="G2406:G2411" si="502">MROUND(H2406*L2406*I2406/K2406,0.000000000001)</f>
        <v>7.0057280412000003E-2</v>
      </c>
      <c r="H2406" s="158">
        <f>H2096</f>
        <v>4960.26</v>
      </c>
      <c r="I2406" s="159">
        <f>I2402</f>
        <v>1.644E-2</v>
      </c>
      <c r="J2406" s="160"/>
      <c r="K2406" s="161">
        <f>K2402</f>
        <v>13968</v>
      </c>
      <c r="L2406" s="250">
        <v>12</v>
      </c>
      <c r="M2406" s="163" t="str">
        <f>CONCATENATE(H2406," ",F2406,"(обрабатываемая площадь в мес.)","*",L2406,"мес.","*",I2406,"/",K2406,"чел/час")</f>
        <v>4960,26 м2(обрабатываемая площадь в мес.)*12мес.*0,01644/13968чел/час</v>
      </c>
      <c r="N2406" s="278">
        <f>N2096</f>
        <v>1.1553999521530458</v>
      </c>
      <c r="O2406" s="280">
        <f>MROUND(N2406*G2406,0.000001)</f>
        <v>8.0944000000000002E-2</v>
      </c>
      <c r="P2406" s="166"/>
      <c r="Q2406" s="166">
        <f t="shared" si="501"/>
        <v>1130.625792</v>
      </c>
      <c r="R2406" s="71"/>
    </row>
    <row r="2407" spans="1:41" s="61" customFormat="1" ht="31.5" x14ac:dyDescent="0.25">
      <c r="A2407" s="358"/>
      <c r="B2407" s="361"/>
      <c r="C2407" s="366"/>
      <c r="D2407" s="296" t="s">
        <v>96</v>
      </c>
      <c r="E2407" s="296" t="s">
        <v>22</v>
      </c>
      <c r="F2407" s="296" t="s">
        <v>22</v>
      </c>
      <c r="G2407" s="238">
        <f t="shared" si="502"/>
        <v>3.8801507216000002E-2</v>
      </c>
      <c r="H2407" s="297">
        <f>H2097</f>
        <v>2747.26</v>
      </c>
      <c r="I2407" s="298">
        <f>I2406</f>
        <v>1.644E-2</v>
      </c>
      <c r="J2407" s="299"/>
      <c r="K2407" s="300">
        <f>K2406</f>
        <v>13968</v>
      </c>
      <c r="L2407" s="301">
        <v>12</v>
      </c>
      <c r="M2407" s="163" t="str">
        <f>CONCATENATE(H2407," ",F2407,"(обрабатываемая площадь в мес.)","*",L2407,"мес.","*",I2407,"/",K2407,"чел/час")</f>
        <v>2747,26 м2(обрабатываемая площадь в мес.)*12мес.*0,01644/13968чел/час</v>
      </c>
      <c r="N2407" s="302">
        <f>N2097</f>
        <v>1.6108668273115756</v>
      </c>
      <c r="O2407" s="303">
        <f>MROUND(N2407*G2407,0.000001)</f>
        <v>6.2504000000000004E-2</v>
      </c>
      <c r="P2407" s="166"/>
      <c r="Q2407" s="166">
        <f t="shared" si="501"/>
        <v>873.05587200000002</v>
      </c>
      <c r="R2407" s="71"/>
    </row>
    <row r="2408" spans="1:41" s="135" customFormat="1" ht="31.5" x14ac:dyDescent="0.25">
      <c r="A2408" s="358"/>
      <c r="B2408" s="361"/>
      <c r="C2408" s="366"/>
      <c r="D2408" s="156" t="s">
        <v>385</v>
      </c>
      <c r="E2408" s="156" t="s">
        <v>22</v>
      </c>
      <c r="F2408" s="156" t="s">
        <v>22</v>
      </c>
      <c r="G2408" s="238">
        <f t="shared" si="502"/>
        <v>7.7603014432999995E-2</v>
      </c>
      <c r="H2408" s="242">
        <f>$H$2098</f>
        <v>2747.26</v>
      </c>
      <c r="I2408" s="298">
        <f>I2407</f>
        <v>1.644E-2</v>
      </c>
      <c r="J2408" s="160"/>
      <c r="K2408" s="300">
        <f>K2407</f>
        <v>13968</v>
      </c>
      <c r="L2408" s="162">
        <v>24</v>
      </c>
      <c r="M2408" s="163" t="str">
        <f>CONCATENATE(H2408," ",F2408,"(обрабатываемая площадь в год)","*",L2408," раза в год.","*",I2408,"/",K2408,"чел.")</f>
        <v>2747,26 м2(обрабатываемая площадь в год)*24 раза в год.*0,01644/13968чел.</v>
      </c>
      <c r="N2408" s="164">
        <f>$N$2098</f>
        <v>1.7779423862321002</v>
      </c>
      <c r="O2408" s="165">
        <f>MROUND(G2408*N2408,0.000001)</f>
        <v>0.13797399999999999</v>
      </c>
      <c r="P2408" s="166"/>
      <c r="Q2408" s="166">
        <f t="shared" si="501"/>
        <v>1927.2208319999997</v>
      </c>
      <c r="R2408" s="71"/>
      <c r="S2408" s="61"/>
      <c r="T2408" s="61"/>
      <c r="U2408" s="61"/>
      <c r="V2408" s="61"/>
      <c r="W2408" s="61"/>
      <c r="X2408" s="61"/>
      <c r="Y2408" s="61"/>
      <c r="Z2408" s="61"/>
      <c r="AA2408" s="61"/>
      <c r="AB2408" s="61"/>
      <c r="AC2408" s="61"/>
      <c r="AD2408" s="61"/>
      <c r="AE2408" s="61"/>
      <c r="AF2408" s="61"/>
      <c r="AG2408" s="61"/>
      <c r="AH2408" s="61"/>
      <c r="AI2408" s="61"/>
      <c r="AJ2408" s="61"/>
      <c r="AK2408" s="61"/>
      <c r="AL2408" s="61"/>
      <c r="AM2408" s="61"/>
      <c r="AN2408" s="61"/>
      <c r="AO2408" s="61"/>
    </row>
    <row r="2409" spans="1:41" s="135" customFormat="1" ht="31.5" x14ac:dyDescent="0.25">
      <c r="A2409" s="358"/>
      <c r="B2409" s="361"/>
      <c r="C2409" s="366"/>
      <c r="D2409" s="156" t="s">
        <v>394</v>
      </c>
      <c r="E2409" s="156" t="s">
        <v>22</v>
      </c>
      <c r="F2409" s="156" t="s">
        <v>22</v>
      </c>
      <c r="G2409" s="238">
        <f t="shared" si="502"/>
        <v>7.0057280412000003E-2</v>
      </c>
      <c r="H2409" s="243">
        <f>$H$2099</f>
        <v>4960.26</v>
      </c>
      <c r="I2409" s="298">
        <f>I2408</f>
        <v>1.644E-2</v>
      </c>
      <c r="J2409" s="160"/>
      <c r="K2409" s="300">
        <f>K2408</f>
        <v>13968</v>
      </c>
      <c r="L2409" s="162">
        <v>12</v>
      </c>
      <c r="M2409" s="163" t="str">
        <f>CONCATENATE(H2409," ",F2409,"(обрабатываемая площадь в мес.)","*",L2409,"мес.","*",I2409,"/",K2409,"чел.")</f>
        <v>4960,26 м2(обрабатываемая площадь в мес.)*12мес.*0,01644/13968чел.</v>
      </c>
      <c r="N2409" s="164">
        <f>$N$2099</f>
        <v>0.54499999327992221</v>
      </c>
      <c r="O2409" s="165">
        <f>MROUND(G2409*N2409,0.000001)</f>
        <v>3.8181E-2</v>
      </c>
      <c r="P2409" s="166"/>
      <c r="Q2409" s="166">
        <f t="shared" si="501"/>
        <v>533.31220799999994</v>
      </c>
      <c r="R2409" s="71"/>
      <c r="S2409" s="61"/>
      <c r="T2409" s="61"/>
      <c r="U2409" s="61"/>
      <c r="V2409" s="61"/>
      <c r="W2409" s="61"/>
      <c r="X2409" s="61"/>
      <c r="Y2409" s="61"/>
      <c r="Z2409" s="61"/>
      <c r="AA2409" s="61"/>
      <c r="AB2409" s="61"/>
      <c r="AC2409" s="61"/>
      <c r="AD2409" s="61"/>
      <c r="AE2409" s="61"/>
      <c r="AF2409" s="61"/>
      <c r="AG2409" s="61"/>
      <c r="AH2409" s="61"/>
      <c r="AI2409" s="61"/>
      <c r="AJ2409" s="61"/>
      <c r="AK2409" s="61"/>
      <c r="AL2409" s="61"/>
      <c r="AM2409" s="61"/>
      <c r="AN2409" s="61"/>
      <c r="AO2409" s="61"/>
    </row>
    <row r="2410" spans="1:41" s="135" customFormat="1" ht="31.5" x14ac:dyDescent="0.25">
      <c r="A2410" s="358"/>
      <c r="B2410" s="361"/>
      <c r="C2410" s="366"/>
      <c r="D2410" s="156" t="s">
        <v>395</v>
      </c>
      <c r="E2410" s="156" t="s">
        <v>98</v>
      </c>
      <c r="F2410" s="156" t="s">
        <v>98</v>
      </c>
      <c r="G2410" s="238">
        <f t="shared" si="502"/>
        <v>2.2127149999999998E-6</v>
      </c>
      <c r="H2410" s="242">
        <f>$H$2100</f>
        <v>1.8800000000000001</v>
      </c>
      <c r="I2410" s="298">
        <f>I2409</f>
        <v>1.644E-2</v>
      </c>
      <c r="J2410" s="160"/>
      <c r="K2410" s="300">
        <f>K2409</f>
        <v>13968</v>
      </c>
      <c r="L2410" s="162">
        <v>1</v>
      </c>
      <c r="M2410" s="163" t="str">
        <f>CONCATENATE(H2410," ",F2410,"(обрабатываемая площадь в год)","*",L2410," раз в год","*",I2410,"/",K2410,"чел.")</f>
        <v>1,88 Га(обрабатываемая площадь в год)*1 раз в год*0,01644/13968чел.</v>
      </c>
      <c r="N2410" s="164">
        <f>$N$2100</f>
        <v>544.99999999999989</v>
      </c>
      <c r="O2410" s="165">
        <f>MROUND(G2410*N2410,0.000001)</f>
        <v>1.206E-3</v>
      </c>
      <c r="P2410" s="166"/>
      <c r="Q2410" s="166">
        <f t="shared" si="501"/>
        <v>16.845407999999999</v>
      </c>
      <c r="R2410" s="71"/>
      <c r="S2410" s="61"/>
      <c r="T2410" s="61"/>
      <c r="U2410" s="61"/>
      <c r="V2410" s="61"/>
      <c r="W2410" s="61"/>
      <c r="X2410" s="61"/>
      <c r="Y2410" s="61"/>
      <c r="Z2410" s="61"/>
      <c r="AA2410" s="61"/>
      <c r="AB2410" s="61"/>
      <c r="AC2410" s="61"/>
      <c r="AD2410" s="61"/>
      <c r="AE2410" s="61"/>
      <c r="AF2410" s="61"/>
      <c r="AG2410" s="61"/>
      <c r="AH2410" s="61"/>
      <c r="AI2410" s="61"/>
      <c r="AJ2410" s="61"/>
      <c r="AK2410" s="61"/>
      <c r="AL2410" s="61"/>
      <c r="AM2410" s="61"/>
      <c r="AN2410" s="61"/>
      <c r="AO2410" s="61"/>
    </row>
    <row r="2411" spans="1:41" s="61" customFormat="1" ht="31.5" x14ac:dyDescent="0.25">
      <c r="A2411" s="358"/>
      <c r="B2411" s="361"/>
      <c r="C2411" s="367"/>
      <c r="D2411" s="156" t="s">
        <v>97</v>
      </c>
      <c r="E2411" s="296" t="s">
        <v>363</v>
      </c>
      <c r="F2411" s="296" t="s">
        <v>363</v>
      </c>
      <c r="G2411" s="238">
        <f t="shared" si="502"/>
        <v>2.2127149999999998E-6</v>
      </c>
      <c r="H2411" s="158">
        <f>$H$2101</f>
        <v>1.8800000000000001</v>
      </c>
      <c r="I2411" s="298">
        <f>I2407</f>
        <v>1.644E-2</v>
      </c>
      <c r="J2411" s="299"/>
      <c r="K2411" s="300">
        <f>K2407</f>
        <v>13968</v>
      </c>
      <c r="L2411" s="301">
        <v>1</v>
      </c>
      <c r="M2411" s="163" t="str">
        <f>CONCATENATE(H2411," ",F2411,"(обрабатываемая площадь в мес.)","*",L2411,"мес.","*",I2411,"/",K2411,"чел/час")</f>
        <v>1,88 га(обрабатываемая площадь в мес.)*1мес.*0,01644/13968чел/час</v>
      </c>
      <c r="N2411" s="278">
        <f>$N$2101</f>
        <v>2965.9734042553187</v>
      </c>
      <c r="O2411" s="303">
        <f>MROUND(N2411*G2411,0.000001)</f>
        <v>6.5629999999999994E-3</v>
      </c>
      <c r="P2411" s="166"/>
      <c r="Q2411" s="166">
        <f t="shared" si="501"/>
        <v>91.671983999999995</v>
      </c>
      <c r="R2411" s="71"/>
    </row>
    <row r="2412" spans="1:41" s="111" customFormat="1" x14ac:dyDescent="0.25">
      <c r="A2412" s="358"/>
      <c r="B2412" s="361"/>
      <c r="C2412" s="218" t="s">
        <v>327</v>
      </c>
      <c r="D2412" s="240"/>
      <c r="E2412" s="240"/>
      <c r="F2412" s="240"/>
      <c r="G2412" s="227"/>
      <c r="H2412" s="241"/>
      <c r="I2412" s="206"/>
      <c r="J2412" s="228"/>
      <c r="K2412" s="207"/>
      <c r="L2412" s="257"/>
      <c r="M2412" s="209"/>
      <c r="N2412" s="281"/>
      <c r="O2412" s="279">
        <f>SUM(O2406:O2411)</f>
        <v>0.327372</v>
      </c>
      <c r="P2412" s="304"/>
      <c r="Q2412" s="166"/>
      <c r="R2412" s="71"/>
      <c r="S2412" s="113"/>
      <c r="T2412" s="113"/>
      <c r="U2412" s="113"/>
      <c r="V2412" s="113"/>
      <c r="W2412" s="113"/>
      <c r="X2412" s="113"/>
      <c r="Y2412" s="113"/>
      <c r="Z2412" s="113"/>
      <c r="AA2412" s="113"/>
      <c r="AB2412" s="113"/>
      <c r="AC2412" s="113"/>
      <c r="AD2412" s="113"/>
      <c r="AE2412" s="113"/>
      <c r="AF2412" s="113"/>
      <c r="AG2412" s="113"/>
      <c r="AH2412" s="113"/>
      <c r="AI2412" s="113"/>
      <c r="AJ2412" s="113"/>
      <c r="AK2412" s="113"/>
      <c r="AL2412" s="113"/>
      <c r="AM2412" s="113"/>
      <c r="AN2412" s="113"/>
      <c r="AO2412" s="113"/>
    </row>
    <row r="2413" spans="1:41" s="61" customFormat="1" x14ac:dyDescent="0.25">
      <c r="A2413" s="358"/>
      <c r="B2413" s="361"/>
      <c r="C2413" s="366" t="s">
        <v>77</v>
      </c>
      <c r="D2413" s="156" t="s">
        <v>397</v>
      </c>
      <c r="E2413" s="156" t="s">
        <v>433</v>
      </c>
      <c r="F2413" s="156" t="s">
        <v>433</v>
      </c>
      <c r="G2413" s="238">
        <f t="shared" ref="G2413:G2427" si="503">MROUND(H2413*L2413*I2413/K2413,0.000000000001)</f>
        <v>0</v>
      </c>
      <c r="H2413" s="305"/>
      <c r="I2413" s="306">
        <f>I2407</f>
        <v>1.644E-2</v>
      </c>
      <c r="J2413" s="307"/>
      <c r="K2413" s="308">
        <f>K2407</f>
        <v>13968</v>
      </c>
      <c r="L2413" s="162">
        <v>1</v>
      </c>
      <c r="M2413" s="163"/>
      <c r="N2413" s="309"/>
      <c r="O2413" s="310">
        <f t="shared" ref="O2413:O2427" si="504">MROUND(N2413*G2413,0.000001)</f>
        <v>0</v>
      </c>
      <c r="P2413" s="166"/>
      <c r="Q2413" s="166">
        <f t="shared" ref="Q2413:Q2427" si="505">O2413*K2413</f>
        <v>0</v>
      </c>
      <c r="R2413" s="71"/>
    </row>
    <row r="2414" spans="1:41" s="61" customFormat="1" ht="63" x14ac:dyDescent="0.25">
      <c r="A2414" s="358"/>
      <c r="B2414" s="361"/>
      <c r="C2414" s="366"/>
      <c r="D2414" s="156" t="s">
        <v>249</v>
      </c>
      <c r="E2414" s="156" t="s">
        <v>22</v>
      </c>
      <c r="F2414" s="156" t="s">
        <v>22</v>
      </c>
      <c r="G2414" s="238">
        <f t="shared" si="503"/>
        <v>9.7565185570000004E-3</v>
      </c>
      <c r="H2414" s="158">
        <f>H2104</f>
        <v>690.79</v>
      </c>
      <c r="I2414" s="159">
        <f>I2413</f>
        <v>1.644E-2</v>
      </c>
      <c r="J2414" s="160"/>
      <c r="K2414" s="161">
        <f>K2413</f>
        <v>13968</v>
      </c>
      <c r="L2414" s="250">
        <v>12</v>
      </c>
      <c r="M2414" s="163" t="str">
        <f>CONCATENATE(H2414," ",F2414,"*",L2414,"мес.","*",I2414,"/",K2414,"чел/час")</f>
        <v>690,79 м2*12мес.*0,01644/13968чел/час</v>
      </c>
      <c r="N2414" s="278">
        <f>N2104</f>
        <v>30.306671829837342</v>
      </c>
      <c r="O2414" s="280">
        <f t="shared" si="504"/>
        <v>0.29568800000000001</v>
      </c>
      <c r="P2414" s="166"/>
      <c r="Q2414" s="166">
        <f t="shared" si="505"/>
        <v>4130.1699840000001</v>
      </c>
      <c r="R2414" s="71"/>
    </row>
    <row r="2415" spans="1:41" s="136" customFormat="1" x14ac:dyDescent="0.25">
      <c r="A2415" s="358"/>
      <c r="B2415" s="361"/>
      <c r="C2415" s="366"/>
      <c r="D2415" s="194" t="s">
        <v>398</v>
      </c>
      <c r="E2415" s="156" t="s">
        <v>60</v>
      </c>
      <c r="F2415" s="156" t="s">
        <v>60</v>
      </c>
      <c r="G2415" s="238">
        <f t="shared" si="503"/>
        <v>5.8848799999999996E-6</v>
      </c>
      <c r="H2415" s="158">
        <f>$H$2105</f>
        <v>5</v>
      </c>
      <c r="I2415" s="159">
        <f>I2414</f>
        <v>1.644E-2</v>
      </c>
      <c r="J2415" s="160"/>
      <c r="K2415" s="161">
        <f>K2414</f>
        <v>13968</v>
      </c>
      <c r="L2415" s="250">
        <v>1</v>
      </c>
      <c r="M2415" s="163" t="str">
        <f>CONCATENATE(H2415," ",F2415,"*",I2415,"/",K2415,"чел/час")</f>
        <v>5 шт.*0,01644/13968чел/час</v>
      </c>
      <c r="N2415" s="278">
        <f>$N$2105</f>
        <v>11009</v>
      </c>
      <c r="O2415" s="280">
        <f t="shared" si="504"/>
        <v>6.4786999999999997E-2</v>
      </c>
      <c r="P2415" s="166"/>
      <c r="Q2415" s="166">
        <f t="shared" si="505"/>
        <v>904.94481599999995</v>
      </c>
      <c r="R2415" s="71"/>
      <c r="S2415" s="61"/>
      <c r="T2415" s="61"/>
      <c r="U2415" s="61"/>
      <c r="V2415" s="61"/>
      <c r="W2415" s="61"/>
      <c r="X2415" s="61"/>
      <c r="Y2415" s="61"/>
      <c r="Z2415" s="61"/>
      <c r="AA2415" s="61"/>
      <c r="AB2415" s="61"/>
      <c r="AC2415" s="61"/>
      <c r="AD2415" s="61"/>
      <c r="AE2415" s="61"/>
      <c r="AF2415" s="61"/>
      <c r="AG2415" s="61"/>
      <c r="AH2415" s="61"/>
      <c r="AI2415" s="61"/>
      <c r="AJ2415" s="61"/>
      <c r="AK2415" s="61"/>
      <c r="AL2415" s="61"/>
      <c r="AM2415" s="61"/>
      <c r="AN2415" s="61"/>
      <c r="AO2415" s="61"/>
    </row>
    <row r="2416" spans="1:41" s="136" customFormat="1" ht="63" x14ac:dyDescent="0.25">
      <c r="A2416" s="358"/>
      <c r="B2416" s="361"/>
      <c r="C2416" s="366"/>
      <c r="D2416" s="156" t="s">
        <v>33</v>
      </c>
      <c r="E2416" s="156" t="s">
        <v>56</v>
      </c>
      <c r="F2416" s="156" t="s">
        <v>220</v>
      </c>
      <c r="G2416" s="238">
        <f t="shared" si="503"/>
        <v>5.8848799999999996E-6</v>
      </c>
      <c r="H2416" s="158">
        <f>$H$2106</f>
        <v>5</v>
      </c>
      <c r="I2416" s="159">
        <f>I2415</f>
        <v>1.644E-2</v>
      </c>
      <c r="J2416" s="160"/>
      <c r="K2416" s="161">
        <f>K2415</f>
        <v>13968</v>
      </c>
      <c r="L2416" s="250">
        <f>$L$2106</f>
        <v>1</v>
      </c>
      <c r="M2416" s="163" t="str">
        <f>CONCATENATE(H2416," ",F2416,"*",L2416," раз в год","*",I2416,"/",K2416,"чел.")</f>
        <v>5 дымоходов*1 раз в год*0,01644/13968чел.</v>
      </c>
      <c r="N2416" s="278">
        <f>$N$2106</f>
        <v>6540</v>
      </c>
      <c r="O2416" s="280">
        <f t="shared" si="504"/>
        <v>3.8487E-2</v>
      </c>
      <c r="P2416" s="166"/>
      <c r="Q2416" s="166">
        <f t="shared" si="505"/>
        <v>537.58641599999999</v>
      </c>
      <c r="R2416" s="71"/>
      <c r="S2416" s="61"/>
      <c r="T2416" s="61"/>
      <c r="U2416" s="61"/>
      <c r="V2416" s="61"/>
      <c r="W2416" s="61"/>
      <c r="X2416" s="61"/>
      <c r="Y2416" s="61"/>
      <c r="Z2416" s="61"/>
      <c r="AA2416" s="61"/>
      <c r="AB2416" s="61"/>
      <c r="AC2416" s="61"/>
      <c r="AD2416" s="61"/>
      <c r="AE2416" s="61"/>
      <c r="AF2416" s="61"/>
      <c r="AG2416" s="61"/>
      <c r="AH2416" s="61"/>
      <c r="AI2416" s="61"/>
      <c r="AJ2416" s="61"/>
      <c r="AK2416" s="61"/>
      <c r="AL2416" s="61"/>
      <c r="AM2416" s="61"/>
      <c r="AN2416" s="61"/>
      <c r="AO2416" s="61"/>
    </row>
    <row r="2417" spans="1:41" s="61" customFormat="1" ht="78.75" x14ac:dyDescent="0.25">
      <c r="A2417" s="358"/>
      <c r="B2417" s="361"/>
      <c r="C2417" s="366"/>
      <c r="D2417" s="156" t="s">
        <v>250</v>
      </c>
      <c r="E2417" s="156" t="s">
        <v>251</v>
      </c>
      <c r="F2417" s="156" t="s">
        <v>60</v>
      </c>
      <c r="G2417" s="238">
        <f t="shared" si="503"/>
        <v>5.8848799999999996E-6</v>
      </c>
      <c r="H2417" s="158">
        <f>$H$2107</f>
        <v>5</v>
      </c>
      <c r="I2417" s="159">
        <f>I2414</f>
        <v>1.644E-2</v>
      </c>
      <c r="J2417" s="160"/>
      <c r="K2417" s="161">
        <f>K2414</f>
        <v>13968</v>
      </c>
      <c r="L2417" s="250">
        <v>1</v>
      </c>
      <c r="M2417" s="163" t="str">
        <f>CONCATENATE(H2417," ",F2417,"*",I2417,"/",K2417,"чел/час")</f>
        <v>5 шт.*0,01644/13968чел/час</v>
      </c>
      <c r="N2417" s="278">
        <f t="shared" ref="N2417:N2427" si="506">N2107</f>
        <v>52320</v>
      </c>
      <c r="O2417" s="280">
        <f t="shared" si="504"/>
        <v>0.30789699999999998</v>
      </c>
      <c r="P2417" s="166"/>
      <c r="Q2417" s="166">
        <f t="shared" si="505"/>
        <v>4300.7052960000001</v>
      </c>
      <c r="R2417" s="71"/>
    </row>
    <row r="2418" spans="1:41" s="61" customFormat="1" ht="47.25" x14ac:dyDescent="0.25">
      <c r="A2418" s="358"/>
      <c r="B2418" s="361"/>
      <c r="C2418" s="366"/>
      <c r="D2418" s="156" t="s">
        <v>401</v>
      </c>
      <c r="E2418" s="156" t="s">
        <v>60</v>
      </c>
      <c r="F2418" s="156" t="s">
        <v>402</v>
      </c>
      <c r="G2418" s="238">
        <f t="shared" si="503"/>
        <v>1.1769759E-5</v>
      </c>
      <c r="H2418" s="158">
        <f>H2108</f>
        <v>5</v>
      </c>
      <c r="I2418" s="159">
        <f>I2417</f>
        <v>1.644E-2</v>
      </c>
      <c r="J2418" s="160"/>
      <c r="K2418" s="161">
        <f>K2417</f>
        <v>13968</v>
      </c>
      <c r="L2418" s="250">
        <f>$L$2108</f>
        <v>2</v>
      </c>
      <c r="M2418" s="163" t="str">
        <f>CONCATENATE(H2418," ",F2418,"*",I2418,"/",K2418,"чел/час")</f>
        <v>5 противопожарных водопроводов*0,01644/13968чел/час</v>
      </c>
      <c r="N2418" s="278">
        <f t="shared" si="506"/>
        <v>5450</v>
      </c>
      <c r="O2418" s="280">
        <f t="shared" si="504"/>
        <v>6.4144999999999994E-2</v>
      </c>
      <c r="P2418" s="166"/>
      <c r="Q2418" s="166">
        <f t="shared" si="505"/>
        <v>895.97735999999986</v>
      </c>
      <c r="R2418" s="71"/>
    </row>
    <row r="2419" spans="1:41" s="61" customFormat="1" ht="47.25" x14ac:dyDescent="0.25">
      <c r="A2419" s="358"/>
      <c r="B2419" s="361"/>
      <c r="C2419" s="366"/>
      <c r="D2419" s="156" t="s">
        <v>34</v>
      </c>
      <c r="E2419" s="156" t="s">
        <v>59</v>
      </c>
      <c r="F2419" s="156" t="s">
        <v>28</v>
      </c>
      <c r="G2419" s="238">
        <f t="shared" si="503"/>
        <v>2.3539519999999998E-6</v>
      </c>
      <c r="H2419" s="158">
        <f>H2109</f>
        <v>2</v>
      </c>
      <c r="I2419" s="159">
        <f>I2418</f>
        <v>1.644E-2</v>
      </c>
      <c r="J2419" s="160"/>
      <c r="K2419" s="161">
        <f>K2418</f>
        <v>13968</v>
      </c>
      <c r="L2419" s="250">
        <v>1</v>
      </c>
      <c r="M2419" s="163" t="str">
        <f>CONCATENATE(H2419," ",F2419,"*",I2419,"/",K2419,"чел/час")</f>
        <v>2 шт*0,01644/13968чел/час</v>
      </c>
      <c r="N2419" s="278">
        <f t="shared" si="506"/>
        <v>7500</v>
      </c>
      <c r="O2419" s="280">
        <f t="shared" si="504"/>
        <v>1.7655000000000001E-2</v>
      </c>
      <c r="P2419" s="166"/>
      <c r="Q2419" s="166">
        <f t="shared" si="505"/>
        <v>246.60504</v>
      </c>
      <c r="R2419" s="71"/>
    </row>
    <row r="2420" spans="1:41" s="61" customFormat="1" ht="47.25" x14ac:dyDescent="0.25">
      <c r="A2420" s="358"/>
      <c r="B2420" s="361"/>
      <c r="C2420" s="366"/>
      <c r="D2420" s="156" t="s">
        <v>222</v>
      </c>
      <c r="E2420" s="156" t="s">
        <v>60</v>
      </c>
      <c r="F2420" s="156" t="s">
        <v>60</v>
      </c>
      <c r="G2420" s="238">
        <f t="shared" si="503"/>
        <v>2.3539519999999998E-6</v>
      </c>
      <c r="H2420" s="158">
        <f>H2110</f>
        <v>2</v>
      </c>
      <c r="I2420" s="159">
        <f>I2419</f>
        <v>1.644E-2</v>
      </c>
      <c r="J2420" s="160"/>
      <c r="K2420" s="161">
        <f>K2419</f>
        <v>13968</v>
      </c>
      <c r="L2420" s="250">
        <v>1</v>
      </c>
      <c r="M2420" s="163" t="str">
        <f>CONCATENATE(H2420," ",F2420,"*",I2420,"/",K2420,"чел/час")</f>
        <v>2 шт.*0,01644/13968чел/час</v>
      </c>
      <c r="N2420" s="278">
        <f t="shared" si="506"/>
        <v>13000</v>
      </c>
      <c r="O2420" s="280">
        <f t="shared" si="504"/>
        <v>3.0601E-2</v>
      </c>
      <c r="P2420" s="166"/>
      <c r="Q2420" s="166">
        <f t="shared" si="505"/>
        <v>427.43476800000002</v>
      </c>
      <c r="R2420" s="71"/>
    </row>
    <row r="2421" spans="1:41" s="61" customFormat="1" ht="31.5" x14ac:dyDescent="0.25">
      <c r="A2421" s="358"/>
      <c r="B2421" s="361"/>
      <c r="C2421" s="366"/>
      <c r="D2421" s="156" t="s">
        <v>35</v>
      </c>
      <c r="E2421" s="156" t="s">
        <v>102</v>
      </c>
      <c r="F2421" s="156" t="s">
        <v>252</v>
      </c>
      <c r="G2421" s="238">
        <f t="shared" si="503"/>
        <v>2.3539519999999998E-6</v>
      </c>
      <c r="H2421" s="158">
        <f>H2111</f>
        <v>2</v>
      </c>
      <c r="I2421" s="159">
        <f>I2419</f>
        <v>1.644E-2</v>
      </c>
      <c r="J2421" s="160"/>
      <c r="K2421" s="161">
        <f>K2419</f>
        <v>13968</v>
      </c>
      <c r="L2421" s="250">
        <v>1</v>
      </c>
      <c r="M2421" s="163" t="str">
        <f>CONCATENATE(H2421," ",F2421,"*",I2421,"/",K2421,"чел/час")</f>
        <v>2 замера*0,01644/13968чел/час</v>
      </c>
      <c r="N2421" s="278">
        <f t="shared" si="506"/>
        <v>25830</v>
      </c>
      <c r="O2421" s="280">
        <f t="shared" si="504"/>
        <v>6.0802999999999996E-2</v>
      </c>
      <c r="P2421" s="166"/>
      <c r="Q2421" s="166">
        <f t="shared" si="505"/>
        <v>849.29630399999996</v>
      </c>
      <c r="R2421" s="71"/>
    </row>
    <row r="2422" spans="1:41" s="61" customFormat="1" ht="47.25" x14ac:dyDescent="0.25">
      <c r="A2422" s="358"/>
      <c r="B2422" s="361"/>
      <c r="C2422" s="366"/>
      <c r="D2422" s="156" t="s">
        <v>399</v>
      </c>
      <c r="E2422" s="156" t="s">
        <v>60</v>
      </c>
      <c r="F2422" s="156" t="s">
        <v>60</v>
      </c>
      <c r="G2422" s="238">
        <f t="shared" si="503"/>
        <v>4.7079037999999998E-5</v>
      </c>
      <c r="H2422" s="158">
        <f>$H$2112</f>
        <v>4</v>
      </c>
      <c r="I2422" s="159">
        <f>I2421</f>
        <v>1.644E-2</v>
      </c>
      <c r="J2422" s="160"/>
      <c r="K2422" s="161">
        <f>K2421</f>
        <v>13968</v>
      </c>
      <c r="L2422" s="250">
        <v>10</v>
      </c>
      <c r="M2422" s="163" t="str">
        <f>CONCATENATE(H2422," ",F2422,"*",L2422,"мес.","*",I2422,"/",K2422,"чел/час")</f>
        <v>4 шт.*10мес.*0,01644/13968чел/час</v>
      </c>
      <c r="N2422" s="278">
        <f t="shared" si="506"/>
        <v>2411.625</v>
      </c>
      <c r="O2422" s="280">
        <f t="shared" si="504"/>
        <v>0.113537</v>
      </c>
      <c r="P2422" s="166"/>
      <c r="Q2422" s="166">
        <f t="shared" si="505"/>
        <v>1585.884816</v>
      </c>
      <c r="R2422" s="71"/>
    </row>
    <row r="2423" spans="1:41" s="61" customFormat="1" ht="47.25" x14ac:dyDescent="0.25">
      <c r="A2423" s="358"/>
      <c r="B2423" s="361"/>
      <c r="C2423" s="366"/>
      <c r="D2423" s="156" t="s">
        <v>36</v>
      </c>
      <c r="E2423" s="156" t="s">
        <v>31</v>
      </c>
      <c r="F2423" s="156" t="s">
        <v>224</v>
      </c>
      <c r="G2423" s="238">
        <f t="shared" si="503"/>
        <v>1.12989691E-4</v>
      </c>
      <c r="H2423" s="158">
        <f>H2113</f>
        <v>8</v>
      </c>
      <c r="I2423" s="159">
        <f>I2422</f>
        <v>1.644E-2</v>
      </c>
      <c r="J2423" s="160"/>
      <c r="K2423" s="161">
        <f>K2422</f>
        <v>13968</v>
      </c>
      <c r="L2423" s="250">
        <v>12</v>
      </c>
      <c r="M2423" s="163" t="str">
        <f>CONCATENATE(H2423," ",F2423,"*",L2423,"мес.","*",I2423,"/",K2423,"чел/час")</f>
        <v>8 устройств*12мес.*0,01644/13968чел/час</v>
      </c>
      <c r="N2423" s="278">
        <f t="shared" si="506"/>
        <v>2200</v>
      </c>
      <c r="O2423" s="280">
        <f t="shared" si="504"/>
        <v>0.24857699999999999</v>
      </c>
      <c r="P2423" s="166"/>
      <c r="Q2423" s="166">
        <f t="shared" si="505"/>
        <v>3472.1235360000001</v>
      </c>
      <c r="R2423" s="71"/>
    </row>
    <row r="2424" spans="1:41" s="61" customFormat="1" ht="63" x14ac:dyDescent="0.25">
      <c r="A2424" s="358"/>
      <c r="B2424" s="361"/>
      <c r="C2424" s="366"/>
      <c r="D2424" s="156" t="s">
        <v>253</v>
      </c>
      <c r="E2424" s="156" t="s">
        <v>55</v>
      </c>
      <c r="F2424" s="156" t="s">
        <v>55</v>
      </c>
      <c r="G2424" s="238">
        <f t="shared" si="503"/>
        <v>7.0618557000000004E-5</v>
      </c>
      <c r="H2424" s="158">
        <f>H2114</f>
        <v>5</v>
      </c>
      <c r="I2424" s="159">
        <f>I2423</f>
        <v>1.644E-2</v>
      </c>
      <c r="J2424" s="160"/>
      <c r="K2424" s="161">
        <f>K2423</f>
        <v>13968</v>
      </c>
      <c r="L2424" s="250">
        <v>12</v>
      </c>
      <c r="M2424" s="163" t="str">
        <f>CONCATENATE(H2424," ",F2424,"*",I2424,"/",K2424,"чел/час")</f>
        <v>5 система*0,01644/13968чел/час</v>
      </c>
      <c r="N2424" s="278">
        <f t="shared" si="506"/>
        <v>4251</v>
      </c>
      <c r="O2424" s="280">
        <f t="shared" si="504"/>
        <v>0.30019899999999999</v>
      </c>
      <c r="P2424" s="166"/>
      <c r="Q2424" s="166">
        <f t="shared" si="505"/>
        <v>4193.1796320000003</v>
      </c>
      <c r="R2424" s="71"/>
    </row>
    <row r="2425" spans="1:41" s="61" customFormat="1" ht="31.5" x14ac:dyDescent="0.25">
      <c r="A2425" s="358"/>
      <c r="B2425" s="361"/>
      <c r="C2425" s="366"/>
      <c r="D2425" s="156" t="s">
        <v>99</v>
      </c>
      <c r="E2425" s="156" t="s">
        <v>103</v>
      </c>
      <c r="F2425" s="156" t="s">
        <v>225</v>
      </c>
      <c r="G2425" s="238">
        <f t="shared" si="503"/>
        <v>5.5317868999999996E-5</v>
      </c>
      <c r="H2425" s="158">
        <f>H2115</f>
        <v>47</v>
      </c>
      <c r="I2425" s="159">
        <f>I2424</f>
        <v>1.644E-2</v>
      </c>
      <c r="J2425" s="160"/>
      <c r="K2425" s="161">
        <f>K2424</f>
        <v>13968</v>
      </c>
      <c r="L2425" s="250">
        <v>1</v>
      </c>
      <c r="M2425" s="163" t="str">
        <f>CONCATENATE(H2425," ",F2425,"*",I2425,"/",K2425,"чел.")</f>
        <v>47 ед.*0,01644/13968чел.</v>
      </c>
      <c r="N2425" s="164">
        <f t="shared" si="506"/>
        <v>15000</v>
      </c>
      <c r="O2425" s="165">
        <f>MROUND(G2425*N2425,0.000001)</f>
        <v>0.82976799999999995</v>
      </c>
      <c r="P2425" s="166"/>
      <c r="Q2425" s="166">
        <f t="shared" si="505"/>
        <v>11590.199423999999</v>
      </c>
      <c r="R2425" s="71"/>
    </row>
    <row r="2426" spans="1:41" s="61" customFormat="1" x14ac:dyDescent="0.25">
      <c r="A2426" s="358"/>
      <c r="B2426" s="361"/>
      <c r="C2426" s="366"/>
      <c r="D2426" s="156" t="s">
        <v>27</v>
      </c>
      <c r="E2426" s="156" t="s">
        <v>28</v>
      </c>
      <c r="F2426" s="156" t="s">
        <v>28</v>
      </c>
      <c r="G2426" s="238">
        <f t="shared" si="503"/>
        <v>4.9432989699999994E-4</v>
      </c>
      <c r="H2426" s="160">
        <f>H2116</f>
        <v>420</v>
      </c>
      <c r="I2426" s="159">
        <f>I2424</f>
        <v>1.644E-2</v>
      </c>
      <c r="J2426" s="160"/>
      <c r="K2426" s="161">
        <f>K2424</f>
        <v>13968</v>
      </c>
      <c r="L2426" s="250">
        <v>1</v>
      </c>
      <c r="M2426" s="163" t="str">
        <f>CONCATENATE(H2426," ",F2426,"*",I2426,"/",K2426,"чел/час")</f>
        <v>420 шт*0,01644/13968чел/час</v>
      </c>
      <c r="N2426" s="278">
        <f t="shared" si="506"/>
        <v>400</v>
      </c>
      <c r="O2426" s="280">
        <f t="shared" si="504"/>
        <v>0.19773199999999999</v>
      </c>
      <c r="P2426" s="166"/>
      <c r="Q2426" s="166">
        <f t="shared" si="505"/>
        <v>2761.920576</v>
      </c>
      <c r="R2426" s="71"/>
    </row>
    <row r="2427" spans="1:41" s="61" customFormat="1" ht="31.5" x14ac:dyDescent="0.25">
      <c r="A2427" s="358"/>
      <c r="B2427" s="361"/>
      <c r="C2427" s="367"/>
      <c r="D2427" s="156" t="s">
        <v>104</v>
      </c>
      <c r="E2427" s="156" t="s">
        <v>105</v>
      </c>
      <c r="F2427" s="156" t="s">
        <v>226</v>
      </c>
      <c r="G2427" s="238">
        <f t="shared" si="503"/>
        <v>5.8848799999999996E-6</v>
      </c>
      <c r="H2427" s="160">
        <f>H2117</f>
        <v>5</v>
      </c>
      <c r="I2427" s="159">
        <f>I2426</f>
        <v>1.644E-2</v>
      </c>
      <c r="J2427" s="160"/>
      <c r="K2427" s="161">
        <f>K2426</f>
        <v>13968</v>
      </c>
      <c r="L2427" s="250">
        <v>1</v>
      </c>
      <c r="M2427" s="163" t="str">
        <f>CONCATENATE(H2427," ",F2427,"*",I2427,"/",K2427,"чел/час")</f>
        <v>5 отключений*0,01644/13968чел/час</v>
      </c>
      <c r="N2427" s="278">
        <f t="shared" si="506"/>
        <v>9810</v>
      </c>
      <c r="O2427" s="280">
        <f t="shared" si="504"/>
        <v>5.7730999999999998E-2</v>
      </c>
      <c r="P2427" s="166"/>
      <c r="Q2427" s="166">
        <f t="shared" si="505"/>
        <v>806.38660799999991</v>
      </c>
      <c r="R2427" s="71"/>
    </row>
    <row r="2428" spans="1:41" s="109" customFormat="1" x14ac:dyDescent="0.25">
      <c r="A2428" s="358"/>
      <c r="B2428" s="361"/>
      <c r="C2428" s="249" t="s">
        <v>326</v>
      </c>
      <c r="D2428" s="240"/>
      <c r="E2428" s="240"/>
      <c r="F2428" s="240"/>
      <c r="G2428" s="227"/>
      <c r="H2428" s="228"/>
      <c r="I2428" s="206"/>
      <c r="J2428" s="228"/>
      <c r="K2428" s="207"/>
      <c r="L2428" s="257"/>
      <c r="M2428" s="209"/>
      <c r="N2428" s="281"/>
      <c r="O2428" s="279">
        <f>SUM(O2413:O2427)</f>
        <v>2.6276069999999998</v>
      </c>
      <c r="P2428" s="267"/>
      <c r="Q2428" s="166"/>
      <c r="R2428" s="71"/>
      <c r="S2428" s="62"/>
      <c r="T2428" s="62"/>
      <c r="U2428" s="62"/>
      <c r="V2428" s="62"/>
      <c r="W2428" s="62"/>
      <c r="X2428" s="62"/>
      <c r="Y2428" s="62"/>
      <c r="Z2428" s="62"/>
      <c r="AA2428" s="62"/>
      <c r="AB2428" s="62"/>
      <c r="AC2428" s="62"/>
      <c r="AD2428" s="62"/>
      <c r="AE2428" s="62"/>
      <c r="AF2428" s="62"/>
      <c r="AG2428" s="62"/>
      <c r="AH2428" s="62"/>
      <c r="AI2428" s="62"/>
      <c r="AJ2428" s="62"/>
      <c r="AK2428" s="62"/>
      <c r="AL2428" s="62"/>
      <c r="AM2428" s="62"/>
      <c r="AN2428" s="62"/>
      <c r="AO2428" s="62"/>
    </row>
    <row r="2429" spans="1:41" s="61" customFormat="1" ht="31.5" x14ac:dyDescent="0.25">
      <c r="A2429" s="358"/>
      <c r="B2429" s="361"/>
      <c r="C2429" s="221" t="s">
        <v>79</v>
      </c>
      <c r="D2429" s="156" t="s">
        <v>37</v>
      </c>
      <c r="E2429" s="156" t="s">
        <v>61</v>
      </c>
      <c r="F2429" s="156" t="s">
        <v>254</v>
      </c>
      <c r="G2429" s="238">
        <f>MROUND(H2429*L2429*I2429/K2429,0.000000000001)</f>
        <v>1.1769759999999999E-6</v>
      </c>
      <c r="H2429" s="158">
        <f>$H$2119</f>
        <v>1</v>
      </c>
      <c r="I2429" s="159">
        <f>I2427</f>
        <v>1.644E-2</v>
      </c>
      <c r="J2429" s="160"/>
      <c r="K2429" s="161">
        <f>K2427</f>
        <v>13968</v>
      </c>
      <c r="L2429" s="250">
        <v>1</v>
      </c>
      <c r="M2429" s="163" t="str">
        <f>CONCATENATE(H2429," ",F2429,"*",I2429,"/",K2429,"чел/час")</f>
        <v>1 автобус*0,01644/13968чел/час</v>
      </c>
      <c r="N2429" s="278">
        <f>N2119</f>
        <v>23352.160000000003</v>
      </c>
      <c r="O2429" s="280">
        <f>MROUND(N2429*G2429,0.000001)</f>
        <v>2.7484999999999999E-2</v>
      </c>
      <c r="P2429" s="166"/>
      <c r="Q2429" s="166">
        <f>O2429*K2429</f>
        <v>383.91048000000001</v>
      </c>
      <c r="R2429" s="71"/>
    </row>
    <row r="2430" spans="1:41" s="61" customFormat="1" x14ac:dyDescent="0.25">
      <c r="A2430" s="358"/>
      <c r="B2430" s="361"/>
      <c r="C2430" s="221"/>
      <c r="D2430" s="156" t="s">
        <v>255</v>
      </c>
      <c r="E2430" s="156" t="s">
        <v>28</v>
      </c>
      <c r="F2430" s="156" t="s">
        <v>28</v>
      </c>
      <c r="G2430" s="238">
        <f>MROUND(H2430*L2430*I2430/K2430,0.000000000001)</f>
        <v>8.1211340199999996E-4</v>
      </c>
      <c r="H2430" s="158">
        <f>H2120</f>
        <v>345</v>
      </c>
      <c r="I2430" s="159">
        <f>I2429</f>
        <v>1.644E-2</v>
      </c>
      <c r="J2430" s="160"/>
      <c r="K2430" s="161">
        <f>K2429</f>
        <v>13968</v>
      </c>
      <c r="L2430" s="250">
        <v>2</v>
      </c>
      <c r="M2430" s="163" t="str">
        <f>CONCATENATE(H2430," ",F2430,"*",L2430,"раза в год","*",I2430,"/",K2430,"чел/час")</f>
        <v>345 шт*2раза в год*0,01644/13968чел/час</v>
      </c>
      <c r="N2430" s="278">
        <f>N2120</f>
        <v>436</v>
      </c>
      <c r="O2430" s="280">
        <f>MROUND(N2430*G2430,0.000001)</f>
        <v>0.35408099999999998</v>
      </c>
      <c r="P2430" s="166"/>
      <c r="Q2430" s="166">
        <f>O2430*K2430</f>
        <v>4945.8034079999998</v>
      </c>
      <c r="R2430" s="71"/>
    </row>
    <row r="2431" spans="1:41" s="109" customFormat="1" x14ac:dyDescent="0.25">
      <c r="A2431" s="358"/>
      <c r="B2431" s="361"/>
      <c r="C2431" s="218" t="s">
        <v>328</v>
      </c>
      <c r="D2431" s="240"/>
      <c r="E2431" s="240"/>
      <c r="F2431" s="240"/>
      <c r="G2431" s="227"/>
      <c r="H2431" s="241"/>
      <c r="I2431" s="206"/>
      <c r="J2431" s="228"/>
      <c r="K2431" s="207"/>
      <c r="L2431" s="257"/>
      <c r="M2431" s="209"/>
      <c r="N2431" s="281"/>
      <c r="O2431" s="279">
        <f>O2430+O2429</f>
        <v>0.38156599999999996</v>
      </c>
      <c r="P2431" s="267"/>
      <c r="Q2431" s="166"/>
      <c r="R2431" s="71"/>
      <c r="S2431" s="62"/>
      <c r="T2431" s="62"/>
      <c r="U2431" s="62"/>
      <c r="V2431" s="62"/>
      <c r="W2431" s="62"/>
      <c r="X2431" s="62"/>
      <c r="Y2431" s="62"/>
      <c r="Z2431" s="62"/>
      <c r="AA2431" s="62"/>
      <c r="AB2431" s="62"/>
      <c r="AC2431" s="62"/>
      <c r="AD2431" s="62"/>
      <c r="AE2431" s="62"/>
      <c r="AF2431" s="62"/>
      <c r="AG2431" s="62"/>
      <c r="AH2431" s="62"/>
      <c r="AI2431" s="62"/>
      <c r="AJ2431" s="62"/>
      <c r="AK2431" s="62"/>
      <c r="AL2431" s="62"/>
      <c r="AM2431" s="62"/>
      <c r="AN2431" s="62"/>
      <c r="AO2431" s="62"/>
    </row>
    <row r="2432" spans="1:41" s="61" customFormat="1" x14ac:dyDescent="0.25">
      <c r="A2432" s="358"/>
      <c r="B2432" s="361"/>
      <c r="C2432" s="364" t="s">
        <v>80</v>
      </c>
      <c r="D2432" s="156" t="s">
        <v>38</v>
      </c>
      <c r="E2432" s="156" t="s">
        <v>57</v>
      </c>
      <c r="F2432" s="156" t="s">
        <v>228</v>
      </c>
      <c r="G2432" s="238">
        <f t="shared" ref="G2432:G2443" si="507">MROUND(H2432*L2432*I2432/K2432,0.000000000001)</f>
        <v>1.12989691E-4</v>
      </c>
      <c r="H2432" s="158">
        <f>H2122</f>
        <v>8</v>
      </c>
      <c r="I2432" s="159">
        <f>I2429</f>
        <v>1.644E-2</v>
      </c>
      <c r="J2432" s="160"/>
      <c r="K2432" s="161">
        <f>K2429</f>
        <v>13968</v>
      </c>
      <c r="L2432" s="250">
        <v>12</v>
      </c>
      <c r="M2432" s="163" t="str">
        <f>CONCATENATE(H2432," ",F2432,"*",L2432,"мес.","*",I2432,"/",K2432,"чел/час")</f>
        <v>8 зданий*12мес.*0,01644/13968чел/час</v>
      </c>
      <c r="N2432" s="278">
        <f t="shared" ref="N2432:N2441" si="508">N2122</f>
        <v>4694.63</v>
      </c>
      <c r="O2432" s="280">
        <f t="shared" ref="O2432:O2443" si="509">MROUND(N2432*G2432,0.000001)</f>
        <v>0.53044499999999994</v>
      </c>
      <c r="P2432" s="166"/>
      <c r="Q2432" s="166">
        <f t="shared" ref="Q2432:Q2443" si="510">O2432*K2432</f>
        <v>7409.2557599999991</v>
      </c>
      <c r="R2432" s="71"/>
    </row>
    <row r="2433" spans="1:41" s="61" customFormat="1" x14ac:dyDescent="0.25">
      <c r="A2433" s="358"/>
      <c r="B2433" s="361"/>
      <c r="C2433" s="364"/>
      <c r="D2433" s="156" t="s">
        <v>256</v>
      </c>
      <c r="E2433" s="156" t="s">
        <v>20</v>
      </c>
      <c r="F2433" s="156" t="s">
        <v>20</v>
      </c>
      <c r="G2433" s="238">
        <f t="shared" si="507"/>
        <v>2.20094502E-4</v>
      </c>
      <c r="H2433" s="158">
        <f>H2123</f>
        <v>187</v>
      </c>
      <c r="I2433" s="159">
        <f>I2430</f>
        <v>1.644E-2</v>
      </c>
      <c r="J2433" s="160"/>
      <c r="K2433" s="161">
        <f>K2430</f>
        <v>13968</v>
      </c>
      <c r="L2433" s="250">
        <v>1</v>
      </c>
      <c r="M2433" s="163" t="str">
        <f t="shared" ref="M2433:M2440" si="511">CONCATENATE(H2433," ",F2433,"*",I2433,"/",K2433,"чел/час")</f>
        <v>187 чел.*0,01644/13968чел/час</v>
      </c>
      <c r="N2433" s="278">
        <f t="shared" si="508"/>
        <v>1853</v>
      </c>
      <c r="O2433" s="280">
        <f t="shared" si="509"/>
        <v>0.407835</v>
      </c>
      <c r="P2433" s="166"/>
      <c r="Q2433" s="166">
        <f t="shared" si="510"/>
        <v>5696.6392800000003</v>
      </c>
      <c r="R2433" s="71"/>
    </row>
    <row r="2434" spans="1:41" s="61" customFormat="1" ht="63" x14ac:dyDescent="0.25">
      <c r="A2434" s="358"/>
      <c r="B2434" s="361"/>
      <c r="C2434" s="364"/>
      <c r="D2434" s="156" t="s">
        <v>39</v>
      </c>
      <c r="E2434" s="156" t="s">
        <v>20</v>
      </c>
      <c r="F2434" s="156" t="s">
        <v>234</v>
      </c>
      <c r="G2434" s="238">
        <f t="shared" si="507"/>
        <v>1.0592783999999999E-5</v>
      </c>
      <c r="H2434" s="158">
        <f>H2124</f>
        <v>9</v>
      </c>
      <c r="I2434" s="159">
        <f>I2432</f>
        <v>1.644E-2</v>
      </c>
      <c r="J2434" s="160"/>
      <c r="K2434" s="161">
        <f>K2432</f>
        <v>13968</v>
      </c>
      <c r="L2434" s="250">
        <v>1</v>
      </c>
      <c r="M2434" s="163" t="str">
        <f t="shared" si="511"/>
        <v>9 чел(заявленная потребность руководителями учреждений)*0,01644/13968чел/час</v>
      </c>
      <c r="N2434" s="278">
        <f t="shared" si="508"/>
        <v>763</v>
      </c>
      <c r="O2434" s="280">
        <f t="shared" si="509"/>
        <v>8.0819999999999989E-3</v>
      </c>
      <c r="P2434" s="166"/>
      <c r="Q2434" s="166">
        <f t="shared" si="510"/>
        <v>112.88937599999998</v>
      </c>
      <c r="R2434" s="71"/>
    </row>
    <row r="2435" spans="1:41" s="61" customFormat="1" ht="63" x14ac:dyDescent="0.25">
      <c r="A2435" s="358"/>
      <c r="B2435" s="361"/>
      <c r="C2435" s="364"/>
      <c r="D2435" s="156" t="s">
        <v>40</v>
      </c>
      <c r="E2435" s="156" t="s">
        <v>20</v>
      </c>
      <c r="F2435" s="156" t="s">
        <v>234</v>
      </c>
      <c r="G2435" s="238">
        <f t="shared" si="507"/>
        <v>1.5300686999999998E-5</v>
      </c>
      <c r="H2435" s="158">
        <f>H2125</f>
        <v>13</v>
      </c>
      <c r="I2435" s="159">
        <f t="shared" ref="I2435:I2440" si="512">I2434</f>
        <v>1.644E-2</v>
      </c>
      <c r="J2435" s="160"/>
      <c r="K2435" s="161">
        <f t="shared" ref="K2435:K2440" si="513">K2434</f>
        <v>13968</v>
      </c>
      <c r="L2435" s="250">
        <v>1</v>
      </c>
      <c r="M2435" s="163" t="str">
        <f t="shared" si="511"/>
        <v>13 чел(заявленная потребность руководителями учреждений)*0,01644/13968чел/час</v>
      </c>
      <c r="N2435" s="278">
        <f t="shared" si="508"/>
        <v>1635</v>
      </c>
      <c r="O2435" s="280">
        <f t="shared" si="509"/>
        <v>2.5016999999999998E-2</v>
      </c>
      <c r="P2435" s="166"/>
      <c r="Q2435" s="166">
        <f t="shared" si="510"/>
        <v>349.43745599999994</v>
      </c>
      <c r="R2435" s="71"/>
    </row>
    <row r="2436" spans="1:41" s="61" customFormat="1" ht="63" x14ac:dyDescent="0.25">
      <c r="A2436" s="358"/>
      <c r="B2436" s="361"/>
      <c r="C2436" s="364"/>
      <c r="D2436" s="156" t="s">
        <v>100</v>
      </c>
      <c r="E2436" s="156" t="s">
        <v>20</v>
      </c>
      <c r="F2436" s="156" t="s">
        <v>234</v>
      </c>
      <c r="G2436" s="238">
        <f t="shared" si="507"/>
        <v>8.2388320000000007E-6</v>
      </c>
      <c r="H2436" s="158">
        <f>H2126</f>
        <v>7</v>
      </c>
      <c r="I2436" s="159">
        <f t="shared" si="512"/>
        <v>1.644E-2</v>
      </c>
      <c r="J2436" s="160"/>
      <c r="K2436" s="161">
        <f t="shared" si="513"/>
        <v>13968</v>
      </c>
      <c r="L2436" s="250">
        <v>1</v>
      </c>
      <c r="M2436" s="163" t="str">
        <f t="shared" si="511"/>
        <v>7 чел(заявленная потребность руководителями учреждений)*0,01644/13968чел/час</v>
      </c>
      <c r="N2436" s="278">
        <f t="shared" si="508"/>
        <v>3488</v>
      </c>
      <c r="O2436" s="280">
        <f t="shared" si="509"/>
        <v>2.8736999999999999E-2</v>
      </c>
      <c r="P2436" s="166"/>
      <c r="Q2436" s="166">
        <f t="shared" si="510"/>
        <v>401.398416</v>
      </c>
      <c r="R2436" s="71"/>
    </row>
    <row r="2437" spans="1:41" s="61" customFormat="1" ht="110.25" x14ac:dyDescent="0.25">
      <c r="A2437" s="358"/>
      <c r="B2437" s="361"/>
      <c r="C2437" s="364"/>
      <c r="D2437" s="156" t="s">
        <v>235</v>
      </c>
      <c r="E2437" s="156" t="s">
        <v>50</v>
      </c>
      <c r="F2437" s="156" t="s">
        <v>230</v>
      </c>
      <c r="G2437" s="238">
        <f t="shared" si="507"/>
        <v>5.8848799999999996E-6</v>
      </c>
      <c r="H2437" s="158">
        <v>5</v>
      </c>
      <c r="I2437" s="159">
        <f t="shared" si="512"/>
        <v>1.644E-2</v>
      </c>
      <c r="J2437" s="160"/>
      <c r="K2437" s="161">
        <f t="shared" si="513"/>
        <v>13968</v>
      </c>
      <c r="L2437" s="250">
        <v>1</v>
      </c>
      <c r="M2437" s="163" t="str">
        <f t="shared" si="511"/>
        <v>5 отчетов*0,01644/13968чел/час</v>
      </c>
      <c r="N2437" s="278">
        <f t="shared" si="508"/>
        <v>6540</v>
      </c>
      <c r="O2437" s="280">
        <f t="shared" si="509"/>
        <v>3.8487E-2</v>
      </c>
      <c r="P2437" s="166"/>
      <c r="Q2437" s="166">
        <f t="shared" si="510"/>
        <v>537.58641599999999</v>
      </c>
      <c r="R2437" s="71"/>
    </row>
    <row r="2438" spans="1:41" s="61" customFormat="1" ht="63" x14ac:dyDescent="0.25">
      <c r="A2438" s="358"/>
      <c r="B2438" s="361"/>
      <c r="C2438" s="364"/>
      <c r="D2438" s="156" t="s">
        <v>42</v>
      </c>
      <c r="E2438" s="156" t="s">
        <v>51</v>
      </c>
      <c r="F2438" s="156" t="s">
        <v>407</v>
      </c>
      <c r="G2438" s="238">
        <f t="shared" si="507"/>
        <v>3.0601375E-5</v>
      </c>
      <c r="H2438" s="158">
        <f>H2128</f>
        <v>26</v>
      </c>
      <c r="I2438" s="159">
        <f t="shared" si="512"/>
        <v>1.644E-2</v>
      </c>
      <c r="J2438" s="160"/>
      <c r="K2438" s="161">
        <f t="shared" si="513"/>
        <v>13968</v>
      </c>
      <c r="L2438" s="250">
        <v>1</v>
      </c>
      <c r="M2438" s="163" t="str">
        <f t="shared" si="511"/>
        <v>26 ед (заявленная потребность руководителями учреждений)*0,01644/13968чел/час</v>
      </c>
      <c r="N2438" s="278">
        <f t="shared" si="508"/>
        <v>1090</v>
      </c>
      <c r="O2438" s="280">
        <f t="shared" si="509"/>
        <v>3.3354999999999996E-2</v>
      </c>
      <c r="P2438" s="166"/>
      <c r="Q2438" s="166">
        <f t="shared" si="510"/>
        <v>465.90263999999996</v>
      </c>
      <c r="R2438" s="71"/>
    </row>
    <row r="2439" spans="1:41" s="61" customFormat="1" ht="31.5" x14ac:dyDescent="0.25">
      <c r="A2439" s="358"/>
      <c r="B2439" s="361"/>
      <c r="C2439" s="364"/>
      <c r="D2439" s="156" t="s">
        <v>43</v>
      </c>
      <c r="E2439" s="156" t="s">
        <v>52</v>
      </c>
      <c r="F2439" s="156" t="s">
        <v>231</v>
      </c>
      <c r="G2439" s="238">
        <f t="shared" si="507"/>
        <v>5.8848799999999996E-6</v>
      </c>
      <c r="H2439" s="158">
        <v>5</v>
      </c>
      <c r="I2439" s="159">
        <f t="shared" si="512"/>
        <v>1.644E-2</v>
      </c>
      <c r="J2439" s="160"/>
      <c r="K2439" s="161">
        <f t="shared" si="513"/>
        <v>13968</v>
      </c>
      <c r="L2439" s="250">
        <v>1</v>
      </c>
      <c r="M2439" s="163" t="str">
        <f t="shared" si="511"/>
        <v>5 ЭЦП*0,01644/13968чел/час</v>
      </c>
      <c r="N2439" s="278">
        <f t="shared" si="508"/>
        <v>7743.3600000000006</v>
      </c>
      <c r="O2439" s="280">
        <f t="shared" si="509"/>
        <v>4.5568999999999998E-2</v>
      </c>
      <c r="P2439" s="166"/>
      <c r="Q2439" s="166">
        <f t="shared" si="510"/>
        <v>636.50779199999999</v>
      </c>
      <c r="R2439" s="71"/>
    </row>
    <row r="2440" spans="1:41" s="61" customFormat="1" x14ac:dyDescent="0.25">
      <c r="A2440" s="358"/>
      <c r="B2440" s="361"/>
      <c r="C2440" s="364"/>
      <c r="D2440" s="156" t="s">
        <v>373</v>
      </c>
      <c r="E2440" s="156" t="s">
        <v>28</v>
      </c>
      <c r="F2440" s="156" t="s">
        <v>28</v>
      </c>
      <c r="G2440" s="238">
        <f t="shared" si="507"/>
        <v>5.8848799999999996E-6</v>
      </c>
      <c r="H2440" s="158">
        <f>H2130</f>
        <v>5</v>
      </c>
      <c r="I2440" s="159">
        <f t="shared" si="512"/>
        <v>1.644E-2</v>
      </c>
      <c r="J2440" s="160"/>
      <c r="K2440" s="161">
        <f t="shared" si="513"/>
        <v>13968</v>
      </c>
      <c r="L2440" s="250">
        <v>1</v>
      </c>
      <c r="M2440" s="163" t="str">
        <f t="shared" si="511"/>
        <v>5 шт*0,01644/13968чел/час</v>
      </c>
      <c r="N2440" s="278">
        <f t="shared" si="508"/>
        <v>24000</v>
      </c>
      <c r="O2440" s="280">
        <f t="shared" si="509"/>
        <v>0.141237</v>
      </c>
      <c r="P2440" s="166"/>
      <c r="Q2440" s="166">
        <f t="shared" si="510"/>
        <v>1972.7984160000001</v>
      </c>
      <c r="R2440" s="71"/>
    </row>
    <row r="2441" spans="1:41" s="61" customFormat="1" ht="63" x14ac:dyDescent="0.25">
      <c r="A2441" s="358"/>
      <c r="B2441" s="361"/>
      <c r="C2441" s="364"/>
      <c r="D2441" s="156" t="s">
        <v>45</v>
      </c>
      <c r="E2441" s="156" t="s">
        <v>53</v>
      </c>
      <c r="F2441" s="156" t="s">
        <v>257</v>
      </c>
      <c r="G2441" s="238">
        <f t="shared" si="507"/>
        <v>1.4123711E-5</v>
      </c>
      <c r="H2441" s="158">
        <v>1</v>
      </c>
      <c r="I2441" s="159">
        <f>I2439</f>
        <v>1.644E-2</v>
      </c>
      <c r="J2441" s="160"/>
      <c r="K2441" s="161">
        <f>K2439</f>
        <v>13968</v>
      </c>
      <c r="L2441" s="250">
        <v>12</v>
      </c>
      <c r="M2441" s="163" t="str">
        <f>CONCATENATE(H2441," ",F2441,"*",L2441,"мес.","*",I2441,"/",K2441,"чел/час")</f>
        <v>1  машина, оборудованная системой ГЛОНАСС*12мес.*0,01644/13968чел/час</v>
      </c>
      <c r="N2441" s="278">
        <f t="shared" si="508"/>
        <v>880.71999999999991</v>
      </c>
      <c r="O2441" s="280">
        <f t="shared" si="509"/>
        <v>1.2438999999999999E-2</v>
      </c>
      <c r="P2441" s="166"/>
      <c r="Q2441" s="166">
        <f t="shared" si="510"/>
        <v>173.74795199999997</v>
      </c>
      <c r="R2441" s="71"/>
    </row>
    <row r="2442" spans="1:41" s="136" customFormat="1" ht="47.25" x14ac:dyDescent="0.25">
      <c r="A2442" s="358"/>
      <c r="B2442" s="361"/>
      <c r="C2442" s="364"/>
      <c r="D2442" s="156" t="s">
        <v>44</v>
      </c>
      <c r="E2442" s="156" t="s">
        <v>85</v>
      </c>
      <c r="F2442" s="156" t="s">
        <v>232</v>
      </c>
      <c r="G2442" s="238">
        <f t="shared" si="507"/>
        <v>3.5780068699999999E-4</v>
      </c>
      <c r="H2442" s="158">
        <f>$H$2132</f>
        <v>304</v>
      </c>
      <c r="I2442" s="159">
        <f>I2441</f>
        <v>1.644E-2</v>
      </c>
      <c r="J2442" s="160"/>
      <c r="K2442" s="161">
        <f>K2441</f>
        <v>13968</v>
      </c>
      <c r="L2442" s="250">
        <v>1</v>
      </c>
      <c r="M2442" s="163" t="str">
        <f>CONCATENATE(H2442," ",F2442,"*",L2442,"мес.","*",I2442,"/",K2442,"чел.")</f>
        <v>304 мед.осмотров в мес.*1мес.*0,01644/13968чел.</v>
      </c>
      <c r="N2442" s="278">
        <f>$N$2132</f>
        <v>56.680000000000007</v>
      </c>
      <c r="O2442" s="280">
        <f t="shared" si="509"/>
        <v>2.0279999999999999E-2</v>
      </c>
      <c r="P2442" s="166"/>
      <c r="Q2442" s="166">
        <f t="shared" si="510"/>
        <v>283.27103999999997</v>
      </c>
      <c r="R2442" s="71"/>
      <c r="S2442" s="71"/>
      <c r="T2442" s="61"/>
      <c r="U2442" s="61"/>
      <c r="V2442" s="61"/>
      <c r="W2442" s="61"/>
      <c r="X2442" s="61"/>
      <c r="Y2442" s="61"/>
      <c r="Z2442" s="61"/>
      <c r="AA2442" s="61"/>
      <c r="AB2442" s="61"/>
      <c r="AC2442" s="61"/>
      <c r="AD2442" s="61"/>
      <c r="AE2442" s="61"/>
      <c r="AF2442" s="61"/>
      <c r="AG2442" s="61"/>
      <c r="AH2442" s="61"/>
      <c r="AI2442" s="61"/>
      <c r="AJ2442" s="61"/>
      <c r="AK2442" s="61"/>
      <c r="AL2442" s="61"/>
      <c r="AM2442" s="61"/>
      <c r="AN2442" s="61"/>
      <c r="AO2442" s="61"/>
    </row>
    <row r="2443" spans="1:41" s="61" customFormat="1" ht="31.5" x14ac:dyDescent="0.25">
      <c r="A2443" s="358"/>
      <c r="B2443" s="361"/>
      <c r="C2443" s="364"/>
      <c r="D2443" s="156" t="s">
        <v>408</v>
      </c>
      <c r="E2443" s="156" t="s">
        <v>20</v>
      </c>
      <c r="F2443" s="156" t="s">
        <v>20</v>
      </c>
      <c r="G2443" s="238">
        <f t="shared" si="507"/>
        <v>3.5309277999999997E-5</v>
      </c>
      <c r="H2443" s="158">
        <f>H2133</f>
        <v>30</v>
      </c>
      <c r="I2443" s="159">
        <f>I2441</f>
        <v>1.644E-2</v>
      </c>
      <c r="J2443" s="160"/>
      <c r="K2443" s="161">
        <f>K2441</f>
        <v>13968</v>
      </c>
      <c r="L2443" s="250">
        <f>L2133</f>
        <v>1</v>
      </c>
      <c r="M2443" s="163" t="str">
        <f>CONCATENATE(H2443," ",F2443,"*",L2443," раз в год","*",I2443,"/",K2443,"чел.")</f>
        <v>30 чел.*1 раз в год*0,01644/13968чел.</v>
      </c>
      <c r="N2443" s="278">
        <f>N2133</f>
        <v>472.33333333333331</v>
      </c>
      <c r="O2443" s="280">
        <f t="shared" si="509"/>
        <v>1.6677999999999998E-2</v>
      </c>
      <c r="P2443" s="166"/>
      <c r="Q2443" s="166">
        <f t="shared" si="510"/>
        <v>232.95830399999997</v>
      </c>
      <c r="R2443" s="71"/>
    </row>
    <row r="2444" spans="1:41" s="109" customFormat="1" x14ac:dyDescent="0.25">
      <c r="A2444" s="358"/>
      <c r="B2444" s="361"/>
      <c r="C2444" s="245" t="s">
        <v>329</v>
      </c>
      <c r="D2444" s="240"/>
      <c r="E2444" s="240"/>
      <c r="F2444" s="240"/>
      <c r="G2444" s="227"/>
      <c r="H2444" s="241"/>
      <c r="I2444" s="206"/>
      <c r="J2444" s="228"/>
      <c r="K2444" s="207"/>
      <c r="L2444" s="257"/>
      <c r="M2444" s="209"/>
      <c r="N2444" s="281"/>
      <c r="O2444" s="279">
        <f>SUM(O2432:O2443)</f>
        <v>1.3081610000000001</v>
      </c>
      <c r="P2444" s="267"/>
      <c r="Q2444" s="166"/>
      <c r="R2444" s="71"/>
      <c r="S2444" s="62"/>
      <c r="T2444" s="62"/>
      <c r="U2444" s="62"/>
      <c r="V2444" s="62"/>
      <c r="W2444" s="62"/>
      <c r="X2444" s="62"/>
      <c r="Y2444" s="62"/>
      <c r="Z2444" s="62"/>
      <c r="AA2444" s="62"/>
      <c r="AB2444" s="62"/>
      <c r="AC2444" s="62"/>
      <c r="AD2444" s="62"/>
      <c r="AE2444" s="62"/>
      <c r="AF2444" s="62"/>
      <c r="AG2444" s="62"/>
      <c r="AH2444" s="62"/>
      <c r="AI2444" s="62"/>
      <c r="AJ2444" s="62"/>
      <c r="AK2444" s="62"/>
      <c r="AL2444" s="62"/>
      <c r="AM2444" s="62"/>
      <c r="AN2444" s="62"/>
      <c r="AO2444" s="62"/>
    </row>
    <row r="2445" spans="1:41" s="61" customFormat="1" ht="31.5" x14ac:dyDescent="0.25">
      <c r="A2445" s="358"/>
      <c r="B2445" s="361"/>
      <c r="C2445" s="252" t="s">
        <v>237</v>
      </c>
      <c r="D2445" s="156" t="s">
        <v>41</v>
      </c>
      <c r="E2445" s="156" t="s">
        <v>61</v>
      </c>
      <c r="F2445" s="156" t="s">
        <v>254</v>
      </c>
      <c r="G2445" s="238">
        <f t="shared" ref="G2445:G2456" si="514">MROUND(H2445*L2445*I2445/K2445,0.000000000001)</f>
        <v>1.1769759999999999E-6</v>
      </c>
      <c r="H2445" s="158">
        <v>1</v>
      </c>
      <c r="I2445" s="159">
        <f>I2443</f>
        <v>1.644E-2</v>
      </c>
      <c r="J2445" s="160"/>
      <c r="K2445" s="161">
        <f>K2443</f>
        <v>13968</v>
      </c>
      <c r="L2445" s="250">
        <v>1</v>
      </c>
      <c r="M2445" s="163" t="str">
        <f>CONCATENATE(H2445," ",F2445,"*",I2445,"/",K2445,"чел/час")</f>
        <v>1 автобус*0,01644/13968чел/час</v>
      </c>
      <c r="N2445" s="278">
        <f>N2135</f>
        <v>25724</v>
      </c>
      <c r="O2445" s="280">
        <f t="shared" ref="O2445:O2462" si="515">MROUND(N2445*G2445,0.000001)</f>
        <v>3.0276999999999998E-2</v>
      </c>
      <c r="P2445" s="166"/>
      <c r="Q2445" s="166">
        <f t="shared" ref="Q2445:Q2456" si="516">O2445*K2445</f>
        <v>422.90913599999999</v>
      </c>
      <c r="R2445" s="71"/>
    </row>
    <row r="2446" spans="1:41" s="61" customFormat="1" ht="78.75" x14ac:dyDescent="0.25">
      <c r="A2446" s="358"/>
      <c r="B2446" s="361"/>
      <c r="C2446" s="221" t="s">
        <v>236</v>
      </c>
      <c r="D2446" s="156" t="s">
        <v>19</v>
      </c>
      <c r="E2446" s="181" t="s">
        <v>20</v>
      </c>
      <c r="F2446" s="181" t="s">
        <v>238</v>
      </c>
      <c r="G2446" s="238">
        <f t="shared" si="514"/>
        <v>0</v>
      </c>
      <c r="H2446" s="158"/>
      <c r="I2446" s="159">
        <f>I2443</f>
        <v>1.644E-2</v>
      </c>
      <c r="J2446" s="160"/>
      <c r="K2446" s="161">
        <f>K2443</f>
        <v>13968</v>
      </c>
      <c r="L2446" s="250"/>
      <c r="M2446" s="163"/>
      <c r="N2446" s="278"/>
      <c r="O2446" s="280">
        <f t="shared" si="515"/>
        <v>0</v>
      </c>
      <c r="P2446" s="166"/>
      <c r="Q2446" s="166">
        <f t="shared" si="516"/>
        <v>0</v>
      </c>
      <c r="R2446" s="71"/>
    </row>
    <row r="2447" spans="1:41" s="136" customFormat="1" ht="31.5" x14ac:dyDescent="0.25">
      <c r="A2447" s="358"/>
      <c r="B2447" s="361"/>
      <c r="C2447" s="372" t="s">
        <v>81</v>
      </c>
      <c r="D2447" s="156" t="s">
        <v>419</v>
      </c>
      <c r="E2447" s="156" t="s">
        <v>28</v>
      </c>
      <c r="F2447" s="156" t="s">
        <v>439</v>
      </c>
      <c r="G2447" s="238">
        <f t="shared" si="514"/>
        <v>9.4158079999999991E-6</v>
      </c>
      <c r="H2447" s="158">
        <f>$H$2137</f>
        <v>8</v>
      </c>
      <c r="I2447" s="159">
        <f>I2446</f>
        <v>1.644E-2</v>
      </c>
      <c r="J2447" s="160"/>
      <c r="K2447" s="161">
        <f>K2446</f>
        <v>13968</v>
      </c>
      <c r="L2447" s="250">
        <v>1</v>
      </c>
      <c r="M2447" s="163" t="str">
        <f>CONCATENATE(H2447," ",F2447,"*",I2447,"/",K2447,"чел/час")</f>
        <v>8 шт (потребность учреждений) *0,01644/13968чел/час</v>
      </c>
      <c r="N2447" s="278">
        <f>$N$2137</f>
        <v>33750</v>
      </c>
      <c r="O2447" s="280">
        <f t="shared" si="515"/>
        <v>0.31778400000000001</v>
      </c>
      <c r="P2447" s="166"/>
      <c r="Q2447" s="166">
        <f t="shared" si="516"/>
        <v>4438.806912</v>
      </c>
      <c r="R2447" s="71"/>
      <c r="S2447" s="61"/>
      <c r="T2447" s="71"/>
      <c r="U2447" s="61"/>
      <c r="V2447" s="61"/>
      <c r="W2447" s="61"/>
      <c r="X2447" s="61"/>
      <c r="Y2447" s="61"/>
      <c r="Z2447" s="61"/>
      <c r="AA2447" s="61"/>
      <c r="AB2447" s="61"/>
      <c r="AC2447" s="61"/>
      <c r="AD2447" s="61"/>
      <c r="AE2447" s="61"/>
      <c r="AF2447" s="61"/>
      <c r="AG2447" s="61"/>
      <c r="AH2447" s="61"/>
      <c r="AI2447" s="61"/>
      <c r="AJ2447" s="61"/>
      <c r="AK2447" s="61"/>
      <c r="AL2447" s="61"/>
      <c r="AM2447" s="61"/>
      <c r="AN2447" s="61"/>
      <c r="AO2447" s="61"/>
    </row>
    <row r="2448" spans="1:41" s="136" customFormat="1" ht="31.5" x14ac:dyDescent="0.25">
      <c r="A2448" s="358"/>
      <c r="B2448" s="361"/>
      <c r="C2448" s="373"/>
      <c r="D2448" s="156" t="s">
        <v>425</v>
      </c>
      <c r="E2448" s="156" t="s">
        <v>28</v>
      </c>
      <c r="F2448" s="156" t="s">
        <v>439</v>
      </c>
      <c r="G2448" s="238">
        <f t="shared" si="514"/>
        <v>3.5309279999999999E-6</v>
      </c>
      <c r="H2448" s="158">
        <f>$H$2138</f>
        <v>3</v>
      </c>
      <c r="I2448" s="159">
        <f t="shared" ref="I2448:I2456" si="517">I2447</f>
        <v>1.644E-2</v>
      </c>
      <c r="J2448" s="160"/>
      <c r="K2448" s="161">
        <f t="shared" ref="K2448:K2456" si="518">K2447</f>
        <v>13968</v>
      </c>
      <c r="L2448" s="250">
        <v>1</v>
      </c>
      <c r="M2448" s="163" t="str">
        <f t="shared" ref="M2448:M2456" si="519">CONCATENATE(H2448," ",F2448,"*",I2448,"/",K2448,"чел/час")</f>
        <v>3 шт (потребность учреждений) *0,01644/13968чел/час</v>
      </c>
      <c r="N2448" s="278">
        <f>$N$2138</f>
        <v>12000</v>
      </c>
      <c r="O2448" s="280">
        <f t="shared" si="515"/>
        <v>4.2370999999999999E-2</v>
      </c>
      <c r="P2448" s="166"/>
      <c r="Q2448" s="166">
        <f t="shared" si="516"/>
        <v>591.83812799999998</v>
      </c>
      <c r="R2448" s="71"/>
      <c r="S2448" s="61"/>
      <c r="T2448" s="71"/>
      <c r="U2448" s="61"/>
      <c r="V2448" s="61"/>
      <c r="W2448" s="61"/>
      <c r="X2448" s="61"/>
      <c r="Y2448" s="61"/>
      <c r="Z2448" s="61"/>
      <c r="AA2448" s="61"/>
      <c r="AB2448" s="61"/>
      <c r="AC2448" s="61"/>
      <c r="AD2448" s="61"/>
      <c r="AE2448" s="61"/>
      <c r="AF2448" s="61"/>
      <c r="AG2448" s="61"/>
      <c r="AH2448" s="61"/>
      <c r="AI2448" s="61"/>
      <c r="AJ2448" s="61"/>
      <c r="AK2448" s="61"/>
      <c r="AL2448" s="61"/>
      <c r="AM2448" s="61"/>
      <c r="AN2448" s="61"/>
      <c r="AO2448" s="61"/>
    </row>
    <row r="2449" spans="1:41" s="136" customFormat="1" ht="31.5" x14ac:dyDescent="0.25">
      <c r="A2449" s="358"/>
      <c r="B2449" s="361"/>
      <c r="C2449" s="373"/>
      <c r="D2449" s="156" t="s">
        <v>426</v>
      </c>
      <c r="E2449" s="156" t="s">
        <v>28</v>
      </c>
      <c r="F2449" s="156" t="s">
        <v>439</v>
      </c>
      <c r="G2449" s="238">
        <f t="shared" si="514"/>
        <v>2.4716494999999999E-5</v>
      </c>
      <c r="H2449" s="158">
        <f>$H$2139</f>
        <v>21</v>
      </c>
      <c r="I2449" s="159">
        <f t="shared" si="517"/>
        <v>1.644E-2</v>
      </c>
      <c r="J2449" s="160"/>
      <c r="K2449" s="161">
        <f t="shared" si="518"/>
        <v>13968</v>
      </c>
      <c r="L2449" s="250">
        <v>1</v>
      </c>
      <c r="M2449" s="163" t="str">
        <f t="shared" si="519"/>
        <v>21 шт (потребность учреждений) *0,01644/13968чел/час</v>
      </c>
      <c r="N2449" s="278">
        <f>$N$2139</f>
        <v>9714.2857142857138</v>
      </c>
      <c r="O2449" s="280">
        <f t="shared" si="515"/>
        <v>0.24010299999999998</v>
      </c>
      <c r="P2449" s="166"/>
      <c r="Q2449" s="166">
        <f t="shared" si="516"/>
        <v>3353.7587039999999</v>
      </c>
      <c r="R2449" s="71"/>
      <c r="S2449" s="61"/>
      <c r="T2449" s="71"/>
      <c r="U2449" s="61"/>
      <c r="V2449" s="61"/>
      <c r="W2449" s="61"/>
      <c r="X2449" s="61"/>
      <c r="Y2449" s="61"/>
      <c r="Z2449" s="61"/>
      <c r="AA2449" s="61"/>
      <c r="AB2449" s="61"/>
      <c r="AC2449" s="61"/>
      <c r="AD2449" s="61"/>
      <c r="AE2449" s="61"/>
      <c r="AF2449" s="61"/>
      <c r="AG2449" s="61"/>
      <c r="AH2449" s="61"/>
      <c r="AI2449" s="61"/>
      <c r="AJ2449" s="61"/>
      <c r="AK2449" s="61"/>
      <c r="AL2449" s="61"/>
      <c r="AM2449" s="61"/>
      <c r="AN2449" s="61"/>
      <c r="AO2449" s="61"/>
    </row>
    <row r="2450" spans="1:41" s="136" customFormat="1" ht="31.5" x14ac:dyDescent="0.25">
      <c r="A2450" s="358"/>
      <c r="B2450" s="361"/>
      <c r="C2450" s="373"/>
      <c r="D2450" s="156" t="s">
        <v>427</v>
      </c>
      <c r="E2450" s="156" t="s">
        <v>28</v>
      </c>
      <c r="F2450" s="156" t="s">
        <v>439</v>
      </c>
      <c r="G2450" s="238">
        <f t="shared" si="514"/>
        <v>5.8848796999999996E-5</v>
      </c>
      <c r="H2450" s="158">
        <f>$H$2140</f>
        <v>50</v>
      </c>
      <c r="I2450" s="159">
        <f t="shared" si="517"/>
        <v>1.644E-2</v>
      </c>
      <c r="J2450" s="160"/>
      <c r="K2450" s="161">
        <f t="shared" si="518"/>
        <v>13968</v>
      </c>
      <c r="L2450" s="250">
        <v>1</v>
      </c>
      <c r="M2450" s="163" t="str">
        <f t="shared" si="519"/>
        <v>50 шт (потребность учреждений) *0,01644/13968чел/час</v>
      </c>
      <c r="N2450" s="278">
        <f>$N$2140</f>
        <v>4400</v>
      </c>
      <c r="O2450" s="280">
        <f t="shared" si="515"/>
        <v>0.25893499999999997</v>
      </c>
      <c r="P2450" s="166"/>
      <c r="Q2450" s="166">
        <f t="shared" si="516"/>
        <v>3616.8040799999994</v>
      </c>
      <c r="R2450" s="71"/>
      <c r="S2450" s="61"/>
      <c r="T2450" s="71"/>
      <c r="U2450" s="61"/>
      <c r="V2450" s="61"/>
      <c r="W2450" s="61"/>
      <c r="X2450" s="61"/>
      <c r="Y2450" s="61"/>
      <c r="Z2450" s="61"/>
      <c r="AA2450" s="61"/>
      <c r="AB2450" s="61"/>
      <c r="AC2450" s="61"/>
      <c r="AD2450" s="61"/>
      <c r="AE2450" s="61"/>
      <c r="AF2450" s="61"/>
      <c r="AG2450" s="61"/>
      <c r="AH2450" s="61"/>
      <c r="AI2450" s="61"/>
      <c r="AJ2450" s="61"/>
      <c r="AK2450" s="61"/>
      <c r="AL2450" s="61"/>
      <c r="AM2450" s="61"/>
      <c r="AN2450" s="61"/>
      <c r="AO2450" s="61"/>
    </row>
    <row r="2451" spans="1:41" s="136" customFormat="1" ht="31.5" x14ac:dyDescent="0.25">
      <c r="A2451" s="358"/>
      <c r="B2451" s="361"/>
      <c r="C2451" s="373"/>
      <c r="D2451" s="156" t="s">
        <v>428</v>
      </c>
      <c r="E2451" s="156" t="s">
        <v>28</v>
      </c>
      <c r="F2451" s="156" t="s">
        <v>439</v>
      </c>
      <c r="G2451" s="238">
        <f t="shared" si="514"/>
        <v>1.2475944999999999E-4</v>
      </c>
      <c r="H2451" s="158">
        <f>$H$2141</f>
        <v>106</v>
      </c>
      <c r="I2451" s="159">
        <f t="shared" si="517"/>
        <v>1.644E-2</v>
      </c>
      <c r="J2451" s="160"/>
      <c r="K2451" s="161">
        <f t="shared" si="518"/>
        <v>13968</v>
      </c>
      <c r="L2451" s="250">
        <v>1</v>
      </c>
      <c r="M2451" s="163" t="str">
        <f t="shared" si="519"/>
        <v>106 шт (потребность учреждений) *0,01644/13968чел/час</v>
      </c>
      <c r="N2451" s="278">
        <f>N$2141</f>
        <v>4037.7358490566039</v>
      </c>
      <c r="O2451" s="280">
        <f t="shared" si="515"/>
        <v>0.50374600000000003</v>
      </c>
      <c r="P2451" s="166"/>
      <c r="Q2451" s="166">
        <f t="shared" si="516"/>
        <v>7036.3241280000002</v>
      </c>
      <c r="R2451" s="71"/>
      <c r="S2451" s="61"/>
      <c r="T2451" s="71"/>
      <c r="U2451" s="61"/>
      <c r="V2451" s="61"/>
      <c r="W2451" s="61"/>
      <c r="X2451" s="61"/>
      <c r="Y2451" s="61"/>
      <c r="Z2451" s="61"/>
      <c r="AA2451" s="61"/>
      <c r="AB2451" s="61"/>
      <c r="AC2451" s="61"/>
      <c r="AD2451" s="61"/>
      <c r="AE2451" s="61"/>
      <c r="AF2451" s="61"/>
      <c r="AG2451" s="61"/>
      <c r="AH2451" s="61"/>
      <c r="AI2451" s="61"/>
      <c r="AJ2451" s="61"/>
      <c r="AK2451" s="61"/>
      <c r="AL2451" s="61"/>
      <c r="AM2451" s="61"/>
      <c r="AN2451" s="61"/>
      <c r="AO2451" s="61"/>
    </row>
    <row r="2452" spans="1:41" s="136" customFormat="1" ht="31.5" x14ac:dyDescent="0.25">
      <c r="A2452" s="358"/>
      <c r="B2452" s="361"/>
      <c r="C2452" s="373"/>
      <c r="D2452" s="156" t="s">
        <v>429</v>
      </c>
      <c r="E2452" s="156" t="s">
        <v>28</v>
      </c>
      <c r="F2452" s="156" t="s">
        <v>439</v>
      </c>
      <c r="G2452" s="238">
        <f t="shared" si="514"/>
        <v>3.0601375E-5</v>
      </c>
      <c r="H2452" s="158">
        <f>$H$2142</f>
        <v>26</v>
      </c>
      <c r="I2452" s="159">
        <f t="shared" si="517"/>
        <v>1.644E-2</v>
      </c>
      <c r="J2452" s="160"/>
      <c r="K2452" s="161">
        <f t="shared" si="518"/>
        <v>13968</v>
      </c>
      <c r="L2452" s="250">
        <v>1</v>
      </c>
      <c r="M2452" s="163" t="str">
        <f t="shared" si="519"/>
        <v>26 шт (потребность учреждений) *0,01644/13968чел/час</v>
      </c>
      <c r="N2452" s="278">
        <f>$N$2142</f>
        <v>39807.692307692305</v>
      </c>
      <c r="O2452" s="280">
        <f t="shared" si="515"/>
        <v>1.21817</v>
      </c>
      <c r="P2452" s="166"/>
      <c r="Q2452" s="166">
        <f t="shared" si="516"/>
        <v>17015.398560000001</v>
      </c>
      <c r="R2452" s="71"/>
      <c r="S2452" s="61"/>
      <c r="T2452" s="71"/>
      <c r="U2452" s="61"/>
      <c r="V2452" s="61"/>
      <c r="W2452" s="61"/>
      <c r="X2452" s="61"/>
      <c r="Y2452" s="61"/>
      <c r="Z2452" s="61"/>
      <c r="AA2452" s="61"/>
      <c r="AB2452" s="61"/>
      <c r="AC2452" s="61"/>
      <c r="AD2452" s="61"/>
      <c r="AE2452" s="61"/>
      <c r="AF2452" s="61"/>
      <c r="AG2452" s="61"/>
      <c r="AH2452" s="61"/>
      <c r="AI2452" s="61"/>
      <c r="AJ2452" s="61"/>
      <c r="AK2452" s="61"/>
      <c r="AL2452" s="61"/>
      <c r="AM2452" s="61"/>
      <c r="AN2452" s="61"/>
      <c r="AO2452" s="61"/>
    </row>
    <row r="2453" spans="1:41" s="136" customFormat="1" ht="31.5" x14ac:dyDescent="0.25">
      <c r="A2453" s="358"/>
      <c r="B2453" s="361"/>
      <c r="C2453" s="373"/>
      <c r="D2453" s="156" t="s">
        <v>110</v>
      </c>
      <c r="E2453" s="156" t="s">
        <v>28</v>
      </c>
      <c r="F2453" s="156" t="s">
        <v>439</v>
      </c>
      <c r="G2453" s="238">
        <f t="shared" si="514"/>
        <v>2.9424399E-5</v>
      </c>
      <c r="H2453" s="158">
        <f>$H$2143</f>
        <v>25</v>
      </c>
      <c r="I2453" s="159">
        <f t="shared" si="517"/>
        <v>1.644E-2</v>
      </c>
      <c r="J2453" s="160"/>
      <c r="K2453" s="161">
        <f t="shared" si="518"/>
        <v>13968</v>
      </c>
      <c r="L2453" s="250">
        <v>1</v>
      </c>
      <c r="M2453" s="163" t="str">
        <f t="shared" si="519"/>
        <v>25 шт (потребность учреждений) *0,01644/13968чел/час</v>
      </c>
      <c r="N2453" s="278">
        <f>$N$2143</f>
        <v>53600</v>
      </c>
      <c r="O2453" s="280">
        <f t="shared" si="515"/>
        <v>1.577148</v>
      </c>
      <c r="P2453" s="166"/>
      <c r="Q2453" s="166">
        <f t="shared" si="516"/>
        <v>22029.603264000001</v>
      </c>
      <c r="R2453" s="71"/>
      <c r="S2453" s="61"/>
      <c r="T2453" s="71"/>
      <c r="U2453" s="61"/>
      <c r="V2453" s="61"/>
      <c r="W2453" s="61"/>
      <c r="X2453" s="61"/>
      <c r="Y2453" s="61"/>
      <c r="Z2453" s="61"/>
      <c r="AA2453" s="61"/>
      <c r="AB2453" s="61"/>
      <c r="AC2453" s="61"/>
      <c r="AD2453" s="61"/>
      <c r="AE2453" s="61"/>
      <c r="AF2453" s="61"/>
      <c r="AG2453" s="61"/>
      <c r="AH2453" s="61"/>
      <c r="AI2453" s="61"/>
      <c r="AJ2453" s="61"/>
      <c r="AK2453" s="61"/>
      <c r="AL2453" s="61"/>
      <c r="AM2453" s="61"/>
      <c r="AN2453" s="61"/>
      <c r="AO2453" s="61"/>
    </row>
    <row r="2454" spans="1:41" s="136" customFormat="1" ht="31.5" x14ac:dyDescent="0.25">
      <c r="A2454" s="358"/>
      <c r="B2454" s="361"/>
      <c r="C2454" s="373"/>
      <c r="D2454" s="156" t="s">
        <v>112</v>
      </c>
      <c r="E2454" s="156" t="s">
        <v>28</v>
      </c>
      <c r="F2454" s="156" t="s">
        <v>439</v>
      </c>
      <c r="G2454" s="238">
        <f t="shared" si="514"/>
        <v>5.8848799999999996E-6</v>
      </c>
      <c r="H2454" s="158">
        <f>$H$2144</f>
        <v>5</v>
      </c>
      <c r="I2454" s="159">
        <f t="shared" si="517"/>
        <v>1.644E-2</v>
      </c>
      <c r="J2454" s="160"/>
      <c r="K2454" s="161">
        <f t="shared" si="518"/>
        <v>13968</v>
      </c>
      <c r="L2454" s="250">
        <v>1</v>
      </c>
      <c r="M2454" s="163" t="str">
        <f t="shared" si="519"/>
        <v>5 шт (потребность учреждений) *0,01644/13968чел/час</v>
      </c>
      <c r="N2454" s="278">
        <f>$N$2144</f>
        <v>33000</v>
      </c>
      <c r="O2454" s="280">
        <f t="shared" si="515"/>
        <v>0.19420099999999998</v>
      </c>
      <c r="P2454" s="166"/>
      <c r="Q2454" s="166">
        <f t="shared" si="516"/>
        <v>2712.5995679999996</v>
      </c>
      <c r="R2454" s="71"/>
      <c r="S2454" s="61"/>
      <c r="T2454" s="71"/>
      <c r="U2454" s="61"/>
      <c r="V2454" s="61"/>
      <c r="W2454" s="61"/>
      <c r="X2454" s="61"/>
      <c r="Y2454" s="61"/>
      <c r="Z2454" s="61"/>
      <c r="AA2454" s="61"/>
      <c r="AB2454" s="61"/>
      <c r="AC2454" s="61"/>
      <c r="AD2454" s="61"/>
      <c r="AE2454" s="61"/>
      <c r="AF2454" s="61"/>
      <c r="AG2454" s="61"/>
      <c r="AH2454" s="61"/>
      <c r="AI2454" s="61"/>
      <c r="AJ2454" s="61"/>
      <c r="AK2454" s="61"/>
      <c r="AL2454" s="61"/>
      <c r="AM2454" s="61"/>
      <c r="AN2454" s="61"/>
      <c r="AO2454" s="61"/>
    </row>
    <row r="2455" spans="1:41" s="136" customFormat="1" ht="31.5" x14ac:dyDescent="0.25">
      <c r="A2455" s="358"/>
      <c r="B2455" s="361"/>
      <c r="C2455" s="373"/>
      <c r="D2455" s="156" t="s">
        <v>111</v>
      </c>
      <c r="E2455" s="156" t="s">
        <v>28</v>
      </c>
      <c r="F2455" s="156" t="s">
        <v>439</v>
      </c>
      <c r="G2455" s="238">
        <f t="shared" si="514"/>
        <v>8.5919244000000003E-5</v>
      </c>
      <c r="H2455" s="158">
        <f>$H$2145</f>
        <v>73</v>
      </c>
      <c r="I2455" s="159">
        <f t="shared" si="517"/>
        <v>1.644E-2</v>
      </c>
      <c r="J2455" s="160"/>
      <c r="K2455" s="161">
        <f t="shared" si="518"/>
        <v>13968</v>
      </c>
      <c r="L2455" s="250">
        <v>1</v>
      </c>
      <c r="M2455" s="163" t="str">
        <f t="shared" si="519"/>
        <v>73 шт (потребность учреждений) *0,01644/13968чел/час</v>
      </c>
      <c r="N2455" s="278">
        <f>$N$2145</f>
        <v>50616.438356164384</v>
      </c>
      <c r="O2455" s="280">
        <f t="shared" si="515"/>
        <v>4.3489259999999996</v>
      </c>
      <c r="P2455" s="166"/>
      <c r="Q2455" s="166">
        <f t="shared" si="516"/>
        <v>60745.798367999996</v>
      </c>
      <c r="R2455" s="71"/>
      <c r="S2455" s="61"/>
      <c r="T2455" s="71"/>
      <c r="U2455" s="61"/>
      <c r="V2455" s="61"/>
      <c r="W2455" s="61"/>
      <c r="X2455" s="61"/>
      <c r="Y2455" s="61"/>
      <c r="Z2455" s="61"/>
      <c r="AA2455" s="61"/>
      <c r="AB2455" s="61"/>
      <c r="AC2455" s="61"/>
      <c r="AD2455" s="61"/>
      <c r="AE2455" s="61"/>
      <c r="AF2455" s="61"/>
      <c r="AG2455" s="61"/>
      <c r="AH2455" s="61"/>
      <c r="AI2455" s="61"/>
      <c r="AJ2455" s="61"/>
      <c r="AK2455" s="61"/>
      <c r="AL2455" s="61"/>
      <c r="AM2455" s="61"/>
      <c r="AN2455" s="61"/>
      <c r="AO2455" s="61"/>
    </row>
    <row r="2456" spans="1:41" s="136" customFormat="1" ht="31.5" x14ac:dyDescent="0.25">
      <c r="A2456" s="358"/>
      <c r="B2456" s="361"/>
      <c r="C2456" s="374"/>
      <c r="D2456" s="156" t="s">
        <v>438</v>
      </c>
      <c r="E2456" s="156" t="s">
        <v>28</v>
      </c>
      <c r="F2456" s="156" t="s">
        <v>439</v>
      </c>
      <c r="G2456" s="238">
        <f t="shared" si="514"/>
        <v>3.8840205999999998E-5</v>
      </c>
      <c r="H2456" s="158">
        <f>$H$2146</f>
        <v>33</v>
      </c>
      <c r="I2456" s="159">
        <f t="shared" si="517"/>
        <v>1.644E-2</v>
      </c>
      <c r="J2456" s="160"/>
      <c r="K2456" s="161">
        <f t="shared" si="518"/>
        <v>13968</v>
      </c>
      <c r="L2456" s="250">
        <v>1</v>
      </c>
      <c r="M2456" s="163" t="str">
        <f t="shared" si="519"/>
        <v>33 шт (потребность учреждений) *0,01644/13968чел/час</v>
      </c>
      <c r="N2456" s="278">
        <f>$N$2146</f>
        <v>25000</v>
      </c>
      <c r="O2456" s="280">
        <f t="shared" si="515"/>
        <v>0.97100500000000001</v>
      </c>
      <c r="P2456" s="166"/>
      <c r="Q2456" s="166">
        <f t="shared" si="516"/>
        <v>13562.99784</v>
      </c>
      <c r="R2456" s="71"/>
      <c r="S2456" s="61"/>
      <c r="T2456" s="71"/>
      <c r="U2456" s="61"/>
      <c r="V2456" s="61"/>
      <c r="W2456" s="61"/>
      <c r="X2456" s="61"/>
      <c r="Y2456" s="61"/>
      <c r="Z2456" s="61"/>
      <c r="AA2456" s="61"/>
      <c r="AB2456" s="61"/>
      <c r="AC2456" s="61"/>
      <c r="AD2456" s="61"/>
      <c r="AE2456" s="61"/>
      <c r="AF2456" s="61"/>
      <c r="AG2456" s="61"/>
      <c r="AH2456" s="61"/>
      <c r="AI2456" s="61"/>
      <c r="AJ2456" s="61"/>
      <c r="AK2456" s="61"/>
      <c r="AL2456" s="61"/>
      <c r="AM2456" s="61"/>
      <c r="AN2456" s="61"/>
      <c r="AO2456" s="61"/>
    </row>
    <row r="2457" spans="1:41" s="61" customFormat="1" x14ac:dyDescent="0.25">
      <c r="A2457" s="358"/>
      <c r="B2457" s="361"/>
      <c r="C2457" s="245" t="s">
        <v>299</v>
      </c>
      <c r="D2457" s="240"/>
      <c r="E2457" s="240"/>
      <c r="F2457" s="181"/>
      <c r="G2457" s="227"/>
      <c r="H2457" s="241"/>
      <c r="I2457" s="206"/>
      <c r="J2457" s="228"/>
      <c r="K2457" s="207"/>
      <c r="L2457" s="257"/>
      <c r="M2457" s="209"/>
      <c r="N2457" s="290"/>
      <c r="O2457" s="279">
        <f>SUM(O2445:O2456)</f>
        <v>9.7026659999999989</v>
      </c>
      <c r="P2457" s="166"/>
      <c r="Q2457" s="166">
        <f>O2457*K2457</f>
        <v>0</v>
      </c>
      <c r="R2457" s="71"/>
    </row>
    <row r="2458" spans="1:41" s="61" customFormat="1" ht="47.25" x14ac:dyDescent="0.25">
      <c r="A2458" s="358"/>
      <c r="B2458" s="361"/>
      <c r="C2458" s="221" t="s">
        <v>434</v>
      </c>
      <c r="D2458" s="156" t="s">
        <v>436</v>
      </c>
      <c r="E2458" s="156" t="s">
        <v>28</v>
      </c>
      <c r="F2458" s="156" t="s">
        <v>437</v>
      </c>
      <c r="G2458" s="238">
        <f>MROUND(H2458*L2458*I2458/K2458,0.000000000001)</f>
        <v>3.0601375E-5</v>
      </c>
      <c r="H2458" s="242">
        <f>$H$2148</f>
        <v>26</v>
      </c>
      <c r="I2458" s="159">
        <f>I2456</f>
        <v>1.644E-2</v>
      </c>
      <c r="J2458" s="160"/>
      <c r="K2458" s="161">
        <f>K2456</f>
        <v>13968</v>
      </c>
      <c r="L2458" s="162">
        <v>1</v>
      </c>
      <c r="M2458" s="163" t="str">
        <f>CONCATENATE(H2458," ",F2458,"*",I2458,"/",K2458,"чел.")</f>
        <v>26 огнетушителей (потребность учреждений) *0,01644/13968чел.</v>
      </c>
      <c r="N2458" s="164">
        <f>$N$2148</f>
        <v>2180</v>
      </c>
      <c r="O2458" s="165">
        <f>MROUND(G2458*N2458,0.000001)</f>
        <v>6.6710999999999993E-2</v>
      </c>
      <c r="P2458" s="166"/>
      <c r="Q2458" s="166">
        <f>O2458*K2458</f>
        <v>931.8192479999999</v>
      </c>
      <c r="R2458" s="71"/>
    </row>
    <row r="2459" spans="1:41" s="61" customFormat="1" x14ac:dyDescent="0.25">
      <c r="A2459" s="358"/>
      <c r="B2459" s="361"/>
      <c r="C2459" s="218" t="s">
        <v>435</v>
      </c>
      <c r="D2459" s="240"/>
      <c r="E2459" s="240"/>
      <c r="F2459" s="240"/>
      <c r="G2459" s="251"/>
      <c r="H2459" s="241"/>
      <c r="I2459" s="206"/>
      <c r="J2459" s="228"/>
      <c r="K2459" s="207"/>
      <c r="L2459" s="229"/>
      <c r="M2459" s="209"/>
      <c r="N2459" s="210"/>
      <c r="O2459" s="198">
        <f>SUM(O2458)</f>
        <v>6.6710999999999993E-2</v>
      </c>
      <c r="P2459" s="166"/>
      <c r="Q2459" s="166"/>
      <c r="R2459" s="71"/>
    </row>
    <row r="2460" spans="1:41" s="61" customFormat="1" ht="110.25" x14ac:dyDescent="0.25">
      <c r="A2460" s="358"/>
      <c r="B2460" s="361"/>
      <c r="C2460" s="221" t="s">
        <v>82</v>
      </c>
      <c r="D2460" s="156" t="s">
        <v>46</v>
      </c>
      <c r="E2460" s="156" t="s">
        <v>54</v>
      </c>
      <c r="F2460" s="156" t="s">
        <v>285</v>
      </c>
      <c r="G2460" s="238">
        <f>MROUND(H2460*L2460*I2460/K2460,0.000000000001)</f>
        <v>3.0012886599999999E-3</v>
      </c>
      <c r="H2460" s="158">
        <f>H2150</f>
        <v>231.81818181818178</v>
      </c>
      <c r="I2460" s="159">
        <f>I2446</f>
        <v>1.644E-2</v>
      </c>
      <c r="J2460" s="160"/>
      <c r="K2460" s="161">
        <f>K2446</f>
        <v>13968</v>
      </c>
      <c r="L2460" s="250">
        <f>$L$2150</f>
        <v>11</v>
      </c>
      <c r="M2460" s="163" t="str">
        <f>CONCATENATE(H2460," ",F2460,"*",L2460,"автобус","*",I2460,"/",K2460,"чел/час")</f>
        <v>231,818181818182 л бензина АИ 92 (12,5л/день(зимой)*20дней*7мес+10л/день(летом)*20дней*4мес)*11автобус*0,01644/13968чел/час</v>
      </c>
      <c r="N2460" s="278">
        <f>N2150</f>
        <v>54.500000000000007</v>
      </c>
      <c r="O2460" s="280">
        <f t="shared" si="515"/>
        <v>0.16356999999999999</v>
      </c>
      <c r="P2460" s="166"/>
      <c r="Q2460" s="166">
        <f>O2460*K2460</f>
        <v>2284.7457599999998</v>
      </c>
      <c r="R2460" s="71"/>
    </row>
    <row r="2461" spans="1:41" s="61" customFormat="1" ht="47.25" x14ac:dyDescent="0.25">
      <c r="A2461" s="358"/>
      <c r="B2461" s="361"/>
      <c r="C2461" s="364" t="s">
        <v>118</v>
      </c>
      <c r="D2461" s="156" t="s">
        <v>47</v>
      </c>
      <c r="E2461" s="156" t="s">
        <v>28</v>
      </c>
      <c r="F2461" s="156" t="s">
        <v>239</v>
      </c>
      <c r="G2461" s="238">
        <f>MROUND(H2461*L2461*I2461/K2461,0.000000000001)</f>
        <v>2.3539518999999999E-5</v>
      </c>
      <c r="H2461" s="158">
        <f>H2151</f>
        <v>20</v>
      </c>
      <c r="I2461" s="159">
        <f>I2460</f>
        <v>1.644E-2</v>
      </c>
      <c r="J2461" s="160"/>
      <c r="K2461" s="161">
        <f>K2460</f>
        <v>13968</v>
      </c>
      <c r="L2461" s="250">
        <v>1</v>
      </c>
      <c r="M2461" s="163" t="str">
        <f>CONCATENATE(H2461," ",F2461,"*",I2461,"/",K2461,"чел/час")</f>
        <v>20 манометров (потребность учреждений) *0,01644/13968чел/час</v>
      </c>
      <c r="N2461" s="278">
        <f>N2151</f>
        <v>650</v>
      </c>
      <c r="O2461" s="280">
        <f t="shared" si="515"/>
        <v>1.5300999999999999E-2</v>
      </c>
      <c r="P2461" s="166"/>
      <c r="Q2461" s="166">
        <f>O2461*K2461</f>
        <v>213.72436799999997</v>
      </c>
      <c r="R2461" s="71"/>
    </row>
    <row r="2462" spans="1:41" s="61" customFormat="1" ht="47.25" x14ac:dyDescent="0.25">
      <c r="A2462" s="358"/>
      <c r="B2462" s="361"/>
      <c r="C2462" s="364"/>
      <c r="D2462" s="255" t="s">
        <v>113</v>
      </c>
      <c r="E2462" s="156" t="s">
        <v>28</v>
      </c>
      <c r="F2462" s="156" t="s">
        <v>240</v>
      </c>
      <c r="G2462" s="238">
        <f>MROUND(H2462*L2462*I2462/K2462,0.000000000001)</f>
        <v>1.17697595E-4</v>
      </c>
      <c r="H2462" s="158">
        <v>100</v>
      </c>
      <c r="I2462" s="159">
        <f>I2461</f>
        <v>1.644E-2</v>
      </c>
      <c r="J2462" s="160"/>
      <c r="K2462" s="161">
        <f>K2461</f>
        <v>13968</v>
      </c>
      <c r="L2462" s="250">
        <v>1</v>
      </c>
      <c r="M2462" s="163" t="str">
        <f>CONCATENATE(H2462," ",F2462,"*",I2462,"/",K2462,"чел/час")</f>
        <v>100 светильников (потребность учреждений)*0,01644/13968чел/час</v>
      </c>
      <c r="N2462" s="278">
        <f>N2152</f>
        <v>106.27500000000001</v>
      </c>
      <c r="O2462" s="280">
        <f t="shared" si="515"/>
        <v>1.2508E-2</v>
      </c>
      <c r="P2462" s="166"/>
      <c r="Q2462" s="166">
        <f>O2462*K2462</f>
        <v>174.71174400000001</v>
      </c>
      <c r="R2462" s="71"/>
    </row>
    <row r="2463" spans="1:41" s="109" customFormat="1" x14ac:dyDescent="0.25">
      <c r="A2463" s="359"/>
      <c r="B2463" s="362"/>
      <c r="C2463" s="218" t="s">
        <v>301</v>
      </c>
      <c r="D2463" s="256"/>
      <c r="E2463" s="240"/>
      <c r="F2463" s="240"/>
      <c r="G2463" s="227"/>
      <c r="H2463" s="241"/>
      <c r="I2463" s="206"/>
      <c r="J2463" s="228"/>
      <c r="K2463" s="207"/>
      <c r="L2463" s="257"/>
      <c r="M2463" s="209"/>
      <c r="N2463" s="281"/>
      <c r="O2463" s="279">
        <f>O2461+O2462</f>
        <v>2.7809E-2</v>
      </c>
      <c r="P2463" s="267"/>
      <c r="Q2463" s="166"/>
      <c r="R2463" s="71"/>
      <c r="S2463" s="62"/>
      <c r="T2463" s="62"/>
      <c r="U2463" s="62"/>
      <c r="V2463" s="62"/>
      <c r="W2463" s="62"/>
      <c r="X2463" s="62"/>
      <c r="Y2463" s="62"/>
      <c r="Z2463" s="62"/>
      <c r="AA2463" s="62"/>
      <c r="AB2463" s="62"/>
      <c r="AC2463" s="62"/>
      <c r="AD2463" s="62"/>
      <c r="AE2463" s="62"/>
      <c r="AF2463" s="62"/>
      <c r="AG2463" s="62"/>
      <c r="AH2463" s="62"/>
      <c r="AI2463" s="62"/>
      <c r="AJ2463" s="62"/>
      <c r="AK2463" s="62"/>
      <c r="AL2463" s="62"/>
      <c r="AM2463" s="62"/>
      <c r="AN2463" s="62"/>
      <c r="AO2463" s="62"/>
    </row>
    <row r="2464" spans="1:41" s="108" customFormat="1" x14ac:dyDescent="0.25">
      <c r="A2464" s="357" t="str">
        <f>школы!$B$36</f>
        <v>Реализация дополнительных общеразвивающих программ (физкультурно-спортивная направленность)</v>
      </c>
      <c r="B2464" s="360" t="str">
        <f>школы!$A$36</f>
        <v>801012О.99.0.ББ57АЕ52000</v>
      </c>
      <c r="C2464" s="194"/>
      <c r="D2464" s="363" t="s">
        <v>15</v>
      </c>
      <c r="E2464" s="363"/>
      <c r="F2464" s="363"/>
      <c r="G2464" s="363"/>
      <c r="H2464" s="195"/>
      <c r="I2464" s="195"/>
      <c r="J2464" s="195"/>
      <c r="K2464" s="195"/>
      <c r="L2464" s="196"/>
      <c r="M2464" s="197"/>
      <c r="N2464" s="278"/>
      <c r="O2464" s="279">
        <f>O2465+O2469</f>
        <v>134.22802997520003</v>
      </c>
      <c r="P2464" s="166"/>
      <c r="Q2464" s="166">
        <f t="shared" ref="Q2464:Q2481" si="520">O2464*K2464</f>
        <v>0</v>
      </c>
      <c r="R2464" s="71"/>
      <c r="S2464" s="61"/>
      <c r="T2464" s="61"/>
      <c r="U2464" s="61"/>
      <c r="V2464" s="61"/>
      <c r="W2464" s="61"/>
      <c r="X2464" s="61"/>
      <c r="Y2464" s="61"/>
      <c r="Z2464" s="61"/>
      <c r="AA2464" s="61"/>
      <c r="AB2464" s="61"/>
      <c r="AC2464" s="61"/>
      <c r="AD2464" s="61"/>
      <c r="AE2464" s="61"/>
      <c r="AF2464" s="61"/>
      <c r="AG2464" s="61"/>
      <c r="AH2464" s="61"/>
      <c r="AI2464" s="61"/>
      <c r="AJ2464" s="61"/>
      <c r="AK2464" s="61"/>
      <c r="AL2464" s="61"/>
      <c r="AM2464" s="61"/>
      <c r="AN2464" s="61"/>
      <c r="AO2464" s="61"/>
    </row>
    <row r="2465" spans="1:41" s="108" customFormat="1" x14ac:dyDescent="0.25">
      <c r="A2465" s="358"/>
      <c r="B2465" s="361"/>
      <c r="C2465" s="194"/>
      <c r="D2465" s="350" t="s">
        <v>62</v>
      </c>
      <c r="E2465" s="350"/>
      <c r="F2465" s="350"/>
      <c r="G2465" s="350"/>
      <c r="H2465" s="195"/>
      <c r="I2465" s="195"/>
      <c r="J2465" s="195"/>
      <c r="K2465" s="195"/>
      <c r="L2465" s="196"/>
      <c r="M2465" s="197"/>
      <c r="N2465" s="278"/>
      <c r="O2465" s="279">
        <f>O2466+O2467</f>
        <v>133.41851597520002</v>
      </c>
      <c r="P2465" s="166"/>
      <c r="Q2465" s="166">
        <f t="shared" si="520"/>
        <v>0</v>
      </c>
      <c r="R2465" s="71"/>
      <c r="S2465" s="61"/>
      <c r="T2465" s="61"/>
      <c r="U2465" s="61"/>
      <c r="V2465" s="61"/>
      <c r="W2465" s="61"/>
      <c r="X2465" s="61"/>
      <c r="Y2465" s="61"/>
      <c r="Z2465" s="61"/>
      <c r="AA2465" s="61"/>
      <c r="AB2465" s="61"/>
      <c r="AC2465" s="61"/>
      <c r="AD2465" s="61"/>
      <c r="AE2465" s="61"/>
      <c r="AF2465" s="61"/>
      <c r="AG2465" s="61"/>
      <c r="AH2465" s="61"/>
      <c r="AI2465" s="61"/>
      <c r="AJ2465" s="61"/>
      <c r="AK2465" s="61"/>
      <c r="AL2465" s="61"/>
      <c r="AM2465" s="61"/>
      <c r="AN2465" s="61"/>
      <c r="AO2465" s="61"/>
    </row>
    <row r="2466" spans="1:41" s="61" customFormat="1" ht="31.5" x14ac:dyDescent="0.25">
      <c r="A2466" s="358"/>
      <c r="B2466" s="361"/>
      <c r="C2466" s="194">
        <v>211</v>
      </c>
      <c r="D2466" s="194" t="s">
        <v>86</v>
      </c>
      <c r="E2466" s="199" t="s">
        <v>95</v>
      </c>
      <c r="F2466" s="199" t="s">
        <v>95</v>
      </c>
      <c r="G2466" s="238">
        <f>MROUND(H2466*L2466*I2466/K2466,0.000000000001)</f>
        <v>4.381945313E-3</v>
      </c>
      <c r="H2466" s="201">
        <f>H2052</f>
        <v>368.4</v>
      </c>
      <c r="I2466" s="159">
        <f>школы!$K$36</f>
        <v>8.2214999999999996E-2</v>
      </c>
      <c r="J2466" s="159"/>
      <c r="K2466" s="161">
        <f>школы!$G$36</f>
        <v>82944</v>
      </c>
      <c r="L2466" s="202">
        <v>12</v>
      </c>
      <c r="M2466" s="163" t="str">
        <f>CONCATENATE(H2466," ",F2466," ","в мес.","*",L2466,"мес.","*",I2466,"/",K2466,"чел/час")</f>
        <v>368,4 шт.ед в мес.*12мес.*0,082215/82944чел/час</v>
      </c>
      <c r="N2466" s="278">
        <f>N2052</f>
        <v>23385.182971407892</v>
      </c>
      <c r="O2466" s="280">
        <f>MROUND(N2466*G2466,0.0000000001)</f>
        <v>102.47259291520001</v>
      </c>
      <c r="P2466" s="166"/>
      <c r="Q2466" s="166">
        <f t="shared" si="520"/>
        <v>8499486.7467583492</v>
      </c>
      <c r="R2466" s="71"/>
    </row>
    <row r="2467" spans="1:41" s="61" customFormat="1" x14ac:dyDescent="0.25">
      <c r="A2467" s="358"/>
      <c r="B2467" s="361"/>
      <c r="C2467" s="194">
        <v>213</v>
      </c>
      <c r="D2467" s="194" t="s">
        <v>87</v>
      </c>
      <c r="E2467" s="194" t="s">
        <v>88</v>
      </c>
      <c r="F2467" s="194"/>
      <c r="G2467" s="211">
        <v>30.2</v>
      </c>
      <c r="H2467" s="159"/>
      <c r="I2467" s="282">
        <f>I2466</f>
        <v>8.2214999999999996E-2</v>
      </c>
      <c r="J2467" s="159"/>
      <c r="K2467" s="161">
        <f>K2466</f>
        <v>82944</v>
      </c>
      <c r="L2467" s="202"/>
      <c r="M2467" s="212"/>
      <c r="N2467" s="278"/>
      <c r="O2467" s="280">
        <f>MROUND(O2466*0.302,0.000000001)-0.0008</f>
        <v>30.945923060000002</v>
      </c>
      <c r="P2467" s="166"/>
      <c r="Q2467" s="166">
        <f t="shared" si="520"/>
        <v>2566778.6422886401</v>
      </c>
      <c r="R2467" s="71"/>
    </row>
    <row r="2468" spans="1:41" s="108" customFormat="1" x14ac:dyDescent="0.25">
      <c r="A2468" s="358"/>
      <c r="B2468" s="361"/>
      <c r="C2468" s="194"/>
      <c r="D2468" s="194"/>
      <c r="E2468" s="194"/>
      <c r="F2468" s="194"/>
      <c r="G2468" s="217"/>
      <c r="H2468" s="195"/>
      <c r="I2468" s="159"/>
      <c r="J2468" s="195"/>
      <c r="K2468" s="161"/>
      <c r="L2468" s="196"/>
      <c r="M2468" s="197"/>
      <c r="N2468" s="278"/>
      <c r="O2468" s="280"/>
      <c r="P2468" s="166"/>
      <c r="Q2468" s="166">
        <f t="shared" si="520"/>
        <v>0</v>
      </c>
      <c r="R2468" s="71"/>
      <c r="S2468" s="61"/>
      <c r="T2468" s="61"/>
      <c r="U2468" s="61"/>
      <c r="V2468" s="61"/>
      <c r="W2468" s="61"/>
      <c r="X2468" s="61"/>
      <c r="Y2468" s="61"/>
      <c r="Z2468" s="61"/>
      <c r="AA2468" s="61"/>
      <c r="AB2468" s="61"/>
      <c r="AC2468" s="61"/>
      <c r="AD2468" s="61"/>
      <c r="AE2468" s="61"/>
      <c r="AF2468" s="61"/>
      <c r="AG2468" s="61"/>
      <c r="AH2468" s="61"/>
      <c r="AI2468" s="61"/>
      <c r="AJ2468" s="61"/>
      <c r="AK2468" s="61"/>
      <c r="AL2468" s="61"/>
      <c r="AM2468" s="61"/>
      <c r="AN2468" s="61"/>
      <c r="AO2468" s="61"/>
    </row>
    <row r="2469" spans="1:41" s="108" customFormat="1" x14ac:dyDescent="0.25">
      <c r="A2469" s="358"/>
      <c r="B2469" s="361"/>
      <c r="C2469" s="194"/>
      <c r="D2469" s="356" t="s">
        <v>63</v>
      </c>
      <c r="E2469" s="356"/>
      <c r="F2469" s="356"/>
      <c r="G2469" s="356"/>
      <c r="H2469" s="195"/>
      <c r="I2469" s="159"/>
      <c r="J2469" s="195"/>
      <c r="K2469" s="161"/>
      <c r="L2469" s="196"/>
      <c r="M2469" s="197"/>
      <c r="N2469" s="278"/>
      <c r="O2469" s="280">
        <f>O2470</f>
        <v>0.80951399999999996</v>
      </c>
      <c r="P2469" s="166"/>
      <c r="Q2469" s="166">
        <f t="shared" si="520"/>
        <v>0</v>
      </c>
      <c r="R2469" s="71"/>
      <c r="S2469" s="61"/>
      <c r="T2469" s="61"/>
      <c r="U2469" s="61"/>
      <c r="V2469" s="61"/>
      <c r="W2469" s="61"/>
      <c r="X2469" s="61"/>
      <c r="Y2469" s="61"/>
      <c r="Z2469" s="61"/>
      <c r="AA2469" s="61"/>
      <c r="AB2469" s="61"/>
      <c r="AC2469" s="61"/>
      <c r="AD2469" s="61"/>
      <c r="AE2469" s="61"/>
      <c r="AF2469" s="61"/>
      <c r="AG2469" s="61"/>
      <c r="AH2469" s="61"/>
      <c r="AI2469" s="61"/>
      <c r="AJ2469" s="61"/>
      <c r="AK2469" s="61"/>
      <c r="AL2469" s="61"/>
      <c r="AM2469" s="61"/>
      <c r="AN2469" s="61"/>
      <c r="AO2469" s="61"/>
    </row>
    <row r="2470" spans="1:41" s="61" customFormat="1" x14ac:dyDescent="0.25">
      <c r="A2470" s="358"/>
      <c r="B2470" s="361"/>
      <c r="C2470" s="194">
        <v>346</v>
      </c>
      <c r="D2470" s="194" t="s">
        <v>259</v>
      </c>
      <c r="E2470" s="194" t="s">
        <v>260</v>
      </c>
      <c r="F2470" s="194" t="s">
        <v>261</v>
      </c>
      <c r="G2470" s="238">
        <f>MROUND(H2470*L2470*I2470/K2470,0.00000000001)</f>
        <v>1.2013476599999999E-3</v>
      </c>
      <c r="H2470" s="283">
        <f>H2057</f>
        <v>1212</v>
      </c>
      <c r="I2470" s="282">
        <f>I2467</f>
        <v>8.2214999999999996E-2</v>
      </c>
      <c r="J2470" s="195"/>
      <c r="K2470" s="161">
        <f>K2467</f>
        <v>82944</v>
      </c>
      <c r="L2470" s="196">
        <v>1</v>
      </c>
      <c r="M2470" s="163" t="str">
        <f>CONCATENATE(H2470," ",F2470,"*",I2470,"/",K2470,"чел/час")</f>
        <v>1212 упаковок*0,082215/82944чел/час</v>
      </c>
      <c r="N2470" s="278">
        <f>N2057</f>
        <v>673.83800330033012</v>
      </c>
      <c r="O2470" s="280">
        <f>MROUND(N2470*G2470,0.000001)</f>
        <v>0.80951399999999996</v>
      </c>
      <c r="P2470" s="166"/>
      <c r="Q2470" s="166">
        <f t="shared" si="520"/>
        <v>67144.329215999998</v>
      </c>
      <c r="R2470" s="71"/>
    </row>
    <row r="2471" spans="1:41" s="108" customFormat="1" x14ac:dyDescent="0.25">
      <c r="A2471" s="358"/>
      <c r="B2471" s="361"/>
      <c r="C2471" s="194"/>
      <c r="D2471" s="350" t="s">
        <v>64</v>
      </c>
      <c r="E2471" s="350"/>
      <c r="F2471" s="350"/>
      <c r="G2471" s="350"/>
      <c r="H2471" s="195"/>
      <c r="I2471" s="159"/>
      <c r="J2471" s="195"/>
      <c r="K2471" s="161"/>
      <c r="L2471" s="196"/>
      <c r="M2471" s="197"/>
      <c r="N2471" s="278"/>
      <c r="O2471" s="280"/>
      <c r="P2471" s="166"/>
      <c r="Q2471" s="166">
        <f t="shared" si="520"/>
        <v>0</v>
      </c>
      <c r="R2471" s="71"/>
      <c r="S2471" s="61"/>
      <c r="T2471" s="61"/>
      <c r="U2471" s="61"/>
      <c r="V2471" s="61"/>
      <c r="W2471" s="61"/>
      <c r="X2471" s="61"/>
      <c r="Y2471" s="61"/>
      <c r="Z2471" s="61"/>
      <c r="AA2471" s="61"/>
      <c r="AB2471" s="61"/>
      <c r="AC2471" s="61"/>
      <c r="AD2471" s="61"/>
      <c r="AE2471" s="61"/>
      <c r="AF2471" s="61"/>
      <c r="AG2471" s="61"/>
      <c r="AH2471" s="61"/>
      <c r="AI2471" s="61"/>
      <c r="AJ2471" s="61"/>
      <c r="AK2471" s="61"/>
      <c r="AL2471" s="61"/>
      <c r="AM2471" s="61"/>
      <c r="AN2471" s="61"/>
      <c r="AO2471" s="61"/>
    </row>
    <row r="2472" spans="1:41" s="108" customFormat="1" x14ac:dyDescent="0.25">
      <c r="A2472" s="358"/>
      <c r="B2472" s="361"/>
      <c r="C2472" s="194"/>
      <c r="D2472" s="194"/>
      <c r="E2472" s="194"/>
      <c r="F2472" s="194"/>
      <c r="G2472" s="217"/>
      <c r="H2472" s="195"/>
      <c r="I2472" s="159"/>
      <c r="J2472" s="195"/>
      <c r="K2472" s="161"/>
      <c r="L2472" s="196"/>
      <c r="M2472" s="197"/>
      <c r="N2472" s="278"/>
      <c r="O2472" s="280"/>
      <c r="P2472" s="166"/>
      <c r="Q2472" s="166">
        <f t="shared" si="520"/>
        <v>0</v>
      </c>
      <c r="R2472" s="71"/>
      <c r="S2472" s="61"/>
      <c r="T2472" s="61"/>
      <c r="U2472" s="61"/>
      <c r="V2472" s="61"/>
      <c r="W2472" s="61"/>
      <c r="X2472" s="61"/>
      <c r="Y2472" s="61"/>
      <c r="Z2472" s="61"/>
      <c r="AA2472" s="61"/>
      <c r="AB2472" s="61"/>
      <c r="AC2472" s="61"/>
      <c r="AD2472" s="61"/>
      <c r="AE2472" s="61"/>
      <c r="AF2472" s="61"/>
      <c r="AG2472" s="61"/>
      <c r="AH2472" s="61"/>
      <c r="AI2472" s="61"/>
      <c r="AJ2472" s="61"/>
      <c r="AK2472" s="61"/>
      <c r="AL2472" s="61"/>
      <c r="AM2472" s="61"/>
      <c r="AN2472" s="61"/>
      <c r="AO2472" s="61"/>
    </row>
    <row r="2473" spans="1:41" s="108" customFormat="1" x14ac:dyDescent="0.25">
      <c r="A2473" s="358"/>
      <c r="B2473" s="361"/>
      <c r="C2473" s="194"/>
      <c r="D2473" s="355" t="s">
        <v>5</v>
      </c>
      <c r="E2473" s="355"/>
      <c r="F2473" s="355"/>
      <c r="G2473" s="355"/>
      <c r="H2473" s="195"/>
      <c r="I2473" s="159"/>
      <c r="J2473" s="195"/>
      <c r="K2473" s="161"/>
      <c r="L2473" s="196"/>
      <c r="M2473" s="197"/>
      <c r="N2473" s="278"/>
      <c r="O2473" s="279">
        <f>O2474+O2483+O2494+O2496+O2507+O2503</f>
        <v>122.1643493679</v>
      </c>
      <c r="P2473" s="166"/>
      <c r="Q2473" s="166">
        <f t="shared" si="520"/>
        <v>0</v>
      </c>
      <c r="R2473" s="71"/>
      <c r="S2473" s="61"/>
      <c r="T2473" s="61"/>
      <c r="U2473" s="61"/>
      <c r="V2473" s="61"/>
      <c r="W2473" s="61"/>
      <c r="X2473" s="61"/>
      <c r="Y2473" s="61"/>
      <c r="Z2473" s="61"/>
      <c r="AA2473" s="61"/>
      <c r="AB2473" s="61"/>
      <c r="AC2473" s="61"/>
      <c r="AD2473" s="61"/>
      <c r="AE2473" s="61"/>
      <c r="AF2473" s="61"/>
      <c r="AG2473" s="61"/>
      <c r="AH2473" s="61"/>
      <c r="AI2473" s="61"/>
      <c r="AJ2473" s="61"/>
      <c r="AK2473" s="61"/>
      <c r="AL2473" s="61"/>
      <c r="AM2473" s="61"/>
      <c r="AN2473" s="61"/>
      <c r="AO2473" s="61"/>
    </row>
    <row r="2474" spans="1:41" s="108" customFormat="1" x14ac:dyDescent="0.25">
      <c r="A2474" s="358"/>
      <c r="B2474" s="361"/>
      <c r="C2474" s="221" t="s">
        <v>70</v>
      </c>
      <c r="D2474" s="355" t="s">
        <v>6</v>
      </c>
      <c r="E2474" s="355"/>
      <c r="F2474" s="355"/>
      <c r="G2474" s="355"/>
      <c r="H2474" s="189"/>
      <c r="I2474" s="159"/>
      <c r="J2474" s="189"/>
      <c r="K2474" s="161"/>
      <c r="L2474" s="190"/>
      <c r="M2474" s="197"/>
      <c r="N2474" s="278"/>
      <c r="O2474" s="279">
        <f>O2475+O2476+O2477+O2478+O2479+O2480+O2481</f>
        <v>6.261374</v>
      </c>
      <c r="P2474" s="166"/>
      <c r="Q2474" s="166">
        <f t="shared" si="520"/>
        <v>0</v>
      </c>
      <c r="R2474" s="71"/>
      <c r="S2474" s="61"/>
      <c r="T2474" s="61"/>
      <c r="U2474" s="61"/>
      <c r="V2474" s="61"/>
      <c r="W2474" s="61"/>
      <c r="X2474" s="61"/>
      <c r="Y2474" s="61"/>
      <c r="Z2474" s="61"/>
      <c r="AA2474" s="61"/>
      <c r="AB2474" s="61"/>
      <c r="AC2474" s="61"/>
      <c r="AD2474" s="61"/>
      <c r="AE2474" s="61"/>
      <c r="AF2474" s="61"/>
      <c r="AG2474" s="61"/>
      <c r="AH2474" s="61"/>
      <c r="AI2474" s="61"/>
      <c r="AJ2474" s="61"/>
      <c r="AK2474" s="61"/>
      <c r="AL2474" s="61"/>
      <c r="AM2474" s="61"/>
      <c r="AN2474" s="61"/>
      <c r="AO2474" s="61"/>
    </row>
    <row r="2475" spans="1:41" s="61" customFormat="1" ht="31.5" x14ac:dyDescent="0.25">
      <c r="A2475" s="358"/>
      <c r="B2475" s="361"/>
      <c r="C2475" s="221" t="s">
        <v>72</v>
      </c>
      <c r="D2475" s="222" t="s">
        <v>7</v>
      </c>
      <c r="E2475" s="223" t="s">
        <v>8</v>
      </c>
      <c r="F2475" s="223" t="s">
        <v>8</v>
      </c>
      <c r="G2475" s="238">
        <f t="shared" ref="G2475:G2481" si="521">MROUND(H2475*L2475*I2475/K2475,0.00000000001)</f>
        <v>0.11206644445</v>
      </c>
      <c r="H2475" s="160">
        <f>H2063</f>
        <v>113060.13705633247</v>
      </c>
      <c r="I2475" s="282">
        <f>I2467</f>
        <v>8.2214999999999996E-2</v>
      </c>
      <c r="J2475" s="160"/>
      <c r="K2475" s="161">
        <f>K2467</f>
        <v>82944</v>
      </c>
      <c r="L2475" s="250">
        <v>1</v>
      </c>
      <c r="M2475" s="163" t="str">
        <f>CONCATENATE(H2475," ",F2475,"(лимиты выделенные УЖКХ) ","*",I2475,"/",K2475,"чел/час")</f>
        <v>113060,137056332 кВт час.(лимиты выделенные УЖКХ) *0,082215/82944чел/час</v>
      </c>
      <c r="N2475" s="278">
        <f>N2063</f>
        <v>10.461700036774822</v>
      </c>
      <c r="O2475" s="280">
        <f>MROUND(N2475*G2475,0.000001)</f>
        <v>1.1724059999999998</v>
      </c>
      <c r="P2475" s="166"/>
      <c r="Q2475" s="166">
        <f t="shared" si="520"/>
        <v>97244.043263999993</v>
      </c>
      <c r="R2475" s="71"/>
    </row>
    <row r="2476" spans="1:41" s="61" customFormat="1" ht="31.5" x14ac:dyDescent="0.25">
      <c r="A2476" s="358"/>
      <c r="B2476" s="361"/>
      <c r="C2476" s="221" t="s">
        <v>73</v>
      </c>
      <c r="D2476" s="222" t="s">
        <v>9</v>
      </c>
      <c r="E2476" s="223" t="s">
        <v>10</v>
      </c>
      <c r="F2476" s="223" t="s">
        <v>10</v>
      </c>
      <c r="G2476" s="238">
        <f t="shared" si="521"/>
        <v>1.3817480499999999E-3</v>
      </c>
      <c r="H2476" s="160">
        <f>H2064</f>
        <v>1394</v>
      </c>
      <c r="I2476" s="159">
        <f t="shared" ref="I2476:I2481" si="522">I2475</f>
        <v>8.2214999999999996E-2</v>
      </c>
      <c r="J2476" s="160"/>
      <c r="K2476" s="161">
        <f t="shared" ref="K2476:K2481" si="523">K2475</f>
        <v>82944</v>
      </c>
      <c r="L2476" s="250">
        <v>1</v>
      </c>
      <c r="M2476" s="163" t="str">
        <f>CONCATENATE(H2476," ",F2476,"(лимиты выделенные УЖКХ) ","*",I2476,"/",K2476,"чел/час")</f>
        <v>1394 Гкал(лимиты выделенные УЖКХ) *0,082215/82944чел/час</v>
      </c>
      <c r="N2476" s="278">
        <f>N2168</f>
        <v>2845.3649999999998</v>
      </c>
      <c r="O2476" s="280">
        <f t="shared" ref="O2476:O2481" si="524">MROUND(N2476*G2476,0.000001)</f>
        <v>3.931578</v>
      </c>
      <c r="P2476" s="166"/>
      <c r="Q2476" s="166">
        <f t="shared" si="520"/>
        <v>326100.80563199997</v>
      </c>
      <c r="R2476" s="71"/>
    </row>
    <row r="2477" spans="1:41" s="61" customFormat="1" ht="31.5" x14ac:dyDescent="0.25">
      <c r="A2477" s="358"/>
      <c r="B2477" s="361"/>
      <c r="C2477" s="364" t="s">
        <v>74</v>
      </c>
      <c r="D2477" s="222" t="s">
        <v>12</v>
      </c>
      <c r="E2477" s="222" t="s">
        <v>11</v>
      </c>
      <c r="F2477" s="222" t="s">
        <v>11</v>
      </c>
      <c r="G2477" s="238">
        <f t="shared" si="521"/>
        <v>4.0055924299999997E-3</v>
      </c>
      <c r="H2477" s="224">
        <f>H2065</f>
        <v>4041.1099999999997</v>
      </c>
      <c r="I2477" s="159">
        <f t="shared" si="522"/>
        <v>8.2214999999999996E-2</v>
      </c>
      <c r="J2477" s="160"/>
      <c r="K2477" s="161">
        <f t="shared" si="523"/>
        <v>82944</v>
      </c>
      <c r="L2477" s="250">
        <v>1</v>
      </c>
      <c r="M2477" s="163" t="str">
        <f>CONCATENATE(H2477," ",F2477,"(лимиты выделенные УЖКХ) ","*",I2477,"/",K2477,"чел/час")</f>
        <v>4041,11 м3(лимиты выделенные УЖКХ) *0,082215/82944чел/час</v>
      </c>
      <c r="N2477" s="278">
        <f>N2065</f>
        <v>51.830000000000013</v>
      </c>
      <c r="O2477" s="280">
        <f t="shared" si="524"/>
        <v>0.20760999999999999</v>
      </c>
      <c r="P2477" s="166"/>
      <c r="Q2477" s="166">
        <f t="shared" si="520"/>
        <v>17220.003839999998</v>
      </c>
      <c r="R2477" s="71"/>
    </row>
    <row r="2478" spans="1:41" s="61" customFormat="1" ht="47.25" x14ac:dyDescent="0.25">
      <c r="A2478" s="358"/>
      <c r="B2478" s="361"/>
      <c r="C2478" s="364"/>
      <c r="D2478" s="222" t="s">
        <v>17</v>
      </c>
      <c r="E2478" s="222" t="s">
        <v>11</v>
      </c>
      <c r="F2478" s="222" t="s">
        <v>11</v>
      </c>
      <c r="G2478" s="238">
        <f t="shared" si="521"/>
        <v>4.0055924299999997E-3</v>
      </c>
      <c r="H2478" s="160">
        <f>H2170</f>
        <v>4041.1099999999997</v>
      </c>
      <c r="I2478" s="159">
        <f t="shared" si="522"/>
        <v>8.2214999999999996E-2</v>
      </c>
      <c r="J2478" s="160"/>
      <c r="K2478" s="161">
        <f t="shared" si="523"/>
        <v>82944</v>
      </c>
      <c r="L2478" s="162">
        <f>$L$25</f>
        <v>1</v>
      </c>
      <c r="M2478" s="163" t="str">
        <f>CONCATENATE(H2478," ",F2478,"(лимиты выделенные УЖКХ) ","*",I2478,"/",K2478,"чел/час")</f>
        <v>4041,11 м3(лимиты выделенные УЖКХ) *0,082215/82944чел/час</v>
      </c>
      <c r="N2478" s="164">
        <f>N2066</f>
        <v>78.761157534246578</v>
      </c>
      <c r="O2478" s="280">
        <f t="shared" si="524"/>
        <v>0.31548499999999996</v>
      </c>
      <c r="P2478" s="166"/>
      <c r="Q2478" s="166">
        <f t="shared" si="520"/>
        <v>26167.587839999997</v>
      </c>
      <c r="R2478" s="71"/>
    </row>
    <row r="2479" spans="1:41" s="61" customFormat="1" ht="31.5" x14ac:dyDescent="0.25">
      <c r="A2479" s="358"/>
      <c r="B2479" s="361"/>
      <c r="C2479" s="364"/>
      <c r="D2479" s="222" t="s">
        <v>13</v>
      </c>
      <c r="E2479" s="222" t="s">
        <v>11</v>
      </c>
      <c r="F2479" s="222" t="s">
        <v>11</v>
      </c>
      <c r="G2479" s="238">
        <f t="shared" si="521"/>
        <v>4.0055924299999997E-3</v>
      </c>
      <c r="H2479" s="160">
        <f>H2067</f>
        <v>4041.1099999999997</v>
      </c>
      <c r="I2479" s="159">
        <f t="shared" si="522"/>
        <v>8.2214999999999996E-2</v>
      </c>
      <c r="J2479" s="160"/>
      <c r="K2479" s="161">
        <f t="shared" si="523"/>
        <v>82944</v>
      </c>
      <c r="L2479" s="162">
        <v>1</v>
      </c>
      <c r="M2479" s="163" t="str">
        <f>CONCATENATE(H2479," ",F2479,"(лимиты выделенные УЖКХ) ","*",I2479,"/",K2479,"чел/час")</f>
        <v>4041,11 м3(лимиты выделенные УЖКХ) *0,082215/82944чел/час</v>
      </c>
      <c r="N2479" s="278">
        <f>N2067</f>
        <v>96.180004349493274</v>
      </c>
      <c r="O2479" s="280">
        <f t="shared" si="524"/>
        <v>0.38525799999999999</v>
      </c>
      <c r="P2479" s="166"/>
      <c r="Q2479" s="166">
        <f t="shared" si="520"/>
        <v>31954.839551999998</v>
      </c>
      <c r="R2479" s="71"/>
    </row>
    <row r="2480" spans="1:41" s="61" customFormat="1" x14ac:dyDescent="0.25">
      <c r="A2480" s="358"/>
      <c r="B2480" s="361"/>
      <c r="C2480" s="364" t="s">
        <v>216</v>
      </c>
      <c r="D2480" s="222" t="s">
        <v>23</v>
      </c>
      <c r="E2480" s="222" t="s">
        <v>11</v>
      </c>
      <c r="F2480" s="222" t="s">
        <v>11</v>
      </c>
      <c r="G2480" s="238">
        <f t="shared" si="521"/>
        <v>2.4760449999999998E-5</v>
      </c>
      <c r="H2480" s="160">
        <f>H2068</f>
        <v>24.979999999999997</v>
      </c>
      <c r="I2480" s="159">
        <f t="shared" si="522"/>
        <v>8.2214999999999996E-2</v>
      </c>
      <c r="J2480" s="160"/>
      <c r="K2480" s="161">
        <f t="shared" si="523"/>
        <v>82944</v>
      </c>
      <c r="L2480" s="162">
        <v>1</v>
      </c>
      <c r="M2480" s="163" t="str">
        <f>CONCATENATE(H2480," ",F2480," ","*",I2480,"/",K2480,"чел/час")</f>
        <v>24,98 м3 *0,082215/82944чел/час</v>
      </c>
      <c r="N2480" s="164">
        <f>N2068</f>
        <v>8906.5644515612512</v>
      </c>
      <c r="O2480" s="280">
        <f t="shared" si="524"/>
        <v>0.22053099999999998</v>
      </c>
      <c r="P2480" s="166"/>
      <c r="Q2480" s="166">
        <f t="shared" si="520"/>
        <v>18291.723263999997</v>
      </c>
      <c r="R2480" s="71"/>
    </row>
    <row r="2481" spans="1:41" s="61" customFormat="1" ht="63" x14ac:dyDescent="0.25">
      <c r="A2481" s="358"/>
      <c r="B2481" s="361"/>
      <c r="C2481" s="364"/>
      <c r="D2481" s="222" t="s">
        <v>24</v>
      </c>
      <c r="E2481" s="222" t="s">
        <v>25</v>
      </c>
      <c r="F2481" s="222" t="s">
        <v>248</v>
      </c>
      <c r="G2481" s="238">
        <f t="shared" si="521"/>
        <v>4.9560499999999998E-6</v>
      </c>
      <c r="H2481" s="160">
        <f>H2069</f>
        <v>5</v>
      </c>
      <c r="I2481" s="159">
        <f t="shared" si="522"/>
        <v>8.2214999999999996E-2</v>
      </c>
      <c r="J2481" s="160"/>
      <c r="K2481" s="161">
        <f t="shared" si="523"/>
        <v>82944</v>
      </c>
      <c r="L2481" s="250">
        <v>1</v>
      </c>
      <c r="M2481" s="163" t="str">
        <f>CONCATENATE(H2481," ",F2481,"(потребность из расчета 4 контейнера для уборки территории весной и осенью на 1 учреждение)","*",I2481,"/",K2481,"чел/час")</f>
        <v>5 контейнеров(потребность из расчета 4 контейнера для уборки территории весной и осенью на 1 учреждение)*0,082215/82944чел/час</v>
      </c>
      <c r="N2481" s="278">
        <f>N2069</f>
        <v>5751.8</v>
      </c>
      <c r="O2481" s="280">
        <f t="shared" si="524"/>
        <v>2.8506E-2</v>
      </c>
      <c r="P2481" s="166"/>
      <c r="Q2481" s="166">
        <f t="shared" si="520"/>
        <v>2364.401664</v>
      </c>
      <c r="R2481" s="71"/>
    </row>
    <row r="2482" spans="1:41" s="109" customFormat="1" x14ac:dyDescent="0.25">
      <c r="A2482" s="358"/>
      <c r="B2482" s="361"/>
      <c r="C2482" s="218" t="s">
        <v>290</v>
      </c>
      <c r="D2482" s="226"/>
      <c r="E2482" s="226"/>
      <c r="F2482" s="226"/>
      <c r="G2482" s="227"/>
      <c r="H2482" s="228"/>
      <c r="I2482" s="206"/>
      <c r="J2482" s="228"/>
      <c r="K2482" s="207"/>
      <c r="L2482" s="257"/>
      <c r="M2482" s="209"/>
      <c r="N2482" s="281"/>
      <c r="O2482" s="279">
        <f>SUM(O2475:O2481)</f>
        <v>6.261374</v>
      </c>
      <c r="P2482" s="267"/>
      <c r="Q2482" s="166"/>
      <c r="R2482" s="71"/>
      <c r="S2482" s="62"/>
      <c r="T2482" s="62"/>
      <c r="U2482" s="62"/>
      <c r="V2482" s="62"/>
      <c r="W2482" s="62"/>
      <c r="X2482" s="62"/>
      <c r="Y2482" s="62"/>
      <c r="Z2482" s="62"/>
      <c r="AA2482" s="62"/>
      <c r="AB2482" s="62"/>
      <c r="AC2482" s="62"/>
      <c r="AD2482" s="62"/>
      <c r="AE2482" s="62"/>
      <c r="AF2482" s="62"/>
      <c r="AG2482" s="62"/>
      <c r="AH2482" s="62"/>
      <c r="AI2482" s="62"/>
      <c r="AJ2482" s="62"/>
      <c r="AK2482" s="62"/>
      <c r="AL2482" s="62"/>
      <c r="AM2482" s="62"/>
      <c r="AN2482" s="62"/>
      <c r="AO2482" s="62"/>
    </row>
    <row r="2483" spans="1:41" s="108" customFormat="1" x14ac:dyDescent="0.25">
      <c r="A2483" s="358"/>
      <c r="B2483" s="361"/>
      <c r="C2483" s="221"/>
      <c r="D2483" s="356" t="s">
        <v>14</v>
      </c>
      <c r="E2483" s="356"/>
      <c r="F2483" s="356"/>
      <c r="G2483" s="356"/>
      <c r="H2483" s="188"/>
      <c r="I2483" s="159"/>
      <c r="J2483" s="188"/>
      <c r="K2483" s="161"/>
      <c r="L2483" s="250"/>
      <c r="M2483" s="230"/>
      <c r="N2483" s="278"/>
      <c r="O2483" s="279">
        <f>O2487+O2491+O2492</f>
        <v>103.073555828</v>
      </c>
      <c r="P2483" s="166"/>
      <c r="Q2483" s="166">
        <f>O2483*K2483</f>
        <v>0</v>
      </c>
      <c r="R2483" s="71"/>
      <c r="S2483" s="61"/>
      <c r="T2483" s="61"/>
      <c r="U2483" s="61"/>
      <c r="V2483" s="61"/>
      <c r="W2483" s="61"/>
      <c r="X2483" s="61"/>
      <c r="Y2483" s="61"/>
      <c r="Z2483" s="61"/>
      <c r="AA2483" s="61"/>
      <c r="AB2483" s="61"/>
      <c r="AC2483" s="61"/>
      <c r="AD2483" s="61"/>
      <c r="AE2483" s="61"/>
      <c r="AF2483" s="61"/>
      <c r="AG2483" s="61"/>
      <c r="AH2483" s="61"/>
      <c r="AI2483" s="61"/>
      <c r="AJ2483" s="61"/>
      <c r="AK2483" s="61"/>
      <c r="AL2483" s="61"/>
      <c r="AM2483" s="61"/>
      <c r="AN2483" s="61"/>
      <c r="AO2483" s="61"/>
    </row>
    <row r="2484" spans="1:41" s="61" customFormat="1" x14ac:dyDescent="0.25">
      <c r="A2484" s="358"/>
      <c r="B2484" s="361"/>
      <c r="C2484" s="221" t="s">
        <v>379</v>
      </c>
      <c r="D2484" s="231" t="s">
        <v>49</v>
      </c>
      <c r="E2484" s="231" t="s">
        <v>22</v>
      </c>
      <c r="F2484" s="231" t="s">
        <v>22</v>
      </c>
      <c r="G2484" s="238">
        <f>MROUND(H2484*L2484*I2484/K2484,0.00000000001)</f>
        <v>3.3069770499999998E-3</v>
      </c>
      <c r="H2484" s="160">
        <f>H2072</f>
        <v>3336.3</v>
      </c>
      <c r="I2484" s="159">
        <f>I2479</f>
        <v>8.2214999999999996E-2</v>
      </c>
      <c r="J2484" s="160"/>
      <c r="K2484" s="161">
        <f>K2479</f>
        <v>82944</v>
      </c>
      <c r="L2484" s="250">
        <v>1</v>
      </c>
      <c r="M2484" s="163" t="str">
        <f>CONCATENATE(H2484," ",F2484,"*",I2484,"/",K2484,"чел/час")</f>
        <v>3336,3 м2*0,082215/82944чел/час</v>
      </c>
      <c r="N2484" s="278">
        <f>N2072</f>
        <v>2997.3323741869735</v>
      </c>
      <c r="O2484" s="280">
        <f>MROUND(N2484*G2484,0.000000001)</f>
        <v>9.9121093729999998</v>
      </c>
      <c r="P2484" s="166"/>
      <c r="Q2484" s="166">
        <f>O2484*K2484</f>
        <v>822149.99983411201</v>
      </c>
      <c r="R2484" s="71"/>
    </row>
    <row r="2485" spans="1:41" s="61" customFormat="1" x14ac:dyDescent="0.25">
      <c r="A2485" s="358"/>
      <c r="B2485" s="361"/>
      <c r="C2485" s="221" t="s">
        <v>379</v>
      </c>
      <c r="D2485" s="231" t="s">
        <v>49</v>
      </c>
      <c r="E2485" s="231" t="s">
        <v>28</v>
      </c>
      <c r="F2485" s="231" t="s">
        <v>28</v>
      </c>
      <c r="G2485" s="238">
        <f>MROUND(H2485*L2485*I2485/K2485,0.00000000001)</f>
        <v>0</v>
      </c>
      <c r="H2485" s="160"/>
      <c r="I2485" s="159">
        <f>I2484</f>
        <v>8.2214999999999996E-2</v>
      </c>
      <c r="J2485" s="160"/>
      <c r="K2485" s="161">
        <f>K2484</f>
        <v>82944</v>
      </c>
      <c r="L2485" s="250">
        <v>1</v>
      </c>
      <c r="M2485" s="163"/>
      <c r="N2485" s="278"/>
      <c r="O2485" s="280">
        <f>MROUND(N2485*G2485,0.000000001)</f>
        <v>0</v>
      </c>
      <c r="P2485" s="166"/>
      <c r="Q2485" s="166">
        <f>O2485*K2485</f>
        <v>0</v>
      </c>
      <c r="R2485" s="71"/>
    </row>
    <row r="2486" spans="1:41" s="61" customFormat="1" x14ac:dyDescent="0.25">
      <c r="A2486" s="358"/>
      <c r="B2486" s="361"/>
      <c r="C2486" s="221" t="s">
        <v>379</v>
      </c>
      <c r="D2486" s="231" t="s">
        <v>49</v>
      </c>
      <c r="E2486" s="231" t="s">
        <v>101</v>
      </c>
      <c r="F2486" s="231" t="s">
        <v>101</v>
      </c>
      <c r="G2486" s="238">
        <f>MROUND(H2486*L2486*I2486/K2486,0.00000000001)</f>
        <v>0</v>
      </c>
      <c r="H2486" s="160"/>
      <c r="I2486" s="159">
        <f>I2484</f>
        <v>8.2214999999999996E-2</v>
      </c>
      <c r="J2486" s="160"/>
      <c r="K2486" s="161">
        <f>K2484</f>
        <v>82944</v>
      </c>
      <c r="L2486" s="250">
        <v>1</v>
      </c>
      <c r="M2486" s="163"/>
      <c r="N2486" s="278"/>
      <c r="O2486" s="280">
        <f>MROUND(N2486*G2486,0.000001)</f>
        <v>0</v>
      </c>
      <c r="P2486" s="166"/>
      <c r="Q2486" s="166">
        <f>O2486*K2486</f>
        <v>0</v>
      </c>
      <c r="R2486" s="71"/>
    </row>
    <row r="2487" spans="1:41" s="109" customFormat="1" x14ac:dyDescent="0.25">
      <c r="A2487" s="358"/>
      <c r="B2487" s="361"/>
      <c r="C2487" s="218" t="s">
        <v>380</v>
      </c>
      <c r="D2487" s="232"/>
      <c r="E2487" s="232"/>
      <c r="F2487" s="232"/>
      <c r="G2487" s="227"/>
      <c r="H2487" s="228"/>
      <c r="I2487" s="206"/>
      <c r="J2487" s="228"/>
      <c r="K2487" s="207"/>
      <c r="L2487" s="257"/>
      <c r="M2487" s="209"/>
      <c r="N2487" s="281"/>
      <c r="O2487" s="279">
        <f>SUM(O2484:O2486)</f>
        <v>9.9121093729999998</v>
      </c>
      <c r="P2487" s="267"/>
      <c r="Q2487" s="166"/>
      <c r="R2487" s="72"/>
      <c r="S2487" s="62"/>
      <c r="T2487" s="62"/>
      <c r="U2487" s="62"/>
      <c r="V2487" s="62"/>
      <c r="W2487" s="62"/>
      <c r="X2487" s="62"/>
      <c r="Y2487" s="62"/>
      <c r="Z2487" s="62"/>
      <c r="AA2487" s="62"/>
      <c r="AB2487" s="62"/>
      <c r="AC2487" s="62"/>
      <c r="AD2487" s="62"/>
      <c r="AE2487" s="62"/>
      <c r="AF2487" s="62"/>
      <c r="AG2487" s="62"/>
      <c r="AH2487" s="62"/>
      <c r="AI2487" s="62"/>
      <c r="AJ2487" s="62"/>
      <c r="AK2487" s="62"/>
      <c r="AL2487" s="62"/>
      <c r="AM2487" s="62"/>
      <c r="AN2487" s="62"/>
      <c r="AO2487" s="62"/>
    </row>
    <row r="2488" spans="1:41" s="61" customFormat="1" x14ac:dyDescent="0.25">
      <c r="A2488" s="358"/>
      <c r="B2488" s="361"/>
      <c r="C2488" s="221" t="s">
        <v>76</v>
      </c>
      <c r="D2488" s="231" t="s">
        <v>49</v>
      </c>
      <c r="E2488" s="231" t="s">
        <v>22</v>
      </c>
      <c r="F2488" s="231" t="s">
        <v>22</v>
      </c>
      <c r="G2488" s="238">
        <f>MROUND(H2488*L2488*I2488/K2488,0.00000000001)</f>
        <v>1.8549521479999997E-2</v>
      </c>
      <c r="H2488" s="160">
        <f>H2076</f>
        <v>18714</v>
      </c>
      <c r="I2488" s="159">
        <f>I2486</f>
        <v>8.2214999999999996E-2</v>
      </c>
      <c r="J2488" s="160"/>
      <c r="K2488" s="161">
        <f>K2486</f>
        <v>82944</v>
      </c>
      <c r="L2488" s="250">
        <v>1</v>
      </c>
      <c r="M2488" s="163" t="str">
        <f>CONCATENATE(H2488," ",F2488,"*",I2488,"/",K2488,"чел/час")</f>
        <v>18714 м2*0,082215/82944чел/час</v>
      </c>
      <c r="N2488" s="278">
        <f>N2076</f>
        <v>3265.8708987923478</v>
      </c>
      <c r="O2488" s="280">
        <f>MROUND(N2488*G2488,0.000000001)</f>
        <v>60.580342388000005</v>
      </c>
      <c r="P2488" s="166"/>
      <c r="Q2488" s="166">
        <f>O2488*K2488</f>
        <v>5024775.9190302724</v>
      </c>
      <c r="R2488" s="71"/>
    </row>
    <row r="2489" spans="1:41" s="61" customFormat="1" x14ac:dyDescent="0.25">
      <c r="A2489" s="358"/>
      <c r="B2489" s="361"/>
      <c r="C2489" s="221"/>
      <c r="D2489" s="231" t="s">
        <v>49</v>
      </c>
      <c r="E2489" s="231" t="s">
        <v>28</v>
      </c>
      <c r="F2489" s="231" t="s">
        <v>28</v>
      </c>
      <c r="G2489" s="238">
        <f>MROUND(H2489*L2489*I2489/K2489,0.00000000001)</f>
        <v>1.9824218999999998E-4</v>
      </c>
      <c r="H2489" s="160">
        <f>H2077</f>
        <v>200</v>
      </c>
      <c r="I2489" s="159">
        <f>I2488</f>
        <v>8.2214999999999996E-2</v>
      </c>
      <c r="J2489" s="160"/>
      <c r="K2489" s="161">
        <f>K2488</f>
        <v>82944</v>
      </c>
      <c r="L2489" s="250">
        <v>1</v>
      </c>
      <c r="M2489" s="163" t="str">
        <f>CONCATENATE(H2489," ",F2489,"*",I2489,"/",K2489,"чел/час")</f>
        <v>200 шт*0,082215/82944чел/час</v>
      </c>
      <c r="N2489" s="278">
        <f>N2077</f>
        <v>108250</v>
      </c>
      <c r="O2489" s="280">
        <f>MROUND(N2489*G2489,0.000000001)</f>
        <v>21.459717067</v>
      </c>
      <c r="P2489" s="166"/>
      <c r="Q2489" s="166">
        <f>O2489*K2489</f>
        <v>1779954.7724052479</v>
      </c>
      <c r="R2489" s="71"/>
    </row>
    <row r="2490" spans="1:41" s="61" customFormat="1" x14ac:dyDescent="0.25">
      <c r="A2490" s="358"/>
      <c r="B2490" s="361"/>
      <c r="C2490" s="221"/>
      <c r="D2490" s="231" t="s">
        <v>49</v>
      </c>
      <c r="E2490" s="231" t="s">
        <v>101</v>
      </c>
      <c r="F2490" s="231" t="s">
        <v>101</v>
      </c>
      <c r="G2490" s="238">
        <f>MROUND(H2490*L2490*I2490/K2490,0.00000000001)</f>
        <v>2.2024707E-3</v>
      </c>
      <c r="H2490" s="160">
        <f>H2078</f>
        <v>2222</v>
      </c>
      <c r="I2490" s="159">
        <f>I2488</f>
        <v>8.2214999999999996E-2</v>
      </c>
      <c r="J2490" s="160"/>
      <c r="K2490" s="161">
        <f>K2488</f>
        <v>82944</v>
      </c>
      <c r="L2490" s="250">
        <v>1</v>
      </c>
      <c r="M2490" s="163" t="str">
        <f>CONCATENATE(H2490," ",F2490,"*",I2490,"/",K2490,"чел/час")</f>
        <v>2222 погон.м.*0,082215/82944чел/час</v>
      </c>
      <c r="N2490" s="278">
        <f>N2078</f>
        <v>5049.5049504950493</v>
      </c>
      <c r="O2490" s="280">
        <f>MROUND(N2490*G2490,0.000001)</f>
        <v>11.121387</v>
      </c>
      <c r="P2490" s="166"/>
      <c r="Q2490" s="166">
        <f>O2490*K2490</f>
        <v>922452.32332800003</v>
      </c>
      <c r="R2490" s="71"/>
    </row>
    <row r="2491" spans="1:41" s="109" customFormat="1" x14ac:dyDescent="0.25">
      <c r="A2491" s="358"/>
      <c r="B2491" s="361"/>
      <c r="C2491" s="218" t="s">
        <v>291</v>
      </c>
      <c r="D2491" s="232"/>
      <c r="E2491" s="232"/>
      <c r="F2491" s="232"/>
      <c r="G2491" s="227"/>
      <c r="H2491" s="228"/>
      <c r="I2491" s="206"/>
      <c r="J2491" s="228"/>
      <c r="K2491" s="207"/>
      <c r="L2491" s="257"/>
      <c r="M2491" s="209"/>
      <c r="N2491" s="281"/>
      <c r="O2491" s="279">
        <f>SUM(O2488:O2490)</f>
        <v>93.161446455000004</v>
      </c>
      <c r="P2491" s="267"/>
      <c r="Q2491" s="166"/>
      <c r="R2491" s="72"/>
      <c r="S2491" s="62"/>
      <c r="T2491" s="62"/>
      <c r="U2491" s="62"/>
      <c r="V2491" s="62"/>
      <c r="W2491" s="62"/>
      <c r="X2491" s="62"/>
      <c r="Y2491" s="62"/>
      <c r="Z2491" s="62"/>
      <c r="AA2491" s="62"/>
      <c r="AB2491" s="62"/>
      <c r="AC2491" s="62"/>
      <c r="AD2491" s="62"/>
      <c r="AE2491" s="62"/>
      <c r="AF2491" s="62"/>
      <c r="AG2491" s="62"/>
      <c r="AH2491" s="62"/>
      <c r="AI2491" s="62"/>
      <c r="AJ2491" s="62"/>
      <c r="AK2491" s="62"/>
      <c r="AL2491" s="62"/>
      <c r="AM2491" s="62"/>
      <c r="AN2491" s="62"/>
      <c r="AO2491" s="62"/>
    </row>
    <row r="2492" spans="1:41" s="61" customFormat="1" x14ac:dyDescent="0.25">
      <c r="A2492" s="358"/>
      <c r="B2492" s="361"/>
      <c r="C2492" s="221" t="s">
        <v>77</v>
      </c>
      <c r="D2492" s="231"/>
      <c r="E2492" s="231"/>
      <c r="F2492" s="231"/>
      <c r="G2492" s="238">
        <f>MROUND(H2492*L2492*I2492/K2492,0.00000000001)</f>
        <v>0</v>
      </c>
      <c r="H2492" s="160"/>
      <c r="I2492" s="159">
        <f>I2490</f>
        <v>8.2214999999999996E-2</v>
      </c>
      <c r="J2492" s="160"/>
      <c r="K2492" s="161">
        <f>K2490</f>
        <v>82944</v>
      </c>
      <c r="L2492" s="250"/>
      <c r="M2492" s="163"/>
      <c r="N2492" s="278"/>
      <c r="O2492" s="280">
        <f>MROUND(N2492*G2492,0.000001)</f>
        <v>0</v>
      </c>
      <c r="P2492" s="166"/>
      <c r="Q2492" s="166">
        <f>O2492*K2492</f>
        <v>0</v>
      </c>
      <c r="R2492" s="71"/>
    </row>
    <row r="2493" spans="1:41" s="109" customFormat="1" x14ac:dyDescent="0.25">
      <c r="A2493" s="358"/>
      <c r="B2493" s="361"/>
      <c r="C2493" s="218" t="s">
        <v>292</v>
      </c>
      <c r="D2493" s="232"/>
      <c r="E2493" s="232"/>
      <c r="F2493" s="232"/>
      <c r="G2493" s="227"/>
      <c r="H2493" s="228"/>
      <c r="I2493" s="206"/>
      <c r="J2493" s="228"/>
      <c r="K2493" s="207"/>
      <c r="L2493" s="257"/>
      <c r="M2493" s="209"/>
      <c r="N2493" s="281"/>
      <c r="O2493" s="279">
        <f>O2492</f>
        <v>0</v>
      </c>
      <c r="P2493" s="267"/>
      <c r="Q2493" s="166"/>
      <c r="R2493" s="72"/>
      <c r="S2493" s="62"/>
      <c r="T2493" s="62"/>
      <c r="U2493" s="62"/>
      <c r="V2493" s="62"/>
      <c r="W2493" s="62"/>
      <c r="X2493" s="62"/>
      <c r="Y2493" s="62"/>
      <c r="Z2493" s="62"/>
      <c r="AA2493" s="62"/>
      <c r="AB2493" s="62"/>
      <c r="AC2493" s="62"/>
      <c r="AD2493" s="62"/>
      <c r="AE2493" s="62"/>
      <c r="AF2493" s="62"/>
      <c r="AG2493" s="62"/>
      <c r="AH2493" s="62"/>
      <c r="AI2493" s="62"/>
      <c r="AJ2493" s="62"/>
      <c r="AK2493" s="62"/>
      <c r="AL2493" s="62"/>
      <c r="AM2493" s="62"/>
      <c r="AN2493" s="62"/>
      <c r="AO2493" s="62"/>
    </row>
    <row r="2494" spans="1:41" s="108" customFormat="1" x14ac:dyDescent="0.25">
      <c r="A2494" s="358"/>
      <c r="B2494" s="361"/>
      <c r="C2494" s="221"/>
      <c r="D2494" s="350" t="s">
        <v>65</v>
      </c>
      <c r="E2494" s="350"/>
      <c r="F2494" s="350"/>
      <c r="G2494" s="350"/>
      <c r="H2494" s="195"/>
      <c r="I2494" s="159"/>
      <c r="J2494" s="195"/>
      <c r="K2494" s="161"/>
      <c r="L2494" s="196"/>
      <c r="M2494" s="230"/>
      <c r="N2494" s="278"/>
      <c r="O2494" s="280"/>
      <c r="P2494" s="166"/>
      <c r="Q2494" s="166">
        <f t="shared" ref="Q2494:Q2513" si="525">O2494*K2494</f>
        <v>0</v>
      </c>
      <c r="R2494" s="71"/>
      <c r="S2494" s="61"/>
      <c r="T2494" s="61"/>
      <c r="U2494" s="61"/>
      <c r="V2494" s="61"/>
      <c r="W2494" s="61"/>
      <c r="X2494" s="61"/>
      <c r="Y2494" s="61"/>
      <c r="Z2494" s="61"/>
      <c r="AA2494" s="61"/>
      <c r="AB2494" s="61"/>
      <c r="AC2494" s="61"/>
      <c r="AD2494" s="61"/>
      <c r="AE2494" s="61"/>
      <c r="AF2494" s="61"/>
      <c r="AG2494" s="61"/>
      <c r="AH2494" s="61"/>
      <c r="AI2494" s="61"/>
      <c r="AJ2494" s="61"/>
      <c r="AK2494" s="61"/>
      <c r="AL2494" s="61"/>
      <c r="AM2494" s="61"/>
      <c r="AN2494" s="61"/>
      <c r="AO2494" s="61"/>
    </row>
    <row r="2495" spans="1:41" s="108" customFormat="1" x14ac:dyDescent="0.25">
      <c r="A2495" s="358"/>
      <c r="B2495" s="361"/>
      <c r="C2495" s="221"/>
      <c r="D2495" s="194"/>
      <c r="E2495" s="194"/>
      <c r="F2495" s="194"/>
      <c r="G2495" s="217"/>
      <c r="H2495" s="195"/>
      <c r="I2495" s="159"/>
      <c r="J2495" s="195"/>
      <c r="K2495" s="161"/>
      <c r="L2495" s="196"/>
      <c r="M2495" s="230"/>
      <c r="N2495" s="278"/>
      <c r="O2495" s="280"/>
      <c r="P2495" s="166"/>
      <c r="Q2495" s="166">
        <f t="shared" si="525"/>
        <v>0</v>
      </c>
      <c r="R2495" s="71"/>
      <c r="S2495" s="61"/>
      <c r="T2495" s="61"/>
      <c r="U2495" s="61"/>
      <c r="V2495" s="61"/>
      <c r="W2495" s="61"/>
      <c r="X2495" s="61"/>
      <c r="Y2495" s="61"/>
      <c r="Z2495" s="61"/>
      <c r="AA2495" s="61"/>
      <c r="AB2495" s="61"/>
      <c r="AC2495" s="61"/>
      <c r="AD2495" s="61"/>
      <c r="AE2495" s="61"/>
      <c r="AF2495" s="61"/>
      <c r="AG2495" s="61"/>
      <c r="AH2495" s="61"/>
      <c r="AI2495" s="61"/>
      <c r="AJ2495" s="61"/>
      <c r="AK2495" s="61"/>
      <c r="AL2495" s="61"/>
      <c r="AM2495" s="61"/>
      <c r="AN2495" s="61"/>
      <c r="AO2495" s="61"/>
    </row>
    <row r="2496" spans="1:41" s="108" customFormat="1" ht="14.25" customHeight="1" x14ac:dyDescent="0.25">
      <c r="A2496" s="358"/>
      <c r="B2496" s="361"/>
      <c r="C2496" s="365" t="s">
        <v>357</v>
      </c>
      <c r="D2496" s="368" t="s">
        <v>66</v>
      </c>
      <c r="E2496" s="368"/>
      <c r="F2496" s="368"/>
      <c r="G2496" s="368"/>
      <c r="H2496" s="195"/>
      <c r="I2496" s="159"/>
      <c r="J2496" s="195"/>
      <c r="K2496" s="161"/>
      <c r="L2496" s="196"/>
      <c r="M2496" s="230"/>
      <c r="N2496" s="278"/>
      <c r="O2496" s="279">
        <f>O2502</f>
        <v>0.44403753989999994</v>
      </c>
      <c r="P2496" s="166"/>
      <c r="Q2496" s="166">
        <f t="shared" si="525"/>
        <v>0</v>
      </c>
      <c r="R2496" s="71"/>
      <c r="S2496" s="61"/>
      <c r="T2496" s="61"/>
      <c r="U2496" s="61"/>
      <c r="V2496" s="61"/>
      <c r="W2496" s="61"/>
      <c r="X2496" s="61"/>
      <c r="Y2496" s="61"/>
      <c r="Z2496" s="61"/>
      <c r="AA2496" s="61"/>
      <c r="AB2496" s="61"/>
      <c r="AC2496" s="61"/>
      <c r="AD2496" s="61"/>
      <c r="AE2496" s="61"/>
      <c r="AF2496" s="61"/>
      <c r="AG2496" s="61"/>
      <c r="AH2496" s="61"/>
      <c r="AI2496" s="61"/>
      <c r="AJ2496" s="61"/>
      <c r="AK2496" s="61"/>
      <c r="AL2496" s="61"/>
      <c r="AM2496" s="61"/>
      <c r="AN2496" s="61"/>
      <c r="AO2496" s="61"/>
    </row>
    <row r="2497" spans="1:41" s="61" customFormat="1" x14ac:dyDescent="0.25">
      <c r="A2497" s="358"/>
      <c r="B2497" s="361"/>
      <c r="C2497" s="366"/>
      <c r="D2497" s="284" t="s">
        <v>241</v>
      </c>
      <c r="E2497" s="156" t="s">
        <v>28</v>
      </c>
      <c r="F2497" s="156" t="s">
        <v>28</v>
      </c>
      <c r="G2497" s="238">
        <f>MROUND(H2497*L2497*I2497/K2497,0.00000000001)</f>
        <v>2.0220703E-4</v>
      </c>
      <c r="H2497" s="158">
        <f>H2085</f>
        <v>17</v>
      </c>
      <c r="I2497" s="159">
        <f>I2490</f>
        <v>8.2214999999999996E-2</v>
      </c>
      <c r="J2497" s="160"/>
      <c r="K2497" s="161">
        <f>K2490</f>
        <v>82944</v>
      </c>
      <c r="L2497" s="250">
        <v>12</v>
      </c>
      <c r="M2497" s="163" t="str">
        <f>CONCATENATE(H2497," ",F2497,"*",L2497,"мес.","*",I2497,"/",K2497,"чел/час")</f>
        <v>17 шт*12мес.*0,082215/82944чел/час</v>
      </c>
      <c r="N2497" s="278">
        <f>N2085</f>
        <v>327.76936274509802</v>
      </c>
      <c r="O2497" s="280">
        <f>MROUND(N2497*G2497,0.000001)</f>
        <v>6.6277000000000003E-2</v>
      </c>
      <c r="P2497" s="166"/>
      <c r="Q2497" s="166">
        <f t="shared" si="525"/>
        <v>5497.2794880000001</v>
      </c>
      <c r="R2497" s="71"/>
    </row>
    <row r="2498" spans="1:41" s="61" customFormat="1" x14ac:dyDescent="0.25">
      <c r="A2498" s="358"/>
      <c r="B2498" s="361"/>
      <c r="C2498" s="366"/>
      <c r="D2498" s="284" t="s">
        <v>242</v>
      </c>
      <c r="E2498" s="156" t="s">
        <v>243</v>
      </c>
      <c r="F2498" s="156" t="s">
        <v>243</v>
      </c>
      <c r="G2498" s="238">
        <f>MROUND(H2498*L2498*I2498/K2498,0.00000000001)</f>
        <v>0.20584675780999998</v>
      </c>
      <c r="H2498" s="158">
        <f>H2086</f>
        <v>17306</v>
      </c>
      <c r="I2498" s="159">
        <f>I2497</f>
        <v>8.2214999999999996E-2</v>
      </c>
      <c r="J2498" s="160"/>
      <c r="K2498" s="161">
        <f>K2497</f>
        <v>82944</v>
      </c>
      <c r="L2498" s="250">
        <v>12</v>
      </c>
      <c r="M2498" s="163" t="str">
        <f>CONCATENATE(H2498," ",F2498,"*",L2498,"мес.","*",I2498,"/",K2498,"чел/час")</f>
        <v>17306 мин.*12мес.*0,082215/82944чел/час</v>
      </c>
      <c r="N2498" s="278">
        <f>N2086</f>
        <v>0.78480002118725689</v>
      </c>
      <c r="O2498" s="280">
        <f>MROUND(N2498*G2498,0.0000000001)</f>
        <v>0.16154853990000001</v>
      </c>
      <c r="P2498" s="166"/>
      <c r="Q2498" s="166">
        <f t="shared" si="525"/>
        <v>13399.4820934656</v>
      </c>
      <c r="R2498" s="71"/>
    </row>
    <row r="2499" spans="1:41" s="61" customFormat="1" ht="31.5" x14ac:dyDescent="0.25">
      <c r="A2499" s="358"/>
      <c r="B2499" s="361"/>
      <c r="C2499" s="366"/>
      <c r="D2499" s="285" t="s">
        <v>244</v>
      </c>
      <c r="E2499" s="286" t="s">
        <v>245</v>
      </c>
      <c r="F2499" s="286" t="s">
        <v>247</v>
      </c>
      <c r="G2499" s="238">
        <f>MROUND(H2499*L2499*I2499/K2499,0.00000000001)</f>
        <v>5.9472659999999994E-5</v>
      </c>
      <c r="H2499" s="158">
        <f>H2087</f>
        <v>5</v>
      </c>
      <c r="I2499" s="159">
        <f>I2498</f>
        <v>8.2214999999999996E-2</v>
      </c>
      <c r="J2499" s="160"/>
      <c r="K2499" s="161">
        <f>K2498</f>
        <v>82944</v>
      </c>
      <c r="L2499" s="250">
        <v>12</v>
      </c>
      <c r="M2499" s="163" t="str">
        <f>CONCATENATE(H2499," ",F2499,"*",L2499,"мес.","*",I2499,"/",K2499,"чел/час")</f>
        <v>5 радиоточек*12мес.*0,082215/82944чел/час</v>
      </c>
      <c r="N2499" s="278">
        <f>N2087</f>
        <v>165.68000000000004</v>
      </c>
      <c r="O2499" s="280">
        <f>MROUND(N2499*G2499,0.000001)</f>
        <v>9.8529999999999989E-3</v>
      </c>
      <c r="P2499" s="166"/>
      <c r="Q2499" s="166">
        <f t="shared" si="525"/>
        <v>817.24723199999994</v>
      </c>
      <c r="R2499" s="71"/>
    </row>
    <row r="2500" spans="1:41" s="61" customFormat="1" ht="47.25" x14ac:dyDescent="0.25">
      <c r="A2500" s="358"/>
      <c r="B2500" s="361"/>
      <c r="C2500" s="366"/>
      <c r="D2500" s="285" t="s">
        <v>374</v>
      </c>
      <c r="E2500" s="156" t="s">
        <v>28</v>
      </c>
      <c r="F2500" s="156" t="s">
        <v>28</v>
      </c>
      <c r="G2500" s="238">
        <f>MROUND(H2500*L2500*I2500/K2500,0.00000000001)</f>
        <v>2.7753909999999999E-5</v>
      </c>
      <c r="H2500" s="158">
        <f>H2088</f>
        <v>7</v>
      </c>
      <c r="I2500" s="159">
        <f>I2498</f>
        <v>8.2214999999999996E-2</v>
      </c>
      <c r="J2500" s="160"/>
      <c r="K2500" s="161">
        <f>K2498</f>
        <v>82944</v>
      </c>
      <c r="L2500" s="250">
        <f>L2088</f>
        <v>4</v>
      </c>
      <c r="M2500" s="163" t="str">
        <f>CONCATENATE(H2500," ",F2500,"*",L2500,"мес.","*",I2500,"/",K2500,"чел/час")</f>
        <v>7 шт*4мес.*0,082215/82944чел/час</v>
      </c>
      <c r="N2500" s="278">
        <f>N2088</f>
        <v>1256.0399999999997</v>
      </c>
      <c r="O2500" s="280">
        <f>MROUND(N2500*G2500,0.000001)</f>
        <v>3.4859999999999995E-2</v>
      </c>
      <c r="P2500" s="166"/>
      <c r="Q2500" s="166">
        <f t="shared" si="525"/>
        <v>2891.4278399999994</v>
      </c>
      <c r="R2500" s="71"/>
    </row>
    <row r="2501" spans="1:41" s="61" customFormat="1" x14ac:dyDescent="0.25">
      <c r="A2501" s="358"/>
      <c r="B2501" s="361"/>
      <c r="C2501" s="367"/>
      <c r="D2501" s="284" t="s">
        <v>246</v>
      </c>
      <c r="E2501" s="156" t="s">
        <v>28</v>
      </c>
      <c r="F2501" s="156" t="s">
        <v>28</v>
      </c>
      <c r="G2501" s="238">
        <f>MROUND(H2501*L2501*I2501/K2501,0.00000000001)</f>
        <v>5.9472659999999994E-5</v>
      </c>
      <c r="H2501" s="158">
        <v>5</v>
      </c>
      <c r="I2501" s="159">
        <f>I2499</f>
        <v>8.2214999999999996E-2</v>
      </c>
      <c r="J2501" s="160"/>
      <c r="K2501" s="161">
        <f>K2499</f>
        <v>82944</v>
      </c>
      <c r="L2501" s="250">
        <v>12</v>
      </c>
      <c r="M2501" s="163" t="str">
        <f>CONCATENATE(H2501," ",F2501,"*",L2501,"мес.","*",I2501,"/",K2501,"чел/час")</f>
        <v>5 шт*12мес.*0,082215/82944чел/час</v>
      </c>
      <c r="N2501" s="278">
        <f>N2089</f>
        <v>2883.6603333333333</v>
      </c>
      <c r="O2501" s="280">
        <f>MROUND(N2501*G2501,0.000001)</f>
        <v>0.17149899999999998</v>
      </c>
      <c r="P2501" s="166"/>
      <c r="Q2501" s="166">
        <f t="shared" si="525"/>
        <v>14224.813055999999</v>
      </c>
      <c r="R2501" s="71"/>
    </row>
    <row r="2502" spans="1:41" s="109" customFormat="1" x14ac:dyDescent="0.25">
      <c r="A2502" s="358"/>
      <c r="B2502" s="361"/>
      <c r="C2502" s="218" t="s">
        <v>358</v>
      </c>
      <c r="D2502" s="287"/>
      <c r="E2502" s="287"/>
      <c r="F2502" s="287"/>
      <c r="G2502" s="288"/>
      <c r="H2502" s="214"/>
      <c r="I2502" s="206"/>
      <c r="J2502" s="214"/>
      <c r="K2502" s="207"/>
      <c r="L2502" s="215"/>
      <c r="M2502" s="289"/>
      <c r="N2502" s="281"/>
      <c r="O2502" s="279">
        <f>SUM(O2497:O2501)</f>
        <v>0.44403753989999994</v>
      </c>
      <c r="P2502" s="267"/>
      <c r="Q2502" s="166">
        <f t="shared" si="525"/>
        <v>0</v>
      </c>
      <c r="R2502" s="71"/>
      <c r="S2502" s="62"/>
      <c r="T2502" s="62"/>
      <c r="U2502" s="62"/>
      <c r="V2502" s="62"/>
      <c r="W2502" s="62"/>
      <c r="X2502" s="62"/>
      <c r="Y2502" s="62"/>
      <c r="Z2502" s="62"/>
      <c r="AA2502" s="62"/>
      <c r="AB2502" s="62"/>
      <c r="AC2502" s="62"/>
      <c r="AD2502" s="62"/>
      <c r="AE2502" s="62"/>
      <c r="AF2502" s="62"/>
      <c r="AG2502" s="62"/>
      <c r="AH2502" s="62"/>
      <c r="AI2502" s="62"/>
      <c r="AJ2502" s="62"/>
      <c r="AK2502" s="62"/>
      <c r="AL2502" s="62"/>
      <c r="AM2502" s="62"/>
      <c r="AN2502" s="62"/>
      <c r="AO2502" s="62"/>
    </row>
    <row r="2503" spans="1:41" s="108" customFormat="1" x14ac:dyDescent="0.25">
      <c r="A2503" s="358"/>
      <c r="B2503" s="361"/>
      <c r="C2503" s="365" t="s">
        <v>366</v>
      </c>
      <c r="D2503" s="368" t="s">
        <v>67</v>
      </c>
      <c r="E2503" s="368"/>
      <c r="F2503" s="368"/>
      <c r="G2503" s="368"/>
      <c r="H2503" s="195"/>
      <c r="I2503" s="159"/>
      <c r="J2503" s="195"/>
      <c r="K2503" s="161"/>
      <c r="L2503" s="196"/>
      <c r="M2503" s="230"/>
      <c r="N2503" s="278"/>
      <c r="O2503" s="279">
        <f>O2504</f>
        <v>5.9638999999999998E-2</v>
      </c>
      <c r="P2503" s="166"/>
      <c r="Q2503" s="166">
        <f t="shared" si="525"/>
        <v>0</v>
      </c>
      <c r="R2503" s="71"/>
      <c r="S2503" s="61"/>
      <c r="T2503" s="61"/>
      <c r="U2503" s="61"/>
      <c r="V2503" s="61"/>
      <c r="W2503" s="61"/>
      <c r="X2503" s="61"/>
      <c r="Y2503" s="61"/>
      <c r="Z2503" s="61"/>
      <c r="AA2503" s="61"/>
      <c r="AB2503" s="61"/>
      <c r="AC2503" s="61"/>
      <c r="AD2503" s="61"/>
      <c r="AE2503" s="61"/>
      <c r="AF2503" s="61"/>
      <c r="AG2503" s="61"/>
      <c r="AH2503" s="61"/>
      <c r="AI2503" s="61"/>
      <c r="AJ2503" s="61"/>
      <c r="AK2503" s="61"/>
      <c r="AL2503" s="61"/>
      <c r="AM2503" s="61"/>
      <c r="AN2503" s="61"/>
      <c r="AO2503" s="61"/>
    </row>
    <row r="2504" spans="1:41" s="61" customFormat="1" x14ac:dyDescent="0.25">
      <c r="A2504" s="358"/>
      <c r="B2504" s="361"/>
      <c r="C2504" s="367"/>
      <c r="D2504" s="194" t="s">
        <v>367</v>
      </c>
      <c r="E2504" s="156" t="s">
        <v>28</v>
      </c>
      <c r="F2504" s="156" t="s">
        <v>28</v>
      </c>
      <c r="G2504" s="238">
        <f>MROUND(H2504*L2504*I2504/K2504,0.00000000001)</f>
        <v>2.378906E-5</v>
      </c>
      <c r="H2504" s="158">
        <f>H2092</f>
        <v>2</v>
      </c>
      <c r="I2504" s="159">
        <f>I2501</f>
        <v>8.2214999999999996E-2</v>
      </c>
      <c r="J2504" s="160"/>
      <c r="K2504" s="161">
        <f>K2501</f>
        <v>82944</v>
      </c>
      <c r="L2504" s="250">
        <v>12</v>
      </c>
      <c r="M2504" s="163" t="str">
        <f>CONCATENATE(H2504," ",F2504,"*",L2504,"мес.","*",I2504,"/",K2504,"чел/час")</f>
        <v>2 шт*12мес.*0,082215/82944чел/час</v>
      </c>
      <c r="N2504" s="278">
        <f>N2092</f>
        <v>2507</v>
      </c>
      <c r="O2504" s="280">
        <f>MROUND(N2504*G2504,0.000001)</f>
        <v>5.9638999999999998E-2</v>
      </c>
      <c r="P2504" s="166"/>
      <c r="Q2504" s="166">
        <f t="shared" si="525"/>
        <v>4946.6972159999996</v>
      </c>
      <c r="R2504" s="71"/>
    </row>
    <row r="2505" spans="1:41" s="108" customFormat="1" x14ac:dyDescent="0.25">
      <c r="A2505" s="358"/>
      <c r="B2505" s="361"/>
      <c r="C2505" s="221"/>
      <c r="D2505" s="350" t="s">
        <v>68</v>
      </c>
      <c r="E2505" s="350"/>
      <c r="F2505" s="350"/>
      <c r="G2505" s="350"/>
      <c r="H2505" s="195"/>
      <c r="I2505" s="159"/>
      <c r="J2505" s="195"/>
      <c r="K2505" s="161"/>
      <c r="L2505" s="196"/>
      <c r="M2505" s="230"/>
      <c r="N2505" s="278"/>
      <c r="O2505" s="280"/>
      <c r="P2505" s="166"/>
      <c r="Q2505" s="166">
        <f t="shared" si="525"/>
        <v>0</v>
      </c>
      <c r="R2505" s="71"/>
      <c r="S2505" s="61"/>
      <c r="T2505" s="61"/>
      <c r="U2505" s="61"/>
      <c r="V2505" s="61"/>
      <c r="W2505" s="61"/>
      <c r="X2505" s="61"/>
      <c r="Y2505" s="61"/>
      <c r="Z2505" s="61"/>
      <c r="AA2505" s="61"/>
      <c r="AB2505" s="61"/>
      <c r="AC2505" s="61"/>
      <c r="AD2505" s="61"/>
      <c r="AE2505" s="61"/>
      <c r="AF2505" s="61"/>
      <c r="AG2505" s="61"/>
      <c r="AH2505" s="61"/>
      <c r="AI2505" s="61"/>
      <c r="AJ2505" s="61"/>
      <c r="AK2505" s="61"/>
      <c r="AL2505" s="61"/>
      <c r="AM2505" s="61"/>
      <c r="AN2505" s="61"/>
      <c r="AO2505" s="61"/>
    </row>
    <row r="2506" spans="1:41" s="108" customFormat="1" x14ac:dyDescent="0.25">
      <c r="A2506" s="358"/>
      <c r="B2506" s="361"/>
      <c r="C2506" s="221"/>
      <c r="D2506" s="156"/>
      <c r="E2506" s="156"/>
      <c r="F2506" s="156"/>
      <c r="G2506" s="236"/>
      <c r="H2506" s="195"/>
      <c r="I2506" s="159"/>
      <c r="J2506" s="195"/>
      <c r="K2506" s="161"/>
      <c r="L2506" s="196"/>
      <c r="M2506" s="230"/>
      <c r="N2506" s="278"/>
      <c r="O2506" s="280"/>
      <c r="P2506" s="166"/>
      <c r="Q2506" s="166">
        <f t="shared" si="525"/>
        <v>0</v>
      </c>
      <c r="R2506" s="71"/>
      <c r="S2506" s="61"/>
      <c r="T2506" s="61"/>
      <c r="U2506" s="61"/>
      <c r="V2506" s="61"/>
      <c r="W2506" s="61"/>
      <c r="X2506" s="61"/>
      <c r="Y2506" s="61"/>
      <c r="Z2506" s="61"/>
      <c r="AA2506" s="61"/>
      <c r="AB2506" s="61"/>
      <c r="AC2506" s="61"/>
      <c r="AD2506" s="61"/>
      <c r="AE2506" s="61"/>
      <c r="AF2506" s="61"/>
      <c r="AG2506" s="61"/>
      <c r="AH2506" s="61"/>
      <c r="AI2506" s="61"/>
      <c r="AJ2506" s="61"/>
      <c r="AK2506" s="61"/>
      <c r="AL2506" s="61"/>
      <c r="AM2506" s="61"/>
      <c r="AN2506" s="61"/>
      <c r="AO2506" s="61"/>
    </row>
    <row r="2507" spans="1:41" s="108" customFormat="1" x14ac:dyDescent="0.25">
      <c r="A2507" s="358"/>
      <c r="B2507" s="361"/>
      <c r="C2507" s="221"/>
      <c r="D2507" s="368" t="s">
        <v>69</v>
      </c>
      <c r="E2507" s="368"/>
      <c r="F2507" s="368"/>
      <c r="G2507" s="368"/>
      <c r="H2507" s="187"/>
      <c r="I2507" s="159"/>
      <c r="J2507" s="187"/>
      <c r="K2507" s="161"/>
      <c r="L2507" s="276"/>
      <c r="M2507" s="230"/>
      <c r="N2507" s="278"/>
      <c r="O2507" s="279">
        <f>O2514+O2530+O2533+O2546+O2547+O2548+O2559+O2561+O2565+O2562</f>
        <v>12.325742999999997</v>
      </c>
      <c r="P2507" s="166"/>
      <c r="Q2507" s="166">
        <f t="shared" si="525"/>
        <v>0</v>
      </c>
      <c r="R2507" s="71"/>
      <c r="S2507" s="61"/>
      <c r="T2507" s="61"/>
      <c r="U2507" s="61"/>
      <c r="V2507" s="61"/>
      <c r="W2507" s="61"/>
      <c r="X2507" s="61"/>
      <c r="Y2507" s="61"/>
      <c r="Z2507" s="61"/>
      <c r="AA2507" s="61"/>
      <c r="AB2507" s="61"/>
      <c r="AC2507" s="61"/>
      <c r="AD2507" s="61"/>
      <c r="AE2507" s="61"/>
      <c r="AF2507" s="61"/>
      <c r="AG2507" s="61"/>
      <c r="AH2507" s="61"/>
      <c r="AI2507" s="61"/>
      <c r="AJ2507" s="61"/>
      <c r="AK2507" s="61"/>
      <c r="AL2507" s="61"/>
      <c r="AM2507" s="61"/>
      <c r="AN2507" s="61"/>
      <c r="AO2507" s="61"/>
    </row>
    <row r="2508" spans="1:41" s="61" customFormat="1" ht="31.5" x14ac:dyDescent="0.25">
      <c r="A2508" s="358"/>
      <c r="B2508" s="361"/>
      <c r="C2508" s="365" t="s">
        <v>78</v>
      </c>
      <c r="D2508" s="156" t="s">
        <v>26</v>
      </c>
      <c r="E2508" s="156" t="s">
        <v>22</v>
      </c>
      <c r="F2508" s="156" t="s">
        <v>22</v>
      </c>
      <c r="G2508" s="238">
        <f t="shared" ref="G2508:G2513" si="526">MROUND(H2508*L2508*I2508/K2508,0.00000000001)</f>
        <v>5.899996758E-2</v>
      </c>
      <c r="H2508" s="158">
        <f>H2096</f>
        <v>4960.26</v>
      </c>
      <c r="I2508" s="159">
        <f>I2504</f>
        <v>8.2214999999999996E-2</v>
      </c>
      <c r="J2508" s="160"/>
      <c r="K2508" s="161">
        <f>K2504</f>
        <v>82944</v>
      </c>
      <c r="L2508" s="250">
        <v>12</v>
      </c>
      <c r="M2508" s="163" t="str">
        <f>CONCATENATE(H2508," ",F2508,"(обрабатываемая площадь в мес.)","*",L2508,"мес.","*",I2508,"/",K2508,"чел/час")</f>
        <v>4960,26 м2(обрабатываемая площадь в мес.)*12мес.*0,082215/82944чел/час</v>
      </c>
      <c r="N2508" s="278">
        <f>N2096</f>
        <v>1.1553999521530458</v>
      </c>
      <c r="O2508" s="280">
        <f>MROUND(N2508*G2508,0.000001)</f>
        <v>6.8168999999999993E-2</v>
      </c>
      <c r="P2508" s="166"/>
      <c r="Q2508" s="166">
        <f t="shared" si="525"/>
        <v>5654.2095359999994</v>
      </c>
      <c r="R2508" s="71"/>
    </row>
    <row r="2509" spans="1:41" s="61" customFormat="1" ht="31.5" x14ac:dyDescent="0.25">
      <c r="A2509" s="358"/>
      <c r="B2509" s="361"/>
      <c r="C2509" s="366"/>
      <c r="D2509" s="156" t="s">
        <v>96</v>
      </c>
      <c r="E2509" s="156" t="s">
        <v>22</v>
      </c>
      <c r="F2509" s="156" t="s">
        <v>22</v>
      </c>
      <c r="G2509" s="238">
        <f t="shared" si="526"/>
        <v>3.2677369919999998E-2</v>
      </c>
      <c r="H2509" s="158">
        <f>H2097</f>
        <v>2747.26</v>
      </c>
      <c r="I2509" s="298">
        <f>I2508</f>
        <v>8.2214999999999996E-2</v>
      </c>
      <c r="J2509" s="299"/>
      <c r="K2509" s="300">
        <f>K2508</f>
        <v>82944</v>
      </c>
      <c r="L2509" s="250">
        <v>12</v>
      </c>
      <c r="M2509" s="163" t="str">
        <f>CONCATENATE(H2509," ",F2509,"(обрабатываемая площадь в мес.)","*",L2509,"мес.","*",I2509,"/",K2509,"чел/час")</f>
        <v>2747,26 м2(обрабатываемая площадь в мес.)*12мес.*0,082215/82944чел/час</v>
      </c>
      <c r="N2509" s="278">
        <f>N2097</f>
        <v>1.6108668273115756</v>
      </c>
      <c r="O2509" s="280">
        <f>MROUND(N2509*G2509,0.000001)</f>
        <v>5.2638999999999998E-2</v>
      </c>
      <c r="P2509" s="166"/>
      <c r="Q2509" s="166">
        <f t="shared" si="525"/>
        <v>4366.0892160000003</v>
      </c>
      <c r="R2509" s="71"/>
    </row>
    <row r="2510" spans="1:41" s="135" customFormat="1" ht="31.5" x14ac:dyDescent="0.25">
      <c r="A2510" s="358"/>
      <c r="B2510" s="361"/>
      <c r="C2510" s="366"/>
      <c r="D2510" s="156" t="s">
        <v>385</v>
      </c>
      <c r="E2510" s="156" t="s">
        <v>22</v>
      </c>
      <c r="F2510" s="156" t="s">
        <v>22</v>
      </c>
      <c r="G2510" s="238">
        <f t="shared" si="526"/>
        <v>6.5354739839999995E-2</v>
      </c>
      <c r="H2510" s="242">
        <f>$H$2098</f>
        <v>2747.26</v>
      </c>
      <c r="I2510" s="298">
        <f>I2509</f>
        <v>8.2214999999999996E-2</v>
      </c>
      <c r="J2510" s="160"/>
      <c r="K2510" s="300">
        <f>K2509</f>
        <v>82944</v>
      </c>
      <c r="L2510" s="162">
        <v>24</v>
      </c>
      <c r="M2510" s="163" t="str">
        <f>CONCATENATE(H2510," ",F2510,"(обрабатываемая площадь в год)","*",L2510," раза в год.","*",I2510,"/",K2510,"чел.")</f>
        <v>2747,26 м2(обрабатываемая площадь в год)*24 раза в год.*0,082215/82944чел.</v>
      </c>
      <c r="N2510" s="164">
        <f>$N$2098</f>
        <v>1.7779423862321002</v>
      </c>
      <c r="O2510" s="165">
        <f>MROUND(G2510*N2510,0.000001)</f>
        <v>0.11619699999999999</v>
      </c>
      <c r="P2510" s="166"/>
      <c r="Q2510" s="166">
        <f t="shared" si="525"/>
        <v>9637.8439679999992</v>
      </c>
      <c r="R2510" s="71"/>
      <c r="S2510" s="61"/>
      <c r="T2510" s="61"/>
      <c r="U2510" s="61"/>
      <c r="V2510" s="61"/>
      <c r="W2510" s="61"/>
      <c r="X2510" s="61"/>
      <c r="Y2510" s="61"/>
      <c r="Z2510" s="61"/>
      <c r="AA2510" s="61"/>
      <c r="AB2510" s="61"/>
      <c r="AC2510" s="61"/>
      <c r="AD2510" s="61"/>
      <c r="AE2510" s="61"/>
      <c r="AF2510" s="61"/>
      <c r="AG2510" s="61"/>
      <c r="AH2510" s="61"/>
      <c r="AI2510" s="61"/>
      <c r="AJ2510" s="61"/>
      <c r="AK2510" s="61"/>
      <c r="AL2510" s="61"/>
      <c r="AM2510" s="61"/>
      <c r="AN2510" s="61"/>
      <c r="AO2510" s="61"/>
    </row>
    <row r="2511" spans="1:41" s="135" customFormat="1" ht="31.5" x14ac:dyDescent="0.25">
      <c r="A2511" s="358"/>
      <c r="B2511" s="361"/>
      <c r="C2511" s="366"/>
      <c r="D2511" s="156" t="s">
        <v>394</v>
      </c>
      <c r="E2511" s="156" t="s">
        <v>22</v>
      </c>
      <c r="F2511" s="156" t="s">
        <v>22</v>
      </c>
      <c r="G2511" s="238">
        <f t="shared" si="526"/>
        <v>5.899996758E-2</v>
      </c>
      <c r="H2511" s="243">
        <f>$H$2099</f>
        <v>4960.26</v>
      </c>
      <c r="I2511" s="298">
        <f>I2510</f>
        <v>8.2214999999999996E-2</v>
      </c>
      <c r="J2511" s="160"/>
      <c r="K2511" s="300">
        <f>K2510</f>
        <v>82944</v>
      </c>
      <c r="L2511" s="162">
        <v>12</v>
      </c>
      <c r="M2511" s="163" t="str">
        <f>CONCATENATE(H2511," ",F2511,"(обрабатываемая площадь в мес.)","*",L2511,"мес.","*",I2511,"/",K2511,"чел.")</f>
        <v>4960,26 м2(обрабатываемая площадь в мес.)*12мес.*0,082215/82944чел.</v>
      </c>
      <c r="N2511" s="164">
        <f>$N$2099</f>
        <v>0.54499999327992221</v>
      </c>
      <c r="O2511" s="165">
        <f>MROUND(G2511*N2511,0.000001)</f>
        <v>3.2154999999999996E-2</v>
      </c>
      <c r="P2511" s="166"/>
      <c r="Q2511" s="166">
        <f t="shared" si="525"/>
        <v>2667.0643199999995</v>
      </c>
      <c r="R2511" s="71"/>
      <c r="S2511" s="61"/>
      <c r="T2511" s="61"/>
      <c r="U2511" s="61"/>
      <c r="V2511" s="61"/>
      <c r="W2511" s="61"/>
      <c r="X2511" s="61"/>
      <c r="Y2511" s="61"/>
      <c r="Z2511" s="61"/>
      <c r="AA2511" s="61"/>
      <c r="AB2511" s="61"/>
      <c r="AC2511" s="61"/>
      <c r="AD2511" s="61"/>
      <c r="AE2511" s="61"/>
      <c r="AF2511" s="61"/>
      <c r="AG2511" s="61"/>
      <c r="AH2511" s="61"/>
      <c r="AI2511" s="61"/>
      <c r="AJ2511" s="61"/>
      <c r="AK2511" s="61"/>
      <c r="AL2511" s="61"/>
      <c r="AM2511" s="61"/>
      <c r="AN2511" s="61"/>
      <c r="AO2511" s="61"/>
    </row>
    <row r="2512" spans="1:41" s="135" customFormat="1" ht="31.5" x14ac:dyDescent="0.25">
      <c r="A2512" s="358"/>
      <c r="B2512" s="361"/>
      <c r="C2512" s="366"/>
      <c r="D2512" s="156" t="s">
        <v>395</v>
      </c>
      <c r="E2512" s="156" t="s">
        <v>98</v>
      </c>
      <c r="F2512" s="156" t="s">
        <v>98</v>
      </c>
      <c r="G2512" s="238">
        <f t="shared" si="526"/>
        <v>1.8634799999999999E-6</v>
      </c>
      <c r="H2512" s="242">
        <f>$H$2100</f>
        <v>1.8800000000000001</v>
      </c>
      <c r="I2512" s="298">
        <f>I2511</f>
        <v>8.2214999999999996E-2</v>
      </c>
      <c r="J2512" s="160"/>
      <c r="K2512" s="300">
        <f>K2511</f>
        <v>82944</v>
      </c>
      <c r="L2512" s="162">
        <v>1</v>
      </c>
      <c r="M2512" s="163" t="str">
        <f>CONCATENATE(H2512," ",F2512,"(обрабатываемая площадь в год)","*",L2512," раз в год","*",I2512,"/",K2512,"чел.")</f>
        <v>1,88 Га(обрабатываемая площадь в год)*1 раз в год*0,082215/82944чел.</v>
      </c>
      <c r="N2512" s="164">
        <f>$N$2100</f>
        <v>544.99999999999989</v>
      </c>
      <c r="O2512" s="165">
        <f>MROUND(G2512*N2512,0.000001)</f>
        <v>1.016E-3</v>
      </c>
      <c r="P2512" s="166"/>
      <c r="Q2512" s="166">
        <f t="shared" si="525"/>
        <v>84.271103999999994</v>
      </c>
      <c r="R2512" s="71"/>
      <c r="S2512" s="61"/>
      <c r="T2512" s="61"/>
      <c r="U2512" s="61"/>
      <c r="V2512" s="61"/>
      <c r="W2512" s="61"/>
      <c r="X2512" s="61"/>
      <c r="Y2512" s="61"/>
      <c r="Z2512" s="61"/>
      <c r="AA2512" s="61"/>
      <c r="AB2512" s="61"/>
      <c r="AC2512" s="61"/>
      <c r="AD2512" s="61"/>
      <c r="AE2512" s="61"/>
      <c r="AF2512" s="61"/>
      <c r="AG2512" s="61"/>
      <c r="AH2512" s="61"/>
      <c r="AI2512" s="61"/>
      <c r="AJ2512" s="61"/>
      <c r="AK2512" s="61"/>
      <c r="AL2512" s="61"/>
      <c r="AM2512" s="61"/>
      <c r="AN2512" s="61"/>
      <c r="AO2512" s="61"/>
    </row>
    <row r="2513" spans="1:41" s="61" customFormat="1" ht="31.5" x14ac:dyDescent="0.25">
      <c r="A2513" s="358"/>
      <c r="B2513" s="361"/>
      <c r="C2513" s="367"/>
      <c r="D2513" s="156" t="s">
        <v>97</v>
      </c>
      <c r="E2513" s="156" t="s">
        <v>363</v>
      </c>
      <c r="F2513" s="156" t="s">
        <v>363</v>
      </c>
      <c r="G2513" s="238">
        <f t="shared" si="526"/>
        <v>1.8634799999999999E-6</v>
      </c>
      <c r="H2513" s="158">
        <f>$H$2101</f>
        <v>1.8800000000000001</v>
      </c>
      <c r="I2513" s="298">
        <f>I2509</f>
        <v>8.2214999999999996E-2</v>
      </c>
      <c r="J2513" s="299"/>
      <c r="K2513" s="300">
        <f>K2509</f>
        <v>82944</v>
      </c>
      <c r="L2513" s="250">
        <v>1</v>
      </c>
      <c r="M2513" s="163" t="str">
        <f>CONCATENATE(H2513," ",F2513,"(обрабатываемая площадь в мес.)","*",L2513,"мес.","*",I2513,"/",K2513,"чел/час")</f>
        <v>1,88 га(обрабатываемая площадь в мес.)*1мес.*0,082215/82944чел/час</v>
      </c>
      <c r="N2513" s="278">
        <f>$N$2101</f>
        <v>2965.9734042553187</v>
      </c>
      <c r="O2513" s="280">
        <f>MROUND(N2513*G2513,0.000001)</f>
        <v>5.5269999999999998E-3</v>
      </c>
      <c r="P2513" s="166"/>
      <c r="Q2513" s="166">
        <f t="shared" si="525"/>
        <v>458.431488</v>
      </c>
      <c r="R2513" s="71"/>
    </row>
    <row r="2514" spans="1:41" s="109" customFormat="1" x14ac:dyDescent="0.25">
      <c r="A2514" s="358"/>
      <c r="B2514" s="361"/>
      <c r="C2514" s="218" t="s">
        <v>327</v>
      </c>
      <c r="D2514" s="240"/>
      <c r="E2514" s="240"/>
      <c r="F2514" s="240"/>
      <c r="G2514" s="227"/>
      <c r="H2514" s="241"/>
      <c r="I2514" s="206"/>
      <c r="J2514" s="228"/>
      <c r="K2514" s="207"/>
      <c r="L2514" s="257"/>
      <c r="M2514" s="209"/>
      <c r="N2514" s="281"/>
      <c r="O2514" s="279">
        <f>SUM(O2508:O2513)</f>
        <v>0.27570300000000003</v>
      </c>
      <c r="P2514" s="267"/>
      <c r="Q2514" s="166"/>
      <c r="R2514" s="71"/>
      <c r="S2514" s="62"/>
      <c r="T2514" s="62"/>
      <c r="U2514" s="62"/>
      <c r="V2514" s="62"/>
      <c r="W2514" s="62"/>
      <c r="X2514" s="62"/>
      <c r="Y2514" s="62"/>
      <c r="Z2514" s="62"/>
      <c r="AA2514" s="62"/>
      <c r="AB2514" s="62"/>
      <c r="AC2514" s="62"/>
      <c r="AD2514" s="62"/>
      <c r="AE2514" s="62"/>
      <c r="AF2514" s="62"/>
      <c r="AG2514" s="62"/>
      <c r="AH2514" s="62"/>
      <c r="AI2514" s="62"/>
      <c r="AJ2514" s="62"/>
      <c r="AK2514" s="62"/>
      <c r="AL2514" s="62"/>
      <c r="AM2514" s="62"/>
      <c r="AN2514" s="62"/>
      <c r="AO2514" s="62"/>
    </row>
    <row r="2515" spans="1:41" s="61" customFormat="1" x14ac:dyDescent="0.25">
      <c r="A2515" s="358"/>
      <c r="B2515" s="361"/>
      <c r="C2515" s="366" t="s">
        <v>77</v>
      </c>
      <c r="D2515" s="156" t="s">
        <v>397</v>
      </c>
      <c r="E2515" s="156" t="s">
        <v>433</v>
      </c>
      <c r="F2515" s="156" t="s">
        <v>433</v>
      </c>
      <c r="G2515" s="238">
        <f t="shared" ref="G2515:G2529" si="527">MROUND(H2515*L2515*I2515/K2515,0.00000000001)</f>
        <v>0</v>
      </c>
      <c r="H2515" s="158"/>
      <c r="I2515" s="306">
        <f>I2509</f>
        <v>8.2214999999999996E-2</v>
      </c>
      <c r="J2515" s="307"/>
      <c r="K2515" s="308">
        <f>K2509</f>
        <v>82944</v>
      </c>
      <c r="L2515" s="162">
        <v>1</v>
      </c>
      <c r="M2515" s="163"/>
      <c r="N2515" s="278"/>
      <c r="O2515" s="280">
        <f t="shared" ref="O2515:O2529" si="528">MROUND(N2515*G2515,0.000001)</f>
        <v>0</v>
      </c>
      <c r="P2515" s="166"/>
      <c r="Q2515" s="166">
        <f t="shared" ref="Q2515:Q2529" si="529">O2515*K2515</f>
        <v>0</v>
      </c>
      <c r="R2515" s="71"/>
    </row>
    <row r="2516" spans="1:41" s="61" customFormat="1" ht="63" x14ac:dyDescent="0.25">
      <c r="A2516" s="358"/>
      <c r="B2516" s="361"/>
      <c r="C2516" s="366"/>
      <c r="D2516" s="156" t="s">
        <v>249</v>
      </c>
      <c r="E2516" s="156" t="s">
        <v>22</v>
      </c>
      <c r="F2516" s="156" t="s">
        <v>22</v>
      </c>
      <c r="G2516" s="238">
        <f t="shared" si="527"/>
        <v>8.2166232400000001E-3</v>
      </c>
      <c r="H2516" s="158">
        <f>H2104</f>
        <v>690.79</v>
      </c>
      <c r="I2516" s="159">
        <f>I2515</f>
        <v>8.2214999999999996E-2</v>
      </c>
      <c r="J2516" s="160"/>
      <c r="K2516" s="161">
        <f>K2515</f>
        <v>82944</v>
      </c>
      <c r="L2516" s="250">
        <v>12</v>
      </c>
      <c r="M2516" s="163" t="str">
        <f>CONCATENATE(H2516," ",F2516,"*",L2516,"мес.","*",I2516,"/",K2516,"чел/час")</f>
        <v>690,79 м2*12мес.*0,082215/82944чел/час</v>
      </c>
      <c r="N2516" s="278">
        <f>N2104</f>
        <v>30.306671829837342</v>
      </c>
      <c r="O2516" s="280">
        <f t="shared" si="528"/>
        <v>0.24901899999999999</v>
      </c>
      <c r="P2516" s="166"/>
      <c r="Q2516" s="166">
        <f t="shared" si="529"/>
        <v>20654.631935999998</v>
      </c>
      <c r="R2516" s="71"/>
    </row>
    <row r="2517" spans="1:41" s="136" customFormat="1" x14ac:dyDescent="0.25">
      <c r="A2517" s="358"/>
      <c r="B2517" s="361"/>
      <c r="C2517" s="366"/>
      <c r="D2517" s="194" t="s">
        <v>398</v>
      </c>
      <c r="E2517" s="156" t="s">
        <v>60</v>
      </c>
      <c r="F2517" s="156" t="s">
        <v>60</v>
      </c>
      <c r="G2517" s="238">
        <f t="shared" si="527"/>
        <v>4.9560499999999998E-6</v>
      </c>
      <c r="H2517" s="158">
        <f>$H$2105</f>
        <v>5</v>
      </c>
      <c r="I2517" s="159">
        <f>I2516</f>
        <v>8.2214999999999996E-2</v>
      </c>
      <c r="J2517" s="160"/>
      <c r="K2517" s="161">
        <f>K2516</f>
        <v>82944</v>
      </c>
      <c r="L2517" s="250">
        <v>1</v>
      </c>
      <c r="M2517" s="163" t="str">
        <f>CONCATENATE(H2517," ",F2517,"*",I2517,"/",K2517,"чел/час")</f>
        <v>5 шт.*0,082215/82944чел/час</v>
      </c>
      <c r="N2517" s="278">
        <f>$N$2105</f>
        <v>11009</v>
      </c>
      <c r="O2517" s="280">
        <f t="shared" si="528"/>
        <v>5.4560999999999998E-2</v>
      </c>
      <c r="P2517" s="166"/>
      <c r="Q2517" s="166">
        <f t="shared" si="529"/>
        <v>4525.507584</v>
      </c>
      <c r="R2517" s="71"/>
      <c r="S2517" s="61"/>
      <c r="T2517" s="61"/>
      <c r="U2517" s="61"/>
      <c r="V2517" s="61"/>
      <c r="W2517" s="61"/>
      <c r="X2517" s="61"/>
      <c r="Y2517" s="61"/>
      <c r="Z2517" s="61"/>
      <c r="AA2517" s="61"/>
      <c r="AB2517" s="61"/>
      <c r="AC2517" s="61"/>
      <c r="AD2517" s="61"/>
      <c r="AE2517" s="61"/>
      <c r="AF2517" s="61"/>
      <c r="AG2517" s="61"/>
      <c r="AH2517" s="61"/>
      <c r="AI2517" s="61"/>
      <c r="AJ2517" s="61"/>
      <c r="AK2517" s="61"/>
      <c r="AL2517" s="61"/>
      <c r="AM2517" s="61"/>
      <c r="AN2517" s="61"/>
      <c r="AO2517" s="61"/>
    </row>
    <row r="2518" spans="1:41" s="136" customFormat="1" ht="63" x14ac:dyDescent="0.25">
      <c r="A2518" s="358"/>
      <c r="B2518" s="361"/>
      <c r="C2518" s="366"/>
      <c r="D2518" s="156" t="s">
        <v>33</v>
      </c>
      <c r="E2518" s="156" t="s">
        <v>56</v>
      </c>
      <c r="F2518" s="156" t="s">
        <v>220</v>
      </c>
      <c r="G2518" s="238">
        <f t="shared" si="527"/>
        <v>4.9560499999999998E-6</v>
      </c>
      <c r="H2518" s="158">
        <f>$H$2106</f>
        <v>5</v>
      </c>
      <c r="I2518" s="159">
        <f>I2517</f>
        <v>8.2214999999999996E-2</v>
      </c>
      <c r="J2518" s="160"/>
      <c r="K2518" s="161">
        <f>K2517</f>
        <v>82944</v>
      </c>
      <c r="L2518" s="250">
        <f>$L$2106</f>
        <v>1</v>
      </c>
      <c r="M2518" s="163" t="str">
        <f>CONCATENATE(H2518," ",F2518,"*",L2518," раз в год","*",I2518,"/",K2518,"чел.")</f>
        <v>5 дымоходов*1 раз в год*0,082215/82944чел.</v>
      </c>
      <c r="N2518" s="278">
        <f>$N$2106</f>
        <v>6540</v>
      </c>
      <c r="O2518" s="280">
        <f t="shared" si="528"/>
        <v>3.2412999999999997E-2</v>
      </c>
      <c r="P2518" s="166"/>
      <c r="Q2518" s="166">
        <f t="shared" si="529"/>
        <v>2688.4638719999998</v>
      </c>
      <c r="R2518" s="71"/>
      <c r="S2518" s="61"/>
      <c r="T2518" s="61"/>
      <c r="U2518" s="61"/>
      <c r="V2518" s="61"/>
      <c r="W2518" s="61"/>
      <c r="X2518" s="61"/>
      <c r="Y2518" s="61"/>
      <c r="Z2518" s="61"/>
      <c r="AA2518" s="61"/>
      <c r="AB2518" s="61"/>
      <c r="AC2518" s="61"/>
      <c r="AD2518" s="61"/>
      <c r="AE2518" s="61"/>
      <c r="AF2518" s="61"/>
      <c r="AG2518" s="61"/>
      <c r="AH2518" s="61"/>
      <c r="AI2518" s="61"/>
      <c r="AJ2518" s="61"/>
      <c r="AK2518" s="61"/>
      <c r="AL2518" s="61"/>
      <c r="AM2518" s="61"/>
      <c r="AN2518" s="61"/>
      <c r="AO2518" s="61"/>
    </row>
    <row r="2519" spans="1:41" s="61" customFormat="1" ht="78.75" x14ac:dyDescent="0.25">
      <c r="A2519" s="358"/>
      <c r="B2519" s="361"/>
      <c r="C2519" s="366"/>
      <c r="D2519" s="156" t="s">
        <v>250</v>
      </c>
      <c r="E2519" s="156" t="s">
        <v>251</v>
      </c>
      <c r="F2519" s="156" t="s">
        <v>60</v>
      </c>
      <c r="G2519" s="238">
        <f t="shared" si="527"/>
        <v>4.9560499999999998E-6</v>
      </c>
      <c r="H2519" s="158">
        <f>$H$2107</f>
        <v>5</v>
      </c>
      <c r="I2519" s="159">
        <f>I2516</f>
        <v>8.2214999999999996E-2</v>
      </c>
      <c r="J2519" s="160"/>
      <c r="K2519" s="161">
        <f>K2516</f>
        <v>82944</v>
      </c>
      <c r="L2519" s="250">
        <v>1</v>
      </c>
      <c r="M2519" s="163" t="str">
        <f>CONCATENATE(H2519," ",F2519,"*",I2519,"/",K2519,"чел/час")</f>
        <v>5 шт.*0,082215/82944чел/час</v>
      </c>
      <c r="N2519" s="278">
        <f t="shared" ref="N2519:N2529" si="530">N2107</f>
        <v>52320</v>
      </c>
      <c r="O2519" s="280">
        <f t="shared" si="528"/>
        <v>0.259301</v>
      </c>
      <c r="P2519" s="166"/>
      <c r="Q2519" s="166">
        <f t="shared" si="529"/>
        <v>21507.462144000001</v>
      </c>
      <c r="R2519" s="71"/>
    </row>
    <row r="2520" spans="1:41" s="61" customFormat="1" ht="47.25" x14ac:dyDescent="0.25">
      <c r="A2520" s="358"/>
      <c r="B2520" s="361"/>
      <c r="C2520" s="366"/>
      <c r="D2520" s="156" t="s">
        <v>401</v>
      </c>
      <c r="E2520" s="156" t="s">
        <v>60</v>
      </c>
      <c r="F2520" s="156" t="s">
        <v>402</v>
      </c>
      <c r="G2520" s="238">
        <f t="shared" si="527"/>
        <v>9.9121100000000002E-6</v>
      </c>
      <c r="H2520" s="158">
        <f>H2108</f>
        <v>5</v>
      </c>
      <c r="I2520" s="159">
        <f>I2519</f>
        <v>8.2214999999999996E-2</v>
      </c>
      <c r="J2520" s="160"/>
      <c r="K2520" s="161">
        <f>K2519</f>
        <v>82944</v>
      </c>
      <c r="L2520" s="250">
        <f>$L$2108</f>
        <v>2</v>
      </c>
      <c r="M2520" s="163" t="str">
        <f>CONCATENATE(H2520," ",F2520,"*",I2520,"/",K2520,"чел/час")</f>
        <v>5 противопожарных водопроводов*0,082215/82944чел/час</v>
      </c>
      <c r="N2520" s="278">
        <f t="shared" si="530"/>
        <v>5450</v>
      </c>
      <c r="O2520" s="280">
        <f t="shared" si="528"/>
        <v>5.4021E-2</v>
      </c>
      <c r="P2520" s="166"/>
      <c r="Q2520" s="166">
        <f t="shared" si="529"/>
        <v>4480.7178240000003</v>
      </c>
      <c r="R2520" s="71"/>
    </row>
    <row r="2521" spans="1:41" s="61" customFormat="1" ht="47.25" x14ac:dyDescent="0.25">
      <c r="A2521" s="358"/>
      <c r="B2521" s="361"/>
      <c r="C2521" s="366"/>
      <c r="D2521" s="156" t="s">
        <v>34</v>
      </c>
      <c r="E2521" s="156" t="s">
        <v>59</v>
      </c>
      <c r="F2521" s="156" t="s">
        <v>28</v>
      </c>
      <c r="G2521" s="238">
        <f t="shared" si="527"/>
        <v>1.98242E-6</v>
      </c>
      <c r="H2521" s="158">
        <f>H2109</f>
        <v>2</v>
      </c>
      <c r="I2521" s="159">
        <f>I2520</f>
        <v>8.2214999999999996E-2</v>
      </c>
      <c r="J2521" s="160"/>
      <c r="K2521" s="161">
        <f>K2520</f>
        <v>82944</v>
      </c>
      <c r="L2521" s="250">
        <v>1</v>
      </c>
      <c r="M2521" s="163" t="str">
        <f>CONCATENATE(H2521," ",F2521,"*",I2521,"/",K2521,"чел/час")</f>
        <v>2 шт*0,082215/82944чел/час</v>
      </c>
      <c r="N2521" s="278">
        <f t="shared" si="530"/>
        <v>7500</v>
      </c>
      <c r="O2521" s="280">
        <f t="shared" si="528"/>
        <v>1.4867999999999999E-2</v>
      </c>
      <c r="P2521" s="166"/>
      <c r="Q2521" s="166">
        <f t="shared" si="529"/>
        <v>1233.2113919999999</v>
      </c>
      <c r="R2521" s="71"/>
    </row>
    <row r="2522" spans="1:41" s="61" customFormat="1" ht="47.25" x14ac:dyDescent="0.25">
      <c r="A2522" s="358"/>
      <c r="B2522" s="361"/>
      <c r="C2522" s="366"/>
      <c r="D2522" s="156" t="s">
        <v>222</v>
      </c>
      <c r="E2522" s="156" t="s">
        <v>60</v>
      </c>
      <c r="F2522" s="156" t="s">
        <v>60</v>
      </c>
      <c r="G2522" s="238">
        <f t="shared" si="527"/>
        <v>1.98242E-6</v>
      </c>
      <c r="H2522" s="158">
        <f>H2110</f>
        <v>2</v>
      </c>
      <c r="I2522" s="159">
        <f>I2521</f>
        <v>8.2214999999999996E-2</v>
      </c>
      <c r="J2522" s="160"/>
      <c r="K2522" s="161">
        <f>K2521</f>
        <v>82944</v>
      </c>
      <c r="L2522" s="250">
        <v>1</v>
      </c>
      <c r="M2522" s="163" t="str">
        <f>CONCATENATE(H2522," ",F2522,"*",I2522,"/",K2522,"чел/час")</f>
        <v>2 шт.*0,082215/82944чел/час</v>
      </c>
      <c r="N2522" s="278">
        <f t="shared" si="530"/>
        <v>13000</v>
      </c>
      <c r="O2522" s="280">
        <f t="shared" si="528"/>
        <v>2.5770999999999999E-2</v>
      </c>
      <c r="P2522" s="166"/>
      <c r="Q2522" s="166">
        <f t="shared" si="529"/>
        <v>2137.5498239999997</v>
      </c>
      <c r="R2522" s="71"/>
    </row>
    <row r="2523" spans="1:41" s="61" customFormat="1" ht="31.5" x14ac:dyDescent="0.25">
      <c r="A2523" s="358"/>
      <c r="B2523" s="361"/>
      <c r="C2523" s="366"/>
      <c r="D2523" s="156" t="s">
        <v>35</v>
      </c>
      <c r="E2523" s="156" t="s">
        <v>102</v>
      </c>
      <c r="F2523" s="156" t="s">
        <v>252</v>
      </c>
      <c r="G2523" s="238">
        <f t="shared" si="527"/>
        <v>1.98242E-6</v>
      </c>
      <c r="H2523" s="158">
        <f>H2111</f>
        <v>2</v>
      </c>
      <c r="I2523" s="159">
        <f>I2521</f>
        <v>8.2214999999999996E-2</v>
      </c>
      <c r="J2523" s="160"/>
      <c r="K2523" s="161">
        <f>K2521</f>
        <v>82944</v>
      </c>
      <c r="L2523" s="250">
        <v>1</v>
      </c>
      <c r="M2523" s="163" t="str">
        <f>CONCATENATE(H2523," ",F2523,"*",I2523,"/",K2523,"чел/час")</f>
        <v>2 замера*0,082215/82944чел/час</v>
      </c>
      <c r="N2523" s="278">
        <f t="shared" si="530"/>
        <v>25830</v>
      </c>
      <c r="O2523" s="280">
        <f t="shared" si="528"/>
        <v>5.1205999999999995E-2</v>
      </c>
      <c r="P2523" s="166"/>
      <c r="Q2523" s="166">
        <f t="shared" si="529"/>
        <v>4247.2304639999993</v>
      </c>
      <c r="R2523" s="71"/>
    </row>
    <row r="2524" spans="1:41" s="61" customFormat="1" ht="47.25" x14ac:dyDescent="0.25">
      <c r="A2524" s="358"/>
      <c r="B2524" s="361"/>
      <c r="C2524" s="366"/>
      <c r="D2524" s="156" t="s">
        <v>399</v>
      </c>
      <c r="E2524" s="156" t="s">
        <v>60</v>
      </c>
      <c r="F2524" s="156" t="s">
        <v>60</v>
      </c>
      <c r="G2524" s="238">
        <f t="shared" si="527"/>
        <v>3.9648440000000001E-5</v>
      </c>
      <c r="H2524" s="158">
        <f>$H$2112</f>
        <v>4</v>
      </c>
      <c r="I2524" s="159">
        <f>I2523</f>
        <v>8.2214999999999996E-2</v>
      </c>
      <c r="J2524" s="160"/>
      <c r="K2524" s="161">
        <f>K2523</f>
        <v>82944</v>
      </c>
      <c r="L2524" s="250">
        <v>10</v>
      </c>
      <c r="M2524" s="163" t="str">
        <f>CONCATENATE(H2524," ",F2524,"*",L2524,"мес.","*",I2524,"/",K2524,"чел/час")</f>
        <v>4 шт.*10мес.*0,082215/82944чел/час</v>
      </c>
      <c r="N2524" s="278">
        <f t="shared" si="530"/>
        <v>2411.625</v>
      </c>
      <c r="O2524" s="280">
        <f t="shared" si="528"/>
        <v>9.5616999999999994E-2</v>
      </c>
      <c r="P2524" s="166"/>
      <c r="Q2524" s="166">
        <f t="shared" si="529"/>
        <v>7930.8564479999995</v>
      </c>
      <c r="R2524" s="71"/>
    </row>
    <row r="2525" spans="1:41" s="61" customFormat="1" ht="47.25" x14ac:dyDescent="0.25">
      <c r="A2525" s="358"/>
      <c r="B2525" s="361"/>
      <c r="C2525" s="366"/>
      <c r="D2525" s="156" t="s">
        <v>36</v>
      </c>
      <c r="E2525" s="156" t="s">
        <v>31</v>
      </c>
      <c r="F2525" s="156" t="s">
        <v>224</v>
      </c>
      <c r="G2525" s="238">
        <f t="shared" si="527"/>
        <v>9.5156249999999999E-5</v>
      </c>
      <c r="H2525" s="158">
        <f>H2113</f>
        <v>8</v>
      </c>
      <c r="I2525" s="159">
        <f>I2524</f>
        <v>8.2214999999999996E-2</v>
      </c>
      <c r="J2525" s="160"/>
      <c r="K2525" s="161">
        <f>K2524</f>
        <v>82944</v>
      </c>
      <c r="L2525" s="250">
        <v>12</v>
      </c>
      <c r="M2525" s="163" t="str">
        <f>CONCATENATE(H2525," ",F2525,"*",L2525,"мес.","*",I2525,"/",K2525,"чел/час")</f>
        <v>8 устройств*12мес.*0,082215/82944чел/час</v>
      </c>
      <c r="N2525" s="278">
        <f t="shared" si="530"/>
        <v>2200</v>
      </c>
      <c r="O2525" s="280">
        <f t="shared" si="528"/>
        <v>0.209344</v>
      </c>
      <c r="P2525" s="166"/>
      <c r="Q2525" s="166">
        <f t="shared" si="529"/>
        <v>17363.828735999999</v>
      </c>
      <c r="R2525" s="71"/>
    </row>
    <row r="2526" spans="1:41" s="61" customFormat="1" ht="63" x14ac:dyDescent="0.25">
      <c r="A2526" s="358"/>
      <c r="B2526" s="361"/>
      <c r="C2526" s="366"/>
      <c r="D2526" s="156" t="s">
        <v>253</v>
      </c>
      <c r="E2526" s="156" t="s">
        <v>55</v>
      </c>
      <c r="F2526" s="156" t="s">
        <v>55</v>
      </c>
      <c r="G2526" s="238">
        <f t="shared" si="527"/>
        <v>5.9472659999999994E-5</v>
      </c>
      <c r="H2526" s="158">
        <f>H2114</f>
        <v>5</v>
      </c>
      <c r="I2526" s="159">
        <f>I2525</f>
        <v>8.2214999999999996E-2</v>
      </c>
      <c r="J2526" s="160"/>
      <c r="K2526" s="161">
        <f>K2525</f>
        <v>82944</v>
      </c>
      <c r="L2526" s="250">
        <v>12</v>
      </c>
      <c r="M2526" s="163" t="str">
        <f>CONCATENATE(H2526," ",F2526,"*",I2526,"/",K2526,"чел/час")</f>
        <v>5 система*0,082215/82944чел/час</v>
      </c>
      <c r="N2526" s="278">
        <f t="shared" si="530"/>
        <v>4251</v>
      </c>
      <c r="O2526" s="280">
        <f t="shared" si="528"/>
        <v>0.25281799999999999</v>
      </c>
      <c r="P2526" s="166"/>
      <c r="Q2526" s="166">
        <f t="shared" si="529"/>
        <v>20969.736192</v>
      </c>
      <c r="R2526" s="71"/>
    </row>
    <row r="2527" spans="1:41" s="61" customFormat="1" ht="31.5" x14ac:dyDescent="0.25">
      <c r="A2527" s="358"/>
      <c r="B2527" s="361"/>
      <c r="C2527" s="366"/>
      <c r="D2527" s="156" t="s">
        <v>99</v>
      </c>
      <c r="E2527" s="156" t="s">
        <v>103</v>
      </c>
      <c r="F2527" s="156" t="s">
        <v>225</v>
      </c>
      <c r="G2527" s="238">
        <f t="shared" si="527"/>
        <v>4.658691E-5</v>
      </c>
      <c r="H2527" s="158">
        <f>H2115</f>
        <v>47</v>
      </c>
      <c r="I2527" s="159">
        <f>I2526</f>
        <v>8.2214999999999996E-2</v>
      </c>
      <c r="J2527" s="160"/>
      <c r="K2527" s="161">
        <f>K2526</f>
        <v>82944</v>
      </c>
      <c r="L2527" s="250">
        <v>1</v>
      </c>
      <c r="M2527" s="163" t="str">
        <f>CONCATENATE(H2527," ",F2527,"*",I2527,"/",K2527,"чел.")</f>
        <v>47 ед.*0,082215/82944чел.</v>
      </c>
      <c r="N2527" s="164">
        <f t="shared" si="530"/>
        <v>15000</v>
      </c>
      <c r="O2527" s="165">
        <f>MROUND(G2527*N2527,0.000001)</f>
        <v>0.69880399999999998</v>
      </c>
      <c r="P2527" s="166"/>
      <c r="Q2527" s="166">
        <f t="shared" si="529"/>
        <v>57961.598976000001</v>
      </c>
      <c r="R2527" s="71"/>
    </row>
    <row r="2528" spans="1:41" s="61" customFormat="1" x14ac:dyDescent="0.25">
      <c r="A2528" s="358"/>
      <c r="B2528" s="361"/>
      <c r="C2528" s="366"/>
      <c r="D2528" s="156" t="s">
        <v>27</v>
      </c>
      <c r="E2528" s="156" t="s">
        <v>28</v>
      </c>
      <c r="F2528" s="156" t="s">
        <v>28</v>
      </c>
      <c r="G2528" s="238">
        <f t="shared" si="527"/>
        <v>4.1630858999999997E-4</v>
      </c>
      <c r="H2528" s="160">
        <f>H2116</f>
        <v>420</v>
      </c>
      <c r="I2528" s="159">
        <f>I2526</f>
        <v>8.2214999999999996E-2</v>
      </c>
      <c r="J2528" s="160"/>
      <c r="K2528" s="161">
        <f>K2526</f>
        <v>82944</v>
      </c>
      <c r="L2528" s="250">
        <v>1</v>
      </c>
      <c r="M2528" s="163" t="str">
        <f>CONCATENATE(H2528," ",F2528,"*",I2528,"/",K2528,"чел/час")</f>
        <v>420 шт*0,082215/82944чел/час</v>
      </c>
      <c r="N2528" s="278">
        <f t="shared" si="530"/>
        <v>400</v>
      </c>
      <c r="O2528" s="280">
        <f t="shared" si="528"/>
        <v>0.166523</v>
      </c>
      <c r="P2528" s="166"/>
      <c r="Q2528" s="166">
        <f t="shared" si="529"/>
        <v>13812.083712</v>
      </c>
      <c r="R2528" s="71"/>
    </row>
    <row r="2529" spans="1:41" s="61" customFormat="1" ht="31.5" x14ac:dyDescent="0.25">
      <c r="A2529" s="358"/>
      <c r="B2529" s="361"/>
      <c r="C2529" s="367"/>
      <c r="D2529" s="156" t="s">
        <v>104</v>
      </c>
      <c r="E2529" s="156" t="s">
        <v>105</v>
      </c>
      <c r="F2529" s="156" t="s">
        <v>226</v>
      </c>
      <c r="G2529" s="238">
        <f t="shared" si="527"/>
        <v>4.9560499999999998E-6</v>
      </c>
      <c r="H2529" s="160">
        <f>H2117</f>
        <v>5</v>
      </c>
      <c r="I2529" s="159">
        <f>I2528</f>
        <v>8.2214999999999996E-2</v>
      </c>
      <c r="J2529" s="160"/>
      <c r="K2529" s="161">
        <f>K2528</f>
        <v>82944</v>
      </c>
      <c r="L2529" s="250">
        <v>1</v>
      </c>
      <c r="M2529" s="163" t="str">
        <f>CONCATENATE(H2529," ",F2529,"*",I2529,"/",K2529,"чел/час")</f>
        <v>5 отключений*0,082215/82944чел/час</v>
      </c>
      <c r="N2529" s="278">
        <f t="shared" si="530"/>
        <v>9810</v>
      </c>
      <c r="O2529" s="280">
        <f t="shared" si="528"/>
        <v>4.8618999999999996E-2</v>
      </c>
      <c r="P2529" s="166"/>
      <c r="Q2529" s="166">
        <f t="shared" si="529"/>
        <v>4032.6543359999996</v>
      </c>
      <c r="R2529" s="71"/>
    </row>
    <row r="2530" spans="1:41" s="109" customFormat="1" x14ac:dyDescent="0.25">
      <c r="A2530" s="358"/>
      <c r="B2530" s="361"/>
      <c r="C2530" s="249" t="s">
        <v>326</v>
      </c>
      <c r="D2530" s="240"/>
      <c r="E2530" s="240"/>
      <c r="F2530" s="240"/>
      <c r="G2530" s="227"/>
      <c r="H2530" s="228"/>
      <c r="I2530" s="206"/>
      <c r="J2530" s="228"/>
      <c r="K2530" s="207"/>
      <c r="L2530" s="257"/>
      <c r="M2530" s="209"/>
      <c r="N2530" s="281"/>
      <c r="O2530" s="279">
        <f>SUM(O2515:O2529)</f>
        <v>2.212885</v>
      </c>
      <c r="P2530" s="267"/>
      <c r="Q2530" s="166"/>
      <c r="R2530" s="71"/>
      <c r="S2530" s="62"/>
      <c r="T2530" s="62"/>
      <c r="U2530" s="62"/>
      <c r="V2530" s="62"/>
      <c r="W2530" s="62"/>
      <c r="X2530" s="62"/>
      <c r="Y2530" s="62"/>
      <c r="Z2530" s="62"/>
      <c r="AA2530" s="62"/>
      <c r="AB2530" s="62"/>
      <c r="AC2530" s="62"/>
      <c r="AD2530" s="62"/>
      <c r="AE2530" s="62"/>
      <c r="AF2530" s="62"/>
      <c r="AG2530" s="62"/>
      <c r="AH2530" s="62"/>
      <c r="AI2530" s="62"/>
      <c r="AJ2530" s="62"/>
      <c r="AK2530" s="62"/>
      <c r="AL2530" s="62"/>
      <c r="AM2530" s="62"/>
      <c r="AN2530" s="62"/>
      <c r="AO2530" s="62"/>
    </row>
    <row r="2531" spans="1:41" s="61" customFormat="1" ht="31.5" x14ac:dyDescent="0.25">
      <c r="A2531" s="358"/>
      <c r="B2531" s="361"/>
      <c r="C2531" s="221" t="s">
        <v>79</v>
      </c>
      <c r="D2531" s="156" t="s">
        <v>37</v>
      </c>
      <c r="E2531" s="156" t="s">
        <v>61</v>
      </c>
      <c r="F2531" s="156" t="s">
        <v>254</v>
      </c>
      <c r="G2531" s="238">
        <f>MROUND(H2531*L2531*I2531/K2531,0.00000000001)</f>
        <v>9.9120999999999999E-7</v>
      </c>
      <c r="H2531" s="158">
        <f>$H$2119</f>
        <v>1</v>
      </c>
      <c r="I2531" s="159">
        <f>I2529</f>
        <v>8.2214999999999996E-2</v>
      </c>
      <c r="J2531" s="160"/>
      <c r="K2531" s="161">
        <f>K2529</f>
        <v>82944</v>
      </c>
      <c r="L2531" s="250">
        <v>1</v>
      </c>
      <c r="M2531" s="163" t="str">
        <f>CONCATENATE(H2531," ",F2531,"*",I2531,"/",K2531,"чел/час")</f>
        <v>1 автобус*0,082215/82944чел/час</v>
      </c>
      <c r="N2531" s="278">
        <f>N2119</f>
        <v>23352.160000000003</v>
      </c>
      <c r="O2531" s="280">
        <f>MROUND(N2531*G2531,0.000001)</f>
        <v>2.3146999999999997E-2</v>
      </c>
      <c r="P2531" s="166"/>
      <c r="Q2531" s="166">
        <f>O2531*K2531</f>
        <v>1919.9047679999999</v>
      </c>
      <c r="R2531" s="71"/>
    </row>
    <row r="2532" spans="1:41" s="61" customFormat="1" x14ac:dyDescent="0.25">
      <c r="A2532" s="358"/>
      <c r="B2532" s="361"/>
      <c r="C2532" s="221"/>
      <c r="D2532" s="156" t="s">
        <v>255</v>
      </c>
      <c r="E2532" s="156" t="s">
        <v>28</v>
      </c>
      <c r="F2532" s="156" t="s">
        <v>28</v>
      </c>
      <c r="G2532" s="238">
        <f>MROUND(H2532*L2532*I2532/K2532,0.00000000001)</f>
        <v>6.8393554999999996E-4</v>
      </c>
      <c r="H2532" s="158">
        <f>H2120</f>
        <v>345</v>
      </c>
      <c r="I2532" s="159">
        <f>I2531</f>
        <v>8.2214999999999996E-2</v>
      </c>
      <c r="J2532" s="160"/>
      <c r="K2532" s="161">
        <f>K2531</f>
        <v>82944</v>
      </c>
      <c r="L2532" s="250">
        <v>2</v>
      </c>
      <c r="M2532" s="163" t="str">
        <f>CONCATENATE(H2532," ",F2532,"*",L2532,"раза в год","*",I2532,"/",K2532,"чел/час")</f>
        <v>345 шт*2раза в год*0,082215/82944чел/час</v>
      </c>
      <c r="N2532" s="278">
        <f>N2120</f>
        <v>436</v>
      </c>
      <c r="O2532" s="280">
        <f>MROUND(N2532*G2532,0.000001)</f>
        <v>0.29819599999999996</v>
      </c>
      <c r="P2532" s="166"/>
      <c r="Q2532" s="166">
        <f>O2532*K2532</f>
        <v>24733.569023999997</v>
      </c>
      <c r="R2532" s="71"/>
    </row>
    <row r="2533" spans="1:41" s="109" customFormat="1" x14ac:dyDescent="0.25">
      <c r="A2533" s="358"/>
      <c r="B2533" s="361"/>
      <c r="C2533" s="218" t="s">
        <v>328</v>
      </c>
      <c r="D2533" s="240"/>
      <c r="E2533" s="240"/>
      <c r="F2533" s="240"/>
      <c r="G2533" s="227"/>
      <c r="H2533" s="241"/>
      <c r="I2533" s="206"/>
      <c r="J2533" s="228"/>
      <c r="K2533" s="207"/>
      <c r="L2533" s="257"/>
      <c r="M2533" s="209"/>
      <c r="N2533" s="281"/>
      <c r="O2533" s="279">
        <f>O2532+O2531</f>
        <v>0.32134299999999993</v>
      </c>
      <c r="P2533" s="267"/>
      <c r="Q2533" s="166"/>
      <c r="R2533" s="71"/>
      <c r="S2533" s="62"/>
      <c r="T2533" s="62"/>
      <c r="U2533" s="62"/>
      <c r="V2533" s="62"/>
      <c r="W2533" s="62"/>
      <c r="X2533" s="62"/>
      <c r="Y2533" s="62"/>
      <c r="Z2533" s="62"/>
      <c r="AA2533" s="62"/>
      <c r="AB2533" s="62"/>
      <c r="AC2533" s="62"/>
      <c r="AD2533" s="62"/>
      <c r="AE2533" s="62"/>
      <c r="AF2533" s="62"/>
      <c r="AG2533" s="62"/>
      <c r="AH2533" s="62"/>
      <c r="AI2533" s="62"/>
      <c r="AJ2533" s="62"/>
      <c r="AK2533" s="62"/>
      <c r="AL2533" s="62"/>
      <c r="AM2533" s="62"/>
      <c r="AN2533" s="62"/>
      <c r="AO2533" s="62"/>
    </row>
    <row r="2534" spans="1:41" s="61" customFormat="1" x14ac:dyDescent="0.25">
      <c r="A2534" s="358"/>
      <c r="B2534" s="361"/>
      <c r="C2534" s="364" t="s">
        <v>80</v>
      </c>
      <c r="D2534" s="156" t="s">
        <v>38</v>
      </c>
      <c r="E2534" s="156" t="s">
        <v>57</v>
      </c>
      <c r="F2534" s="156" t="s">
        <v>228</v>
      </c>
      <c r="G2534" s="238">
        <f t="shared" ref="G2534:G2545" si="531">MROUND(H2534*L2534*I2534/K2534,0.00000000001)</f>
        <v>9.5156249999999999E-5</v>
      </c>
      <c r="H2534" s="158">
        <f>H2122</f>
        <v>8</v>
      </c>
      <c r="I2534" s="159">
        <f>I2531</f>
        <v>8.2214999999999996E-2</v>
      </c>
      <c r="J2534" s="160"/>
      <c r="K2534" s="161">
        <f>K2531</f>
        <v>82944</v>
      </c>
      <c r="L2534" s="250">
        <v>12</v>
      </c>
      <c r="M2534" s="163" t="str">
        <f>CONCATENATE(H2534," ",F2534,"*",L2534,"мес.","*",I2534,"/",K2534,"чел/час")</f>
        <v>8 зданий*12мес.*0,082215/82944чел/час</v>
      </c>
      <c r="N2534" s="278">
        <f t="shared" ref="N2534:N2543" si="532">N2122</f>
        <v>4694.63</v>
      </c>
      <c r="O2534" s="280">
        <f t="shared" ref="O2534:O2545" si="533">MROUND(N2534*G2534,0.000001)</f>
        <v>0.44672299999999998</v>
      </c>
      <c r="P2534" s="166"/>
      <c r="Q2534" s="166">
        <f t="shared" ref="Q2534:Q2545" si="534">O2534*K2534</f>
        <v>37052.992511999997</v>
      </c>
      <c r="R2534" s="71"/>
    </row>
    <row r="2535" spans="1:41" s="61" customFormat="1" x14ac:dyDescent="0.25">
      <c r="A2535" s="358"/>
      <c r="B2535" s="361"/>
      <c r="C2535" s="364"/>
      <c r="D2535" s="156" t="s">
        <v>256</v>
      </c>
      <c r="E2535" s="156" t="s">
        <v>20</v>
      </c>
      <c r="F2535" s="156" t="s">
        <v>20</v>
      </c>
      <c r="G2535" s="238">
        <f t="shared" si="531"/>
        <v>1.8535644999999998E-4</v>
      </c>
      <c r="H2535" s="158">
        <f>H2123</f>
        <v>187</v>
      </c>
      <c r="I2535" s="159">
        <f>I2532</f>
        <v>8.2214999999999996E-2</v>
      </c>
      <c r="J2535" s="160"/>
      <c r="K2535" s="161">
        <f>K2532</f>
        <v>82944</v>
      </c>
      <c r="L2535" s="250">
        <v>1</v>
      </c>
      <c r="M2535" s="163" t="str">
        <f t="shared" ref="M2535:M2542" si="535">CONCATENATE(H2535," ",F2535,"*",I2535,"/",K2535,"чел/час")</f>
        <v>187 чел.*0,082215/82944чел/час</v>
      </c>
      <c r="N2535" s="278">
        <f t="shared" si="532"/>
        <v>1853</v>
      </c>
      <c r="O2535" s="280">
        <f t="shared" si="533"/>
        <v>0.34346599999999999</v>
      </c>
      <c r="P2535" s="166"/>
      <c r="Q2535" s="166">
        <f t="shared" si="534"/>
        <v>28488.443904</v>
      </c>
      <c r="R2535" s="71"/>
    </row>
    <row r="2536" spans="1:41" s="61" customFormat="1" ht="63" x14ac:dyDescent="0.25">
      <c r="A2536" s="358"/>
      <c r="B2536" s="361"/>
      <c r="C2536" s="364"/>
      <c r="D2536" s="156" t="s">
        <v>39</v>
      </c>
      <c r="E2536" s="156" t="s">
        <v>20</v>
      </c>
      <c r="F2536" s="156" t="s">
        <v>234</v>
      </c>
      <c r="G2536" s="238">
        <f t="shared" si="531"/>
        <v>8.9208999999999996E-6</v>
      </c>
      <c r="H2536" s="158">
        <f>H2124</f>
        <v>9</v>
      </c>
      <c r="I2536" s="159">
        <f>I2534</f>
        <v>8.2214999999999996E-2</v>
      </c>
      <c r="J2536" s="160"/>
      <c r="K2536" s="161">
        <f>K2534</f>
        <v>82944</v>
      </c>
      <c r="L2536" s="250">
        <v>1</v>
      </c>
      <c r="M2536" s="163" t="str">
        <f t="shared" si="535"/>
        <v>9 чел(заявленная потребность руководителями учреждений)*0,082215/82944чел/час</v>
      </c>
      <c r="N2536" s="278">
        <f t="shared" si="532"/>
        <v>763</v>
      </c>
      <c r="O2536" s="280">
        <f t="shared" si="533"/>
        <v>6.8069999999999997E-3</v>
      </c>
      <c r="P2536" s="166"/>
      <c r="Q2536" s="166">
        <f t="shared" si="534"/>
        <v>564.59980799999994</v>
      </c>
      <c r="R2536" s="71"/>
    </row>
    <row r="2537" spans="1:41" s="61" customFormat="1" ht="63" x14ac:dyDescent="0.25">
      <c r="A2537" s="358"/>
      <c r="B2537" s="361"/>
      <c r="C2537" s="364"/>
      <c r="D2537" s="156" t="s">
        <v>40</v>
      </c>
      <c r="E2537" s="156" t="s">
        <v>20</v>
      </c>
      <c r="F2537" s="156" t="s">
        <v>234</v>
      </c>
      <c r="G2537" s="238">
        <f t="shared" si="531"/>
        <v>1.2885739999999999E-5</v>
      </c>
      <c r="H2537" s="158">
        <f>H2125</f>
        <v>13</v>
      </c>
      <c r="I2537" s="159">
        <f t="shared" ref="I2537:I2542" si="536">I2536</f>
        <v>8.2214999999999996E-2</v>
      </c>
      <c r="J2537" s="160"/>
      <c r="K2537" s="161">
        <f t="shared" ref="K2537:K2542" si="537">K2536</f>
        <v>82944</v>
      </c>
      <c r="L2537" s="250">
        <v>1</v>
      </c>
      <c r="M2537" s="163" t="str">
        <f t="shared" si="535"/>
        <v>13 чел(заявленная потребность руководителями учреждений)*0,082215/82944чел/час</v>
      </c>
      <c r="N2537" s="278">
        <f t="shared" si="532"/>
        <v>1635</v>
      </c>
      <c r="O2537" s="280">
        <f t="shared" si="533"/>
        <v>2.1068E-2</v>
      </c>
      <c r="P2537" s="166"/>
      <c r="Q2537" s="166">
        <f t="shared" si="534"/>
        <v>1747.4641919999999</v>
      </c>
      <c r="R2537" s="71"/>
    </row>
    <row r="2538" spans="1:41" s="61" customFormat="1" ht="63" x14ac:dyDescent="0.25">
      <c r="A2538" s="358"/>
      <c r="B2538" s="361"/>
      <c r="C2538" s="364"/>
      <c r="D2538" s="156" t="s">
        <v>100</v>
      </c>
      <c r="E2538" s="156" t="s">
        <v>20</v>
      </c>
      <c r="F2538" s="156" t="s">
        <v>234</v>
      </c>
      <c r="G2538" s="238">
        <f t="shared" si="531"/>
        <v>6.9384799999999992E-6</v>
      </c>
      <c r="H2538" s="158">
        <f>H2126</f>
        <v>7</v>
      </c>
      <c r="I2538" s="159">
        <f t="shared" si="536"/>
        <v>8.2214999999999996E-2</v>
      </c>
      <c r="J2538" s="160"/>
      <c r="K2538" s="161">
        <f t="shared" si="537"/>
        <v>82944</v>
      </c>
      <c r="L2538" s="250">
        <v>1</v>
      </c>
      <c r="M2538" s="163" t="str">
        <f t="shared" si="535"/>
        <v>7 чел(заявленная потребность руководителями учреждений)*0,082215/82944чел/час</v>
      </c>
      <c r="N2538" s="278">
        <f t="shared" si="532"/>
        <v>3488</v>
      </c>
      <c r="O2538" s="280">
        <f t="shared" si="533"/>
        <v>2.4201E-2</v>
      </c>
      <c r="P2538" s="166"/>
      <c r="Q2538" s="166">
        <f t="shared" si="534"/>
        <v>2007.3277439999999</v>
      </c>
      <c r="R2538" s="71"/>
    </row>
    <row r="2539" spans="1:41" s="61" customFormat="1" ht="110.25" x14ac:dyDescent="0.25">
      <c r="A2539" s="358"/>
      <c r="B2539" s="361"/>
      <c r="C2539" s="364"/>
      <c r="D2539" s="156" t="s">
        <v>235</v>
      </c>
      <c r="E2539" s="156" t="s">
        <v>50</v>
      </c>
      <c r="F2539" s="156" t="s">
        <v>230</v>
      </c>
      <c r="G2539" s="238">
        <f t="shared" si="531"/>
        <v>4.9560499999999998E-6</v>
      </c>
      <c r="H2539" s="158">
        <v>5</v>
      </c>
      <c r="I2539" s="159">
        <f t="shared" si="536"/>
        <v>8.2214999999999996E-2</v>
      </c>
      <c r="J2539" s="160"/>
      <c r="K2539" s="161">
        <f t="shared" si="537"/>
        <v>82944</v>
      </c>
      <c r="L2539" s="250">
        <v>1</v>
      </c>
      <c r="M2539" s="163" t="str">
        <f t="shared" si="535"/>
        <v>5 отчетов*0,082215/82944чел/час</v>
      </c>
      <c r="N2539" s="278">
        <f t="shared" si="532"/>
        <v>6540</v>
      </c>
      <c r="O2539" s="280">
        <f t="shared" si="533"/>
        <v>3.2412999999999997E-2</v>
      </c>
      <c r="P2539" s="166"/>
      <c r="Q2539" s="166">
        <f t="shared" si="534"/>
        <v>2688.4638719999998</v>
      </c>
      <c r="R2539" s="71"/>
    </row>
    <row r="2540" spans="1:41" s="61" customFormat="1" ht="63" x14ac:dyDescent="0.25">
      <c r="A2540" s="358"/>
      <c r="B2540" s="361"/>
      <c r="C2540" s="364"/>
      <c r="D2540" s="156" t="s">
        <v>42</v>
      </c>
      <c r="E2540" s="156" t="s">
        <v>51</v>
      </c>
      <c r="F2540" s="156" t="s">
        <v>407</v>
      </c>
      <c r="G2540" s="238">
        <f t="shared" si="531"/>
        <v>2.5771479999999997E-5</v>
      </c>
      <c r="H2540" s="158">
        <f>H2128</f>
        <v>26</v>
      </c>
      <c r="I2540" s="159">
        <f t="shared" si="536"/>
        <v>8.2214999999999996E-2</v>
      </c>
      <c r="J2540" s="160"/>
      <c r="K2540" s="161">
        <f t="shared" si="537"/>
        <v>82944</v>
      </c>
      <c r="L2540" s="250">
        <v>1</v>
      </c>
      <c r="M2540" s="163" t="str">
        <f t="shared" si="535"/>
        <v>26 ед (заявленная потребность руководителями учреждений)*0,082215/82944чел/час</v>
      </c>
      <c r="N2540" s="278">
        <f t="shared" si="532"/>
        <v>1090</v>
      </c>
      <c r="O2540" s="280">
        <f t="shared" si="533"/>
        <v>2.8090999999999998E-2</v>
      </c>
      <c r="P2540" s="166"/>
      <c r="Q2540" s="166">
        <f t="shared" si="534"/>
        <v>2329.9799039999998</v>
      </c>
      <c r="R2540" s="71"/>
    </row>
    <row r="2541" spans="1:41" s="61" customFormat="1" ht="31.5" x14ac:dyDescent="0.25">
      <c r="A2541" s="358"/>
      <c r="B2541" s="361"/>
      <c r="C2541" s="364"/>
      <c r="D2541" s="156" t="s">
        <v>43</v>
      </c>
      <c r="E2541" s="156" t="s">
        <v>52</v>
      </c>
      <c r="F2541" s="156" t="s">
        <v>231</v>
      </c>
      <c r="G2541" s="238">
        <f t="shared" si="531"/>
        <v>4.9560499999999998E-6</v>
      </c>
      <c r="H2541" s="158">
        <v>5</v>
      </c>
      <c r="I2541" s="159">
        <f t="shared" si="536"/>
        <v>8.2214999999999996E-2</v>
      </c>
      <c r="J2541" s="160"/>
      <c r="K2541" s="161">
        <f t="shared" si="537"/>
        <v>82944</v>
      </c>
      <c r="L2541" s="250">
        <v>1</v>
      </c>
      <c r="M2541" s="163" t="str">
        <f t="shared" si="535"/>
        <v>5 ЭЦП*0,082215/82944чел/час</v>
      </c>
      <c r="N2541" s="278">
        <f t="shared" si="532"/>
        <v>7743.3600000000006</v>
      </c>
      <c r="O2541" s="280">
        <f t="shared" si="533"/>
        <v>3.8376E-2</v>
      </c>
      <c r="P2541" s="166"/>
      <c r="Q2541" s="166">
        <f t="shared" si="534"/>
        <v>3183.0589439999999</v>
      </c>
      <c r="R2541" s="71"/>
    </row>
    <row r="2542" spans="1:41" s="61" customFormat="1" x14ac:dyDescent="0.25">
      <c r="A2542" s="358"/>
      <c r="B2542" s="361"/>
      <c r="C2542" s="364"/>
      <c r="D2542" s="156" t="s">
        <v>373</v>
      </c>
      <c r="E2542" s="156" t="s">
        <v>28</v>
      </c>
      <c r="F2542" s="156" t="s">
        <v>28</v>
      </c>
      <c r="G2542" s="238">
        <f t="shared" si="531"/>
        <v>4.9560499999999998E-6</v>
      </c>
      <c r="H2542" s="158">
        <f>H2130</f>
        <v>5</v>
      </c>
      <c r="I2542" s="159">
        <f t="shared" si="536"/>
        <v>8.2214999999999996E-2</v>
      </c>
      <c r="J2542" s="160"/>
      <c r="K2542" s="161">
        <f t="shared" si="537"/>
        <v>82944</v>
      </c>
      <c r="L2542" s="250">
        <v>1</v>
      </c>
      <c r="M2542" s="163" t="str">
        <f t="shared" si="535"/>
        <v>5 шт*0,082215/82944чел/час</v>
      </c>
      <c r="N2542" s="278">
        <f t="shared" si="532"/>
        <v>24000</v>
      </c>
      <c r="O2542" s="280">
        <f t="shared" si="533"/>
        <v>0.118945</v>
      </c>
      <c r="P2542" s="166"/>
      <c r="Q2542" s="166">
        <f t="shared" si="534"/>
        <v>9865.7740799999992</v>
      </c>
      <c r="R2542" s="71"/>
    </row>
    <row r="2543" spans="1:41" s="61" customFormat="1" ht="63" x14ac:dyDescent="0.25">
      <c r="A2543" s="358"/>
      <c r="B2543" s="361"/>
      <c r="C2543" s="364"/>
      <c r="D2543" s="156" t="s">
        <v>45</v>
      </c>
      <c r="E2543" s="156" t="s">
        <v>53</v>
      </c>
      <c r="F2543" s="156" t="s">
        <v>257</v>
      </c>
      <c r="G2543" s="238">
        <f t="shared" si="531"/>
        <v>1.189453E-5</v>
      </c>
      <c r="H2543" s="158">
        <v>1</v>
      </c>
      <c r="I2543" s="159">
        <f>I2541</f>
        <v>8.2214999999999996E-2</v>
      </c>
      <c r="J2543" s="160"/>
      <c r="K2543" s="161">
        <f>K2541</f>
        <v>82944</v>
      </c>
      <c r="L2543" s="250">
        <v>12</v>
      </c>
      <c r="M2543" s="163" t="str">
        <f>CONCATENATE(H2543," ",F2543,"*",L2543,"мес.","*",I2543,"/",K2543,"чел/час")</f>
        <v>1  машина, оборудованная системой ГЛОНАСС*12мес.*0,082215/82944чел/час</v>
      </c>
      <c r="N2543" s="278">
        <f t="shared" si="532"/>
        <v>880.71999999999991</v>
      </c>
      <c r="O2543" s="280">
        <f t="shared" si="533"/>
        <v>1.0475999999999999E-2</v>
      </c>
      <c r="P2543" s="166"/>
      <c r="Q2543" s="166">
        <f t="shared" si="534"/>
        <v>868.92134399999998</v>
      </c>
      <c r="R2543" s="71"/>
    </row>
    <row r="2544" spans="1:41" s="136" customFormat="1" ht="47.25" x14ac:dyDescent="0.25">
      <c r="A2544" s="358"/>
      <c r="B2544" s="361"/>
      <c r="C2544" s="364"/>
      <c r="D2544" s="156" t="s">
        <v>44</v>
      </c>
      <c r="E2544" s="156" t="s">
        <v>85</v>
      </c>
      <c r="F2544" s="156" t="s">
        <v>232</v>
      </c>
      <c r="G2544" s="238">
        <f t="shared" si="531"/>
        <v>3.0132812999999998E-4</v>
      </c>
      <c r="H2544" s="158">
        <f>$H$2132</f>
        <v>304</v>
      </c>
      <c r="I2544" s="159">
        <f>I2543</f>
        <v>8.2214999999999996E-2</v>
      </c>
      <c r="J2544" s="160"/>
      <c r="K2544" s="161">
        <f>K2543</f>
        <v>82944</v>
      </c>
      <c r="L2544" s="250">
        <v>1</v>
      </c>
      <c r="M2544" s="163" t="str">
        <f>CONCATENATE(H2544," ",F2544,"*",L2544,"мес.","*",I2544,"/",K2544,"чел.")</f>
        <v>304 мед.осмотров в мес.*1мес.*0,082215/82944чел.</v>
      </c>
      <c r="N2544" s="278">
        <f>$N$2132</f>
        <v>56.680000000000007</v>
      </c>
      <c r="O2544" s="280">
        <f t="shared" si="533"/>
        <v>1.7079E-2</v>
      </c>
      <c r="P2544" s="166"/>
      <c r="Q2544" s="166">
        <f t="shared" si="534"/>
        <v>1416.600576</v>
      </c>
      <c r="R2544" s="71"/>
      <c r="S2544" s="71"/>
      <c r="T2544" s="61"/>
      <c r="U2544" s="61"/>
      <c r="V2544" s="61"/>
      <c r="W2544" s="61"/>
      <c r="X2544" s="61"/>
      <c r="Y2544" s="61"/>
      <c r="Z2544" s="61"/>
      <c r="AA2544" s="61"/>
      <c r="AB2544" s="61"/>
      <c r="AC2544" s="61"/>
      <c r="AD2544" s="61"/>
      <c r="AE2544" s="61"/>
      <c r="AF2544" s="61"/>
      <c r="AG2544" s="61"/>
      <c r="AH2544" s="61"/>
      <c r="AI2544" s="61"/>
      <c r="AJ2544" s="61"/>
      <c r="AK2544" s="61"/>
      <c r="AL2544" s="61"/>
      <c r="AM2544" s="61"/>
      <c r="AN2544" s="61"/>
      <c r="AO2544" s="61"/>
    </row>
    <row r="2545" spans="1:41" s="61" customFormat="1" ht="31.5" x14ac:dyDescent="0.25">
      <c r="A2545" s="358"/>
      <c r="B2545" s="361"/>
      <c r="C2545" s="364"/>
      <c r="D2545" s="156" t="s">
        <v>408</v>
      </c>
      <c r="E2545" s="156" t="s">
        <v>20</v>
      </c>
      <c r="F2545" s="156" t="s">
        <v>20</v>
      </c>
      <c r="G2545" s="238">
        <f t="shared" si="531"/>
        <v>2.9736329999999997E-5</v>
      </c>
      <c r="H2545" s="158">
        <f>H2133</f>
        <v>30</v>
      </c>
      <c r="I2545" s="159">
        <f>I2543</f>
        <v>8.2214999999999996E-2</v>
      </c>
      <c r="J2545" s="160"/>
      <c r="K2545" s="161">
        <f>K2543</f>
        <v>82944</v>
      </c>
      <c r="L2545" s="250">
        <f>L2133</f>
        <v>1</v>
      </c>
      <c r="M2545" s="163" t="str">
        <f>CONCATENATE(H2545," ",F2545,"*",L2545," раз в год","*",I2545,"/",K2545,"чел.")</f>
        <v>30 чел.*1 раз в год*0,082215/82944чел.</v>
      </c>
      <c r="N2545" s="278">
        <f>N2133</f>
        <v>472.33333333333331</v>
      </c>
      <c r="O2545" s="280">
        <f t="shared" si="533"/>
        <v>1.4045E-2</v>
      </c>
      <c r="P2545" s="166"/>
      <c r="Q2545" s="166">
        <f t="shared" si="534"/>
        <v>1164.94848</v>
      </c>
      <c r="R2545" s="71"/>
    </row>
    <row r="2546" spans="1:41" s="109" customFormat="1" x14ac:dyDescent="0.25">
      <c r="A2546" s="358"/>
      <c r="B2546" s="361"/>
      <c r="C2546" s="245" t="s">
        <v>329</v>
      </c>
      <c r="D2546" s="240"/>
      <c r="E2546" s="240"/>
      <c r="F2546" s="240"/>
      <c r="G2546" s="227"/>
      <c r="H2546" s="241"/>
      <c r="I2546" s="206"/>
      <c r="J2546" s="228"/>
      <c r="K2546" s="207"/>
      <c r="L2546" s="257"/>
      <c r="M2546" s="209"/>
      <c r="N2546" s="281"/>
      <c r="O2546" s="279">
        <f>SUM(O2534:O2545)</f>
        <v>1.1016900000000001</v>
      </c>
      <c r="P2546" s="267"/>
      <c r="Q2546" s="166"/>
      <c r="R2546" s="71"/>
      <c r="S2546" s="62"/>
      <c r="T2546" s="62"/>
      <c r="U2546" s="62"/>
      <c r="V2546" s="62"/>
      <c r="W2546" s="62"/>
      <c r="X2546" s="62"/>
      <c r="Y2546" s="62"/>
      <c r="Z2546" s="62"/>
      <c r="AA2546" s="62"/>
      <c r="AB2546" s="62"/>
      <c r="AC2546" s="62"/>
      <c r="AD2546" s="62"/>
      <c r="AE2546" s="62"/>
      <c r="AF2546" s="62"/>
      <c r="AG2546" s="62"/>
      <c r="AH2546" s="62"/>
      <c r="AI2546" s="62"/>
      <c r="AJ2546" s="62"/>
      <c r="AK2546" s="62"/>
      <c r="AL2546" s="62"/>
      <c r="AM2546" s="62"/>
      <c r="AN2546" s="62"/>
      <c r="AO2546" s="62"/>
    </row>
    <row r="2547" spans="1:41" s="61" customFormat="1" ht="31.5" x14ac:dyDescent="0.25">
      <c r="A2547" s="358"/>
      <c r="B2547" s="361"/>
      <c r="C2547" s="252" t="s">
        <v>237</v>
      </c>
      <c r="D2547" s="156" t="s">
        <v>41</v>
      </c>
      <c r="E2547" s="156" t="s">
        <v>61</v>
      </c>
      <c r="F2547" s="156" t="s">
        <v>254</v>
      </c>
      <c r="G2547" s="238">
        <f t="shared" ref="G2547:G2558" si="538">MROUND(H2547*L2547*I2547/K2547,0.00000000001)</f>
        <v>9.9120999999999999E-7</v>
      </c>
      <c r="H2547" s="158">
        <v>1</v>
      </c>
      <c r="I2547" s="159">
        <f>I2545</f>
        <v>8.2214999999999996E-2</v>
      </c>
      <c r="J2547" s="160"/>
      <c r="K2547" s="161">
        <f>K2545</f>
        <v>82944</v>
      </c>
      <c r="L2547" s="250">
        <v>1</v>
      </c>
      <c r="M2547" s="163" t="str">
        <f>CONCATENATE(H2547," ",F2547,"*",I2547,"/",K2547,"чел/час")</f>
        <v>1 автобус*0,082215/82944чел/час</v>
      </c>
      <c r="N2547" s="278">
        <f>N2135</f>
        <v>25724</v>
      </c>
      <c r="O2547" s="280">
        <f t="shared" ref="O2547:O2564" si="539">MROUND(N2547*G2547,0.000001)</f>
        <v>2.5498E-2</v>
      </c>
      <c r="P2547" s="166"/>
      <c r="Q2547" s="166">
        <f t="shared" ref="Q2547:Q2558" si="540">O2547*K2547</f>
        <v>2114.9061120000001</v>
      </c>
      <c r="R2547" s="71"/>
    </row>
    <row r="2548" spans="1:41" s="61" customFormat="1" ht="78.75" x14ac:dyDescent="0.25">
      <c r="A2548" s="358"/>
      <c r="B2548" s="361"/>
      <c r="C2548" s="221" t="s">
        <v>236</v>
      </c>
      <c r="D2548" s="156" t="s">
        <v>19</v>
      </c>
      <c r="E2548" s="181" t="s">
        <v>20</v>
      </c>
      <c r="F2548" s="181" t="s">
        <v>238</v>
      </c>
      <c r="G2548" s="238">
        <f t="shared" si="538"/>
        <v>0</v>
      </c>
      <c r="H2548" s="158"/>
      <c r="I2548" s="159">
        <f>I2545</f>
        <v>8.2214999999999996E-2</v>
      </c>
      <c r="J2548" s="160"/>
      <c r="K2548" s="161">
        <f>K2545</f>
        <v>82944</v>
      </c>
      <c r="L2548" s="250"/>
      <c r="M2548" s="163"/>
      <c r="N2548" s="278"/>
      <c r="O2548" s="280">
        <f t="shared" si="539"/>
        <v>0</v>
      </c>
      <c r="P2548" s="166"/>
      <c r="Q2548" s="166">
        <f t="shared" si="540"/>
        <v>0</v>
      </c>
      <c r="R2548" s="71"/>
    </row>
    <row r="2549" spans="1:41" s="136" customFormat="1" ht="31.5" x14ac:dyDescent="0.25">
      <c r="A2549" s="358"/>
      <c r="B2549" s="361"/>
      <c r="C2549" s="372" t="s">
        <v>81</v>
      </c>
      <c r="D2549" s="156" t="s">
        <v>419</v>
      </c>
      <c r="E2549" s="156" t="s">
        <v>28</v>
      </c>
      <c r="F2549" s="156" t="s">
        <v>439</v>
      </c>
      <c r="G2549" s="238">
        <f t="shared" si="538"/>
        <v>7.929689999999999E-6</v>
      </c>
      <c r="H2549" s="158">
        <f>$H$2137</f>
        <v>8</v>
      </c>
      <c r="I2549" s="159">
        <f>I2548</f>
        <v>8.2214999999999996E-2</v>
      </c>
      <c r="J2549" s="160"/>
      <c r="K2549" s="161">
        <f>K2548</f>
        <v>82944</v>
      </c>
      <c r="L2549" s="250">
        <v>1</v>
      </c>
      <c r="M2549" s="163" t="str">
        <f>CONCATENATE(H2549," ",F2549,"*",I2549,"/",K2549,"чел/час")</f>
        <v>8 шт (потребность учреждений) *0,082215/82944чел/час</v>
      </c>
      <c r="N2549" s="278">
        <f>$N$2137</f>
        <v>33750</v>
      </c>
      <c r="O2549" s="280">
        <f t="shared" si="539"/>
        <v>0.267627</v>
      </c>
      <c r="P2549" s="166"/>
      <c r="Q2549" s="166">
        <f t="shared" si="540"/>
        <v>22198.053887999999</v>
      </c>
      <c r="R2549" s="71"/>
      <c r="S2549" s="61"/>
      <c r="T2549" s="71"/>
      <c r="U2549" s="61"/>
      <c r="V2549" s="61"/>
      <c r="W2549" s="61"/>
      <c r="X2549" s="61"/>
      <c r="Y2549" s="61"/>
      <c r="Z2549" s="61"/>
      <c r="AA2549" s="61"/>
      <c r="AB2549" s="61"/>
      <c r="AC2549" s="61"/>
      <c r="AD2549" s="61"/>
      <c r="AE2549" s="61"/>
      <c r="AF2549" s="61"/>
      <c r="AG2549" s="61"/>
      <c r="AH2549" s="61"/>
      <c r="AI2549" s="61"/>
      <c r="AJ2549" s="61"/>
      <c r="AK2549" s="61"/>
      <c r="AL2549" s="61"/>
      <c r="AM2549" s="61"/>
      <c r="AN2549" s="61"/>
      <c r="AO2549" s="61"/>
    </row>
    <row r="2550" spans="1:41" s="136" customFormat="1" ht="31.5" x14ac:dyDescent="0.25">
      <c r="A2550" s="358"/>
      <c r="B2550" s="361"/>
      <c r="C2550" s="373"/>
      <c r="D2550" s="156" t="s">
        <v>425</v>
      </c>
      <c r="E2550" s="156" t="s">
        <v>28</v>
      </c>
      <c r="F2550" s="156" t="s">
        <v>439</v>
      </c>
      <c r="G2550" s="238">
        <f t="shared" si="538"/>
        <v>2.9736299999999998E-6</v>
      </c>
      <c r="H2550" s="158">
        <f>$H$2138</f>
        <v>3</v>
      </c>
      <c r="I2550" s="159">
        <f t="shared" ref="I2550:I2558" si="541">I2549</f>
        <v>8.2214999999999996E-2</v>
      </c>
      <c r="J2550" s="160"/>
      <c r="K2550" s="161">
        <f t="shared" ref="K2550:K2558" si="542">K2549</f>
        <v>82944</v>
      </c>
      <c r="L2550" s="250">
        <v>1</v>
      </c>
      <c r="M2550" s="163" t="str">
        <f t="shared" ref="M2550:M2558" si="543">CONCATENATE(H2550," ",F2550,"*",I2550,"/",K2550,"чел/час")</f>
        <v>3 шт (потребность учреждений) *0,082215/82944чел/час</v>
      </c>
      <c r="N2550" s="278">
        <f>$N$2138</f>
        <v>12000</v>
      </c>
      <c r="O2550" s="280">
        <f t="shared" si="539"/>
        <v>3.5684E-2</v>
      </c>
      <c r="P2550" s="166"/>
      <c r="Q2550" s="166">
        <f t="shared" si="540"/>
        <v>2959.7736960000002</v>
      </c>
      <c r="R2550" s="71"/>
      <c r="S2550" s="61"/>
      <c r="T2550" s="71"/>
      <c r="U2550" s="61"/>
      <c r="V2550" s="61"/>
      <c r="W2550" s="61"/>
      <c r="X2550" s="61"/>
      <c r="Y2550" s="61"/>
      <c r="Z2550" s="61"/>
      <c r="AA2550" s="61"/>
      <c r="AB2550" s="61"/>
      <c r="AC2550" s="61"/>
      <c r="AD2550" s="61"/>
      <c r="AE2550" s="61"/>
      <c r="AF2550" s="61"/>
      <c r="AG2550" s="61"/>
      <c r="AH2550" s="61"/>
      <c r="AI2550" s="61"/>
      <c r="AJ2550" s="61"/>
      <c r="AK2550" s="61"/>
      <c r="AL2550" s="61"/>
      <c r="AM2550" s="61"/>
      <c r="AN2550" s="61"/>
      <c r="AO2550" s="61"/>
    </row>
    <row r="2551" spans="1:41" s="136" customFormat="1" ht="31.5" x14ac:dyDescent="0.25">
      <c r="A2551" s="358"/>
      <c r="B2551" s="361"/>
      <c r="C2551" s="373"/>
      <c r="D2551" s="156" t="s">
        <v>426</v>
      </c>
      <c r="E2551" s="156" t="s">
        <v>28</v>
      </c>
      <c r="F2551" s="156" t="s">
        <v>439</v>
      </c>
      <c r="G2551" s="238">
        <f t="shared" si="538"/>
        <v>2.0815429999999999E-5</v>
      </c>
      <c r="H2551" s="158">
        <f>$H$2139</f>
        <v>21</v>
      </c>
      <c r="I2551" s="159">
        <f t="shared" si="541"/>
        <v>8.2214999999999996E-2</v>
      </c>
      <c r="J2551" s="160"/>
      <c r="K2551" s="161">
        <f t="shared" si="542"/>
        <v>82944</v>
      </c>
      <c r="L2551" s="250">
        <v>1</v>
      </c>
      <c r="M2551" s="163" t="str">
        <f t="shared" si="543"/>
        <v>21 шт (потребность учреждений) *0,082215/82944чел/час</v>
      </c>
      <c r="N2551" s="278">
        <f>$N$2139</f>
        <v>9714.2857142857138</v>
      </c>
      <c r="O2551" s="280">
        <f t="shared" si="539"/>
        <v>0.202207</v>
      </c>
      <c r="P2551" s="166"/>
      <c r="Q2551" s="166">
        <f t="shared" si="540"/>
        <v>16771.857408</v>
      </c>
      <c r="R2551" s="71"/>
      <c r="S2551" s="61"/>
      <c r="T2551" s="71"/>
      <c r="U2551" s="61"/>
      <c r="V2551" s="61"/>
      <c r="W2551" s="61"/>
      <c r="X2551" s="61"/>
      <c r="Y2551" s="61"/>
      <c r="Z2551" s="61"/>
      <c r="AA2551" s="61"/>
      <c r="AB2551" s="61"/>
      <c r="AC2551" s="61"/>
      <c r="AD2551" s="61"/>
      <c r="AE2551" s="61"/>
      <c r="AF2551" s="61"/>
      <c r="AG2551" s="61"/>
      <c r="AH2551" s="61"/>
      <c r="AI2551" s="61"/>
      <c r="AJ2551" s="61"/>
      <c r="AK2551" s="61"/>
      <c r="AL2551" s="61"/>
      <c r="AM2551" s="61"/>
      <c r="AN2551" s="61"/>
      <c r="AO2551" s="61"/>
    </row>
    <row r="2552" spans="1:41" s="136" customFormat="1" ht="31.5" x14ac:dyDescent="0.25">
      <c r="A2552" s="358"/>
      <c r="B2552" s="361"/>
      <c r="C2552" s="373"/>
      <c r="D2552" s="156" t="s">
        <v>427</v>
      </c>
      <c r="E2552" s="156" t="s">
        <v>28</v>
      </c>
      <c r="F2552" s="156" t="s">
        <v>439</v>
      </c>
      <c r="G2552" s="238">
        <f t="shared" si="538"/>
        <v>4.9560549999999998E-5</v>
      </c>
      <c r="H2552" s="158">
        <f>$H$2140</f>
        <v>50</v>
      </c>
      <c r="I2552" s="159">
        <f t="shared" si="541"/>
        <v>8.2214999999999996E-2</v>
      </c>
      <c r="J2552" s="160"/>
      <c r="K2552" s="161">
        <f t="shared" si="542"/>
        <v>82944</v>
      </c>
      <c r="L2552" s="250">
        <v>1</v>
      </c>
      <c r="M2552" s="163" t="str">
        <f t="shared" si="543"/>
        <v>50 шт (потребность учреждений) *0,082215/82944чел/час</v>
      </c>
      <c r="N2552" s="278">
        <f>$N$2140</f>
        <v>4400</v>
      </c>
      <c r="O2552" s="280">
        <f t="shared" si="539"/>
        <v>0.21806599999999998</v>
      </c>
      <c r="P2552" s="166"/>
      <c r="Q2552" s="166">
        <f t="shared" si="540"/>
        <v>18087.266303999997</v>
      </c>
      <c r="R2552" s="71"/>
      <c r="S2552" s="61"/>
      <c r="T2552" s="71"/>
      <c r="U2552" s="61"/>
      <c r="V2552" s="61"/>
      <c r="W2552" s="61"/>
      <c r="X2552" s="61"/>
      <c r="Y2552" s="61"/>
      <c r="Z2552" s="61"/>
      <c r="AA2552" s="61"/>
      <c r="AB2552" s="61"/>
      <c r="AC2552" s="61"/>
      <c r="AD2552" s="61"/>
      <c r="AE2552" s="61"/>
      <c r="AF2552" s="61"/>
      <c r="AG2552" s="61"/>
      <c r="AH2552" s="61"/>
      <c r="AI2552" s="61"/>
      <c r="AJ2552" s="61"/>
      <c r="AK2552" s="61"/>
      <c r="AL2552" s="61"/>
      <c r="AM2552" s="61"/>
      <c r="AN2552" s="61"/>
      <c r="AO2552" s="61"/>
    </row>
    <row r="2553" spans="1:41" s="136" customFormat="1" ht="31.5" x14ac:dyDescent="0.25">
      <c r="A2553" s="358"/>
      <c r="B2553" s="361"/>
      <c r="C2553" s="373"/>
      <c r="D2553" s="156" t="s">
        <v>428</v>
      </c>
      <c r="E2553" s="156" t="s">
        <v>28</v>
      </c>
      <c r="F2553" s="156" t="s">
        <v>439</v>
      </c>
      <c r="G2553" s="238">
        <f t="shared" si="538"/>
        <v>1.0506835999999999E-4</v>
      </c>
      <c r="H2553" s="158">
        <f>$H$2141</f>
        <v>106</v>
      </c>
      <c r="I2553" s="159">
        <f t="shared" si="541"/>
        <v>8.2214999999999996E-2</v>
      </c>
      <c r="J2553" s="160"/>
      <c r="K2553" s="161">
        <f t="shared" si="542"/>
        <v>82944</v>
      </c>
      <c r="L2553" s="250">
        <v>1</v>
      </c>
      <c r="M2553" s="163" t="str">
        <f t="shared" si="543"/>
        <v>106 шт (потребность учреждений) *0,082215/82944чел/час</v>
      </c>
      <c r="N2553" s="278">
        <f>N$2141</f>
        <v>4037.7358490566039</v>
      </c>
      <c r="O2553" s="280">
        <f t="shared" si="539"/>
        <v>0.424238</v>
      </c>
      <c r="P2553" s="166"/>
      <c r="Q2553" s="166">
        <f t="shared" si="540"/>
        <v>35187.996672000001</v>
      </c>
      <c r="R2553" s="71"/>
      <c r="S2553" s="61"/>
      <c r="T2553" s="71"/>
      <c r="U2553" s="61"/>
      <c r="V2553" s="61"/>
      <c r="W2553" s="61"/>
      <c r="X2553" s="61"/>
      <c r="Y2553" s="61"/>
      <c r="Z2553" s="61"/>
      <c r="AA2553" s="61"/>
      <c r="AB2553" s="61"/>
      <c r="AC2553" s="61"/>
      <c r="AD2553" s="61"/>
      <c r="AE2553" s="61"/>
      <c r="AF2553" s="61"/>
      <c r="AG2553" s="61"/>
      <c r="AH2553" s="61"/>
      <c r="AI2553" s="61"/>
      <c r="AJ2553" s="61"/>
      <c r="AK2553" s="61"/>
      <c r="AL2553" s="61"/>
      <c r="AM2553" s="61"/>
      <c r="AN2553" s="61"/>
      <c r="AO2553" s="61"/>
    </row>
    <row r="2554" spans="1:41" s="136" customFormat="1" ht="31.5" x14ac:dyDescent="0.25">
      <c r="A2554" s="358"/>
      <c r="B2554" s="361"/>
      <c r="C2554" s="373"/>
      <c r="D2554" s="156" t="s">
        <v>429</v>
      </c>
      <c r="E2554" s="156" t="s">
        <v>28</v>
      </c>
      <c r="F2554" s="156" t="s">
        <v>439</v>
      </c>
      <c r="G2554" s="238">
        <f t="shared" si="538"/>
        <v>2.5771479999999997E-5</v>
      </c>
      <c r="H2554" s="158">
        <f>$H$2142</f>
        <v>26</v>
      </c>
      <c r="I2554" s="159">
        <f t="shared" si="541"/>
        <v>8.2214999999999996E-2</v>
      </c>
      <c r="J2554" s="160"/>
      <c r="K2554" s="161">
        <f t="shared" si="542"/>
        <v>82944</v>
      </c>
      <c r="L2554" s="250">
        <v>1</v>
      </c>
      <c r="M2554" s="163" t="str">
        <f t="shared" si="543"/>
        <v>26 шт (потребность учреждений) *0,082215/82944чел/час</v>
      </c>
      <c r="N2554" s="278">
        <f>$N$2142</f>
        <v>39807.692307692305</v>
      </c>
      <c r="O2554" s="280">
        <f t="shared" si="539"/>
        <v>1.025903</v>
      </c>
      <c r="P2554" s="166"/>
      <c r="Q2554" s="166">
        <f t="shared" si="540"/>
        <v>85092.498432000008</v>
      </c>
      <c r="R2554" s="71"/>
      <c r="S2554" s="61"/>
      <c r="T2554" s="71"/>
      <c r="U2554" s="61"/>
      <c r="V2554" s="61"/>
      <c r="W2554" s="61"/>
      <c r="X2554" s="61"/>
      <c r="Y2554" s="61"/>
      <c r="Z2554" s="61"/>
      <c r="AA2554" s="61"/>
      <c r="AB2554" s="61"/>
      <c r="AC2554" s="61"/>
      <c r="AD2554" s="61"/>
      <c r="AE2554" s="61"/>
      <c r="AF2554" s="61"/>
      <c r="AG2554" s="61"/>
      <c r="AH2554" s="61"/>
      <c r="AI2554" s="61"/>
      <c r="AJ2554" s="61"/>
      <c r="AK2554" s="61"/>
      <c r="AL2554" s="61"/>
      <c r="AM2554" s="61"/>
      <c r="AN2554" s="61"/>
      <c r="AO2554" s="61"/>
    </row>
    <row r="2555" spans="1:41" s="136" customFormat="1" ht="31.5" x14ac:dyDescent="0.25">
      <c r="A2555" s="358"/>
      <c r="B2555" s="361"/>
      <c r="C2555" s="373"/>
      <c r="D2555" s="156" t="s">
        <v>110</v>
      </c>
      <c r="E2555" s="156" t="s">
        <v>28</v>
      </c>
      <c r="F2555" s="156" t="s">
        <v>439</v>
      </c>
      <c r="G2555" s="238">
        <f t="shared" si="538"/>
        <v>2.4780269999999998E-5</v>
      </c>
      <c r="H2555" s="158">
        <f>$H$2143</f>
        <v>25</v>
      </c>
      <c r="I2555" s="159">
        <f t="shared" si="541"/>
        <v>8.2214999999999996E-2</v>
      </c>
      <c r="J2555" s="160"/>
      <c r="K2555" s="161">
        <f t="shared" si="542"/>
        <v>82944</v>
      </c>
      <c r="L2555" s="250">
        <v>1</v>
      </c>
      <c r="M2555" s="163" t="str">
        <f t="shared" si="543"/>
        <v>25 шт (потребность учреждений) *0,082215/82944чел/час</v>
      </c>
      <c r="N2555" s="278">
        <f>$N$2143</f>
        <v>53600</v>
      </c>
      <c r="O2555" s="280">
        <f t="shared" si="539"/>
        <v>1.328222</v>
      </c>
      <c r="P2555" s="166"/>
      <c r="Q2555" s="166">
        <f t="shared" si="540"/>
        <v>110168.045568</v>
      </c>
      <c r="R2555" s="71"/>
      <c r="S2555" s="61"/>
      <c r="T2555" s="71"/>
      <c r="U2555" s="61"/>
      <c r="V2555" s="61"/>
      <c r="W2555" s="61"/>
      <c r="X2555" s="61"/>
      <c r="Y2555" s="61"/>
      <c r="Z2555" s="61"/>
      <c r="AA2555" s="61"/>
      <c r="AB2555" s="61"/>
      <c r="AC2555" s="61"/>
      <c r="AD2555" s="61"/>
      <c r="AE2555" s="61"/>
      <c r="AF2555" s="61"/>
      <c r="AG2555" s="61"/>
      <c r="AH2555" s="61"/>
      <c r="AI2555" s="61"/>
      <c r="AJ2555" s="61"/>
      <c r="AK2555" s="61"/>
      <c r="AL2555" s="61"/>
      <c r="AM2555" s="61"/>
      <c r="AN2555" s="61"/>
      <c r="AO2555" s="61"/>
    </row>
    <row r="2556" spans="1:41" s="136" customFormat="1" ht="31.5" x14ac:dyDescent="0.25">
      <c r="A2556" s="358"/>
      <c r="B2556" s="361"/>
      <c r="C2556" s="373"/>
      <c r="D2556" s="156" t="s">
        <v>112</v>
      </c>
      <c r="E2556" s="156" t="s">
        <v>28</v>
      </c>
      <c r="F2556" s="156" t="s">
        <v>439</v>
      </c>
      <c r="G2556" s="238">
        <f t="shared" si="538"/>
        <v>4.9560499999999998E-6</v>
      </c>
      <c r="H2556" s="158">
        <f>$H$2144</f>
        <v>5</v>
      </c>
      <c r="I2556" s="159">
        <f t="shared" si="541"/>
        <v>8.2214999999999996E-2</v>
      </c>
      <c r="J2556" s="160"/>
      <c r="K2556" s="161">
        <f t="shared" si="542"/>
        <v>82944</v>
      </c>
      <c r="L2556" s="250">
        <v>1</v>
      </c>
      <c r="M2556" s="163" t="str">
        <f t="shared" si="543"/>
        <v>5 шт (потребность учреждений) *0,082215/82944чел/час</v>
      </c>
      <c r="N2556" s="278">
        <f>$N$2144</f>
        <v>33000</v>
      </c>
      <c r="O2556" s="280">
        <f t="shared" si="539"/>
        <v>0.16355</v>
      </c>
      <c r="P2556" s="166"/>
      <c r="Q2556" s="166">
        <f t="shared" si="540"/>
        <v>13565.4912</v>
      </c>
      <c r="R2556" s="71"/>
      <c r="S2556" s="61"/>
      <c r="T2556" s="71"/>
      <c r="U2556" s="61"/>
      <c r="V2556" s="61"/>
      <c r="W2556" s="61"/>
      <c r="X2556" s="61"/>
      <c r="Y2556" s="61"/>
      <c r="Z2556" s="61"/>
      <c r="AA2556" s="61"/>
      <c r="AB2556" s="61"/>
      <c r="AC2556" s="61"/>
      <c r="AD2556" s="61"/>
      <c r="AE2556" s="61"/>
      <c r="AF2556" s="61"/>
      <c r="AG2556" s="61"/>
      <c r="AH2556" s="61"/>
      <c r="AI2556" s="61"/>
      <c r="AJ2556" s="61"/>
      <c r="AK2556" s="61"/>
      <c r="AL2556" s="61"/>
      <c r="AM2556" s="61"/>
      <c r="AN2556" s="61"/>
      <c r="AO2556" s="61"/>
    </row>
    <row r="2557" spans="1:41" s="136" customFormat="1" ht="31.5" x14ac:dyDescent="0.25">
      <c r="A2557" s="358"/>
      <c r="B2557" s="361"/>
      <c r="C2557" s="373"/>
      <c r="D2557" s="156" t="s">
        <v>111</v>
      </c>
      <c r="E2557" s="156" t="s">
        <v>28</v>
      </c>
      <c r="F2557" s="156" t="s">
        <v>439</v>
      </c>
      <c r="G2557" s="238">
        <f t="shared" si="538"/>
        <v>7.2358400000000002E-5</v>
      </c>
      <c r="H2557" s="158">
        <f>$H$2145</f>
        <v>73</v>
      </c>
      <c r="I2557" s="159">
        <f t="shared" si="541"/>
        <v>8.2214999999999996E-2</v>
      </c>
      <c r="J2557" s="160"/>
      <c r="K2557" s="161">
        <f t="shared" si="542"/>
        <v>82944</v>
      </c>
      <c r="L2557" s="250">
        <v>1</v>
      </c>
      <c r="M2557" s="163" t="str">
        <f t="shared" si="543"/>
        <v>73 шт (потребность учреждений) *0,082215/82944чел/час</v>
      </c>
      <c r="N2557" s="278">
        <f>$N$2145</f>
        <v>50616.438356164384</v>
      </c>
      <c r="O2557" s="280">
        <f t="shared" si="539"/>
        <v>3.6625239999999999</v>
      </c>
      <c r="P2557" s="166"/>
      <c r="Q2557" s="166">
        <f t="shared" si="540"/>
        <v>303784.390656</v>
      </c>
      <c r="R2557" s="71"/>
      <c r="S2557" s="61"/>
      <c r="T2557" s="71"/>
      <c r="U2557" s="61"/>
      <c r="V2557" s="61"/>
      <c r="W2557" s="61"/>
      <c r="X2557" s="61"/>
      <c r="Y2557" s="61"/>
      <c r="Z2557" s="61"/>
      <c r="AA2557" s="61"/>
      <c r="AB2557" s="61"/>
      <c r="AC2557" s="61"/>
      <c r="AD2557" s="61"/>
      <c r="AE2557" s="61"/>
      <c r="AF2557" s="61"/>
      <c r="AG2557" s="61"/>
      <c r="AH2557" s="61"/>
      <c r="AI2557" s="61"/>
      <c r="AJ2557" s="61"/>
      <c r="AK2557" s="61"/>
      <c r="AL2557" s="61"/>
      <c r="AM2557" s="61"/>
      <c r="AN2557" s="61"/>
      <c r="AO2557" s="61"/>
    </row>
    <row r="2558" spans="1:41" s="136" customFormat="1" ht="31.5" x14ac:dyDescent="0.25">
      <c r="A2558" s="358"/>
      <c r="B2558" s="361"/>
      <c r="C2558" s="374"/>
      <c r="D2558" s="156" t="s">
        <v>438</v>
      </c>
      <c r="E2558" s="156" t="s">
        <v>28</v>
      </c>
      <c r="F2558" s="156" t="s">
        <v>439</v>
      </c>
      <c r="G2558" s="238">
        <f t="shared" si="538"/>
        <v>3.2709960000000001E-5</v>
      </c>
      <c r="H2558" s="158">
        <f>$H$2146</f>
        <v>33</v>
      </c>
      <c r="I2558" s="159">
        <f t="shared" si="541"/>
        <v>8.2214999999999996E-2</v>
      </c>
      <c r="J2558" s="160"/>
      <c r="K2558" s="161">
        <f t="shared" si="542"/>
        <v>82944</v>
      </c>
      <c r="L2558" s="250">
        <v>1</v>
      </c>
      <c r="M2558" s="163" t="str">
        <f t="shared" si="543"/>
        <v>33 шт (потребность учреждений) *0,082215/82944чел/час</v>
      </c>
      <c r="N2558" s="278">
        <f>$N$2146</f>
        <v>25000</v>
      </c>
      <c r="O2558" s="280">
        <f t="shared" si="539"/>
        <v>0.81774899999999995</v>
      </c>
      <c r="P2558" s="166"/>
      <c r="Q2558" s="166">
        <f t="shared" si="540"/>
        <v>67827.373055999997</v>
      </c>
      <c r="R2558" s="71"/>
      <c r="S2558" s="61"/>
      <c r="T2558" s="71"/>
      <c r="U2558" s="61"/>
      <c r="V2558" s="61"/>
      <c r="W2558" s="61"/>
      <c r="X2558" s="61"/>
      <c r="Y2558" s="61"/>
      <c r="Z2558" s="61"/>
      <c r="AA2558" s="61"/>
      <c r="AB2558" s="61"/>
      <c r="AC2558" s="61"/>
      <c r="AD2558" s="61"/>
      <c r="AE2558" s="61"/>
      <c r="AF2558" s="61"/>
      <c r="AG2558" s="61"/>
      <c r="AH2558" s="61"/>
      <c r="AI2558" s="61"/>
      <c r="AJ2558" s="61"/>
      <c r="AK2558" s="61"/>
      <c r="AL2558" s="61"/>
      <c r="AM2558" s="61"/>
      <c r="AN2558" s="61"/>
      <c r="AO2558" s="61"/>
    </row>
    <row r="2559" spans="1:41" s="61" customFormat="1" x14ac:dyDescent="0.25">
      <c r="A2559" s="358"/>
      <c r="B2559" s="361"/>
      <c r="C2559" s="245" t="s">
        <v>299</v>
      </c>
      <c r="D2559" s="240"/>
      <c r="E2559" s="240"/>
      <c r="F2559" s="181"/>
      <c r="G2559" s="227"/>
      <c r="H2559" s="241"/>
      <c r="I2559" s="206"/>
      <c r="J2559" s="228"/>
      <c r="K2559" s="207"/>
      <c r="L2559" s="257"/>
      <c r="M2559" s="209"/>
      <c r="N2559" s="290"/>
      <c r="O2559" s="279">
        <f>SUM(O2547:O2558)</f>
        <v>8.1712679999999995</v>
      </c>
      <c r="P2559" s="166"/>
      <c r="Q2559" s="166">
        <f>O2559*K2559</f>
        <v>0</v>
      </c>
      <c r="R2559" s="71"/>
    </row>
    <row r="2560" spans="1:41" s="61" customFormat="1" ht="47.25" x14ac:dyDescent="0.25">
      <c r="A2560" s="358"/>
      <c r="B2560" s="361"/>
      <c r="C2560" s="221" t="s">
        <v>434</v>
      </c>
      <c r="D2560" s="156" t="s">
        <v>436</v>
      </c>
      <c r="E2560" s="156" t="s">
        <v>28</v>
      </c>
      <c r="F2560" s="156" t="s">
        <v>437</v>
      </c>
      <c r="G2560" s="238">
        <f>MROUND(H2560*L2560*I2560/K2560,0.00000000001)</f>
        <v>2.5771479999999997E-5</v>
      </c>
      <c r="H2560" s="242">
        <f>$H$2148</f>
        <v>26</v>
      </c>
      <c r="I2560" s="159">
        <f>I2558</f>
        <v>8.2214999999999996E-2</v>
      </c>
      <c r="J2560" s="160"/>
      <c r="K2560" s="161">
        <f>K2558</f>
        <v>82944</v>
      </c>
      <c r="L2560" s="162">
        <v>1</v>
      </c>
      <c r="M2560" s="163" t="str">
        <f>CONCATENATE(H2560," ",F2560,"*",I2560,"/",K2560,"чел.")</f>
        <v>26 огнетушителей (потребность учреждений) *0,082215/82944чел.</v>
      </c>
      <c r="N2560" s="164">
        <f>$N$2148</f>
        <v>2180</v>
      </c>
      <c r="O2560" s="165">
        <f>MROUND(G2560*N2560,0.000001)</f>
        <v>5.6181999999999996E-2</v>
      </c>
      <c r="P2560" s="166"/>
      <c r="Q2560" s="166">
        <f>O2560*K2560</f>
        <v>4659.9598079999996</v>
      </c>
      <c r="R2560" s="71"/>
    </row>
    <row r="2561" spans="1:41" s="61" customFormat="1" x14ac:dyDescent="0.25">
      <c r="A2561" s="358"/>
      <c r="B2561" s="361"/>
      <c r="C2561" s="218" t="s">
        <v>435</v>
      </c>
      <c r="D2561" s="240"/>
      <c r="E2561" s="240"/>
      <c r="F2561" s="240"/>
      <c r="G2561" s="251"/>
      <c r="H2561" s="241"/>
      <c r="I2561" s="206"/>
      <c r="J2561" s="228"/>
      <c r="K2561" s="207"/>
      <c r="L2561" s="229"/>
      <c r="M2561" s="209"/>
      <c r="N2561" s="210"/>
      <c r="O2561" s="198">
        <f>SUM(O2560)</f>
        <v>5.6181999999999996E-2</v>
      </c>
      <c r="P2561" s="166"/>
      <c r="Q2561" s="166"/>
      <c r="R2561" s="71"/>
    </row>
    <row r="2562" spans="1:41" s="61" customFormat="1" ht="110.25" x14ac:dyDescent="0.25">
      <c r="A2562" s="358"/>
      <c r="B2562" s="361"/>
      <c r="C2562" s="221" t="s">
        <v>82</v>
      </c>
      <c r="D2562" s="156" t="s">
        <v>46</v>
      </c>
      <c r="E2562" s="156" t="s">
        <v>54</v>
      </c>
      <c r="F2562" s="156" t="s">
        <v>285</v>
      </c>
      <c r="G2562" s="238">
        <f>MROUND(H2562*L2562*I2562/K2562,0.00000000001)</f>
        <v>2.5275878899999999E-3</v>
      </c>
      <c r="H2562" s="158">
        <f>H2254</f>
        <v>231.81818181818178</v>
      </c>
      <c r="I2562" s="159">
        <f>I2548</f>
        <v>8.2214999999999996E-2</v>
      </c>
      <c r="J2562" s="160"/>
      <c r="K2562" s="161">
        <f>K2548</f>
        <v>82944</v>
      </c>
      <c r="L2562" s="250">
        <f>$L$2150</f>
        <v>11</v>
      </c>
      <c r="M2562" s="163" t="str">
        <f>CONCATENATE(H2562," ",F2562,"*",L2562,"автобус","*",I2562,"/",K2562,"чел/час")</f>
        <v>231,818181818182 л бензина АИ 92 (12,5л/день(зимой)*20дней*7мес+10л/день(летом)*20дней*4мес)*11автобус*0,082215/82944чел/час</v>
      </c>
      <c r="N2562" s="278">
        <f>N2254</f>
        <v>54.500000000000007</v>
      </c>
      <c r="O2562" s="280">
        <f t="shared" si="539"/>
        <v>0.13775399999999999</v>
      </c>
      <c r="P2562" s="166"/>
      <c r="Q2562" s="166">
        <f>O2562*K2562</f>
        <v>11425.867775999999</v>
      </c>
      <c r="R2562" s="71"/>
    </row>
    <row r="2563" spans="1:41" s="61" customFormat="1" ht="47.25" x14ac:dyDescent="0.25">
      <c r="A2563" s="358"/>
      <c r="B2563" s="361"/>
      <c r="C2563" s="364" t="s">
        <v>118</v>
      </c>
      <c r="D2563" s="156" t="s">
        <v>47</v>
      </c>
      <c r="E2563" s="156" t="s">
        <v>28</v>
      </c>
      <c r="F2563" s="156" t="s">
        <v>239</v>
      </c>
      <c r="G2563" s="238">
        <f>MROUND(H2563*L2563*I2563/K2563,0.00000000001)</f>
        <v>1.982422E-5</v>
      </c>
      <c r="H2563" s="158">
        <f>H2151</f>
        <v>20</v>
      </c>
      <c r="I2563" s="159">
        <f>I2562</f>
        <v>8.2214999999999996E-2</v>
      </c>
      <c r="J2563" s="160"/>
      <c r="K2563" s="161">
        <f>K2562</f>
        <v>82944</v>
      </c>
      <c r="L2563" s="250">
        <v>1</v>
      </c>
      <c r="M2563" s="163" t="str">
        <f>CONCATENATE(H2563," ",F2563,"*",I2563,"/",K2563,"чел/час")</f>
        <v>20 манометров (потребность учреждений) *0,082215/82944чел/час</v>
      </c>
      <c r="N2563" s="278">
        <f>N2151</f>
        <v>650</v>
      </c>
      <c r="O2563" s="280">
        <f t="shared" si="539"/>
        <v>1.2886E-2</v>
      </c>
      <c r="P2563" s="166"/>
      <c r="Q2563" s="166">
        <f>O2563*K2563</f>
        <v>1068.816384</v>
      </c>
      <c r="R2563" s="71"/>
    </row>
    <row r="2564" spans="1:41" s="61" customFormat="1" ht="47.25" x14ac:dyDescent="0.25">
      <c r="A2564" s="358"/>
      <c r="B2564" s="361"/>
      <c r="C2564" s="364"/>
      <c r="D2564" s="255" t="s">
        <v>113</v>
      </c>
      <c r="E2564" s="156" t="s">
        <v>28</v>
      </c>
      <c r="F2564" s="156" t="s">
        <v>240</v>
      </c>
      <c r="G2564" s="238">
        <f>MROUND(H2564*L2564*I2564/K2564,0.00000000001)</f>
        <v>9.9121089999999995E-5</v>
      </c>
      <c r="H2564" s="158">
        <v>100</v>
      </c>
      <c r="I2564" s="159">
        <f>I2563</f>
        <v>8.2214999999999996E-2</v>
      </c>
      <c r="J2564" s="160"/>
      <c r="K2564" s="161">
        <f>K2563</f>
        <v>82944</v>
      </c>
      <c r="L2564" s="250">
        <v>1</v>
      </c>
      <c r="M2564" s="163" t="str">
        <f>CONCATENATE(H2564," ",F2564,"*",I2564,"/",K2564,"чел/час")</f>
        <v>100 светильников (потребность учреждений)*0,082215/82944чел/час</v>
      </c>
      <c r="N2564" s="278">
        <f>N2152</f>
        <v>106.27500000000001</v>
      </c>
      <c r="O2564" s="280">
        <f t="shared" si="539"/>
        <v>1.0534E-2</v>
      </c>
      <c r="P2564" s="166"/>
      <c r="Q2564" s="166">
        <f>O2564*K2564</f>
        <v>873.73209599999996</v>
      </c>
      <c r="R2564" s="71"/>
    </row>
    <row r="2565" spans="1:41" s="109" customFormat="1" x14ac:dyDescent="0.25">
      <c r="A2565" s="359"/>
      <c r="B2565" s="362"/>
      <c r="C2565" s="218" t="s">
        <v>301</v>
      </c>
      <c r="D2565" s="256"/>
      <c r="E2565" s="240"/>
      <c r="F2565" s="240"/>
      <c r="G2565" s="227"/>
      <c r="H2565" s="241"/>
      <c r="I2565" s="206"/>
      <c r="J2565" s="228"/>
      <c r="K2565" s="207"/>
      <c r="L2565" s="257"/>
      <c r="M2565" s="209"/>
      <c r="N2565" s="281"/>
      <c r="O2565" s="279">
        <f>O2563+O2564</f>
        <v>2.342E-2</v>
      </c>
      <c r="P2565" s="267"/>
      <c r="Q2565" s="166"/>
      <c r="R2565" s="71"/>
      <c r="S2565" s="62"/>
      <c r="T2565" s="62"/>
      <c r="U2565" s="62"/>
      <c r="V2565" s="62"/>
      <c r="W2565" s="62"/>
      <c r="X2565" s="62"/>
      <c r="Y2565" s="62"/>
      <c r="Z2565" s="62"/>
      <c r="AA2565" s="62"/>
      <c r="AB2565" s="62"/>
      <c r="AC2565" s="62"/>
      <c r="AD2565" s="62"/>
      <c r="AE2565" s="62"/>
      <c r="AF2565" s="62"/>
      <c r="AG2565" s="62"/>
      <c r="AH2565" s="62"/>
      <c r="AI2565" s="62"/>
      <c r="AJ2565" s="62"/>
      <c r="AK2565" s="62"/>
      <c r="AL2565" s="62"/>
      <c r="AM2565" s="62"/>
      <c r="AN2565" s="62"/>
      <c r="AO2565" s="62"/>
    </row>
    <row r="2566" spans="1:41" s="108" customFormat="1" x14ac:dyDescent="0.25">
      <c r="A2566" s="357" t="str">
        <f>школы!$B$37</f>
        <v>Реализация дополнительных общеразвивающих программ (социально-гуманитпрная направленность)</v>
      </c>
      <c r="B2566" s="360" t="str">
        <f>школы!$A$37</f>
        <v>801012О.99.0.ББ57АЖ24000</v>
      </c>
      <c r="C2566" s="194"/>
      <c r="D2566" s="363" t="s">
        <v>15</v>
      </c>
      <c r="E2566" s="363"/>
      <c r="F2566" s="363"/>
      <c r="G2566" s="363"/>
      <c r="H2566" s="195"/>
      <c r="I2566" s="195"/>
      <c r="J2566" s="195"/>
      <c r="K2566" s="195"/>
      <c r="L2566" s="196"/>
      <c r="M2566" s="197"/>
      <c r="N2566" s="278"/>
      <c r="O2566" s="279">
        <f>O2567+O2571</f>
        <v>184.39222538000001</v>
      </c>
      <c r="P2566" s="166"/>
      <c r="Q2566" s="166">
        <f t="shared" ref="Q2566:Q2583" si="544">O2566*K2566</f>
        <v>0</v>
      </c>
      <c r="R2566" s="71"/>
      <c r="S2566" s="61"/>
      <c r="T2566" s="61"/>
      <c r="U2566" s="61"/>
      <c r="V2566" s="61"/>
      <c r="W2566" s="61"/>
      <c r="X2566" s="61"/>
      <c r="Y2566" s="61"/>
      <c r="Z2566" s="61"/>
      <c r="AA2566" s="61"/>
      <c r="AB2566" s="61"/>
      <c r="AC2566" s="61"/>
      <c r="AD2566" s="61"/>
      <c r="AE2566" s="61"/>
      <c r="AF2566" s="61"/>
      <c r="AG2566" s="61"/>
      <c r="AH2566" s="61"/>
      <c r="AI2566" s="61"/>
      <c r="AJ2566" s="61"/>
      <c r="AK2566" s="61"/>
      <c r="AL2566" s="61"/>
      <c r="AM2566" s="61"/>
      <c r="AN2566" s="61"/>
      <c r="AO2566" s="61"/>
    </row>
    <row r="2567" spans="1:41" s="108" customFormat="1" x14ac:dyDescent="0.25">
      <c r="A2567" s="358"/>
      <c r="B2567" s="361"/>
      <c r="C2567" s="194"/>
      <c r="D2567" s="350" t="s">
        <v>62</v>
      </c>
      <c r="E2567" s="350"/>
      <c r="F2567" s="350"/>
      <c r="G2567" s="350"/>
      <c r="H2567" s="195"/>
      <c r="I2567" s="195"/>
      <c r="J2567" s="195"/>
      <c r="K2567" s="195"/>
      <c r="L2567" s="196"/>
      <c r="M2567" s="197"/>
      <c r="N2567" s="278"/>
      <c r="O2567" s="279">
        <f>O2568+O2569</f>
        <v>183.28018338000001</v>
      </c>
      <c r="P2567" s="166"/>
      <c r="Q2567" s="166">
        <f t="shared" si="544"/>
        <v>0</v>
      </c>
      <c r="R2567" s="71"/>
      <c r="S2567" s="61"/>
      <c r="T2567" s="61"/>
      <c r="U2567" s="61"/>
      <c r="V2567" s="61"/>
      <c r="W2567" s="61"/>
      <c r="X2567" s="61"/>
      <c r="Y2567" s="61"/>
      <c r="Z2567" s="61"/>
      <c r="AA2567" s="61"/>
      <c r="AB2567" s="61"/>
      <c r="AC2567" s="61"/>
      <c r="AD2567" s="61"/>
      <c r="AE2567" s="61"/>
      <c r="AF2567" s="61"/>
      <c r="AG2567" s="61"/>
      <c r="AH2567" s="61"/>
      <c r="AI2567" s="61"/>
      <c r="AJ2567" s="61"/>
      <c r="AK2567" s="61"/>
      <c r="AL2567" s="61"/>
      <c r="AM2567" s="61"/>
      <c r="AN2567" s="61"/>
      <c r="AO2567" s="61"/>
    </row>
    <row r="2568" spans="1:41" s="61" customFormat="1" ht="31.5" x14ac:dyDescent="0.25">
      <c r="A2568" s="358"/>
      <c r="B2568" s="361"/>
      <c r="C2568" s="194">
        <v>211</v>
      </c>
      <c r="D2568" s="194" t="s">
        <v>86</v>
      </c>
      <c r="E2568" s="199" t="s">
        <v>95</v>
      </c>
      <c r="F2568" s="199" t="s">
        <v>95</v>
      </c>
      <c r="G2568" s="238">
        <f>MROUND(H2568*L2568*I2568/K2568,0.00000000001)</f>
        <v>6.0195462099999998E-3</v>
      </c>
      <c r="H2568" s="201">
        <f>H2052</f>
        <v>368.4</v>
      </c>
      <c r="I2568" s="159">
        <f>школы!$K$37+школы!$K$38</f>
        <v>0.19555899999999998</v>
      </c>
      <c r="J2568" s="159"/>
      <c r="K2568" s="161">
        <f>школы!$G$37+школы!$G$38</f>
        <v>143620</v>
      </c>
      <c r="L2568" s="202">
        <v>12</v>
      </c>
      <c r="M2568" s="163" t="str">
        <f>CONCATENATE(H2568," ",F2568," ","в мес.","*",L2568,"мес.","*",I2568,"/",K2568,"чел/час")</f>
        <v>368,4 шт.ед в мес.*12мес.*0,195559/143620чел/час</v>
      </c>
      <c r="N2568" s="278">
        <f>N2052</f>
        <v>23385.182971407892</v>
      </c>
      <c r="O2568" s="280">
        <f>MROUND(N2568*G2568,0.000001)</f>
        <v>140.76819</v>
      </c>
      <c r="P2568" s="166"/>
      <c r="Q2568" s="166">
        <f t="shared" si="544"/>
        <v>20217127.447799999</v>
      </c>
      <c r="R2568" s="71"/>
    </row>
    <row r="2569" spans="1:41" s="61" customFormat="1" x14ac:dyDescent="0.25">
      <c r="A2569" s="358"/>
      <c r="B2569" s="361"/>
      <c r="C2569" s="194">
        <v>213</v>
      </c>
      <c r="D2569" s="194" t="s">
        <v>87</v>
      </c>
      <c r="E2569" s="194" t="s">
        <v>88</v>
      </c>
      <c r="F2569" s="194"/>
      <c r="G2569" s="211">
        <v>30.2</v>
      </c>
      <c r="H2569" s="159"/>
      <c r="I2569" s="282">
        <f>I2568</f>
        <v>0.19555899999999998</v>
      </c>
      <c r="J2569" s="159"/>
      <c r="K2569" s="161">
        <f>K2568</f>
        <v>143620</v>
      </c>
      <c r="L2569" s="202"/>
      <c r="M2569" s="212"/>
      <c r="N2569" s="278"/>
      <c r="O2569" s="280">
        <f>MROUND(O2568*0.302,0.000000001)</f>
        <v>42.51199338</v>
      </c>
      <c r="P2569" s="166"/>
      <c r="Q2569" s="166">
        <f t="shared" si="544"/>
        <v>6105572.4892355995</v>
      </c>
      <c r="R2569" s="71"/>
    </row>
    <row r="2570" spans="1:41" s="108" customFormat="1" x14ac:dyDescent="0.25">
      <c r="A2570" s="358"/>
      <c r="B2570" s="361"/>
      <c r="C2570" s="194"/>
      <c r="D2570" s="194"/>
      <c r="E2570" s="194"/>
      <c r="F2570" s="194"/>
      <c r="G2570" s="217"/>
      <c r="H2570" s="195"/>
      <c r="I2570" s="159"/>
      <c r="J2570" s="195"/>
      <c r="K2570" s="161"/>
      <c r="L2570" s="196"/>
      <c r="M2570" s="197"/>
      <c r="N2570" s="278"/>
      <c r="O2570" s="280"/>
      <c r="P2570" s="166"/>
      <c r="Q2570" s="166">
        <f t="shared" si="544"/>
        <v>0</v>
      </c>
      <c r="R2570" s="71"/>
      <c r="S2570" s="61"/>
      <c r="T2570" s="61"/>
      <c r="U2570" s="61"/>
      <c r="V2570" s="61"/>
      <c r="W2570" s="61"/>
      <c r="X2570" s="61"/>
      <c r="Y2570" s="61"/>
      <c r="Z2570" s="61"/>
      <c r="AA2570" s="61"/>
      <c r="AB2570" s="61"/>
      <c r="AC2570" s="61"/>
      <c r="AD2570" s="61"/>
      <c r="AE2570" s="61"/>
      <c r="AF2570" s="61"/>
      <c r="AG2570" s="61"/>
      <c r="AH2570" s="61"/>
      <c r="AI2570" s="61"/>
      <c r="AJ2570" s="61"/>
      <c r="AK2570" s="61"/>
      <c r="AL2570" s="61"/>
      <c r="AM2570" s="61"/>
      <c r="AN2570" s="61"/>
      <c r="AO2570" s="61"/>
    </row>
    <row r="2571" spans="1:41" s="108" customFormat="1" x14ac:dyDescent="0.25">
      <c r="A2571" s="358"/>
      <c r="B2571" s="361"/>
      <c r="C2571" s="194"/>
      <c r="D2571" s="356" t="s">
        <v>63</v>
      </c>
      <c r="E2571" s="356"/>
      <c r="F2571" s="356"/>
      <c r="G2571" s="356"/>
      <c r="H2571" s="195"/>
      <c r="I2571" s="159"/>
      <c r="J2571" s="195"/>
      <c r="K2571" s="161"/>
      <c r="L2571" s="196"/>
      <c r="M2571" s="197"/>
      <c r="N2571" s="278"/>
      <c r="O2571" s="280">
        <f>O2572</f>
        <v>1.112042</v>
      </c>
      <c r="P2571" s="166"/>
      <c r="Q2571" s="166">
        <f t="shared" si="544"/>
        <v>0</v>
      </c>
      <c r="R2571" s="71"/>
      <c r="S2571" s="61"/>
      <c r="T2571" s="61"/>
      <c r="U2571" s="61"/>
      <c r="V2571" s="61"/>
      <c r="W2571" s="61"/>
      <c r="X2571" s="61"/>
      <c r="Y2571" s="61"/>
      <c r="Z2571" s="61"/>
      <c r="AA2571" s="61"/>
      <c r="AB2571" s="61"/>
      <c r="AC2571" s="61"/>
      <c r="AD2571" s="61"/>
      <c r="AE2571" s="61"/>
      <c r="AF2571" s="61"/>
      <c r="AG2571" s="61"/>
      <c r="AH2571" s="61"/>
      <c r="AI2571" s="61"/>
      <c r="AJ2571" s="61"/>
      <c r="AK2571" s="61"/>
      <c r="AL2571" s="61"/>
      <c r="AM2571" s="61"/>
      <c r="AN2571" s="61"/>
      <c r="AO2571" s="61"/>
    </row>
    <row r="2572" spans="1:41" s="61" customFormat="1" x14ac:dyDescent="0.25">
      <c r="A2572" s="358"/>
      <c r="B2572" s="361"/>
      <c r="C2572" s="194">
        <v>346</v>
      </c>
      <c r="D2572" s="194" t="s">
        <v>259</v>
      </c>
      <c r="E2572" s="194" t="s">
        <v>260</v>
      </c>
      <c r="F2572" s="194" t="s">
        <v>261</v>
      </c>
      <c r="G2572" s="238">
        <f>MROUND(H2572*L2572*I2572/K2572,0.000000000001)</f>
        <v>1.6503099010000001E-3</v>
      </c>
      <c r="H2572" s="283">
        <f>H2057</f>
        <v>1212</v>
      </c>
      <c r="I2572" s="282">
        <f>I2569</f>
        <v>0.19555899999999998</v>
      </c>
      <c r="J2572" s="195"/>
      <c r="K2572" s="161">
        <f>K2569</f>
        <v>143620</v>
      </c>
      <c r="L2572" s="196">
        <v>1</v>
      </c>
      <c r="M2572" s="163" t="str">
        <f>CONCATENATE(H2572," ",F2572,"*",I2572,"/",K2572,"чел/час")</f>
        <v>1212 упаковок*0,195559/143620чел/час</v>
      </c>
      <c r="N2572" s="278">
        <f>N2057</f>
        <v>673.83800330033012</v>
      </c>
      <c r="O2572" s="280">
        <f>MROUND(N2572*G2572,0.000001)</f>
        <v>1.112042</v>
      </c>
      <c r="P2572" s="166"/>
      <c r="Q2572" s="166">
        <f t="shared" si="544"/>
        <v>159711.47203999999</v>
      </c>
      <c r="R2572" s="71"/>
    </row>
    <row r="2573" spans="1:41" s="108" customFormat="1" x14ac:dyDescent="0.25">
      <c r="A2573" s="358"/>
      <c r="B2573" s="361"/>
      <c r="C2573" s="194"/>
      <c r="D2573" s="350" t="s">
        <v>64</v>
      </c>
      <c r="E2573" s="350"/>
      <c r="F2573" s="350"/>
      <c r="G2573" s="350"/>
      <c r="H2573" s="195"/>
      <c r="I2573" s="159"/>
      <c r="J2573" s="195"/>
      <c r="K2573" s="161"/>
      <c r="L2573" s="196"/>
      <c r="M2573" s="197"/>
      <c r="N2573" s="278"/>
      <c r="O2573" s="280"/>
      <c r="P2573" s="166"/>
      <c r="Q2573" s="166">
        <f t="shared" si="544"/>
        <v>0</v>
      </c>
      <c r="R2573" s="71"/>
      <c r="S2573" s="61"/>
      <c r="T2573" s="61"/>
      <c r="U2573" s="61"/>
      <c r="V2573" s="61"/>
      <c r="W2573" s="61"/>
      <c r="X2573" s="61"/>
      <c r="Y2573" s="61"/>
      <c r="Z2573" s="61"/>
      <c r="AA2573" s="61"/>
      <c r="AB2573" s="61"/>
      <c r="AC2573" s="61"/>
      <c r="AD2573" s="61"/>
      <c r="AE2573" s="61"/>
      <c r="AF2573" s="61"/>
      <c r="AG2573" s="61"/>
      <c r="AH2573" s="61"/>
      <c r="AI2573" s="61"/>
      <c r="AJ2573" s="61"/>
      <c r="AK2573" s="61"/>
      <c r="AL2573" s="61"/>
      <c r="AM2573" s="61"/>
      <c r="AN2573" s="61"/>
      <c r="AO2573" s="61"/>
    </row>
    <row r="2574" spans="1:41" s="108" customFormat="1" x14ac:dyDescent="0.25">
      <c r="A2574" s="358"/>
      <c r="B2574" s="361"/>
      <c r="C2574" s="194"/>
      <c r="D2574" s="194"/>
      <c r="E2574" s="194"/>
      <c r="F2574" s="194"/>
      <c r="G2574" s="217"/>
      <c r="H2574" s="195"/>
      <c r="I2574" s="159"/>
      <c r="J2574" s="195"/>
      <c r="K2574" s="161"/>
      <c r="L2574" s="196"/>
      <c r="M2574" s="197"/>
      <c r="N2574" s="278"/>
      <c r="O2574" s="280"/>
      <c r="P2574" s="166"/>
      <c r="Q2574" s="166">
        <f t="shared" si="544"/>
        <v>0</v>
      </c>
      <c r="R2574" s="71"/>
      <c r="S2574" s="61"/>
      <c r="T2574" s="61"/>
      <c r="U2574" s="61"/>
      <c r="V2574" s="61"/>
      <c r="W2574" s="61"/>
      <c r="X2574" s="61"/>
      <c r="Y2574" s="61"/>
      <c r="Z2574" s="61"/>
      <c r="AA2574" s="61"/>
      <c r="AB2574" s="61"/>
      <c r="AC2574" s="61"/>
      <c r="AD2574" s="61"/>
      <c r="AE2574" s="61"/>
      <c r="AF2574" s="61"/>
      <c r="AG2574" s="61"/>
      <c r="AH2574" s="61"/>
      <c r="AI2574" s="61"/>
      <c r="AJ2574" s="61"/>
      <c r="AK2574" s="61"/>
      <c r="AL2574" s="61"/>
      <c r="AM2574" s="61"/>
      <c r="AN2574" s="61"/>
      <c r="AO2574" s="61"/>
    </row>
    <row r="2575" spans="1:41" s="108" customFormat="1" x14ac:dyDescent="0.25">
      <c r="A2575" s="358"/>
      <c r="B2575" s="361"/>
      <c r="C2575" s="194"/>
      <c r="D2575" s="355" t="s">
        <v>5</v>
      </c>
      <c r="E2575" s="355"/>
      <c r="F2575" s="355"/>
      <c r="G2575" s="355"/>
      <c r="H2575" s="195"/>
      <c r="I2575" s="159"/>
      <c r="J2575" s="195"/>
      <c r="K2575" s="161"/>
      <c r="L2575" s="196"/>
      <c r="M2575" s="197"/>
      <c r="N2575" s="278"/>
      <c r="O2575" s="279">
        <f>O2576+O2585+O2596+O2598+O2609+O2605</f>
        <v>167.81866165300002</v>
      </c>
      <c r="P2575" s="166"/>
      <c r="Q2575" s="166">
        <f t="shared" si="544"/>
        <v>0</v>
      </c>
      <c r="R2575" s="71"/>
      <c r="S2575" s="61"/>
      <c r="T2575" s="61"/>
      <c r="U2575" s="61"/>
      <c r="V2575" s="61"/>
      <c r="W2575" s="61"/>
      <c r="X2575" s="61"/>
      <c r="Y2575" s="61"/>
      <c r="Z2575" s="61"/>
      <c r="AA2575" s="61"/>
      <c r="AB2575" s="61"/>
      <c r="AC2575" s="61"/>
      <c r="AD2575" s="61"/>
      <c r="AE2575" s="61"/>
      <c r="AF2575" s="61"/>
      <c r="AG2575" s="61"/>
      <c r="AH2575" s="61"/>
      <c r="AI2575" s="61"/>
      <c r="AJ2575" s="61"/>
      <c r="AK2575" s="61"/>
      <c r="AL2575" s="61"/>
      <c r="AM2575" s="61"/>
      <c r="AN2575" s="61"/>
      <c r="AO2575" s="61"/>
    </row>
    <row r="2576" spans="1:41" s="108" customFormat="1" x14ac:dyDescent="0.25">
      <c r="A2576" s="358"/>
      <c r="B2576" s="361"/>
      <c r="C2576" s="221" t="s">
        <v>70</v>
      </c>
      <c r="D2576" s="355" t="s">
        <v>6</v>
      </c>
      <c r="E2576" s="355"/>
      <c r="F2576" s="355"/>
      <c r="G2576" s="355"/>
      <c r="H2576" s="189"/>
      <c r="I2576" s="159"/>
      <c r="J2576" s="189"/>
      <c r="K2576" s="161"/>
      <c r="L2576" s="190"/>
      <c r="M2576" s="197"/>
      <c r="N2576" s="278"/>
      <c r="O2576" s="279">
        <f>O2577+O2578+O2579+O2580+O2581+O2582+O2583</f>
        <v>8.6013450000000002</v>
      </c>
      <c r="P2576" s="166"/>
      <c r="Q2576" s="166">
        <f t="shared" si="544"/>
        <v>0</v>
      </c>
      <c r="R2576" s="71"/>
      <c r="S2576" s="61"/>
      <c r="T2576" s="61"/>
      <c r="U2576" s="61"/>
      <c r="V2576" s="61"/>
      <c r="W2576" s="61"/>
      <c r="X2576" s="61"/>
      <c r="Y2576" s="61"/>
      <c r="Z2576" s="61"/>
      <c r="AA2576" s="61"/>
      <c r="AB2576" s="61"/>
      <c r="AC2576" s="61"/>
      <c r="AD2576" s="61"/>
      <c r="AE2576" s="61"/>
      <c r="AF2576" s="61"/>
      <c r="AG2576" s="61"/>
      <c r="AH2576" s="61"/>
      <c r="AI2576" s="61"/>
      <c r="AJ2576" s="61"/>
      <c r="AK2576" s="61"/>
      <c r="AL2576" s="61"/>
      <c r="AM2576" s="61"/>
      <c r="AN2576" s="61"/>
      <c r="AO2576" s="61"/>
    </row>
    <row r="2577" spans="1:41" s="61" customFormat="1" ht="31.5" x14ac:dyDescent="0.25">
      <c r="A2577" s="358"/>
      <c r="B2577" s="361"/>
      <c r="C2577" s="221" t="s">
        <v>72</v>
      </c>
      <c r="D2577" s="222" t="s">
        <v>7</v>
      </c>
      <c r="E2577" s="223" t="s">
        <v>8</v>
      </c>
      <c r="F2577" s="223" t="s">
        <v>8</v>
      </c>
      <c r="G2577" s="238">
        <f t="shared" ref="G2577:G2583" si="545">MROUND(H2577*L2577*I2577/K2577,0.000000000001)</f>
        <v>0.15394741221700001</v>
      </c>
      <c r="H2577" s="160">
        <f>H2063</f>
        <v>113060.13705633247</v>
      </c>
      <c r="I2577" s="282">
        <f>I2569</f>
        <v>0.19555899999999998</v>
      </c>
      <c r="J2577" s="160"/>
      <c r="K2577" s="161">
        <f>K2569</f>
        <v>143620</v>
      </c>
      <c r="L2577" s="250">
        <v>1</v>
      </c>
      <c r="M2577" s="163" t="str">
        <f>CONCATENATE(H2577," ",F2577,"(лимиты выделенные УЖКХ) ","*",I2577,"/",K2577,"чел/час")</f>
        <v>113060,137056332 кВт час.(лимиты выделенные УЖКХ) *0,195559/143620чел/час</v>
      </c>
      <c r="N2577" s="278">
        <f>N2063</f>
        <v>10.461700036774822</v>
      </c>
      <c r="O2577" s="280">
        <f>MROUND(N2577*G2577,0.000001)</f>
        <v>1.610552</v>
      </c>
      <c r="P2577" s="166"/>
      <c r="Q2577" s="166">
        <f t="shared" si="544"/>
        <v>231307.47824</v>
      </c>
      <c r="R2577" s="71"/>
    </row>
    <row r="2578" spans="1:41" s="61" customFormat="1" ht="31.5" x14ac:dyDescent="0.25">
      <c r="A2578" s="358"/>
      <c r="B2578" s="361"/>
      <c r="C2578" s="221" t="s">
        <v>73</v>
      </c>
      <c r="D2578" s="222" t="s">
        <v>9</v>
      </c>
      <c r="E2578" s="223" t="s">
        <v>10</v>
      </c>
      <c r="F2578" s="223" t="s">
        <v>10</v>
      </c>
      <c r="G2578" s="238">
        <f t="shared" si="545"/>
        <v>1.898128715E-3</v>
      </c>
      <c r="H2578" s="160">
        <f>H2064</f>
        <v>1394</v>
      </c>
      <c r="I2578" s="159">
        <f t="shared" ref="I2578:I2583" si="546">I2577</f>
        <v>0.19555899999999998</v>
      </c>
      <c r="J2578" s="160"/>
      <c r="K2578" s="161">
        <f t="shared" ref="K2578:K2583" si="547">K2577</f>
        <v>143620</v>
      </c>
      <c r="L2578" s="250">
        <v>1</v>
      </c>
      <c r="M2578" s="163" t="str">
        <f>CONCATENATE(H2578," ",F2578,"(лимиты выделенные УЖКХ) ","*",I2578,"/",K2578,"чел/час")</f>
        <v>1394 Гкал(лимиты выделенные УЖКХ) *0,195559/143620чел/час</v>
      </c>
      <c r="N2578" s="278">
        <f>N2168</f>
        <v>2845.3649999999998</v>
      </c>
      <c r="O2578" s="280">
        <f t="shared" ref="O2578:O2583" si="548">MROUND(N2578*G2578,0.000001)</f>
        <v>5.4008690000000001</v>
      </c>
      <c r="P2578" s="166"/>
      <c r="Q2578" s="166">
        <f t="shared" si="544"/>
        <v>775672.80578000005</v>
      </c>
      <c r="R2578" s="71"/>
    </row>
    <row r="2579" spans="1:41" s="61" customFormat="1" ht="31.5" x14ac:dyDescent="0.25">
      <c r="A2579" s="358"/>
      <c r="B2579" s="361"/>
      <c r="C2579" s="364" t="s">
        <v>74</v>
      </c>
      <c r="D2579" s="222" t="s">
        <v>12</v>
      </c>
      <c r="E2579" s="222" t="s">
        <v>11</v>
      </c>
      <c r="F2579" s="222" t="s">
        <v>11</v>
      </c>
      <c r="G2579" s="238">
        <f t="shared" si="545"/>
        <v>5.5025444259999999E-3</v>
      </c>
      <c r="H2579" s="224">
        <f>H2065</f>
        <v>4041.1099999999997</v>
      </c>
      <c r="I2579" s="159">
        <f t="shared" si="546"/>
        <v>0.19555899999999998</v>
      </c>
      <c r="J2579" s="160"/>
      <c r="K2579" s="161">
        <f t="shared" si="547"/>
        <v>143620</v>
      </c>
      <c r="L2579" s="250">
        <v>1</v>
      </c>
      <c r="M2579" s="163" t="str">
        <f>CONCATENATE(H2579," ",F2579,"(лимиты выделенные УЖКХ) ","*",I2579,"/",K2579,"чел/час")</f>
        <v>4041,11 м3(лимиты выделенные УЖКХ) *0,195559/143620чел/час</v>
      </c>
      <c r="N2579" s="278">
        <f>N2065</f>
        <v>51.830000000000013</v>
      </c>
      <c r="O2579" s="280">
        <f t="shared" si="548"/>
        <v>0.28519699999999998</v>
      </c>
      <c r="P2579" s="166"/>
      <c r="Q2579" s="166">
        <f t="shared" si="544"/>
        <v>40959.993139999999</v>
      </c>
      <c r="R2579" s="71"/>
    </row>
    <row r="2580" spans="1:41" s="61" customFormat="1" ht="47.25" x14ac:dyDescent="0.25">
      <c r="A2580" s="358"/>
      <c r="B2580" s="361"/>
      <c r="C2580" s="364"/>
      <c r="D2580" s="222" t="s">
        <v>17</v>
      </c>
      <c r="E2580" s="222" t="s">
        <v>11</v>
      </c>
      <c r="F2580" s="222" t="s">
        <v>11</v>
      </c>
      <c r="G2580" s="238">
        <f t="shared" si="545"/>
        <v>5.5025444259999999E-3</v>
      </c>
      <c r="H2580" s="160">
        <f>H2170</f>
        <v>4041.1099999999997</v>
      </c>
      <c r="I2580" s="159">
        <f t="shared" si="546"/>
        <v>0.19555899999999998</v>
      </c>
      <c r="J2580" s="160"/>
      <c r="K2580" s="161">
        <f t="shared" si="547"/>
        <v>143620</v>
      </c>
      <c r="L2580" s="162">
        <f>$L$25</f>
        <v>1</v>
      </c>
      <c r="M2580" s="163" t="str">
        <f>CONCATENATE(H2580," ",F2580,"(лимиты выделенные УЖКХ) ","*",I2580,"/",K2580,"чел/час")</f>
        <v>4041,11 м3(лимиты выделенные УЖКХ) *0,195559/143620чел/час</v>
      </c>
      <c r="N2580" s="164">
        <f>N2066</f>
        <v>78.761157534246578</v>
      </c>
      <c r="O2580" s="280">
        <f t="shared" si="548"/>
        <v>0.43338699999999997</v>
      </c>
      <c r="P2580" s="166"/>
      <c r="Q2580" s="166">
        <f t="shared" si="544"/>
        <v>62243.040939999992</v>
      </c>
      <c r="R2580" s="71"/>
    </row>
    <row r="2581" spans="1:41" s="61" customFormat="1" ht="31.5" x14ac:dyDescent="0.25">
      <c r="A2581" s="358"/>
      <c r="B2581" s="361"/>
      <c r="C2581" s="364"/>
      <c r="D2581" s="222" t="s">
        <v>13</v>
      </c>
      <c r="E2581" s="222" t="s">
        <v>11</v>
      </c>
      <c r="F2581" s="222" t="s">
        <v>11</v>
      </c>
      <c r="G2581" s="238">
        <f t="shared" si="545"/>
        <v>5.5025444259999999E-3</v>
      </c>
      <c r="H2581" s="160">
        <f>H2067</f>
        <v>4041.1099999999997</v>
      </c>
      <c r="I2581" s="159">
        <f t="shared" si="546"/>
        <v>0.19555899999999998</v>
      </c>
      <c r="J2581" s="160"/>
      <c r="K2581" s="161">
        <f t="shared" si="547"/>
        <v>143620</v>
      </c>
      <c r="L2581" s="162">
        <v>1</v>
      </c>
      <c r="M2581" s="163" t="str">
        <f>CONCATENATE(H2581," ",F2581,"(лимиты выделенные УЖКХ) ","*",I2581,"/",K2581,"чел/час")</f>
        <v>4041,11 м3(лимиты выделенные УЖКХ) *0,195559/143620чел/час</v>
      </c>
      <c r="N2581" s="278">
        <f>N2067</f>
        <v>96.180004349493274</v>
      </c>
      <c r="O2581" s="280">
        <f t="shared" si="548"/>
        <v>0.52923500000000001</v>
      </c>
      <c r="P2581" s="166"/>
      <c r="Q2581" s="166">
        <f t="shared" si="544"/>
        <v>76008.7307</v>
      </c>
      <c r="R2581" s="71"/>
    </row>
    <row r="2582" spans="1:41" s="61" customFormat="1" x14ac:dyDescent="0.25">
      <c r="A2582" s="358"/>
      <c r="B2582" s="361"/>
      <c r="C2582" s="364" t="s">
        <v>216</v>
      </c>
      <c r="D2582" s="222" t="s">
        <v>23</v>
      </c>
      <c r="E2582" s="222" t="s">
        <v>11</v>
      </c>
      <c r="F2582" s="222" t="s">
        <v>11</v>
      </c>
      <c r="G2582" s="238">
        <f t="shared" si="545"/>
        <v>3.4013812999999998E-5</v>
      </c>
      <c r="H2582" s="160">
        <f>H2068</f>
        <v>24.979999999999997</v>
      </c>
      <c r="I2582" s="159">
        <f t="shared" si="546"/>
        <v>0.19555899999999998</v>
      </c>
      <c r="J2582" s="160"/>
      <c r="K2582" s="161">
        <f t="shared" si="547"/>
        <v>143620</v>
      </c>
      <c r="L2582" s="162">
        <v>1</v>
      </c>
      <c r="M2582" s="163" t="str">
        <f>CONCATENATE(H2582," ",F2582," ","*",I2582,"/",K2582,"чел/час")</f>
        <v>24,98 м3 *0,195559/143620чел/час</v>
      </c>
      <c r="N2582" s="164">
        <f>N2068</f>
        <v>8906.5644515612512</v>
      </c>
      <c r="O2582" s="280">
        <f t="shared" si="548"/>
        <v>0.30294599999999999</v>
      </c>
      <c r="P2582" s="166"/>
      <c r="Q2582" s="166">
        <f t="shared" si="544"/>
        <v>43509.104520000001</v>
      </c>
      <c r="R2582" s="71"/>
    </row>
    <row r="2583" spans="1:41" s="61" customFormat="1" ht="63" x14ac:dyDescent="0.25">
      <c r="A2583" s="358"/>
      <c r="B2583" s="361"/>
      <c r="C2583" s="364"/>
      <c r="D2583" s="222" t="s">
        <v>24</v>
      </c>
      <c r="E2583" s="222" t="s">
        <v>25</v>
      </c>
      <c r="F2583" s="222" t="s">
        <v>248</v>
      </c>
      <c r="G2583" s="238">
        <f t="shared" si="545"/>
        <v>6.8082089999999999E-6</v>
      </c>
      <c r="H2583" s="160">
        <f>H2069</f>
        <v>5</v>
      </c>
      <c r="I2583" s="159">
        <f t="shared" si="546"/>
        <v>0.19555899999999998</v>
      </c>
      <c r="J2583" s="160"/>
      <c r="K2583" s="161">
        <f t="shared" si="547"/>
        <v>143620</v>
      </c>
      <c r="L2583" s="250">
        <v>1</v>
      </c>
      <c r="M2583" s="163" t="str">
        <f>CONCATENATE(H2583," ",F2583,"(потребность из расчета 4 контейнера для уборки территории весной и осенью на 1 учреждение)","*",I2583,"/",K2583,"чел/час")</f>
        <v>5 контейнеров(потребность из расчета 4 контейнера для уборки территории весной и осенью на 1 учреждение)*0,195559/143620чел/час</v>
      </c>
      <c r="N2583" s="278">
        <f>N2069</f>
        <v>5751.8</v>
      </c>
      <c r="O2583" s="280">
        <f t="shared" si="548"/>
        <v>3.9158999999999999E-2</v>
      </c>
      <c r="P2583" s="166"/>
      <c r="Q2583" s="166">
        <f t="shared" si="544"/>
        <v>5624.0155800000002</v>
      </c>
      <c r="R2583" s="71"/>
    </row>
    <row r="2584" spans="1:41" s="109" customFormat="1" x14ac:dyDescent="0.25">
      <c r="A2584" s="358"/>
      <c r="B2584" s="361"/>
      <c r="C2584" s="218" t="s">
        <v>290</v>
      </c>
      <c r="D2584" s="226"/>
      <c r="E2584" s="226"/>
      <c r="F2584" s="226"/>
      <c r="G2584" s="227"/>
      <c r="H2584" s="228"/>
      <c r="I2584" s="206"/>
      <c r="J2584" s="228"/>
      <c r="K2584" s="207"/>
      <c r="L2584" s="257"/>
      <c r="M2584" s="209"/>
      <c r="N2584" s="281"/>
      <c r="O2584" s="279">
        <f>SUM(O2577:O2583)</f>
        <v>8.6013450000000002</v>
      </c>
      <c r="P2584" s="267"/>
      <c r="Q2584" s="166"/>
      <c r="R2584" s="71"/>
      <c r="S2584" s="62"/>
      <c r="T2584" s="62"/>
      <c r="U2584" s="62"/>
      <c r="V2584" s="62"/>
      <c r="W2584" s="62"/>
      <c r="X2584" s="62"/>
      <c r="Y2584" s="62"/>
      <c r="Z2584" s="62"/>
      <c r="AA2584" s="62"/>
      <c r="AB2584" s="62"/>
      <c r="AC2584" s="62"/>
      <c r="AD2584" s="62"/>
      <c r="AE2584" s="62"/>
      <c r="AF2584" s="62"/>
      <c r="AG2584" s="62"/>
      <c r="AH2584" s="62"/>
      <c r="AI2584" s="62"/>
      <c r="AJ2584" s="62"/>
      <c r="AK2584" s="62"/>
      <c r="AL2584" s="62"/>
      <c r="AM2584" s="62"/>
      <c r="AN2584" s="62"/>
      <c r="AO2584" s="62"/>
    </row>
    <row r="2585" spans="1:41" s="108" customFormat="1" ht="15" customHeight="1" x14ac:dyDescent="0.25">
      <c r="A2585" s="358"/>
      <c r="B2585" s="361"/>
      <c r="C2585" s="221"/>
      <c r="D2585" s="356" t="s">
        <v>14</v>
      </c>
      <c r="E2585" s="356"/>
      <c r="F2585" s="356"/>
      <c r="G2585" s="356"/>
      <c r="H2585" s="188"/>
      <c r="I2585" s="159"/>
      <c r="J2585" s="188"/>
      <c r="K2585" s="161"/>
      <c r="L2585" s="250"/>
      <c r="M2585" s="230"/>
      <c r="N2585" s="278"/>
      <c r="O2585" s="279">
        <f>O2589+O2593+O2594</f>
        <v>141.59334065300001</v>
      </c>
      <c r="P2585" s="166"/>
      <c r="Q2585" s="166">
        <f>O2585*K2585</f>
        <v>0</v>
      </c>
      <c r="R2585" s="71"/>
      <c r="S2585" s="61"/>
      <c r="T2585" s="61"/>
      <c r="U2585" s="61"/>
      <c r="V2585" s="61"/>
      <c r="W2585" s="61"/>
      <c r="X2585" s="61"/>
      <c r="Y2585" s="61"/>
      <c r="Z2585" s="61"/>
      <c r="AA2585" s="61"/>
      <c r="AB2585" s="61"/>
      <c r="AC2585" s="61"/>
      <c r="AD2585" s="61"/>
      <c r="AE2585" s="61"/>
      <c r="AF2585" s="61"/>
      <c r="AG2585" s="61"/>
      <c r="AH2585" s="61"/>
      <c r="AI2585" s="61"/>
      <c r="AJ2585" s="61"/>
      <c r="AK2585" s="61"/>
      <c r="AL2585" s="61"/>
      <c r="AM2585" s="61"/>
      <c r="AN2585" s="61"/>
      <c r="AO2585" s="61"/>
    </row>
    <row r="2586" spans="1:41" s="61" customFormat="1" x14ac:dyDescent="0.25">
      <c r="A2586" s="358"/>
      <c r="B2586" s="361"/>
      <c r="C2586" s="221" t="s">
        <v>379</v>
      </c>
      <c r="D2586" s="231" t="s">
        <v>49</v>
      </c>
      <c r="E2586" s="231" t="s">
        <v>22</v>
      </c>
      <c r="F2586" s="231" t="s">
        <v>22</v>
      </c>
      <c r="G2586" s="238">
        <f>MROUND(H2586*L2586*I2586/K2586,0.000000000001)</f>
        <v>4.5428456460000002E-3</v>
      </c>
      <c r="H2586" s="160">
        <f>H2072</f>
        <v>3336.3</v>
      </c>
      <c r="I2586" s="159">
        <f>I2581</f>
        <v>0.19555899999999998</v>
      </c>
      <c r="J2586" s="160"/>
      <c r="K2586" s="161">
        <f>K2581</f>
        <v>143620</v>
      </c>
      <c r="L2586" s="250">
        <v>1</v>
      </c>
      <c r="M2586" s="163" t="str">
        <f>CONCATENATE(H2586," ",F2586,"*",I2586,"/",K2586,"чел/час")</f>
        <v>3336,3 м2*0,195559/143620чел/час</v>
      </c>
      <c r="N2586" s="278">
        <f>N2072</f>
        <v>2997.3323741869735</v>
      </c>
      <c r="O2586" s="280">
        <f>MROUND(N2586*G2586,0.000000001)</f>
        <v>13.616418326000002</v>
      </c>
      <c r="P2586" s="166"/>
      <c r="Q2586" s="166">
        <f>O2586*K2586</f>
        <v>1955589.9999801202</v>
      </c>
      <c r="R2586" s="71"/>
    </row>
    <row r="2587" spans="1:41" s="61" customFormat="1" x14ac:dyDescent="0.25">
      <c r="A2587" s="358"/>
      <c r="B2587" s="361"/>
      <c r="C2587" s="221" t="s">
        <v>379</v>
      </c>
      <c r="D2587" s="231" t="s">
        <v>49</v>
      </c>
      <c r="E2587" s="231" t="s">
        <v>28</v>
      </c>
      <c r="F2587" s="231" t="s">
        <v>28</v>
      </c>
      <c r="G2587" s="238">
        <f>MROUND(H2587*L2587*I2587/K2587,0.000000000001)</f>
        <v>0</v>
      </c>
      <c r="H2587" s="160"/>
      <c r="I2587" s="159">
        <f>I2586</f>
        <v>0.19555899999999998</v>
      </c>
      <c r="J2587" s="160"/>
      <c r="K2587" s="161">
        <f>K2586</f>
        <v>143620</v>
      </c>
      <c r="L2587" s="250">
        <v>1</v>
      </c>
      <c r="M2587" s="163"/>
      <c r="N2587" s="278"/>
      <c r="O2587" s="280">
        <f>MROUND(N2587*G2587,0.000000001)</f>
        <v>0</v>
      </c>
      <c r="P2587" s="166"/>
      <c r="Q2587" s="166">
        <f>O2587*K2587</f>
        <v>0</v>
      </c>
      <c r="R2587" s="71"/>
    </row>
    <row r="2588" spans="1:41" s="61" customFormat="1" x14ac:dyDescent="0.25">
      <c r="A2588" s="358"/>
      <c r="B2588" s="361"/>
      <c r="C2588" s="221" t="s">
        <v>379</v>
      </c>
      <c r="D2588" s="231" t="s">
        <v>49</v>
      </c>
      <c r="E2588" s="231" t="s">
        <v>101</v>
      </c>
      <c r="F2588" s="231" t="s">
        <v>101</v>
      </c>
      <c r="G2588" s="238">
        <f>MROUND(H2588*L2588*I2588/K2588,0.000000000001)</f>
        <v>0</v>
      </c>
      <c r="H2588" s="160"/>
      <c r="I2588" s="159">
        <f>I2586</f>
        <v>0.19555899999999998</v>
      </c>
      <c r="J2588" s="160"/>
      <c r="K2588" s="161">
        <f>K2586</f>
        <v>143620</v>
      </c>
      <c r="L2588" s="250">
        <v>1</v>
      </c>
      <c r="M2588" s="163"/>
      <c r="N2588" s="278"/>
      <c r="O2588" s="280">
        <f>MROUND(N2588*G2588,0.000001)</f>
        <v>0</v>
      </c>
      <c r="P2588" s="166"/>
      <c r="Q2588" s="166">
        <f>O2588*K2588</f>
        <v>0</v>
      </c>
      <c r="R2588" s="71"/>
    </row>
    <row r="2589" spans="1:41" s="109" customFormat="1" x14ac:dyDescent="0.25">
      <c r="A2589" s="358"/>
      <c r="B2589" s="361"/>
      <c r="C2589" s="218" t="s">
        <v>380</v>
      </c>
      <c r="D2589" s="232"/>
      <c r="E2589" s="232"/>
      <c r="F2589" s="232"/>
      <c r="G2589" s="227"/>
      <c r="H2589" s="228"/>
      <c r="I2589" s="206"/>
      <c r="J2589" s="228"/>
      <c r="K2589" s="207"/>
      <c r="L2589" s="257"/>
      <c r="M2589" s="209"/>
      <c r="N2589" s="281"/>
      <c r="O2589" s="279">
        <f>SUM(O2586:O2588)</f>
        <v>13.616418326000002</v>
      </c>
      <c r="P2589" s="267"/>
      <c r="Q2589" s="166"/>
      <c r="R2589" s="72"/>
      <c r="S2589" s="62"/>
      <c r="T2589" s="62"/>
      <c r="U2589" s="62"/>
      <c r="V2589" s="62"/>
      <c r="W2589" s="62"/>
      <c r="X2589" s="62"/>
      <c r="Y2589" s="62"/>
      <c r="Z2589" s="62"/>
      <c r="AA2589" s="62"/>
      <c r="AB2589" s="62"/>
      <c r="AC2589" s="62"/>
      <c r="AD2589" s="62"/>
      <c r="AE2589" s="62"/>
      <c r="AF2589" s="62"/>
      <c r="AG2589" s="62"/>
      <c r="AH2589" s="62"/>
      <c r="AI2589" s="62"/>
      <c r="AJ2589" s="62"/>
      <c r="AK2589" s="62"/>
      <c r="AL2589" s="62"/>
      <c r="AM2589" s="62"/>
      <c r="AN2589" s="62"/>
      <c r="AO2589" s="62"/>
    </row>
    <row r="2590" spans="1:41" s="61" customFormat="1" x14ac:dyDescent="0.25">
      <c r="A2590" s="358"/>
      <c r="B2590" s="361"/>
      <c r="C2590" s="221" t="s">
        <v>76</v>
      </c>
      <c r="D2590" s="231" t="s">
        <v>49</v>
      </c>
      <c r="E2590" s="231" t="s">
        <v>22</v>
      </c>
      <c r="F2590" s="231" t="s">
        <v>22</v>
      </c>
      <c r="G2590" s="238">
        <f>MROUND(H2590*L2590*I2590/K2590,0.000000000001)</f>
        <v>2.5481765255999999E-2</v>
      </c>
      <c r="H2590" s="160">
        <f>H2076</f>
        <v>18714</v>
      </c>
      <c r="I2590" s="159">
        <f>I2588</f>
        <v>0.19555899999999998</v>
      </c>
      <c r="J2590" s="160"/>
      <c r="K2590" s="161">
        <f>K2588</f>
        <v>143620</v>
      </c>
      <c r="L2590" s="250">
        <v>1</v>
      </c>
      <c r="M2590" s="163" t="str">
        <f>CONCATENATE(H2590," ",F2590,"*",I2590,"/",K2590,"чел/час")</f>
        <v>18714 м2*0,195559/143620чел/час</v>
      </c>
      <c r="N2590" s="278">
        <f>N2076</f>
        <v>3265.8708987923478</v>
      </c>
      <c r="O2590" s="280">
        <f>MROUND(N2590*G2590,0.000000001)-0.0004</f>
        <v>83.21975559900001</v>
      </c>
      <c r="P2590" s="166"/>
      <c r="Q2590" s="166">
        <f>O2590*K2590</f>
        <v>11952021.299128382</v>
      </c>
      <c r="R2590" s="71"/>
    </row>
    <row r="2591" spans="1:41" s="61" customFormat="1" x14ac:dyDescent="0.25">
      <c r="A2591" s="358"/>
      <c r="B2591" s="361"/>
      <c r="C2591" s="221"/>
      <c r="D2591" s="231" t="s">
        <v>49</v>
      </c>
      <c r="E2591" s="231" t="s">
        <v>28</v>
      </c>
      <c r="F2591" s="231" t="s">
        <v>28</v>
      </c>
      <c r="G2591" s="238">
        <f>MROUND(H2591*L2591*I2591/K2591,0.000000000001)</f>
        <v>2.7232836700000001E-4</v>
      </c>
      <c r="H2591" s="160">
        <f>H2077</f>
        <v>200</v>
      </c>
      <c r="I2591" s="159">
        <f>I2590</f>
        <v>0.19555899999999998</v>
      </c>
      <c r="J2591" s="160"/>
      <c r="K2591" s="161">
        <f>K2590</f>
        <v>143620</v>
      </c>
      <c r="L2591" s="250">
        <v>1</v>
      </c>
      <c r="M2591" s="163" t="str">
        <f>CONCATENATE(H2591," ",F2591,"*",I2591,"/",K2591,"чел/час")</f>
        <v>200 шт*0,195559/143620чел/час</v>
      </c>
      <c r="N2591" s="278">
        <f>N2077</f>
        <v>108250</v>
      </c>
      <c r="O2591" s="280">
        <f>MROUND(N2591*G2591,0.000000001)</f>
        <v>29.479545728000002</v>
      </c>
      <c r="P2591" s="166"/>
      <c r="Q2591" s="166">
        <f>O2591*K2591</f>
        <v>4233852.3574553598</v>
      </c>
      <c r="R2591" s="71"/>
    </row>
    <row r="2592" spans="1:41" s="61" customFormat="1" x14ac:dyDescent="0.25">
      <c r="A2592" s="358"/>
      <c r="B2592" s="361"/>
      <c r="C2592" s="221"/>
      <c r="D2592" s="231" t="s">
        <v>49</v>
      </c>
      <c r="E2592" s="231" t="s">
        <v>101</v>
      </c>
      <c r="F2592" s="231" t="s">
        <v>101</v>
      </c>
      <c r="G2592" s="238">
        <f>MROUND(H2592*L2592*I2592/K2592,0.000000000001)</f>
        <v>3.025568152E-3</v>
      </c>
      <c r="H2592" s="160">
        <f>H2078</f>
        <v>2222</v>
      </c>
      <c r="I2592" s="159">
        <f>I2590</f>
        <v>0.19555899999999998</v>
      </c>
      <c r="J2592" s="160"/>
      <c r="K2592" s="161">
        <f>K2590</f>
        <v>143620</v>
      </c>
      <c r="L2592" s="250">
        <v>1</v>
      </c>
      <c r="M2592" s="163" t="str">
        <f>CONCATENATE(H2592," ",F2592,"*",I2592,"/",K2592,"чел/час")</f>
        <v>2222 погон.м.*0,195559/143620чел/час</v>
      </c>
      <c r="N2592" s="278">
        <f>N2078</f>
        <v>5049.5049504950493</v>
      </c>
      <c r="O2592" s="280">
        <f>MROUND(N2592*G2592,0.000001)</f>
        <v>15.277621</v>
      </c>
      <c r="P2592" s="166"/>
      <c r="Q2592" s="166">
        <f>O2592*K2592</f>
        <v>2194171.92802</v>
      </c>
      <c r="R2592" s="71"/>
    </row>
    <row r="2593" spans="1:41" s="109" customFormat="1" x14ac:dyDescent="0.25">
      <c r="A2593" s="358"/>
      <c r="B2593" s="361"/>
      <c r="C2593" s="218" t="s">
        <v>291</v>
      </c>
      <c r="D2593" s="232"/>
      <c r="E2593" s="232"/>
      <c r="F2593" s="232"/>
      <c r="G2593" s="227"/>
      <c r="H2593" s="228"/>
      <c r="I2593" s="206"/>
      <c r="J2593" s="228"/>
      <c r="K2593" s="207"/>
      <c r="L2593" s="257"/>
      <c r="M2593" s="209"/>
      <c r="N2593" s="281"/>
      <c r="O2593" s="279">
        <f>SUM(O2590:O2592)</f>
        <v>127.97692232700001</v>
      </c>
      <c r="P2593" s="267"/>
      <c r="Q2593" s="166"/>
      <c r="R2593" s="72"/>
      <c r="S2593" s="62"/>
      <c r="T2593" s="62"/>
      <c r="U2593" s="62"/>
      <c r="V2593" s="62"/>
      <c r="W2593" s="62"/>
      <c r="X2593" s="62"/>
      <c r="Y2593" s="62"/>
      <c r="Z2593" s="62"/>
      <c r="AA2593" s="62"/>
      <c r="AB2593" s="62"/>
      <c r="AC2593" s="62"/>
      <c r="AD2593" s="62"/>
      <c r="AE2593" s="62"/>
      <c r="AF2593" s="62"/>
      <c r="AG2593" s="62"/>
      <c r="AH2593" s="62"/>
      <c r="AI2593" s="62"/>
      <c r="AJ2593" s="62"/>
      <c r="AK2593" s="62"/>
      <c r="AL2593" s="62"/>
      <c r="AM2593" s="62"/>
      <c r="AN2593" s="62"/>
      <c r="AO2593" s="62"/>
    </row>
    <row r="2594" spans="1:41" s="61" customFormat="1" x14ac:dyDescent="0.25">
      <c r="A2594" s="358"/>
      <c r="B2594" s="361"/>
      <c r="C2594" s="221" t="s">
        <v>77</v>
      </c>
      <c r="D2594" s="231"/>
      <c r="E2594" s="231"/>
      <c r="F2594" s="231"/>
      <c r="G2594" s="238">
        <f>MROUND(H2594*L2594*I2594/K2594,0.000000000001)</f>
        <v>0</v>
      </c>
      <c r="H2594" s="160"/>
      <c r="I2594" s="159">
        <f>I2592</f>
        <v>0.19555899999999998</v>
      </c>
      <c r="J2594" s="160"/>
      <c r="K2594" s="161">
        <f>K2592</f>
        <v>143620</v>
      </c>
      <c r="L2594" s="250"/>
      <c r="M2594" s="163"/>
      <c r="N2594" s="278"/>
      <c r="O2594" s="280">
        <f>MROUND(N2594*G2594,0.000001)</f>
        <v>0</v>
      </c>
      <c r="P2594" s="166"/>
      <c r="Q2594" s="166">
        <f>O2594*K2594</f>
        <v>0</v>
      </c>
      <c r="R2594" s="71"/>
    </row>
    <row r="2595" spans="1:41" s="109" customFormat="1" x14ac:dyDescent="0.25">
      <c r="A2595" s="358"/>
      <c r="B2595" s="361"/>
      <c r="C2595" s="218" t="s">
        <v>292</v>
      </c>
      <c r="D2595" s="232"/>
      <c r="E2595" s="232"/>
      <c r="F2595" s="232"/>
      <c r="G2595" s="227"/>
      <c r="H2595" s="228"/>
      <c r="I2595" s="206"/>
      <c r="J2595" s="228"/>
      <c r="K2595" s="207"/>
      <c r="L2595" s="257"/>
      <c r="M2595" s="209"/>
      <c r="N2595" s="281"/>
      <c r="O2595" s="279">
        <f>O2594</f>
        <v>0</v>
      </c>
      <c r="P2595" s="267"/>
      <c r="Q2595" s="166"/>
      <c r="R2595" s="72"/>
      <c r="S2595" s="62"/>
      <c r="T2595" s="62"/>
      <c r="U2595" s="62"/>
      <c r="V2595" s="62"/>
      <c r="W2595" s="62"/>
      <c r="X2595" s="62"/>
      <c r="Y2595" s="62"/>
      <c r="Z2595" s="62"/>
      <c r="AA2595" s="62"/>
      <c r="AB2595" s="62"/>
      <c r="AC2595" s="62"/>
      <c r="AD2595" s="62"/>
      <c r="AE2595" s="62"/>
      <c r="AF2595" s="62"/>
      <c r="AG2595" s="62"/>
      <c r="AH2595" s="62"/>
      <c r="AI2595" s="62"/>
      <c r="AJ2595" s="62"/>
      <c r="AK2595" s="62"/>
      <c r="AL2595" s="62"/>
      <c r="AM2595" s="62"/>
      <c r="AN2595" s="62"/>
      <c r="AO2595" s="62"/>
    </row>
    <row r="2596" spans="1:41" s="108" customFormat="1" x14ac:dyDescent="0.25">
      <c r="A2596" s="358"/>
      <c r="B2596" s="361"/>
      <c r="C2596" s="221"/>
      <c r="D2596" s="350" t="s">
        <v>65</v>
      </c>
      <c r="E2596" s="350"/>
      <c r="F2596" s="350"/>
      <c r="G2596" s="350"/>
      <c r="H2596" s="195"/>
      <c r="I2596" s="159"/>
      <c r="J2596" s="195"/>
      <c r="K2596" s="161"/>
      <c r="L2596" s="196"/>
      <c r="M2596" s="230"/>
      <c r="N2596" s="278"/>
      <c r="O2596" s="280"/>
      <c r="P2596" s="166"/>
      <c r="Q2596" s="166">
        <f t="shared" ref="Q2596:Q2615" si="549">O2596*K2596</f>
        <v>0</v>
      </c>
      <c r="R2596" s="71"/>
      <c r="S2596" s="61"/>
      <c r="T2596" s="61"/>
      <c r="U2596" s="61"/>
      <c r="V2596" s="61"/>
      <c r="W2596" s="61"/>
      <c r="X2596" s="61"/>
      <c r="Y2596" s="61"/>
      <c r="Z2596" s="61"/>
      <c r="AA2596" s="61"/>
      <c r="AB2596" s="61"/>
      <c r="AC2596" s="61"/>
      <c r="AD2596" s="61"/>
      <c r="AE2596" s="61"/>
      <c r="AF2596" s="61"/>
      <c r="AG2596" s="61"/>
      <c r="AH2596" s="61"/>
      <c r="AI2596" s="61"/>
      <c r="AJ2596" s="61"/>
      <c r="AK2596" s="61"/>
      <c r="AL2596" s="61"/>
      <c r="AM2596" s="61"/>
      <c r="AN2596" s="61"/>
      <c r="AO2596" s="61"/>
    </row>
    <row r="2597" spans="1:41" s="108" customFormat="1" x14ac:dyDescent="0.25">
      <c r="A2597" s="358"/>
      <c r="B2597" s="361"/>
      <c r="C2597" s="221"/>
      <c r="D2597" s="194"/>
      <c r="E2597" s="194"/>
      <c r="F2597" s="194"/>
      <c r="G2597" s="217"/>
      <c r="H2597" s="195"/>
      <c r="I2597" s="159"/>
      <c r="J2597" s="195"/>
      <c r="K2597" s="161"/>
      <c r="L2597" s="196"/>
      <c r="M2597" s="230"/>
      <c r="N2597" s="278"/>
      <c r="O2597" s="280"/>
      <c r="P2597" s="166"/>
      <c r="Q2597" s="166">
        <f t="shared" si="549"/>
        <v>0</v>
      </c>
      <c r="R2597" s="71"/>
      <c r="S2597" s="61"/>
      <c r="T2597" s="61"/>
      <c r="U2597" s="61"/>
      <c r="V2597" s="61"/>
      <c r="W2597" s="61"/>
      <c r="X2597" s="61"/>
      <c r="Y2597" s="61"/>
      <c r="Z2597" s="61"/>
      <c r="AA2597" s="61"/>
      <c r="AB2597" s="61"/>
      <c r="AC2597" s="61"/>
      <c r="AD2597" s="61"/>
      <c r="AE2597" s="61"/>
      <c r="AF2597" s="61"/>
      <c r="AG2597" s="61"/>
      <c r="AH2597" s="61"/>
      <c r="AI2597" s="61"/>
      <c r="AJ2597" s="61"/>
      <c r="AK2597" s="61"/>
      <c r="AL2597" s="61"/>
      <c r="AM2597" s="61"/>
      <c r="AN2597" s="61"/>
      <c r="AO2597" s="61"/>
    </row>
    <row r="2598" spans="1:41" s="108" customFormat="1" x14ac:dyDescent="0.25">
      <c r="A2598" s="358"/>
      <c r="B2598" s="361"/>
      <c r="C2598" s="365" t="s">
        <v>357</v>
      </c>
      <c r="D2598" s="368" t="s">
        <v>66</v>
      </c>
      <c r="E2598" s="368"/>
      <c r="F2598" s="368"/>
      <c r="G2598" s="368"/>
      <c r="H2598" s="195"/>
      <c r="I2598" s="159"/>
      <c r="J2598" s="195"/>
      <c r="K2598" s="161"/>
      <c r="L2598" s="196"/>
      <c r="M2598" s="230"/>
      <c r="N2598" s="278"/>
      <c r="O2598" s="279">
        <f>O2604</f>
        <v>0.60998299999999994</v>
      </c>
      <c r="P2598" s="166"/>
      <c r="Q2598" s="166">
        <f t="shared" si="549"/>
        <v>0</v>
      </c>
      <c r="R2598" s="71"/>
      <c r="S2598" s="61"/>
      <c r="T2598" s="61"/>
      <c r="U2598" s="61"/>
      <c r="V2598" s="61"/>
      <c r="W2598" s="61"/>
      <c r="X2598" s="61"/>
      <c r="Y2598" s="61"/>
      <c r="Z2598" s="61"/>
      <c r="AA2598" s="61"/>
      <c r="AB2598" s="61"/>
      <c r="AC2598" s="61"/>
      <c r="AD2598" s="61"/>
      <c r="AE2598" s="61"/>
      <c r="AF2598" s="61"/>
      <c r="AG2598" s="61"/>
      <c r="AH2598" s="61"/>
      <c r="AI2598" s="61"/>
      <c r="AJ2598" s="61"/>
      <c r="AK2598" s="61"/>
      <c r="AL2598" s="61"/>
      <c r="AM2598" s="61"/>
      <c r="AN2598" s="61"/>
      <c r="AO2598" s="61"/>
    </row>
    <row r="2599" spans="1:41" s="61" customFormat="1" x14ac:dyDescent="0.25">
      <c r="A2599" s="358"/>
      <c r="B2599" s="361"/>
      <c r="C2599" s="366"/>
      <c r="D2599" s="284" t="s">
        <v>241</v>
      </c>
      <c r="E2599" s="156" t="s">
        <v>28</v>
      </c>
      <c r="F2599" s="156" t="s">
        <v>28</v>
      </c>
      <c r="G2599" s="238">
        <f>MROUND(H2599*L2599*I2599/K2599,0.000000000001)</f>
        <v>2.7777493400000001E-4</v>
      </c>
      <c r="H2599" s="158">
        <f>H2085</f>
        <v>17</v>
      </c>
      <c r="I2599" s="159">
        <f>I2592</f>
        <v>0.19555899999999998</v>
      </c>
      <c r="J2599" s="160"/>
      <c r="K2599" s="161">
        <f>K2592</f>
        <v>143620</v>
      </c>
      <c r="L2599" s="250">
        <v>12</v>
      </c>
      <c r="M2599" s="163" t="str">
        <f>CONCATENATE(H2599," ",F2599,"*",L2599,"мес.","*",I2599,"/",K2599,"чел/час")</f>
        <v>17 шт*12мес.*0,195559/143620чел/час</v>
      </c>
      <c r="N2599" s="278">
        <f>N2085</f>
        <v>327.76936274509802</v>
      </c>
      <c r="O2599" s="280">
        <f>MROUND(N2599*G2599,0.000001)</f>
        <v>9.1046000000000002E-2</v>
      </c>
      <c r="P2599" s="166"/>
      <c r="Q2599" s="166">
        <f t="shared" si="549"/>
        <v>13076.026519999999</v>
      </c>
      <c r="R2599" s="71"/>
    </row>
    <row r="2600" spans="1:41" s="61" customFormat="1" x14ac:dyDescent="0.25">
      <c r="A2600" s="358"/>
      <c r="B2600" s="361"/>
      <c r="C2600" s="366"/>
      <c r="D2600" s="284" t="s">
        <v>242</v>
      </c>
      <c r="E2600" s="156" t="s">
        <v>243</v>
      </c>
      <c r="F2600" s="156" t="s">
        <v>243</v>
      </c>
      <c r="G2600" s="238">
        <f>MROUND(H2600*L2600*I2600/K2600,0.000000000001)</f>
        <v>0.28277488266299999</v>
      </c>
      <c r="H2600" s="158">
        <f>H2086</f>
        <v>17306</v>
      </c>
      <c r="I2600" s="159">
        <f>I2599</f>
        <v>0.19555899999999998</v>
      </c>
      <c r="J2600" s="160"/>
      <c r="K2600" s="161">
        <f>K2599</f>
        <v>143620</v>
      </c>
      <c r="L2600" s="250">
        <v>12</v>
      </c>
      <c r="M2600" s="163" t="str">
        <f>CONCATENATE(H2600," ",F2600,"*",L2600,"мес.","*",I2600,"/",K2600,"чел/час")</f>
        <v>17306 мин.*12мес.*0,195559/143620чел/час</v>
      </c>
      <c r="N2600" s="278">
        <f>N2086</f>
        <v>0.78480002118725689</v>
      </c>
      <c r="O2600" s="280">
        <f>MROUND(N2600*G2600,0.000001)</f>
        <v>0.22192199999999998</v>
      </c>
      <c r="P2600" s="166"/>
      <c r="Q2600" s="166">
        <f t="shared" si="549"/>
        <v>31872.437639999996</v>
      </c>
      <c r="R2600" s="71"/>
    </row>
    <row r="2601" spans="1:41" s="61" customFormat="1" ht="31.5" x14ac:dyDescent="0.25">
      <c r="A2601" s="358"/>
      <c r="B2601" s="361"/>
      <c r="C2601" s="366"/>
      <c r="D2601" s="285" t="s">
        <v>244</v>
      </c>
      <c r="E2601" s="286" t="s">
        <v>245</v>
      </c>
      <c r="F2601" s="286" t="s">
        <v>247</v>
      </c>
      <c r="G2601" s="238">
        <f>MROUND(H2601*L2601*I2601/K2601,0.000000000001)</f>
        <v>8.1698509999999998E-5</v>
      </c>
      <c r="H2601" s="158">
        <f>H2087</f>
        <v>5</v>
      </c>
      <c r="I2601" s="159">
        <f>I2600</f>
        <v>0.19555899999999998</v>
      </c>
      <c r="J2601" s="160"/>
      <c r="K2601" s="161">
        <f>K2600</f>
        <v>143620</v>
      </c>
      <c r="L2601" s="250">
        <v>12</v>
      </c>
      <c r="M2601" s="163" t="str">
        <f>CONCATENATE(H2601," ",F2601,"*",L2601,"мес.","*",I2601,"/",K2601,"чел/час")</f>
        <v>5 радиоточек*12мес.*0,195559/143620чел/час</v>
      </c>
      <c r="N2601" s="278">
        <f>N2087</f>
        <v>165.68000000000004</v>
      </c>
      <c r="O2601" s="280">
        <f>MROUND(N2601*G2601,0.000001)</f>
        <v>1.3535999999999999E-2</v>
      </c>
      <c r="P2601" s="166"/>
      <c r="Q2601" s="166">
        <f t="shared" si="549"/>
        <v>1944.0403199999998</v>
      </c>
      <c r="R2601" s="71"/>
    </row>
    <row r="2602" spans="1:41" s="61" customFormat="1" ht="47.25" x14ac:dyDescent="0.25">
      <c r="A2602" s="358"/>
      <c r="B2602" s="361"/>
      <c r="C2602" s="366"/>
      <c r="D2602" s="285" t="s">
        <v>374</v>
      </c>
      <c r="E2602" s="156" t="s">
        <v>28</v>
      </c>
      <c r="F2602" s="156" t="s">
        <v>28</v>
      </c>
      <c r="G2602" s="238">
        <f>MROUND(H2602*L2602*I2602/K2602,0.000000000001)</f>
        <v>3.8125971000000001E-5</v>
      </c>
      <c r="H2602" s="158">
        <f>H2088</f>
        <v>7</v>
      </c>
      <c r="I2602" s="159">
        <f>I2600</f>
        <v>0.19555899999999998</v>
      </c>
      <c r="J2602" s="160"/>
      <c r="K2602" s="161">
        <f>K2600</f>
        <v>143620</v>
      </c>
      <c r="L2602" s="250">
        <f>L2088</f>
        <v>4</v>
      </c>
      <c r="M2602" s="163" t="str">
        <f>CONCATENATE(H2602," ",F2602,"*",L2602,"мес.","*",I2602,"/",K2602,"чел/час")</f>
        <v>7 шт*4мес.*0,195559/143620чел/час</v>
      </c>
      <c r="N2602" s="278">
        <f>N2088</f>
        <v>1256.0399999999997</v>
      </c>
      <c r="O2602" s="280">
        <f>MROUND(N2602*G2602,0.000001)</f>
        <v>4.7888E-2</v>
      </c>
      <c r="P2602" s="166"/>
      <c r="Q2602" s="166">
        <f t="shared" si="549"/>
        <v>6877.6745600000004</v>
      </c>
      <c r="R2602" s="71"/>
    </row>
    <row r="2603" spans="1:41" s="61" customFormat="1" x14ac:dyDescent="0.25">
      <c r="A2603" s="358"/>
      <c r="B2603" s="361"/>
      <c r="C2603" s="367"/>
      <c r="D2603" s="284" t="s">
        <v>246</v>
      </c>
      <c r="E2603" s="156" t="s">
        <v>28</v>
      </c>
      <c r="F2603" s="156" t="s">
        <v>28</v>
      </c>
      <c r="G2603" s="238">
        <f>MROUND(H2603*L2603*I2603/K2603,0.000000000001)</f>
        <v>8.1698509999999998E-5</v>
      </c>
      <c r="H2603" s="158">
        <v>5</v>
      </c>
      <c r="I2603" s="159">
        <f>I2601</f>
        <v>0.19555899999999998</v>
      </c>
      <c r="J2603" s="160"/>
      <c r="K2603" s="161">
        <f>K2601</f>
        <v>143620</v>
      </c>
      <c r="L2603" s="250">
        <v>12</v>
      </c>
      <c r="M2603" s="163" t="str">
        <f>CONCATENATE(H2603," ",F2603,"*",L2603,"мес.","*",I2603,"/",K2603,"чел/час")</f>
        <v>5 шт*12мес.*0,195559/143620чел/час</v>
      </c>
      <c r="N2603" s="278">
        <f>N2089</f>
        <v>2883.6603333333333</v>
      </c>
      <c r="O2603" s="280">
        <f>MROUND(N2603*G2603,0.000001)</f>
        <v>0.23559099999999999</v>
      </c>
      <c r="P2603" s="166"/>
      <c r="Q2603" s="166">
        <f t="shared" si="549"/>
        <v>33835.579420000002</v>
      </c>
      <c r="R2603" s="71"/>
    </row>
    <row r="2604" spans="1:41" s="109" customFormat="1" x14ac:dyDescent="0.25">
      <c r="A2604" s="358"/>
      <c r="B2604" s="361"/>
      <c r="C2604" s="218" t="s">
        <v>358</v>
      </c>
      <c r="D2604" s="287"/>
      <c r="E2604" s="287"/>
      <c r="F2604" s="287"/>
      <c r="G2604" s="288"/>
      <c r="H2604" s="214"/>
      <c r="I2604" s="206"/>
      <c r="J2604" s="214"/>
      <c r="K2604" s="207"/>
      <c r="L2604" s="215"/>
      <c r="M2604" s="289"/>
      <c r="N2604" s="281"/>
      <c r="O2604" s="279">
        <f>SUM(O2599:O2603)</f>
        <v>0.60998299999999994</v>
      </c>
      <c r="P2604" s="267"/>
      <c r="Q2604" s="166">
        <f t="shared" si="549"/>
        <v>0</v>
      </c>
      <c r="R2604" s="71"/>
      <c r="S2604" s="62"/>
      <c r="T2604" s="62"/>
      <c r="U2604" s="62"/>
      <c r="V2604" s="62"/>
      <c r="W2604" s="62"/>
      <c r="X2604" s="62"/>
      <c r="Y2604" s="62"/>
      <c r="Z2604" s="62"/>
      <c r="AA2604" s="62"/>
      <c r="AB2604" s="62"/>
      <c r="AC2604" s="62"/>
      <c r="AD2604" s="62"/>
      <c r="AE2604" s="62"/>
      <c r="AF2604" s="62"/>
      <c r="AG2604" s="62"/>
      <c r="AH2604" s="62"/>
      <c r="AI2604" s="62"/>
      <c r="AJ2604" s="62"/>
      <c r="AK2604" s="62"/>
      <c r="AL2604" s="62"/>
      <c r="AM2604" s="62"/>
      <c r="AN2604" s="62"/>
      <c r="AO2604" s="62"/>
    </row>
    <row r="2605" spans="1:41" s="108" customFormat="1" x14ac:dyDescent="0.25">
      <c r="A2605" s="358"/>
      <c r="B2605" s="361"/>
      <c r="C2605" s="365" t="s">
        <v>366</v>
      </c>
      <c r="D2605" s="368" t="s">
        <v>67</v>
      </c>
      <c r="E2605" s="368"/>
      <c r="F2605" s="368"/>
      <c r="G2605" s="368"/>
      <c r="H2605" s="195"/>
      <c r="I2605" s="159"/>
      <c r="J2605" s="195"/>
      <c r="K2605" s="161"/>
      <c r="L2605" s="196"/>
      <c r="M2605" s="230"/>
      <c r="N2605" s="278"/>
      <c r="O2605" s="279">
        <f>O2606</f>
        <v>8.1927E-2</v>
      </c>
      <c r="P2605" s="166"/>
      <c r="Q2605" s="166">
        <f t="shared" si="549"/>
        <v>0</v>
      </c>
      <c r="R2605" s="71"/>
      <c r="S2605" s="61"/>
      <c r="T2605" s="61"/>
      <c r="U2605" s="61"/>
      <c r="V2605" s="61"/>
      <c r="W2605" s="61"/>
      <c r="X2605" s="61"/>
      <c r="Y2605" s="61"/>
      <c r="Z2605" s="61"/>
      <c r="AA2605" s="61"/>
      <c r="AB2605" s="61"/>
      <c r="AC2605" s="61"/>
      <c r="AD2605" s="61"/>
      <c r="AE2605" s="61"/>
      <c r="AF2605" s="61"/>
      <c r="AG2605" s="61"/>
      <c r="AH2605" s="61"/>
      <c r="AI2605" s="61"/>
      <c r="AJ2605" s="61"/>
      <c r="AK2605" s="61"/>
      <c r="AL2605" s="61"/>
      <c r="AM2605" s="61"/>
      <c r="AN2605" s="61"/>
      <c r="AO2605" s="61"/>
    </row>
    <row r="2606" spans="1:41" s="61" customFormat="1" x14ac:dyDescent="0.25">
      <c r="A2606" s="358"/>
      <c r="B2606" s="361"/>
      <c r="C2606" s="367"/>
      <c r="D2606" s="194" t="s">
        <v>367</v>
      </c>
      <c r="E2606" s="156" t="s">
        <v>28</v>
      </c>
      <c r="F2606" s="156" t="s">
        <v>28</v>
      </c>
      <c r="G2606" s="238">
        <f>MROUND(H2606*L2606*I2606/K2606,0.000000000001)</f>
        <v>3.2679404000000002E-5</v>
      </c>
      <c r="H2606" s="158">
        <f>H2092</f>
        <v>2</v>
      </c>
      <c r="I2606" s="159">
        <f>I2603</f>
        <v>0.19555899999999998</v>
      </c>
      <c r="J2606" s="160"/>
      <c r="K2606" s="161">
        <f>K2603</f>
        <v>143620</v>
      </c>
      <c r="L2606" s="250">
        <v>12</v>
      </c>
      <c r="M2606" s="163" t="str">
        <f>CONCATENATE(H2606," ",F2606,"*",L2606,"мес.","*",I2606,"/",K2606,"чел/час")</f>
        <v>2 шт*12мес.*0,195559/143620чел/час</v>
      </c>
      <c r="N2606" s="278">
        <f>N2092</f>
        <v>2507</v>
      </c>
      <c r="O2606" s="280">
        <f>MROUND(N2606*G2606,0.000001)</f>
        <v>8.1927E-2</v>
      </c>
      <c r="P2606" s="166"/>
      <c r="Q2606" s="166">
        <f t="shared" si="549"/>
        <v>11766.355740000001</v>
      </c>
      <c r="R2606" s="71"/>
    </row>
    <row r="2607" spans="1:41" s="108" customFormat="1" x14ac:dyDescent="0.25">
      <c r="A2607" s="358"/>
      <c r="B2607" s="361"/>
      <c r="C2607" s="221"/>
      <c r="D2607" s="350" t="s">
        <v>68</v>
      </c>
      <c r="E2607" s="350"/>
      <c r="F2607" s="350"/>
      <c r="G2607" s="350"/>
      <c r="H2607" s="195"/>
      <c r="I2607" s="159"/>
      <c r="J2607" s="195"/>
      <c r="K2607" s="161"/>
      <c r="L2607" s="196"/>
      <c r="M2607" s="230"/>
      <c r="N2607" s="278"/>
      <c r="O2607" s="280"/>
      <c r="P2607" s="166"/>
      <c r="Q2607" s="166">
        <f t="shared" si="549"/>
        <v>0</v>
      </c>
      <c r="R2607" s="71"/>
      <c r="S2607" s="61"/>
      <c r="T2607" s="61"/>
      <c r="U2607" s="61"/>
      <c r="V2607" s="61"/>
      <c r="W2607" s="61"/>
      <c r="X2607" s="61"/>
      <c r="Y2607" s="61"/>
      <c r="Z2607" s="61"/>
      <c r="AA2607" s="61"/>
      <c r="AB2607" s="61"/>
      <c r="AC2607" s="61"/>
      <c r="AD2607" s="61"/>
      <c r="AE2607" s="61"/>
      <c r="AF2607" s="61"/>
      <c r="AG2607" s="61"/>
      <c r="AH2607" s="61"/>
      <c r="AI2607" s="61"/>
      <c r="AJ2607" s="61"/>
      <c r="AK2607" s="61"/>
      <c r="AL2607" s="61"/>
      <c r="AM2607" s="61"/>
      <c r="AN2607" s="61"/>
      <c r="AO2607" s="61"/>
    </row>
    <row r="2608" spans="1:41" s="108" customFormat="1" x14ac:dyDescent="0.25">
      <c r="A2608" s="358"/>
      <c r="B2608" s="361"/>
      <c r="C2608" s="221"/>
      <c r="D2608" s="156"/>
      <c r="E2608" s="156"/>
      <c r="F2608" s="156"/>
      <c r="G2608" s="236"/>
      <c r="H2608" s="195"/>
      <c r="I2608" s="159"/>
      <c r="J2608" s="195"/>
      <c r="K2608" s="161"/>
      <c r="L2608" s="196"/>
      <c r="M2608" s="230"/>
      <c r="N2608" s="278"/>
      <c r="O2608" s="280"/>
      <c r="P2608" s="166"/>
      <c r="Q2608" s="166">
        <f t="shared" si="549"/>
        <v>0</v>
      </c>
      <c r="R2608" s="71"/>
      <c r="S2608" s="61"/>
      <c r="T2608" s="61"/>
      <c r="U2608" s="61"/>
      <c r="V2608" s="61"/>
      <c r="W2608" s="61"/>
      <c r="X2608" s="61"/>
      <c r="Y2608" s="61"/>
      <c r="Z2608" s="61"/>
      <c r="AA2608" s="61"/>
      <c r="AB2608" s="61"/>
      <c r="AC2608" s="61"/>
      <c r="AD2608" s="61"/>
      <c r="AE2608" s="61"/>
      <c r="AF2608" s="61"/>
      <c r="AG2608" s="61"/>
      <c r="AH2608" s="61"/>
      <c r="AI2608" s="61"/>
      <c r="AJ2608" s="61"/>
      <c r="AK2608" s="61"/>
      <c r="AL2608" s="61"/>
      <c r="AM2608" s="61"/>
      <c r="AN2608" s="61"/>
      <c r="AO2608" s="61"/>
    </row>
    <row r="2609" spans="1:41" s="108" customFormat="1" x14ac:dyDescent="0.25">
      <c r="A2609" s="358"/>
      <c r="B2609" s="361"/>
      <c r="C2609" s="221"/>
      <c r="D2609" s="368" t="s">
        <v>69</v>
      </c>
      <c r="E2609" s="368"/>
      <c r="F2609" s="368"/>
      <c r="G2609" s="368"/>
      <c r="H2609" s="187"/>
      <c r="I2609" s="159"/>
      <c r="J2609" s="187"/>
      <c r="K2609" s="161"/>
      <c r="L2609" s="276"/>
      <c r="M2609" s="230"/>
      <c r="N2609" s="278"/>
      <c r="O2609" s="279">
        <f>O2616+O2632+O2635+O2648+O2649+O2650+O2661+O2663+O2667+O2664</f>
        <v>16.932065999999999</v>
      </c>
      <c r="P2609" s="166"/>
      <c r="Q2609" s="166">
        <f t="shared" si="549"/>
        <v>0</v>
      </c>
      <c r="R2609" s="71"/>
      <c r="S2609" s="61"/>
      <c r="T2609" s="61"/>
      <c r="U2609" s="61"/>
      <c r="V2609" s="61"/>
      <c r="W2609" s="61"/>
      <c r="X2609" s="61"/>
      <c r="Y2609" s="61"/>
      <c r="Z2609" s="61"/>
      <c r="AA2609" s="61"/>
      <c r="AB2609" s="61"/>
      <c r="AC2609" s="61"/>
      <c r="AD2609" s="61"/>
      <c r="AE2609" s="61"/>
      <c r="AF2609" s="61"/>
      <c r="AG2609" s="61"/>
      <c r="AH2609" s="61"/>
      <c r="AI2609" s="61"/>
      <c r="AJ2609" s="61"/>
      <c r="AK2609" s="61"/>
      <c r="AL2609" s="61"/>
      <c r="AM2609" s="61"/>
      <c r="AN2609" s="61"/>
      <c r="AO2609" s="61"/>
    </row>
    <row r="2610" spans="1:41" s="61" customFormat="1" ht="31.5" x14ac:dyDescent="0.25">
      <c r="A2610" s="358"/>
      <c r="B2610" s="361"/>
      <c r="C2610" s="365" t="s">
        <v>78</v>
      </c>
      <c r="D2610" s="156" t="s">
        <v>26</v>
      </c>
      <c r="E2610" s="156" t="s">
        <v>22</v>
      </c>
      <c r="F2610" s="156" t="s">
        <v>22</v>
      </c>
      <c r="G2610" s="238">
        <f t="shared" ref="G2610:G2615" si="550">MROUND(H2610*L2610*I2610/K2610,0.000000000001)</f>
        <v>8.1049170199999993E-2</v>
      </c>
      <c r="H2610" s="158">
        <f>H2096</f>
        <v>4960.26</v>
      </c>
      <c r="I2610" s="159">
        <f>I2606</f>
        <v>0.19555899999999998</v>
      </c>
      <c r="J2610" s="160"/>
      <c r="K2610" s="161">
        <f>K2606</f>
        <v>143620</v>
      </c>
      <c r="L2610" s="250">
        <v>12</v>
      </c>
      <c r="M2610" s="163" t="str">
        <f>CONCATENATE(H2610," ",F2610,"(обрабатываемая площадь в мес.)","*",L2610,"мес.","*",I2610,"/",K2610,"чел/час")</f>
        <v>4960,26 м2(обрабатываемая площадь в мес.)*12мес.*0,195559/143620чел/час</v>
      </c>
      <c r="N2610" s="278">
        <f>N2096</f>
        <v>1.1553999521530458</v>
      </c>
      <c r="O2610" s="280">
        <f>MROUND(N2610*G2610,0.000001)</f>
        <v>9.3643999999999991E-2</v>
      </c>
      <c r="P2610" s="166"/>
      <c r="Q2610" s="166">
        <f t="shared" si="549"/>
        <v>13449.151279999998</v>
      </c>
      <c r="R2610" s="71"/>
    </row>
    <row r="2611" spans="1:41" s="61" customFormat="1" ht="31.5" x14ac:dyDescent="0.25">
      <c r="A2611" s="358"/>
      <c r="B2611" s="361"/>
      <c r="C2611" s="366"/>
      <c r="D2611" s="156" t="s">
        <v>96</v>
      </c>
      <c r="E2611" s="156" t="s">
        <v>22</v>
      </c>
      <c r="F2611" s="156" t="s">
        <v>22</v>
      </c>
      <c r="G2611" s="238">
        <f t="shared" si="550"/>
        <v>4.4889409692999996E-2</v>
      </c>
      <c r="H2611" s="158">
        <f>H2097</f>
        <v>2747.26</v>
      </c>
      <c r="I2611" s="298">
        <f>I2610</f>
        <v>0.19555899999999998</v>
      </c>
      <c r="J2611" s="299"/>
      <c r="K2611" s="300">
        <f>K2610</f>
        <v>143620</v>
      </c>
      <c r="L2611" s="250">
        <v>12</v>
      </c>
      <c r="M2611" s="163" t="str">
        <f>CONCATENATE(H2611," ",F2611,"(обрабатываемая площадь в мес.)","*",L2611,"мес.","*",I2611,"/",K2611,"чел/час")</f>
        <v>2747,26 м2(обрабатываемая площадь в мес.)*12мес.*0,195559/143620чел/час</v>
      </c>
      <c r="N2611" s="278">
        <f>N2097</f>
        <v>1.6108668273115756</v>
      </c>
      <c r="O2611" s="280">
        <f>MROUND(N2611*G2611,0.000001)</f>
        <v>7.2311E-2</v>
      </c>
      <c r="P2611" s="166"/>
      <c r="Q2611" s="166">
        <f t="shared" si="549"/>
        <v>10385.30582</v>
      </c>
      <c r="R2611" s="71"/>
    </row>
    <row r="2612" spans="1:41" s="135" customFormat="1" ht="31.5" x14ac:dyDescent="0.25">
      <c r="A2612" s="358"/>
      <c r="B2612" s="361"/>
      <c r="C2612" s="366"/>
      <c r="D2612" s="156" t="s">
        <v>385</v>
      </c>
      <c r="E2612" s="156" t="s">
        <v>22</v>
      </c>
      <c r="F2612" s="156" t="s">
        <v>22</v>
      </c>
      <c r="G2612" s="238">
        <f t="shared" si="550"/>
        <v>8.9778819385999992E-2</v>
      </c>
      <c r="H2612" s="242">
        <f>$H$2098</f>
        <v>2747.26</v>
      </c>
      <c r="I2612" s="298">
        <f>I2611</f>
        <v>0.19555899999999998</v>
      </c>
      <c r="J2612" s="160"/>
      <c r="K2612" s="300">
        <f>K2611</f>
        <v>143620</v>
      </c>
      <c r="L2612" s="162">
        <v>24</v>
      </c>
      <c r="M2612" s="163" t="str">
        <f>CONCATENATE(H2612," ",F2612,"(обрабатываемая площадь в год)","*",L2612," раза в год.","*",I2612,"/",K2612,"чел.")</f>
        <v>2747,26 м2(обрабатываемая площадь в год)*24 раза в год.*0,195559/143620чел.</v>
      </c>
      <c r="N2612" s="164">
        <f>$N$2098</f>
        <v>1.7779423862321002</v>
      </c>
      <c r="O2612" s="165">
        <f>MROUND(G2612*N2612,0.000001)</f>
        <v>0.15962199999999999</v>
      </c>
      <c r="P2612" s="166"/>
      <c r="Q2612" s="166">
        <f t="shared" si="549"/>
        <v>22924.911639999998</v>
      </c>
      <c r="R2612" s="71"/>
      <c r="S2612" s="61"/>
      <c r="T2612" s="61"/>
      <c r="U2612" s="61"/>
      <c r="V2612" s="61"/>
      <c r="W2612" s="61"/>
      <c r="X2612" s="61"/>
      <c r="Y2612" s="61"/>
      <c r="Z2612" s="61"/>
      <c r="AA2612" s="61"/>
      <c r="AB2612" s="61"/>
      <c r="AC2612" s="61"/>
      <c r="AD2612" s="61"/>
      <c r="AE2612" s="61"/>
      <c r="AF2612" s="61"/>
      <c r="AG2612" s="61"/>
      <c r="AH2612" s="61"/>
      <c r="AI2612" s="61"/>
      <c r="AJ2612" s="61"/>
      <c r="AK2612" s="61"/>
      <c r="AL2612" s="61"/>
      <c r="AM2612" s="61"/>
      <c r="AN2612" s="61"/>
      <c r="AO2612" s="61"/>
    </row>
    <row r="2613" spans="1:41" s="135" customFormat="1" ht="31.5" x14ac:dyDescent="0.25">
      <c r="A2613" s="358"/>
      <c r="B2613" s="361"/>
      <c r="C2613" s="366"/>
      <c r="D2613" s="156" t="s">
        <v>394</v>
      </c>
      <c r="E2613" s="156" t="s">
        <v>22</v>
      </c>
      <c r="F2613" s="156" t="s">
        <v>22</v>
      </c>
      <c r="G2613" s="238">
        <f t="shared" si="550"/>
        <v>8.1049170199999993E-2</v>
      </c>
      <c r="H2613" s="243">
        <f>$H$2099</f>
        <v>4960.26</v>
      </c>
      <c r="I2613" s="298">
        <f>I2612</f>
        <v>0.19555899999999998</v>
      </c>
      <c r="J2613" s="160"/>
      <c r="K2613" s="300">
        <f>K2612</f>
        <v>143620</v>
      </c>
      <c r="L2613" s="162">
        <v>12</v>
      </c>
      <c r="M2613" s="163" t="str">
        <f>CONCATENATE(H2613," ",F2613,"(обрабатываемая площадь в мес.)","*",L2613,"мес.","*",I2613,"/",K2613,"чел.")</f>
        <v>4960,26 м2(обрабатываемая площадь в мес.)*12мес.*0,195559/143620чел.</v>
      </c>
      <c r="N2613" s="164">
        <f>$N$2099</f>
        <v>0.54499999327992221</v>
      </c>
      <c r="O2613" s="165">
        <f>MROUND(G2613*N2613,0.000001)</f>
        <v>4.4171999999999996E-2</v>
      </c>
      <c r="P2613" s="166"/>
      <c r="Q2613" s="166">
        <f t="shared" si="549"/>
        <v>6343.9826399999993</v>
      </c>
      <c r="R2613" s="71"/>
      <c r="S2613" s="61"/>
      <c r="T2613" s="61"/>
      <c r="U2613" s="61"/>
      <c r="V2613" s="61"/>
      <c r="W2613" s="61"/>
      <c r="X2613" s="61"/>
      <c r="Y2613" s="61"/>
      <c r="Z2613" s="61"/>
      <c r="AA2613" s="61"/>
      <c r="AB2613" s="61"/>
      <c r="AC2613" s="61"/>
      <c r="AD2613" s="61"/>
      <c r="AE2613" s="61"/>
      <c r="AF2613" s="61"/>
      <c r="AG2613" s="61"/>
      <c r="AH2613" s="61"/>
      <c r="AI2613" s="61"/>
      <c r="AJ2613" s="61"/>
      <c r="AK2613" s="61"/>
      <c r="AL2613" s="61"/>
      <c r="AM2613" s="61"/>
      <c r="AN2613" s="61"/>
      <c r="AO2613" s="61"/>
    </row>
    <row r="2614" spans="1:41" s="135" customFormat="1" ht="31.5" x14ac:dyDescent="0.25">
      <c r="A2614" s="358"/>
      <c r="B2614" s="361"/>
      <c r="C2614" s="366"/>
      <c r="D2614" s="156" t="s">
        <v>395</v>
      </c>
      <c r="E2614" s="156" t="s">
        <v>98</v>
      </c>
      <c r="F2614" s="156" t="s">
        <v>98</v>
      </c>
      <c r="G2614" s="238">
        <f t="shared" si="550"/>
        <v>2.5598870000000001E-6</v>
      </c>
      <c r="H2614" s="242">
        <f>$H$2100</f>
        <v>1.8800000000000001</v>
      </c>
      <c r="I2614" s="298">
        <f>I2613</f>
        <v>0.19555899999999998</v>
      </c>
      <c r="J2614" s="160"/>
      <c r="K2614" s="300">
        <f>K2613</f>
        <v>143620</v>
      </c>
      <c r="L2614" s="162">
        <v>1</v>
      </c>
      <c r="M2614" s="163" t="str">
        <f>CONCATENATE(H2614," ",F2614,"(обрабатываемая площадь в год)","*",L2614," раз в год","*",I2614,"/",K2614,"чел.")</f>
        <v>1,88 Га(обрабатываемая площадь в год)*1 раз в год*0,195559/143620чел.</v>
      </c>
      <c r="N2614" s="164">
        <f>$N$2100</f>
        <v>544.99999999999989</v>
      </c>
      <c r="O2614" s="165">
        <f>MROUND(G2614*N2614,0.000001)</f>
        <v>1.395E-3</v>
      </c>
      <c r="P2614" s="166"/>
      <c r="Q2614" s="166">
        <f t="shared" si="549"/>
        <v>200.34989999999999</v>
      </c>
      <c r="R2614" s="71"/>
      <c r="S2614" s="61"/>
      <c r="T2614" s="61"/>
      <c r="U2614" s="61"/>
      <c r="V2614" s="61"/>
      <c r="W2614" s="61"/>
      <c r="X2614" s="61"/>
      <c r="Y2614" s="61"/>
      <c r="Z2614" s="61"/>
      <c r="AA2614" s="61"/>
      <c r="AB2614" s="61"/>
      <c r="AC2614" s="61"/>
      <c r="AD2614" s="61"/>
      <c r="AE2614" s="61"/>
      <c r="AF2614" s="61"/>
      <c r="AG2614" s="61"/>
      <c r="AH2614" s="61"/>
      <c r="AI2614" s="61"/>
      <c r="AJ2614" s="61"/>
      <c r="AK2614" s="61"/>
      <c r="AL2614" s="61"/>
      <c r="AM2614" s="61"/>
      <c r="AN2614" s="61"/>
      <c r="AO2614" s="61"/>
    </row>
    <row r="2615" spans="1:41" s="61" customFormat="1" ht="31.5" x14ac:dyDescent="0.25">
      <c r="A2615" s="358"/>
      <c r="B2615" s="361"/>
      <c r="C2615" s="367"/>
      <c r="D2615" s="156" t="s">
        <v>97</v>
      </c>
      <c r="E2615" s="156" t="s">
        <v>363</v>
      </c>
      <c r="F2615" s="156" t="s">
        <v>363</v>
      </c>
      <c r="G2615" s="238">
        <f t="shared" si="550"/>
        <v>2.5598870000000001E-6</v>
      </c>
      <c r="H2615" s="158">
        <f>$H$2101</f>
        <v>1.8800000000000001</v>
      </c>
      <c r="I2615" s="298">
        <f>I2611</f>
        <v>0.19555899999999998</v>
      </c>
      <c r="J2615" s="299"/>
      <c r="K2615" s="300">
        <f>K2611</f>
        <v>143620</v>
      </c>
      <c r="L2615" s="250">
        <v>1</v>
      </c>
      <c r="M2615" s="163" t="str">
        <f>CONCATENATE(H2615," ",F2615,"(обрабатываемая площадь в мес.)","*",L2615,"мес.","*",I2615,"/",K2615,"чел/час")</f>
        <v>1,88 га(обрабатываемая площадь в мес.)*1мес.*0,195559/143620чел/час</v>
      </c>
      <c r="N2615" s="278">
        <f>$N$2101</f>
        <v>2965.9734042553187</v>
      </c>
      <c r="O2615" s="280">
        <f>MROUND(N2615*G2615,0.000001)</f>
        <v>7.5929999999999999E-3</v>
      </c>
      <c r="P2615" s="166"/>
      <c r="Q2615" s="166">
        <f t="shared" si="549"/>
        <v>1090.50666</v>
      </c>
      <c r="R2615" s="71"/>
    </row>
    <row r="2616" spans="1:41" s="109" customFormat="1" x14ac:dyDescent="0.25">
      <c r="A2616" s="358"/>
      <c r="B2616" s="361"/>
      <c r="C2616" s="218" t="s">
        <v>327</v>
      </c>
      <c r="D2616" s="240"/>
      <c r="E2616" s="240"/>
      <c r="F2616" s="240"/>
      <c r="G2616" s="227"/>
      <c r="H2616" s="241"/>
      <c r="I2616" s="206"/>
      <c r="J2616" s="228"/>
      <c r="K2616" s="207"/>
      <c r="L2616" s="257"/>
      <c r="M2616" s="209"/>
      <c r="N2616" s="281"/>
      <c r="O2616" s="279">
        <f>SUM(O2610:O2615)</f>
        <v>0.37873699999999999</v>
      </c>
      <c r="P2616" s="267"/>
      <c r="Q2616" s="166"/>
      <c r="R2616" s="71"/>
      <c r="S2616" s="62"/>
      <c r="T2616" s="62"/>
      <c r="U2616" s="62"/>
      <c r="V2616" s="62"/>
      <c r="W2616" s="62"/>
      <c r="X2616" s="62"/>
      <c r="Y2616" s="62"/>
      <c r="Z2616" s="62"/>
      <c r="AA2616" s="62"/>
      <c r="AB2616" s="62"/>
      <c r="AC2616" s="62"/>
      <c r="AD2616" s="62"/>
      <c r="AE2616" s="62"/>
      <c r="AF2616" s="62"/>
      <c r="AG2616" s="62"/>
      <c r="AH2616" s="62"/>
      <c r="AI2616" s="62"/>
      <c r="AJ2616" s="62"/>
      <c r="AK2616" s="62"/>
      <c r="AL2616" s="62"/>
      <c r="AM2616" s="62"/>
      <c r="AN2616" s="62"/>
      <c r="AO2616" s="62"/>
    </row>
    <row r="2617" spans="1:41" s="61" customFormat="1" x14ac:dyDescent="0.25">
      <c r="A2617" s="358"/>
      <c r="B2617" s="361"/>
      <c r="C2617" s="366" t="s">
        <v>77</v>
      </c>
      <c r="D2617" s="156" t="s">
        <v>397</v>
      </c>
      <c r="E2617" s="156" t="s">
        <v>433</v>
      </c>
      <c r="F2617" s="156" t="s">
        <v>433</v>
      </c>
      <c r="G2617" s="238">
        <f t="shared" ref="G2617:G2631" si="551">MROUND(H2617*L2617*I2617/K2617,0.000000000001)</f>
        <v>0</v>
      </c>
      <c r="H2617" s="158"/>
      <c r="I2617" s="306">
        <f>I2611</f>
        <v>0.19555899999999998</v>
      </c>
      <c r="J2617" s="307"/>
      <c r="K2617" s="308">
        <f>K2611</f>
        <v>143620</v>
      </c>
      <c r="L2617" s="162">
        <v>1</v>
      </c>
      <c r="M2617" s="163"/>
      <c r="N2617" s="278"/>
      <c r="O2617" s="280">
        <f t="shared" ref="O2617:O2631" si="552">MROUND(N2617*G2617,0.000001)</f>
        <v>0</v>
      </c>
      <c r="P2617" s="166"/>
      <c r="Q2617" s="166">
        <f t="shared" ref="Q2617:Q2631" si="553">O2617*K2617</f>
        <v>0</v>
      </c>
      <c r="R2617" s="71"/>
    </row>
    <row r="2618" spans="1:41" s="61" customFormat="1" ht="63" x14ac:dyDescent="0.25">
      <c r="A2618" s="358"/>
      <c r="B2618" s="361"/>
      <c r="C2618" s="366"/>
      <c r="D2618" s="156" t="s">
        <v>249</v>
      </c>
      <c r="E2618" s="156" t="s">
        <v>22</v>
      </c>
      <c r="F2618" s="156" t="s">
        <v>22</v>
      </c>
      <c r="G2618" s="238">
        <f t="shared" si="551"/>
        <v>1.1287302738999999E-2</v>
      </c>
      <c r="H2618" s="158">
        <f>H2104</f>
        <v>690.79</v>
      </c>
      <c r="I2618" s="159">
        <f>I2617</f>
        <v>0.19555899999999998</v>
      </c>
      <c r="J2618" s="160"/>
      <c r="K2618" s="161">
        <f>K2617</f>
        <v>143620</v>
      </c>
      <c r="L2618" s="250">
        <v>12</v>
      </c>
      <c r="M2618" s="163" t="str">
        <f>CONCATENATE(H2618," ",F2618,"*",L2618,"мес.","*",I2618,"/",K2618,"чел/час")</f>
        <v>690,79 м2*12мес.*0,195559/143620чел/час</v>
      </c>
      <c r="N2618" s="278">
        <f>N2208</f>
        <v>30.306671829837342</v>
      </c>
      <c r="O2618" s="280">
        <f t="shared" si="552"/>
        <v>0.34208099999999997</v>
      </c>
      <c r="P2618" s="166"/>
      <c r="Q2618" s="166">
        <f t="shared" si="553"/>
        <v>49129.673219999997</v>
      </c>
      <c r="R2618" s="71"/>
    </row>
    <row r="2619" spans="1:41" s="136" customFormat="1" x14ac:dyDescent="0.25">
      <c r="A2619" s="358"/>
      <c r="B2619" s="361"/>
      <c r="C2619" s="366"/>
      <c r="D2619" s="194" t="s">
        <v>398</v>
      </c>
      <c r="E2619" s="156" t="s">
        <v>60</v>
      </c>
      <c r="F2619" s="156" t="s">
        <v>60</v>
      </c>
      <c r="G2619" s="238">
        <f t="shared" si="551"/>
        <v>6.8082089999999999E-6</v>
      </c>
      <c r="H2619" s="158">
        <f>$H$2105</f>
        <v>5</v>
      </c>
      <c r="I2619" s="159">
        <f>I2618</f>
        <v>0.19555899999999998</v>
      </c>
      <c r="J2619" s="160"/>
      <c r="K2619" s="161">
        <f>K2618</f>
        <v>143620</v>
      </c>
      <c r="L2619" s="250">
        <v>1</v>
      </c>
      <c r="M2619" s="163" t="str">
        <f>CONCATENATE(H2619," ",F2619,"*",I2619,"/",K2619,"чел/час")</f>
        <v>5 шт.*0,195559/143620чел/час</v>
      </c>
      <c r="N2619" s="278">
        <f>$N$2105</f>
        <v>11009</v>
      </c>
      <c r="O2619" s="280">
        <f t="shared" si="552"/>
        <v>7.4951999999999991E-2</v>
      </c>
      <c r="P2619" s="166"/>
      <c r="Q2619" s="166">
        <f t="shared" si="553"/>
        <v>10764.606239999999</v>
      </c>
      <c r="R2619" s="71"/>
      <c r="S2619" s="61"/>
      <c r="T2619" s="61"/>
      <c r="U2619" s="61"/>
      <c r="V2619" s="61"/>
      <c r="W2619" s="61"/>
      <c r="X2619" s="61"/>
      <c r="Y2619" s="61"/>
      <c r="Z2619" s="61"/>
      <c r="AA2619" s="61"/>
      <c r="AB2619" s="61"/>
      <c r="AC2619" s="61"/>
      <c r="AD2619" s="61"/>
      <c r="AE2619" s="61"/>
      <c r="AF2619" s="61"/>
      <c r="AG2619" s="61"/>
      <c r="AH2619" s="61"/>
      <c r="AI2619" s="61"/>
      <c r="AJ2619" s="61"/>
      <c r="AK2619" s="61"/>
      <c r="AL2619" s="61"/>
      <c r="AM2619" s="61"/>
      <c r="AN2619" s="61"/>
      <c r="AO2619" s="61"/>
    </row>
    <row r="2620" spans="1:41" s="136" customFormat="1" ht="63" x14ac:dyDescent="0.25">
      <c r="A2620" s="358"/>
      <c r="B2620" s="361"/>
      <c r="C2620" s="366"/>
      <c r="D2620" s="156" t="s">
        <v>33</v>
      </c>
      <c r="E2620" s="156" t="s">
        <v>56</v>
      </c>
      <c r="F2620" s="156" t="s">
        <v>220</v>
      </c>
      <c r="G2620" s="238">
        <f t="shared" si="551"/>
        <v>6.8082089999999999E-6</v>
      </c>
      <c r="H2620" s="158">
        <f>$H$2106</f>
        <v>5</v>
      </c>
      <c r="I2620" s="159">
        <f>I2619</f>
        <v>0.19555899999999998</v>
      </c>
      <c r="J2620" s="160"/>
      <c r="K2620" s="161">
        <f>K2619</f>
        <v>143620</v>
      </c>
      <c r="L2620" s="250">
        <f>$L$2106</f>
        <v>1</v>
      </c>
      <c r="M2620" s="163" t="str">
        <f>CONCATENATE(H2620," ",F2620,"*",L2620," раз в год","*",I2620,"/",K2620,"чел.")</f>
        <v>5 дымоходов*1 раз в год*0,195559/143620чел.</v>
      </c>
      <c r="N2620" s="278">
        <f>$N$2106</f>
        <v>6540</v>
      </c>
      <c r="O2620" s="280">
        <f t="shared" si="552"/>
        <v>4.4525999999999996E-2</v>
      </c>
      <c r="P2620" s="166"/>
      <c r="Q2620" s="166">
        <f t="shared" si="553"/>
        <v>6394.8241199999993</v>
      </c>
      <c r="R2620" s="71"/>
      <c r="S2620" s="61"/>
      <c r="T2620" s="61"/>
      <c r="U2620" s="61"/>
      <c r="V2620" s="61"/>
      <c r="W2620" s="61"/>
      <c r="X2620" s="61"/>
      <c r="Y2620" s="61"/>
      <c r="Z2620" s="61"/>
      <c r="AA2620" s="61"/>
      <c r="AB2620" s="61"/>
      <c r="AC2620" s="61"/>
      <c r="AD2620" s="61"/>
      <c r="AE2620" s="61"/>
      <c r="AF2620" s="61"/>
      <c r="AG2620" s="61"/>
      <c r="AH2620" s="61"/>
      <c r="AI2620" s="61"/>
      <c r="AJ2620" s="61"/>
      <c r="AK2620" s="61"/>
      <c r="AL2620" s="61"/>
      <c r="AM2620" s="61"/>
      <c r="AN2620" s="61"/>
      <c r="AO2620" s="61"/>
    </row>
    <row r="2621" spans="1:41" s="61" customFormat="1" ht="78.75" x14ac:dyDescent="0.25">
      <c r="A2621" s="358"/>
      <c r="B2621" s="361"/>
      <c r="C2621" s="366"/>
      <c r="D2621" s="156" t="s">
        <v>250</v>
      </c>
      <c r="E2621" s="156" t="s">
        <v>251</v>
      </c>
      <c r="F2621" s="156" t="s">
        <v>60</v>
      </c>
      <c r="G2621" s="238">
        <f t="shared" si="551"/>
        <v>6.8082089999999999E-6</v>
      </c>
      <c r="H2621" s="158">
        <f>$H$2107</f>
        <v>5</v>
      </c>
      <c r="I2621" s="159">
        <f>I2618</f>
        <v>0.19555899999999998</v>
      </c>
      <c r="J2621" s="160"/>
      <c r="K2621" s="161">
        <f>K2618</f>
        <v>143620</v>
      </c>
      <c r="L2621" s="250">
        <v>1</v>
      </c>
      <c r="M2621" s="163" t="str">
        <f>CONCATENATE(H2621," ",F2621,"*",I2621,"/",K2621,"чел/час")</f>
        <v>5 шт.*0,195559/143620чел/час</v>
      </c>
      <c r="N2621" s="278">
        <f t="shared" ref="N2621:N2631" si="554">N2107</f>
        <v>52320</v>
      </c>
      <c r="O2621" s="280">
        <f t="shared" si="552"/>
        <v>0.35620499999999999</v>
      </c>
      <c r="P2621" s="166"/>
      <c r="Q2621" s="166">
        <f t="shared" si="553"/>
        <v>51158.162100000001</v>
      </c>
      <c r="R2621" s="71"/>
    </row>
    <row r="2622" spans="1:41" s="61" customFormat="1" ht="47.25" x14ac:dyDescent="0.25">
      <c r="A2622" s="358"/>
      <c r="B2622" s="361"/>
      <c r="C2622" s="366"/>
      <c r="D2622" s="156" t="s">
        <v>401</v>
      </c>
      <c r="E2622" s="156" t="s">
        <v>60</v>
      </c>
      <c r="F2622" s="156" t="s">
        <v>402</v>
      </c>
      <c r="G2622" s="238">
        <f t="shared" si="551"/>
        <v>1.3616418E-5</v>
      </c>
      <c r="H2622" s="158">
        <f>H2108</f>
        <v>5</v>
      </c>
      <c r="I2622" s="159">
        <f>I2621</f>
        <v>0.19555899999999998</v>
      </c>
      <c r="J2622" s="160"/>
      <c r="K2622" s="161">
        <f>K2621</f>
        <v>143620</v>
      </c>
      <c r="L2622" s="250">
        <f>$L$2108</f>
        <v>2</v>
      </c>
      <c r="M2622" s="163" t="str">
        <f>CONCATENATE(H2622," ",F2622,"*",I2622,"/",K2622,"чел/час")</f>
        <v>5 противопожарных водопроводов*0,195559/143620чел/час</v>
      </c>
      <c r="N2622" s="278">
        <f t="shared" si="554"/>
        <v>5450</v>
      </c>
      <c r="O2622" s="280">
        <f t="shared" si="552"/>
        <v>7.4208999999999997E-2</v>
      </c>
      <c r="P2622" s="166"/>
      <c r="Q2622" s="166">
        <f t="shared" si="553"/>
        <v>10657.896579999999</v>
      </c>
      <c r="R2622" s="71"/>
    </row>
    <row r="2623" spans="1:41" s="61" customFormat="1" ht="47.25" x14ac:dyDescent="0.25">
      <c r="A2623" s="358"/>
      <c r="B2623" s="361"/>
      <c r="C2623" s="366"/>
      <c r="D2623" s="156" t="s">
        <v>34</v>
      </c>
      <c r="E2623" s="156" t="s">
        <v>59</v>
      </c>
      <c r="F2623" s="156" t="s">
        <v>28</v>
      </c>
      <c r="G2623" s="238">
        <f t="shared" si="551"/>
        <v>2.7232839999999998E-6</v>
      </c>
      <c r="H2623" s="158">
        <f>H2109</f>
        <v>2</v>
      </c>
      <c r="I2623" s="159">
        <f>I2622</f>
        <v>0.19555899999999998</v>
      </c>
      <c r="J2623" s="160"/>
      <c r="K2623" s="161">
        <f>K2622</f>
        <v>143620</v>
      </c>
      <c r="L2623" s="250">
        <v>1</v>
      </c>
      <c r="M2623" s="163" t="str">
        <f>CONCATENATE(H2623," ",F2623,"*",I2623,"/",K2623,"чел/час")</f>
        <v>2 шт*0,195559/143620чел/час</v>
      </c>
      <c r="N2623" s="278">
        <f t="shared" si="554"/>
        <v>7500</v>
      </c>
      <c r="O2623" s="280">
        <f t="shared" si="552"/>
        <v>2.0424999999999999E-2</v>
      </c>
      <c r="P2623" s="166"/>
      <c r="Q2623" s="166">
        <f t="shared" si="553"/>
        <v>2933.4384999999997</v>
      </c>
      <c r="R2623" s="71"/>
    </row>
    <row r="2624" spans="1:41" s="61" customFormat="1" ht="47.25" x14ac:dyDescent="0.25">
      <c r="A2624" s="358"/>
      <c r="B2624" s="361"/>
      <c r="C2624" s="366"/>
      <c r="D2624" s="156" t="s">
        <v>222</v>
      </c>
      <c r="E2624" s="156" t="s">
        <v>60</v>
      </c>
      <c r="F2624" s="156" t="s">
        <v>60</v>
      </c>
      <c r="G2624" s="238">
        <f t="shared" si="551"/>
        <v>2.7232839999999998E-6</v>
      </c>
      <c r="H2624" s="158">
        <f>H2110</f>
        <v>2</v>
      </c>
      <c r="I2624" s="159">
        <f>I2623</f>
        <v>0.19555899999999998</v>
      </c>
      <c r="J2624" s="160"/>
      <c r="K2624" s="161">
        <f>K2623</f>
        <v>143620</v>
      </c>
      <c r="L2624" s="250">
        <v>1</v>
      </c>
      <c r="M2624" s="163" t="str">
        <f>CONCATENATE(H2624," ",F2624,"*",I2624,"/",K2624,"чел/час")</f>
        <v>2 шт.*0,195559/143620чел/час</v>
      </c>
      <c r="N2624" s="278">
        <f t="shared" si="554"/>
        <v>13000</v>
      </c>
      <c r="O2624" s="280">
        <f t="shared" si="552"/>
        <v>3.5402999999999997E-2</v>
      </c>
      <c r="P2624" s="166"/>
      <c r="Q2624" s="166">
        <f t="shared" si="553"/>
        <v>5084.5788599999996</v>
      </c>
      <c r="R2624" s="71"/>
    </row>
    <row r="2625" spans="1:41" s="61" customFormat="1" ht="31.5" x14ac:dyDescent="0.25">
      <c r="A2625" s="358"/>
      <c r="B2625" s="361"/>
      <c r="C2625" s="366"/>
      <c r="D2625" s="156" t="s">
        <v>35</v>
      </c>
      <c r="E2625" s="156" t="s">
        <v>102</v>
      </c>
      <c r="F2625" s="156" t="s">
        <v>252</v>
      </c>
      <c r="G2625" s="238">
        <f t="shared" si="551"/>
        <v>2.7232839999999998E-6</v>
      </c>
      <c r="H2625" s="158">
        <f>H2111</f>
        <v>2</v>
      </c>
      <c r="I2625" s="159">
        <f>I2623</f>
        <v>0.19555899999999998</v>
      </c>
      <c r="J2625" s="160"/>
      <c r="K2625" s="161">
        <f>K2623</f>
        <v>143620</v>
      </c>
      <c r="L2625" s="250">
        <v>1</v>
      </c>
      <c r="M2625" s="163" t="str">
        <f>CONCATENATE(H2625," ",F2625,"*",I2625,"/",K2625,"чел/час")</f>
        <v>2 замера*0,195559/143620чел/час</v>
      </c>
      <c r="N2625" s="278">
        <f t="shared" si="554"/>
        <v>25830</v>
      </c>
      <c r="O2625" s="280">
        <f t="shared" si="552"/>
        <v>7.0342000000000002E-2</v>
      </c>
      <c r="P2625" s="166"/>
      <c r="Q2625" s="166">
        <f t="shared" si="553"/>
        <v>10102.518040000001</v>
      </c>
      <c r="R2625" s="71"/>
    </row>
    <row r="2626" spans="1:41" s="61" customFormat="1" ht="47.25" x14ac:dyDescent="0.25">
      <c r="A2626" s="358"/>
      <c r="B2626" s="361"/>
      <c r="C2626" s="366"/>
      <c r="D2626" s="156" t="s">
        <v>399</v>
      </c>
      <c r="E2626" s="156" t="s">
        <v>60</v>
      </c>
      <c r="F2626" s="156" t="s">
        <v>60</v>
      </c>
      <c r="G2626" s="238">
        <f t="shared" si="551"/>
        <v>5.4465673000000002E-5</v>
      </c>
      <c r="H2626" s="158">
        <f>$H$2112</f>
        <v>4</v>
      </c>
      <c r="I2626" s="159">
        <f>I2625</f>
        <v>0.19555899999999998</v>
      </c>
      <c r="J2626" s="160"/>
      <c r="K2626" s="161">
        <f>K2625</f>
        <v>143620</v>
      </c>
      <c r="L2626" s="250">
        <v>10</v>
      </c>
      <c r="M2626" s="163" t="str">
        <f>CONCATENATE(H2626," ",F2626,"*",L2626,"мес.","*",I2626,"/",K2626,"чел/час")</f>
        <v>4 шт.*10мес.*0,195559/143620чел/час</v>
      </c>
      <c r="N2626" s="278">
        <f t="shared" si="554"/>
        <v>2411.625</v>
      </c>
      <c r="O2626" s="280">
        <f t="shared" si="552"/>
        <v>0.131351</v>
      </c>
      <c r="P2626" s="166"/>
      <c r="Q2626" s="166">
        <f t="shared" si="553"/>
        <v>18864.63062</v>
      </c>
      <c r="R2626" s="71"/>
    </row>
    <row r="2627" spans="1:41" s="61" customFormat="1" ht="47.25" x14ac:dyDescent="0.25">
      <c r="A2627" s="358"/>
      <c r="B2627" s="361"/>
      <c r="C2627" s="366"/>
      <c r="D2627" s="156" t="s">
        <v>36</v>
      </c>
      <c r="E2627" s="156" t="s">
        <v>31</v>
      </c>
      <c r="F2627" s="156" t="s">
        <v>224</v>
      </c>
      <c r="G2627" s="238">
        <f t="shared" si="551"/>
        <v>1.3071761600000001E-4</v>
      </c>
      <c r="H2627" s="158">
        <f>H2113</f>
        <v>8</v>
      </c>
      <c r="I2627" s="159">
        <f>I2626</f>
        <v>0.19555899999999998</v>
      </c>
      <c r="J2627" s="160"/>
      <c r="K2627" s="161">
        <f>K2626</f>
        <v>143620</v>
      </c>
      <c r="L2627" s="250">
        <v>12</v>
      </c>
      <c r="M2627" s="163" t="str">
        <f>CONCATENATE(H2627," ",F2627,"*",L2627,"мес.","*",I2627,"/",K2627,"чел/час")</f>
        <v>8 устройств*12мес.*0,195559/143620чел/час</v>
      </c>
      <c r="N2627" s="278">
        <f t="shared" si="554"/>
        <v>2200</v>
      </c>
      <c r="O2627" s="280">
        <f t="shared" si="552"/>
        <v>0.28757899999999997</v>
      </c>
      <c r="P2627" s="166"/>
      <c r="Q2627" s="166">
        <f t="shared" si="553"/>
        <v>41302.095979999998</v>
      </c>
      <c r="R2627" s="71"/>
    </row>
    <row r="2628" spans="1:41" s="61" customFormat="1" ht="63" x14ac:dyDescent="0.25">
      <c r="A2628" s="358"/>
      <c r="B2628" s="361"/>
      <c r="C2628" s="366"/>
      <c r="D2628" s="156" t="s">
        <v>253</v>
      </c>
      <c r="E2628" s="156" t="s">
        <v>55</v>
      </c>
      <c r="F2628" s="156" t="s">
        <v>55</v>
      </c>
      <c r="G2628" s="238">
        <f t="shared" si="551"/>
        <v>8.1698509999999998E-5</v>
      </c>
      <c r="H2628" s="158">
        <f>H2114</f>
        <v>5</v>
      </c>
      <c r="I2628" s="159">
        <f>I2627</f>
        <v>0.19555899999999998</v>
      </c>
      <c r="J2628" s="160"/>
      <c r="K2628" s="161">
        <f>K2627</f>
        <v>143620</v>
      </c>
      <c r="L2628" s="250">
        <v>12</v>
      </c>
      <c r="M2628" s="163" t="str">
        <f>CONCATENATE(H2628," ",F2628,"*",I2628,"/",K2628,"чел/час")</f>
        <v>5 система*0,195559/143620чел/час</v>
      </c>
      <c r="N2628" s="278">
        <f t="shared" si="554"/>
        <v>4251</v>
      </c>
      <c r="O2628" s="280">
        <f t="shared" si="552"/>
        <v>0.3473</v>
      </c>
      <c r="P2628" s="166"/>
      <c r="Q2628" s="166">
        <f t="shared" si="553"/>
        <v>49879.226000000002</v>
      </c>
      <c r="R2628" s="71"/>
    </row>
    <row r="2629" spans="1:41" s="61" customFormat="1" ht="31.5" x14ac:dyDescent="0.25">
      <c r="A2629" s="358"/>
      <c r="B2629" s="361"/>
      <c r="C2629" s="366"/>
      <c r="D2629" s="156" t="s">
        <v>99</v>
      </c>
      <c r="E2629" s="156" t="s">
        <v>103</v>
      </c>
      <c r="F2629" s="156" t="s">
        <v>225</v>
      </c>
      <c r="G2629" s="238">
        <f t="shared" si="551"/>
        <v>6.3997166000000005E-5</v>
      </c>
      <c r="H2629" s="158">
        <f>H2115</f>
        <v>47</v>
      </c>
      <c r="I2629" s="159">
        <f>I2628</f>
        <v>0.19555899999999998</v>
      </c>
      <c r="J2629" s="160"/>
      <c r="K2629" s="161">
        <f>K2628</f>
        <v>143620</v>
      </c>
      <c r="L2629" s="250">
        <v>1</v>
      </c>
      <c r="M2629" s="163" t="str">
        <f>CONCATENATE(H2629," ",F2629,"*",I2629,"/",K2629,"чел.")</f>
        <v>47 ед.*0,195559/143620чел.</v>
      </c>
      <c r="N2629" s="164">
        <f t="shared" si="554"/>
        <v>15000</v>
      </c>
      <c r="O2629" s="165">
        <f>MROUND(G2629*N2629,0.000001)</f>
        <v>0.95995699999999995</v>
      </c>
      <c r="P2629" s="166"/>
      <c r="Q2629" s="166">
        <f t="shared" si="553"/>
        <v>137869.02434</v>
      </c>
      <c r="R2629" s="71"/>
    </row>
    <row r="2630" spans="1:41" s="61" customFormat="1" x14ac:dyDescent="0.25">
      <c r="A2630" s="358"/>
      <c r="B2630" s="361"/>
      <c r="C2630" s="366"/>
      <c r="D2630" s="156" t="s">
        <v>27</v>
      </c>
      <c r="E2630" s="156" t="s">
        <v>28</v>
      </c>
      <c r="F2630" s="156" t="s">
        <v>28</v>
      </c>
      <c r="G2630" s="238">
        <f t="shared" si="551"/>
        <v>5.7188957000000001E-4</v>
      </c>
      <c r="H2630" s="160">
        <f>H2116</f>
        <v>420</v>
      </c>
      <c r="I2630" s="159">
        <f>I2628</f>
        <v>0.19555899999999998</v>
      </c>
      <c r="J2630" s="160"/>
      <c r="K2630" s="161">
        <f>K2628</f>
        <v>143620</v>
      </c>
      <c r="L2630" s="250">
        <v>1</v>
      </c>
      <c r="M2630" s="163" t="str">
        <f>CONCATENATE(H2630," ",F2630,"*",I2630,"/",K2630,"чел/час")</f>
        <v>420 шт*0,195559/143620чел/час</v>
      </c>
      <c r="N2630" s="278">
        <f t="shared" si="554"/>
        <v>400</v>
      </c>
      <c r="O2630" s="280">
        <f t="shared" si="552"/>
        <v>0.22875599999999999</v>
      </c>
      <c r="P2630" s="166"/>
      <c r="Q2630" s="166">
        <f t="shared" si="553"/>
        <v>32853.936719999998</v>
      </c>
      <c r="R2630" s="71"/>
    </row>
    <row r="2631" spans="1:41" s="61" customFormat="1" ht="31.5" x14ac:dyDescent="0.25">
      <c r="A2631" s="358"/>
      <c r="B2631" s="361"/>
      <c r="C2631" s="367"/>
      <c r="D2631" s="156" t="s">
        <v>104</v>
      </c>
      <c r="E2631" s="156" t="s">
        <v>105</v>
      </c>
      <c r="F2631" s="156" t="s">
        <v>226</v>
      </c>
      <c r="G2631" s="238">
        <f t="shared" si="551"/>
        <v>6.8082089999999999E-6</v>
      </c>
      <c r="H2631" s="160">
        <f>H2117</f>
        <v>5</v>
      </c>
      <c r="I2631" s="159">
        <f>I2630</f>
        <v>0.19555899999999998</v>
      </c>
      <c r="J2631" s="160"/>
      <c r="K2631" s="161">
        <f>K2630</f>
        <v>143620</v>
      </c>
      <c r="L2631" s="250">
        <v>1</v>
      </c>
      <c r="M2631" s="163" t="str">
        <f>CONCATENATE(H2631," ",F2631,"*",I2631,"/",K2631,"чел/час")</f>
        <v>5 отключений*0,195559/143620чел/час</v>
      </c>
      <c r="N2631" s="278">
        <f t="shared" si="554"/>
        <v>9810</v>
      </c>
      <c r="O2631" s="280">
        <f t="shared" si="552"/>
        <v>6.6789000000000001E-2</v>
      </c>
      <c r="P2631" s="166"/>
      <c r="Q2631" s="166">
        <f t="shared" si="553"/>
        <v>9592.2361799999999</v>
      </c>
      <c r="R2631" s="71"/>
    </row>
    <row r="2632" spans="1:41" s="109" customFormat="1" x14ac:dyDescent="0.25">
      <c r="A2632" s="358"/>
      <c r="B2632" s="361"/>
      <c r="C2632" s="249" t="s">
        <v>326</v>
      </c>
      <c r="D2632" s="240"/>
      <c r="E2632" s="240"/>
      <c r="F2632" s="240"/>
      <c r="G2632" s="227"/>
      <c r="H2632" s="228"/>
      <c r="I2632" s="206"/>
      <c r="J2632" s="228"/>
      <c r="K2632" s="207"/>
      <c r="L2632" s="257"/>
      <c r="M2632" s="209"/>
      <c r="N2632" s="281"/>
      <c r="O2632" s="279">
        <f>SUM(O2617:O2631)</f>
        <v>3.0398749999999999</v>
      </c>
      <c r="P2632" s="267"/>
      <c r="Q2632" s="166"/>
      <c r="R2632" s="71"/>
      <c r="S2632" s="62"/>
      <c r="T2632" s="62"/>
      <c r="U2632" s="62"/>
      <c r="V2632" s="62"/>
      <c r="W2632" s="62"/>
      <c r="X2632" s="62"/>
      <c r="Y2632" s="62"/>
      <c r="Z2632" s="62"/>
      <c r="AA2632" s="62"/>
      <c r="AB2632" s="62"/>
      <c r="AC2632" s="62"/>
      <c r="AD2632" s="62"/>
      <c r="AE2632" s="62"/>
      <c r="AF2632" s="62"/>
      <c r="AG2632" s="62"/>
      <c r="AH2632" s="62"/>
      <c r="AI2632" s="62"/>
      <c r="AJ2632" s="62"/>
      <c r="AK2632" s="62"/>
      <c r="AL2632" s="62"/>
      <c r="AM2632" s="62"/>
      <c r="AN2632" s="62"/>
      <c r="AO2632" s="62"/>
    </row>
    <row r="2633" spans="1:41" s="61" customFormat="1" ht="31.5" x14ac:dyDescent="0.25">
      <c r="A2633" s="358"/>
      <c r="B2633" s="361"/>
      <c r="C2633" s="221" t="s">
        <v>79</v>
      </c>
      <c r="D2633" s="156" t="s">
        <v>37</v>
      </c>
      <c r="E2633" s="156" t="s">
        <v>61</v>
      </c>
      <c r="F2633" s="156" t="s">
        <v>254</v>
      </c>
      <c r="G2633" s="238">
        <f>MROUND(H2633*L2633*I2633/K2633,0.000000000001)</f>
        <v>1.3616419999999999E-6</v>
      </c>
      <c r="H2633" s="158">
        <f>$H$2119</f>
        <v>1</v>
      </c>
      <c r="I2633" s="159">
        <f>I2631</f>
        <v>0.19555899999999998</v>
      </c>
      <c r="J2633" s="160"/>
      <c r="K2633" s="161">
        <f>K2631</f>
        <v>143620</v>
      </c>
      <c r="L2633" s="250">
        <v>1</v>
      </c>
      <c r="M2633" s="163" t="str">
        <f>CONCATENATE(H2633," ",F2633,"*",I2633,"/",K2633,"чел/час")</f>
        <v>1 автобус*0,195559/143620чел/час</v>
      </c>
      <c r="N2633" s="278">
        <f>N2119</f>
        <v>23352.160000000003</v>
      </c>
      <c r="O2633" s="280">
        <f>MROUND(N2633*G2633,0.000001)</f>
        <v>3.1796999999999999E-2</v>
      </c>
      <c r="P2633" s="166"/>
      <c r="Q2633" s="166">
        <f>O2633*K2633</f>
        <v>4566.6851399999996</v>
      </c>
      <c r="R2633" s="71"/>
    </row>
    <row r="2634" spans="1:41" s="61" customFormat="1" x14ac:dyDescent="0.25">
      <c r="A2634" s="358"/>
      <c r="B2634" s="361"/>
      <c r="C2634" s="221"/>
      <c r="D2634" s="156" t="s">
        <v>255</v>
      </c>
      <c r="E2634" s="156" t="s">
        <v>28</v>
      </c>
      <c r="F2634" s="156" t="s">
        <v>28</v>
      </c>
      <c r="G2634" s="238">
        <f>MROUND(H2634*L2634*I2634/K2634,0.000000000001)</f>
        <v>9.3953286499999999E-4</v>
      </c>
      <c r="H2634" s="158">
        <f>H2120</f>
        <v>345</v>
      </c>
      <c r="I2634" s="159">
        <f>I2633</f>
        <v>0.19555899999999998</v>
      </c>
      <c r="J2634" s="160"/>
      <c r="K2634" s="161">
        <f>K2633</f>
        <v>143620</v>
      </c>
      <c r="L2634" s="250">
        <v>2</v>
      </c>
      <c r="M2634" s="163" t="str">
        <f>CONCATENATE(H2634," ",F2634,"*",L2634,"раза в год","*",I2634,"/",K2634,"чел/час")</f>
        <v>345 шт*2раза в год*0,195559/143620чел/час</v>
      </c>
      <c r="N2634" s="278">
        <f>N2120</f>
        <v>436</v>
      </c>
      <c r="O2634" s="280">
        <f>MROUND(N2634*G2634,0.000001)</f>
        <v>0.409636</v>
      </c>
      <c r="P2634" s="166"/>
      <c r="Q2634" s="166">
        <f>O2634*K2634</f>
        <v>58831.922319999998</v>
      </c>
      <c r="R2634" s="71"/>
    </row>
    <row r="2635" spans="1:41" s="109" customFormat="1" x14ac:dyDescent="0.25">
      <c r="A2635" s="358"/>
      <c r="B2635" s="361"/>
      <c r="C2635" s="218" t="s">
        <v>328</v>
      </c>
      <c r="D2635" s="240"/>
      <c r="E2635" s="240"/>
      <c r="F2635" s="240"/>
      <c r="G2635" s="227"/>
      <c r="H2635" s="241"/>
      <c r="I2635" s="206"/>
      <c r="J2635" s="228"/>
      <c r="K2635" s="207"/>
      <c r="L2635" s="257"/>
      <c r="M2635" s="209"/>
      <c r="N2635" s="281"/>
      <c r="O2635" s="279">
        <f>O2634+O2633</f>
        <v>0.44143300000000002</v>
      </c>
      <c r="P2635" s="267"/>
      <c r="Q2635" s="166"/>
      <c r="R2635" s="71"/>
      <c r="S2635" s="62"/>
      <c r="T2635" s="62"/>
      <c r="U2635" s="62"/>
      <c r="V2635" s="62"/>
      <c r="W2635" s="62"/>
      <c r="X2635" s="62"/>
      <c r="Y2635" s="62"/>
      <c r="Z2635" s="62"/>
      <c r="AA2635" s="62"/>
      <c r="AB2635" s="62"/>
      <c r="AC2635" s="62"/>
      <c r="AD2635" s="62"/>
      <c r="AE2635" s="62"/>
      <c r="AF2635" s="62"/>
      <c r="AG2635" s="62"/>
      <c r="AH2635" s="62"/>
      <c r="AI2635" s="62"/>
      <c r="AJ2635" s="62"/>
      <c r="AK2635" s="62"/>
      <c r="AL2635" s="62"/>
      <c r="AM2635" s="62"/>
      <c r="AN2635" s="62"/>
      <c r="AO2635" s="62"/>
    </row>
    <row r="2636" spans="1:41" s="61" customFormat="1" x14ac:dyDescent="0.25">
      <c r="A2636" s="358"/>
      <c r="B2636" s="361"/>
      <c r="C2636" s="364" t="s">
        <v>80</v>
      </c>
      <c r="D2636" s="156" t="s">
        <v>38</v>
      </c>
      <c r="E2636" s="156" t="s">
        <v>57</v>
      </c>
      <c r="F2636" s="156" t="s">
        <v>228</v>
      </c>
      <c r="G2636" s="238">
        <f t="shared" ref="G2636:G2647" si="555">MROUND(H2636*L2636*I2636/K2636,0.000000000001)</f>
        <v>1.3071761600000001E-4</v>
      </c>
      <c r="H2636" s="158">
        <f>H2122</f>
        <v>8</v>
      </c>
      <c r="I2636" s="159">
        <f>I2633</f>
        <v>0.19555899999999998</v>
      </c>
      <c r="J2636" s="160"/>
      <c r="K2636" s="161">
        <f>K2633</f>
        <v>143620</v>
      </c>
      <c r="L2636" s="250">
        <v>12</v>
      </c>
      <c r="M2636" s="163" t="str">
        <f>CONCATENATE(H2636," ",F2636,"*",L2636,"мес.","*",I2636,"/",K2636,"чел/час")</f>
        <v>8 зданий*12мес.*0,195559/143620чел/час</v>
      </c>
      <c r="N2636" s="278">
        <f t="shared" ref="N2636:N2645" si="556">N2122</f>
        <v>4694.63</v>
      </c>
      <c r="O2636" s="280">
        <f t="shared" ref="O2636:O2647" si="557">MROUND(N2636*G2636,0.000001)</f>
        <v>0.61367099999999997</v>
      </c>
      <c r="P2636" s="166"/>
      <c r="Q2636" s="166">
        <f t="shared" ref="Q2636:Q2647" si="558">O2636*K2636</f>
        <v>88135.429019999996</v>
      </c>
      <c r="R2636" s="71"/>
    </row>
    <row r="2637" spans="1:41" s="61" customFormat="1" x14ac:dyDescent="0.25">
      <c r="A2637" s="358"/>
      <c r="B2637" s="361"/>
      <c r="C2637" s="364"/>
      <c r="D2637" s="156" t="s">
        <v>256</v>
      </c>
      <c r="E2637" s="156" t="s">
        <v>20</v>
      </c>
      <c r="F2637" s="156" t="s">
        <v>20</v>
      </c>
      <c r="G2637" s="238">
        <f t="shared" si="555"/>
        <v>2.5462702300000002E-4</v>
      </c>
      <c r="H2637" s="158">
        <f>H2123</f>
        <v>187</v>
      </c>
      <c r="I2637" s="159">
        <f>I2634</f>
        <v>0.19555899999999998</v>
      </c>
      <c r="J2637" s="160"/>
      <c r="K2637" s="161">
        <f>K2634</f>
        <v>143620</v>
      </c>
      <c r="L2637" s="250">
        <v>1</v>
      </c>
      <c r="M2637" s="163" t="str">
        <f t="shared" ref="M2637:M2644" si="559">CONCATENATE(H2637," ",F2637,"*",I2637,"/",K2637,"чел/час")</f>
        <v>187 чел.*0,195559/143620чел/час</v>
      </c>
      <c r="N2637" s="278">
        <f t="shared" si="556"/>
        <v>1853</v>
      </c>
      <c r="O2637" s="280">
        <f t="shared" si="557"/>
        <v>0.47182399999999997</v>
      </c>
      <c r="P2637" s="166"/>
      <c r="Q2637" s="166">
        <f t="shared" si="558"/>
        <v>67763.362880000001</v>
      </c>
      <c r="R2637" s="71"/>
    </row>
    <row r="2638" spans="1:41" s="61" customFormat="1" ht="63" x14ac:dyDescent="0.25">
      <c r="A2638" s="358"/>
      <c r="B2638" s="361"/>
      <c r="C2638" s="364"/>
      <c r="D2638" s="156" t="s">
        <v>39</v>
      </c>
      <c r="E2638" s="156" t="s">
        <v>20</v>
      </c>
      <c r="F2638" s="156" t="s">
        <v>234</v>
      </c>
      <c r="G2638" s="238">
        <f t="shared" si="555"/>
        <v>1.2254775999999999E-5</v>
      </c>
      <c r="H2638" s="158">
        <f>H2124</f>
        <v>9</v>
      </c>
      <c r="I2638" s="159">
        <f>I2636</f>
        <v>0.19555899999999998</v>
      </c>
      <c r="J2638" s="160"/>
      <c r="K2638" s="161">
        <f>K2636</f>
        <v>143620</v>
      </c>
      <c r="L2638" s="250">
        <v>1</v>
      </c>
      <c r="M2638" s="163" t="str">
        <f t="shared" si="559"/>
        <v>9 чел(заявленная потребность руководителями учреждений)*0,195559/143620чел/час</v>
      </c>
      <c r="N2638" s="278">
        <f t="shared" si="556"/>
        <v>763</v>
      </c>
      <c r="O2638" s="280">
        <f t="shared" si="557"/>
        <v>9.3499999999999989E-3</v>
      </c>
      <c r="P2638" s="166"/>
      <c r="Q2638" s="166">
        <f t="shared" si="558"/>
        <v>1342.8469999999998</v>
      </c>
      <c r="R2638" s="71"/>
    </row>
    <row r="2639" spans="1:41" s="61" customFormat="1" ht="63" x14ac:dyDescent="0.25">
      <c r="A2639" s="358"/>
      <c r="B2639" s="361"/>
      <c r="C2639" s="364"/>
      <c r="D2639" s="156" t="s">
        <v>40</v>
      </c>
      <c r="E2639" s="156" t="s">
        <v>20</v>
      </c>
      <c r="F2639" s="156" t="s">
        <v>234</v>
      </c>
      <c r="G2639" s="238">
        <f t="shared" si="555"/>
        <v>1.7701344E-5</v>
      </c>
      <c r="H2639" s="158">
        <f>H2125</f>
        <v>13</v>
      </c>
      <c r="I2639" s="159">
        <f t="shared" ref="I2639:I2644" si="560">I2638</f>
        <v>0.19555899999999998</v>
      </c>
      <c r="J2639" s="160"/>
      <c r="K2639" s="161">
        <f t="shared" ref="K2639:K2644" si="561">K2638</f>
        <v>143620</v>
      </c>
      <c r="L2639" s="250">
        <v>1</v>
      </c>
      <c r="M2639" s="163" t="str">
        <f t="shared" si="559"/>
        <v>13 чел(заявленная потребность руководителями учреждений)*0,195559/143620чел/час</v>
      </c>
      <c r="N2639" s="278">
        <f t="shared" si="556"/>
        <v>1635</v>
      </c>
      <c r="O2639" s="280">
        <f t="shared" si="557"/>
        <v>2.8941999999999999E-2</v>
      </c>
      <c r="P2639" s="166"/>
      <c r="Q2639" s="166">
        <f t="shared" si="558"/>
        <v>4156.6500399999995</v>
      </c>
      <c r="R2639" s="71"/>
    </row>
    <row r="2640" spans="1:41" s="61" customFormat="1" ht="63" x14ac:dyDescent="0.25">
      <c r="A2640" s="358"/>
      <c r="B2640" s="361"/>
      <c r="C2640" s="364"/>
      <c r="D2640" s="156" t="s">
        <v>100</v>
      </c>
      <c r="E2640" s="156" t="s">
        <v>20</v>
      </c>
      <c r="F2640" s="156" t="s">
        <v>234</v>
      </c>
      <c r="G2640" s="238">
        <f t="shared" si="555"/>
        <v>9.5314929999999993E-6</v>
      </c>
      <c r="H2640" s="158">
        <f>H2126</f>
        <v>7</v>
      </c>
      <c r="I2640" s="159">
        <f t="shared" si="560"/>
        <v>0.19555899999999998</v>
      </c>
      <c r="J2640" s="160"/>
      <c r="K2640" s="161">
        <f t="shared" si="561"/>
        <v>143620</v>
      </c>
      <c r="L2640" s="250">
        <v>1</v>
      </c>
      <c r="M2640" s="163" t="str">
        <f t="shared" si="559"/>
        <v>7 чел(заявленная потребность руководителями учреждений)*0,195559/143620чел/час</v>
      </c>
      <c r="N2640" s="278">
        <f t="shared" si="556"/>
        <v>3488</v>
      </c>
      <c r="O2640" s="280">
        <f t="shared" si="557"/>
        <v>3.3245999999999998E-2</v>
      </c>
      <c r="P2640" s="166"/>
      <c r="Q2640" s="166">
        <f t="shared" si="558"/>
        <v>4774.7905199999996</v>
      </c>
      <c r="R2640" s="71"/>
    </row>
    <row r="2641" spans="1:41" s="61" customFormat="1" ht="110.25" x14ac:dyDescent="0.25">
      <c r="A2641" s="358"/>
      <c r="B2641" s="361"/>
      <c r="C2641" s="364"/>
      <c r="D2641" s="156" t="s">
        <v>235</v>
      </c>
      <c r="E2641" s="156" t="s">
        <v>50</v>
      </c>
      <c r="F2641" s="156" t="s">
        <v>230</v>
      </c>
      <c r="G2641" s="238">
        <f t="shared" si="555"/>
        <v>6.8082089999999999E-6</v>
      </c>
      <c r="H2641" s="158">
        <v>5</v>
      </c>
      <c r="I2641" s="159">
        <f t="shared" si="560"/>
        <v>0.19555899999999998</v>
      </c>
      <c r="J2641" s="160"/>
      <c r="K2641" s="161">
        <f t="shared" si="561"/>
        <v>143620</v>
      </c>
      <c r="L2641" s="250">
        <v>1</v>
      </c>
      <c r="M2641" s="163" t="str">
        <f t="shared" si="559"/>
        <v>5 отчетов*0,195559/143620чел/час</v>
      </c>
      <c r="N2641" s="278">
        <f t="shared" si="556"/>
        <v>6540</v>
      </c>
      <c r="O2641" s="280">
        <f t="shared" si="557"/>
        <v>4.4525999999999996E-2</v>
      </c>
      <c r="P2641" s="166"/>
      <c r="Q2641" s="166">
        <f t="shared" si="558"/>
        <v>6394.8241199999993</v>
      </c>
      <c r="R2641" s="71"/>
    </row>
    <row r="2642" spans="1:41" s="61" customFormat="1" ht="63" x14ac:dyDescent="0.25">
      <c r="A2642" s="358"/>
      <c r="B2642" s="361"/>
      <c r="C2642" s="364"/>
      <c r="D2642" s="156" t="s">
        <v>42</v>
      </c>
      <c r="E2642" s="156" t="s">
        <v>51</v>
      </c>
      <c r="F2642" s="156" t="s">
        <v>407</v>
      </c>
      <c r="G2642" s="238">
        <f t="shared" si="555"/>
        <v>3.5402688E-5</v>
      </c>
      <c r="H2642" s="158">
        <f>H2128</f>
        <v>26</v>
      </c>
      <c r="I2642" s="159">
        <f t="shared" si="560"/>
        <v>0.19555899999999998</v>
      </c>
      <c r="J2642" s="160"/>
      <c r="K2642" s="161">
        <f t="shared" si="561"/>
        <v>143620</v>
      </c>
      <c r="L2642" s="250">
        <v>1</v>
      </c>
      <c r="M2642" s="163" t="str">
        <f t="shared" si="559"/>
        <v>26 ед (заявленная потребность руководителями учреждений)*0,195559/143620чел/час</v>
      </c>
      <c r="N2642" s="278">
        <f t="shared" si="556"/>
        <v>1090</v>
      </c>
      <c r="O2642" s="280">
        <f t="shared" si="557"/>
        <v>3.8588999999999998E-2</v>
      </c>
      <c r="P2642" s="166"/>
      <c r="Q2642" s="166">
        <f t="shared" si="558"/>
        <v>5542.15218</v>
      </c>
      <c r="R2642" s="71"/>
    </row>
    <row r="2643" spans="1:41" s="61" customFormat="1" ht="31.5" x14ac:dyDescent="0.25">
      <c r="A2643" s="358"/>
      <c r="B2643" s="361"/>
      <c r="C2643" s="364"/>
      <c r="D2643" s="156" t="s">
        <v>43</v>
      </c>
      <c r="E2643" s="156" t="s">
        <v>52</v>
      </c>
      <c r="F2643" s="156" t="s">
        <v>231</v>
      </c>
      <c r="G2643" s="238">
        <f t="shared" si="555"/>
        <v>6.8082089999999999E-6</v>
      </c>
      <c r="H2643" s="158">
        <v>5</v>
      </c>
      <c r="I2643" s="159">
        <f t="shared" si="560"/>
        <v>0.19555899999999998</v>
      </c>
      <c r="J2643" s="160"/>
      <c r="K2643" s="161">
        <f t="shared" si="561"/>
        <v>143620</v>
      </c>
      <c r="L2643" s="250">
        <v>1</v>
      </c>
      <c r="M2643" s="163" t="str">
        <f t="shared" si="559"/>
        <v>5 ЭЦП*0,195559/143620чел/час</v>
      </c>
      <c r="N2643" s="278">
        <f t="shared" si="556"/>
        <v>7743.3600000000006</v>
      </c>
      <c r="O2643" s="280">
        <f t="shared" si="557"/>
        <v>5.2718000000000001E-2</v>
      </c>
      <c r="P2643" s="166"/>
      <c r="Q2643" s="166">
        <f t="shared" si="558"/>
        <v>7571.35916</v>
      </c>
      <c r="R2643" s="71"/>
    </row>
    <row r="2644" spans="1:41" s="61" customFormat="1" x14ac:dyDescent="0.25">
      <c r="A2644" s="358"/>
      <c r="B2644" s="361"/>
      <c r="C2644" s="364"/>
      <c r="D2644" s="156" t="s">
        <v>373</v>
      </c>
      <c r="E2644" s="156" t="s">
        <v>28</v>
      </c>
      <c r="F2644" s="156" t="s">
        <v>28</v>
      </c>
      <c r="G2644" s="238">
        <f t="shared" si="555"/>
        <v>6.8082089999999999E-6</v>
      </c>
      <c r="H2644" s="158">
        <f>H2130</f>
        <v>5</v>
      </c>
      <c r="I2644" s="159">
        <f t="shared" si="560"/>
        <v>0.19555899999999998</v>
      </c>
      <c r="J2644" s="160"/>
      <c r="K2644" s="161">
        <f t="shared" si="561"/>
        <v>143620</v>
      </c>
      <c r="L2644" s="250">
        <v>1</v>
      </c>
      <c r="M2644" s="163" t="str">
        <f t="shared" si="559"/>
        <v>5 шт*0,195559/143620чел/час</v>
      </c>
      <c r="N2644" s="278">
        <f t="shared" si="556"/>
        <v>24000</v>
      </c>
      <c r="O2644" s="280">
        <f t="shared" si="557"/>
        <v>0.16339699999999999</v>
      </c>
      <c r="P2644" s="166"/>
      <c r="Q2644" s="166">
        <f t="shared" si="558"/>
        <v>23467.077139999998</v>
      </c>
      <c r="R2644" s="71"/>
    </row>
    <row r="2645" spans="1:41" s="61" customFormat="1" ht="63" x14ac:dyDescent="0.25">
      <c r="A2645" s="358"/>
      <c r="B2645" s="361"/>
      <c r="C2645" s="364"/>
      <c r="D2645" s="156" t="s">
        <v>45</v>
      </c>
      <c r="E2645" s="156" t="s">
        <v>53</v>
      </c>
      <c r="F2645" s="156" t="s">
        <v>257</v>
      </c>
      <c r="G2645" s="238">
        <f t="shared" si="555"/>
        <v>1.6339702000000001E-5</v>
      </c>
      <c r="H2645" s="158">
        <v>1</v>
      </c>
      <c r="I2645" s="159">
        <f>I2643</f>
        <v>0.19555899999999998</v>
      </c>
      <c r="J2645" s="160"/>
      <c r="K2645" s="161">
        <f>K2643</f>
        <v>143620</v>
      </c>
      <c r="L2645" s="250">
        <v>12</v>
      </c>
      <c r="M2645" s="163" t="str">
        <f>CONCATENATE(H2645," ",F2645,"*",L2645,"мес.","*",I2645,"/",K2645,"чел/час")</f>
        <v>1  машина, оборудованная системой ГЛОНАСС*12мес.*0,195559/143620чел/час</v>
      </c>
      <c r="N2645" s="278">
        <f t="shared" si="556"/>
        <v>880.71999999999991</v>
      </c>
      <c r="O2645" s="280">
        <f t="shared" si="557"/>
        <v>1.4390999999999999E-2</v>
      </c>
      <c r="P2645" s="166"/>
      <c r="Q2645" s="166">
        <f t="shared" si="558"/>
        <v>2066.8354199999999</v>
      </c>
      <c r="R2645" s="71"/>
    </row>
    <row r="2646" spans="1:41" s="136" customFormat="1" ht="47.25" x14ac:dyDescent="0.25">
      <c r="A2646" s="358"/>
      <c r="B2646" s="361"/>
      <c r="C2646" s="364"/>
      <c r="D2646" s="156" t="s">
        <v>44</v>
      </c>
      <c r="E2646" s="156" t="s">
        <v>85</v>
      </c>
      <c r="F2646" s="156" t="s">
        <v>232</v>
      </c>
      <c r="G2646" s="238">
        <f t="shared" si="555"/>
        <v>4.1393911700000002E-4</v>
      </c>
      <c r="H2646" s="158">
        <f>$H$2132</f>
        <v>304</v>
      </c>
      <c r="I2646" s="159">
        <f>I2645</f>
        <v>0.19555899999999998</v>
      </c>
      <c r="J2646" s="160"/>
      <c r="K2646" s="161">
        <f>K2645</f>
        <v>143620</v>
      </c>
      <c r="L2646" s="250">
        <v>1</v>
      </c>
      <c r="M2646" s="163" t="str">
        <f>CONCATENATE(H2646," ",F2646,"*",L2646,"мес.","*",I2646,"/",K2646,"чел.")</f>
        <v>304 мед.осмотров в мес.*1мес.*0,195559/143620чел.</v>
      </c>
      <c r="N2646" s="278">
        <f>$N$2132</f>
        <v>56.680000000000007</v>
      </c>
      <c r="O2646" s="280">
        <f t="shared" si="557"/>
        <v>2.3462E-2</v>
      </c>
      <c r="P2646" s="166"/>
      <c r="Q2646" s="166">
        <f t="shared" si="558"/>
        <v>3369.6124399999999</v>
      </c>
      <c r="R2646" s="71"/>
      <c r="S2646" s="71"/>
      <c r="T2646" s="61"/>
      <c r="U2646" s="61"/>
      <c r="V2646" s="61"/>
      <c r="W2646" s="61"/>
      <c r="X2646" s="61"/>
      <c r="Y2646" s="61"/>
      <c r="Z2646" s="61"/>
      <c r="AA2646" s="61"/>
      <c r="AB2646" s="61"/>
      <c r="AC2646" s="61"/>
      <c r="AD2646" s="61"/>
      <c r="AE2646" s="61"/>
      <c r="AF2646" s="61"/>
      <c r="AG2646" s="61"/>
      <c r="AH2646" s="61"/>
      <c r="AI2646" s="61"/>
      <c r="AJ2646" s="61"/>
      <c r="AK2646" s="61"/>
      <c r="AL2646" s="61"/>
      <c r="AM2646" s="61"/>
      <c r="AN2646" s="61"/>
      <c r="AO2646" s="61"/>
    </row>
    <row r="2647" spans="1:41" s="61" customFormat="1" ht="31.5" x14ac:dyDescent="0.25">
      <c r="A2647" s="358"/>
      <c r="B2647" s="361"/>
      <c r="C2647" s="364"/>
      <c r="D2647" s="156" t="s">
        <v>408</v>
      </c>
      <c r="E2647" s="156" t="s">
        <v>20</v>
      </c>
      <c r="F2647" s="156" t="s">
        <v>20</v>
      </c>
      <c r="G2647" s="238">
        <f t="shared" si="555"/>
        <v>4.0849254999999999E-5</v>
      </c>
      <c r="H2647" s="158">
        <f>H2133</f>
        <v>30</v>
      </c>
      <c r="I2647" s="159">
        <f>I2645</f>
        <v>0.19555899999999998</v>
      </c>
      <c r="J2647" s="160"/>
      <c r="K2647" s="161">
        <f>K2645</f>
        <v>143620</v>
      </c>
      <c r="L2647" s="250">
        <f>L2133</f>
        <v>1</v>
      </c>
      <c r="M2647" s="163" t="str">
        <f>CONCATENATE(H2647," ",F2647,"*",L2647," раз в год","*",I2647,"/",K2647,"чел.")</f>
        <v>30 чел.*1 раз в год*0,195559/143620чел.</v>
      </c>
      <c r="N2647" s="278">
        <f>N2133</f>
        <v>472.33333333333331</v>
      </c>
      <c r="O2647" s="280">
        <f t="shared" si="557"/>
        <v>1.9293999999999999E-2</v>
      </c>
      <c r="P2647" s="166"/>
      <c r="Q2647" s="166">
        <f t="shared" si="558"/>
        <v>2771.0042799999997</v>
      </c>
      <c r="R2647" s="71"/>
    </row>
    <row r="2648" spans="1:41" s="109" customFormat="1" x14ac:dyDescent="0.25">
      <c r="A2648" s="358"/>
      <c r="B2648" s="361"/>
      <c r="C2648" s="245" t="s">
        <v>329</v>
      </c>
      <c r="D2648" s="240"/>
      <c r="E2648" s="240"/>
      <c r="F2648" s="240"/>
      <c r="G2648" s="227"/>
      <c r="H2648" s="241"/>
      <c r="I2648" s="206"/>
      <c r="J2648" s="228"/>
      <c r="K2648" s="207"/>
      <c r="L2648" s="257"/>
      <c r="M2648" s="209"/>
      <c r="N2648" s="281"/>
      <c r="O2648" s="279">
        <f>SUM(O2636:O2647)</f>
        <v>1.5134099999999999</v>
      </c>
      <c r="P2648" s="267"/>
      <c r="Q2648" s="166"/>
      <c r="R2648" s="71"/>
      <c r="S2648" s="62"/>
      <c r="T2648" s="62"/>
      <c r="U2648" s="62"/>
      <c r="V2648" s="62"/>
      <c r="W2648" s="62"/>
      <c r="X2648" s="62"/>
      <c r="Y2648" s="62"/>
      <c r="Z2648" s="62"/>
      <c r="AA2648" s="62"/>
      <c r="AB2648" s="62"/>
      <c r="AC2648" s="62"/>
      <c r="AD2648" s="62"/>
      <c r="AE2648" s="62"/>
      <c r="AF2648" s="62"/>
      <c r="AG2648" s="62"/>
      <c r="AH2648" s="62"/>
      <c r="AI2648" s="62"/>
      <c r="AJ2648" s="62"/>
      <c r="AK2648" s="62"/>
      <c r="AL2648" s="62"/>
      <c r="AM2648" s="62"/>
      <c r="AN2648" s="62"/>
      <c r="AO2648" s="62"/>
    </row>
    <row r="2649" spans="1:41" s="61" customFormat="1" ht="31.5" x14ac:dyDescent="0.25">
      <c r="A2649" s="358"/>
      <c r="B2649" s="361"/>
      <c r="C2649" s="252" t="s">
        <v>237</v>
      </c>
      <c r="D2649" s="156" t="s">
        <v>41</v>
      </c>
      <c r="E2649" s="156" t="s">
        <v>61</v>
      </c>
      <c r="F2649" s="156" t="s">
        <v>254</v>
      </c>
      <c r="G2649" s="238">
        <f t="shared" ref="G2649:G2660" si="562">MROUND(H2649*L2649*I2649/K2649,0.000000000001)</f>
        <v>1.3616419999999999E-6</v>
      </c>
      <c r="H2649" s="158">
        <v>1</v>
      </c>
      <c r="I2649" s="159">
        <f>I2647</f>
        <v>0.19555899999999998</v>
      </c>
      <c r="J2649" s="160"/>
      <c r="K2649" s="161">
        <f>K2647</f>
        <v>143620</v>
      </c>
      <c r="L2649" s="250">
        <v>1</v>
      </c>
      <c r="M2649" s="163" t="str">
        <f>CONCATENATE(H2649," ",F2649,"*",I2649,"/",K2649,"чел/час")</f>
        <v>1 автобус*0,195559/143620чел/час</v>
      </c>
      <c r="N2649" s="278">
        <f>N2135</f>
        <v>25724</v>
      </c>
      <c r="O2649" s="280">
        <f t="shared" ref="O2649:O2666" si="563">MROUND(N2649*G2649,0.000001)</f>
        <v>3.5026999999999996E-2</v>
      </c>
      <c r="P2649" s="166"/>
      <c r="Q2649" s="166">
        <f t="shared" ref="Q2649:Q2660" si="564">O2649*K2649</f>
        <v>5030.5777399999997</v>
      </c>
      <c r="R2649" s="71"/>
    </row>
    <row r="2650" spans="1:41" s="61" customFormat="1" ht="78.75" x14ac:dyDescent="0.25">
      <c r="A2650" s="358"/>
      <c r="B2650" s="361"/>
      <c r="C2650" s="221" t="s">
        <v>236</v>
      </c>
      <c r="D2650" s="156" t="s">
        <v>19</v>
      </c>
      <c r="E2650" s="181" t="s">
        <v>20</v>
      </c>
      <c r="F2650" s="181" t="s">
        <v>238</v>
      </c>
      <c r="G2650" s="238">
        <f t="shared" si="562"/>
        <v>0</v>
      </c>
      <c r="H2650" s="158"/>
      <c r="I2650" s="159">
        <f>I2647</f>
        <v>0.19555899999999998</v>
      </c>
      <c r="J2650" s="160"/>
      <c r="K2650" s="161">
        <f>K2647</f>
        <v>143620</v>
      </c>
      <c r="L2650" s="250"/>
      <c r="M2650" s="163"/>
      <c r="N2650" s="278"/>
      <c r="O2650" s="280">
        <f t="shared" si="563"/>
        <v>0</v>
      </c>
      <c r="P2650" s="166"/>
      <c r="Q2650" s="166">
        <f t="shared" si="564"/>
        <v>0</v>
      </c>
      <c r="R2650" s="71"/>
    </row>
    <row r="2651" spans="1:41" s="136" customFormat="1" ht="31.5" x14ac:dyDescent="0.25">
      <c r="A2651" s="358"/>
      <c r="B2651" s="361"/>
      <c r="C2651" s="372" t="s">
        <v>81</v>
      </c>
      <c r="D2651" s="156" t="s">
        <v>419</v>
      </c>
      <c r="E2651" s="156" t="s">
        <v>28</v>
      </c>
      <c r="F2651" s="156" t="s">
        <v>439</v>
      </c>
      <c r="G2651" s="238">
        <f t="shared" si="562"/>
        <v>1.0893135E-5</v>
      </c>
      <c r="H2651" s="158">
        <f>$H$2137</f>
        <v>8</v>
      </c>
      <c r="I2651" s="159">
        <f>I2650</f>
        <v>0.19555899999999998</v>
      </c>
      <c r="J2651" s="160"/>
      <c r="K2651" s="161">
        <f>K2650</f>
        <v>143620</v>
      </c>
      <c r="L2651" s="250">
        <v>1</v>
      </c>
      <c r="M2651" s="163" t="str">
        <f>CONCATENATE(H2651," ",F2651,"*",I2651,"/",K2651,"чел/час")</f>
        <v>8 шт (потребность учреждений) *0,195559/143620чел/час</v>
      </c>
      <c r="N2651" s="278">
        <f>$N$2137</f>
        <v>33750</v>
      </c>
      <c r="O2651" s="280">
        <f t="shared" si="563"/>
        <v>0.367643</v>
      </c>
      <c r="P2651" s="166"/>
      <c r="Q2651" s="166">
        <f t="shared" si="564"/>
        <v>52800.88766</v>
      </c>
      <c r="R2651" s="71"/>
      <c r="S2651" s="61"/>
      <c r="T2651" s="71"/>
      <c r="U2651" s="61"/>
      <c r="V2651" s="61"/>
      <c r="W2651" s="61"/>
      <c r="X2651" s="61"/>
      <c r="Y2651" s="61"/>
      <c r="Z2651" s="61"/>
      <c r="AA2651" s="61"/>
      <c r="AB2651" s="61"/>
      <c r="AC2651" s="61"/>
      <c r="AD2651" s="61"/>
      <c r="AE2651" s="61"/>
      <c r="AF2651" s="61"/>
      <c r="AG2651" s="61"/>
      <c r="AH2651" s="61"/>
      <c r="AI2651" s="61"/>
      <c r="AJ2651" s="61"/>
      <c r="AK2651" s="61"/>
      <c r="AL2651" s="61"/>
      <c r="AM2651" s="61"/>
      <c r="AN2651" s="61"/>
      <c r="AO2651" s="61"/>
    </row>
    <row r="2652" spans="1:41" s="136" customFormat="1" ht="31.5" x14ac:dyDescent="0.25">
      <c r="A2652" s="358"/>
      <c r="B2652" s="361"/>
      <c r="C2652" s="373"/>
      <c r="D2652" s="156" t="s">
        <v>425</v>
      </c>
      <c r="E2652" s="156" t="s">
        <v>28</v>
      </c>
      <c r="F2652" s="156" t="s">
        <v>439</v>
      </c>
      <c r="G2652" s="238">
        <f t="shared" si="562"/>
        <v>4.0849249999999997E-6</v>
      </c>
      <c r="H2652" s="158">
        <f>$H$2138</f>
        <v>3</v>
      </c>
      <c r="I2652" s="159">
        <f t="shared" ref="I2652:I2660" si="565">I2651</f>
        <v>0.19555899999999998</v>
      </c>
      <c r="J2652" s="160"/>
      <c r="K2652" s="161">
        <f t="shared" ref="K2652:K2660" si="566">K2651</f>
        <v>143620</v>
      </c>
      <c r="L2652" s="250">
        <v>1</v>
      </c>
      <c r="M2652" s="163" t="str">
        <f t="shared" ref="M2652:M2660" si="567">CONCATENATE(H2652," ",F2652,"*",I2652,"/",K2652,"чел/час")</f>
        <v>3 шт (потребность учреждений) *0,195559/143620чел/час</v>
      </c>
      <c r="N2652" s="278">
        <f>$N$2138</f>
        <v>12000</v>
      </c>
      <c r="O2652" s="280">
        <f t="shared" si="563"/>
        <v>4.9019E-2</v>
      </c>
      <c r="P2652" s="166"/>
      <c r="Q2652" s="166">
        <f t="shared" si="564"/>
        <v>7040.1087799999996</v>
      </c>
      <c r="R2652" s="71"/>
      <c r="S2652" s="61"/>
      <c r="T2652" s="71"/>
      <c r="U2652" s="61"/>
      <c r="V2652" s="61"/>
      <c r="W2652" s="61"/>
      <c r="X2652" s="61"/>
      <c r="Y2652" s="61"/>
      <c r="Z2652" s="61"/>
      <c r="AA2652" s="61"/>
      <c r="AB2652" s="61"/>
      <c r="AC2652" s="61"/>
      <c r="AD2652" s="61"/>
      <c r="AE2652" s="61"/>
      <c r="AF2652" s="61"/>
      <c r="AG2652" s="61"/>
      <c r="AH2652" s="61"/>
      <c r="AI2652" s="61"/>
      <c r="AJ2652" s="61"/>
      <c r="AK2652" s="61"/>
      <c r="AL2652" s="61"/>
      <c r="AM2652" s="61"/>
      <c r="AN2652" s="61"/>
      <c r="AO2652" s="61"/>
    </row>
    <row r="2653" spans="1:41" s="136" customFormat="1" ht="31.5" x14ac:dyDescent="0.25">
      <c r="A2653" s="358"/>
      <c r="B2653" s="361"/>
      <c r="C2653" s="373"/>
      <c r="D2653" s="156" t="s">
        <v>426</v>
      </c>
      <c r="E2653" s="156" t="s">
        <v>28</v>
      </c>
      <c r="F2653" s="156" t="s">
        <v>439</v>
      </c>
      <c r="G2653" s="238">
        <f t="shared" si="562"/>
        <v>2.8594477999999999E-5</v>
      </c>
      <c r="H2653" s="158">
        <f>$H$2139</f>
        <v>21</v>
      </c>
      <c r="I2653" s="159">
        <f t="shared" si="565"/>
        <v>0.19555899999999998</v>
      </c>
      <c r="J2653" s="160"/>
      <c r="K2653" s="161">
        <f t="shared" si="566"/>
        <v>143620</v>
      </c>
      <c r="L2653" s="250">
        <v>1</v>
      </c>
      <c r="M2653" s="163" t="str">
        <f t="shared" si="567"/>
        <v>21 шт (потребность учреждений) *0,195559/143620чел/час</v>
      </c>
      <c r="N2653" s="278">
        <f>$N$2139</f>
        <v>9714.2857142857138</v>
      </c>
      <c r="O2653" s="280">
        <f t="shared" si="563"/>
        <v>0.27777499999999999</v>
      </c>
      <c r="P2653" s="166"/>
      <c r="Q2653" s="166">
        <f t="shared" si="564"/>
        <v>39894.0455</v>
      </c>
      <c r="R2653" s="71"/>
      <c r="S2653" s="61"/>
      <c r="T2653" s="71"/>
      <c r="U2653" s="61"/>
      <c r="V2653" s="61"/>
      <c r="W2653" s="61"/>
      <c r="X2653" s="61"/>
      <c r="Y2653" s="61"/>
      <c r="Z2653" s="61"/>
      <c r="AA2653" s="61"/>
      <c r="AB2653" s="61"/>
      <c r="AC2653" s="61"/>
      <c r="AD2653" s="61"/>
      <c r="AE2653" s="61"/>
      <c r="AF2653" s="61"/>
      <c r="AG2653" s="61"/>
      <c r="AH2653" s="61"/>
      <c r="AI2653" s="61"/>
      <c r="AJ2653" s="61"/>
      <c r="AK2653" s="61"/>
      <c r="AL2653" s="61"/>
      <c r="AM2653" s="61"/>
      <c r="AN2653" s="61"/>
      <c r="AO2653" s="61"/>
    </row>
    <row r="2654" spans="1:41" s="136" customFormat="1" ht="31.5" x14ac:dyDescent="0.25">
      <c r="A2654" s="358"/>
      <c r="B2654" s="361"/>
      <c r="C2654" s="373"/>
      <c r="D2654" s="156" t="s">
        <v>427</v>
      </c>
      <c r="E2654" s="156" t="s">
        <v>28</v>
      </c>
      <c r="F2654" s="156" t="s">
        <v>439</v>
      </c>
      <c r="G2654" s="238">
        <f t="shared" si="562"/>
        <v>6.8082092000000001E-5</v>
      </c>
      <c r="H2654" s="158">
        <f>$H$2140</f>
        <v>50</v>
      </c>
      <c r="I2654" s="159">
        <f t="shared" si="565"/>
        <v>0.19555899999999998</v>
      </c>
      <c r="J2654" s="160"/>
      <c r="K2654" s="161">
        <f t="shared" si="566"/>
        <v>143620</v>
      </c>
      <c r="L2654" s="250">
        <v>1</v>
      </c>
      <c r="M2654" s="163" t="str">
        <f t="shared" si="567"/>
        <v>50 шт (потребность учреждений) *0,195559/143620чел/час</v>
      </c>
      <c r="N2654" s="278">
        <f>$N$2140</f>
        <v>4400</v>
      </c>
      <c r="O2654" s="280">
        <f t="shared" si="563"/>
        <v>0.29956099999999997</v>
      </c>
      <c r="P2654" s="166"/>
      <c r="Q2654" s="166">
        <f t="shared" si="564"/>
        <v>43022.950819999998</v>
      </c>
      <c r="R2654" s="71"/>
      <c r="S2654" s="61"/>
      <c r="T2654" s="71"/>
      <c r="U2654" s="61"/>
      <c r="V2654" s="61"/>
      <c r="W2654" s="61"/>
      <c r="X2654" s="61"/>
      <c r="Y2654" s="61"/>
      <c r="Z2654" s="61"/>
      <c r="AA2654" s="61"/>
      <c r="AB2654" s="61"/>
      <c r="AC2654" s="61"/>
      <c r="AD2654" s="61"/>
      <c r="AE2654" s="61"/>
      <c r="AF2654" s="61"/>
      <c r="AG2654" s="61"/>
      <c r="AH2654" s="61"/>
      <c r="AI2654" s="61"/>
      <c r="AJ2654" s="61"/>
      <c r="AK2654" s="61"/>
      <c r="AL2654" s="61"/>
      <c r="AM2654" s="61"/>
      <c r="AN2654" s="61"/>
      <c r="AO2654" s="61"/>
    </row>
    <row r="2655" spans="1:41" s="136" customFormat="1" ht="31.5" x14ac:dyDescent="0.25">
      <c r="A2655" s="358"/>
      <c r="B2655" s="361"/>
      <c r="C2655" s="373"/>
      <c r="D2655" s="156" t="s">
        <v>428</v>
      </c>
      <c r="E2655" s="156" t="s">
        <v>28</v>
      </c>
      <c r="F2655" s="156" t="s">
        <v>439</v>
      </c>
      <c r="G2655" s="238">
        <f t="shared" si="562"/>
        <v>1.44334034E-4</v>
      </c>
      <c r="H2655" s="158">
        <f>$H$2141</f>
        <v>106</v>
      </c>
      <c r="I2655" s="159">
        <f t="shared" si="565"/>
        <v>0.19555899999999998</v>
      </c>
      <c r="J2655" s="160"/>
      <c r="K2655" s="161">
        <f t="shared" si="566"/>
        <v>143620</v>
      </c>
      <c r="L2655" s="250">
        <v>1</v>
      </c>
      <c r="M2655" s="163" t="str">
        <f t="shared" si="567"/>
        <v>106 шт (потребность учреждений) *0,195559/143620чел/час</v>
      </c>
      <c r="N2655" s="278">
        <f>N$2141</f>
        <v>4037.7358490566039</v>
      </c>
      <c r="O2655" s="280">
        <f t="shared" si="563"/>
        <v>0.58278299999999994</v>
      </c>
      <c r="P2655" s="166"/>
      <c r="Q2655" s="166">
        <f t="shared" si="564"/>
        <v>83699.29445999999</v>
      </c>
      <c r="R2655" s="71"/>
      <c r="S2655" s="61"/>
      <c r="T2655" s="71"/>
      <c r="U2655" s="61"/>
      <c r="V2655" s="61"/>
      <c r="W2655" s="61"/>
      <c r="X2655" s="61"/>
      <c r="Y2655" s="61"/>
      <c r="Z2655" s="61"/>
      <c r="AA2655" s="61"/>
      <c r="AB2655" s="61"/>
      <c r="AC2655" s="61"/>
      <c r="AD2655" s="61"/>
      <c r="AE2655" s="61"/>
      <c r="AF2655" s="61"/>
      <c r="AG2655" s="61"/>
      <c r="AH2655" s="61"/>
      <c r="AI2655" s="61"/>
      <c r="AJ2655" s="61"/>
      <c r="AK2655" s="61"/>
      <c r="AL2655" s="61"/>
      <c r="AM2655" s="61"/>
      <c r="AN2655" s="61"/>
      <c r="AO2655" s="61"/>
    </row>
    <row r="2656" spans="1:41" s="136" customFormat="1" ht="31.5" x14ac:dyDescent="0.25">
      <c r="A2656" s="358"/>
      <c r="B2656" s="361"/>
      <c r="C2656" s="373"/>
      <c r="D2656" s="156" t="s">
        <v>429</v>
      </c>
      <c r="E2656" s="156" t="s">
        <v>28</v>
      </c>
      <c r="F2656" s="156" t="s">
        <v>439</v>
      </c>
      <c r="G2656" s="238">
        <f t="shared" si="562"/>
        <v>3.5402688E-5</v>
      </c>
      <c r="H2656" s="158">
        <f>$H$2142</f>
        <v>26</v>
      </c>
      <c r="I2656" s="159">
        <f t="shared" si="565"/>
        <v>0.19555899999999998</v>
      </c>
      <c r="J2656" s="160"/>
      <c r="K2656" s="161">
        <f t="shared" si="566"/>
        <v>143620</v>
      </c>
      <c r="L2656" s="250">
        <v>1</v>
      </c>
      <c r="M2656" s="163" t="str">
        <f t="shared" si="567"/>
        <v>26 шт (потребность учреждений) *0,195559/143620чел/час</v>
      </c>
      <c r="N2656" s="278">
        <f>$N$2142</f>
        <v>39807.692307692305</v>
      </c>
      <c r="O2656" s="280">
        <f t="shared" si="563"/>
        <v>1.4092989999999999</v>
      </c>
      <c r="P2656" s="166"/>
      <c r="Q2656" s="166">
        <f t="shared" si="564"/>
        <v>202403.52237999998</v>
      </c>
      <c r="R2656" s="71"/>
      <c r="S2656" s="61"/>
      <c r="T2656" s="71"/>
      <c r="U2656" s="61"/>
      <c r="V2656" s="61"/>
      <c r="W2656" s="61"/>
      <c r="X2656" s="61"/>
      <c r="Y2656" s="61"/>
      <c r="Z2656" s="61"/>
      <c r="AA2656" s="61"/>
      <c r="AB2656" s="61"/>
      <c r="AC2656" s="61"/>
      <c r="AD2656" s="61"/>
      <c r="AE2656" s="61"/>
      <c r="AF2656" s="61"/>
      <c r="AG2656" s="61"/>
      <c r="AH2656" s="61"/>
      <c r="AI2656" s="61"/>
      <c r="AJ2656" s="61"/>
      <c r="AK2656" s="61"/>
      <c r="AL2656" s="61"/>
      <c r="AM2656" s="61"/>
      <c r="AN2656" s="61"/>
      <c r="AO2656" s="61"/>
    </row>
    <row r="2657" spans="1:41" s="136" customFormat="1" ht="31.5" x14ac:dyDescent="0.25">
      <c r="A2657" s="358"/>
      <c r="B2657" s="361"/>
      <c r="C2657" s="373"/>
      <c r="D2657" s="156" t="s">
        <v>110</v>
      </c>
      <c r="E2657" s="156" t="s">
        <v>28</v>
      </c>
      <c r="F2657" s="156" t="s">
        <v>439</v>
      </c>
      <c r="G2657" s="238">
        <f t="shared" si="562"/>
        <v>3.4041046000000001E-5</v>
      </c>
      <c r="H2657" s="158">
        <f>$H$2143</f>
        <v>25</v>
      </c>
      <c r="I2657" s="159">
        <f t="shared" si="565"/>
        <v>0.19555899999999998</v>
      </c>
      <c r="J2657" s="160"/>
      <c r="K2657" s="161">
        <f t="shared" si="566"/>
        <v>143620</v>
      </c>
      <c r="L2657" s="250">
        <v>1</v>
      </c>
      <c r="M2657" s="163" t="str">
        <f t="shared" si="567"/>
        <v>25 шт (потребность учреждений) *0,195559/143620чел/час</v>
      </c>
      <c r="N2657" s="278">
        <f>$N$2143</f>
        <v>53600</v>
      </c>
      <c r="O2657" s="280">
        <f t="shared" si="563"/>
        <v>1.8246</v>
      </c>
      <c r="P2657" s="166"/>
      <c r="Q2657" s="166">
        <f t="shared" si="564"/>
        <v>262049.052</v>
      </c>
      <c r="R2657" s="71"/>
      <c r="S2657" s="61"/>
      <c r="T2657" s="71"/>
      <c r="U2657" s="61"/>
      <c r="V2657" s="61"/>
      <c r="W2657" s="61"/>
      <c r="X2657" s="61"/>
      <c r="Y2657" s="61"/>
      <c r="Z2657" s="61"/>
      <c r="AA2657" s="61"/>
      <c r="AB2657" s="61"/>
      <c r="AC2657" s="61"/>
      <c r="AD2657" s="61"/>
      <c r="AE2657" s="61"/>
      <c r="AF2657" s="61"/>
      <c r="AG2657" s="61"/>
      <c r="AH2657" s="61"/>
      <c r="AI2657" s="61"/>
      <c r="AJ2657" s="61"/>
      <c r="AK2657" s="61"/>
      <c r="AL2657" s="61"/>
      <c r="AM2657" s="61"/>
      <c r="AN2657" s="61"/>
      <c r="AO2657" s="61"/>
    </row>
    <row r="2658" spans="1:41" s="136" customFormat="1" ht="31.5" x14ac:dyDescent="0.25">
      <c r="A2658" s="358"/>
      <c r="B2658" s="361"/>
      <c r="C2658" s="373"/>
      <c r="D2658" s="156" t="s">
        <v>112</v>
      </c>
      <c r="E2658" s="156" t="s">
        <v>28</v>
      </c>
      <c r="F2658" s="156" t="s">
        <v>439</v>
      </c>
      <c r="G2658" s="238">
        <f t="shared" si="562"/>
        <v>6.8082089999999999E-6</v>
      </c>
      <c r="H2658" s="158">
        <f>$H$2144</f>
        <v>5</v>
      </c>
      <c r="I2658" s="159">
        <f t="shared" si="565"/>
        <v>0.19555899999999998</v>
      </c>
      <c r="J2658" s="160"/>
      <c r="K2658" s="161">
        <f t="shared" si="566"/>
        <v>143620</v>
      </c>
      <c r="L2658" s="250">
        <v>1</v>
      </c>
      <c r="M2658" s="163" t="str">
        <f t="shared" si="567"/>
        <v>5 шт (потребность учреждений) *0,195559/143620чел/час</v>
      </c>
      <c r="N2658" s="278">
        <f>$N$2144</f>
        <v>33000</v>
      </c>
      <c r="O2658" s="280">
        <f t="shared" si="563"/>
        <v>0.22467099999999998</v>
      </c>
      <c r="P2658" s="166"/>
      <c r="Q2658" s="166">
        <f t="shared" si="564"/>
        <v>32267.249019999996</v>
      </c>
      <c r="R2658" s="71"/>
      <c r="S2658" s="61"/>
      <c r="T2658" s="71"/>
      <c r="U2658" s="61"/>
      <c r="V2658" s="61"/>
      <c r="W2658" s="61"/>
      <c r="X2658" s="61"/>
      <c r="Y2658" s="61"/>
      <c r="Z2658" s="61"/>
      <c r="AA2658" s="61"/>
      <c r="AB2658" s="61"/>
      <c r="AC2658" s="61"/>
      <c r="AD2658" s="61"/>
      <c r="AE2658" s="61"/>
      <c r="AF2658" s="61"/>
      <c r="AG2658" s="61"/>
      <c r="AH2658" s="61"/>
      <c r="AI2658" s="61"/>
      <c r="AJ2658" s="61"/>
      <c r="AK2658" s="61"/>
      <c r="AL2658" s="61"/>
      <c r="AM2658" s="61"/>
      <c r="AN2658" s="61"/>
      <c r="AO2658" s="61"/>
    </row>
    <row r="2659" spans="1:41" s="136" customFormat="1" ht="31.5" x14ac:dyDescent="0.25">
      <c r="A2659" s="358"/>
      <c r="B2659" s="361"/>
      <c r="C2659" s="373"/>
      <c r="D2659" s="156" t="s">
        <v>111</v>
      </c>
      <c r="E2659" s="156" t="s">
        <v>28</v>
      </c>
      <c r="F2659" s="156" t="s">
        <v>439</v>
      </c>
      <c r="G2659" s="238">
        <f t="shared" si="562"/>
        <v>9.9399854000000004E-5</v>
      </c>
      <c r="H2659" s="158">
        <f>$H$2145</f>
        <v>73</v>
      </c>
      <c r="I2659" s="159">
        <f t="shared" si="565"/>
        <v>0.19555899999999998</v>
      </c>
      <c r="J2659" s="160"/>
      <c r="K2659" s="161">
        <f t="shared" si="566"/>
        <v>143620</v>
      </c>
      <c r="L2659" s="250">
        <v>1</v>
      </c>
      <c r="M2659" s="163" t="str">
        <f t="shared" si="567"/>
        <v>73 шт (потребность учреждений) *0,195559/143620чел/час</v>
      </c>
      <c r="N2659" s="278">
        <f>$N$2145</f>
        <v>50616.438356164384</v>
      </c>
      <c r="O2659" s="280">
        <f t="shared" si="563"/>
        <v>5.0312669999999997</v>
      </c>
      <c r="P2659" s="166"/>
      <c r="Q2659" s="166">
        <f t="shared" si="564"/>
        <v>722590.56653999991</v>
      </c>
      <c r="R2659" s="71"/>
      <c r="S2659" s="61"/>
      <c r="T2659" s="71"/>
      <c r="U2659" s="61"/>
      <c r="V2659" s="61"/>
      <c r="W2659" s="61"/>
      <c r="X2659" s="61"/>
      <c r="Y2659" s="61"/>
      <c r="Z2659" s="61"/>
      <c r="AA2659" s="61"/>
      <c r="AB2659" s="61"/>
      <c r="AC2659" s="61"/>
      <c r="AD2659" s="61"/>
      <c r="AE2659" s="61"/>
      <c r="AF2659" s="61"/>
      <c r="AG2659" s="61"/>
      <c r="AH2659" s="61"/>
      <c r="AI2659" s="61"/>
      <c r="AJ2659" s="61"/>
      <c r="AK2659" s="61"/>
      <c r="AL2659" s="61"/>
      <c r="AM2659" s="61"/>
      <c r="AN2659" s="61"/>
      <c r="AO2659" s="61"/>
    </row>
    <row r="2660" spans="1:41" s="136" customFormat="1" ht="31.5" x14ac:dyDescent="0.25">
      <c r="A2660" s="358"/>
      <c r="B2660" s="361"/>
      <c r="C2660" s="374"/>
      <c r="D2660" s="156" t="s">
        <v>438</v>
      </c>
      <c r="E2660" s="156" t="s">
        <v>28</v>
      </c>
      <c r="F2660" s="156" t="s">
        <v>439</v>
      </c>
      <c r="G2660" s="238">
        <f t="shared" si="562"/>
        <v>4.4934179999999999E-5</v>
      </c>
      <c r="H2660" s="158">
        <f>$H$2146</f>
        <v>33</v>
      </c>
      <c r="I2660" s="159">
        <f t="shared" si="565"/>
        <v>0.19555899999999998</v>
      </c>
      <c r="J2660" s="160"/>
      <c r="K2660" s="161">
        <f t="shared" si="566"/>
        <v>143620</v>
      </c>
      <c r="L2660" s="250">
        <v>1</v>
      </c>
      <c r="M2660" s="163" t="str">
        <f t="shared" si="567"/>
        <v>33 шт (потребность учреждений) *0,195559/143620чел/час</v>
      </c>
      <c r="N2660" s="278">
        <f>$N$2146</f>
        <v>25000</v>
      </c>
      <c r="O2660" s="280">
        <f t="shared" si="563"/>
        <v>1.1233549999999999</v>
      </c>
      <c r="P2660" s="166"/>
      <c r="Q2660" s="166">
        <f t="shared" si="564"/>
        <v>161336.24509999997</v>
      </c>
      <c r="R2660" s="71"/>
      <c r="S2660" s="61"/>
      <c r="T2660" s="71"/>
      <c r="U2660" s="61"/>
      <c r="V2660" s="61"/>
      <c r="W2660" s="61"/>
      <c r="X2660" s="61"/>
      <c r="Y2660" s="61"/>
      <c r="Z2660" s="61"/>
      <c r="AA2660" s="61"/>
      <c r="AB2660" s="61"/>
      <c r="AC2660" s="61"/>
      <c r="AD2660" s="61"/>
      <c r="AE2660" s="61"/>
      <c r="AF2660" s="61"/>
      <c r="AG2660" s="61"/>
      <c r="AH2660" s="61"/>
      <c r="AI2660" s="61"/>
      <c r="AJ2660" s="61"/>
      <c r="AK2660" s="61"/>
      <c r="AL2660" s="61"/>
      <c r="AM2660" s="61"/>
      <c r="AN2660" s="61"/>
      <c r="AO2660" s="61"/>
    </row>
    <row r="2661" spans="1:41" s="61" customFormat="1" x14ac:dyDescent="0.25">
      <c r="A2661" s="358"/>
      <c r="B2661" s="361"/>
      <c r="C2661" s="245" t="s">
        <v>299</v>
      </c>
      <c r="D2661" s="240"/>
      <c r="E2661" s="240"/>
      <c r="F2661" s="181"/>
      <c r="G2661" s="227"/>
      <c r="H2661" s="241"/>
      <c r="I2661" s="206"/>
      <c r="J2661" s="228"/>
      <c r="K2661" s="207"/>
      <c r="L2661" s="257"/>
      <c r="M2661" s="209"/>
      <c r="N2661" s="290"/>
      <c r="O2661" s="279">
        <f>SUM(O2649:O2660)</f>
        <v>11.225</v>
      </c>
      <c r="P2661" s="166"/>
      <c r="Q2661" s="166">
        <f>O2661*K2661</f>
        <v>0</v>
      </c>
      <c r="R2661" s="71"/>
    </row>
    <row r="2662" spans="1:41" s="61" customFormat="1" ht="47.25" x14ac:dyDescent="0.25">
      <c r="A2662" s="358"/>
      <c r="B2662" s="361"/>
      <c r="C2662" s="221" t="s">
        <v>434</v>
      </c>
      <c r="D2662" s="156" t="s">
        <v>436</v>
      </c>
      <c r="E2662" s="156" t="s">
        <v>28</v>
      </c>
      <c r="F2662" s="156" t="s">
        <v>437</v>
      </c>
      <c r="G2662" s="238">
        <f>MROUND(H2662*L2662*I2662/K2662,0.000000000001)</f>
        <v>3.5402688E-5</v>
      </c>
      <c r="H2662" s="242">
        <f>$H$2148</f>
        <v>26</v>
      </c>
      <c r="I2662" s="159">
        <f>I2660</f>
        <v>0.19555899999999998</v>
      </c>
      <c r="J2662" s="160"/>
      <c r="K2662" s="161">
        <f>K2660</f>
        <v>143620</v>
      </c>
      <c r="L2662" s="162">
        <v>1</v>
      </c>
      <c r="M2662" s="163" t="str">
        <f>CONCATENATE(H2662," ",F2662,"*",I2662,"/",K2662,"чел.")</f>
        <v>26 огнетушителей (потребность учреждений) *0,195559/143620чел.</v>
      </c>
      <c r="N2662" s="164">
        <f>$N$2148</f>
        <v>2180</v>
      </c>
      <c r="O2662" s="165">
        <f>MROUND(G2662*N2662,0.000001)</f>
        <v>7.7177999999999997E-2</v>
      </c>
      <c r="P2662" s="166"/>
      <c r="Q2662" s="166">
        <f>O2662*K2662</f>
        <v>11084.30436</v>
      </c>
      <c r="R2662" s="71"/>
    </row>
    <row r="2663" spans="1:41" s="61" customFormat="1" x14ac:dyDescent="0.25">
      <c r="A2663" s="358"/>
      <c r="B2663" s="361"/>
      <c r="C2663" s="218" t="s">
        <v>435</v>
      </c>
      <c r="D2663" s="240"/>
      <c r="E2663" s="240"/>
      <c r="F2663" s="240"/>
      <c r="G2663" s="251"/>
      <c r="H2663" s="241"/>
      <c r="I2663" s="206"/>
      <c r="J2663" s="228"/>
      <c r="K2663" s="207"/>
      <c r="L2663" s="229"/>
      <c r="M2663" s="209"/>
      <c r="N2663" s="210"/>
      <c r="O2663" s="198">
        <f>SUM(O2662)</f>
        <v>7.7177999999999997E-2</v>
      </c>
      <c r="P2663" s="166"/>
      <c r="Q2663" s="166"/>
      <c r="R2663" s="71"/>
    </row>
    <row r="2664" spans="1:41" s="61" customFormat="1" ht="110.25" x14ac:dyDescent="0.25">
      <c r="A2664" s="358"/>
      <c r="B2664" s="361"/>
      <c r="C2664" s="221" t="s">
        <v>82</v>
      </c>
      <c r="D2664" s="156" t="s">
        <v>46</v>
      </c>
      <c r="E2664" s="156" t="s">
        <v>54</v>
      </c>
      <c r="F2664" s="156" t="s">
        <v>285</v>
      </c>
      <c r="G2664" s="238">
        <f>MROUND(H2664*L2664*I2664/K2664,0.000000000001)</f>
        <v>3.4721866729999998E-3</v>
      </c>
      <c r="H2664" s="158">
        <f>H2358</f>
        <v>231.81818181818178</v>
      </c>
      <c r="I2664" s="159">
        <f>I2650</f>
        <v>0.19555899999999998</v>
      </c>
      <c r="J2664" s="160"/>
      <c r="K2664" s="161">
        <f>K2650</f>
        <v>143620</v>
      </c>
      <c r="L2664" s="250">
        <f>$L$2150</f>
        <v>11</v>
      </c>
      <c r="M2664" s="163" t="str">
        <f>CONCATENATE(H2664," ",F2664,"*",L2664,"автобус","*",I2664,"/",K2664,"чел/час")</f>
        <v>231,818181818182 л бензина АИ 92 (12,5л/день(зимой)*20дней*7мес+10л/день(летом)*20дней*4мес)*11автобус*0,195559/143620чел/час</v>
      </c>
      <c r="N2664" s="278">
        <f>N2358</f>
        <v>54.500000000000007</v>
      </c>
      <c r="O2664" s="280">
        <f t="shared" si="563"/>
        <v>0.18923399999999999</v>
      </c>
      <c r="P2664" s="166"/>
      <c r="Q2664" s="166">
        <f>O2664*K2664</f>
        <v>27177.787079999998</v>
      </c>
      <c r="R2664" s="71"/>
    </row>
    <row r="2665" spans="1:41" s="61" customFormat="1" ht="47.25" x14ac:dyDescent="0.25">
      <c r="A2665" s="358"/>
      <c r="B2665" s="361"/>
      <c r="C2665" s="364" t="s">
        <v>118</v>
      </c>
      <c r="D2665" s="156" t="s">
        <v>47</v>
      </c>
      <c r="E2665" s="156" t="s">
        <v>28</v>
      </c>
      <c r="F2665" s="156" t="s">
        <v>239</v>
      </c>
      <c r="G2665" s="238">
        <f>MROUND(H2665*L2665*I2665/K2665,0.000000000001)</f>
        <v>2.7232836999999999E-5</v>
      </c>
      <c r="H2665" s="158">
        <f>H2151</f>
        <v>20</v>
      </c>
      <c r="I2665" s="159">
        <f>I2664</f>
        <v>0.19555899999999998</v>
      </c>
      <c r="J2665" s="160"/>
      <c r="K2665" s="161">
        <f>K2664</f>
        <v>143620</v>
      </c>
      <c r="L2665" s="250">
        <v>1</v>
      </c>
      <c r="M2665" s="163" t="str">
        <f>CONCATENATE(H2665," ",F2665,"*",I2665,"/",K2665,"чел/час")</f>
        <v>20 манометров (потребность учреждений) *0,195559/143620чел/час</v>
      </c>
      <c r="N2665" s="278">
        <f>N2151</f>
        <v>650</v>
      </c>
      <c r="O2665" s="280">
        <f t="shared" si="563"/>
        <v>1.7700999999999998E-2</v>
      </c>
      <c r="P2665" s="166"/>
      <c r="Q2665" s="166">
        <f>O2665*K2665</f>
        <v>2542.2176199999999</v>
      </c>
      <c r="R2665" s="71"/>
    </row>
    <row r="2666" spans="1:41" s="61" customFormat="1" ht="47.25" x14ac:dyDescent="0.25">
      <c r="A2666" s="358"/>
      <c r="B2666" s="361"/>
      <c r="C2666" s="364"/>
      <c r="D2666" s="255" t="s">
        <v>113</v>
      </c>
      <c r="E2666" s="156" t="s">
        <v>28</v>
      </c>
      <c r="F2666" s="156" t="s">
        <v>240</v>
      </c>
      <c r="G2666" s="238">
        <f>MROUND(H2666*L2666*I2666/K2666,0.000000000001)</f>
        <v>1.3616418300000001E-4</v>
      </c>
      <c r="H2666" s="158">
        <v>100</v>
      </c>
      <c r="I2666" s="159">
        <f>I2665</f>
        <v>0.19555899999999998</v>
      </c>
      <c r="J2666" s="160"/>
      <c r="K2666" s="161">
        <f>K2665</f>
        <v>143620</v>
      </c>
      <c r="L2666" s="250">
        <v>1</v>
      </c>
      <c r="M2666" s="163" t="str">
        <f>CONCATENATE(H2666," ",F2666,"*",I2666,"/",K2666,"чел/час")</f>
        <v>100 светильников (потребность учреждений)*0,195559/143620чел/час</v>
      </c>
      <c r="N2666" s="278">
        <f>N2152</f>
        <v>106.27500000000001</v>
      </c>
      <c r="O2666" s="280">
        <f t="shared" si="563"/>
        <v>1.4470999999999999E-2</v>
      </c>
      <c r="P2666" s="166"/>
      <c r="Q2666" s="166">
        <f>O2666*K2666</f>
        <v>2078.3250199999998</v>
      </c>
      <c r="R2666" s="71"/>
    </row>
    <row r="2667" spans="1:41" s="109" customFormat="1" x14ac:dyDescent="0.25">
      <c r="A2667" s="359"/>
      <c r="B2667" s="362"/>
      <c r="C2667" s="218" t="s">
        <v>301</v>
      </c>
      <c r="D2667" s="256"/>
      <c r="E2667" s="240"/>
      <c r="F2667" s="240"/>
      <c r="G2667" s="227"/>
      <c r="H2667" s="241"/>
      <c r="I2667" s="206"/>
      <c r="J2667" s="228"/>
      <c r="K2667" s="207"/>
      <c r="L2667" s="257"/>
      <c r="M2667" s="209"/>
      <c r="N2667" s="281"/>
      <c r="O2667" s="279">
        <f>O2665+O2666</f>
        <v>3.2171999999999999E-2</v>
      </c>
      <c r="P2667" s="267"/>
      <c r="Q2667" s="166"/>
      <c r="R2667" s="71"/>
      <c r="S2667" s="62"/>
      <c r="T2667" s="62"/>
      <c r="U2667" s="62"/>
      <c r="V2667" s="62"/>
      <c r="W2667" s="62"/>
      <c r="X2667" s="62"/>
      <c r="Y2667" s="62"/>
      <c r="Z2667" s="62"/>
      <c r="AA2667" s="62"/>
      <c r="AB2667" s="62"/>
      <c r="AC2667" s="62"/>
      <c r="AD2667" s="62"/>
      <c r="AE2667" s="62"/>
      <c r="AF2667" s="62"/>
      <c r="AG2667" s="62"/>
      <c r="AH2667" s="62"/>
      <c r="AI2667" s="62"/>
      <c r="AJ2667" s="62"/>
      <c r="AK2667" s="62"/>
      <c r="AL2667" s="62"/>
      <c r="AM2667" s="62"/>
      <c r="AN2667" s="62"/>
      <c r="AO2667" s="62"/>
    </row>
    <row r="2668" spans="1:41" s="108" customFormat="1" x14ac:dyDescent="0.25">
      <c r="A2668" s="357" t="str">
        <f>школы!$B$39</f>
        <v>Психолого-медико-педагогическое обследование детей</v>
      </c>
      <c r="B2668" s="360" t="str">
        <f>школы!$A$39</f>
        <v>880900О.99.0.ББ13АА02000</v>
      </c>
      <c r="C2668" s="194"/>
      <c r="D2668" s="363" t="s">
        <v>15</v>
      </c>
      <c r="E2668" s="363"/>
      <c r="F2668" s="363"/>
      <c r="G2668" s="363"/>
      <c r="H2668" s="195"/>
      <c r="I2668" s="195"/>
      <c r="J2668" s="195"/>
      <c r="K2668" s="195"/>
      <c r="L2668" s="196"/>
      <c r="M2668" s="197"/>
      <c r="N2668" s="278"/>
      <c r="O2668" s="279">
        <f>O2669+O2673</f>
        <v>2584.5338573476502</v>
      </c>
      <c r="P2668" s="166"/>
      <c r="Q2668" s="166">
        <f t="shared" ref="Q2668:Q2685" si="568">O2668*K2668</f>
        <v>0</v>
      </c>
      <c r="R2668" s="71"/>
      <c r="S2668" s="61"/>
      <c r="T2668" s="61"/>
      <c r="U2668" s="61"/>
      <c r="V2668" s="61"/>
      <c r="W2668" s="61"/>
      <c r="X2668" s="61"/>
      <c r="Y2668" s="61"/>
      <c r="Z2668" s="61"/>
      <c r="AA2668" s="61"/>
      <c r="AB2668" s="61"/>
      <c r="AC2668" s="61"/>
      <c r="AD2668" s="61"/>
      <c r="AE2668" s="61"/>
      <c r="AF2668" s="61"/>
      <c r="AG2668" s="61"/>
      <c r="AH2668" s="61"/>
      <c r="AI2668" s="61"/>
      <c r="AJ2668" s="61"/>
      <c r="AK2668" s="61"/>
      <c r="AL2668" s="61"/>
      <c r="AM2668" s="61"/>
      <c r="AN2668" s="61"/>
      <c r="AO2668" s="61"/>
    </row>
    <row r="2669" spans="1:41" s="108" customFormat="1" x14ac:dyDescent="0.25">
      <c r="A2669" s="358"/>
      <c r="B2669" s="361"/>
      <c r="C2669" s="194"/>
      <c r="D2669" s="350" t="s">
        <v>62</v>
      </c>
      <c r="E2669" s="350"/>
      <c r="F2669" s="350"/>
      <c r="G2669" s="350"/>
      <c r="H2669" s="195"/>
      <c r="I2669" s="195"/>
      <c r="J2669" s="195"/>
      <c r="K2669" s="195"/>
      <c r="L2669" s="196"/>
      <c r="M2669" s="197"/>
      <c r="N2669" s="278"/>
      <c r="O2669" s="279">
        <f>O2670+O2671</f>
        <v>2568.94692534765</v>
      </c>
      <c r="P2669" s="166"/>
      <c r="Q2669" s="166">
        <f t="shared" si="568"/>
        <v>0</v>
      </c>
      <c r="R2669" s="71"/>
      <c r="S2669" s="61"/>
      <c r="T2669" s="61"/>
      <c r="U2669" s="61"/>
      <c r="V2669" s="61"/>
      <c r="W2669" s="61"/>
      <c r="X2669" s="61"/>
      <c r="Y2669" s="61"/>
      <c r="Z2669" s="61"/>
      <c r="AA2669" s="61"/>
      <c r="AB2669" s="61"/>
      <c r="AC2669" s="61"/>
      <c r="AD2669" s="61"/>
      <c r="AE2669" s="61"/>
      <c r="AF2669" s="61"/>
      <c r="AG2669" s="61"/>
      <c r="AH2669" s="61"/>
      <c r="AI2669" s="61"/>
      <c r="AJ2669" s="61"/>
      <c r="AK2669" s="61"/>
      <c r="AL2669" s="61"/>
      <c r="AM2669" s="61"/>
      <c r="AN2669" s="61"/>
      <c r="AO2669" s="61"/>
    </row>
    <row r="2670" spans="1:41" s="61" customFormat="1" x14ac:dyDescent="0.25">
      <c r="A2670" s="358"/>
      <c r="B2670" s="361"/>
      <c r="C2670" s="194">
        <v>211</v>
      </c>
      <c r="D2670" s="194" t="s">
        <v>86</v>
      </c>
      <c r="E2670" s="199" t="s">
        <v>95</v>
      </c>
      <c r="F2670" s="199" t="s">
        <v>95</v>
      </c>
      <c r="G2670" s="238">
        <f>MROUND(H2670*L2670*I2670/K2670,0.000000000001)</f>
        <v>8.4372977454999998E-2</v>
      </c>
      <c r="H2670" s="201">
        <f>H2052</f>
        <v>368.4</v>
      </c>
      <c r="I2670" s="159">
        <f>школы!$K$39</f>
        <v>2.0993999999999999E-2</v>
      </c>
      <c r="J2670" s="159"/>
      <c r="K2670" s="161">
        <f>школы!$G$39</f>
        <v>1100</v>
      </c>
      <c r="L2670" s="202">
        <v>12</v>
      </c>
      <c r="M2670" s="163" t="str">
        <f>CONCATENATE(H2670," ",F2670," ","в мес.","*",L2670,"мес.","*",I2670,"/",K2670,"чел")</f>
        <v>368,4 шт.ед в мес.*12мес.*0,020994/1100чел</v>
      </c>
      <c r="N2670" s="278">
        <f>N2052</f>
        <v>23385.182971407892</v>
      </c>
      <c r="O2670" s="280">
        <f>MROUND(N2670*G2670,0.00000000001)</f>
        <v>1973.07751562765</v>
      </c>
      <c r="P2670" s="166"/>
      <c r="Q2670" s="166">
        <f t="shared" si="568"/>
        <v>2170385.2671904149</v>
      </c>
      <c r="R2670" s="71"/>
    </row>
    <row r="2671" spans="1:41" s="61" customFormat="1" x14ac:dyDescent="0.25">
      <c r="A2671" s="358"/>
      <c r="B2671" s="361"/>
      <c r="C2671" s="194">
        <v>213</v>
      </c>
      <c r="D2671" s="194" t="s">
        <v>87</v>
      </c>
      <c r="E2671" s="194" t="s">
        <v>88</v>
      </c>
      <c r="F2671" s="194"/>
      <c r="G2671" s="211">
        <v>30.2</v>
      </c>
      <c r="H2671" s="159"/>
      <c r="I2671" s="282">
        <f>I2670</f>
        <v>2.0993999999999999E-2</v>
      </c>
      <c r="J2671" s="159"/>
      <c r="K2671" s="161">
        <f>K2670</f>
        <v>1100</v>
      </c>
      <c r="L2671" s="202"/>
      <c r="M2671" s="212"/>
      <c r="N2671" s="278"/>
      <c r="O2671" s="280">
        <f>MROUND(O2670*0.302,0.000000001)</f>
        <v>595.86940972000002</v>
      </c>
      <c r="P2671" s="166"/>
      <c r="Q2671" s="166">
        <f t="shared" si="568"/>
        <v>655456.35069200001</v>
      </c>
      <c r="R2671" s="71"/>
    </row>
    <row r="2672" spans="1:41" s="108" customFormat="1" x14ac:dyDescent="0.25">
      <c r="A2672" s="358"/>
      <c r="B2672" s="361"/>
      <c r="C2672" s="194"/>
      <c r="D2672" s="194"/>
      <c r="E2672" s="194"/>
      <c r="F2672" s="194"/>
      <c r="G2672" s="217"/>
      <c r="H2672" s="195"/>
      <c r="I2672" s="159"/>
      <c r="J2672" s="195"/>
      <c r="K2672" s="161"/>
      <c r="L2672" s="196"/>
      <c r="M2672" s="197"/>
      <c r="N2672" s="278"/>
      <c r="O2672" s="280"/>
      <c r="P2672" s="166"/>
      <c r="Q2672" s="166">
        <f t="shared" si="568"/>
        <v>0</v>
      </c>
      <c r="R2672" s="71"/>
      <c r="S2672" s="61"/>
      <c r="T2672" s="61"/>
      <c r="U2672" s="61"/>
      <c r="V2672" s="61"/>
      <c r="W2672" s="61"/>
      <c r="X2672" s="61"/>
      <c r="Y2672" s="61"/>
      <c r="Z2672" s="61"/>
      <c r="AA2672" s="61"/>
      <c r="AB2672" s="61"/>
      <c r="AC2672" s="61"/>
      <c r="AD2672" s="61"/>
      <c r="AE2672" s="61"/>
      <c r="AF2672" s="61"/>
      <c r="AG2672" s="61"/>
      <c r="AH2672" s="61"/>
      <c r="AI2672" s="61"/>
      <c r="AJ2672" s="61"/>
      <c r="AK2672" s="61"/>
      <c r="AL2672" s="61"/>
      <c r="AM2672" s="61"/>
      <c r="AN2672" s="61"/>
      <c r="AO2672" s="61"/>
    </row>
    <row r="2673" spans="1:41" s="108" customFormat="1" x14ac:dyDescent="0.25">
      <c r="A2673" s="358"/>
      <c r="B2673" s="361"/>
      <c r="C2673" s="194"/>
      <c r="D2673" s="356" t="s">
        <v>63</v>
      </c>
      <c r="E2673" s="356"/>
      <c r="F2673" s="356"/>
      <c r="G2673" s="356"/>
      <c r="H2673" s="195"/>
      <c r="I2673" s="159"/>
      <c r="J2673" s="195"/>
      <c r="K2673" s="161"/>
      <c r="L2673" s="196"/>
      <c r="M2673" s="197"/>
      <c r="N2673" s="278"/>
      <c r="O2673" s="280">
        <f>O2674</f>
        <v>15.586931999999999</v>
      </c>
      <c r="P2673" s="166"/>
      <c r="Q2673" s="166">
        <f t="shared" si="568"/>
        <v>0</v>
      </c>
      <c r="R2673" s="71"/>
      <c r="S2673" s="61"/>
      <c r="T2673" s="61"/>
      <c r="U2673" s="61"/>
      <c r="V2673" s="61"/>
      <c r="W2673" s="61"/>
      <c r="X2673" s="61"/>
      <c r="Y2673" s="61"/>
      <c r="Z2673" s="61"/>
      <c r="AA2673" s="61"/>
      <c r="AB2673" s="61"/>
      <c r="AC2673" s="61"/>
      <c r="AD2673" s="61"/>
      <c r="AE2673" s="61"/>
      <c r="AF2673" s="61"/>
      <c r="AG2673" s="61"/>
      <c r="AH2673" s="61"/>
      <c r="AI2673" s="61"/>
      <c r="AJ2673" s="61"/>
      <c r="AK2673" s="61"/>
      <c r="AL2673" s="61"/>
      <c r="AM2673" s="61"/>
      <c r="AN2673" s="61"/>
      <c r="AO2673" s="61"/>
    </row>
    <row r="2674" spans="1:41" s="61" customFormat="1" x14ac:dyDescent="0.25">
      <c r="A2674" s="358"/>
      <c r="B2674" s="361"/>
      <c r="C2674" s="194">
        <v>346</v>
      </c>
      <c r="D2674" s="194" t="s">
        <v>259</v>
      </c>
      <c r="E2674" s="194" t="s">
        <v>260</v>
      </c>
      <c r="F2674" s="194" t="s">
        <v>261</v>
      </c>
      <c r="G2674" s="238">
        <f>MROUND(H2674*L2674*I2674/K2674,0.00000000001)</f>
        <v>2.313157091E-2</v>
      </c>
      <c r="H2674" s="283">
        <f>H2057</f>
        <v>1212</v>
      </c>
      <c r="I2674" s="282">
        <f>I2671</f>
        <v>2.0993999999999999E-2</v>
      </c>
      <c r="J2674" s="195"/>
      <c r="K2674" s="161">
        <f>K2671</f>
        <v>1100</v>
      </c>
      <c r="L2674" s="196">
        <v>1</v>
      </c>
      <c r="M2674" s="163" t="str">
        <f>CONCATENATE(H2674," ",F2674,"*",I2674,"/",K2674,"чел")</f>
        <v>1212 упаковок*0,020994/1100чел</v>
      </c>
      <c r="N2674" s="278">
        <f>N2057</f>
        <v>673.83800330033012</v>
      </c>
      <c r="O2674" s="280">
        <f>MROUND(N2674*G2674,0.000001)</f>
        <v>15.586931999999999</v>
      </c>
      <c r="P2674" s="166"/>
      <c r="Q2674" s="166">
        <f t="shared" si="568"/>
        <v>17145.625199999999</v>
      </c>
      <c r="R2674" s="71"/>
    </row>
    <row r="2675" spans="1:41" s="108" customFormat="1" x14ac:dyDescent="0.25">
      <c r="A2675" s="358"/>
      <c r="B2675" s="361"/>
      <c r="C2675" s="194"/>
      <c r="D2675" s="350" t="s">
        <v>64</v>
      </c>
      <c r="E2675" s="350"/>
      <c r="F2675" s="350"/>
      <c r="G2675" s="350"/>
      <c r="H2675" s="195"/>
      <c r="I2675" s="159"/>
      <c r="J2675" s="195"/>
      <c r="K2675" s="161"/>
      <c r="L2675" s="196"/>
      <c r="M2675" s="197"/>
      <c r="N2675" s="278"/>
      <c r="O2675" s="280"/>
      <c r="P2675" s="166"/>
      <c r="Q2675" s="166">
        <f t="shared" si="568"/>
        <v>0</v>
      </c>
      <c r="R2675" s="71"/>
      <c r="S2675" s="61"/>
      <c r="T2675" s="61"/>
      <c r="U2675" s="61"/>
      <c r="V2675" s="61"/>
      <c r="W2675" s="61"/>
      <c r="X2675" s="61"/>
      <c r="Y2675" s="61"/>
      <c r="Z2675" s="61"/>
      <c r="AA2675" s="61"/>
      <c r="AB2675" s="61"/>
      <c r="AC2675" s="61"/>
      <c r="AD2675" s="61"/>
      <c r="AE2675" s="61"/>
      <c r="AF2675" s="61"/>
      <c r="AG2675" s="61"/>
      <c r="AH2675" s="61"/>
      <c r="AI2675" s="61"/>
      <c r="AJ2675" s="61"/>
      <c r="AK2675" s="61"/>
      <c r="AL2675" s="61"/>
      <c r="AM2675" s="61"/>
      <c r="AN2675" s="61"/>
      <c r="AO2675" s="61"/>
    </row>
    <row r="2676" spans="1:41" s="108" customFormat="1" x14ac:dyDescent="0.25">
      <c r="A2676" s="358"/>
      <c r="B2676" s="361"/>
      <c r="C2676" s="194"/>
      <c r="D2676" s="194"/>
      <c r="E2676" s="194"/>
      <c r="F2676" s="194"/>
      <c r="G2676" s="217"/>
      <c r="H2676" s="195"/>
      <c r="I2676" s="159"/>
      <c r="J2676" s="195"/>
      <c r="K2676" s="161"/>
      <c r="L2676" s="196"/>
      <c r="M2676" s="197"/>
      <c r="N2676" s="278"/>
      <c r="O2676" s="280"/>
      <c r="P2676" s="166"/>
      <c r="Q2676" s="166">
        <f t="shared" si="568"/>
        <v>0</v>
      </c>
      <c r="R2676" s="71"/>
      <c r="S2676" s="61"/>
      <c r="T2676" s="61"/>
      <c r="U2676" s="61"/>
      <c r="V2676" s="61"/>
      <c r="W2676" s="61"/>
      <c r="X2676" s="61"/>
      <c r="Y2676" s="61"/>
      <c r="Z2676" s="61"/>
      <c r="AA2676" s="61"/>
      <c r="AB2676" s="61"/>
      <c r="AC2676" s="61"/>
      <c r="AD2676" s="61"/>
      <c r="AE2676" s="61"/>
      <c r="AF2676" s="61"/>
      <c r="AG2676" s="61"/>
      <c r="AH2676" s="61"/>
      <c r="AI2676" s="61"/>
      <c r="AJ2676" s="61"/>
      <c r="AK2676" s="61"/>
      <c r="AL2676" s="61"/>
      <c r="AM2676" s="61"/>
      <c r="AN2676" s="61"/>
      <c r="AO2676" s="61"/>
    </row>
    <row r="2677" spans="1:41" s="108" customFormat="1" x14ac:dyDescent="0.25">
      <c r="A2677" s="358"/>
      <c r="B2677" s="361"/>
      <c r="C2677" s="194"/>
      <c r="D2677" s="355" t="s">
        <v>5</v>
      </c>
      <c r="E2677" s="355"/>
      <c r="F2677" s="355"/>
      <c r="G2677" s="355"/>
      <c r="H2677" s="195"/>
      <c r="I2677" s="159"/>
      <c r="J2677" s="195"/>
      <c r="K2677" s="161"/>
      <c r="L2677" s="196"/>
      <c r="M2677" s="197"/>
      <c r="N2677" s="278"/>
      <c r="O2677" s="279">
        <f>O2678+O2687+O2698+O2700+O2711+O2707</f>
        <v>2352.236070592</v>
      </c>
      <c r="P2677" s="166"/>
      <c r="Q2677" s="166">
        <f t="shared" si="568"/>
        <v>0</v>
      </c>
      <c r="R2677" s="71"/>
      <c r="S2677" s="61"/>
      <c r="T2677" s="61"/>
      <c r="U2677" s="61"/>
      <c r="V2677" s="61"/>
      <c r="W2677" s="61"/>
      <c r="X2677" s="61"/>
      <c r="Y2677" s="61"/>
      <c r="Z2677" s="61"/>
      <c r="AA2677" s="61"/>
      <c r="AB2677" s="61"/>
      <c r="AC2677" s="61"/>
      <c r="AD2677" s="61"/>
      <c r="AE2677" s="61"/>
      <c r="AF2677" s="61"/>
      <c r="AG2677" s="61"/>
      <c r="AH2677" s="61"/>
      <c r="AI2677" s="61"/>
      <c r="AJ2677" s="61"/>
      <c r="AK2677" s="61"/>
      <c r="AL2677" s="61"/>
      <c r="AM2677" s="61"/>
      <c r="AN2677" s="61"/>
      <c r="AO2677" s="61"/>
    </row>
    <row r="2678" spans="1:41" s="108" customFormat="1" x14ac:dyDescent="0.25">
      <c r="A2678" s="358"/>
      <c r="B2678" s="361"/>
      <c r="C2678" s="221" t="s">
        <v>70</v>
      </c>
      <c r="D2678" s="355" t="s">
        <v>6</v>
      </c>
      <c r="E2678" s="355"/>
      <c r="F2678" s="355"/>
      <c r="G2678" s="355"/>
      <c r="H2678" s="189"/>
      <c r="I2678" s="159"/>
      <c r="J2678" s="189"/>
      <c r="K2678" s="161"/>
      <c r="L2678" s="190"/>
      <c r="M2678" s="197"/>
      <c r="N2678" s="278"/>
      <c r="O2678" s="279">
        <f>O2679+O2680+O2681+O2682+O2683+O2684+O2685</f>
        <v>120.56075999999999</v>
      </c>
      <c r="P2678" s="166"/>
      <c r="Q2678" s="166">
        <f t="shared" si="568"/>
        <v>0</v>
      </c>
      <c r="R2678" s="71"/>
      <c r="S2678" s="61"/>
      <c r="T2678" s="61"/>
      <c r="U2678" s="61"/>
      <c r="V2678" s="61"/>
      <c r="W2678" s="61"/>
      <c r="X2678" s="61"/>
      <c r="Y2678" s="61"/>
      <c r="Z2678" s="61"/>
      <c r="AA2678" s="61"/>
      <c r="AB2678" s="61"/>
      <c r="AC2678" s="61"/>
      <c r="AD2678" s="61"/>
      <c r="AE2678" s="61"/>
      <c r="AF2678" s="61"/>
      <c r="AG2678" s="61"/>
      <c r="AH2678" s="61"/>
      <c r="AI2678" s="61"/>
      <c r="AJ2678" s="61"/>
      <c r="AK2678" s="61"/>
      <c r="AL2678" s="61"/>
      <c r="AM2678" s="61"/>
      <c r="AN2678" s="61"/>
      <c r="AO2678" s="61"/>
    </row>
    <row r="2679" spans="1:41" s="61" customFormat="1" ht="31.5" x14ac:dyDescent="0.25">
      <c r="A2679" s="358"/>
      <c r="B2679" s="361"/>
      <c r="C2679" s="221" t="s">
        <v>72</v>
      </c>
      <c r="D2679" s="222" t="s">
        <v>7</v>
      </c>
      <c r="E2679" s="223" t="s">
        <v>8</v>
      </c>
      <c r="F2679" s="223" t="s">
        <v>8</v>
      </c>
      <c r="G2679" s="238">
        <f t="shared" ref="G2679:G2685" si="569">MROUND(H2679*L2679*I2679/K2679,0.00000000001)</f>
        <v>2.15780410669</v>
      </c>
      <c r="H2679" s="160">
        <f>H2063</f>
        <v>113060.13705633247</v>
      </c>
      <c r="I2679" s="282">
        <f>I2671</f>
        <v>2.0993999999999999E-2</v>
      </c>
      <c r="J2679" s="160"/>
      <c r="K2679" s="161">
        <f>K2671</f>
        <v>1100</v>
      </c>
      <c r="L2679" s="250">
        <v>1</v>
      </c>
      <c r="M2679" s="163" t="str">
        <f>CONCATENATE(H2679," ",F2679,"(лимиты выделенные УЖКХ) ","*",I2679,"/",K2679,"чел")</f>
        <v>113060,137056332 кВт час.(лимиты выделенные УЖКХ) *0,020994/1100чел</v>
      </c>
      <c r="N2679" s="278">
        <f>N2063</f>
        <v>10.461700036774822</v>
      </c>
      <c r="O2679" s="280">
        <f>MROUND(N2679*G2679,0.000001)</f>
        <v>22.574299</v>
      </c>
      <c r="P2679" s="166"/>
      <c r="Q2679" s="166">
        <f t="shared" si="568"/>
        <v>24831.728899999998</v>
      </c>
      <c r="R2679" s="71"/>
    </row>
    <row r="2680" spans="1:41" s="61" customFormat="1" ht="31.5" x14ac:dyDescent="0.25">
      <c r="A2680" s="358"/>
      <c r="B2680" s="361"/>
      <c r="C2680" s="221" t="s">
        <v>73</v>
      </c>
      <c r="D2680" s="222" t="s">
        <v>9</v>
      </c>
      <c r="E2680" s="223" t="s">
        <v>10</v>
      </c>
      <c r="F2680" s="223" t="s">
        <v>10</v>
      </c>
      <c r="G2680" s="238">
        <f t="shared" si="569"/>
        <v>2.6605123639999999E-2</v>
      </c>
      <c r="H2680" s="160">
        <f>H2064</f>
        <v>1394</v>
      </c>
      <c r="I2680" s="159">
        <f t="shared" ref="I2680:I2685" si="570">I2679</f>
        <v>2.0993999999999999E-2</v>
      </c>
      <c r="J2680" s="160"/>
      <c r="K2680" s="161">
        <f t="shared" ref="K2680:K2685" si="571">K2679</f>
        <v>1100</v>
      </c>
      <c r="L2680" s="250">
        <v>1</v>
      </c>
      <c r="M2680" s="163" t="str">
        <f>CONCATENATE(H2680," ",F2680,"(лимиты выделенные УЖКХ) ","*",I2680,"/",K2680,"чел")</f>
        <v>1394 Гкал(лимиты выделенные УЖКХ) *0,020994/1100чел</v>
      </c>
      <c r="N2680" s="278">
        <f>N2168</f>
        <v>2845.3649999999998</v>
      </c>
      <c r="O2680" s="280">
        <f t="shared" ref="O2680:O2685" si="572">MROUND(N2680*G2680,0.000001)</f>
        <v>75.701287999999991</v>
      </c>
      <c r="P2680" s="166"/>
      <c r="Q2680" s="166">
        <f t="shared" si="568"/>
        <v>83271.416799999992</v>
      </c>
      <c r="R2680" s="71"/>
    </row>
    <row r="2681" spans="1:41" s="61" customFormat="1" ht="31.5" x14ac:dyDescent="0.25">
      <c r="A2681" s="358"/>
      <c r="B2681" s="361"/>
      <c r="C2681" s="364" t="s">
        <v>74</v>
      </c>
      <c r="D2681" s="222" t="s">
        <v>12</v>
      </c>
      <c r="E2681" s="222" t="s">
        <v>11</v>
      </c>
      <c r="F2681" s="222" t="s">
        <v>11</v>
      </c>
      <c r="G2681" s="238">
        <f t="shared" si="569"/>
        <v>7.7126421219999991E-2</v>
      </c>
      <c r="H2681" s="224">
        <f>H2065</f>
        <v>4041.1099999999997</v>
      </c>
      <c r="I2681" s="159">
        <f t="shared" si="570"/>
        <v>2.0993999999999999E-2</v>
      </c>
      <c r="J2681" s="160"/>
      <c r="K2681" s="161">
        <f t="shared" si="571"/>
        <v>1100</v>
      </c>
      <c r="L2681" s="250">
        <v>1</v>
      </c>
      <c r="M2681" s="163" t="str">
        <f>CONCATENATE(H2681," ",F2681,"(лимиты выделенные УЖКХ) ","*",I2681,"/",K2681,"чел")</f>
        <v>4041,11 м3(лимиты выделенные УЖКХ) *0,020994/1100чел</v>
      </c>
      <c r="N2681" s="278">
        <f>N2065</f>
        <v>51.830000000000013</v>
      </c>
      <c r="O2681" s="280">
        <f t="shared" si="572"/>
        <v>3.9974619999999996</v>
      </c>
      <c r="P2681" s="166"/>
      <c r="Q2681" s="166">
        <f t="shared" si="568"/>
        <v>4397.2082</v>
      </c>
      <c r="R2681" s="71"/>
    </row>
    <row r="2682" spans="1:41" s="61" customFormat="1" ht="47.25" x14ac:dyDescent="0.25">
      <c r="A2682" s="358"/>
      <c r="B2682" s="361"/>
      <c r="C2682" s="364"/>
      <c r="D2682" s="222" t="s">
        <v>17</v>
      </c>
      <c r="E2682" s="222" t="s">
        <v>11</v>
      </c>
      <c r="F2682" s="222" t="s">
        <v>11</v>
      </c>
      <c r="G2682" s="238">
        <f t="shared" si="569"/>
        <v>7.7126421219999991E-2</v>
      </c>
      <c r="H2682" s="160">
        <f>H2170</f>
        <v>4041.1099999999997</v>
      </c>
      <c r="I2682" s="159">
        <f t="shared" si="570"/>
        <v>2.0993999999999999E-2</v>
      </c>
      <c r="J2682" s="160"/>
      <c r="K2682" s="161">
        <f t="shared" si="571"/>
        <v>1100</v>
      </c>
      <c r="L2682" s="162">
        <f>$L$25</f>
        <v>1</v>
      </c>
      <c r="M2682" s="163" t="str">
        <f>CONCATENATE(H2682," ",F2682,"(лимиты выделенные УЖКХ) ","*",I2682,"/",K2682,"чел")</f>
        <v>4041,11 м3(лимиты выделенные УЖКХ) *0,020994/1100чел</v>
      </c>
      <c r="N2682" s="164">
        <f>N2066</f>
        <v>78.761157534246578</v>
      </c>
      <c r="O2682" s="280">
        <f t="shared" si="572"/>
        <v>6.0745659999999999</v>
      </c>
      <c r="P2682" s="166"/>
      <c r="Q2682" s="166">
        <f t="shared" si="568"/>
        <v>6682.0226000000002</v>
      </c>
      <c r="R2682" s="71"/>
    </row>
    <row r="2683" spans="1:41" s="61" customFormat="1" ht="31.5" x14ac:dyDescent="0.25">
      <c r="A2683" s="358"/>
      <c r="B2683" s="361"/>
      <c r="C2683" s="364"/>
      <c r="D2683" s="222" t="s">
        <v>13</v>
      </c>
      <c r="E2683" s="222" t="s">
        <v>11</v>
      </c>
      <c r="F2683" s="222" t="s">
        <v>11</v>
      </c>
      <c r="G2683" s="238">
        <f t="shared" si="569"/>
        <v>7.7126421219999991E-2</v>
      </c>
      <c r="H2683" s="160">
        <f>H2067</f>
        <v>4041.1099999999997</v>
      </c>
      <c r="I2683" s="159">
        <f t="shared" si="570"/>
        <v>2.0993999999999999E-2</v>
      </c>
      <c r="J2683" s="160"/>
      <c r="K2683" s="161">
        <f t="shared" si="571"/>
        <v>1100</v>
      </c>
      <c r="L2683" s="162">
        <v>1</v>
      </c>
      <c r="M2683" s="163" t="str">
        <f>CONCATENATE(H2683," ",F2683,"(лимиты выделенные УЖКХ) ","*",I2683,"/",K2683,"чел")</f>
        <v>4041,11 м3(лимиты выделенные УЖКХ) *0,020994/1100чел</v>
      </c>
      <c r="N2683" s="278">
        <f>N2067</f>
        <v>96.180004349493274</v>
      </c>
      <c r="O2683" s="280">
        <f t="shared" si="572"/>
        <v>7.4180199999999994</v>
      </c>
      <c r="P2683" s="166"/>
      <c r="Q2683" s="166">
        <f t="shared" si="568"/>
        <v>8159.8219999999992</v>
      </c>
      <c r="R2683" s="71"/>
    </row>
    <row r="2684" spans="1:41" s="61" customFormat="1" x14ac:dyDescent="0.25">
      <c r="A2684" s="358"/>
      <c r="B2684" s="361"/>
      <c r="C2684" s="364" t="s">
        <v>216</v>
      </c>
      <c r="D2684" s="222" t="s">
        <v>23</v>
      </c>
      <c r="E2684" s="222" t="s">
        <v>11</v>
      </c>
      <c r="F2684" s="222" t="s">
        <v>11</v>
      </c>
      <c r="G2684" s="238">
        <f t="shared" si="569"/>
        <v>4.7675464999999997E-4</v>
      </c>
      <c r="H2684" s="160">
        <f>H2068</f>
        <v>24.979999999999997</v>
      </c>
      <c r="I2684" s="159">
        <f t="shared" si="570"/>
        <v>2.0993999999999999E-2</v>
      </c>
      <c r="J2684" s="160"/>
      <c r="K2684" s="161">
        <f t="shared" si="571"/>
        <v>1100</v>
      </c>
      <c r="L2684" s="162">
        <v>1</v>
      </c>
      <c r="M2684" s="163" t="str">
        <f>CONCATENATE(H2684," ",F2684," ","*",I2684,"/",K2684,"чел")</f>
        <v>24,98 м3 *0,020994/1100чел</v>
      </c>
      <c r="N2684" s="164">
        <f>N2068</f>
        <v>8906.5644515612512</v>
      </c>
      <c r="O2684" s="280">
        <f t="shared" si="572"/>
        <v>4.2462460000000002</v>
      </c>
      <c r="P2684" s="166"/>
      <c r="Q2684" s="166">
        <f t="shared" si="568"/>
        <v>4670.8706000000002</v>
      </c>
      <c r="R2684" s="71"/>
    </row>
    <row r="2685" spans="1:41" s="61" customFormat="1" ht="47.25" x14ac:dyDescent="0.25">
      <c r="A2685" s="358"/>
      <c r="B2685" s="361"/>
      <c r="C2685" s="364"/>
      <c r="D2685" s="222" t="s">
        <v>24</v>
      </c>
      <c r="E2685" s="222" t="s">
        <v>25</v>
      </c>
      <c r="F2685" s="222" t="s">
        <v>248</v>
      </c>
      <c r="G2685" s="238">
        <f t="shared" si="569"/>
        <v>9.5427269999999998E-5</v>
      </c>
      <c r="H2685" s="160">
        <f>H2069</f>
        <v>5</v>
      </c>
      <c r="I2685" s="159">
        <f t="shared" si="570"/>
        <v>2.0993999999999999E-2</v>
      </c>
      <c r="J2685" s="160"/>
      <c r="K2685" s="161">
        <f t="shared" si="571"/>
        <v>1100</v>
      </c>
      <c r="L2685" s="250">
        <v>1</v>
      </c>
      <c r="M2685" s="163" t="str">
        <f>CONCATENATE(H2685," ",F2685,"(потребность из расчета 4 контейнера для уборки территории весной и осенью на 1 учреждение)","*",I2685,"/",K2685,"чел")</f>
        <v>5 контейнеров(потребность из расчета 4 контейнера для уборки территории весной и осенью на 1 учреждение)*0,020994/1100чел</v>
      </c>
      <c r="N2685" s="278">
        <f>N2173</f>
        <v>5751.8</v>
      </c>
      <c r="O2685" s="280">
        <f t="shared" si="572"/>
        <v>0.54887900000000001</v>
      </c>
      <c r="P2685" s="166"/>
      <c r="Q2685" s="166">
        <f t="shared" si="568"/>
        <v>603.76689999999996</v>
      </c>
      <c r="R2685" s="71"/>
    </row>
    <row r="2686" spans="1:41" s="109" customFormat="1" x14ac:dyDescent="0.25">
      <c r="A2686" s="358"/>
      <c r="B2686" s="361"/>
      <c r="C2686" s="218" t="s">
        <v>290</v>
      </c>
      <c r="D2686" s="226"/>
      <c r="E2686" s="226"/>
      <c r="F2686" s="226"/>
      <c r="G2686" s="227"/>
      <c r="H2686" s="228"/>
      <c r="I2686" s="206"/>
      <c r="J2686" s="228"/>
      <c r="K2686" s="207"/>
      <c r="L2686" s="257"/>
      <c r="M2686" s="209"/>
      <c r="N2686" s="281"/>
      <c r="O2686" s="279">
        <f>SUM(O2679:O2685)</f>
        <v>120.56075999999999</v>
      </c>
      <c r="P2686" s="267"/>
      <c r="Q2686" s="166"/>
      <c r="R2686" s="71"/>
      <c r="S2686" s="62"/>
      <c r="T2686" s="62"/>
      <c r="U2686" s="62"/>
      <c r="V2686" s="62"/>
      <c r="W2686" s="62"/>
      <c r="X2686" s="62"/>
      <c r="Y2686" s="62"/>
      <c r="Z2686" s="62"/>
      <c r="AA2686" s="62"/>
      <c r="AB2686" s="62"/>
      <c r="AC2686" s="62"/>
      <c r="AD2686" s="62"/>
      <c r="AE2686" s="62"/>
      <c r="AF2686" s="62"/>
      <c r="AG2686" s="62"/>
      <c r="AH2686" s="62"/>
      <c r="AI2686" s="62"/>
      <c r="AJ2686" s="62"/>
      <c r="AK2686" s="62"/>
      <c r="AL2686" s="62"/>
      <c r="AM2686" s="62"/>
      <c r="AN2686" s="62"/>
      <c r="AO2686" s="62"/>
    </row>
    <row r="2687" spans="1:41" s="108" customFormat="1" x14ac:dyDescent="0.25">
      <c r="A2687" s="358"/>
      <c r="B2687" s="361"/>
      <c r="C2687" s="221"/>
      <c r="D2687" s="356" t="s">
        <v>14</v>
      </c>
      <c r="E2687" s="356"/>
      <c r="F2687" s="356"/>
      <c r="G2687" s="356"/>
      <c r="H2687" s="188"/>
      <c r="I2687" s="159"/>
      <c r="J2687" s="188"/>
      <c r="K2687" s="161"/>
      <c r="L2687" s="250"/>
      <c r="M2687" s="230"/>
      <c r="N2687" s="278"/>
      <c r="O2687" s="279">
        <f>O2691+O2695+O2696</f>
        <v>1984.6488573160002</v>
      </c>
      <c r="P2687" s="166"/>
      <c r="Q2687" s="166">
        <f>O2687*K2687</f>
        <v>0</v>
      </c>
      <c r="R2687" s="71"/>
      <c r="S2687" s="61"/>
      <c r="T2687" s="61"/>
      <c r="U2687" s="61"/>
      <c r="V2687" s="61"/>
      <c r="W2687" s="61"/>
      <c r="X2687" s="61"/>
      <c r="Y2687" s="61"/>
      <c r="Z2687" s="61"/>
      <c r="AA2687" s="61"/>
      <c r="AB2687" s="61"/>
      <c r="AC2687" s="61"/>
      <c r="AD2687" s="61"/>
      <c r="AE2687" s="61"/>
      <c r="AF2687" s="61"/>
      <c r="AG2687" s="61"/>
      <c r="AH2687" s="61"/>
      <c r="AI2687" s="61"/>
      <c r="AJ2687" s="61"/>
      <c r="AK2687" s="61"/>
      <c r="AL2687" s="61"/>
      <c r="AM2687" s="61"/>
      <c r="AN2687" s="61"/>
      <c r="AO2687" s="61"/>
    </row>
    <row r="2688" spans="1:41" s="61" customFormat="1" x14ac:dyDescent="0.25">
      <c r="A2688" s="358"/>
      <c r="B2688" s="361"/>
      <c r="C2688" s="221" t="s">
        <v>379</v>
      </c>
      <c r="D2688" s="231" t="s">
        <v>49</v>
      </c>
      <c r="E2688" s="231" t="s">
        <v>22</v>
      </c>
      <c r="F2688" s="231" t="s">
        <v>22</v>
      </c>
      <c r="G2688" s="238">
        <f>MROUND(H2688*L2688*I2688/K2688,0.00000000001)</f>
        <v>6.3674802000000003E-2</v>
      </c>
      <c r="H2688" s="160">
        <f>H2072</f>
        <v>3336.3</v>
      </c>
      <c r="I2688" s="159">
        <f>I2683</f>
        <v>2.0993999999999999E-2</v>
      </c>
      <c r="J2688" s="160"/>
      <c r="K2688" s="161">
        <f>K2683</f>
        <v>1100</v>
      </c>
      <c r="L2688" s="250">
        <v>1</v>
      </c>
      <c r="M2688" s="163" t="str">
        <f>CONCATENATE(H2688," ",F2688,"*",I2688,"/",K2688,"чел/час")</f>
        <v>3336,3 м2*0,020994/1100чел/час</v>
      </c>
      <c r="N2688" s="278">
        <f>N2072</f>
        <v>2997.3323741869735</v>
      </c>
      <c r="O2688" s="280">
        <f>MROUND(N2688*G2688,0.000000001)</f>
        <v>190.85454545500002</v>
      </c>
      <c r="P2688" s="166"/>
      <c r="Q2688" s="166">
        <f>O2688*K2688</f>
        <v>209940.00000050003</v>
      </c>
      <c r="R2688" s="71"/>
    </row>
    <row r="2689" spans="1:41" s="61" customFormat="1" x14ac:dyDescent="0.25">
      <c r="A2689" s="358"/>
      <c r="B2689" s="361"/>
      <c r="C2689" s="221" t="s">
        <v>379</v>
      </c>
      <c r="D2689" s="231" t="s">
        <v>49</v>
      </c>
      <c r="E2689" s="231" t="s">
        <v>28</v>
      </c>
      <c r="F2689" s="231" t="s">
        <v>28</v>
      </c>
      <c r="G2689" s="238">
        <f>MROUND(H2689*L2689*I2689/K2689,0.00000000001)</f>
        <v>0</v>
      </c>
      <c r="H2689" s="160"/>
      <c r="I2689" s="159">
        <f>I2688</f>
        <v>2.0993999999999999E-2</v>
      </c>
      <c r="J2689" s="160"/>
      <c r="K2689" s="161">
        <f>K2688</f>
        <v>1100</v>
      </c>
      <c r="L2689" s="250">
        <v>1</v>
      </c>
      <c r="M2689" s="163"/>
      <c r="N2689" s="278"/>
      <c r="O2689" s="280">
        <f>MROUND(N2689*G2689,0.000000001)</f>
        <v>0</v>
      </c>
      <c r="P2689" s="166"/>
      <c r="Q2689" s="166">
        <f>O2689*K2689</f>
        <v>0</v>
      </c>
      <c r="R2689" s="71"/>
    </row>
    <row r="2690" spans="1:41" s="61" customFormat="1" x14ac:dyDescent="0.25">
      <c r="A2690" s="358"/>
      <c r="B2690" s="361"/>
      <c r="C2690" s="221" t="s">
        <v>379</v>
      </c>
      <c r="D2690" s="231" t="s">
        <v>49</v>
      </c>
      <c r="E2690" s="231" t="s">
        <v>101</v>
      </c>
      <c r="F2690" s="231" t="s">
        <v>101</v>
      </c>
      <c r="G2690" s="238">
        <f>MROUND(H2690*L2690*I2690/K2690,0.00000000001)</f>
        <v>0</v>
      </c>
      <c r="H2690" s="160"/>
      <c r="I2690" s="159">
        <f>I2688</f>
        <v>2.0993999999999999E-2</v>
      </c>
      <c r="J2690" s="160"/>
      <c r="K2690" s="161">
        <f>K2688</f>
        <v>1100</v>
      </c>
      <c r="L2690" s="250">
        <v>1</v>
      </c>
      <c r="M2690" s="163"/>
      <c r="N2690" s="278"/>
      <c r="O2690" s="280">
        <f>MROUND(N2690*G2690,0.000001)</f>
        <v>0</v>
      </c>
      <c r="P2690" s="166"/>
      <c r="Q2690" s="166">
        <f>O2690*K2690</f>
        <v>0</v>
      </c>
      <c r="R2690" s="71"/>
    </row>
    <row r="2691" spans="1:41" s="109" customFormat="1" x14ac:dyDescent="0.25">
      <c r="A2691" s="358"/>
      <c r="B2691" s="361"/>
      <c r="C2691" s="218" t="s">
        <v>380</v>
      </c>
      <c r="D2691" s="232"/>
      <c r="E2691" s="232"/>
      <c r="F2691" s="232"/>
      <c r="G2691" s="227"/>
      <c r="H2691" s="228"/>
      <c r="I2691" s="206"/>
      <c r="J2691" s="228"/>
      <c r="K2691" s="207"/>
      <c r="L2691" s="257"/>
      <c r="M2691" s="209"/>
      <c r="N2691" s="281"/>
      <c r="O2691" s="279">
        <f>SUM(O2688:O2690)</f>
        <v>190.85454545500002</v>
      </c>
      <c r="P2691" s="267"/>
      <c r="Q2691" s="166"/>
      <c r="R2691" s="72"/>
      <c r="S2691" s="62"/>
      <c r="T2691" s="62"/>
      <c r="U2691" s="62"/>
      <c r="V2691" s="62"/>
      <c r="W2691" s="62"/>
      <c r="X2691" s="62"/>
      <c r="Y2691" s="62"/>
      <c r="Z2691" s="62"/>
      <c r="AA2691" s="62"/>
      <c r="AB2691" s="62"/>
      <c r="AC2691" s="62"/>
      <c r="AD2691" s="62"/>
      <c r="AE2691" s="62"/>
      <c r="AF2691" s="62"/>
      <c r="AG2691" s="62"/>
      <c r="AH2691" s="62"/>
      <c r="AI2691" s="62"/>
      <c r="AJ2691" s="62"/>
      <c r="AK2691" s="62"/>
      <c r="AL2691" s="62"/>
      <c r="AM2691" s="62"/>
      <c r="AN2691" s="62"/>
      <c r="AO2691" s="62"/>
    </row>
    <row r="2692" spans="1:41" s="61" customFormat="1" x14ac:dyDescent="0.25">
      <c r="A2692" s="358"/>
      <c r="B2692" s="361"/>
      <c r="C2692" s="221" t="s">
        <v>76</v>
      </c>
      <c r="D2692" s="231" t="s">
        <v>49</v>
      </c>
      <c r="E2692" s="231" t="s">
        <v>22</v>
      </c>
      <c r="F2692" s="231" t="s">
        <v>22</v>
      </c>
      <c r="G2692" s="238">
        <f>MROUND(H2692*L2692*I2692/K2692,0.00000000001)</f>
        <v>0.35716519635999999</v>
      </c>
      <c r="H2692" s="160">
        <f>H2076</f>
        <v>18714</v>
      </c>
      <c r="I2692" s="159">
        <f>I2690</f>
        <v>2.0993999999999999E-2</v>
      </c>
      <c r="J2692" s="160"/>
      <c r="K2692" s="161">
        <f>K2690</f>
        <v>1100</v>
      </c>
      <c r="L2692" s="250">
        <v>1</v>
      </c>
      <c r="M2692" s="163" t="str">
        <f>CONCATENATE(H2692," ",F2692,"*",I2692,"/",K2692,"чел")</f>
        <v>18714 м2*0,020994/1100чел</v>
      </c>
      <c r="N2692" s="278">
        <f>N2076</f>
        <v>3265.8708987923478</v>
      </c>
      <c r="O2692" s="280">
        <f>MROUND(N2692*G2692,0.000000001)</f>
        <v>1166.4554208540001</v>
      </c>
      <c r="P2692" s="166"/>
      <c r="Q2692" s="166">
        <f>O2692*K2692</f>
        <v>1283100.9629394</v>
      </c>
      <c r="R2692" s="71"/>
    </row>
    <row r="2693" spans="1:41" s="61" customFormat="1" x14ac:dyDescent="0.25">
      <c r="A2693" s="358"/>
      <c r="B2693" s="361"/>
      <c r="C2693" s="221"/>
      <c r="D2693" s="231" t="s">
        <v>49</v>
      </c>
      <c r="E2693" s="231" t="s">
        <v>28</v>
      </c>
      <c r="F2693" s="231" t="s">
        <v>28</v>
      </c>
      <c r="G2693" s="238">
        <f>MROUND(H2693*L2693*I2693/K2693,0.00000000001)</f>
        <v>3.8170909099999998E-3</v>
      </c>
      <c r="H2693" s="160">
        <f>H2077</f>
        <v>200</v>
      </c>
      <c r="I2693" s="159">
        <f>I2692</f>
        <v>2.0993999999999999E-2</v>
      </c>
      <c r="J2693" s="160"/>
      <c r="K2693" s="161">
        <f>K2692</f>
        <v>1100</v>
      </c>
      <c r="L2693" s="250">
        <v>1</v>
      </c>
      <c r="M2693" s="163" t="str">
        <f>CONCATENATE(H2693," ",F2693,"*",I2693,"/",K2693,"чел")</f>
        <v>200 шт*0,020994/1100чел</v>
      </c>
      <c r="N2693" s="278">
        <f>N2077</f>
        <v>108250</v>
      </c>
      <c r="O2693" s="280">
        <f>MROUND(N2693*G2693,0.000000001)</f>
        <v>413.20009100700003</v>
      </c>
      <c r="P2693" s="166"/>
      <c r="Q2693" s="166">
        <f>O2693*K2693</f>
        <v>454520.10010770004</v>
      </c>
      <c r="R2693" s="71"/>
    </row>
    <row r="2694" spans="1:41" s="61" customFormat="1" x14ac:dyDescent="0.25">
      <c r="A2694" s="358"/>
      <c r="B2694" s="361"/>
      <c r="C2694" s="221"/>
      <c r="D2694" s="231" t="s">
        <v>49</v>
      </c>
      <c r="E2694" s="231" t="s">
        <v>101</v>
      </c>
      <c r="F2694" s="231" t="s">
        <v>101</v>
      </c>
      <c r="G2694" s="238">
        <f>MROUND(H2694*L2694*I2694/K2694,0.00000000001)</f>
        <v>4.2407879999999995E-2</v>
      </c>
      <c r="H2694" s="160">
        <f>H2078</f>
        <v>2222</v>
      </c>
      <c r="I2694" s="159">
        <f>I2692</f>
        <v>2.0993999999999999E-2</v>
      </c>
      <c r="J2694" s="160"/>
      <c r="K2694" s="161">
        <f>K2692</f>
        <v>1100</v>
      </c>
      <c r="L2694" s="250">
        <v>1</v>
      </c>
      <c r="M2694" s="163" t="str">
        <f>CONCATENATE(H2694," ",F2694,"*",I2694,"/",K2694,"чел")</f>
        <v>2222 погон.м.*0,020994/1100чел</v>
      </c>
      <c r="N2694" s="278">
        <f>N2078</f>
        <v>5049.5049504950493</v>
      </c>
      <c r="O2694" s="280">
        <f>MROUND(N2694*G2694,0.000001)</f>
        <v>214.1388</v>
      </c>
      <c r="P2694" s="166"/>
      <c r="Q2694" s="166">
        <f>O2694*K2694</f>
        <v>235552.68</v>
      </c>
      <c r="R2694" s="71"/>
    </row>
    <row r="2695" spans="1:41" s="109" customFormat="1" x14ac:dyDescent="0.25">
      <c r="A2695" s="358"/>
      <c r="B2695" s="361"/>
      <c r="C2695" s="218" t="s">
        <v>291</v>
      </c>
      <c r="D2695" s="232"/>
      <c r="E2695" s="232"/>
      <c r="F2695" s="232"/>
      <c r="G2695" s="227"/>
      <c r="H2695" s="228"/>
      <c r="I2695" s="206"/>
      <c r="J2695" s="228"/>
      <c r="K2695" s="207"/>
      <c r="L2695" s="257"/>
      <c r="M2695" s="209"/>
      <c r="N2695" s="281"/>
      <c r="O2695" s="279">
        <f>SUM(O2692:O2694)</f>
        <v>1793.7943118610001</v>
      </c>
      <c r="P2695" s="267"/>
      <c r="Q2695" s="166"/>
      <c r="R2695" s="72"/>
      <c r="S2695" s="62"/>
      <c r="T2695" s="62"/>
      <c r="U2695" s="62"/>
      <c r="V2695" s="62"/>
      <c r="W2695" s="62"/>
      <c r="X2695" s="62"/>
      <c r="Y2695" s="62"/>
      <c r="Z2695" s="62"/>
      <c r="AA2695" s="62"/>
      <c r="AB2695" s="62"/>
      <c r="AC2695" s="62"/>
      <c r="AD2695" s="62"/>
      <c r="AE2695" s="62"/>
      <c r="AF2695" s="62"/>
      <c r="AG2695" s="62"/>
      <c r="AH2695" s="62"/>
      <c r="AI2695" s="62"/>
      <c r="AJ2695" s="62"/>
      <c r="AK2695" s="62"/>
      <c r="AL2695" s="62"/>
      <c r="AM2695" s="62"/>
      <c r="AN2695" s="62"/>
      <c r="AO2695" s="62"/>
    </row>
    <row r="2696" spans="1:41" s="61" customFormat="1" x14ac:dyDescent="0.25">
      <c r="A2696" s="358"/>
      <c r="B2696" s="361"/>
      <c r="C2696" s="221" t="s">
        <v>77</v>
      </c>
      <c r="D2696" s="231"/>
      <c r="E2696" s="231"/>
      <c r="F2696" s="231"/>
      <c r="G2696" s="238">
        <f>MROUND(H2696*L2696*I2696/K2696,0.00000000001)</f>
        <v>0</v>
      </c>
      <c r="H2696" s="160"/>
      <c r="I2696" s="159">
        <f>I2694</f>
        <v>2.0993999999999999E-2</v>
      </c>
      <c r="J2696" s="160"/>
      <c r="K2696" s="161">
        <f>K2694</f>
        <v>1100</v>
      </c>
      <c r="L2696" s="250"/>
      <c r="M2696" s="163"/>
      <c r="N2696" s="278"/>
      <c r="O2696" s="280">
        <f>MROUND(N2696*G2696,0.000001)</f>
        <v>0</v>
      </c>
      <c r="P2696" s="166"/>
      <c r="Q2696" s="166">
        <f>O2696*K2696</f>
        <v>0</v>
      </c>
      <c r="R2696" s="71"/>
    </row>
    <row r="2697" spans="1:41" s="109" customFormat="1" x14ac:dyDescent="0.25">
      <c r="A2697" s="358"/>
      <c r="B2697" s="361"/>
      <c r="C2697" s="218" t="s">
        <v>292</v>
      </c>
      <c r="D2697" s="232"/>
      <c r="E2697" s="232"/>
      <c r="F2697" s="232"/>
      <c r="G2697" s="227"/>
      <c r="H2697" s="228"/>
      <c r="I2697" s="206"/>
      <c r="J2697" s="228"/>
      <c r="K2697" s="207"/>
      <c r="L2697" s="257"/>
      <c r="M2697" s="209"/>
      <c r="N2697" s="281"/>
      <c r="O2697" s="279">
        <f>O2696</f>
        <v>0</v>
      </c>
      <c r="P2697" s="267"/>
      <c r="Q2697" s="166"/>
      <c r="R2697" s="72"/>
      <c r="S2697" s="62"/>
      <c r="T2697" s="62"/>
      <c r="U2697" s="62"/>
      <c r="V2697" s="62"/>
      <c r="W2697" s="62"/>
      <c r="X2697" s="62"/>
      <c r="Y2697" s="62"/>
      <c r="Z2697" s="62"/>
      <c r="AA2697" s="62"/>
      <c r="AB2697" s="62"/>
      <c r="AC2697" s="62"/>
      <c r="AD2697" s="62"/>
      <c r="AE2697" s="62"/>
      <c r="AF2697" s="62"/>
      <c r="AG2697" s="62"/>
      <c r="AH2697" s="62"/>
      <c r="AI2697" s="62"/>
      <c r="AJ2697" s="62"/>
      <c r="AK2697" s="62"/>
      <c r="AL2697" s="62"/>
      <c r="AM2697" s="62"/>
      <c r="AN2697" s="62"/>
      <c r="AO2697" s="62"/>
    </row>
    <row r="2698" spans="1:41" s="108" customFormat="1" x14ac:dyDescent="0.25">
      <c r="A2698" s="358"/>
      <c r="B2698" s="361"/>
      <c r="C2698" s="221"/>
      <c r="D2698" s="350" t="s">
        <v>65</v>
      </c>
      <c r="E2698" s="350"/>
      <c r="F2698" s="350"/>
      <c r="G2698" s="350"/>
      <c r="H2698" s="195"/>
      <c r="I2698" s="159"/>
      <c r="J2698" s="195"/>
      <c r="K2698" s="161"/>
      <c r="L2698" s="196"/>
      <c r="M2698" s="230"/>
      <c r="N2698" s="278"/>
      <c r="O2698" s="280"/>
      <c r="P2698" s="166"/>
      <c r="Q2698" s="166">
        <f t="shared" ref="Q2698:Q2717" si="573">O2698*K2698</f>
        <v>0</v>
      </c>
      <c r="R2698" s="71"/>
      <c r="S2698" s="61"/>
      <c r="T2698" s="61"/>
      <c r="U2698" s="61"/>
      <c r="V2698" s="61"/>
      <c r="W2698" s="61"/>
      <c r="X2698" s="61"/>
      <c r="Y2698" s="61"/>
      <c r="Z2698" s="61"/>
      <c r="AA2698" s="61"/>
      <c r="AB2698" s="61"/>
      <c r="AC2698" s="61"/>
      <c r="AD2698" s="61"/>
      <c r="AE2698" s="61"/>
      <c r="AF2698" s="61"/>
      <c r="AG2698" s="61"/>
      <c r="AH2698" s="61"/>
      <c r="AI2698" s="61"/>
      <c r="AJ2698" s="61"/>
      <c r="AK2698" s="61"/>
      <c r="AL2698" s="61"/>
      <c r="AM2698" s="61"/>
      <c r="AN2698" s="61"/>
      <c r="AO2698" s="61"/>
    </row>
    <row r="2699" spans="1:41" s="108" customFormat="1" x14ac:dyDescent="0.25">
      <c r="A2699" s="358"/>
      <c r="B2699" s="361"/>
      <c r="C2699" s="221"/>
      <c r="D2699" s="194"/>
      <c r="E2699" s="194"/>
      <c r="F2699" s="194"/>
      <c r="G2699" s="217"/>
      <c r="H2699" s="195"/>
      <c r="I2699" s="159"/>
      <c r="J2699" s="195"/>
      <c r="K2699" s="161"/>
      <c r="L2699" s="196"/>
      <c r="M2699" s="230"/>
      <c r="N2699" s="278"/>
      <c r="O2699" s="280"/>
      <c r="P2699" s="166"/>
      <c r="Q2699" s="166">
        <f t="shared" si="573"/>
        <v>0</v>
      </c>
      <c r="R2699" s="71"/>
      <c r="S2699" s="61"/>
      <c r="T2699" s="61"/>
      <c r="U2699" s="61"/>
      <c r="V2699" s="61"/>
      <c r="W2699" s="61"/>
      <c r="X2699" s="61"/>
      <c r="Y2699" s="61"/>
      <c r="Z2699" s="61"/>
      <c r="AA2699" s="61"/>
      <c r="AB2699" s="61"/>
      <c r="AC2699" s="61"/>
      <c r="AD2699" s="61"/>
      <c r="AE2699" s="61"/>
      <c r="AF2699" s="61"/>
      <c r="AG2699" s="61"/>
      <c r="AH2699" s="61"/>
      <c r="AI2699" s="61"/>
      <c r="AJ2699" s="61"/>
      <c r="AK2699" s="61"/>
      <c r="AL2699" s="61"/>
      <c r="AM2699" s="61"/>
      <c r="AN2699" s="61"/>
      <c r="AO2699" s="61"/>
    </row>
    <row r="2700" spans="1:41" s="108" customFormat="1" x14ac:dyDescent="0.25">
      <c r="A2700" s="358"/>
      <c r="B2700" s="361"/>
      <c r="C2700" s="365" t="s">
        <v>357</v>
      </c>
      <c r="D2700" s="368" t="s">
        <v>66</v>
      </c>
      <c r="E2700" s="368"/>
      <c r="F2700" s="368"/>
      <c r="G2700" s="368"/>
      <c r="H2700" s="195"/>
      <c r="I2700" s="159"/>
      <c r="J2700" s="195"/>
      <c r="K2700" s="161"/>
      <c r="L2700" s="196"/>
      <c r="M2700" s="230"/>
      <c r="N2700" s="278"/>
      <c r="O2700" s="279">
        <f>O2706</f>
        <v>8.5498162759999996</v>
      </c>
      <c r="P2700" s="166"/>
      <c r="Q2700" s="166">
        <f t="shared" si="573"/>
        <v>0</v>
      </c>
      <c r="R2700" s="71"/>
      <c r="S2700" s="61"/>
      <c r="T2700" s="61"/>
      <c r="U2700" s="61"/>
      <c r="V2700" s="61"/>
      <c r="W2700" s="61"/>
      <c r="X2700" s="61"/>
      <c r="Y2700" s="61"/>
      <c r="Z2700" s="61"/>
      <c r="AA2700" s="61"/>
      <c r="AB2700" s="61"/>
      <c r="AC2700" s="61"/>
      <c r="AD2700" s="61"/>
      <c r="AE2700" s="61"/>
      <c r="AF2700" s="61"/>
      <c r="AG2700" s="61"/>
      <c r="AH2700" s="61"/>
      <c r="AI2700" s="61"/>
      <c r="AJ2700" s="61"/>
      <c r="AK2700" s="61"/>
      <c r="AL2700" s="61"/>
      <c r="AM2700" s="61"/>
      <c r="AN2700" s="61"/>
      <c r="AO2700" s="61"/>
    </row>
    <row r="2701" spans="1:41" s="61" customFormat="1" x14ac:dyDescent="0.25">
      <c r="A2701" s="358"/>
      <c r="B2701" s="361"/>
      <c r="C2701" s="366"/>
      <c r="D2701" s="284" t="s">
        <v>241</v>
      </c>
      <c r="E2701" s="156" t="s">
        <v>28</v>
      </c>
      <c r="F2701" s="156" t="s">
        <v>28</v>
      </c>
      <c r="G2701" s="238">
        <f>MROUND(H2701*L2701*I2701/K2701,0.00000000001)</f>
        <v>3.8934327299999997E-3</v>
      </c>
      <c r="H2701" s="158">
        <f>H2085</f>
        <v>17</v>
      </c>
      <c r="I2701" s="159">
        <f>I2694</f>
        <v>2.0993999999999999E-2</v>
      </c>
      <c r="J2701" s="160"/>
      <c r="K2701" s="161">
        <f>K2694</f>
        <v>1100</v>
      </c>
      <c r="L2701" s="250">
        <v>12</v>
      </c>
      <c r="M2701" s="163" t="str">
        <f>CONCATENATE(H2701," ",F2701,"*",L2701,"мес.","*",I2701,"/",K2701,"чел")</f>
        <v>17 шт*12мес.*0,020994/1100чел</v>
      </c>
      <c r="N2701" s="278">
        <f>N2085</f>
        <v>327.76936274509802</v>
      </c>
      <c r="O2701" s="280">
        <f>MROUND(N2701*G2701,0.000001)</f>
        <v>1.2761479999999998</v>
      </c>
      <c r="P2701" s="166"/>
      <c r="Q2701" s="166">
        <f t="shared" si="573"/>
        <v>1403.7627999999997</v>
      </c>
      <c r="R2701" s="71"/>
    </row>
    <row r="2702" spans="1:41" s="61" customFormat="1" x14ac:dyDescent="0.25">
      <c r="A2702" s="358"/>
      <c r="B2702" s="361"/>
      <c r="C2702" s="366"/>
      <c r="D2702" s="284" t="s">
        <v>242</v>
      </c>
      <c r="E2702" s="156" t="s">
        <v>243</v>
      </c>
      <c r="F2702" s="156" t="s">
        <v>243</v>
      </c>
      <c r="G2702" s="238">
        <f>MROUND(H2702*L2702*I2702/K2702,0.00000000001)</f>
        <v>3.9635145163599996</v>
      </c>
      <c r="H2702" s="158">
        <f>H2086</f>
        <v>17306</v>
      </c>
      <c r="I2702" s="159">
        <f>I2701</f>
        <v>2.0993999999999999E-2</v>
      </c>
      <c r="J2702" s="160"/>
      <c r="K2702" s="161">
        <f>K2701</f>
        <v>1100</v>
      </c>
      <c r="L2702" s="250">
        <v>12</v>
      </c>
      <c r="M2702" s="163" t="str">
        <f>CONCATENATE(H2702," ",F2702,"*",L2702,"мес.","*",I2702,"/",K2702,"чел")</f>
        <v>17306 мин.*12мес.*0,020994/1100чел</v>
      </c>
      <c r="N2702" s="278">
        <f>N2086</f>
        <v>0.78480002118725689</v>
      </c>
      <c r="O2702" s="280">
        <f>MROUND(N2702*G2702,0.000000001)</f>
        <v>3.1105662760000001</v>
      </c>
      <c r="P2702" s="166"/>
      <c r="Q2702" s="166">
        <f t="shared" si="573"/>
        <v>3421.6229036</v>
      </c>
      <c r="R2702" s="71"/>
    </row>
    <row r="2703" spans="1:41" s="61" customFormat="1" ht="31.5" x14ac:dyDescent="0.25">
      <c r="A2703" s="358"/>
      <c r="B2703" s="361"/>
      <c r="C2703" s="366"/>
      <c r="D2703" s="285" t="s">
        <v>244</v>
      </c>
      <c r="E2703" s="286" t="s">
        <v>245</v>
      </c>
      <c r="F2703" s="286" t="s">
        <v>247</v>
      </c>
      <c r="G2703" s="238">
        <f>MROUND(H2703*L2703*I2703/K2703,0.00000000001)</f>
        <v>1.1451272699999999E-3</v>
      </c>
      <c r="H2703" s="158">
        <f>H2087</f>
        <v>5</v>
      </c>
      <c r="I2703" s="159">
        <f>I2702</f>
        <v>2.0993999999999999E-2</v>
      </c>
      <c r="J2703" s="160"/>
      <c r="K2703" s="161">
        <f>K2702</f>
        <v>1100</v>
      </c>
      <c r="L2703" s="250">
        <v>12</v>
      </c>
      <c r="M2703" s="163" t="str">
        <f>CONCATENATE(H2703," ",F2703,"*",L2703,"мес.","*",I2703,"/",K2703,"чел")</f>
        <v>5 радиоточек*12мес.*0,020994/1100чел</v>
      </c>
      <c r="N2703" s="278">
        <f>N2087</f>
        <v>165.68000000000004</v>
      </c>
      <c r="O2703" s="280">
        <f>MROUND(N2703*G2703,0.000001)</f>
        <v>0.189725</v>
      </c>
      <c r="P2703" s="166"/>
      <c r="Q2703" s="166">
        <f t="shared" si="573"/>
        <v>208.69750000000002</v>
      </c>
      <c r="R2703" s="71"/>
    </row>
    <row r="2704" spans="1:41" s="61" customFormat="1" ht="47.25" x14ac:dyDescent="0.25">
      <c r="A2704" s="358"/>
      <c r="B2704" s="361"/>
      <c r="C2704" s="366"/>
      <c r="D2704" s="285" t="s">
        <v>374</v>
      </c>
      <c r="E2704" s="156" t="s">
        <v>28</v>
      </c>
      <c r="F2704" s="156" t="s">
        <v>28</v>
      </c>
      <c r="G2704" s="238">
        <f>MROUND(H2704*L2704*I2704/K2704,0.00000000001)</f>
        <v>5.3439272999999997E-4</v>
      </c>
      <c r="H2704" s="158">
        <f>H2192</f>
        <v>7</v>
      </c>
      <c r="I2704" s="159">
        <f>I2702</f>
        <v>2.0993999999999999E-2</v>
      </c>
      <c r="J2704" s="160"/>
      <c r="K2704" s="161">
        <f>K2702</f>
        <v>1100</v>
      </c>
      <c r="L2704" s="250">
        <f>L2192</f>
        <v>4</v>
      </c>
      <c r="M2704" s="163" t="str">
        <f>CONCATENATE(H2704," ",F2704,"*",L2704,"мес.","*",I2704,"/",K2704,"чел/час")</f>
        <v>7 шт*4мес.*0,020994/1100чел/час</v>
      </c>
      <c r="N2704" s="278">
        <f>N2192</f>
        <v>1256.0399999999997</v>
      </c>
      <c r="O2704" s="280">
        <f>MROUND(N2704*G2704,0.000001)</f>
        <v>0.67121900000000001</v>
      </c>
      <c r="P2704" s="166"/>
      <c r="Q2704" s="166">
        <f t="shared" si="573"/>
        <v>738.34090000000003</v>
      </c>
      <c r="R2704" s="71"/>
    </row>
    <row r="2705" spans="1:41" s="61" customFormat="1" x14ac:dyDescent="0.25">
      <c r="A2705" s="358"/>
      <c r="B2705" s="361"/>
      <c r="C2705" s="367"/>
      <c r="D2705" s="284" t="s">
        <v>246</v>
      </c>
      <c r="E2705" s="156" t="s">
        <v>28</v>
      </c>
      <c r="F2705" s="156" t="s">
        <v>28</v>
      </c>
      <c r="G2705" s="238">
        <f>MROUND(H2705*L2705*I2705/K2705,0.00000000001)</f>
        <v>1.1451272699999999E-3</v>
      </c>
      <c r="H2705" s="158">
        <v>5</v>
      </c>
      <c r="I2705" s="159">
        <f>I2703</f>
        <v>2.0993999999999999E-2</v>
      </c>
      <c r="J2705" s="160"/>
      <c r="K2705" s="161">
        <f>K2703</f>
        <v>1100</v>
      </c>
      <c r="L2705" s="250">
        <v>12</v>
      </c>
      <c r="M2705" s="163" t="str">
        <f>CONCATENATE(H2705," ",F2705,"*",L2705,"мес.","*",I2705,"/",K2705,"чел")</f>
        <v>5 шт*12мес.*0,020994/1100чел</v>
      </c>
      <c r="N2705" s="278">
        <f>N2089</f>
        <v>2883.6603333333333</v>
      </c>
      <c r="O2705" s="280">
        <f>MROUND(N2705*G2705,0.000001)</f>
        <v>3.3021579999999999</v>
      </c>
      <c r="P2705" s="166"/>
      <c r="Q2705" s="166">
        <f t="shared" si="573"/>
        <v>3632.3737999999998</v>
      </c>
      <c r="R2705" s="71"/>
    </row>
    <row r="2706" spans="1:41" s="109" customFormat="1" x14ac:dyDescent="0.25">
      <c r="A2706" s="358"/>
      <c r="B2706" s="361"/>
      <c r="C2706" s="218" t="s">
        <v>358</v>
      </c>
      <c r="D2706" s="287"/>
      <c r="E2706" s="287"/>
      <c r="F2706" s="287"/>
      <c r="G2706" s="288"/>
      <c r="H2706" s="214"/>
      <c r="I2706" s="206"/>
      <c r="J2706" s="214"/>
      <c r="K2706" s="207"/>
      <c r="L2706" s="215"/>
      <c r="M2706" s="289"/>
      <c r="N2706" s="281"/>
      <c r="O2706" s="279">
        <f>SUM(O2701:O2705)</f>
        <v>8.5498162759999996</v>
      </c>
      <c r="P2706" s="267"/>
      <c r="Q2706" s="166">
        <f t="shared" si="573"/>
        <v>0</v>
      </c>
      <c r="R2706" s="71"/>
      <c r="S2706" s="62"/>
      <c r="T2706" s="62"/>
      <c r="U2706" s="62"/>
      <c r="V2706" s="62"/>
      <c r="W2706" s="62"/>
      <c r="X2706" s="62"/>
      <c r="Y2706" s="62"/>
      <c r="Z2706" s="62"/>
      <c r="AA2706" s="62"/>
      <c r="AB2706" s="62"/>
      <c r="AC2706" s="62"/>
      <c r="AD2706" s="62"/>
      <c r="AE2706" s="62"/>
      <c r="AF2706" s="62"/>
      <c r="AG2706" s="62"/>
      <c r="AH2706" s="62"/>
      <c r="AI2706" s="62"/>
      <c r="AJ2706" s="62"/>
      <c r="AK2706" s="62"/>
      <c r="AL2706" s="62"/>
      <c r="AM2706" s="62"/>
      <c r="AN2706" s="62"/>
      <c r="AO2706" s="62"/>
    </row>
    <row r="2707" spans="1:41" s="108" customFormat="1" x14ac:dyDescent="0.25">
      <c r="A2707" s="358"/>
      <c r="B2707" s="361"/>
      <c r="C2707" s="365" t="s">
        <v>366</v>
      </c>
      <c r="D2707" s="368" t="s">
        <v>67</v>
      </c>
      <c r="E2707" s="368"/>
      <c r="F2707" s="368"/>
      <c r="G2707" s="368"/>
      <c r="H2707" s="195"/>
      <c r="I2707" s="159"/>
      <c r="J2707" s="195"/>
      <c r="K2707" s="161"/>
      <c r="L2707" s="196"/>
      <c r="M2707" s="230"/>
      <c r="N2707" s="278"/>
      <c r="O2707" s="279">
        <f>O2708</f>
        <v>1.148334</v>
      </c>
      <c r="P2707" s="166"/>
      <c r="Q2707" s="166">
        <f t="shared" si="573"/>
        <v>0</v>
      </c>
      <c r="R2707" s="71"/>
      <c r="S2707" s="61"/>
      <c r="T2707" s="61"/>
      <c r="U2707" s="61"/>
      <c r="V2707" s="61"/>
      <c r="W2707" s="61"/>
      <c r="X2707" s="61"/>
      <c r="Y2707" s="61"/>
      <c r="Z2707" s="61"/>
      <c r="AA2707" s="61"/>
      <c r="AB2707" s="61"/>
      <c r="AC2707" s="61"/>
      <c r="AD2707" s="61"/>
      <c r="AE2707" s="61"/>
      <c r="AF2707" s="61"/>
      <c r="AG2707" s="61"/>
      <c r="AH2707" s="61"/>
      <c r="AI2707" s="61"/>
      <c r="AJ2707" s="61"/>
      <c r="AK2707" s="61"/>
      <c r="AL2707" s="61"/>
      <c r="AM2707" s="61"/>
      <c r="AN2707" s="61"/>
      <c r="AO2707" s="61"/>
    </row>
    <row r="2708" spans="1:41" s="61" customFormat="1" x14ac:dyDescent="0.25">
      <c r="A2708" s="358"/>
      <c r="B2708" s="361"/>
      <c r="C2708" s="367"/>
      <c r="D2708" s="194" t="s">
        <v>367</v>
      </c>
      <c r="E2708" s="156" t="s">
        <v>28</v>
      </c>
      <c r="F2708" s="156" t="s">
        <v>28</v>
      </c>
      <c r="G2708" s="238">
        <f>MROUND(H2708*L2708*I2708/K2708,0.00000000001)</f>
        <v>4.5805090999999999E-4</v>
      </c>
      <c r="H2708" s="158">
        <f>H2092</f>
        <v>2</v>
      </c>
      <c r="I2708" s="159">
        <f>I2705</f>
        <v>2.0993999999999999E-2</v>
      </c>
      <c r="J2708" s="160"/>
      <c r="K2708" s="161">
        <f>K2705</f>
        <v>1100</v>
      </c>
      <c r="L2708" s="250">
        <v>12</v>
      </c>
      <c r="M2708" s="163" t="str">
        <f>CONCATENATE(H2708," ",F2708,"*",L2708,"мес.","*",I2708,"/",K2708,"чел")</f>
        <v>2 шт*12мес.*0,020994/1100чел</v>
      </c>
      <c r="N2708" s="278">
        <f>N2092</f>
        <v>2507</v>
      </c>
      <c r="O2708" s="280">
        <f>MROUND(N2708*G2708,0.000001)</f>
        <v>1.148334</v>
      </c>
      <c r="P2708" s="166"/>
      <c r="Q2708" s="166">
        <f t="shared" si="573"/>
        <v>1263.1674</v>
      </c>
      <c r="R2708" s="71"/>
    </row>
    <row r="2709" spans="1:41" s="108" customFormat="1" x14ac:dyDescent="0.25">
      <c r="A2709" s="358"/>
      <c r="B2709" s="361"/>
      <c r="C2709" s="221"/>
      <c r="D2709" s="350" t="s">
        <v>68</v>
      </c>
      <c r="E2709" s="350"/>
      <c r="F2709" s="350"/>
      <c r="G2709" s="350"/>
      <c r="H2709" s="195"/>
      <c r="I2709" s="159"/>
      <c r="J2709" s="195"/>
      <c r="K2709" s="161"/>
      <c r="L2709" s="196"/>
      <c r="M2709" s="230"/>
      <c r="N2709" s="278"/>
      <c r="O2709" s="280"/>
      <c r="P2709" s="166"/>
      <c r="Q2709" s="166">
        <f t="shared" si="573"/>
        <v>0</v>
      </c>
      <c r="R2709" s="71"/>
      <c r="S2709" s="61"/>
      <c r="T2709" s="61"/>
      <c r="U2709" s="61"/>
      <c r="V2709" s="61"/>
      <c r="W2709" s="61"/>
      <c r="X2709" s="61"/>
      <c r="Y2709" s="61"/>
      <c r="Z2709" s="61"/>
      <c r="AA2709" s="61"/>
      <c r="AB2709" s="61"/>
      <c r="AC2709" s="61"/>
      <c r="AD2709" s="61"/>
      <c r="AE2709" s="61"/>
      <c r="AF2709" s="61"/>
      <c r="AG2709" s="61"/>
      <c r="AH2709" s="61"/>
      <c r="AI2709" s="61"/>
      <c r="AJ2709" s="61"/>
      <c r="AK2709" s="61"/>
      <c r="AL2709" s="61"/>
      <c r="AM2709" s="61"/>
      <c r="AN2709" s="61"/>
      <c r="AO2709" s="61"/>
    </row>
    <row r="2710" spans="1:41" s="108" customFormat="1" x14ac:dyDescent="0.25">
      <c r="A2710" s="358"/>
      <c r="B2710" s="361"/>
      <c r="C2710" s="221"/>
      <c r="D2710" s="156"/>
      <c r="E2710" s="156"/>
      <c r="F2710" s="156"/>
      <c r="G2710" s="236"/>
      <c r="H2710" s="195"/>
      <c r="I2710" s="159"/>
      <c r="J2710" s="195"/>
      <c r="K2710" s="161"/>
      <c r="L2710" s="196"/>
      <c r="M2710" s="230"/>
      <c r="N2710" s="278"/>
      <c r="O2710" s="280"/>
      <c r="P2710" s="166"/>
      <c r="Q2710" s="166">
        <f t="shared" si="573"/>
        <v>0</v>
      </c>
      <c r="R2710" s="71"/>
      <c r="S2710" s="61"/>
      <c r="T2710" s="61"/>
      <c r="U2710" s="61"/>
      <c r="V2710" s="61"/>
      <c r="W2710" s="61"/>
      <c r="X2710" s="61"/>
      <c r="Y2710" s="61"/>
      <c r="Z2710" s="61"/>
      <c r="AA2710" s="61"/>
      <c r="AB2710" s="61"/>
      <c r="AC2710" s="61"/>
      <c r="AD2710" s="61"/>
      <c r="AE2710" s="61"/>
      <c r="AF2710" s="61"/>
      <c r="AG2710" s="61"/>
      <c r="AH2710" s="61"/>
      <c r="AI2710" s="61"/>
      <c r="AJ2710" s="61"/>
      <c r="AK2710" s="61"/>
      <c r="AL2710" s="61"/>
      <c r="AM2710" s="61"/>
      <c r="AN2710" s="61"/>
      <c r="AO2710" s="61"/>
    </row>
    <row r="2711" spans="1:41" s="108" customFormat="1" x14ac:dyDescent="0.25">
      <c r="A2711" s="358"/>
      <c r="B2711" s="361"/>
      <c r="C2711" s="221"/>
      <c r="D2711" s="368" t="s">
        <v>69</v>
      </c>
      <c r="E2711" s="368"/>
      <c r="F2711" s="368"/>
      <c r="G2711" s="368"/>
      <c r="H2711" s="187"/>
      <c r="I2711" s="159"/>
      <c r="J2711" s="187"/>
      <c r="K2711" s="161"/>
      <c r="L2711" s="276"/>
      <c r="M2711" s="230"/>
      <c r="N2711" s="278"/>
      <c r="O2711" s="279">
        <f>O2718+O2734+O2737+O2750+O2751+O2752+O2763+O2765+O2769+O2766</f>
        <v>237.32830299999998</v>
      </c>
      <c r="P2711" s="166"/>
      <c r="Q2711" s="166">
        <f t="shared" si="573"/>
        <v>0</v>
      </c>
      <c r="R2711" s="71"/>
      <c r="S2711" s="61"/>
      <c r="T2711" s="61"/>
      <c r="U2711" s="61"/>
      <c r="V2711" s="61"/>
      <c r="W2711" s="61"/>
      <c r="X2711" s="61"/>
      <c r="Y2711" s="61"/>
      <c r="Z2711" s="61"/>
      <c r="AA2711" s="61"/>
      <c r="AB2711" s="61"/>
      <c r="AC2711" s="61"/>
      <c r="AD2711" s="61"/>
      <c r="AE2711" s="61"/>
      <c r="AF2711" s="61"/>
      <c r="AG2711" s="61"/>
      <c r="AH2711" s="61"/>
      <c r="AI2711" s="61"/>
      <c r="AJ2711" s="61"/>
      <c r="AK2711" s="61"/>
      <c r="AL2711" s="61"/>
      <c r="AM2711" s="61"/>
      <c r="AN2711" s="61"/>
      <c r="AO2711" s="61"/>
    </row>
    <row r="2712" spans="1:41" s="61" customFormat="1" ht="31.5" x14ac:dyDescent="0.25">
      <c r="A2712" s="358"/>
      <c r="B2712" s="361"/>
      <c r="C2712" s="365" t="s">
        <v>78</v>
      </c>
      <c r="D2712" s="156" t="s">
        <v>26</v>
      </c>
      <c r="E2712" s="156" t="s">
        <v>22</v>
      </c>
      <c r="F2712" s="156" t="s">
        <v>22</v>
      </c>
      <c r="G2712" s="238">
        <f t="shared" ref="G2712:G2717" si="574">MROUND(H2712*L2712*I2712/K2712,0.00000000001)</f>
        <v>1.13602580116</v>
      </c>
      <c r="H2712" s="158">
        <f>H2096</f>
        <v>4960.26</v>
      </c>
      <c r="I2712" s="159">
        <f>I2708</f>
        <v>2.0993999999999999E-2</v>
      </c>
      <c r="J2712" s="160"/>
      <c r="K2712" s="161">
        <f>K2708</f>
        <v>1100</v>
      </c>
      <c r="L2712" s="250">
        <v>12</v>
      </c>
      <c r="M2712" s="163" t="str">
        <f>CONCATENATE(H2712," ",F2712,"(обрабатываемая площадь в мес.)","*",L2712,"мес.","*",I2712,"/",K2712,"чел")</f>
        <v>4960,26 м2(обрабатываемая площадь в мес.)*12мес.*0,020994/1100чел</v>
      </c>
      <c r="N2712" s="278">
        <f>N2096</f>
        <v>1.1553999521530458</v>
      </c>
      <c r="O2712" s="280">
        <f>MROUND(N2712*G2712,0.000001)</f>
        <v>1.3125639999999998</v>
      </c>
      <c r="P2712" s="166"/>
      <c r="Q2712" s="166">
        <f t="shared" si="573"/>
        <v>1443.8203999999998</v>
      </c>
      <c r="R2712" s="71"/>
    </row>
    <row r="2713" spans="1:41" s="61" customFormat="1" ht="31.5" x14ac:dyDescent="0.25">
      <c r="A2713" s="358"/>
      <c r="B2713" s="361"/>
      <c r="C2713" s="366"/>
      <c r="D2713" s="156" t="s">
        <v>96</v>
      </c>
      <c r="E2713" s="156" t="s">
        <v>22</v>
      </c>
      <c r="F2713" s="156" t="s">
        <v>22</v>
      </c>
      <c r="G2713" s="238">
        <f t="shared" si="574"/>
        <v>0.62919247024999991</v>
      </c>
      <c r="H2713" s="158">
        <f>H2097</f>
        <v>2747.26</v>
      </c>
      <c r="I2713" s="298">
        <f>I2712</f>
        <v>2.0993999999999999E-2</v>
      </c>
      <c r="J2713" s="299"/>
      <c r="K2713" s="300">
        <f>K2712</f>
        <v>1100</v>
      </c>
      <c r="L2713" s="250">
        <v>12</v>
      </c>
      <c r="M2713" s="163" t="str">
        <f>CONCATENATE(H2713," ",F2713,"(обрабатываемая площадь в мес.)","*",L2713,"мес.","*",I2713,"/",K2713,"чел")</f>
        <v>2747,26 м2(обрабатываемая площадь в мес.)*12мес.*0,020994/1100чел</v>
      </c>
      <c r="N2713" s="278">
        <f>N2097</f>
        <v>1.6108668273115756</v>
      </c>
      <c r="O2713" s="280">
        <f>MROUND(N2713*G2713,0.000001)</f>
        <v>1.0135449999999999</v>
      </c>
      <c r="P2713" s="166"/>
      <c r="Q2713" s="166">
        <f t="shared" si="573"/>
        <v>1114.8995</v>
      </c>
      <c r="R2713" s="71"/>
    </row>
    <row r="2714" spans="1:41" s="135" customFormat="1" ht="31.5" x14ac:dyDescent="0.25">
      <c r="A2714" s="358"/>
      <c r="B2714" s="361"/>
      <c r="C2714" s="366"/>
      <c r="D2714" s="156" t="s">
        <v>385</v>
      </c>
      <c r="E2714" s="156" t="s">
        <v>22</v>
      </c>
      <c r="F2714" s="156" t="s">
        <v>22</v>
      </c>
      <c r="G2714" s="238">
        <f t="shared" si="574"/>
        <v>1.2583849405099998</v>
      </c>
      <c r="H2714" s="242">
        <f>$H$2098</f>
        <v>2747.26</v>
      </c>
      <c r="I2714" s="298">
        <f>I2713</f>
        <v>2.0993999999999999E-2</v>
      </c>
      <c r="J2714" s="160"/>
      <c r="K2714" s="300">
        <f>K2713</f>
        <v>1100</v>
      </c>
      <c r="L2714" s="162">
        <v>24</v>
      </c>
      <c r="M2714" s="163" t="str">
        <f>CONCATENATE(H2714," ",F2714,"(обрабатываемая площадь в год)","*",L2714," раза в год.","*",I2714,"/",K2714,"чел.")</f>
        <v>2747,26 м2(обрабатываемая площадь в год)*24 раза в год.*0,020994/1100чел.</v>
      </c>
      <c r="N2714" s="164">
        <f>$N$2098</f>
        <v>1.7779423862321002</v>
      </c>
      <c r="O2714" s="165">
        <f>MROUND(G2714*N2714,0.000001)</f>
        <v>2.237336</v>
      </c>
      <c r="P2714" s="166"/>
      <c r="Q2714" s="166">
        <f t="shared" si="573"/>
        <v>2461.0695999999998</v>
      </c>
      <c r="R2714" s="71"/>
      <c r="S2714" s="61"/>
      <c r="T2714" s="61"/>
      <c r="U2714" s="61"/>
      <c r="V2714" s="61"/>
      <c r="W2714" s="61"/>
      <c r="X2714" s="61"/>
      <c r="Y2714" s="61"/>
      <c r="Z2714" s="61"/>
      <c r="AA2714" s="61"/>
      <c r="AB2714" s="61"/>
      <c r="AC2714" s="61"/>
      <c r="AD2714" s="61"/>
      <c r="AE2714" s="61"/>
      <c r="AF2714" s="61"/>
      <c r="AG2714" s="61"/>
      <c r="AH2714" s="61"/>
      <c r="AI2714" s="61"/>
      <c r="AJ2714" s="61"/>
      <c r="AK2714" s="61"/>
      <c r="AL2714" s="61"/>
      <c r="AM2714" s="61"/>
      <c r="AN2714" s="61"/>
      <c r="AO2714" s="61"/>
    </row>
    <row r="2715" spans="1:41" s="135" customFormat="1" ht="31.5" x14ac:dyDescent="0.25">
      <c r="A2715" s="358"/>
      <c r="B2715" s="361"/>
      <c r="C2715" s="366"/>
      <c r="D2715" s="156" t="s">
        <v>394</v>
      </c>
      <c r="E2715" s="156" t="s">
        <v>22</v>
      </c>
      <c r="F2715" s="156" t="s">
        <v>22</v>
      </c>
      <c r="G2715" s="238">
        <f t="shared" si="574"/>
        <v>1.13602580116</v>
      </c>
      <c r="H2715" s="243">
        <f>$H$2099</f>
        <v>4960.26</v>
      </c>
      <c r="I2715" s="298">
        <f>I2714</f>
        <v>2.0993999999999999E-2</v>
      </c>
      <c r="J2715" s="160"/>
      <c r="K2715" s="300">
        <f>K2714</f>
        <v>1100</v>
      </c>
      <c r="L2715" s="162">
        <v>12</v>
      </c>
      <c r="M2715" s="163" t="str">
        <f>CONCATENATE(H2715," ",F2715,"(обрабатываемая площадь в мес.)","*",L2715,"мес.","*",I2715,"/",K2715,"чел.")</f>
        <v>4960,26 м2(обрабатываемая площадь в мес.)*12мес.*0,020994/1100чел.</v>
      </c>
      <c r="N2715" s="164">
        <f>$N$2099</f>
        <v>0.54499999327992221</v>
      </c>
      <c r="O2715" s="165">
        <f>MROUND(G2715*N2715,0.000001)</f>
        <v>0.61913399999999996</v>
      </c>
      <c r="P2715" s="166"/>
      <c r="Q2715" s="166">
        <f t="shared" si="573"/>
        <v>681.04739999999993</v>
      </c>
      <c r="R2715" s="71"/>
      <c r="S2715" s="61"/>
      <c r="T2715" s="61"/>
      <c r="U2715" s="61"/>
      <c r="V2715" s="61"/>
      <c r="W2715" s="61"/>
      <c r="X2715" s="61"/>
      <c r="Y2715" s="61"/>
      <c r="Z2715" s="61"/>
      <c r="AA2715" s="61"/>
      <c r="AB2715" s="61"/>
      <c r="AC2715" s="61"/>
      <c r="AD2715" s="61"/>
      <c r="AE2715" s="61"/>
      <c r="AF2715" s="61"/>
      <c r="AG2715" s="61"/>
      <c r="AH2715" s="61"/>
      <c r="AI2715" s="61"/>
      <c r="AJ2715" s="61"/>
      <c r="AK2715" s="61"/>
      <c r="AL2715" s="61"/>
      <c r="AM2715" s="61"/>
      <c r="AN2715" s="61"/>
      <c r="AO2715" s="61"/>
    </row>
    <row r="2716" spans="1:41" s="135" customFormat="1" ht="31.5" x14ac:dyDescent="0.25">
      <c r="A2716" s="358"/>
      <c r="B2716" s="361"/>
      <c r="C2716" s="366"/>
      <c r="D2716" s="156" t="s">
        <v>395</v>
      </c>
      <c r="E2716" s="156" t="s">
        <v>98</v>
      </c>
      <c r="F2716" s="156" t="s">
        <v>98</v>
      </c>
      <c r="G2716" s="238">
        <f t="shared" si="574"/>
        <v>3.588065E-5</v>
      </c>
      <c r="H2716" s="242">
        <f>$H$2100</f>
        <v>1.8800000000000001</v>
      </c>
      <c r="I2716" s="298">
        <f>I2715</f>
        <v>2.0993999999999999E-2</v>
      </c>
      <c r="J2716" s="160"/>
      <c r="K2716" s="300">
        <f>K2715</f>
        <v>1100</v>
      </c>
      <c r="L2716" s="162">
        <v>1</v>
      </c>
      <c r="M2716" s="163" t="str">
        <f>CONCATENATE(H2716," ",F2716,"(обрабатываемая площадь в год)","*",L2716," раз в год","*",I2716,"/",K2716,"чел.")</f>
        <v>1,88 Га(обрабатываемая площадь в год)*1 раз в год*0,020994/1100чел.</v>
      </c>
      <c r="N2716" s="164">
        <f>$N$2100</f>
        <v>544.99999999999989</v>
      </c>
      <c r="O2716" s="165">
        <f>MROUND(G2716*N2716,0.000001)</f>
        <v>1.9554999999999999E-2</v>
      </c>
      <c r="P2716" s="166"/>
      <c r="Q2716" s="166">
        <f t="shared" si="573"/>
        <v>21.5105</v>
      </c>
      <c r="R2716" s="71"/>
      <c r="S2716" s="61"/>
      <c r="T2716" s="61"/>
      <c r="U2716" s="61"/>
      <c r="V2716" s="61"/>
      <c r="W2716" s="61"/>
      <c r="X2716" s="61"/>
      <c r="Y2716" s="61"/>
      <c r="Z2716" s="61"/>
      <c r="AA2716" s="61"/>
      <c r="AB2716" s="61"/>
      <c r="AC2716" s="61"/>
      <c r="AD2716" s="61"/>
      <c r="AE2716" s="61"/>
      <c r="AF2716" s="61"/>
      <c r="AG2716" s="61"/>
      <c r="AH2716" s="61"/>
      <c r="AI2716" s="61"/>
      <c r="AJ2716" s="61"/>
      <c r="AK2716" s="61"/>
      <c r="AL2716" s="61"/>
      <c r="AM2716" s="61"/>
      <c r="AN2716" s="61"/>
      <c r="AO2716" s="61"/>
    </row>
    <row r="2717" spans="1:41" s="61" customFormat="1" ht="31.5" x14ac:dyDescent="0.25">
      <c r="A2717" s="358"/>
      <c r="B2717" s="361"/>
      <c r="C2717" s="367"/>
      <c r="D2717" s="156" t="s">
        <v>97</v>
      </c>
      <c r="E2717" s="156" t="s">
        <v>363</v>
      </c>
      <c r="F2717" s="156" t="s">
        <v>363</v>
      </c>
      <c r="G2717" s="238">
        <f t="shared" si="574"/>
        <v>3.588065E-5</v>
      </c>
      <c r="H2717" s="158">
        <f>$H$2101</f>
        <v>1.8800000000000001</v>
      </c>
      <c r="I2717" s="298">
        <f>I2713</f>
        <v>2.0993999999999999E-2</v>
      </c>
      <c r="J2717" s="299"/>
      <c r="K2717" s="300">
        <f>K2713</f>
        <v>1100</v>
      </c>
      <c r="L2717" s="250">
        <v>1</v>
      </c>
      <c r="M2717" s="163" t="str">
        <f>CONCATENATE(H2717," ",F2717,"(обрабатываемая площадь в мес.)","*",L2717,"мес.","*",I2717,"/",K2717,"чел")</f>
        <v>1,88 га(обрабатываемая площадь в мес.)*1мес.*0,020994/1100чел</v>
      </c>
      <c r="N2717" s="278">
        <f>$N$2101</f>
        <v>2965.9734042553187</v>
      </c>
      <c r="O2717" s="280">
        <f>MROUND(N2717*G2717,0.000001)</f>
        <v>0.106421</v>
      </c>
      <c r="P2717" s="166"/>
      <c r="Q2717" s="166">
        <f t="shared" si="573"/>
        <v>117.06310000000001</v>
      </c>
      <c r="R2717" s="71"/>
    </row>
    <row r="2718" spans="1:41" s="109" customFormat="1" x14ac:dyDescent="0.25">
      <c r="A2718" s="358"/>
      <c r="B2718" s="361"/>
      <c r="C2718" s="218" t="s">
        <v>327</v>
      </c>
      <c r="D2718" s="240"/>
      <c r="E2718" s="240"/>
      <c r="F2718" s="240"/>
      <c r="G2718" s="227"/>
      <c r="H2718" s="241"/>
      <c r="I2718" s="206"/>
      <c r="J2718" s="228"/>
      <c r="K2718" s="207"/>
      <c r="L2718" s="257"/>
      <c r="M2718" s="209"/>
      <c r="N2718" s="281"/>
      <c r="O2718" s="279">
        <f>SUM(O2712:O2717)</f>
        <v>5.3085550000000001</v>
      </c>
      <c r="P2718" s="267"/>
      <c r="Q2718" s="166"/>
      <c r="R2718" s="71"/>
      <c r="S2718" s="62"/>
      <c r="T2718" s="62"/>
      <c r="U2718" s="62"/>
      <c r="V2718" s="62"/>
      <c r="W2718" s="62"/>
      <c r="X2718" s="62"/>
      <c r="Y2718" s="62"/>
      <c r="Z2718" s="62"/>
      <c r="AA2718" s="62"/>
      <c r="AB2718" s="62"/>
      <c r="AC2718" s="62"/>
      <c r="AD2718" s="62"/>
      <c r="AE2718" s="62"/>
      <c r="AF2718" s="62"/>
      <c r="AG2718" s="62"/>
      <c r="AH2718" s="62"/>
      <c r="AI2718" s="62"/>
      <c r="AJ2718" s="62"/>
      <c r="AK2718" s="62"/>
      <c r="AL2718" s="62"/>
      <c r="AM2718" s="62"/>
      <c r="AN2718" s="62"/>
      <c r="AO2718" s="62"/>
    </row>
    <row r="2719" spans="1:41" s="61" customFormat="1" x14ac:dyDescent="0.25">
      <c r="A2719" s="358"/>
      <c r="B2719" s="361"/>
      <c r="C2719" s="366" t="s">
        <v>77</v>
      </c>
      <c r="D2719" s="156" t="s">
        <v>397</v>
      </c>
      <c r="E2719" s="156" t="s">
        <v>433</v>
      </c>
      <c r="F2719" s="156" t="s">
        <v>433</v>
      </c>
      <c r="G2719" s="238">
        <f t="shared" ref="G2719:G2733" si="575">MROUND(H2719*L2719*I2719/K2719,0.00000000001)</f>
        <v>0</v>
      </c>
      <c r="H2719" s="158"/>
      <c r="I2719" s="306">
        <f>I2713</f>
        <v>2.0993999999999999E-2</v>
      </c>
      <c r="J2719" s="307"/>
      <c r="K2719" s="308">
        <f>K2713</f>
        <v>1100</v>
      </c>
      <c r="L2719" s="162">
        <v>1</v>
      </c>
      <c r="M2719" s="163"/>
      <c r="N2719" s="278"/>
      <c r="O2719" s="280">
        <f t="shared" ref="O2719:O2733" si="576">MROUND(N2719*G2719,0.000001)</f>
        <v>0</v>
      </c>
      <c r="P2719" s="166"/>
      <c r="Q2719" s="166">
        <f t="shared" ref="Q2719:Q2733" si="577">O2719*K2719</f>
        <v>0</v>
      </c>
      <c r="R2719" s="71"/>
    </row>
    <row r="2720" spans="1:41" s="61" customFormat="1" ht="63" x14ac:dyDescent="0.25">
      <c r="A2720" s="358"/>
      <c r="B2720" s="361"/>
      <c r="C2720" s="366"/>
      <c r="D2720" s="156" t="s">
        <v>249</v>
      </c>
      <c r="E2720" s="156" t="s">
        <v>22</v>
      </c>
      <c r="F2720" s="156" t="s">
        <v>22</v>
      </c>
      <c r="G2720" s="238">
        <f t="shared" si="575"/>
        <v>0.15820849374999998</v>
      </c>
      <c r="H2720" s="158">
        <f>H2104</f>
        <v>690.79</v>
      </c>
      <c r="I2720" s="159">
        <f>I2719</f>
        <v>2.0993999999999999E-2</v>
      </c>
      <c r="J2720" s="160"/>
      <c r="K2720" s="161">
        <f>K2719</f>
        <v>1100</v>
      </c>
      <c r="L2720" s="250">
        <v>12</v>
      </c>
      <c r="M2720" s="163" t="str">
        <f>CONCATENATE(H2720," ",F2720,"*",L2720,"мес.","*",I2720,"/",K2720,"чел")</f>
        <v>690,79 м2*12мес.*0,020994/1100чел</v>
      </c>
      <c r="N2720" s="278">
        <f>N2312</f>
        <v>30.306671829837342</v>
      </c>
      <c r="O2720" s="280">
        <f t="shared" si="576"/>
        <v>4.7947730000000002</v>
      </c>
      <c r="P2720" s="166"/>
      <c r="Q2720" s="166">
        <f t="shared" si="577"/>
        <v>5274.2503000000006</v>
      </c>
      <c r="R2720" s="71"/>
    </row>
    <row r="2721" spans="1:41" s="136" customFormat="1" x14ac:dyDescent="0.25">
      <c r="A2721" s="358"/>
      <c r="B2721" s="361"/>
      <c r="C2721" s="366"/>
      <c r="D2721" s="194" t="s">
        <v>398</v>
      </c>
      <c r="E2721" s="156" t="s">
        <v>60</v>
      </c>
      <c r="F2721" s="156" t="s">
        <v>60</v>
      </c>
      <c r="G2721" s="238">
        <f t="shared" si="575"/>
        <v>9.5427269999999998E-5</v>
      </c>
      <c r="H2721" s="158">
        <f>$H$2105</f>
        <v>5</v>
      </c>
      <c r="I2721" s="159">
        <f>I2720</f>
        <v>2.0993999999999999E-2</v>
      </c>
      <c r="J2721" s="160"/>
      <c r="K2721" s="161">
        <f>K2720</f>
        <v>1100</v>
      </c>
      <c r="L2721" s="250">
        <v>1</v>
      </c>
      <c r="M2721" s="163" t="str">
        <f>CONCATENATE(H2721," ",F2721,"*",I2721,"/",K2721,"чел/час")</f>
        <v>5 шт.*0,020994/1100чел/час</v>
      </c>
      <c r="N2721" s="278">
        <f>$N$2105</f>
        <v>11009</v>
      </c>
      <c r="O2721" s="280">
        <f t="shared" si="576"/>
        <v>1.050559</v>
      </c>
      <c r="P2721" s="166"/>
      <c r="Q2721" s="166">
        <f t="shared" si="577"/>
        <v>1155.6149</v>
      </c>
      <c r="R2721" s="71"/>
      <c r="S2721" s="61"/>
      <c r="T2721" s="61"/>
      <c r="U2721" s="61"/>
      <c r="V2721" s="61"/>
      <c r="W2721" s="61"/>
      <c r="X2721" s="61"/>
      <c r="Y2721" s="61"/>
      <c r="Z2721" s="61"/>
      <c r="AA2721" s="61"/>
      <c r="AB2721" s="61"/>
      <c r="AC2721" s="61"/>
      <c r="AD2721" s="61"/>
      <c r="AE2721" s="61"/>
      <c r="AF2721" s="61"/>
      <c r="AG2721" s="61"/>
      <c r="AH2721" s="61"/>
      <c r="AI2721" s="61"/>
      <c r="AJ2721" s="61"/>
      <c r="AK2721" s="61"/>
      <c r="AL2721" s="61"/>
      <c r="AM2721" s="61"/>
      <c r="AN2721" s="61"/>
      <c r="AO2721" s="61"/>
    </row>
    <row r="2722" spans="1:41" s="136" customFormat="1" ht="63" x14ac:dyDescent="0.25">
      <c r="A2722" s="358"/>
      <c r="B2722" s="361"/>
      <c r="C2722" s="366"/>
      <c r="D2722" s="156" t="s">
        <v>33</v>
      </c>
      <c r="E2722" s="156" t="s">
        <v>56</v>
      </c>
      <c r="F2722" s="156" t="s">
        <v>220</v>
      </c>
      <c r="G2722" s="238">
        <f t="shared" si="575"/>
        <v>9.5427269999999998E-5</v>
      </c>
      <c r="H2722" s="158">
        <f>$H$2106</f>
        <v>5</v>
      </c>
      <c r="I2722" s="159">
        <f>I2721</f>
        <v>2.0993999999999999E-2</v>
      </c>
      <c r="J2722" s="160"/>
      <c r="K2722" s="161">
        <f>K2721</f>
        <v>1100</v>
      </c>
      <c r="L2722" s="250">
        <f>$L$2106</f>
        <v>1</v>
      </c>
      <c r="M2722" s="163" t="str">
        <f>CONCATENATE(H2722," ",F2722,"*",L2722," раз в год","*",I2722,"/",K2722,"чел.")</f>
        <v>5 дымоходов*1 раз в год*0,020994/1100чел.</v>
      </c>
      <c r="N2722" s="278">
        <f>$N$2106</f>
        <v>6540</v>
      </c>
      <c r="O2722" s="280">
        <f t="shared" si="576"/>
        <v>0.62409399999999993</v>
      </c>
      <c r="P2722" s="166"/>
      <c r="Q2722" s="166">
        <f t="shared" si="577"/>
        <v>686.50339999999994</v>
      </c>
      <c r="R2722" s="71"/>
      <c r="S2722" s="61"/>
      <c r="T2722" s="61"/>
      <c r="U2722" s="61"/>
      <c r="V2722" s="61"/>
      <c r="W2722" s="61"/>
      <c r="X2722" s="61"/>
      <c r="Y2722" s="61"/>
      <c r="Z2722" s="61"/>
      <c r="AA2722" s="61"/>
      <c r="AB2722" s="61"/>
      <c r="AC2722" s="61"/>
      <c r="AD2722" s="61"/>
      <c r="AE2722" s="61"/>
      <c r="AF2722" s="61"/>
      <c r="AG2722" s="61"/>
      <c r="AH2722" s="61"/>
      <c r="AI2722" s="61"/>
      <c r="AJ2722" s="61"/>
      <c r="AK2722" s="61"/>
      <c r="AL2722" s="61"/>
      <c r="AM2722" s="61"/>
      <c r="AN2722" s="61"/>
      <c r="AO2722" s="61"/>
    </row>
    <row r="2723" spans="1:41" s="61" customFormat="1" ht="78.75" x14ac:dyDescent="0.25">
      <c r="A2723" s="358"/>
      <c r="B2723" s="361"/>
      <c r="C2723" s="366"/>
      <c r="D2723" s="156" t="s">
        <v>250</v>
      </c>
      <c r="E2723" s="156" t="s">
        <v>251</v>
      </c>
      <c r="F2723" s="156" t="s">
        <v>60</v>
      </c>
      <c r="G2723" s="238">
        <f t="shared" si="575"/>
        <v>9.5427269999999998E-5</v>
      </c>
      <c r="H2723" s="158">
        <f>$H$2107</f>
        <v>5</v>
      </c>
      <c r="I2723" s="159">
        <f>I2720</f>
        <v>2.0993999999999999E-2</v>
      </c>
      <c r="J2723" s="160"/>
      <c r="K2723" s="161">
        <f>K2720</f>
        <v>1100</v>
      </c>
      <c r="L2723" s="250">
        <v>1</v>
      </c>
      <c r="M2723" s="163" t="str">
        <f>CONCATENATE(H2723," ",F2723,"*",I2723,"/",K2723,"чел")</f>
        <v>5 шт.*0,020994/1100чел</v>
      </c>
      <c r="N2723" s="278">
        <f t="shared" ref="N2723:N2733" si="578">N2107</f>
        <v>52320</v>
      </c>
      <c r="O2723" s="280">
        <f t="shared" si="576"/>
        <v>4.9927549999999998</v>
      </c>
      <c r="P2723" s="166"/>
      <c r="Q2723" s="166">
        <f t="shared" si="577"/>
        <v>5492.0304999999998</v>
      </c>
      <c r="R2723" s="71"/>
    </row>
    <row r="2724" spans="1:41" s="61" customFormat="1" ht="47.25" x14ac:dyDescent="0.25">
      <c r="A2724" s="358"/>
      <c r="B2724" s="361"/>
      <c r="C2724" s="366"/>
      <c r="D2724" s="156" t="s">
        <v>401</v>
      </c>
      <c r="E2724" s="156" t="s">
        <v>60</v>
      </c>
      <c r="F2724" s="156" t="s">
        <v>402</v>
      </c>
      <c r="G2724" s="238">
        <f t="shared" si="575"/>
        <v>1.9085454999999998E-4</v>
      </c>
      <c r="H2724" s="158">
        <f>H2108</f>
        <v>5</v>
      </c>
      <c r="I2724" s="159">
        <f>I2723</f>
        <v>2.0993999999999999E-2</v>
      </c>
      <c r="J2724" s="160"/>
      <c r="K2724" s="161">
        <f>K2723</f>
        <v>1100</v>
      </c>
      <c r="L2724" s="250">
        <f>$L$2108</f>
        <v>2</v>
      </c>
      <c r="M2724" s="163" t="str">
        <f>CONCATENATE(H2724," ",F2724,"*",I2724,"/",K2724,"чел")</f>
        <v>5 противопожарных водопроводов*0,020994/1100чел</v>
      </c>
      <c r="N2724" s="278">
        <f t="shared" si="578"/>
        <v>5450</v>
      </c>
      <c r="O2724" s="280">
        <f t="shared" si="576"/>
        <v>1.040157</v>
      </c>
      <c r="P2724" s="166"/>
      <c r="Q2724" s="166">
        <f t="shared" si="577"/>
        <v>1144.1727000000001</v>
      </c>
      <c r="R2724" s="71"/>
    </row>
    <row r="2725" spans="1:41" s="61" customFormat="1" ht="47.25" x14ac:dyDescent="0.25">
      <c r="A2725" s="358"/>
      <c r="B2725" s="361"/>
      <c r="C2725" s="366"/>
      <c r="D2725" s="156" t="s">
        <v>34</v>
      </c>
      <c r="E2725" s="156" t="s">
        <v>59</v>
      </c>
      <c r="F2725" s="156" t="s">
        <v>28</v>
      </c>
      <c r="G2725" s="238">
        <f t="shared" si="575"/>
        <v>3.8170909999999998E-5</v>
      </c>
      <c r="H2725" s="158">
        <f>H2109</f>
        <v>2</v>
      </c>
      <c r="I2725" s="159">
        <f>I2724</f>
        <v>2.0993999999999999E-2</v>
      </c>
      <c r="J2725" s="160"/>
      <c r="K2725" s="161">
        <f>K2724</f>
        <v>1100</v>
      </c>
      <c r="L2725" s="250">
        <v>1</v>
      </c>
      <c r="M2725" s="163" t="str">
        <f>CONCATENATE(H2725," ",F2725,"*",I2725,"/",K2725,"чел")</f>
        <v>2 шт*0,020994/1100чел</v>
      </c>
      <c r="N2725" s="278">
        <f t="shared" si="578"/>
        <v>7500</v>
      </c>
      <c r="O2725" s="280">
        <f t="shared" si="576"/>
        <v>0.28628199999999998</v>
      </c>
      <c r="P2725" s="166"/>
      <c r="Q2725" s="166">
        <f t="shared" si="577"/>
        <v>314.91019999999997</v>
      </c>
      <c r="R2725" s="71"/>
    </row>
    <row r="2726" spans="1:41" s="61" customFormat="1" ht="47.25" x14ac:dyDescent="0.25">
      <c r="A2726" s="358"/>
      <c r="B2726" s="361"/>
      <c r="C2726" s="366"/>
      <c r="D2726" s="156" t="s">
        <v>222</v>
      </c>
      <c r="E2726" s="156" t="s">
        <v>60</v>
      </c>
      <c r="F2726" s="156" t="s">
        <v>60</v>
      </c>
      <c r="G2726" s="238">
        <f t="shared" si="575"/>
        <v>3.8170909999999998E-5</v>
      </c>
      <c r="H2726" s="158">
        <f>H2110</f>
        <v>2</v>
      </c>
      <c r="I2726" s="159">
        <f>I2725</f>
        <v>2.0993999999999999E-2</v>
      </c>
      <c r="J2726" s="160"/>
      <c r="K2726" s="161">
        <f>K2725</f>
        <v>1100</v>
      </c>
      <c r="L2726" s="250">
        <v>1</v>
      </c>
      <c r="M2726" s="163" t="str">
        <f>CONCATENATE(H2726," ",F2726,"*",I2726,"/",K2726,"чел")</f>
        <v>2 шт.*0,020994/1100чел</v>
      </c>
      <c r="N2726" s="278">
        <f t="shared" si="578"/>
        <v>13000</v>
      </c>
      <c r="O2726" s="280">
        <f t="shared" si="576"/>
        <v>0.496222</v>
      </c>
      <c r="P2726" s="166"/>
      <c r="Q2726" s="166">
        <f t="shared" si="577"/>
        <v>545.8442</v>
      </c>
      <c r="R2726" s="71"/>
    </row>
    <row r="2727" spans="1:41" s="61" customFormat="1" ht="31.5" x14ac:dyDescent="0.25">
      <c r="A2727" s="358"/>
      <c r="B2727" s="361"/>
      <c r="C2727" s="366"/>
      <c r="D2727" s="156" t="s">
        <v>35</v>
      </c>
      <c r="E2727" s="156" t="s">
        <v>102</v>
      </c>
      <c r="F2727" s="156" t="s">
        <v>252</v>
      </c>
      <c r="G2727" s="238">
        <f t="shared" si="575"/>
        <v>3.8170909999999998E-5</v>
      </c>
      <c r="H2727" s="158">
        <f>H2111</f>
        <v>2</v>
      </c>
      <c r="I2727" s="159">
        <f>I2725</f>
        <v>2.0993999999999999E-2</v>
      </c>
      <c r="J2727" s="160"/>
      <c r="K2727" s="161">
        <f>K2725</f>
        <v>1100</v>
      </c>
      <c r="L2727" s="250">
        <v>1</v>
      </c>
      <c r="M2727" s="163" t="str">
        <f>CONCATENATE(H2727," ",F2727,"*",I2727,"/",K2727,"чел")</f>
        <v>2 замера*0,020994/1100чел</v>
      </c>
      <c r="N2727" s="278">
        <f t="shared" si="578"/>
        <v>25830</v>
      </c>
      <c r="O2727" s="280">
        <f t="shared" si="576"/>
        <v>0.98595499999999991</v>
      </c>
      <c r="P2727" s="166"/>
      <c r="Q2727" s="166">
        <f t="shared" si="577"/>
        <v>1084.5504999999998</v>
      </c>
      <c r="R2727" s="71"/>
    </row>
    <row r="2728" spans="1:41" s="61" customFormat="1" ht="47.25" x14ac:dyDescent="0.25">
      <c r="A2728" s="358"/>
      <c r="B2728" s="361"/>
      <c r="C2728" s="366"/>
      <c r="D2728" s="156" t="s">
        <v>399</v>
      </c>
      <c r="E2728" s="156" t="s">
        <v>60</v>
      </c>
      <c r="F2728" s="156" t="s">
        <v>60</v>
      </c>
      <c r="G2728" s="238">
        <f t="shared" si="575"/>
        <v>7.6341817999999991E-4</v>
      </c>
      <c r="H2728" s="158">
        <f>$H$2112</f>
        <v>4</v>
      </c>
      <c r="I2728" s="159">
        <f>I2727</f>
        <v>2.0993999999999999E-2</v>
      </c>
      <c r="J2728" s="160"/>
      <c r="K2728" s="161">
        <f>K2727</f>
        <v>1100</v>
      </c>
      <c r="L2728" s="250">
        <v>10</v>
      </c>
      <c r="M2728" s="163" t="str">
        <f>CONCATENATE(H2728," ",F2728,"*",L2728,"мес.","*",I2728,"/",K2728,"чел")</f>
        <v>4 шт.*10мес.*0,020994/1100чел</v>
      </c>
      <c r="N2728" s="278">
        <f t="shared" si="578"/>
        <v>2411.625</v>
      </c>
      <c r="O2728" s="280">
        <f t="shared" si="576"/>
        <v>1.841078</v>
      </c>
      <c r="P2728" s="166"/>
      <c r="Q2728" s="166">
        <f t="shared" si="577"/>
        <v>2025.1858</v>
      </c>
      <c r="R2728" s="71"/>
    </row>
    <row r="2729" spans="1:41" s="61" customFormat="1" ht="47.25" x14ac:dyDescent="0.25">
      <c r="A2729" s="358"/>
      <c r="B2729" s="361"/>
      <c r="C2729" s="366"/>
      <c r="D2729" s="156" t="s">
        <v>36</v>
      </c>
      <c r="E2729" s="156" t="s">
        <v>31</v>
      </c>
      <c r="F2729" s="156" t="s">
        <v>224</v>
      </c>
      <c r="G2729" s="238">
        <f t="shared" si="575"/>
        <v>1.83220364E-3</v>
      </c>
      <c r="H2729" s="158">
        <f>H2113</f>
        <v>8</v>
      </c>
      <c r="I2729" s="159">
        <f>I2728</f>
        <v>2.0993999999999999E-2</v>
      </c>
      <c r="J2729" s="160"/>
      <c r="K2729" s="161">
        <f>K2728</f>
        <v>1100</v>
      </c>
      <c r="L2729" s="250">
        <v>12</v>
      </c>
      <c r="M2729" s="163" t="str">
        <f>CONCATENATE(H2729," ",F2729,"*",L2729,"мес.","*",I2729,"/",K2729,"чел")</f>
        <v>8 устройств*12мес.*0,020994/1100чел</v>
      </c>
      <c r="N2729" s="278">
        <f t="shared" si="578"/>
        <v>2200</v>
      </c>
      <c r="O2729" s="280">
        <f t="shared" si="576"/>
        <v>4.0308479999999998</v>
      </c>
      <c r="P2729" s="166"/>
      <c r="Q2729" s="166">
        <f t="shared" si="577"/>
        <v>4433.9327999999996</v>
      </c>
      <c r="R2729" s="71"/>
    </row>
    <row r="2730" spans="1:41" s="61" customFormat="1" ht="63" x14ac:dyDescent="0.25">
      <c r="A2730" s="358"/>
      <c r="B2730" s="361"/>
      <c r="C2730" s="366"/>
      <c r="D2730" s="156" t="s">
        <v>253</v>
      </c>
      <c r="E2730" s="156" t="s">
        <v>55</v>
      </c>
      <c r="F2730" s="156" t="s">
        <v>55</v>
      </c>
      <c r="G2730" s="238">
        <f t="shared" si="575"/>
        <v>1.1451272699999999E-3</v>
      </c>
      <c r="H2730" s="158">
        <f>H2114</f>
        <v>5</v>
      </c>
      <c r="I2730" s="159">
        <f>I2729</f>
        <v>2.0993999999999999E-2</v>
      </c>
      <c r="J2730" s="160"/>
      <c r="K2730" s="161">
        <f>K2729</f>
        <v>1100</v>
      </c>
      <c r="L2730" s="250">
        <v>12</v>
      </c>
      <c r="M2730" s="163" t="str">
        <f>CONCATENATE(H2730," ",F2730,"*",I2730,"/",K2730,"чел")</f>
        <v>5 система*0,020994/1100чел</v>
      </c>
      <c r="N2730" s="278">
        <f t="shared" si="578"/>
        <v>4251</v>
      </c>
      <c r="O2730" s="280">
        <f t="shared" si="576"/>
        <v>4.8679359999999994</v>
      </c>
      <c r="P2730" s="166"/>
      <c r="Q2730" s="166">
        <f t="shared" si="577"/>
        <v>5354.7295999999997</v>
      </c>
      <c r="R2730" s="71"/>
    </row>
    <row r="2731" spans="1:41" s="61" customFormat="1" ht="31.5" x14ac:dyDescent="0.25">
      <c r="A2731" s="358"/>
      <c r="B2731" s="361"/>
      <c r="C2731" s="366"/>
      <c r="D2731" s="156" t="s">
        <v>99</v>
      </c>
      <c r="E2731" s="156" t="s">
        <v>103</v>
      </c>
      <c r="F2731" s="156" t="s">
        <v>225</v>
      </c>
      <c r="G2731" s="238">
        <f t="shared" si="575"/>
        <v>8.9701635999999991E-4</v>
      </c>
      <c r="H2731" s="158">
        <f>H2115</f>
        <v>47</v>
      </c>
      <c r="I2731" s="159">
        <f>I2730</f>
        <v>2.0993999999999999E-2</v>
      </c>
      <c r="J2731" s="160"/>
      <c r="K2731" s="161">
        <f>K2730</f>
        <v>1100</v>
      </c>
      <c r="L2731" s="250">
        <v>1</v>
      </c>
      <c r="M2731" s="163" t="str">
        <f>CONCATENATE(H2731," ",F2731,"*",I2731,"/",K2731,"чел.")</f>
        <v>47 ед.*0,020994/1100чел.</v>
      </c>
      <c r="N2731" s="164">
        <f t="shared" si="578"/>
        <v>15000</v>
      </c>
      <c r="O2731" s="165">
        <f>MROUND(G2731*N2731,0.000001)</f>
        <v>13.455245</v>
      </c>
      <c r="P2731" s="166"/>
      <c r="Q2731" s="166">
        <f t="shared" si="577"/>
        <v>14800.7695</v>
      </c>
      <c r="R2731" s="71"/>
    </row>
    <row r="2732" spans="1:41" s="61" customFormat="1" x14ac:dyDescent="0.25">
      <c r="A2732" s="358"/>
      <c r="B2732" s="361"/>
      <c r="C2732" s="366"/>
      <c r="D2732" s="156" t="s">
        <v>27</v>
      </c>
      <c r="E2732" s="156" t="s">
        <v>28</v>
      </c>
      <c r="F2732" s="156" t="s">
        <v>28</v>
      </c>
      <c r="G2732" s="238">
        <f t="shared" si="575"/>
        <v>8.0158909100000002E-3</v>
      </c>
      <c r="H2732" s="160">
        <f>H2116</f>
        <v>420</v>
      </c>
      <c r="I2732" s="159">
        <f>I2730</f>
        <v>2.0993999999999999E-2</v>
      </c>
      <c r="J2732" s="160"/>
      <c r="K2732" s="161">
        <f>K2730</f>
        <v>1100</v>
      </c>
      <c r="L2732" s="250">
        <v>1</v>
      </c>
      <c r="M2732" s="163" t="str">
        <f>CONCATENATE(H2732," ",F2732,"*",I2732,"/",K2732,"чел")</f>
        <v>420 шт*0,020994/1100чел</v>
      </c>
      <c r="N2732" s="278">
        <f t="shared" si="578"/>
        <v>400</v>
      </c>
      <c r="O2732" s="280">
        <f t="shared" si="576"/>
        <v>3.206356</v>
      </c>
      <c r="P2732" s="166"/>
      <c r="Q2732" s="166">
        <f t="shared" si="577"/>
        <v>3526.9915999999998</v>
      </c>
      <c r="R2732" s="71"/>
    </row>
    <row r="2733" spans="1:41" s="61" customFormat="1" ht="31.5" x14ac:dyDescent="0.25">
      <c r="A2733" s="358"/>
      <c r="B2733" s="361"/>
      <c r="C2733" s="367"/>
      <c r="D2733" s="156" t="s">
        <v>104</v>
      </c>
      <c r="E2733" s="156" t="s">
        <v>105</v>
      </c>
      <c r="F2733" s="156" t="s">
        <v>226</v>
      </c>
      <c r="G2733" s="238">
        <f t="shared" si="575"/>
        <v>9.5427269999999998E-5</v>
      </c>
      <c r="H2733" s="160">
        <f>H2117</f>
        <v>5</v>
      </c>
      <c r="I2733" s="159">
        <f>I2732</f>
        <v>2.0993999999999999E-2</v>
      </c>
      <c r="J2733" s="160"/>
      <c r="K2733" s="161">
        <f>K2732</f>
        <v>1100</v>
      </c>
      <c r="L2733" s="250">
        <v>1</v>
      </c>
      <c r="M2733" s="163" t="str">
        <f>CONCATENATE(H2733," ",F2733,"*",I2733,"/",K2733,"чел")</f>
        <v>5 отключений*0,020994/1100чел</v>
      </c>
      <c r="N2733" s="278">
        <f t="shared" si="578"/>
        <v>9810</v>
      </c>
      <c r="O2733" s="280">
        <f t="shared" si="576"/>
        <v>0.93614199999999992</v>
      </c>
      <c r="P2733" s="166"/>
      <c r="Q2733" s="166">
        <f t="shared" si="577"/>
        <v>1029.7561999999998</v>
      </c>
      <c r="R2733" s="71"/>
    </row>
    <row r="2734" spans="1:41" s="109" customFormat="1" x14ac:dyDescent="0.25">
      <c r="A2734" s="358"/>
      <c r="B2734" s="361"/>
      <c r="C2734" s="249" t="s">
        <v>326</v>
      </c>
      <c r="D2734" s="240"/>
      <c r="E2734" s="240"/>
      <c r="F2734" s="240"/>
      <c r="G2734" s="227"/>
      <c r="H2734" s="228"/>
      <c r="I2734" s="206"/>
      <c r="J2734" s="228"/>
      <c r="K2734" s="207"/>
      <c r="L2734" s="257"/>
      <c r="M2734" s="209"/>
      <c r="N2734" s="281"/>
      <c r="O2734" s="279">
        <f>SUM(O2719:O2733)</f>
        <v>42.608401999999998</v>
      </c>
      <c r="P2734" s="267"/>
      <c r="Q2734" s="166"/>
      <c r="R2734" s="71"/>
      <c r="S2734" s="62"/>
      <c r="T2734" s="62"/>
      <c r="U2734" s="62"/>
      <c r="V2734" s="62"/>
      <c r="W2734" s="62"/>
      <c r="X2734" s="62"/>
      <c r="Y2734" s="62"/>
      <c r="Z2734" s="62"/>
      <c r="AA2734" s="62"/>
      <c r="AB2734" s="62"/>
      <c r="AC2734" s="62"/>
      <c r="AD2734" s="62"/>
      <c r="AE2734" s="62"/>
      <c r="AF2734" s="62"/>
      <c r="AG2734" s="62"/>
      <c r="AH2734" s="62"/>
      <c r="AI2734" s="62"/>
      <c r="AJ2734" s="62"/>
      <c r="AK2734" s="62"/>
      <c r="AL2734" s="62"/>
      <c r="AM2734" s="62"/>
      <c r="AN2734" s="62"/>
      <c r="AO2734" s="62"/>
    </row>
    <row r="2735" spans="1:41" s="61" customFormat="1" ht="31.5" x14ac:dyDescent="0.25">
      <c r="A2735" s="358"/>
      <c r="B2735" s="361"/>
      <c r="C2735" s="221" t="s">
        <v>79</v>
      </c>
      <c r="D2735" s="156" t="s">
        <v>37</v>
      </c>
      <c r="E2735" s="156" t="s">
        <v>61</v>
      </c>
      <c r="F2735" s="156" t="s">
        <v>254</v>
      </c>
      <c r="G2735" s="238">
        <f>MROUND(H2735*L2735*I2735/K2735,0.00000000001)</f>
        <v>1.9085449999999999E-5</v>
      </c>
      <c r="H2735" s="158">
        <f>$H$2119</f>
        <v>1</v>
      </c>
      <c r="I2735" s="159">
        <f>I2733</f>
        <v>2.0993999999999999E-2</v>
      </c>
      <c r="J2735" s="160"/>
      <c r="K2735" s="161">
        <f>K2733</f>
        <v>1100</v>
      </c>
      <c r="L2735" s="250">
        <v>1</v>
      </c>
      <c r="M2735" s="163" t="str">
        <f>CONCATENATE(H2735," ",F2735,"*",I2735,"/",K2735,"чел")</f>
        <v>1 автобус*0,020994/1100чел</v>
      </c>
      <c r="N2735" s="278">
        <f>N2119</f>
        <v>23352.160000000003</v>
      </c>
      <c r="O2735" s="280">
        <f>MROUND(N2735*G2735,0.000001)</f>
        <v>0.44568599999999997</v>
      </c>
      <c r="P2735" s="166"/>
      <c r="Q2735" s="166">
        <f>O2735*K2735</f>
        <v>490.25459999999998</v>
      </c>
      <c r="R2735" s="71"/>
    </row>
    <row r="2736" spans="1:41" s="61" customFormat="1" x14ac:dyDescent="0.25">
      <c r="A2736" s="358"/>
      <c r="B2736" s="361"/>
      <c r="C2736" s="221"/>
      <c r="D2736" s="156" t="s">
        <v>255</v>
      </c>
      <c r="E2736" s="156" t="s">
        <v>28</v>
      </c>
      <c r="F2736" s="156" t="s">
        <v>28</v>
      </c>
      <c r="G2736" s="238">
        <f>MROUND(H2736*L2736*I2736/K2736,0.00000000001)</f>
        <v>1.316896364E-2</v>
      </c>
      <c r="H2736" s="158">
        <f>H2120</f>
        <v>345</v>
      </c>
      <c r="I2736" s="159">
        <f>I2735</f>
        <v>2.0993999999999999E-2</v>
      </c>
      <c r="J2736" s="160"/>
      <c r="K2736" s="161">
        <f>K2735</f>
        <v>1100</v>
      </c>
      <c r="L2736" s="250">
        <v>2</v>
      </c>
      <c r="M2736" s="163" t="str">
        <f>CONCATENATE(H2736," ",F2736,"*",L2736,"раза в год","*",I2736,"/",K2736,"чел")</f>
        <v>345 шт*2раза в год*0,020994/1100чел</v>
      </c>
      <c r="N2736" s="278">
        <f>N2120</f>
        <v>436</v>
      </c>
      <c r="O2736" s="280">
        <f>MROUND(N2736*G2736,0.000001)</f>
        <v>5.7416679999999998</v>
      </c>
      <c r="P2736" s="166"/>
      <c r="Q2736" s="166">
        <f>O2736*K2736</f>
        <v>6315.8347999999996</v>
      </c>
      <c r="R2736" s="71"/>
    </row>
    <row r="2737" spans="1:41" s="109" customFormat="1" x14ac:dyDescent="0.25">
      <c r="A2737" s="358"/>
      <c r="B2737" s="361"/>
      <c r="C2737" s="218" t="s">
        <v>328</v>
      </c>
      <c r="D2737" s="240"/>
      <c r="E2737" s="240"/>
      <c r="F2737" s="240"/>
      <c r="G2737" s="227"/>
      <c r="H2737" s="241"/>
      <c r="I2737" s="206"/>
      <c r="J2737" s="228"/>
      <c r="K2737" s="207"/>
      <c r="L2737" s="257"/>
      <c r="M2737" s="209"/>
      <c r="N2737" s="281"/>
      <c r="O2737" s="279">
        <f>O2736+O2735</f>
        <v>6.187354</v>
      </c>
      <c r="P2737" s="267"/>
      <c r="Q2737" s="166"/>
      <c r="R2737" s="71"/>
      <c r="S2737" s="62"/>
      <c r="T2737" s="62"/>
      <c r="U2737" s="62"/>
      <c r="V2737" s="62"/>
      <c r="W2737" s="62"/>
      <c r="X2737" s="62"/>
      <c r="Y2737" s="62"/>
      <c r="Z2737" s="62"/>
      <c r="AA2737" s="62"/>
      <c r="AB2737" s="62"/>
      <c r="AC2737" s="62"/>
      <c r="AD2737" s="62"/>
      <c r="AE2737" s="62"/>
      <c r="AF2737" s="62"/>
      <c r="AG2737" s="62"/>
      <c r="AH2737" s="62"/>
      <c r="AI2737" s="62"/>
      <c r="AJ2737" s="62"/>
      <c r="AK2737" s="62"/>
      <c r="AL2737" s="62"/>
      <c r="AM2737" s="62"/>
      <c r="AN2737" s="62"/>
      <c r="AO2737" s="62"/>
    </row>
    <row r="2738" spans="1:41" s="61" customFormat="1" x14ac:dyDescent="0.25">
      <c r="A2738" s="358"/>
      <c r="B2738" s="361"/>
      <c r="C2738" s="364" t="s">
        <v>80</v>
      </c>
      <c r="D2738" s="156" t="s">
        <v>38</v>
      </c>
      <c r="E2738" s="156" t="s">
        <v>57</v>
      </c>
      <c r="F2738" s="156" t="s">
        <v>228</v>
      </c>
      <c r="G2738" s="238">
        <f t="shared" ref="G2738:G2749" si="579">MROUND(H2738*L2738*I2738/K2738,0.00000000001)</f>
        <v>1.83220364E-3</v>
      </c>
      <c r="H2738" s="158">
        <f>H2122</f>
        <v>8</v>
      </c>
      <c r="I2738" s="159">
        <f>I2735</f>
        <v>2.0993999999999999E-2</v>
      </c>
      <c r="J2738" s="160"/>
      <c r="K2738" s="161">
        <f>K2735</f>
        <v>1100</v>
      </c>
      <c r="L2738" s="250">
        <v>12</v>
      </c>
      <c r="M2738" s="163" t="str">
        <f>CONCATENATE(H2738," ",F2738,"*",L2738,"мес.","*",I2738,"/",K2738,"чел")</f>
        <v>8 зданий*12мес.*0,020994/1100чел</v>
      </c>
      <c r="N2738" s="278">
        <f t="shared" ref="N2738:N2747" si="580">N2122</f>
        <v>4694.63</v>
      </c>
      <c r="O2738" s="280">
        <f t="shared" ref="O2738:O2749" si="581">MROUND(N2738*G2738,0.000001)</f>
        <v>8.6015180000000004</v>
      </c>
      <c r="P2738" s="166"/>
      <c r="Q2738" s="166">
        <f t="shared" ref="Q2738:Q2749" si="582">O2738*K2738</f>
        <v>9461.6697999999997</v>
      </c>
      <c r="R2738" s="71"/>
    </row>
    <row r="2739" spans="1:41" s="61" customFormat="1" x14ac:dyDescent="0.25">
      <c r="A2739" s="358"/>
      <c r="B2739" s="361"/>
      <c r="C2739" s="364"/>
      <c r="D2739" s="156" t="s">
        <v>256</v>
      </c>
      <c r="E2739" s="156" t="s">
        <v>20</v>
      </c>
      <c r="F2739" s="156" t="s">
        <v>20</v>
      </c>
      <c r="G2739" s="238">
        <f t="shared" si="579"/>
        <v>3.5689799999999998E-3</v>
      </c>
      <c r="H2739" s="158">
        <f>H2123</f>
        <v>187</v>
      </c>
      <c r="I2739" s="159">
        <f>I2736</f>
        <v>2.0993999999999999E-2</v>
      </c>
      <c r="J2739" s="160"/>
      <c r="K2739" s="161">
        <f>K2736</f>
        <v>1100</v>
      </c>
      <c r="L2739" s="250">
        <v>1</v>
      </c>
      <c r="M2739" s="163" t="str">
        <f t="shared" ref="M2739:M2745" si="583">CONCATENATE(H2739," ",F2739,"*",I2739,"/",K2739,"чел")</f>
        <v>187 чел.*0,020994/1100чел</v>
      </c>
      <c r="N2739" s="278">
        <f t="shared" si="580"/>
        <v>1853</v>
      </c>
      <c r="O2739" s="280">
        <f t="shared" si="581"/>
        <v>6.6133199999999999</v>
      </c>
      <c r="P2739" s="166"/>
      <c r="Q2739" s="166">
        <f t="shared" si="582"/>
        <v>7274.652</v>
      </c>
      <c r="R2739" s="71"/>
    </row>
    <row r="2740" spans="1:41" s="61" customFormat="1" ht="63" x14ac:dyDescent="0.25">
      <c r="A2740" s="358"/>
      <c r="B2740" s="361"/>
      <c r="C2740" s="364"/>
      <c r="D2740" s="156" t="s">
        <v>39</v>
      </c>
      <c r="E2740" s="156" t="s">
        <v>20</v>
      </c>
      <c r="F2740" s="156" t="s">
        <v>234</v>
      </c>
      <c r="G2740" s="238">
        <f t="shared" si="579"/>
        <v>1.7176908999999999E-4</v>
      </c>
      <c r="H2740" s="158">
        <f>H2124</f>
        <v>9</v>
      </c>
      <c r="I2740" s="159">
        <f>I2738</f>
        <v>2.0993999999999999E-2</v>
      </c>
      <c r="J2740" s="160"/>
      <c r="K2740" s="161">
        <f>K2738</f>
        <v>1100</v>
      </c>
      <c r="L2740" s="250">
        <v>1</v>
      </c>
      <c r="M2740" s="163" t="str">
        <f t="shared" si="583"/>
        <v>9 чел(заявленная потребность руководителями учреждений)*0,020994/1100чел</v>
      </c>
      <c r="N2740" s="278">
        <f t="shared" si="580"/>
        <v>763</v>
      </c>
      <c r="O2740" s="280">
        <f t="shared" si="581"/>
        <v>0.13105999999999998</v>
      </c>
      <c r="P2740" s="166"/>
      <c r="Q2740" s="166">
        <f t="shared" si="582"/>
        <v>144.16599999999997</v>
      </c>
      <c r="R2740" s="71"/>
    </row>
    <row r="2741" spans="1:41" s="61" customFormat="1" ht="63" x14ac:dyDescent="0.25">
      <c r="A2741" s="358"/>
      <c r="B2741" s="361"/>
      <c r="C2741" s="364"/>
      <c r="D2741" s="156" t="s">
        <v>40</v>
      </c>
      <c r="E2741" s="156" t="s">
        <v>20</v>
      </c>
      <c r="F2741" s="156" t="s">
        <v>234</v>
      </c>
      <c r="G2741" s="238">
        <f t="shared" si="579"/>
        <v>2.4811091E-4</v>
      </c>
      <c r="H2741" s="158">
        <f>H2125</f>
        <v>13</v>
      </c>
      <c r="I2741" s="159">
        <f t="shared" ref="I2741:I2746" si="584">I2740</f>
        <v>2.0993999999999999E-2</v>
      </c>
      <c r="J2741" s="160"/>
      <c r="K2741" s="161">
        <f t="shared" ref="K2741:K2746" si="585">K2740</f>
        <v>1100</v>
      </c>
      <c r="L2741" s="250">
        <v>1</v>
      </c>
      <c r="M2741" s="163" t="str">
        <f t="shared" si="583"/>
        <v>13 чел(заявленная потребность руководителями учреждений)*0,020994/1100чел</v>
      </c>
      <c r="N2741" s="278">
        <f t="shared" si="580"/>
        <v>1635</v>
      </c>
      <c r="O2741" s="280">
        <f t="shared" si="581"/>
        <v>0.40566099999999999</v>
      </c>
      <c r="P2741" s="166"/>
      <c r="Q2741" s="166">
        <f t="shared" si="582"/>
        <v>446.22710000000001</v>
      </c>
      <c r="R2741" s="71"/>
    </row>
    <row r="2742" spans="1:41" s="61" customFormat="1" ht="63" x14ac:dyDescent="0.25">
      <c r="A2742" s="358"/>
      <c r="B2742" s="361"/>
      <c r="C2742" s="364"/>
      <c r="D2742" s="156" t="s">
        <v>100</v>
      </c>
      <c r="E2742" s="156" t="s">
        <v>20</v>
      </c>
      <c r="F2742" s="156" t="s">
        <v>234</v>
      </c>
      <c r="G2742" s="238">
        <f t="shared" si="579"/>
        <v>1.3359818E-4</v>
      </c>
      <c r="H2742" s="158">
        <f>H2126</f>
        <v>7</v>
      </c>
      <c r="I2742" s="159">
        <f t="shared" si="584"/>
        <v>2.0993999999999999E-2</v>
      </c>
      <c r="J2742" s="160"/>
      <c r="K2742" s="161">
        <f t="shared" si="585"/>
        <v>1100</v>
      </c>
      <c r="L2742" s="250">
        <v>1</v>
      </c>
      <c r="M2742" s="163" t="str">
        <f t="shared" si="583"/>
        <v>7 чел(заявленная потребность руководителями учреждений)*0,020994/1100чел</v>
      </c>
      <c r="N2742" s="278">
        <f t="shared" si="580"/>
        <v>3488</v>
      </c>
      <c r="O2742" s="280">
        <f t="shared" si="581"/>
        <v>0.46598999999999996</v>
      </c>
      <c r="P2742" s="166"/>
      <c r="Q2742" s="166">
        <f t="shared" si="582"/>
        <v>512.58899999999994</v>
      </c>
      <c r="R2742" s="71"/>
    </row>
    <row r="2743" spans="1:41" s="61" customFormat="1" ht="110.25" x14ac:dyDescent="0.25">
      <c r="A2743" s="358"/>
      <c r="B2743" s="361"/>
      <c r="C2743" s="364"/>
      <c r="D2743" s="156" t="s">
        <v>235</v>
      </c>
      <c r="E2743" s="156" t="s">
        <v>50</v>
      </c>
      <c r="F2743" s="156" t="s">
        <v>230</v>
      </c>
      <c r="G2743" s="238">
        <f t="shared" si="579"/>
        <v>9.5427269999999998E-5</v>
      </c>
      <c r="H2743" s="158">
        <v>5</v>
      </c>
      <c r="I2743" s="159">
        <f t="shared" si="584"/>
        <v>2.0993999999999999E-2</v>
      </c>
      <c r="J2743" s="160"/>
      <c r="K2743" s="161">
        <f t="shared" si="585"/>
        <v>1100</v>
      </c>
      <c r="L2743" s="250">
        <v>1</v>
      </c>
      <c r="M2743" s="163" t="str">
        <f t="shared" si="583"/>
        <v>5 отчетов*0,020994/1100чел</v>
      </c>
      <c r="N2743" s="278">
        <f t="shared" si="580"/>
        <v>6540</v>
      </c>
      <c r="O2743" s="280">
        <f t="shared" si="581"/>
        <v>0.62409399999999993</v>
      </c>
      <c r="P2743" s="166"/>
      <c r="Q2743" s="166">
        <f t="shared" si="582"/>
        <v>686.50339999999994</v>
      </c>
      <c r="R2743" s="71"/>
    </row>
    <row r="2744" spans="1:41" s="61" customFormat="1" ht="63" x14ac:dyDescent="0.25">
      <c r="A2744" s="358"/>
      <c r="B2744" s="361"/>
      <c r="C2744" s="364"/>
      <c r="D2744" s="156" t="s">
        <v>42</v>
      </c>
      <c r="E2744" s="156" t="s">
        <v>51</v>
      </c>
      <c r="F2744" s="156" t="s">
        <v>407</v>
      </c>
      <c r="G2744" s="238">
        <f t="shared" si="579"/>
        <v>4.9622182000000001E-4</v>
      </c>
      <c r="H2744" s="158">
        <f>H2128</f>
        <v>26</v>
      </c>
      <c r="I2744" s="159">
        <f t="shared" si="584"/>
        <v>2.0993999999999999E-2</v>
      </c>
      <c r="J2744" s="160"/>
      <c r="K2744" s="161">
        <f t="shared" si="585"/>
        <v>1100</v>
      </c>
      <c r="L2744" s="250">
        <v>1</v>
      </c>
      <c r="M2744" s="163" t="str">
        <f t="shared" si="583"/>
        <v>26 ед (заявленная потребность руководителями учреждений)*0,020994/1100чел</v>
      </c>
      <c r="N2744" s="278">
        <f t="shared" si="580"/>
        <v>1090</v>
      </c>
      <c r="O2744" s="280">
        <f t="shared" si="581"/>
        <v>0.54088199999999997</v>
      </c>
      <c r="P2744" s="166"/>
      <c r="Q2744" s="166">
        <f t="shared" si="582"/>
        <v>594.97019999999998</v>
      </c>
      <c r="R2744" s="71"/>
    </row>
    <row r="2745" spans="1:41" s="61" customFormat="1" ht="31.5" x14ac:dyDescent="0.25">
      <c r="A2745" s="358"/>
      <c r="B2745" s="361"/>
      <c r="C2745" s="364"/>
      <c r="D2745" s="156" t="s">
        <v>43</v>
      </c>
      <c r="E2745" s="156" t="s">
        <v>52</v>
      </c>
      <c r="F2745" s="156" t="s">
        <v>231</v>
      </c>
      <c r="G2745" s="238">
        <f t="shared" si="579"/>
        <v>9.5427269999999998E-5</v>
      </c>
      <c r="H2745" s="158">
        <v>5</v>
      </c>
      <c r="I2745" s="159">
        <f t="shared" si="584"/>
        <v>2.0993999999999999E-2</v>
      </c>
      <c r="J2745" s="160"/>
      <c r="K2745" s="161">
        <f t="shared" si="585"/>
        <v>1100</v>
      </c>
      <c r="L2745" s="250">
        <v>1</v>
      </c>
      <c r="M2745" s="163" t="str">
        <f t="shared" si="583"/>
        <v>5 ЭЦП*0,020994/1100чел</v>
      </c>
      <c r="N2745" s="278">
        <f t="shared" si="580"/>
        <v>7743.3600000000006</v>
      </c>
      <c r="O2745" s="280">
        <f t="shared" si="581"/>
        <v>0.73892799999999992</v>
      </c>
      <c r="P2745" s="166"/>
      <c r="Q2745" s="166">
        <f t="shared" si="582"/>
        <v>812.82079999999996</v>
      </c>
      <c r="R2745" s="71"/>
    </row>
    <row r="2746" spans="1:41" s="61" customFormat="1" x14ac:dyDescent="0.25">
      <c r="A2746" s="358"/>
      <c r="B2746" s="361"/>
      <c r="C2746" s="364"/>
      <c r="D2746" s="156" t="s">
        <v>373</v>
      </c>
      <c r="E2746" s="156" t="s">
        <v>28</v>
      </c>
      <c r="F2746" s="156" t="s">
        <v>28</v>
      </c>
      <c r="G2746" s="238">
        <f t="shared" si="579"/>
        <v>9.5427269999999998E-5</v>
      </c>
      <c r="H2746" s="158">
        <f>H2130</f>
        <v>5</v>
      </c>
      <c r="I2746" s="159">
        <f t="shared" si="584"/>
        <v>2.0993999999999999E-2</v>
      </c>
      <c r="J2746" s="160"/>
      <c r="K2746" s="161">
        <f t="shared" si="585"/>
        <v>1100</v>
      </c>
      <c r="L2746" s="250">
        <v>1</v>
      </c>
      <c r="M2746" s="163" t="str">
        <f>CONCATENATE(H2746," ",F2746,"*",I2746,"/",K2746,"чел/час")</f>
        <v>5 шт*0,020994/1100чел/час</v>
      </c>
      <c r="N2746" s="278">
        <f t="shared" si="580"/>
        <v>24000</v>
      </c>
      <c r="O2746" s="280">
        <f t="shared" si="581"/>
        <v>2.290254</v>
      </c>
      <c r="P2746" s="166"/>
      <c r="Q2746" s="166">
        <f t="shared" si="582"/>
        <v>2519.2793999999999</v>
      </c>
      <c r="R2746" s="71"/>
    </row>
    <row r="2747" spans="1:41" s="61" customFormat="1" ht="63" x14ac:dyDescent="0.25">
      <c r="A2747" s="358"/>
      <c r="B2747" s="361"/>
      <c r="C2747" s="364"/>
      <c r="D2747" s="156" t="s">
        <v>45</v>
      </c>
      <c r="E2747" s="156" t="s">
        <v>53</v>
      </c>
      <c r="F2747" s="156" t="s">
        <v>257</v>
      </c>
      <c r="G2747" s="238">
        <f t="shared" si="579"/>
        <v>2.2902544999999999E-4</v>
      </c>
      <c r="H2747" s="158">
        <v>1</v>
      </c>
      <c r="I2747" s="159">
        <f>I2745</f>
        <v>2.0993999999999999E-2</v>
      </c>
      <c r="J2747" s="160"/>
      <c r="K2747" s="161">
        <f>K2745</f>
        <v>1100</v>
      </c>
      <c r="L2747" s="250">
        <v>12</v>
      </c>
      <c r="M2747" s="163" t="str">
        <f>CONCATENATE(H2747," ",F2747,"*",L2747,"мес.","*",I2747,"/",K2747,"чел")</f>
        <v>1  машина, оборудованная системой ГЛОНАСС*12мес.*0,020994/1100чел</v>
      </c>
      <c r="N2747" s="278">
        <f t="shared" si="580"/>
        <v>880.71999999999991</v>
      </c>
      <c r="O2747" s="280">
        <f t="shared" si="581"/>
        <v>0.201707</v>
      </c>
      <c r="P2747" s="166"/>
      <c r="Q2747" s="166">
        <f t="shared" si="582"/>
        <v>221.8777</v>
      </c>
      <c r="R2747" s="71"/>
    </row>
    <row r="2748" spans="1:41" s="136" customFormat="1" ht="47.25" x14ac:dyDescent="0.25">
      <c r="A2748" s="358"/>
      <c r="B2748" s="361"/>
      <c r="C2748" s="364"/>
      <c r="D2748" s="156" t="s">
        <v>44</v>
      </c>
      <c r="E2748" s="156" t="s">
        <v>85</v>
      </c>
      <c r="F2748" s="156" t="s">
        <v>232</v>
      </c>
      <c r="G2748" s="238">
        <f t="shared" si="579"/>
        <v>5.8019781799999995E-3</v>
      </c>
      <c r="H2748" s="158">
        <f>$H$2132</f>
        <v>304</v>
      </c>
      <c r="I2748" s="159">
        <f>I2747</f>
        <v>2.0993999999999999E-2</v>
      </c>
      <c r="J2748" s="160"/>
      <c r="K2748" s="161">
        <f>K2747</f>
        <v>1100</v>
      </c>
      <c r="L2748" s="250">
        <v>1</v>
      </c>
      <c r="M2748" s="163" t="str">
        <f>CONCATENATE(H2748," ",F2748,"*",L2748,"мес.","*",I2748,"/",K2748,"чел.")</f>
        <v>304 мед.осмотров в мес.*1мес.*0,020994/1100чел.</v>
      </c>
      <c r="N2748" s="278">
        <f>$N$2132</f>
        <v>56.680000000000007</v>
      </c>
      <c r="O2748" s="280">
        <f t="shared" si="581"/>
        <v>0.32885599999999998</v>
      </c>
      <c r="P2748" s="166"/>
      <c r="Q2748" s="166">
        <f t="shared" si="582"/>
        <v>361.74160000000001</v>
      </c>
      <c r="R2748" s="71"/>
      <c r="S2748" s="71"/>
      <c r="T2748" s="61"/>
      <c r="U2748" s="61"/>
      <c r="V2748" s="61"/>
      <c r="W2748" s="61"/>
      <c r="X2748" s="61"/>
      <c r="Y2748" s="61"/>
      <c r="Z2748" s="61"/>
      <c r="AA2748" s="61"/>
      <c r="AB2748" s="61"/>
      <c r="AC2748" s="61"/>
      <c r="AD2748" s="61"/>
      <c r="AE2748" s="61"/>
      <c r="AF2748" s="61"/>
      <c r="AG2748" s="61"/>
      <c r="AH2748" s="61"/>
      <c r="AI2748" s="61"/>
      <c r="AJ2748" s="61"/>
      <c r="AK2748" s="61"/>
      <c r="AL2748" s="61"/>
      <c r="AM2748" s="61"/>
      <c r="AN2748" s="61"/>
      <c r="AO2748" s="61"/>
    </row>
    <row r="2749" spans="1:41" s="61" customFormat="1" ht="31.5" x14ac:dyDescent="0.25">
      <c r="A2749" s="358"/>
      <c r="B2749" s="361"/>
      <c r="C2749" s="364"/>
      <c r="D2749" s="156" t="s">
        <v>408</v>
      </c>
      <c r="E2749" s="156" t="s">
        <v>20</v>
      </c>
      <c r="F2749" s="156" t="s">
        <v>20</v>
      </c>
      <c r="G2749" s="238">
        <f t="shared" si="579"/>
        <v>5.7256363999999994E-4</v>
      </c>
      <c r="H2749" s="158">
        <f>H2133</f>
        <v>30</v>
      </c>
      <c r="I2749" s="159">
        <f>I2747</f>
        <v>2.0993999999999999E-2</v>
      </c>
      <c r="J2749" s="160"/>
      <c r="K2749" s="161">
        <f>K2747</f>
        <v>1100</v>
      </c>
      <c r="L2749" s="250">
        <f>L2133</f>
        <v>1</v>
      </c>
      <c r="M2749" s="163" t="str">
        <f>CONCATENATE(H2749," ",F2749,"*",L2749," раз в год","*",I2749,"/",K2749,"чел.")</f>
        <v>30 чел.*1 раз в год*0,020994/1100чел.</v>
      </c>
      <c r="N2749" s="278">
        <f>N2133</f>
        <v>472.33333333333331</v>
      </c>
      <c r="O2749" s="280">
        <f t="shared" si="581"/>
        <v>0.27044099999999999</v>
      </c>
      <c r="P2749" s="166"/>
      <c r="Q2749" s="166">
        <f t="shared" si="582"/>
        <v>297.48509999999999</v>
      </c>
      <c r="R2749" s="71"/>
    </row>
    <row r="2750" spans="1:41" s="109" customFormat="1" x14ac:dyDescent="0.25">
      <c r="A2750" s="358"/>
      <c r="B2750" s="361"/>
      <c r="C2750" s="245" t="s">
        <v>329</v>
      </c>
      <c r="D2750" s="240"/>
      <c r="E2750" s="240"/>
      <c r="F2750" s="240"/>
      <c r="G2750" s="227"/>
      <c r="H2750" s="241"/>
      <c r="I2750" s="206"/>
      <c r="J2750" s="228"/>
      <c r="K2750" s="207"/>
      <c r="L2750" s="257"/>
      <c r="M2750" s="209"/>
      <c r="N2750" s="281"/>
      <c r="O2750" s="279">
        <f>SUM(O2738:O2749)</f>
        <v>21.212711000000002</v>
      </c>
      <c r="P2750" s="267"/>
      <c r="Q2750" s="166"/>
      <c r="R2750" s="71"/>
      <c r="S2750" s="62"/>
      <c r="T2750" s="62"/>
      <c r="U2750" s="62"/>
      <c r="V2750" s="62"/>
      <c r="W2750" s="62"/>
      <c r="X2750" s="62"/>
      <c r="Y2750" s="62"/>
      <c r="Z2750" s="62"/>
      <c r="AA2750" s="62"/>
      <c r="AB2750" s="62"/>
      <c r="AC2750" s="62"/>
      <c r="AD2750" s="62"/>
      <c r="AE2750" s="62"/>
      <c r="AF2750" s="62"/>
      <c r="AG2750" s="62"/>
      <c r="AH2750" s="62"/>
      <c r="AI2750" s="62"/>
      <c r="AJ2750" s="62"/>
      <c r="AK2750" s="62"/>
      <c r="AL2750" s="62"/>
      <c r="AM2750" s="62"/>
      <c r="AN2750" s="62"/>
      <c r="AO2750" s="62"/>
    </row>
    <row r="2751" spans="1:41" s="61" customFormat="1" ht="31.5" x14ac:dyDescent="0.25">
      <c r="A2751" s="358"/>
      <c r="B2751" s="361"/>
      <c r="C2751" s="252" t="s">
        <v>237</v>
      </c>
      <c r="D2751" s="156" t="s">
        <v>41</v>
      </c>
      <c r="E2751" s="156" t="s">
        <v>61</v>
      </c>
      <c r="F2751" s="156" t="s">
        <v>254</v>
      </c>
      <c r="G2751" s="238">
        <f t="shared" ref="G2751:G2762" si="586">MROUND(H2751*L2751*I2751/K2751,0.00000000001)</f>
        <v>1.9085449999999999E-5</v>
      </c>
      <c r="H2751" s="158">
        <v>1</v>
      </c>
      <c r="I2751" s="159">
        <f>I2749</f>
        <v>2.0993999999999999E-2</v>
      </c>
      <c r="J2751" s="160"/>
      <c r="K2751" s="161">
        <f>K2749</f>
        <v>1100</v>
      </c>
      <c r="L2751" s="250">
        <v>1</v>
      </c>
      <c r="M2751" s="163" t="str">
        <f>CONCATENATE(H2751," ",F2751,"*",I2751,"/",K2751,"чел")</f>
        <v>1 автобус*0,020994/1100чел</v>
      </c>
      <c r="N2751" s="278">
        <f>N2135</f>
        <v>25724</v>
      </c>
      <c r="O2751" s="280">
        <f t="shared" ref="O2751:O2768" si="587">MROUND(N2751*G2751,0.000001)</f>
        <v>0.490954</v>
      </c>
      <c r="P2751" s="166"/>
      <c r="Q2751" s="166">
        <f t="shared" ref="Q2751:Q2762" si="588">O2751*K2751</f>
        <v>540.04939999999999</v>
      </c>
      <c r="R2751" s="71"/>
    </row>
    <row r="2752" spans="1:41" s="61" customFormat="1" ht="78.75" x14ac:dyDescent="0.25">
      <c r="A2752" s="358"/>
      <c r="B2752" s="361"/>
      <c r="C2752" s="221" t="s">
        <v>236</v>
      </c>
      <c r="D2752" s="156" t="s">
        <v>19</v>
      </c>
      <c r="E2752" s="181" t="s">
        <v>20</v>
      </c>
      <c r="F2752" s="181" t="s">
        <v>238</v>
      </c>
      <c r="G2752" s="238">
        <f t="shared" si="586"/>
        <v>0</v>
      </c>
      <c r="H2752" s="158"/>
      <c r="I2752" s="159">
        <f>I2749</f>
        <v>2.0993999999999999E-2</v>
      </c>
      <c r="J2752" s="160"/>
      <c r="K2752" s="161">
        <f>K2749</f>
        <v>1100</v>
      </c>
      <c r="L2752" s="250"/>
      <c r="M2752" s="163"/>
      <c r="N2752" s="278"/>
      <c r="O2752" s="280">
        <f t="shared" si="587"/>
        <v>0</v>
      </c>
      <c r="P2752" s="166"/>
      <c r="Q2752" s="166">
        <f t="shared" si="588"/>
        <v>0</v>
      </c>
      <c r="R2752" s="71"/>
    </row>
    <row r="2753" spans="1:41" s="136" customFormat="1" ht="31.5" x14ac:dyDescent="0.25">
      <c r="A2753" s="358"/>
      <c r="B2753" s="361"/>
      <c r="C2753" s="372" t="s">
        <v>81</v>
      </c>
      <c r="D2753" s="156" t="s">
        <v>419</v>
      </c>
      <c r="E2753" s="156" t="s">
        <v>28</v>
      </c>
      <c r="F2753" s="156" t="s">
        <v>439</v>
      </c>
      <c r="G2753" s="238">
        <f t="shared" si="586"/>
        <v>1.5268363999999999E-4</v>
      </c>
      <c r="H2753" s="158">
        <f>$H$2137</f>
        <v>8</v>
      </c>
      <c r="I2753" s="159">
        <f>I2752</f>
        <v>2.0993999999999999E-2</v>
      </c>
      <c r="J2753" s="160"/>
      <c r="K2753" s="161">
        <f>K2752</f>
        <v>1100</v>
      </c>
      <c r="L2753" s="250">
        <v>1</v>
      </c>
      <c r="M2753" s="163" t="str">
        <f>CONCATENATE(H2753," ",F2753,"*",I2753,"/",K2753,"чел/час")</f>
        <v>8 шт (потребность учреждений) *0,020994/1100чел/час</v>
      </c>
      <c r="N2753" s="278">
        <f>$N$2137</f>
        <v>33750</v>
      </c>
      <c r="O2753" s="280">
        <f t="shared" si="587"/>
        <v>5.153073</v>
      </c>
      <c r="P2753" s="166"/>
      <c r="Q2753" s="166">
        <f t="shared" si="588"/>
        <v>5668.3802999999998</v>
      </c>
      <c r="R2753" s="71"/>
      <c r="S2753" s="61"/>
      <c r="T2753" s="71"/>
      <c r="U2753" s="61"/>
      <c r="V2753" s="61"/>
      <c r="W2753" s="61"/>
      <c r="X2753" s="61"/>
      <c r="Y2753" s="61"/>
      <c r="Z2753" s="61"/>
      <c r="AA2753" s="61"/>
      <c r="AB2753" s="61"/>
      <c r="AC2753" s="61"/>
      <c r="AD2753" s="61"/>
      <c r="AE2753" s="61"/>
      <c r="AF2753" s="61"/>
      <c r="AG2753" s="61"/>
      <c r="AH2753" s="61"/>
      <c r="AI2753" s="61"/>
      <c r="AJ2753" s="61"/>
      <c r="AK2753" s="61"/>
      <c r="AL2753" s="61"/>
      <c r="AM2753" s="61"/>
      <c r="AN2753" s="61"/>
      <c r="AO2753" s="61"/>
    </row>
    <row r="2754" spans="1:41" s="136" customFormat="1" ht="31.5" x14ac:dyDescent="0.25">
      <c r="A2754" s="358"/>
      <c r="B2754" s="361"/>
      <c r="C2754" s="373"/>
      <c r="D2754" s="156" t="s">
        <v>425</v>
      </c>
      <c r="E2754" s="156" t="s">
        <v>28</v>
      </c>
      <c r="F2754" s="156" t="s">
        <v>439</v>
      </c>
      <c r="G2754" s="238">
        <f t="shared" si="586"/>
        <v>5.7256359999999993E-5</v>
      </c>
      <c r="H2754" s="158">
        <f>$H$2138</f>
        <v>3</v>
      </c>
      <c r="I2754" s="159">
        <f t="shared" ref="I2754:I2762" si="589">I2753</f>
        <v>2.0993999999999999E-2</v>
      </c>
      <c r="J2754" s="160"/>
      <c r="K2754" s="161">
        <f t="shared" ref="K2754:K2762" si="590">K2753</f>
        <v>1100</v>
      </c>
      <c r="L2754" s="250">
        <v>1</v>
      </c>
      <c r="M2754" s="163" t="str">
        <f t="shared" ref="M2754:M2762" si="591">CONCATENATE(H2754," ",F2754,"*",I2754,"/",K2754,"чел/час")</f>
        <v>3 шт (потребность учреждений) *0,020994/1100чел/час</v>
      </c>
      <c r="N2754" s="278">
        <f>$N$2138</f>
        <v>12000</v>
      </c>
      <c r="O2754" s="280">
        <f t="shared" si="587"/>
        <v>0.68707600000000002</v>
      </c>
      <c r="P2754" s="166"/>
      <c r="Q2754" s="166">
        <f t="shared" si="588"/>
        <v>755.78359999999998</v>
      </c>
      <c r="R2754" s="71"/>
      <c r="S2754" s="61"/>
      <c r="T2754" s="71"/>
      <c r="U2754" s="61"/>
      <c r="V2754" s="61"/>
      <c r="W2754" s="61"/>
      <c r="X2754" s="61"/>
      <c r="Y2754" s="61"/>
      <c r="Z2754" s="61"/>
      <c r="AA2754" s="61"/>
      <c r="AB2754" s="61"/>
      <c r="AC2754" s="61"/>
      <c r="AD2754" s="61"/>
      <c r="AE2754" s="61"/>
      <c r="AF2754" s="61"/>
      <c r="AG2754" s="61"/>
      <c r="AH2754" s="61"/>
      <c r="AI2754" s="61"/>
      <c r="AJ2754" s="61"/>
      <c r="AK2754" s="61"/>
      <c r="AL2754" s="61"/>
      <c r="AM2754" s="61"/>
      <c r="AN2754" s="61"/>
      <c r="AO2754" s="61"/>
    </row>
    <row r="2755" spans="1:41" s="136" customFormat="1" ht="31.5" x14ac:dyDescent="0.25">
      <c r="A2755" s="358"/>
      <c r="B2755" s="361"/>
      <c r="C2755" s="373"/>
      <c r="D2755" s="156" t="s">
        <v>426</v>
      </c>
      <c r="E2755" s="156" t="s">
        <v>28</v>
      </c>
      <c r="F2755" s="156" t="s">
        <v>439</v>
      </c>
      <c r="G2755" s="238">
        <f t="shared" si="586"/>
        <v>4.0079454999999997E-4</v>
      </c>
      <c r="H2755" s="158">
        <f>$H$2139</f>
        <v>21</v>
      </c>
      <c r="I2755" s="159">
        <f t="shared" si="589"/>
        <v>2.0993999999999999E-2</v>
      </c>
      <c r="J2755" s="160"/>
      <c r="K2755" s="161">
        <f t="shared" si="590"/>
        <v>1100</v>
      </c>
      <c r="L2755" s="250">
        <v>1</v>
      </c>
      <c r="M2755" s="163" t="str">
        <f t="shared" si="591"/>
        <v>21 шт (потребность учреждений) *0,020994/1100чел/час</v>
      </c>
      <c r="N2755" s="278">
        <f>$N$2139</f>
        <v>9714.2857142857138</v>
      </c>
      <c r="O2755" s="280">
        <f t="shared" si="587"/>
        <v>3.8934329999999999</v>
      </c>
      <c r="P2755" s="166"/>
      <c r="Q2755" s="166">
        <f t="shared" si="588"/>
        <v>4282.7762999999995</v>
      </c>
      <c r="R2755" s="71"/>
      <c r="S2755" s="61"/>
      <c r="T2755" s="71"/>
      <c r="U2755" s="61"/>
      <c r="V2755" s="61"/>
      <c r="W2755" s="61"/>
      <c r="X2755" s="61"/>
      <c r="Y2755" s="61"/>
      <c r="Z2755" s="61"/>
      <c r="AA2755" s="61"/>
      <c r="AB2755" s="61"/>
      <c r="AC2755" s="61"/>
      <c r="AD2755" s="61"/>
      <c r="AE2755" s="61"/>
      <c r="AF2755" s="61"/>
      <c r="AG2755" s="61"/>
      <c r="AH2755" s="61"/>
      <c r="AI2755" s="61"/>
      <c r="AJ2755" s="61"/>
      <c r="AK2755" s="61"/>
      <c r="AL2755" s="61"/>
      <c r="AM2755" s="61"/>
      <c r="AN2755" s="61"/>
      <c r="AO2755" s="61"/>
    </row>
    <row r="2756" spans="1:41" s="136" customFormat="1" ht="31.5" x14ac:dyDescent="0.25">
      <c r="A2756" s="358"/>
      <c r="B2756" s="361"/>
      <c r="C2756" s="373"/>
      <c r="D2756" s="156" t="s">
        <v>427</v>
      </c>
      <c r="E2756" s="156" t="s">
        <v>28</v>
      </c>
      <c r="F2756" s="156" t="s">
        <v>439</v>
      </c>
      <c r="G2756" s="238">
        <f t="shared" si="586"/>
        <v>9.5427272999999994E-4</v>
      </c>
      <c r="H2756" s="158">
        <f>$H$2140</f>
        <v>50</v>
      </c>
      <c r="I2756" s="159">
        <f t="shared" si="589"/>
        <v>2.0993999999999999E-2</v>
      </c>
      <c r="J2756" s="160"/>
      <c r="K2756" s="161">
        <f t="shared" si="590"/>
        <v>1100</v>
      </c>
      <c r="L2756" s="250">
        <v>1</v>
      </c>
      <c r="M2756" s="163" t="str">
        <f t="shared" si="591"/>
        <v>50 шт (потребность учреждений) *0,020994/1100чел/час</v>
      </c>
      <c r="N2756" s="278">
        <f>$N$2140</f>
        <v>4400</v>
      </c>
      <c r="O2756" s="280">
        <f t="shared" si="587"/>
        <v>4.1987999999999994</v>
      </c>
      <c r="P2756" s="166"/>
      <c r="Q2756" s="166">
        <f t="shared" si="588"/>
        <v>4618.6799999999994</v>
      </c>
      <c r="R2756" s="71"/>
      <c r="S2756" s="61"/>
      <c r="T2756" s="71"/>
      <c r="U2756" s="61"/>
      <c r="V2756" s="61"/>
      <c r="W2756" s="61"/>
      <c r="X2756" s="61"/>
      <c r="Y2756" s="61"/>
      <c r="Z2756" s="61"/>
      <c r="AA2756" s="61"/>
      <c r="AB2756" s="61"/>
      <c r="AC2756" s="61"/>
      <c r="AD2756" s="61"/>
      <c r="AE2756" s="61"/>
      <c r="AF2756" s="61"/>
      <c r="AG2756" s="61"/>
      <c r="AH2756" s="61"/>
      <c r="AI2756" s="61"/>
      <c r="AJ2756" s="61"/>
      <c r="AK2756" s="61"/>
      <c r="AL2756" s="61"/>
      <c r="AM2756" s="61"/>
      <c r="AN2756" s="61"/>
      <c r="AO2756" s="61"/>
    </row>
    <row r="2757" spans="1:41" s="136" customFormat="1" ht="31.5" x14ac:dyDescent="0.25">
      <c r="A2757" s="358"/>
      <c r="B2757" s="361"/>
      <c r="C2757" s="373"/>
      <c r="D2757" s="156" t="s">
        <v>428</v>
      </c>
      <c r="E2757" s="156" t="s">
        <v>28</v>
      </c>
      <c r="F2757" s="156" t="s">
        <v>439</v>
      </c>
      <c r="G2757" s="238">
        <f t="shared" si="586"/>
        <v>2.02305818E-3</v>
      </c>
      <c r="H2757" s="158">
        <f>$H$2141</f>
        <v>106</v>
      </c>
      <c r="I2757" s="159">
        <f t="shared" si="589"/>
        <v>2.0993999999999999E-2</v>
      </c>
      <c r="J2757" s="160"/>
      <c r="K2757" s="161">
        <f t="shared" si="590"/>
        <v>1100</v>
      </c>
      <c r="L2757" s="250">
        <v>1</v>
      </c>
      <c r="M2757" s="163" t="str">
        <f t="shared" si="591"/>
        <v>106 шт (потребность учреждений) *0,020994/1100чел/час</v>
      </c>
      <c r="N2757" s="278">
        <f>N$2141</f>
        <v>4037.7358490566039</v>
      </c>
      <c r="O2757" s="280">
        <f t="shared" si="587"/>
        <v>8.1685749999999988</v>
      </c>
      <c r="P2757" s="166"/>
      <c r="Q2757" s="166">
        <f t="shared" si="588"/>
        <v>8985.432499999999</v>
      </c>
      <c r="R2757" s="71"/>
      <c r="S2757" s="61"/>
      <c r="T2757" s="71"/>
      <c r="U2757" s="61"/>
      <c r="V2757" s="61"/>
      <c r="W2757" s="61"/>
      <c r="X2757" s="61"/>
      <c r="Y2757" s="61"/>
      <c r="Z2757" s="61"/>
      <c r="AA2757" s="61"/>
      <c r="AB2757" s="61"/>
      <c r="AC2757" s="61"/>
      <c r="AD2757" s="61"/>
      <c r="AE2757" s="61"/>
      <c r="AF2757" s="61"/>
      <c r="AG2757" s="61"/>
      <c r="AH2757" s="61"/>
      <c r="AI2757" s="61"/>
      <c r="AJ2757" s="61"/>
      <c r="AK2757" s="61"/>
      <c r="AL2757" s="61"/>
      <c r="AM2757" s="61"/>
      <c r="AN2757" s="61"/>
      <c r="AO2757" s="61"/>
    </row>
    <row r="2758" spans="1:41" s="136" customFormat="1" ht="31.5" x14ac:dyDescent="0.25">
      <c r="A2758" s="358"/>
      <c r="B2758" s="361"/>
      <c r="C2758" s="373"/>
      <c r="D2758" s="156" t="s">
        <v>429</v>
      </c>
      <c r="E2758" s="156" t="s">
        <v>28</v>
      </c>
      <c r="F2758" s="156" t="s">
        <v>439</v>
      </c>
      <c r="G2758" s="238">
        <f t="shared" si="586"/>
        <v>4.9622182000000001E-4</v>
      </c>
      <c r="H2758" s="158">
        <f>$H$2142</f>
        <v>26</v>
      </c>
      <c r="I2758" s="159">
        <f t="shared" si="589"/>
        <v>2.0993999999999999E-2</v>
      </c>
      <c r="J2758" s="160"/>
      <c r="K2758" s="161">
        <f t="shared" si="590"/>
        <v>1100</v>
      </c>
      <c r="L2758" s="250">
        <v>1</v>
      </c>
      <c r="M2758" s="163" t="str">
        <f t="shared" si="591"/>
        <v>26 шт (потребность учреждений) *0,020994/1100чел/час</v>
      </c>
      <c r="N2758" s="278">
        <f>$N$2142</f>
        <v>39807.692307692305</v>
      </c>
      <c r="O2758" s="280">
        <f t="shared" si="587"/>
        <v>19.753446</v>
      </c>
      <c r="P2758" s="166"/>
      <c r="Q2758" s="166">
        <f t="shared" si="588"/>
        <v>21728.7906</v>
      </c>
      <c r="R2758" s="71"/>
      <c r="S2758" s="61"/>
      <c r="T2758" s="71"/>
      <c r="U2758" s="61"/>
      <c r="V2758" s="61"/>
      <c r="W2758" s="61"/>
      <c r="X2758" s="61"/>
      <c r="Y2758" s="61"/>
      <c r="Z2758" s="61"/>
      <c r="AA2758" s="61"/>
      <c r="AB2758" s="61"/>
      <c r="AC2758" s="61"/>
      <c r="AD2758" s="61"/>
      <c r="AE2758" s="61"/>
      <c r="AF2758" s="61"/>
      <c r="AG2758" s="61"/>
      <c r="AH2758" s="61"/>
      <c r="AI2758" s="61"/>
      <c r="AJ2758" s="61"/>
      <c r="AK2758" s="61"/>
      <c r="AL2758" s="61"/>
      <c r="AM2758" s="61"/>
      <c r="AN2758" s="61"/>
      <c r="AO2758" s="61"/>
    </row>
    <row r="2759" spans="1:41" s="136" customFormat="1" ht="31.5" x14ac:dyDescent="0.25">
      <c r="A2759" s="358"/>
      <c r="B2759" s="361"/>
      <c r="C2759" s="373"/>
      <c r="D2759" s="156" t="s">
        <v>110</v>
      </c>
      <c r="E2759" s="156" t="s">
        <v>28</v>
      </c>
      <c r="F2759" s="156" t="s">
        <v>439</v>
      </c>
      <c r="G2759" s="238">
        <f t="shared" si="586"/>
        <v>4.7713635999999999E-4</v>
      </c>
      <c r="H2759" s="158">
        <f>$H$2143</f>
        <v>25</v>
      </c>
      <c r="I2759" s="159">
        <f t="shared" si="589"/>
        <v>2.0993999999999999E-2</v>
      </c>
      <c r="J2759" s="160"/>
      <c r="K2759" s="161">
        <f t="shared" si="590"/>
        <v>1100</v>
      </c>
      <c r="L2759" s="250">
        <v>1</v>
      </c>
      <c r="M2759" s="163" t="str">
        <f t="shared" si="591"/>
        <v>25 шт (потребность учреждений) *0,020994/1100чел/час</v>
      </c>
      <c r="N2759" s="278">
        <f>$N$2143</f>
        <v>53600</v>
      </c>
      <c r="O2759" s="280">
        <f t="shared" si="587"/>
        <v>25.574508999999999</v>
      </c>
      <c r="P2759" s="166"/>
      <c r="Q2759" s="166">
        <f t="shared" si="588"/>
        <v>28131.959899999998</v>
      </c>
      <c r="R2759" s="71"/>
      <c r="S2759" s="61"/>
      <c r="T2759" s="71"/>
      <c r="U2759" s="61"/>
      <c r="V2759" s="61"/>
      <c r="W2759" s="61"/>
      <c r="X2759" s="61"/>
      <c r="Y2759" s="61"/>
      <c r="Z2759" s="61"/>
      <c r="AA2759" s="61"/>
      <c r="AB2759" s="61"/>
      <c r="AC2759" s="61"/>
      <c r="AD2759" s="61"/>
      <c r="AE2759" s="61"/>
      <c r="AF2759" s="61"/>
      <c r="AG2759" s="61"/>
      <c r="AH2759" s="61"/>
      <c r="AI2759" s="61"/>
      <c r="AJ2759" s="61"/>
      <c r="AK2759" s="61"/>
      <c r="AL2759" s="61"/>
      <c r="AM2759" s="61"/>
      <c r="AN2759" s="61"/>
      <c r="AO2759" s="61"/>
    </row>
    <row r="2760" spans="1:41" s="136" customFormat="1" ht="31.5" x14ac:dyDescent="0.25">
      <c r="A2760" s="358"/>
      <c r="B2760" s="361"/>
      <c r="C2760" s="373"/>
      <c r="D2760" s="156" t="s">
        <v>112</v>
      </c>
      <c r="E2760" s="156" t="s">
        <v>28</v>
      </c>
      <c r="F2760" s="156" t="s">
        <v>439</v>
      </c>
      <c r="G2760" s="238">
        <f t="shared" si="586"/>
        <v>9.5427269999999998E-5</v>
      </c>
      <c r="H2760" s="158">
        <f>$H$2144</f>
        <v>5</v>
      </c>
      <c r="I2760" s="159">
        <f t="shared" si="589"/>
        <v>2.0993999999999999E-2</v>
      </c>
      <c r="J2760" s="160"/>
      <c r="K2760" s="161">
        <f t="shared" si="590"/>
        <v>1100</v>
      </c>
      <c r="L2760" s="250">
        <v>1</v>
      </c>
      <c r="M2760" s="163" t="str">
        <f t="shared" si="591"/>
        <v>5 шт (потребность учреждений) *0,020994/1100чел/час</v>
      </c>
      <c r="N2760" s="278">
        <f>$N$2144</f>
        <v>33000</v>
      </c>
      <c r="O2760" s="280">
        <f t="shared" si="587"/>
        <v>3.1490999999999998</v>
      </c>
      <c r="P2760" s="166"/>
      <c r="Q2760" s="166">
        <f t="shared" si="588"/>
        <v>3464.0099999999998</v>
      </c>
      <c r="R2760" s="71"/>
      <c r="S2760" s="61"/>
      <c r="T2760" s="71"/>
      <c r="U2760" s="61"/>
      <c r="V2760" s="61"/>
      <c r="W2760" s="61"/>
      <c r="X2760" s="61"/>
      <c r="Y2760" s="61"/>
      <c r="Z2760" s="61"/>
      <c r="AA2760" s="61"/>
      <c r="AB2760" s="61"/>
      <c r="AC2760" s="61"/>
      <c r="AD2760" s="61"/>
      <c r="AE2760" s="61"/>
      <c r="AF2760" s="61"/>
      <c r="AG2760" s="61"/>
      <c r="AH2760" s="61"/>
      <c r="AI2760" s="61"/>
      <c r="AJ2760" s="61"/>
      <c r="AK2760" s="61"/>
      <c r="AL2760" s="61"/>
      <c r="AM2760" s="61"/>
      <c r="AN2760" s="61"/>
      <c r="AO2760" s="61"/>
    </row>
    <row r="2761" spans="1:41" s="136" customFormat="1" ht="31.5" x14ac:dyDescent="0.25">
      <c r="A2761" s="358"/>
      <c r="B2761" s="361"/>
      <c r="C2761" s="373"/>
      <c r="D2761" s="156" t="s">
        <v>111</v>
      </c>
      <c r="E2761" s="156" t="s">
        <v>28</v>
      </c>
      <c r="F2761" s="156" t="s">
        <v>439</v>
      </c>
      <c r="G2761" s="238">
        <f t="shared" si="586"/>
        <v>1.3932381799999999E-3</v>
      </c>
      <c r="H2761" s="158">
        <f>$H$2145</f>
        <v>73</v>
      </c>
      <c r="I2761" s="159">
        <f t="shared" si="589"/>
        <v>2.0993999999999999E-2</v>
      </c>
      <c r="J2761" s="160"/>
      <c r="K2761" s="161">
        <f t="shared" si="590"/>
        <v>1100</v>
      </c>
      <c r="L2761" s="250">
        <v>1</v>
      </c>
      <c r="M2761" s="163" t="str">
        <f t="shared" si="591"/>
        <v>73 шт (потребность учреждений) *0,020994/1100чел/час</v>
      </c>
      <c r="N2761" s="278">
        <f>$N$2145</f>
        <v>50616.438356164384</v>
      </c>
      <c r="O2761" s="280">
        <f t="shared" si="587"/>
        <v>70.520753999999997</v>
      </c>
      <c r="P2761" s="166"/>
      <c r="Q2761" s="166">
        <f t="shared" si="588"/>
        <v>77572.829400000002</v>
      </c>
      <c r="R2761" s="71"/>
      <c r="S2761" s="61"/>
      <c r="T2761" s="71"/>
      <c r="U2761" s="61"/>
      <c r="V2761" s="61"/>
      <c r="W2761" s="61"/>
      <c r="X2761" s="61"/>
      <c r="Y2761" s="61"/>
      <c r="Z2761" s="61"/>
      <c r="AA2761" s="61"/>
      <c r="AB2761" s="61"/>
      <c r="AC2761" s="61"/>
      <c r="AD2761" s="61"/>
      <c r="AE2761" s="61"/>
      <c r="AF2761" s="61"/>
      <c r="AG2761" s="61"/>
      <c r="AH2761" s="61"/>
      <c r="AI2761" s="61"/>
      <c r="AJ2761" s="61"/>
      <c r="AK2761" s="61"/>
      <c r="AL2761" s="61"/>
      <c r="AM2761" s="61"/>
      <c r="AN2761" s="61"/>
      <c r="AO2761" s="61"/>
    </row>
    <row r="2762" spans="1:41" s="136" customFormat="1" ht="31.5" x14ac:dyDescent="0.25">
      <c r="A2762" s="358"/>
      <c r="B2762" s="361"/>
      <c r="C2762" s="374"/>
      <c r="D2762" s="156" t="s">
        <v>438</v>
      </c>
      <c r="E2762" s="156" t="s">
        <v>28</v>
      </c>
      <c r="F2762" s="156" t="s">
        <v>439</v>
      </c>
      <c r="G2762" s="238">
        <f t="shared" si="586"/>
        <v>6.2982000000000001E-4</v>
      </c>
      <c r="H2762" s="158">
        <f>$H$2146</f>
        <v>33</v>
      </c>
      <c r="I2762" s="159">
        <f t="shared" si="589"/>
        <v>2.0993999999999999E-2</v>
      </c>
      <c r="J2762" s="160"/>
      <c r="K2762" s="161">
        <f t="shared" si="590"/>
        <v>1100</v>
      </c>
      <c r="L2762" s="250">
        <v>1</v>
      </c>
      <c r="M2762" s="163" t="str">
        <f t="shared" si="591"/>
        <v>33 шт (потребность учреждений) *0,020994/1100чел/час</v>
      </c>
      <c r="N2762" s="278">
        <f>$N$2146</f>
        <v>25000</v>
      </c>
      <c r="O2762" s="280">
        <f t="shared" si="587"/>
        <v>15.7455</v>
      </c>
      <c r="P2762" s="166"/>
      <c r="Q2762" s="166">
        <f t="shared" si="588"/>
        <v>17320.05</v>
      </c>
      <c r="R2762" s="71"/>
      <c r="S2762" s="61"/>
      <c r="T2762" s="71"/>
      <c r="U2762" s="61"/>
      <c r="V2762" s="61"/>
      <c r="W2762" s="61"/>
      <c r="X2762" s="61"/>
      <c r="Y2762" s="61"/>
      <c r="Z2762" s="61"/>
      <c r="AA2762" s="61"/>
      <c r="AB2762" s="61"/>
      <c r="AC2762" s="61"/>
      <c r="AD2762" s="61"/>
      <c r="AE2762" s="61"/>
      <c r="AF2762" s="61"/>
      <c r="AG2762" s="61"/>
      <c r="AH2762" s="61"/>
      <c r="AI2762" s="61"/>
      <c r="AJ2762" s="61"/>
      <c r="AK2762" s="61"/>
      <c r="AL2762" s="61"/>
      <c r="AM2762" s="61"/>
      <c r="AN2762" s="61"/>
      <c r="AO2762" s="61"/>
    </row>
    <row r="2763" spans="1:41" s="61" customFormat="1" x14ac:dyDescent="0.25">
      <c r="A2763" s="358"/>
      <c r="B2763" s="361"/>
      <c r="C2763" s="245" t="s">
        <v>299</v>
      </c>
      <c r="D2763" s="240"/>
      <c r="E2763" s="240"/>
      <c r="F2763" s="181"/>
      <c r="G2763" s="227"/>
      <c r="H2763" s="241"/>
      <c r="I2763" s="206"/>
      <c r="J2763" s="228"/>
      <c r="K2763" s="207"/>
      <c r="L2763" s="257"/>
      <c r="M2763" s="209"/>
      <c r="N2763" s="290"/>
      <c r="O2763" s="279">
        <f>SUM(O2751:O2762)</f>
        <v>157.33521999999999</v>
      </c>
      <c r="P2763" s="166"/>
      <c r="Q2763" s="166">
        <f>O2763*K2763</f>
        <v>0</v>
      </c>
      <c r="R2763" s="71"/>
    </row>
    <row r="2764" spans="1:41" s="61" customFormat="1" ht="47.25" x14ac:dyDescent="0.25">
      <c r="A2764" s="358"/>
      <c r="B2764" s="361"/>
      <c r="C2764" s="221" t="s">
        <v>434</v>
      </c>
      <c r="D2764" s="156" t="s">
        <v>436</v>
      </c>
      <c r="E2764" s="156" t="s">
        <v>28</v>
      </c>
      <c r="F2764" s="156" t="s">
        <v>437</v>
      </c>
      <c r="G2764" s="238">
        <f>MROUND(H2764*L2764*I2764/K2764,0.00000000001)</f>
        <v>4.9622182000000001E-4</v>
      </c>
      <c r="H2764" s="242">
        <f>$H$2148</f>
        <v>26</v>
      </c>
      <c r="I2764" s="159">
        <f>I2762</f>
        <v>2.0993999999999999E-2</v>
      </c>
      <c r="J2764" s="160"/>
      <c r="K2764" s="161">
        <f>K2762</f>
        <v>1100</v>
      </c>
      <c r="L2764" s="162">
        <v>1</v>
      </c>
      <c r="M2764" s="163" t="str">
        <f>CONCATENATE(H2764," ",F2764,"*",I2764,"/",K2764,"чел.")</f>
        <v>26 огнетушителей (потребность учреждений) *0,020994/1100чел.</v>
      </c>
      <c r="N2764" s="164">
        <f>$N$2148</f>
        <v>2180</v>
      </c>
      <c r="O2764" s="165">
        <f>MROUND(G2764*N2764,0.000001)</f>
        <v>1.0817639999999999</v>
      </c>
      <c r="P2764" s="166"/>
      <c r="Q2764" s="166">
        <f>O2764*K2764</f>
        <v>1189.9404</v>
      </c>
      <c r="R2764" s="71"/>
    </row>
    <row r="2765" spans="1:41" s="61" customFormat="1" x14ac:dyDescent="0.25">
      <c r="A2765" s="358"/>
      <c r="B2765" s="361"/>
      <c r="C2765" s="218" t="s">
        <v>435</v>
      </c>
      <c r="D2765" s="240"/>
      <c r="E2765" s="240"/>
      <c r="F2765" s="240"/>
      <c r="G2765" s="251"/>
      <c r="H2765" s="241"/>
      <c r="I2765" s="206"/>
      <c r="J2765" s="228"/>
      <c r="K2765" s="207"/>
      <c r="L2765" s="229"/>
      <c r="M2765" s="209"/>
      <c r="N2765" s="210"/>
      <c r="O2765" s="198">
        <f>SUM(O2764)</f>
        <v>1.0817639999999999</v>
      </c>
      <c r="P2765" s="166"/>
      <c r="Q2765" s="166"/>
      <c r="R2765" s="71"/>
    </row>
    <row r="2766" spans="1:41" s="61" customFormat="1" ht="110.25" x14ac:dyDescent="0.25">
      <c r="A2766" s="358"/>
      <c r="B2766" s="361"/>
      <c r="C2766" s="221" t="s">
        <v>82</v>
      </c>
      <c r="D2766" s="156" t="s">
        <v>46</v>
      </c>
      <c r="E2766" s="156" t="s">
        <v>54</v>
      </c>
      <c r="F2766" s="156" t="s">
        <v>285</v>
      </c>
      <c r="G2766" s="238">
        <f>MROUND(H2766*L2766*I2766/K2766,0.00000000001)</f>
        <v>4.8667909089999996E-2</v>
      </c>
      <c r="H2766" s="158">
        <f>H2460</f>
        <v>231.81818181818178</v>
      </c>
      <c r="I2766" s="159">
        <f>I2752</f>
        <v>2.0993999999999999E-2</v>
      </c>
      <c r="J2766" s="160"/>
      <c r="K2766" s="161">
        <f>K2752</f>
        <v>1100</v>
      </c>
      <c r="L2766" s="250">
        <f>$L$2150</f>
        <v>11</v>
      </c>
      <c r="M2766" s="163" t="str">
        <f>CONCATENATE(H2766," ",F2766,"*",L2766,"автобус","*",I2766,"/",K2766,"чел")</f>
        <v>231,818181818182 л бензина АИ 92 (12,5л/день(зимой)*20дней*7мес+10л/день(летом)*20дней*4мес)*11автобус*0,020994/1100чел</v>
      </c>
      <c r="N2766" s="278">
        <f>N2460</f>
        <v>54.500000000000007</v>
      </c>
      <c r="O2766" s="280">
        <f t="shared" si="587"/>
        <v>2.6524009999999998</v>
      </c>
      <c r="P2766" s="166"/>
      <c r="Q2766" s="166">
        <f>O2766*K2766</f>
        <v>2917.6410999999998</v>
      </c>
      <c r="R2766" s="71"/>
    </row>
    <row r="2767" spans="1:41" s="61" customFormat="1" ht="47.25" x14ac:dyDescent="0.25">
      <c r="A2767" s="358"/>
      <c r="B2767" s="361"/>
      <c r="C2767" s="364" t="s">
        <v>118</v>
      </c>
      <c r="D2767" s="156" t="s">
        <v>47</v>
      </c>
      <c r="E2767" s="156" t="s">
        <v>28</v>
      </c>
      <c r="F2767" s="156" t="s">
        <v>239</v>
      </c>
      <c r="G2767" s="238">
        <f>MROUND(H2767*L2767*I2767/K2767,0.00000000001)</f>
        <v>3.8170908999999995E-4</v>
      </c>
      <c r="H2767" s="158">
        <f>H2151</f>
        <v>20</v>
      </c>
      <c r="I2767" s="159">
        <f>I2766</f>
        <v>2.0993999999999999E-2</v>
      </c>
      <c r="J2767" s="160"/>
      <c r="K2767" s="161">
        <f>K2766</f>
        <v>1100</v>
      </c>
      <c r="L2767" s="250">
        <v>1</v>
      </c>
      <c r="M2767" s="163" t="str">
        <f>CONCATENATE(H2767," ",F2767,"*",I2767,"/",K2767,"чел")</f>
        <v>20 манометров (потребность учреждений) *0,020994/1100чел</v>
      </c>
      <c r="N2767" s="278">
        <f>N2151</f>
        <v>650</v>
      </c>
      <c r="O2767" s="280">
        <f t="shared" si="587"/>
        <v>0.248111</v>
      </c>
      <c r="P2767" s="166"/>
      <c r="Q2767" s="166">
        <f>O2767*K2767</f>
        <v>272.9221</v>
      </c>
      <c r="R2767" s="71"/>
    </row>
    <row r="2768" spans="1:41" s="61" customFormat="1" ht="47.25" x14ac:dyDescent="0.25">
      <c r="A2768" s="358"/>
      <c r="B2768" s="361"/>
      <c r="C2768" s="364"/>
      <c r="D2768" s="255" t="s">
        <v>113</v>
      </c>
      <c r="E2768" s="156" t="s">
        <v>28</v>
      </c>
      <c r="F2768" s="156" t="s">
        <v>240</v>
      </c>
      <c r="G2768" s="238">
        <f>MROUND(H2768*L2768*I2768/K2768,0.00000000001)</f>
        <v>1.9085454499999999E-3</v>
      </c>
      <c r="H2768" s="158">
        <v>100</v>
      </c>
      <c r="I2768" s="159">
        <f>I2767</f>
        <v>2.0993999999999999E-2</v>
      </c>
      <c r="J2768" s="160"/>
      <c r="K2768" s="161">
        <f>K2767</f>
        <v>1100</v>
      </c>
      <c r="L2768" s="250">
        <v>1</v>
      </c>
      <c r="M2768" s="163" t="str">
        <f>CONCATENATE(H2768," ",F2768,"*",I2768,"/",K2768,"чел")</f>
        <v>100 светильников (потребность учреждений)*0,020994/1100чел</v>
      </c>
      <c r="N2768" s="278">
        <f>N2152</f>
        <v>106.27500000000001</v>
      </c>
      <c r="O2768" s="280">
        <f t="shared" si="587"/>
        <v>0.20283099999999998</v>
      </c>
      <c r="P2768" s="166"/>
      <c r="Q2768" s="166">
        <f>O2768*K2768</f>
        <v>223.11409999999998</v>
      </c>
      <c r="R2768" s="71"/>
    </row>
    <row r="2769" spans="1:41" s="109" customFormat="1" x14ac:dyDescent="0.25">
      <c r="A2769" s="359"/>
      <c r="B2769" s="362"/>
      <c r="C2769" s="218" t="s">
        <v>301</v>
      </c>
      <c r="D2769" s="256"/>
      <c r="E2769" s="240"/>
      <c r="F2769" s="240"/>
      <c r="G2769" s="227"/>
      <c r="H2769" s="241"/>
      <c r="I2769" s="206"/>
      <c r="J2769" s="228"/>
      <c r="K2769" s="207"/>
      <c r="L2769" s="257"/>
      <c r="M2769" s="209"/>
      <c r="N2769" s="281"/>
      <c r="O2769" s="279">
        <f>O2767+O2768</f>
        <v>0.45094199999999995</v>
      </c>
      <c r="P2769" s="267"/>
      <c r="Q2769" s="166"/>
      <c r="R2769" s="71"/>
      <c r="S2769" s="62"/>
      <c r="T2769" s="62"/>
      <c r="U2769" s="62"/>
      <c r="V2769" s="62"/>
      <c r="W2769" s="62"/>
      <c r="X2769" s="62"/>
      <c r="Y2769" s="62"/>
      <c r="Z2769" s="62"/>
      <c r="AA2769" s="62"/>
      <c r="AB2769" s="62"/>
      <c r="AC2769" s="62"/>
      <c r="AD2769" s="62"/>
      <c r="AE2769" s="62"/>
      <c r="AF2769" s="62"/>
      <c r="AG2769" s="62"/>
      <c r="AH2769" s="62"/>
      <c r="AI2769" s="62"/>
      <c r="AJ2769" s="62"/>
      <c r="AK2769" s="62"/>
      <c r="AL2769" s="62"/>
      <c r="AM2769" s="62"/>
      <c r="AN2769" s="62"/>
      <c r="AO2769" s="62"/>
    </row>
    <row r="2770" spans="1:41" s="108" customFormat="1" x14ac:dyDescent="0.25">
      <c r="A2770" s="357" t="str">
        <f>школы!$B$40</f>
        <v>Психолого-педагогическое консультирование обучающихся, их родителей (законных представителей) и педагогических работников</v>
      </c>
      <c r="B2770" s="360" t="str">
        <f>школы!$A$40</f>
        <v>880900О.99.0.ББ14АА02000</v>
      </c>
      <c r="C2770" s="194"/>
      <c r="D2770" s="363" t="s">
        <v>15</v>
      </c>
      <c r="E2770" s="363"/>
      <c r="F2770" s="363"/>
      <c r="G2770" s="363"/>
      <c r="H2770" s="195"/>
      <c r="I2770" s="195"/>
      <c r="J2770" s="195"/>
      <c r="K2770" s="195"/>
      <c r="L2770" s="196"/>
      <c r="M2770" s="197"/>
      <c r="N2770" s="278"/>
      <c r="O2770" s="279">
        <f>O2771+O2775</f>
        <v>2584.7947290911002</v>
      </c>
      <c r="P2770" s="166"/>
      <c r="Q2770" s="166">
        <f t="shared" ref="Q2770:Q2787" si="592">O2770*K2770</f>
        <v>0</v>
      </c>
      <c r="R2770" s="71"/>
      <c r="S2770" s="61"/>
      <c r="T2770" s="61"/>
      <c r="U2770" s="61"/>
      <c r="V2770" s="61"/>
      <c r="W2770" s="61"/>
      <c r="X2770" s="61"/>
      <c r="Y2770" s="61"/>
      <c r="Z2770" s="61"/>
      <c r="AA2770" s="61"/>
      <c r="AB2770" s="61"/>
      <c r="AC2770" s="61"/>
      <c r="AD2770" s="61"/>
      <c r="AE2770" s="61"/>
      <c r="AF2770" s="61"/>
      <c r="AG2770" s="61"/>
      <c r="AH2770" s="61"/>
      <c r="AI2770" s="61"/>
      <c r="AJ2770" s="61"/>
      <c r="AK2770" s="61"/>
      <c r="AL2770" s="61"/>
      <c r="AM2770" s="61"/>
      <c r="AN2770" s="61"/>
      <c r="AO2770" s="61"/>
    </row>
    <row r="2771" spans="1:41" s="108" customFormat="1" x14ac:dyDescent="0.25">
      <c r="A2771" s="358"/>
      <c r="B2771" s="361"/>
      <c r="C2771" s="194"/>
      <c r="D2771" s="350" t="s">
        <v>62</v>
      </c>
      <c r="E2771" s="350"/>
      <c r="F2771" s="350"/>
      <c r="G2771" s="350"/>
      <c r="H2771" s="195"/>
      <c r="I2771" s="195"/>
      <c r="J2771" s="195"/>
      <c r="K2771" s="195"/>
      <c r="L2771" s="196"/>
      <c r="M2771" s="197"/>
      <c r="N2771" s="278"/>
      <c r="O2771" s="279">
        <f>O2772+O2773</f>
        <v>2569.2062240911</v>
      </c>
      <c r="P2771" s="166"/>
      <c r="Q2771" s="166">
        <f t="shared" si="592"/>
        <v>0</v>
      </c>
      <c r="R2771" s="71"/>
      <c r="S2771" s="61"/>
      <c r="T2771" s="61"/>
      <c r="U2771" s="61"/>
      <c r="V2771" s="61"/>
      <c r="W2771" s="61"/>
      <c r="X2771" s="61"/>
      <c r="Y2771" s="61"/>
      <c r="Z2771" s="61"/>
      <c r="AA2771" s="61"/>
      <c r="AB2771" s="61"/>
      <c r="AC2771" s="61"/>
      <c r="AD2771" s="61"/>
      <c r="AE2771" s="61"/>
      <c r="AF2771" s="61"/>
      <c r="AG2771" s="61"/>
      <c r="AH2771" s="61"/>
      <c r="AI2771" s="61"/>
      <c r="AJ2771" s="61"/>
      <c r="AK2771" s="61"/>
      <c r="AL2771" s="61"/>
      <c r="AM2771" s="61"/>
      <c r="AN2771" s="61"/>
      <c r="AO2771" s="61"/>
    </row>
    <row r="2772" spans="1:41" s="61" customFormat="1" x14ac:dyDescent="0.25">
      <c r="A2772" s="358"/>
      <c r="B2772" s="361"/>
      <c r="C2772" s="194">
        <v>211</v>
      </c>
      <c r="D2772" s="194" t="s">
        <v>86</v>
      </c>
      <c r="E2772" s="199" t="s">
        <v>95</v>
      </c>
      <c r="F2772" s="199" t="s">
        <v>95</v>
      </c>
      <c r="G2772" s="238">
        <f>MROUND(H2772*L2772*I2772/K2772,0.00000000001)</f>
        <v>8.4381493709999991E-2</v>
      </c>
      <c r="H2772" s="201">
        <f>H2052</f>
        <v>368.4</v>
      </c>
      <c r="I2772" s="159">
        <f>школы!$K$40</f>
        <v>8.0167000000000002E-2</v>
      </c>
      <c r="J2772" s="159"/>
      <c r="K2772" s="161">
        <f>школы!$G$40</f>
        <v>4200</v>
      </c>
      <c r="L2772" s="202">
        <v>12</v>
      </c>
      <c r="M2772" s="163" t="str">
        <f>CONCATENATE(H2772," ",F2772," ","в мес.","*",L2772,"мес.","*",I2772,"/",K2772,"чел")</f>
        <v>368,4 шт.ед в мес.*12мес.*0,080167/4200чел</v>
      </c>
      <c r="N2772" s="278">
        <f>N2052</f>
        <v>23385.182971407892</v>
      </c>
      <c r="O2772" s="280">
        <f>MROUND(N2772*G2772,0.0000000001)</f>
        <v>1973.2766698091</v>
      </c>
      <c r="P2772" s="166"/>
      <c r="Q2772" s="166">
        <f t="shared" si="592"/>
        <v>8287762.0131982202</v>
      </c>
      <c r="R2772" s="71"/>
    </row>
    <row r="2773" spans="1:41" s="61" customFormat="1" x14ac:dyDescent="0.25">
      <c r="A2773" s="358"/>
      <c r="B2773" s="361"/>
      <c r="C2773" s="194">
        <v>213</v>
      </c>
      <c r="D2773" s="194" t="s">
        <v>87</v>
      </c>
      <c r="E2773" s="194" t="s">
        <v>88</v>
      </c>
      <c r="F2773" s="194"/>
      <c r="G2773" s="211">
        <v>30.2</v>
      </c>
      <c r="H2773" s="159"/>
      <c r="I2773" s="282">
        <f>I2772</f>
        <v>8.0167000000000002E-2</v>
      </c>
      <c r="J2773" s="159"/>
      <c r="K2773" s="161">
        <f>K2772</f>
        <v>4200</v>
      </c>
      <c r="L2773" s="202"/>
      <c r="M2773" s="212"/>
      <c r="N2773" s="278"/>
      <c r="O2773" s="280">
        <f>MROUND(O2772*0.302,0.000000001)</f>
        <v>595.92955428200003</v>
      </c>
      <c r="P2773" s="166"/>
      <c r="Q2773" s="166">
        <f t="shared" si="592"/>
        <v>2502904.1279843999</v>
      </c>
      <c r="R2773" s="71"/>
    </row>
    <row r="2774" spans="1:41" s="108" customFormat="1" x14ac:dyDescent="0.25">
      <c r="A2774" s="358"/>
      <c r="B2774" s="361"/>
      <c r="C2774" s="194"/>
      <c r="D2774" s="194"/>
      <c r="E2774" s="194"/>
      <c r="F2774" s="194"/>
      <c r="G2774" s="217"/>
      <c r="H2774" s="195"/>
      <c r="I2774" s="159"/>
      <c r="J2774" s="195"/>
      <c r="K2774" s="161"/>
      <c r="L2774" s="196"/>
      <c r="M2774" s="197"/>
      <c r="N2774" s="278"/>
      <c r="O2774" s="280"/>
      <c r="P2774" s="166"/>
      <c r="Q2774" s="166">
        <f t="shared" si="592"/>
        <v>0</v>
      </c>
      <c r="R2774" s="71"/>
      <c r="S2774" s="61"/>
      <c r="T2774" s="61"/>
      <c r="U2774" s="61"/>
      <c r="V2774" s="61"/>
      <c r="W2774" s="61"/>
      <c r="X2774" s="61"/>
      <c r="Y2774" s="61"/>
      <c r="Z2774" s="61"/>
      <c r="AA2774" s="61"/>
      <c r="AB2774" s="61"/>
      <c r="AC2774" s="61"/>
      <c r="AD2774" s="61"/>
      <c r="AE2774" s="61"/>
      <c r="AF2774" s="61"/>
      <c r="AG2774" s="61"/>
      <c r="AH2774" s="61"/>
      <c r="AI2774" s="61"/>
      <c r="AJ2774" s="61"/>
      <c r="AK2774" s="61"/>
      <c r="AL2774" s="61"/>
      <c r="AM2774" s="61"/>
      <c r="AN2774" s="61"/>
      <c r="AO2774" s="61"/>
    </row>
    <row r="2775" spans="1:41" s="108" customFormat="1" x14ac:dyDescent="0.25">
      <c r="A2775" s="358"/>
      <c r="B2775" s="361"/>
      <c r="C2775" s="194"/>
      <c r="D2775" s="356" t="s">
        <v>63</v>
      </c>
      <c r="E2775" s="356"/>
      <c r="F2775" s="356"/>
      <c r="G2775" s="356"/>
      <c r="H2775" s="195"/>
      <c r="I2775" s="159"/>
      <c r="J2775" s="195"/>
      <c r="K2775" s="161"/>
      <c r="L2775" s="196"/>
      <c r="M2775" s="197"/>
      <c r="N2775" s="278"/>
      <c r="O2775" s="280">
        <f>O2776</f>
        <v>15.588505</v>
      </c>
      <c r="P2775" s="166"/>
      <c r="Q2775" s="166">
        <f t="shared" si="592"/>
        <v>0</v>
      </c>
      <c r="R2775" s="71"/>
      <c r="S2775" s="61"/>
      <c r="T2775" s="61"/>
      <c r="U2775" s="61"/>
      <c r="V2775" s="61"/>
      <c r="W2775" s="61"/>
      <c r="X2775" s="61"/>
      <c r="Y2775" s="61"/>
      <c r="Z2775" s="61"/>
      <c r="AA2775" s="61"/>
      <c r="AB2775" s="61"/>
      <c r="AC2775" s="61"/>
      <c r="AD2775" s="61"/>
      <c r="AE2775" s="61"/>
      <c r="AF2775" s="61"/>
      <c r="AG2775" s="61"/>
      <c r="AH2775" s="61"/>
      <c r="AI2775" s="61"/>
      <c r="AJ2775" s="61"/>
      <c r="AK2775" s="61"/>
      <c r="AL2775" s="61"/>
      <c r="AM2775" s="61"/>
      <c r="AN2775" s="61"/>
      <c r="AO2775" s="61"/>
    </row>
    <row r="2776" spans="1:41" s="61" customFormat="1" x14ac:dyDescent="0.25">
      <c r="A2776" s="358"/>
      <c r="B2776" s="361"/>
      <c r="C2776" s="194">
        <v>346</v>
      </c>
      <c r="D2776" s="194" t="s">
        <v>259</v>
      </c>
      <c r="E2776" s="194" t="s">
        <v>260</v>
      </c>
      <c r="F2776" s="194" t="s">
        <v>261</v>
      </c>
      <c r="G2776" s="238">
        <f>MROUND(H2776*L2776*I2776/K2776,0.00000000001)</f>
        <v>2.313390571E-2</v>
      </c>
      <c r="H2776" s="283">
        <f>H2057</f>
        <v>1212</v>
      </c>
      <c r="I2776" s="282">
        <f>I2773</f>
        <v>8.0167000000000002E-2</v>
      </c>
      <c r="J2776" s="195"/>
      <c r="K2776" s="161">
        <f>K2773</f>
        <v>4200</v>
      </c>
      <c r="L2776" s="196">
        <v>1</v>
      </c>
      <c r="M2776" s="163" t="str">
        <f>CONCATENATE(H2776," ",F2776,"*",I2776,"/",K2776,"чел")</f>
        <v>1212 упаковок*0,080167/4200чел</v>
      </c>
      <c r="N2776" s="278">
        <f>N2057</f>
        <v>673.83800330033012</v>
      </c>
      <c r="O2776" s="280">
        <f>MROUND(N2776*G2776,0.000001)</f>
        <v>15.588505</v>
      </c>
      <c r="P2776" s="166"/>
      <c r="Q2776" s="166">
        <f t="shared" si="592"/>
        <v>65471.720999999998</v>
      </c>
      <c r="R2776" s="71"/>
    </row>
    <row r="2777" spans="1:41" s="108" customFormat="1" x14ac:dyDescent="0.25">
      <c r="A2777" s="358"/>
      <c r="B2777" s="361"/>
      <c r="C2777" s="194"/>
      <c r="D2777" s="350" t="s">
        <v>64</v>
      </c>
      <c r="E2777" s="350"/>
      <c r="F2777" s="350"/>
      <c r="G2777" s="350"/>
      <c r="H2777" s="195"/>
      <c r="I2777" s="159"/>
      <c r="J2777" s="195"/>
      <c r="K2777" s="161"/>
      <c r="L2777" s="196"/>
      <c r="M2777" s="197"/>
      <c r="N2777" s="278"/>
      <c r="O2777" s="280"/>
      <c r="P2777" s="166"/>
      <c r="Q2777" s="166">
        <f t="shared" si="592"/>
        <v>0</v>
      </c>
      <c r="R2777" s="71"/>
      <c r="S2777" s="61"/>
      <c r="T2777" s="61"/>
      <c r="U2777" s="61"/>
      <c r="V2777" s="61"/>
      <c r="W2777" s="61"/>
      <c r="X2777" s="61"/>
      <c r="Y2777" s="61"/>
      <c r="Z2777" s="61"/>
      <c r="AA2777" s="61"/>
      <c r="AB2777" s="61"/>
      <c r="AC2777" s="61"/>
      <c r="AD2777" s="61"/>
      <c r="AE2777" s="61"/>
      <c r="AF2777" s="61"/>
      <c r="AG2777" s="61"/>
      <c r="AH2777" s="61"/>
      <c r="AI2777" s="61"/>
      <c r="AJ2777" s="61"/>
      <c r="AK2777" s="61"/>
      <c r="AL2777" s="61"/>
      <c r="AM2777" s="61"/>
      <c r="AN2777" s="61"/>
      <c r="AO2777" s="61"/>
    </row>
    <row r="2778" spans="1:41" s="108" customFormat="1" x14ac:dyDescent="0.25">
      <c r="A2778" s="358"/>
      <c r="B2778" s="361"/>
      <c r="C2778" s="194"/>
      <c r="D2778" s="194"/>
      <c r="E2778" s="194"/>
      <c r="F2778" s="194"/>
      <c r="G2778" s="217"/>
      <c r="H2778" s="195"/>
      <c r="I2778" s="159"/>
      <c r="J2778" s="195"/>
      <c r="K2778" s="161"/>
      <c r="L2778" s="196"/>
      <c r="M2778" s="197"/>
      <c r="N2778" s="278"/>
      <c r="O2778" s="280"/>
      <c r="P2778" s="166"/>
      <c r="Q2778" s="166">
        <f t="shared" si="592"/>
        <v>0</v>
      </c>
      <c r="R2778" s="71"/>
      <c r="S2778" s="61"/>
      <c r="T2778" s="61"/>
      <c r="U2778" s="61"/>
      <c r="V2778" s="61"/>
      <c r="W2778" s="61"/>
      <c r="X2778" s="61"/>
      <c r="Y2778" s="61"/>
      <c r="Z2778" s="61"/>
      <c r="AA2778" s="61"/>
      <c r="AB2778" s="61"/>
      <c r="AC2778" s="61"/>
      <c r="AD2778" s="61"/>
      <c r="AE2778" s="61"/>
      <c r="AF2778" s="61"/>
      <c r="AG2778" s="61"/>
      <c r="AH2778" s="61"/>
      <c r="AI2778" s="61"/>
      <c r="AJ2778" s="61"/>
      <c r="AK2778" s="61"/>
      <c r="AL2778" s="61"/>
      <c r="AM2778" s="61"/>
      <c r="AN2778" s="61"/>
      <c r="AO2778" s="61"/>
    </row>
    <row r="2779" spans="1:41" s="108" customFormat="1" x14ac:dyDescent="0.25">
      <c r="A2779" s="358"/>
      <c r="B2779" s="361"/>
      <c r="C2779" s="194"/>
      <c r="D2779" s="355" t="s">
        <v>5</v>
      </c>
      <c r="E2779" s="355"/>
      <c r="F2779" s="355"/>
      <c r="G2779" s="355"/>
      <c r="H2779" s="195"/>
      <c r="I2779" s="159"/>
      <c r="J2779" s="195"/>
      <c r="K2779" s="161"/>
      <c r="L2779" s="196"/>
      <c r="M2779" s="197"/>
      <c r="N2779" s="278"/>
      <c r="O2779" s="279">
        <f>O2780+O2789+O2800+O2802+O2813+O2809</f>
        <v>2352.4734973780005</v>
      </c>
      <c r="P2779" s="166"/>
      <c r="Q2779" s="166">
        <f t="shared" si="592"/>
        <v>0</v>
      </c>
      <c r="R2779" s="71"/>
      <c r="S2779" s="61"/>
      <c r="T2779" s="61"/>
      <c r="U2779" s="61"/>
      <c r="V2779" s="61"/>
      <c r="W2779" s="61"/>
      <c r="X2779" s="61"/>
      <c r="Y2779" s="61"/>
      <c r="Z2779" s="61"/>
      <c r="AA2779" s="61"/>
      <c r="AB2779" s="61"/>
      <c r="AC2779" s="61"/>
      <c r="AD2779" s="61"/>
      <c r="AE2779" s="61"/>
      <c r="AF2779" s="61"/>
      <c r="AG2779" s="61"/>
      <c r="AH2779" s="61"/>
      <c r="AI2779" s="61"/>
      <c r="AJ2779" s="61"/>
      <c r="AK2779" s="61"/>
      <c r="AL2779" s="61"/>
      <c r="AM2779" s="61"/>
      <c r="AN2779" s="61"/>
      <c r="AO2779" s="61"/>
    </row>
    <row r="2780" spans="1:41" s="108" customFormat="1" x14ac:dyDescent="0.25">
      <c r="A2780" s="358"/>
      <c r="B2780" s="361"/>
      <c r="C2780" s="221" t="s">
        <v>70</v>
      </c>
      <c r="D2780" s="355" t="s">
        <v>6</v>
      </c>
      <c r="E2780" s="355"/>
      <c r="F2780" s="355"/>
      <c r="G2780" s="355"/>
      <c r="H2780" s="189"/>
      <c r="I2780" s="159"/>
      <c r="J2780" s="189"/>
      <c r="K2780" s="161"/>
      <c r="L2780" s="190"/>
      <c r="M2780" s="197"/>
      <c r="N2780" s="278"/>
      <c r="O2780" s="279">
        <f>O2781+O2782+O2783+O2784+O2785+O2786+O2787</f>
        <v>120.572929</v>
      </c>
      <c r="P2780" s="166"/>
      <c r="Q2780" s="166">
        <f t="shared" si="592"/>
        <v>0</v>
      </c>
      <c r="R2780" s="71"/>
      <c r="S2780" s="61"/>
      <c r="T2780" s="61"/>
      <c r="U2780" s="61"/>
      <c r="V2780" s="61"/>
      <c r="W2780" s="61"/>
      <c r="X2780" s="61"/>
      <c r="Y2780" s="61"/>
      <c r="Z2780" s="61"/>
      <c r="AA2780" s="61"/>
      <c r="AB2780" s="61"/>
      <c r="AC2780" s="61"/>
      <c r="AD2780" s="61"/>
      <c r="AE2780" s="61"/>
      <c r="AF2780" s="61"/>
      <c r="AG2780" s="61"/>
      <c r="AH2780" s="61"/>
      <c r="AI2780" s="61"/>
      <c r="AJ2780" s="61"/>
      <c r="AK2780" s="61"/>
      <c r="AL2780" s="61"/>
      <c r="AM2780" s="61"/>
      <c r="AN2780" s="61"/>
      <c r="AO2780" s="61"/>
    </row>
    <row r="2781" spans="1:41" s="61" customFormat="1" ht="31.5" x14ac:dyDescent="0.25">
      <c r="A2781" s="358"/>
      <c r="B2781" s="361"/>
      <c r="C2781" s="221" t="s">
        <v>72</v>
      </c>
      <c r="D2781" s="222" t="s">
        <v>7</v>
      </c>
      <c r="E2781" s="223" t="s">
        <v>8</v>
      </c>
      <c r="F2781" s="223" t="s">
        <v>8</v>
      </c>
      <c r="G2781" s="238">
        <f t="shared" ref="G2781:G2787" si="593">MROUND(H2781*L2781*I2781/K2781,0.00000000001)</f>
        <v>2.1580219065199997</v>
      </c>
      <c r="H2781" s="160">
        <f>H2063</f>
        <v>113060.13705633247</v>
      </c>
      <c r="I2781" s="282">
        <f>I2773</f>
        <v>8.0167000000000002E-2</v>
      </c>
      <c r="J2781" s="160"/>
      <c r="K2781" s="161">
        <f>K2773</f>
        <v>4200</v>
      </c>
      <c r="L2781" s="250">
        <v>1</v>
      </c>
      <c r="M2781" s="163" t="str">
        <f>CONCATENATE(H2781," ",F2781,"(лимиты выделенные УЖКХ) ","*",I2781,"/",K2781,"чел")</f>
        <v>113060,137056332 кВт час.(лимиты выделенные УЖКХ) *0,080167/4200чел</v>
      </c>
      <c r="N2781" s="278">
        <f>N2063</f>
        <v>10.461700036774822</v>
      </c>
      <c r="O2781" s="280">
        <f>MROUND(N2781*G2781,0.000001)</f>
        <v>22.576577999999998</v>
      </c>
      <c r="P2781" s="166"/>
      <c r="Q2781" s="166">
        <f t="shared" si="592"/>
        <v>94821.627599999993</v>
      </c>
      <c r="R2781" s="71"/>
    </row>
    <row r="2782" spans="1:41" s="61" customFormat="1" ht="31.5" x14ac:dyDescent="0.25">
      <c r="A2782" s="358"/>
      <c r="B2782" s="361"/>
      <c r="C2782" s="221" t="s">
        <v>73</v>
      </c>
      <c r="D2782" s="222" t="s">
        <v>9</v>
      </c>
      <c r="E2782" s="223" t="s">
        <v>10</v>
      </c>
      <c r="F2782" s="223" t="s">
        <v>10</v>
      </c>
      <c r="G2782" s="238">
        <f t="shared" si="593"/>
        <v>2.6607809049999997E-2</v>
      </c>
      <c r="H2782" s="160">
        <f>H2064</f>
        <v>1394</v>
      </c>
      <c r="I2782" s="159">
        <f t="shared" ref="I2782:I2787" si="594">I2781</f>
        <v>8.0167000000000002E-2</v>
      </c>
      <c r="J2782" s="160"/>
      <c r="K2782" s="161">
        <f t="shared" ref="K2782:K2787" si="595">K2781</f>
        <v>4200</v>
      </c>
      <c r="L2782" s="250">
        <v>1</v>
      </c>
      <c r="M2782" s="163" t="str">
        <f>CONCATENATE(H2782," ",F2782,"(лимиты выделенные УЖКХ) ","*",I2782,"/",K2782,"чел")</f>
        <v>1394 Гкал(лимиты выделенные УЖКХ) *0,080167/4200чел</v>
      </c>
      <c r="N2782" s="278">
        <f>N2168</f>
        <v>2845.3649999999998</v>
      </c>
      <c r="O2782" s="280">
        <f t="shared" ref="O2782:O2787" si="596">MROUND(N2782*G2782,0.000001)</f>
        <v>75.708928999999998</v>
      </c>
      <c r="P2782" s="166"/>
      <c r="Q2782" s="166">
        <f t="shared" si="592"/>
        <v>317977.50179999997</v>
      </c>
      <c r="R2782" s="71"/>
    </row>
    <row r="2783" spans="1:41" s="61" customFormat="1" ht="31.5" x14ac:dyDescent="0.25">
      <c r="A2783" s="358"/>
      <c r="B2783" s="361"/>
      <c r="C2783" s="364" t="s">
        <v>74</v>
      </c>
      <c r="D2783" s="222" t="s">
        <v>12</v>
      </c>
      <c r="E2783" s="222" t="s">
        <v>11</v>
      </c>
      <c r="F2783" s="222" t="s">
        <v>11</v>
      </c>
      <c r="G2783" s="238">
        <f t="shared" si="593"/>
        <v>7.713420604E-2</v>
      </c>
      <c r="H2783" s="224">
        <f>H2065</f>
        <v>4041.1099999999997</v>
      </c>
      <c r="I2783" s="159">
        <f t="shared" si="594"/>
        <v>8.0167000000000002E-2</v>
      </c>
      <c r="J2783" s="160"/>
      <c r="K2783" s="161">
        <f t="shared" si="595"/>
        <v>4200</v>
      </c>
      <c r="L2783" s="250">
        <v>1</v>
      </c>
      <c r="M2783" s="163" t="str">
        <f>CONCATENATE(H2783," ",F2783,"(лимиты выделенные УЖКХ) ","*",I2783,"/",K2783,"чел")</f>
        <v>4041,11 м3(лимиты выделенные УЖКХ) *0,080167/4200чел</v>
      </c>
      <c r="N2783" s="278">
        <f>N2065</f>
        <v>51.830000000000013</v>
      </c>
      <c r="O2783" s="280">
        <f t="shared" si="596"/>
        <v>3.9978659999999997</v>
      </c>
      <c r="P2783" s="166"/>
      <c r="Q2783" s="166">
        <f t="shared" si="592"/>
        <v>16791.037199999999</v>
      </c>
      <c r="R2783" s="71"/>
    </row>
    <row r="2784" spans="1:41" s="61" customFormat="1" ht="47.25" x14ac:dyDescent="0.25">
      <c r="A2784" s="358"/>
      <c r="B2784" s="361"/>
      <c r="C2784" s="364"/>
      <c r="D2784" s="222" t="s">
        <v>17</v>
      </c>
      <c r="E2784" s="222" t="s">
        <v>11</v>
      </c>
      <c r="F2784" s="222" t="s">
        <v>11</v>
      </c>
      <c r="G2784" s="238">
        <f t="shared" si="593"/>
        <v>7.713420604E-2</v>
      </c>
      <c r="H2784" s="160">
        <f>H2170</f>
        <v>4041.1099999999997</v>
      </c>
      <c r="I2784" s="159">
        <f t="shared" si="594"/>
        <v>8.0167000000000002E-2</v>
      </c>
      <c r="J2784" s="160"/>
      <c r="K2784" s="161">
        <f t="shared" si="595"/>
        <v>4200</v>
      </c>
      <c r="L2784" s="162">
        <f>$L$25</f>
        <v>1</v>
      </c>
      <c r="M2784" s="163" t="str">
        <f>CONCATENATE(H2784," ",F2784,"(лимиты выделенные УЖКХ) ","*",I2784,"/",K2784,"чел")</f>
        <v>4041,11 м3(лимиты выделенные УЖКХ) *0,080167/4200чел</v>
      </c>
      <c r="N2784" s="164">
        <f>N2066</f>
        <v>78.761157534246578</v>
      </c>
      <c r="O2784" s="280">
        <f t="shared" si="596"/>
        <v>6.0751789999999994</v>
      </c>
      <c r="P2784" s="166"/>
      <c r="Q2784" s="166">
        <f t="shared" si="592"/>
        <v>25515.751799999998</v>
      </c>
      <c r="R2784" s="71"/>
    </row>
    <row r="2785" spans="1:41" s="61" customFormat="1" ht="31.5" x14ac:dyDescent="0.25">
      <c r="A2785" s="358"/>
      <c r="B2785" s="361"/>
      <c r="C2785" s="364"/>
      <c r="D2785" s="222" t="s">
        <v>13</v>
      </c>
      <c r="E2785" s="222" t="s">
        <v>11</v>
      </c>
      <c r="F2785" s="222" t="s">
        <v>11</v>
      </c>
      <c r="G2785" s="238">
        <f t="shared" si="593"/>
        <v>7.713420604E-2</v>
      </c>
      <c r="H2785" s="160">
        <f>H2067</f>
        <v>4041.1099999999997</v>
      </c>
      <c r="I2785" s="159">
        <f t="shared" si="594"/>
        <v>8.0167000000000002E-2</v>
      </c>
      <c r="J2785" s="160"/>
      <c r="K2785" s="161">
        <f t="shared" si="595"/>
        <v>4200</v>
      </c>
      <c r="L2785" s="162">
        <v>1</v>
      </c>
      <c r="M2785" s="163" t="str">
        <f>CONCATENATE(H2785," ",F2785,"(лимиты выделенные УЖКХ) ","*",I2785,"/",K2785,"чел")</f>
        <v>4041,11 м3(лимиты выделенные УЖКХ) *0,080167/4200чел</v>
      </c>
      <c r="N2785" s="278">
        <f>N2067</f>
        <v>96.180004349493274</v>
      </c>
      <c r="O2785" s="280">
        <f t="shared" si="596"/>
        <v>7.418768</v>
      </c>
      <c r="P2785" s="166"/>
      <c r="Q2785" s="166">
        <f t="shared" si="592"/>
        <v>31158.8256</v>
      </c>
      <c r="R2785" s="71"/>
    </row>
    <row r="2786" spans="1:41" s="61" customFormat="1" x14ac:dyDescent="0.25">
      <c r="A2786" s="358"/>
      <c r="B2786" s="361"/>
      <c r="C2786" s="364" t="s">
        <v>216</v>
      </c>
      <c r="D2786" s="222" t="s">
        <v>23</v>
      </c>
      <c r="E2786" s="222" t="s">
        <v>11</v>
      </c>
      <c r="F2786" s="222" t="s">
        <v>11</v>
      </c>
      <c r="G2786" s="238">
        <f t="shared" si="593"/>
        <v>4.7680277999999999E-4</v>
      </c>
      <c r="H2786" s="160">
        <f>H2068</f>
        <v>24.979999999999997</v>
      </c>
      <c r="I2786" s="159">
        <f t="shared" si="594"/>
        <v>8.0167000000000002E-2</v>
      </c>
      <c r="J2786" s="160"/>
      <c r="K2786" s="161">
        <f t="shared" si="595"/>
        <v>4200</v>
      </c>
      <c r="L2786" s="162">
        <v>1</v>
      </c>
      <c r="M2786" s="163" t="str">
        <f>CONCATENATE(H2786," ",F2786," ","*",I2786,"/",K2786,"чел")</f>
        <v>24,98 м3 *0,080167/4200чел</v>
      </c>
      <c r="N2786" s="164">
        <f>N2068</f>
        <v>8906.5644515612512</v>
      </c>
      <c r="O2786" s="280">
        <f t="shared" si="596"/>
        <v>4.2466749999999998</v>
      </c>
      <c r="P2786" s="166"/>
      <c r="Q2786" s="166">
        <f t="shared" si="592"/>
        <v>17836.035</v>
      </c>
      <c r="R2786" s="71"/>
    </row>
    <row r="2787" spans="1:41" s="61" customFormat="1" ht="47.25" x14ac:dyDescent="0.25">
      <c r="A2787" s="358"/>
      <c r="B2787" s="361"/>
      <c r="C2787" s="364"/>
      <c r="D2787" s="222" t="s">
        <v>24</v>
      </c>
      <c r="E2787" s="222" t="s">
        <v>25</v>
      </c>
      <c r="F2787" s="222" t="s">
        <v>248</v>
      </c>
      <c r="G2787" s="238">
        <f t="shared" si="593"/>
        <v>9.5436899999999994E-5</v>
      </c>
      <c r="H2787" s="160">
        <f>H2069</f>
        <v>5</v>
      </c>
      <c r="I2787" s="159">
        <f t="shared" si="594"/>
        <v>8.0167000000000002E-2</v>
      </c>
      <c r="J2787" s="160"/>
      <c r="K2787" s="161">
        <f t="shared" si="595"/>
        <v>4200</v>
      </c>
      <c r="L2787" s="250">
        <v>1</v>
      </c>
      <c r="M2787" s="163" t="str">
        <f>CONCATENATE(H2787," ",F2787,"(потребность из расчета 4 контейнера для уборки территории весной и осенью на 1 учреждение)","*",I2787,"/",K2787,"чел")</f>
        <v>5 контейнеров(потребность из расчета 4 контейнера для уборки территории весной и осенью на 1 учреждение)*0,080167/4200чел</v>
      </c>
      <c r="N2787" s="278">
        <f>N2277</f>
        <v>5751.8</v>
      </c>
      <c r="O2787" s="280">
        <f t="shared" si="596"/>
        <v>0.54893399999999992</v>
      </c>
      <c r="P2787" s="166"/>
      <c r="Q2787" s="166">
        <f t="shared" si="592"/>
        <v>2305.5227999999997</v>
      </c>
      <c r="R2787" s="71"/>
    </row>
    <row r="2788" spans="1:41" s="109" customFormat="1" x14ac:dyDescent="0.25">
      <c r="A2788" s="358"/>
      <c r="B2788" s="361"/>
      <c r="C2788" s="218" t="s">
        <v>290</v>
      </c>
      <c r="D2788" s="226"/>
      <c r="E2788" s="226"/>
      <c r="F2788" s="226"/>
      <c r="G2788" s="227"/>
      <c r="H2788" s="228"/>
      <c r="I2788" s="206"/>
      <c r="J2788" s="228"/>
      <c r="K2788" s="207"/>
      <c r="L2788" s="257"/>
      <c r="M2788" s="209"/>
      <c r="N2788" s="281"/>
      <c r="O2788" s="279">
        <f>SUM(O2781:O2787)</f>
        <v>120.572929</v>
      </c>
      <c r="P2788" s="267"/>
      <c r="Q2788" s="166"/>
      <c r="R2788" s="71"/>
      <c r="S2788" s="62"/>
      <c r="T2788" s="62"/>
      <c r="U2788" s="62"/>
      <c r="V2788" s="62"/>
      <c r="W2788" s="62"/>
      <c r="X2788" s="62"/>
      <c r="Y2788" s="62"/>
      <c r="Z2788" s="62"/>
      <c r="AA2788" s="62"/>
      <c r="AB2788" s="62"/>
      <c r="AC2788" s="62"/>
      <c r="AD2788" s="62"/>
      <c r="AE2788" s="62"/>
      <c r="AF2788" s="62"/>
      <c r="AG2788" s="62"/>
      <c r="AH2788" s="62"/>
      <c r="AI2788" s="62"/>
      <c r="AJ2788" s="62"/>
      <c r="AK2788" s="62"/>
      <c r="AL2788" s="62"/>
      <c r="AM2788" s="62"/>
      <c r="AN2788" s="62"/>
      <c r="AO2788" s="62"/>
    </row>
    <row r="2789" spans="1:41" s="108" customFormat="1" x14ac:dyDescent="0.25">
      <c r="A2789" s="358"/>
      <c r="B2789" s="361"/>
      <c r="C2789" s="221"/>
      <c r="D2789" s="356" t="s">
        <v>14</v>
      </c>
      <c r="E2789" s="356"/>
      <c r="F2789" s="356"/>
      <c r="G2789" s="356"/>
      <c r="H2789" s="188"/>
      <c r="I2789" s="159"/>
      <c r="J2789" s="188"/>
      <c r="K2789" s="161"/>
      <c r="L2789" s="250"/>
      <c r="M2789" s="230"/>
      <c r="N2789" s="278"/>
      <c r="O2789" s="279">
        <f>O2793+O2797+O2798</f>
        <v>1984.8491791340002</v>
      </c>
      <c r="P2789" s="166"/>
      <c r="Q2789" s="166">
        <f>O2789*K2789</f>
        <v>0</v>
      </c>
      <c r="R2789" s="71"/>
      <c r="S2789" s="61"/>
      <c r="T2789" s="61"/>
      <c r="U2789" s="61"/>
      <c r="V2789" s="61"/>
      <c r="W2789" s="61"/>
      <c r="X2789" s="61"/>
      <c r="Y2789" s="61"/>
      <c r="Z2789" s="61"/>
      <c r="AA2789" s="61"/>
      <c r="AB2789" s="61"/>
      <c r="AC2789" s="61"/>
      <c r="AD2789" s="61"/>
      <c r="AE2789" s="61"/>
      <c r="AF2789" s="61"/>
      <c r="AG2789" s="61"/>
      <c r="AH2789" s="61"/>
      <c r="AI2789" s="61"/>
      <c r="AJ2789" s="61"/>
      <c r="AK2789" s="61"/>
      <c r="AL2789" s="61"/>
      <c r="AM2789" s="61"/>
      <c r="AN2789" s="61"/>
      <c r="AO2789" s="61"/>
    </row>
    <row r="2790" spans="1:41" s="61" customFormat="1" x14ac:dyDescent="0.25">
      <c r="A2790" s="358"/>
      <c r="B2790" s="361"/>
      <c r="C2790" s="221" t="s">
        <v>379</v>
      </c>
      <c r="D2790" s="231" t="s">
        <v>49</v>
      </c>
      <c r="E2790" s="231" t="s">
        <v>22</v>
      </c>
      <c r="F2790" s="231" t="s">
        <v>22</v>
      </c>
      <c r="G2790" s="238">
        <f>MROUND(H2790*L2790*I2790/K2790,0.00000000001)</f>
        <v>6.3681229069999998E-2</v>
      </c>
      <c r="H2790" s="160">
        <f>H2072</f>
        <v>3336.3</v>
      </c>
      <c r="I2790" s="159">
        <f>I2785</f>
        <v>8.0167000000000002E-2</v>
      </c>
      <c r="J2790" s="160"/>
      <c r="K2790" s="161">
        <f>K2785</f>
        <v>4200</v>
      </c>
      <c r="L2790" s="250">
        <v>1</v>
      </c>
      <c r="M2790" s="163" t="str">
        <f>CONCATENATE(H2790," ",F2790,"*",I2790,"/",K2790,"чел/час")</f>
        <v>3336,3 м2*0,080167/4200чел/час</v>
      </c>
      <c r="N2790" s="278">
        <f>N2072</f>
        <v>2997.3323741869735</v>
      </c>
      <c r="O2790" s="280">
        <f>MROUND(N2790*G2790,0.000000001)</f>
        <v>190.87380952000001</v>
      </c>
      <c r="P2790" s="166"/>
      <c r="Q2790" s="166">
        <f>O2790*K2790</f>
        <v>801669.99998399999</v>
      </c>
      <c r="R2790" s="71"/>
    </row>
    <row r="2791" spans="1:41" s="61" customFormat="1" x14ac:dyDescent="0.25">
      <c r="A2791" s="358"/>
      <c r="B2791" s="361"/>
      <c r="C2791" s="221" t="s">
        <v>379</v>
      </c>
      <c r="D2791" s="231" t="s">
        <v>49</v>
      </c>
      <c r="E2791" s="231" t="s">
        <v>28</v>
      </c>
      <c r="F2791" s="231" t="s">
        <v>28</v>
      </c>
      <c r="G2791" s="238">
        <f>MROUND(H2791*L2791*I2791/K2791,0.00000000001)</f>
        <v>0</v>
      </c>
      <c r="H2791" s="160"/>
      <c r="I2791" s="159">
        <f>I2790</f>
        <v>8.0167000000000002E-2</v>
      </c>
      <c r="J2791" s="160"/>
      <c r="K2791" s="161">
        <f>K2790</f>
        <v>4200</v>
      </c>
      <c r="L2791" s="250">
        <v>1</v>
      </c>
      <c r="M2791" s="163"/>
      <c r="N2791" s="278"/>
      <c r="O2791" s="280">
        <f>MROUND(N2791*G2791,0.000000001)</f>
        <v>0</v>
      </c>
      <c r="P2791" s="166"/>
      <c r="Q2791" s="166">
        <f>O2791*K2791</f>
        <v>0</v>
      </c>
      <c r="R2791" s="71"/>
    </row>
    <row r="2792" spans="1:41" s="61" customFormat="1" x14ac:dyDescent="0.25">
      <c r="A2792" s="358"/>
      <c r="B2792" s="361"/>
      <c r="C2792" s="221" t="s">
        <v>379</v>
      </c>
      <c r="D2792" s="231" t="s">
        <v>49</v>
      </c>
      <c r="E2792" s="231" t="s">
        <v>101</v>
      </c>
      <c r="F2792" s="231" t="s">
        <v>101</v>
      </c>
      <c r="G2792" s="238">
        <f>MROUND(H2792*L2792*I2792/K2792,0.00000000001)</f>
        <v>0</v>
      </c>
      <c r="H2792" s="160"/>
      <c r="I2792" s="159">
        <f>I2790</f>
        <v>8.0167000000000002E-2</v>
      </c>
      <c r="J2792" s="160"/>
      <c r="K2792" s="161">
        <f>K2790</f>
        <v>4200</v>
      </c>
      <c r="L2792" s="250">
        <v>1</v>
      </c>
      <c r="M2792" s="163"/>
      <c r="N2792" s="278"/>
      <c r="O2792" s="280">
        <f>MROUND(N2792*G2792,0.000001)</f>
        <v>0</v>
      </c>
      <c r="P2792" s="166"/>
      <c r="Q2792" s="166">
        <f>O2792*K2792</f>
        <v>0</v>
      </c>
      <c r="R2792" s="71"/>
    </row>
    <row r="2793" spans="1:41" s="109" customFormat="1" x14ac:dyDescent="0.25">
      <c r="A2793" s="358"/>
      <c r="B2793" s="361"/>
      <c r="C2793" s="218" t="s">
        <v>380</v>
      </c>
      <c r="D2793" s="232"/>
      <c r="E2793" s="232"/>
      <c r="F2793" s="232"/>
      <c r="G2793" s="227"/>
      <c r="H2793" s="228"/>
      <c r="I2793" s="206"/>
      <c r="J2793" s="228"/>
      <c r="K2793" s="207"/>
      <c r="L2793" s="257"/>
      <c r="M2793" s="209"/>
      <c r="N2793" s="281"/>
      <c r="O2793" s="279">
        <f>SUM(O2790:O2792)</f>
        <v>190.87380952000001</v>
      </c>
      <c r="P2793" s="267"/>
      <c r="Q2793" s="166"/>
      <c r="R2793" s="72"/>
      <c r="S2793" s="62"/>
      <c r="T2793" s="62"/>
      <c r="U2793" s="62"/>
      <c r="V2793" s="62"/>
      <c r="W2793" s="62"/>
      <c r="X2793" s="62"/>
      <c r="Y2793" s="62"/>
      <c r="Z2793" s="62"/>
      <c r="AA2793" s="62"/>
      <c r="AB2793" s="62"/>
      <c r="AC2793" s="62"/>
      <c r="AD2793" s="62"/>
      <c r="AE2793" s="62"/>
      <c r="AF2793" s="62"/>
      <c r="AG2793" s="62"/>
      <c r="AH2793" s="62"/>
      <c r="AI2793" s="62"/>
      <c r="AJ2793" s="62"/>
      <c r="AK2793" s="62"/>
      <c r="AL2793" s="62"/>
      <c r="AM2793" s="62"/>
      <c r="AN2793" s="62"/>
      <c r="AO2793" s="62"/>
    </row>
    <row r="2794" spans="1:41" s="61" customFormat="1" x14ac:dyDescent="0.25">
      <c r="A2794" s="358"/>
      <c r="B2794" s="361"/>
      <c r="C2794" s="221" t="s">
        <v>76</v>
      </c>
      <c r="D2794" s="231" t="s">
        <v>49</v>
      </c>
      <c r="E2794" s="231" t="s">
        <v>22</v>
      </c>
      <c r="F2794" s="231" t="s">
        <v>22</v>
      </c>
      <c r="G2794" s="238">
        <f>MROUND(H2794*L2794*I2794/K2794,0.00000000001)</f>
        <v>0.35720124713999996</v>
      </c>
      <c r="H2794" s="160">
        <f>H2076</f>
        <v>18714</v>
      </c>
      <c r="I2794" s="159">
        <f>I2792</f>
        <v>8.0167000000000002E-2</v>
      </c>
      <c r="J2794" s="160"/>
      <c r="K2794" s="161">
        <f>K2792</f>
        <v>4200</v>
      </c>
      <c r="L2794" s="250">
        <v>1</v>
      </c>
      <c r="M2794" s="163" t="str">
        <f>CONCATENATE(H2794," ",F2794,"*",I2794,"/",K2794,"чел")</f>
        <v>18714 м2*0,080167/4200чел</v>
      </c>
      <c r="N2794" s="278">
        <f>N2076</f>
        <v>3265.8708987923478</v>
      </c>
      <c r="O2794" s="280">
        <f>MROUND(N2794*G2794,0.000000001)</f>
        <v>1166.5731580470001</v>
      </c>
      <c r="P2794" s="166"/>
      <c r="Q2794" s="166">
        <f>O2794*K2794</f>
        <v>4899607.2637974005</v>
      </c>
      <c r="R2794" s="71"/>
    </row>
    <row r="2795" spans="1:41" s="61" customFormat="1" x14ac:dyDescent="0.25">
      <c r="A2795" s="358"/>
      <c r="B2795" s="361"/>
      <c r="C2795" s="221"/>
      <c r="D2795" s="231" t="s">
        <v>49</v>
      </c>
      <c r="E2795" s="231" t="s">
        <v>28</v>
      </c>
      <c r="F2795" s="231" t="s">
        <v>28</v>
      </c>
      <c r="G2795" s="238">
        <f>MROUND(H2795*L2795*I2795/K2795,0.00000000001)</f>
        <v>3.8174761899999999E-3</v>
      </c>
      <c r="H2795" s="160">
        <f>H2077</f>
        <v>200</v>
      </c>
      <c r="I2795" s="159">
        <f>I2794</f>
        <v>8.0167000000000002E-2</v>
      </c>
      <c r="J2795" s="160"/>
      <c r="K2795" s="161">
        <f>K2794</f>
        <v>4200</v>
      </c>
      <c r="L2795" s="250">
        <v>1</v>
      </c>
      <c r="M2795" s="163" t="str">
        <f>CONCATENATE(H2795," ",F2795,"*",I2795,"/",K2795,"чел")</f>
        <v>200 шт*0,080167/4200чел</v>
      </c>
      <c r="N2795" s="278">
        <f>N2077</f>
        <v>108250</v>
      </c>
      <c r="O2795" s="280">
        <f>MROUND(N2795*G2795,0.000000001)</f>
        <v>413.24179756700005</v>
      </c>
      <c r="P2795" s="166"/>
      <c r="Q2795" s="166">
        <f>O2795*K2795</f>
        <v>1735615.5497814002</v>
      </c>
      <c r="R2795" s="71"/>
    </row>
    <row r="2796" spans="1:41" s="61" customFormat="1" x14ac:dyDescent="0.25">
      <c r="A2796" s="358"/>
      <c r="B2796" s="361"/>
      <c r="C2796" s="221"/>
      <c r="D2796" s="231" t="s">
        <v>49</v>
      </c>
      <c r="E2796" s="231" t="s">
        <v>101</v>
      </c>
      <c r="F2796" s="231" t="s">
        <v>101</v>
      </c>
      <c r="G2796" s="238">
        <f>MROUND(H2796*L2796*I2796/K2796,0.00000000001)</f>
        <v>4.2412160479999995E-2</v>
      </c>
      <c r="H2796" s="160">
        <f>H2078</f>
        <v>2222</v>
      </c>
      <c r="I2796" s="159">
        <f>I2794</f>
        <v>8.0167000000000002E-2</v>
      </c>
      <c r="J2796" s="160"/>
      <c r="K2796" s="161">
        <f>K2794</f>
        <v>4200</v>
      </c>
      <c r="L2796" s="250">
        <v>1</v>
      </c>
      <c r="M2796" s="163" t="str">
        <f>CONCATENATE(H2796," ",F2796,"*",I2796,"/",K2796,"чел")</f>
        <v>2222 погон.м.*0,080167/4200чел</v>
      </c>
      <c r="N2796" s="278">
        <f>N2078</f>
        <v>5049.5049504950493</v>
      </c>
      <c r="O2796" s="280">
        <f>MROUND(N2796*G2796,0.000001)</f>
        <v>214.160414</v>
      </c>
      <c r="P2796" s="166"/>
      <c r="Q2796" s="166">
        <f>O2796*K2796</f>
        <v>899473.73880000005</v>
      </c>
      <c r="R2796" s="71"/>
    </row>
    <row r="2797" spans="1:41" s="109" customFormat="1" x14ac:dyDescent="0.25">
      <c r="A2797" s="358"/>
      <c r="B2797" s="361"/>
      <c r="C2797" s="218" t="s">
        <v>291</v>
      </c>
      <c r="D2797" s="232"/>
      <c r="E2797" s="232"/>
      <c r="F2797" s="232"/>
      <c r="G2797" s="227"/>
      <c r="H2797" s="228"/>
      <c r="I2797" s="206"/>
      <c r="J2797" s="228"/>
      <c r="K2797" s="207"/>
      <c r="L2797" s="257"/>
      <c r="M2797" s="209"/>
      <c r="N2797" s="281"/>
      <c r="O2797" s="279">
        <f>SUM(O2794:O2796)</f>
        <v>1793.9753696140001</v>
      </c>
      <c r="P2797" s="267"/>
      <c r="Q2797" s="166"/>
      <c r="R2797" s="72"/>
      <c r="S2797" s="62"/>
      <c r="T2797" s="62"/>
      <c r="U2797" s="62"/>
      <c r="V2797" s="62"/>
      <c r="W2797" s="62"/>
      <c r="X2797" s="62"/>
      <c r="Y2797" s="62"/>
      <c r="Z2797" s="62"/>
      <c r="AA2797" s="62"/>
      <c r="AB2797" s="62"/>
      <c r="AC2797" s="62"/>
      <c r="AD2797" s="62"/>
      <c r="AE2797" s="62"/>
      <c r="AF2797" s="62"/>
      <c r="AG2797" s="62"/>
      <c r="AH2797" s="62"/>
      <c r="AI2797" s="62"/>
      <c r="AJ2797" s="62"/>
      <c r="AK2797" s="62"/>
      <c r="AL2797" s="62"/>
      <c r="AM2797" s="62"/>
      <c r="AN2797" s="62"/>
      <c r="AO2797" s="62"/>
    </row>
    <row r="2798" spans="1:41" s="61" customFormat="1" x14ac:dyDescent="0.25">
      <c r="A2798" s="358"/>
      <c r="B2798" s="361"/>
      <c r="C2798" s="221" t="s">
        <v>77</v>
      </c>
      <c r="D2798" s="231"/>
      <c r="E2798" s="231"/>
      <c r="F2798" s="231"/>
      <c r="G2798" s="238">
        <f>MROUND(H2798*L2798*I2798/K2798,0.00000000001)</f>
        <v>0</v>
      </c>
      <c r="H2798" s="160"/>
      <c r="I2798" s="159">
        <f>I2796</f>
        <v>8.0167000000000002E-2</v>
      </c>
      <c r="J2798" s="160"/>
      <c r="K2798" s="161">
        <f>K2796</f>
        <v>4200</v>
      </c>
      <c r="L2798" s="250"/>
      <c r="M2798" s="163"/>
      <c r="N2798" s="278"/>
      <c r="O2798" s="280">
        <f>MROUND(N2798*G2798,0.000001)</f>
        <v>0</v>
      </c>
      <c r="P2798" s="166"/>
      <c r="Q2798" s="166">
        <f>O2798*K2798</f>
        <v>0</v>
      </c>
      <c r="R2798" s="71"/>
    </row>
    <row r="2799" spans="1:41" s="109" customFormat="1" x14ac:dyDescent="0.25">
      <c r="A2799" s="358"/>
      <c r="B2799" s="361"/>
      <c r="C2799" s="218" t="s">
        <v>292</v>
      </c>
      <c r="D2799" s="232"/>
      <c r="E2799" s="232"/>
      <c r="F2799" s="232"/>
      <c r="G2799" s="227"/>
      <c r="H2799" s="228"/>
      <c r="I2799" s="206"/>
      <c r="J2799" s="228"/>
      <c r="K2799" s="207"/>
      <c r="L2799" s="257"/>
      <c r="M2799" s="209"/>
      <c r="N2799" s="281"/>
      <c r="O2799" s="279">
        <f>O2798</f>
        <v>0</v>
      </c>
      <c r="P2799" s="267"/>
      <c r="Q2799" s="166"/>
      <c r="R2799" s="72"/>
      <c r="S2799" s="62"/>
      <c r="T2799" s="62"/>
      <c r="U2799" s="62"/>
      <c r="V2799" s="62"/>
      <c r="W2799" s="62"/>
      <c r="X2799" s="62"/>
      <c r="Y2799" s="62"/>
      <c r="Z2799" s="62"/>
      <c r="AA2799" s="62"/>
      <c r="AB2799" s="62"/>
      <c r="AC2799" s="62"/>
      <c r="AD2799" s="62"/>
      <c r="AE2799" s="62"/>
      <c r="AF2799" s="62"/>
      <c r="AG2799" s="62"/>
      <c r="AH2799" s="62"/>
      <c r="AI2799" s="62"/>
      <c r="AJ2799" s="62"/>
      <c r="AK2799" s="62"/>
      <c r="AL2799" s="62"/>
      <c r="AM2799" s="62"/>
      <c r="AN2799" s="62"/>
      <c r="AO2799" s="62"/>
    </row>
    <row r="2800" spans="1:41" s="108" customFormat="1" x14ac:dyDescent="0.25">
      <c r="A2800" s="358"/>
      <c r="B2800" s="361"/>
      <c r="C2800" s="221"/>
      <c r="D2800" s="350" t="s">
        <v>65</v>
      </c>
      <c r="E2800" s="350"/>
      <c r="F2800" s="350"/>
      <c r="G2800" s="350"/>
      <c r="H2800" s="195"/>
      <c r="I2800" s="159"/>
      <c r="J2800" s="195"/>
      <c r="K2800" s="161"/>
      <c r="L2800" s="196"/>
      <c r="M2800" s="230"/>
      <c r="N2800" s="278"/>
      <c r="O2800" s="280"/>
      <c r="P2800" s="166"/>
      <c r="Q2800" s="166">
        <f t="shared" ref="Q2800:Q2819" si="597">O2800*K2800</f>
        <v>0</v>
      </c>
      <c r="R2800" s="71"/>
      <c r="S2800" s="61"/>
      <c r="T2800" s="61"/>
      <c r="U2800" s="61"/>
      <c r="V2800" s="61"/>
      <c r="W2800" s="61"/>
      <c r="X2800" s="61"/>
      <c r="Y2800" s="61"/>
      <c r="Z2800" s="61"/>
      <c r="AA2800" s="61"/>
      <c r="AB2800" s="61"/>
      <c r="AC2800" s="61"/>
      <c r="AD2800" s="61"/>
      <c r="AE2800" s="61"/>
      <c r="AF2800" s="61"/>
      <c r="AG2800" s="61"/>
      <c r="AH2800" s="61"/>
      <c r="AI2800" s="61"/>
      <c r="AJ2800" s="61"/>
      <c r="AK2800" s="61"/>
      <c r="AL2800" s="61"/>
      <c r="AM2800" s="61"/>
      <c r="AN2800" s="61"/>
      <c r="AO2800" s="61"/>
    </row>
    <row r="2801" spans="1:41" s="108" customFormat="1" x14ac:dyDescent="0.25">
      <c r="A2801" s="358"/>
      <c r="B2801" s="361"/>
      <c r="C2801" s="221"/>
      <c r="D2801" s="194"/>
      <c r="E2801" s="194"/>
      <c r="F2801" s="194"/>
      <c r="G2801" s="217"/>
      <c r="H2801" s="195"/>
      <c r="I2801" s="159"/>
      <c r="J2801" s="195"/>
      <c r="K2801" s="161"/>
      <c r="L2801" s="196"/>
      <c r="M2801" s="230"/>
      <c r="N2801" s="278"/>
      <c r="O2801" s="280"/>
      <c r="P2801" s="166"/>
      <c r="Q2801" s="166">
        <f t="shared" si="597"/>
        <v>0</v>
      </c>
      <c r="R2801" s="71"/>
      <c r="S2801" s="61"/>
      <c r="T2801" s="61"/>
      <c r="U2801" s="61"/>
      <c r="V2801" s="61"/>
      <c r="W2801" s="61"/>
      <c r="X2801" s="61"/>
      <c r="Y2801" s="61"/>
      <c r="Z2801" s="61"/>
      <c r="AA2801" s="61"/>
      <c r="AB2801" s="61"/>
      <c r="AC2801" s="61"/>
      <c r="AD2801" s="61"/>
      <c r="AE2801" s="61"/>
      <c r="AF2801" s="61"/>
      <c r="AG2801" s="61"/>
      <c r="AH2801" s="61"/>
      <c r="AI2801" s="61"/>
      <c r="AJ2801" s="61"/>
      <c r="AK2801" s="61"/>
      <c r="AL2801" s="61"/>
      <c r="AM2801" s="61"/>
      <c r="AN2801" s="61"/>
      <c r="AO2801" s="61"/>
    </row>
    <row r="2802" spans="1:41" s="108" customFormat="1" x14ac:dyDescent="0.25">
      <c r="A2802" s="358"/>
      <c r="B2802" s="361"/>
      <c r="C2802" s="365" t="s">
        <v>357</v>
      </c>
      <c r="D2802" s="368" t="s">
        <v>66</v>
      </c>
      <c r="E2802" s="368"/>
      <c r="F2802" s="368"/>
      <c r="G2802" s="368"/>
      <c r="H2802" s="195"/>
      <c r="I2802" s="159"/>
      <c r="J2802" s="195"/>
      <c r="K2802" s="161"/>
      <c r="L2802" s="196"/>
      <c r="M2802" s="230"/>
      <c r="N2802" s="278"/>
      <c r="O2802" s="279">
        <f>O2808</f>
        <v>8.5506782440000002</v>
      </c>
      <c r="P2802" s="166"/>
      <c r="Q2802" s="166">
        <f t="shared" si="597"/>
        <v>0</v>
      </c>
      <c r="R2802" s="71"/>
      <c r="S2802" s="61"/>
      <c r="T2802" s="61"/>
      <c r="U2802" s="61"/>
      <c r="V2802" s="61"/>
      <c r="W2802" s="61"/>
      <c r="X2802" s="61"/>
      <c r="Y2802" s="61"/>
      <c r="Z2802" s="61"/>
      <c r="AA2802" s="61"/>
      <c r="AB2802" s="61"/>
      <c r="AC2802" s="61"/>
      <c r="AD2802" s="61"/>
      <c r="AE2802" s="61"/>
      <c r="AF2802" s="61"/>
      <c r="AG2802" s="61"/>
      <c r="AH2802" s="61"/>
      <c r="AI2802" s="61"/>
      <c r="AJ2802" s="61"/>
      <c r="AK2802" s="61"/>
      <c r="AL2802" s="61"/>
      <c r="AM2802" s="61"/>
      <c r="AN2802" s="61"/>
      <c r="AO2802" s="61"/>
    </row>
    <row r="2803" spans="1:41" s="61" customFormat="1" x14ac:dyDescent="0.25">
      <c r="A2803" s="358"/>
      <c r="B2803" s="361"/>
      <c r="C2803" s="366"/>
      <c r="D2803" s="284" t="s">
        <v>241</v>
      </c>
      <c r="E2803" s="156" t="s">
        <v>28</v>
      </c>
      <c r="F2803" s="156" t="s">
        <v>28</v>
      </c>
      <c r="G2803" s="238">
        <f>MROUND(H2803*L2803*I2803/K2803,0.00000000001)</f>
        <v>3.8938257099999998E-3</v>
      </c>
      <c r="H2803" s="158">
        <f>H2085</f>
        <v>17</v>
      </c>
      <c r="I2803" s="159">
        <f>I2796</f>
        <v>8.0167000000000002E-2</v>
      </c>
      <c r="J2803" s="160"/>
      <c r="K2803" s="161">
        <f>K2796</f>
        <v>4200</v>
      </c>
      <c r="L2803" s="250">
        <v>12</v>
      </c>
      <c r="M2803" s="163" t="str">
        <f>CONCATENATE(H2803," ",F2803,"*",L2803,"мес.","*",I2803,"/",K2803,"чел")</f>
        <v>17 шт*12мес.*0,080167/4200чел</v>
      </c>
      <c r="N2803" s="278">
        <f>N2085</f>
        <v>327.76936274509802</v>
      </c>
      <c r="O2803" s="280">
        <f>MROUND(N2803*G2803,0.000001)</f>
        <v>1.2762769999999999</v>
      </c>
      <c r="P2803" s="166"/>
      <c r="Q2803" s="166">
        <f t="shared" si="597"/>
        <v>5360.3633999999993</v>
      </c>
      <c r="R2803" s="71"/>
    </row>
    <row r="2804" spans="1:41" s="61" customFormat="1" x14ac:dyDescent="0.25">
      <c r="A2804" s="358"/>
      <c r="B2804" s="361"/>
      <c r="C2804" s="366"/>
      <c r="D2804" s="284" t="s">
        <v>242</v>
      </c>
      <c r="E2804" s="156" t="s">
        <v>243</v>
      </c>
      <c r="F2804" s="156" t="s">
        <v>243</v>
      </c>
      <c r="G2804" s="238">
        <f>MROUND(H2804*L2804*I2804/K2804,0.00000000001)</f>
        <v>3.9639145771399997</v>
      </c>
      <c r="H2804" s="158">
        <f>H2086</f>
        <v>17306</v>
      </c>
      <c r="I2804" s="159">
        <f>I2803</f>
        <v>8.0167000000000002E-2</v>
      </c>
      <c r="J2804" s="160"/>
      <c r="K2804" s="161">
        <f>K2803</f>
        <v>4200</v>
      </c>
      <c r="L2804" s="250">
        <v>12</v>
      </c>
      <c r="M2804" s="163" t="str">
        <f>CONCATENATE(H2804," ",F2804,"*",L2804,"мес.","*",I2804,"/",K2804,"чел")</f>
        <v>17306 мин.*12мес.*0,080167/4200чел</v>
      </c>
      <c r="N2804" s="278">
        <f>N2086</f>
        <v>0.78480002118725689</v>
      </c>
      <c r="O2804" s="280">
        <f>MROUND(N2804*G2804,0.000000001)</f>
        <v>3.1108802440000001</v>
      </c>
      <c r="P2804" s="166"/>
      <c r="Q2804" s="166">
        <f t="shared" si="597"/>
        <v>13065.6970248</v>
      </c>
      <c r="R2804" s="71"/>
    </row>
    <row r="2805" spans="1:41" s="61" customFormat="1" ht="31.5" x14ac:dyDescent="0.25">
      <c r="A2805" s="358"/>
      <c r="B2805" s="361"/>
      <c r="C2805" s="366"/>
      <c r="D2805" s="285" t="s">
        <v>244</v>
      </c>
      <c r="E2805" s="286" t="s">
        <v>245</v>
      </c>
      <c r="F2805" s="286" t="s">
        <v>247</v>
      </c>
      <c r="G2805" s="238">
        <f>MROUND(H2805*L2805*I2805/K2805,0.00000000001)</f>
        <v>1.1452428599999999E-3</v>
      </c>
      <c r="H2805" s="158">
        <f>H2087</f>
        <v>5</v>
      </c>
      <c r="I2805" s="159">
        <f>I2804</f>
        <v>8.0167000000000002E-2</v>
      </c>
      <c r="J2805" s="160"/>
      <c r="K2805" s="161">
        <f>K2804</f>
        <v>4200</v>
      </c>
      <c r="L2805" s="250">
        <v>12</v>
      </c>
      <c r="M2805" s="163" t="str">
        <f>CONCATENATE(H2805," ",F2805,"*",L2805,"мес.","*",I2805,"/",K2805,"чел")</f>
        <v>5 радиоточек*12мес.*0,080167/4200чел</v>
      </c>
      <c r="N2805" s="278">
        <f>N2087</f>
        <v>165.68000000000004</v>
      </c>
      <c r="O2805" s="280">
        <f>MROUND(N2805*G2805,0.000001)</f>
        <v>0.189744</v>
      </c>
      <c r="P2805" s="166"/>
      <c r="Q2805" s="166">
        <f t="shared" si="597"/>
        <v>796.9248</v>
      </c>
      <c r="R2805" s="71"/>
    </row>
    <row r="2806" spans="1:41" s="61" customFormat="1" ht="47.25" x14ac:dyDescent="0.25">
      <c r="A2806" s="358"/>
      <c r="B2806" s="361"/>
      <c r="C2806" s="366"/>
      <c r="D2806" s="285" t="s">
        <v>374</v>
      </c>
      <c r="E2806" s="156" t="s">
        <v>28</v>
      </c>
      <c r="F2806" s="156" t="s">
        <v>28</v>
      </c>
      <c r="G2806" s="238">
        <f>MROUND(H2806*L2806*I2806/K2806,0.00000000001)</f>
        <v>5.3444666999999998E-4</v>
      </c>
      <c r="H2806" s="158">
        <f>H2296</f>
        <v>7</v>
      </c>
      <c r="I2806" s="159">
        <f>I2804</f>
        <v>8.0167000000000002E-2</v>
      </c>
      <c r="J2806" s="160"/>
      <c r="K2806" s="161">
        <f>K2804</f>
        <v>4200</v>
      </c>
      <c r="L2806" s="250">
        <f>L2296</f>
        <v>4</v>
      </c>
      <c r="M2806" s="163" t="str">
        <f>CONCATENATE(H2806," ",F2806,"*",L2806,"мес.","*",I2806,"/",K2806,"чел/час")</f>
        <v>7 шт*4мес.*0,080167/4200чел/час</v>
      </c>
      <c r="N2806" s="278">
        <f>N2296</f>
        <v>1256.0399999999997</v>
      </c>
      <c r="O2806" s="280">
        <f>MROUND(N2806*G2806,0.000001)</f>
        <v>0.67128599999999994</v>
      </c>
      <c r="P2806" s="166"/>
      <c r="Q2806" s="166">
        <f t="shared" si="597"/>
        <v>2819.4011999999998</v>
      </c>
      <c r="R2806" s="71"/>
    </row>
    <row r="2807" spans="1:41" s="61" customFormat="1" x14ac:dyDescent="0.25">
      <c r="A2807" s="358"/>
      <c r="B2807" s="361"/>
      <c r="C2807" s="367"/>
      <c r="D2807" s="284" t="s">
        <v>246</v>
      </c>
      <c r="E2807" s="156" t="s">
        <v>28</v>
      </c>
      <c r="F2807" s="156" t="s">
        <v>28</v>
      </c>
      <c r="G2807" s="238">
        <f>MROUND(H2807*L2807*I2807/K2807,0.00000000001)</f>
        <v>1.1452428599999999E-3</v>
      </c>
      <c r="H2807" s="158">
        <v>5</v>
      </c>
      <c r="I2807" s="159">
        <f>I2805</f>
        <v>8.0167000000000002E-2</v>
      </c>
      <c r="J2807" s="160"/>
      <c r="K2807" s="161">
        <f>K2805</f>
        <v>4200</v>
      </c>
      <c r="L2807" s="250">
        <v>12</v>
      </c>
      <c r="M2807" s="163" t="str">
        <f>CONCATENATE(H2807," ",F2807,"*",L2807,"мес.","*",I2807,"/",K2807,"чел")</f>
        <v>5 шт*12мес.*0,080167/4200чел</v>
      </c>
      <c r="N2807" s="278">
        <f>N2089</f>
        <v>2883.6603333333333</v>
      </c>
      <c r="O2807" s="280">
        <f>MROUND(N2807*G2807,0.000001)</f>
        <v>3.3024909999999998</v>
      </c>
      <c r="P2807" s="166"/>
      <c r="Q2807" s="166">
        <f t="shared" si="597"/>
        <v>13870.4622</v>
      </c>
      <c r="R2807" s="71"/>
    </row>
    <row r="2808" spans="1:41" s="109" customFormat="1" x14ac:dyDescent="0.25">
      <c r="A2808" s="358"/>
      <c r="B2808" s="361"/>
      <c r="C2808" s="218" t="s">
        <v>358</v>
      </c>
      <c r="D2808" s="287"/>
      <c r="E2808" s="287"/>
      <c r="F2808" s="287"/>
      <c r="G2808" s="288"/>
      <c r="H2808" s="214"/>
      <c r="I2808" s="206"/>
      <c r="J2808" s="214"/>
      <c r="K2808" s="207"/>
      <c r="L2808" s="215"/>
      <c r="M2808" s="289"/>
      <c r="N2808" s="281"/>
      <c r="O2808" s="279">
        <f>SUM(O2803:O2807)</f>
        <v>8.5506782440000002</v>
      </c>
      <c r="P2808" s="267"/>
      <c r="Q2808" s="166">
        <f t="shared" si="597"/>
        <v>0</v>
      </c>
      <c r="R2808" s="71"/>
      <c r="S2808" s="62"/>
      <c r="T2808" s="62"/>
      <c r="U2808" s="62"/>
      <c r="V2808" s="62"/>
      <c r="W2808" s="62"/>
      <c r="X2808" s="62"/>
      <c r="Y2808" s="62"/>
      <c r="Z2808" s="62"/>
      <c r="AA2808" s="62"/>
      <c r="AB2808" s="62"/>
      <c r="AC2808" s="62"/>
      <c r="AD2808" s="62"/>
      <c r="AE2808" s="62"/>
      <c r="AF2808" s="62"/>
      <c r="AG2808" s="62"/>
      <c r="AH2808" s="62"/>
      <c r="AI2808" s="62"/>
      <c r="AJ2808" s="62"/>
      <c r="AK2808" s="62"/>
      <c r="AL2808" s="62"/>
      <c r="AM2808" s="62"/>
      <c r="AN2808" s="62"/>
      <c r="AO2808" s="62"/>
    </row>
    <row r="2809" spans="1:41" s="108" customFormat="1" x14ac:dyDescent="0.25">
      <c r="A2809" s="358"/>
      <c r="B2809" s="361"/>
      <c r="C2809" s="365" t="s">
        <v>366</v>
      </c>
      <c r="D2809" s="368" t="s">
        <v>67</v>
      </c>
      <c r="E2809" s="368"/>
      <c r="F2809" s="368"/>
      <c r="G2809" s="368"/>
      <c r="H2809" s="195"/>
      <c r="I2809" s="159"/>
      <c r="J2809" s="195"/>
      <c r="K2809" s="161"/>
      <c r="L2809" s="196"/>
      <c r="M2809" s="230"/>
      <c r="N2809" s="278"/>
      <c r="O2809" s="279">
        <f>O2810</f>
        <v>1.14845</v>
      </c>
      <c r="P2809" s="166"/>
      <c r="Q2809" s="166">
        <f t="shared" si="597"/>
        <v>0</v>
      </c>
      <c r="R2809" s="71"/>
      <c r="S2809" s="61"/>
      <c r="T2809" s="61"/>
      <c r="U2809" s="61"/>
      <c r="V2809" s="61"/>
      <c r="W2809" s="61"/>
      <c r="X2809" s="61"/>
      <c r="Y2809" s="61"/>
      <c r="Z2809" s="61"/>
      <c r="AA2809" s="61"/>
      <c r="AB2809" s="61"/>
      <c r="AC2809" s="61"/>
      <c r="AD2809" s="61"/>
      <c r="AE2809" s="61"/>
      <c r="AF2809" s="61"/>
      <c r="AG2809" s="61"/>
      <c r="AH2809" s="61"/>
      <c r="AI2809" s="61"/>
      <c r="AJ2809" s="61"/>
      <c r="AK2809" s="61"/>
      <c r="AL2809" s="61"/>
      <c r="AM2809" s="61"/>
      <c r="AN2809" s="61"/>
      <c r="AO2809" s="61"/>
    </row>
    <row r="2810" spans="1:41" s="61" customFormat="1" x14ac:dyDescent="0.25">
      <c r="A2810" s="358"/>
      <c r="B2810" s="361"/>
      <c r="C2810" s="367"/>
      <c r="D2810" s="194" t="s">
        <v>367</v>
      </c>
      <c r="E2810" s="156" t="s">
        <v>28</v>
      </c>
      <c r="F2810" s="156" t="s">
        <v>28</v>
      </c>
      <c r="G2810" s="238">
        <f>MROUND(H2810*L2810*I2810/K2810,0.00000000001)</f>
        <v>4.5809713999999996E-4</v>
      </c>
      <c r="H2810" s="158">
        <f>H2092</f>
        <v>2</v>
      </c>
      <c r="I2810" s="159">
        <f>I2807</f>
        <v>8.0167000000000002E-2</v>
      </c>
      <c r="J2810" s="160"/>
      <c r="K2810" s="161">
        <f>K2807</f>
        <v>4200</v>
      </c>
      <c r="L2810" s="250">
        <v>12</v>
      </c>
      <c r="M2810" s="163" t="str">
        <f>CONCATENATE(H2810," ",F2810,"*",L2810,"мес.","*",I2810,"/",K2810,"чел")</f>
        <v>2 шт*12мес.*0,080167/4200чел</v>
      </c>
      <c r="N2810" s="278">
        <f>N2092</f>
        <v>2507</v>
      </c>
      <c r="O2810" s="280">
        <f>MROUND(N2810*G2810,0.000001)</f>
        <v>1.14845</v>
      </c>
      <c r="P2810" s="166"/>
      <c r="Q2810" s="166">
        <f t="shared" si="597"/>
        <v>4823.49</v>
      </c>
      <c r="R2810" s="71"/>
    </row>
    <row r="2811" spans="1:41" s="108" customFormat="1" x14ac:dyDescent="0.25">
      <c r="A2811" s="358"/>
      <c r="B2811" s="361"/>
      <c r="C2811" s="221"/>
      <c r="D2811" s="350" t="s">
        <v>68</v>
      </c>
      <c r="E2811" s="350"/>
      <c r="F2811" s="350"/>
      <c r="G2811" s="350"/>
      <c r="H2811" s="195"/>
      <c r="I2811" s="159"/>
      <c r="J2811" s="195"/>
      <c r="K2811" s="161"/>
      <c r="L2811" s="196"/>
      <c r="M2811" s="230"/>
      <c r="N2811" s="278"/>
      <c r="O2811" s="280"/>
      <c r="P2811" s="166"/>
      <c r="Q2811" s="166">
        <f t="shared" si="597"/>
        <v>0</v>
      </c>
      <c r="R2811" s="71"/>
      <c r="S2811" s="61"/>
      <c r="T2811" s="61"/>
      <c r="U2811" s="61"/>
      <c r="V2811" s="61"/>
      <c r="W2811" s="61"/>
      <c r="X2811" s="61"/>
      <c r="Y2811" s="61"/>
      <c r="Z2811" s="61"/>
      <c r="AA2811" s="61"/>
      <c r="AB2811" s="61"/>
      <c r="AC2811" s="61"/>
      <c r="AD2811" s="61"/>
      <c r="AE2811" s="61"/>
      <c r="AF2811" s="61"/>
      <c r="AG2811" s="61"/>
      <c r="AH2811" s="61"/>
      <c r="AI2811" s="61"/>
      <c r="AJ2811" s="61"/>
      <c r="AK2811" s="61"/>
      <c r="AL2811" s="61"/>
      <c r="AM2811" s="61"/>
      <c r="AN2811" s="61"/>
      <c r="AO2811" s="61"/>
    </row>
    <row r="2812" spans="1:41" s="108" customFormat="1" x14ac:dyDescent="0.25">
      <c r="A2812" s="358"/>
      <c r="B2812" s="361"/>
      <c r="C2812" s="221"/>
      <c r="D2812" s="156"/>
      <c r="E2812" s="156"/>
      <c r="F2812" s="156"/>
      <c r="G2812" s="236"/>
      <c r="H2812" s="195"/>
      <c r="I2812" s="159"/>
      <c r="J2812" s="195"/>
      <c r="K2812" s="161"/>
      <c r="L2812" s="196"/>
      <c r="M2812" s="230"/>
      <c r="N2812" s="278"/>
      <c r="O2812" s="280"/>
      <c r="P2812" s="166"/>
      <c r="Q2812" s="166">
        <f t="shared" si="597"/>
        <v>0</v>
      </c>
      <c r="R2812" s="71"/>
      <c r="S2812" s="61"/>
      <c r="T2812" s="61"/>
      <c r="U2812" s="61"/>
      <c r="V2812" s="61"/>
      <c r="W2812" s="61"/>
      <c r="X2812" s="61"/>
      <c r="Y2812" s="61"/>
      <c r="Z2812" s="61"/>
      <c r="AA2812" s="61"/>
      <c r="AB2812" s="61"/>
      <c r="AC2812" s="61"/>
      <c r="AD2812" s="61"/>
      <c r="AE2812" s="61"/>
      <c r="AF2812" s="61"/>
      <c r="AG2812" s="61"/>
      <c r="AH2812" s="61"/>
      <c r="AI2812" s="61"/>
      <c r="AJ2812" s="61"/>
      <c r="AK2812" s="61"/>
      <c r="AL2812" s="61"/>
      <c r="AM2812" s="61"/>
      <c r="AN2812" s="61"/>
      <c r="AO2812" s="61"/>
    </row>
    <row r="2813" spans="1:41" s="108" customFormat="1" x14ac:dyDescent="0.25">
      <c r="A2813" s="358"/>
      <c r="B2813" s="361"/>
      <c r="C2813" s="221"/>
      <c r="D2813" s="368" t="s">
        <v>69</v>
      </c>
      <c r="E2813" s="368"/>
      <c r="F2813" s="368"/>
      <c r="G2813" s="368"/>
      <c r="H2813" s="187"/>
      <c r="I2813" s="159"/>
      <c r="J2813" s="187"/>
      <c r="K2813" s="161"/>
      <c r="L2813" s="276"/>
      <c r="M2813" s="230"/>
      <c r="N2813" s="278"/>
      <c r="O2813" s="279">
        <f>O2820+O2836+O2839+O2852+O2853+O2854+O2865+O2867+O2871+O2868</f>
        <v>237.352261</v>
      </c>
      <c r="P2813" s="166"/>
      <c r="Q2813" s="166">
        <f t="shared" si="597"/>
        <v>0</v>
      </c>
      <c r="R2813" s="71"/>
      <c r="S2813" s="61"/>
      <c r="T2813" s="61"/>
      <c r="U2813" s="61"/>
      <c r="V2813" s="61"/>
      <c r="W2813" s="61"/>
      <c r="X2813" s="61"/>
      <c r="Y2813" s="61"/>
      <c r="Z2813" s="61"/>
      <c r="AA2813" s="61"/>
      <c r="AB2813" s="61"/>
      <c r="AC2813" s="61"/>
      <c r="AD2813" s="61"/>
      <c r="AE2813" s="61"/>
      <c r="AF2813" s="61"/>
      <c r="AG2813" s="61"/>
      <c r="AH2813" s="61"/>
      <c r="AI2813" s="61"/>
      <c r="AJ2813" s="61"/>
      <c r="AK2813" s="61"/>
      <c r="AL2813" s="61"/>
      <c r="AM2813" s="61"/>
      <c r="AN2813" s="61"/>
      <c r="AO2813" s="61"/>
    </row>
    <row r="2814" spans="1:41" s="61" customFormat="1" ht="31.5" x14ac:dyDescent="0.25">
      <c r="A2814" s="358"/>
      <c r="B2814" s="361"/>
      <c r="C2814" s="365" t="s">
        <v>78</v>
      </c>
      <c r="D2814" s="156" t="s">
        <v>26</v>
      </c>
      <c r="E2814" s="156" t="s">
        <v>22</v>
      </c>
      <c r="F2814" s="156" t="s">
        <v>22</v>
      </c>
      <c r="G2814" s="238">
        <f t="shared" ref="G2814:G2819" si="598">MROUND(H2814*L2814*I2814/K2814,0.00000000001)</f>
        <v>1.1361404669099999</v>
      </c>
      <c r="H2814" s="158">
        <f>H2096</f>
        <v>4960.26</v>
      </c>
      <c r="I2814" s="159">
        <f>I2810</f>
        <v>8.0167000000000002E-2</v>
      </c>
      <c r="J2814" s="160"/>
      <c r="K2814" s="161">
        <f>K2810</f>
        <v>4200</v>
      </c>
      <c r="L2814" s="250">
        <v>12</v>
      </c>
      <c r="M2814" s="163" t="str">
        <f>CONCATENATE(H2814," ",F2814,"(обрабатываемая площадь в мес.)","*",L2814,"мес.","*",I2814,"/",K2814,"чел")</f>
        <v>4960,26 м2(обрабатываемая площадь в мес.)*12мес.*0,080167/4200чел</v>
      </c>
      <c r="N2814" s="278">
        <f>N2096</f>
        <v>1.1553999521530458</v>
      </c>
      <c r="O2814" s="280">
        <f>MROUND(N2814*G2814,0.000001)</f>
        <v>1.312697</v>
      </c>
      <c r="P2814" s="166"/>
      <c r="Q2814" s="166">
        <f t="shared" si="597"/>
        <v>5513.3274000000001</v>
      </c>
      <c r="R2814" s="71"/>
    </row>
    <row r="2815" spans="1:41" s="61" customFormat="1" ht="31.5" x14ac:dyDescent="0.25">
      <c r="A2815" s="358"/>
      <c r="B2815" s="361"/>
      <c r="C2815" s="366"/>
      <c r="D2815" s="156" t="s">
        <v>96</v>
      </c>
      <c r="E2815" s="156" t="s">
        <v>22</v>
      </c>
      <c r="F2815" s="156" t="s">
        <v>22</v>
      </c>
      <c r="G2815" s="238">
        <f t="shared" si="598"/>
        <v>0.62925597833999991</v>
      </c>
      <c r="H2815" s="158">
        <f>H2097</f>
        <v>2747.26</v>
      </c>
      <c r="I2815" s="298">
        <f>I2814</f>
        <v>8.0167000000000002E-2</v>
      </c>
      <c r="J2815" s="299"/>
      <c r="K2815" s="300">
        <f>K2814</f>
        <v>4200</v>
      </c>
      <c r="L2815" s="250">
        <v>12</v>
      </c>
      <c r="M2815" s="163" t="str">
        <f>CONCATENATE(H2815," ",F2815,"(обрабатываемая площадь в мес.)","*",L2815,"мес.","*",I2815,"/",K2815,"чел")</f>
        <v>2747,26 м2(обрабатываемая площадь в мес.)*12мес.*0,080167/4200чел</v>
      </c>
      <c r="N2815" s="278">
        <f>N2097</f>
        <v>1.6108668273115756</v>
      </c>
      <c r="O2815" s="280">
        <f>MROUND(N2815*G2815,0.000001)</f>
        <v>1.0136479999999999</v>
      </c>
      <c r="P2815" s="166"/>
      <c r="Q2815" s="166">
        <f t="shared" si="597"/>
        <v>4257.3215999999993</v>
      </c>
      <c r="R2815" s="71"/>
    </row>
    <row r="2816" spans="1:41" s="135" customFormat="1" ht="31.5" x14ac:dyDescent="0.25">
      <c r="A2816" s="358"/>
      <c r="B2816" s="361"/>
      <c r="C2816" s="366"/>
      <c r="D2816" s="156" t="s">
        <v>385</v>
      </c>
      <c r="E2816" s="156" t="s">
        <v>22</v>
      </c>
      <c r="F2816" s="156" t="s">
        <v>22</v>
      </c>
      <c r="G2816" s="238">
        <f t="shared" si="598"/>
        <v>1.2585119566899998</v>
      </c>
      <c r="H2816" s="242">
        <f>$H$2098</f>
        <v>2747.26</v>
      </c>
      <c r="I2816" s="298">
        <f>I2815</f>
        <v>8.0167000000000002E-2</v>
      </c>
      <c r="J2816" s="160"/>
      <c r="K2816" s="300">
        <f>K2815</f>
        <v>4200</v>
      </c>
      <c r="L2816" s="162">
        <v>24</v>
      </c>
      <c r="M2816" s="163" t="str">
        <f>CONCATENATE(H2816," ",F2816,"(обрабатываемая площадь в год)","*",L2816," раза в год.","*",I2816,"/",K2816,"чел.")</f>
        <v>2747,26 м2(обрабатываемая площадь в год)*24 раза в год.*0,080167/4200чел.</v>
      </c>
      <c r="N2816" s="164">
        <f>$N$2098</f>
        <v>1.7779423862321002</v>
      </c>
      <c r="O2816" s="165">
        <f>MROUND(G2816*N2816,0.000001)</f>
        <v>2.2375620000000001</v>
      </c>
      <c r="P2816" s="166"/>
      <c r="Q2816" s="166">
        <f t="shared" si="597"/>
        <v>9397.760400000001</v>
      </c>
      <c r="R2816" s="71"/>
      <c r="S2816" s="61"/>
      <c r="T2816" s="61"/>
      <c r="U2816" s="61"/>
      <c r="V2816" s="61"/>
      <c r="W2816" s="61"/>
      <c r="X2816" s="61"/>
      <c r="Y2816" s="61"/>
      <c r="Z2816" s="61"/>
      <c r="AA2816" s="61"/>
      <c r="AB2816" s="61"/>
      <c r="AC2816" s="61"/>
      <c r="AD2816" s="61"/>
      <c r="AE2816" s="61"/>
      <c r="AF2816" s="61"/>
      <c r="AG2816" s="61"/>
      <c r="AH2816" s="61"/>
      <c r="AI2816" s="61"/>
      <c r="AJ2816" s="61"/>
      <c r="AK2816" s="61"/>
      <c r="AL2816" s="61"/>
      <c r="AM2816" s="61"/>
      <c r="AN2816" s="61"/>
      <c r="AO2816" s="61"/>
    </row>
    <row r="2817" spans="1:41" s="135" customFormat="1" ht="31.5" x14ac:dyDescent="0.25">
      <c r="A2817" s="358"/>
      <c r="B2817" s="361"/>
      <c r="C2817" s="366"/>
      <c r="D2817" s="156" t="s">
        <v>394</v>
      </c>
      <c r="E2817" s="156" t="s">
        <v>22</v>
      </c>
      <c r="F2817" s="156" t="s">
        <v>22</v>
      </c>
      <c r="G2817" s="238">
        <f t="shared" si="598"/>
        <v>1.1361404669099999</v>
      </c>
      <c r="H2817" s="243">
        <f>$H$2099</f>
        <v>4960.26</v>
      </c>
      <c r="I2817" s="298">
        <f>I2816</f>
        <v>8.0167000000000002E-2</v>
      </c>
      <c r="J2817" s="160"/>
      <c r="K2817" s="300">
        <f>K2816</f>
        <v>4200</v>
      </c>
      <c r="L2817" s="162">
        <v>12</v>
      </c>
      <c r="M2817" s="163" t="str">
        <f>CONCATENATE(H2817," ",F2817,"(обрабатываемая площадь в мес.)","*",L2817,"мес.","*",I2817,"/",K2817,"чел.")</f>
        <v>4960,26 м2(обрабатываемая площадь в мес.)*12мес.*0,080167/4200чел.</v>
      </c>
      <c r="N2817" s="164">
        <f>$N$2099</f>
        <v>0.54499999327992221</v>
      </c>
      <c r="O2817" s="165">
        <f>MROUND(G2817*N2817,0.000001)</f>
        <v>0.619197</v>
      </c>
      <c r="P2817" s="166"/>
      <c r="Q2817" s="166">
        <f t="shared" si="597"/>
        <v>2600.6273999999999</v>
      </c>
      <c r="R2817" s="71"/>
      <c r="S2817" s="61"/>
      <c r="T2817" s="61"/>
      <c r="U2817" s="61"/>
      <c r="V2817" s="61"/>
      <c r="W2817" s="61"/>
      <c r="X2817" s="61"/>
      <c r="Y2817" s="61"/>
      <c r="Z2817" s="61"/>
      <c r="AA2817" s="61"/>
      <c r="AB2817" s="61"/>
      <c r="AC2817" s="61"/>
      <c r="AD2817" s="61"/>
      <c r="AE2817" s="61"/>
      <c r="AF2817" s="61"/>
      <c r="AG2817" s="61"/>
      <c r="AH2817" s="61"/>
      <c r="AI2817" s="61"/>
      <c r="AJ2817" s="61"/>
      <c r="AK2817" s="61"/>
      <c r="AL2817" s="61"/>
      <c r="AM2817" s="61"/>
      <c r="AN2817" s="61"/>
      <c r="AO2817" s="61"/>
    </row>
    <row r="2818" spans="1:41" s="135" customFormat="1" ht="31.5" x14ac:dyDescent="0.25">
      <c r="A2818" s="358"/>
      <c r="B2818" s="361"/>
      <c r="C2818" s="366"/>
      <c r="D2818" s="156" t="s">
        <v>395</v>
      </c>
      <c r="E2818" s="156" t="s">
        <v>98</v>
      </c>
      <c r="F2818" s="156" t="s">
        <v>98</v>
      </c>
      <c r="G2818" s="238">
        <f t="shared" si="598"/>
        <v>3.5884279999999997E-5</v>
      </c>
      <c r="H2818" s="242">
        <f>$H$2100</f>
        <v>1.8800000000000001</v>
      </c>
      <c r="I2818" s="298">
        <f>I2817</f>
        <v>8.0167000000000002E-2</v>
      </c>
      <c r="J2818" s="160"/>
      <c r="K2818" s="300">
        <f>K2817</f>
        <v>4200</v>
      </c>
      <c r="L2818" s="162">
        <v>1</v>
      </c>
      <c r="M2818" s="163" t="str">
        <f>CONCATENATE(H2818," ",F2818,"(обрабатываемая площадь в год)","*",L2818," раз в год","*",I2818,"/",K2818,"чел.")</f>
        <v>1,88 Га(обрабатываемая площадь в год)*1 раз в год*0,080167/4200чел.</v>
      </c>
      <c r="N2818" s="164">
        <f>$N$2100</f>
        <v>544.99999999999989</v>
      </c>
      <c r="O2818" s="165">
        <f>MROUND(G2818*N2818,0.000001)</f>
        <v>1.9556999999999998E-2</v>
      </c>
      <c r="P2818" s="166"/>
      <c r="Q2818" s="166">
        <f t="shared" si="597"/>
        <v>82.139399999999995</v>
      </c>
      <c r="R2818" s="71"/>
      <c r="S2818" s="61"/>
      <c r="T2818" s="61"/>
      <c r="U2818" s="61"/>
      <c r="V2818" s="61"/>
      <c r="W2818" s="61"/>
      <c r="X2818" s="61"/>
      <c r="Y2818" s="61"/>
      <c r="Z2818" s="61"/>
      <c r="AA2818" s="61"/>
      <c r="AB2818" s="61"/>
      <c r="AC2818" s="61"/>
      <c r="AD2818" s="61"/>
      <c r="AE2818" s="61"/>
      <c r="AF2818" s="61"/>
      <c r="AG2818" s="61"/>
      <c r="AH2818" s="61"/>
      <c r="AI2818" s="61"/>
      <c r="AJ2818" s="61"/>
      <c r="AK2818" s="61"/>
      <c r="AL2818" s="61"/>
      <c r="AM2818" s="61"/>
      <c r="AN2818" s="61"/>
      <c r="AO2818" s="61"/>
    </row>
    <row r="2819" spans="1:41" s="61" customFormat="1" ht="31.5" x14ac:dyDescent="0.25">
      <c r="A2819" s="358"/>
      <c r="B2819" s="361"/>
      <c r="C2819" s="367"/>
      <c r="D2819" s="156" t="s">
        <v>97</v>
      </c>
      <c r="E2819" s="156" t="s">
        <v>363</v>
      </c>
      <c r="F2819" s="156" t="s">
        <v>363</v>
      </c>
      <c r="G2819" s="238">
        <f t="shared" si="598"/>
        <v>3.5884279999999997E-5</v>
      </c>
      <c r="H2819" s="158">
        <f>$H$2101</f>
        <v>1.8800000000000001</v>
      </c>
      <c r="I2819" s="298">
        <f>I2815</f>
        <v>8.0167000000000002E-2</v>
      </c>
      <c r="J2819" s="299"/>
      <c r="K2819" s="300">
        <f>K2815</f>
        <v>4200</v>
      </c>
      <c r="L2819" s="250">
        <v>1</v>
      </c>
      <c r="M2819" s="163" t="str">
        <f>CONCATENATE(H2819," ",F2819,"(обрабатываемая площадь в мес.)","*",L2819,"мес.","*",I2819,"/",K2819,"чел")</f>
        <v>1,88 га(обрабатываемая площадь в мес.)*1мес.*0,080167/4200чел</v>
      </c>
      <c r="N2819" s="278">
        <f>$N$2101</f>
        <v>2965.9734042553187</v>
      </c>
      <c r="O2819" s="280">
        <f>MROUND(N2819*G2819,0.000001)</f>
        <v>0.106432</v>
      </c>
      <c r="P2819" s="166"/>
      <c r="Q2819" s="166">
        <f t="shared" si="597"/>
        <v>447.01440000000002</v>
      </c>
      <c r="R2819" s="71"/>
    </row>
    <row r="2820" spans="1:41" s="109" customFormat="1" x14ac:dyDescent="0.25">
      <c r="A2820" s="358"/>
      <c r="B2820" s="361"/>
      <c r="C2820" s="218" t="s">
        <v>327</v>
      </c>
      <c r="D2820" s="240"/>
      <c r="E2820" s="240"/>
      <c r="F2820" s="240"/>
      <c r="G2820" s="227"/>
      <c r="H2820" s="241"/>
      <c r="I2820" s="206"/>
      <c r="J2820" s="228"/>
      <c r="K2820" s="207"/>
      <c r="L2820" s="257"/>
      <c r="M2820" s="209"/>
      <c r="N2820" s="281"/>
      <c r="O2820" s="279">
        <f>SUM(O2814:O2819)</f>
        <v>5.3090929999999998</v>
      </c>
      <c r="P2820" s="267"/>
      <c r="Q2820" s="166"/>
      <c r="R2820" s="71"/>
      <c r="S2820" s="62"/>
      <c r="T2820" s="62"/>
      <c r="U2820" s="62"/>
      <c r="V2820" s="62"/>
      <c r="W2820" s="62"/>
      <c r="X2820" s="62"/>
      <c r="Y2820" s="62"/>
      <c r="Z2820" s="62"/>
      <c r="AA2820" s="62"/>
      <c r="AB2820" s="62"/>
      <c r="AC2820" s="62"/>
      <c r="AD2820" s="62"/>
      <c r="AE2820" s="62"/>
      <c r="AF2820" s="62"/>
      <c r="AG2820" s="62"/>
      <c r="AH2820" s="62"/>
      <c r="AI2820" s="62"/>
      <c r="AJ2820" s="62"/>
      <c r="AK2820" s="62"/>
      <c r="AL2820" s="62"/>
      <c r="AM2820" s="62"/>
      <c r="AN2820" s="62"/>
      <c r="AO2820" s="62"/>
    </row>
    <row r="2821" spans="1:41" s="61" customFormat="1" x14ac:dyDescent="0.25">
      <c r="A2821" s="358"/>
      <c r="B2821" s="361"/>
      <c r="C2821" s="366" t="s">
        <v>77</v>
      </c>
      <c r="D2821" s="156" t="s">
        <v>397</v>
      </c>
      <c r="E2821" s="156" t="s">
        <v>433</v>
      </c>
      <c r="F2821" s="156" t="s">
        <v>433</v>
      </c>
      <c r="G2821" s="238">
        <f t="shared" ref="G2821:G2835" si="599">MROUND(H2821*L2821*I2821/K2821,0.00000000001)</f>
        <v>0</v>
      </c>
      <c r="H2821" s="158"/>
      <c r="I2821" s="306">
        <f>I2815</f>
        <v>8.0167000000000002E-2</v>
      </c>
      <c r="J2821" s="307"/>
      <c r="K2821" s="308">
        <f>K2815</f>
        <v>4200</v>
      </c>
      <c r="L2821" s="162">
        <v>1</v>
      </c>
      <c r="M2821" s="163"/>
      <c r="N2821" s="278"/>
      <c r="O2821" s="280">
        <f t="shared" ref="O2821:O2835" si="600">MROUND(N2821*G2821,0.000001)</f>
        <v>0</v>
      </c>
      <c r="P2821" s="166"/>
      <c r="Q2821" s="166">
        <f t="shared" ref="Q2821:Q2835" si="601">O2821*K2821</f>
        <v>0</v>
      </c>
      <c r="R2821" s="71"/>
    </row>
    <row r="2822" spans="1:41" s="61" customFormat="1" ht="63" x14ac:dyDescent="0.25">
      <c r="A2822" s="358"/>
      <c r="B2822" s="361"/>
      <c r="C2822" s="366"/>
      <c r="D2822" s="156" t="s">
        <v>249</v>
      </c>
      <c r="E2822" s="156" t="s">
        <v>22</v>
      </c>
      <c r="F2822" s="156" t="s">
        <v>22</v>
      </c>
      <c r="G2822" s="238">
        <f t="shared" si="599"/>
        <v>0.15822446265999998</v>
      </c>
      <c r="H2822" s="158">
        <f>H2208</f>
        <v>690.79</v>
      </c>
      <c r="I2822" s="159">
        <f>I2821</f>
        <v>8.0167000000000002E-2</v>
      </c>
      <c r="J2822" s="160"/>
      <c r="K2822" s="161">
        <f>K2821</f>
        <v>4200</v>
      </c>
      <c r="L2822" s="250">
        <v>12</v>
      </c>
      <c r="M2822" s="163" t="str">
        <f>CONCATENATE(H2822," ",F2822,"*",L2822,"мес.","*",I2822,"/",K2822,"чел")</f>
        <v>690,79 м2*12мес.*0,080167/4200чел</v>
      </c>
      <c r="N2822" s="278">
        <f>N2414</f>
        <v>30.306671829837342</v>
      </c>
      <c r="O2822" s="280">
        <f t="shared" si="600"/>
        <v>4.7952569999999994</v>
      </c>
      <c r="P2822" s="166"/>
      <c r="Q2822" s="166">
        <f t="shared" si="601"/>
        <v>20140.079399999999</v>
      </c>
      <c r="R2822" s="71"/>
    </row>
    <row r="2823" spans="1:41" s="136" customFormat="1" x14ac:dyDescent="0.25">
      <c r="A2823" s="358"/>
      <c r="B2823" s="361"/>
      <c r="C2823" s="366"/>
      <c r="D2823" s="194" t="s">
        <v>398</v>
      </c>
      <c r="E2823" s="156" t="s">
        <v>60</v>
      </c>
      <c r="F2823" s="156" t="s">
        <v>60</v>
      </c>
      <c r="G2823" s="238">
        <f t="shared" si="599"/>
        <v>9.5436899999999994E-5</v>
      </c>
      <c r="H2823" s="158">
        <f>$H$2105</f>
        <v>5</v>
      </c>
      <c r="I2823" s="159">
        <f>I2822</f>
        <v>8.0167000000000002E-2</v>
      </c>
      <c r="J2823" s="160"/>
      <c r="K2823" s="161">
        <f>K2822</f>
        <v>4200</v>
      </c>
      <c r="L2823" s="250">
        <v>1</v>
      </c>
      <c r="M2823" s="163" t="str">
        <f>CONCATENATE(H2823," ",F2823,"*",I2823,"/",K2823,"чел/час")</f>
        <v>5 шт.*0,080167/4200чел/час</v>
      </c>
      <c r="N2823" s="278">
        <f>$N$2105</f>
        <v>11009</v>
      </c>
      <c r="O2823" s="280">
        <f t="shared" si="600"/>
        <v>1.050665</v>
      </c>
      <c r="P2823" s="166"/>
      <c r="Q2823" s="166">
        <f t="shared" si="601"/>
        <v>4412.7929999999997</v>
      </c>
      <c r="R2823" s="71"/>
      <c r="S2823" s="61"/>
      <c r="T2823" s="61"/>
      <c r="U2823" s="61"/>
      <c r="V2823" s="61"/>
      <c r="W2823" s="61"/>
      <c r="X2823" s="61"/>
      <c r="Y2823" s="61"/>
      <c r="Z2823" s="61"/>
      <c r="AA2823" s="61"/>
      <c r="AB2823" s="61"/>
      <c r="AC2823" s="61"/>
      <c r="AD2823" s="61"/>
      <c r="AE2823" s="61"/>
      <c r="AF2823" s="61"/>
      <c r="AG2823" s="61"/>
      <c r="AH2823" s="61"/>
      <c r="AI2823" s="61"/>
      <c r="AJ2823" s="61"/>
      <c r="AK2823" s="61"/>
      <c r="AL2823" s="61"/>
      <c r="AM2823" s="61"/>
      <c r="AN2823" s="61"/>
      <c r="AO2823" s="61"/>
    </row>
    <row r="2824" spans="1:41" s="136" customFormat="1" ht="63" x14ac:dyDescent="0.25">
      <c r="A2824" s="358"/>
      <c r="B2824" s="361"/>
      <c r="C2824" s="366"/>
      <c r="D2824" s="156" t="s">
        <v>33</v>
      </c>
      <c r="E2824" s="156" t="s">
        <v>56</v>
      </c>
      <c r="F2824" s="156" t="s">
        <v>220</v>
      </c>
      <c r="G2824" s="238">
        <f t="shared" si="599"/>
        <v>9.5436899999999994E-5</v>
      </c>
      <c r="H2824" s="158">
        <f>$H$2106</f>
        <v>5</v>
      </c>
      <c r="I2824" s="159">
        <f>I2823</f>
        <v>8.0167000000000002E-2</v>
      </c>
      <c r="J2824" s="160"/>
      <c r="K2824" s="161">
        <f>K2823</f>
        <v>4200</v>
      </c>
      <c r="L2824" s="250">
        <f>$L$2106</f>
        <v>1</v>
      </c>
      <c r="M2824" s="163" t="str">
        <f>CONCATENATE(H2824," ",F2824,"*",L2824," раз в год","*",I2824,"/",K2824,"чел.")</f>
        <v>5 дымоходов*1 раз в год*0,080167/4200чел.</v>
      </c>
      <c r="N2824" s="278">
        <f>$N$2106</f>
        <v>6540</v>
      </c>
      <c r="O2824" s="280">
        <f t="shared" si="600"/>
        <v>0.62415699999999996</v>
      </c>
      <c r="P2824" s="166"/>
      <c r="Q2824" s="166">
        <f t="shared" si="601"/>
        <v>2621.4593999999997</v>
      </c>
      <c r="R2824" s="71"/>
      <c r="S2824" s="61"/>
      <c r="T2824" s="61"/>
      <c r="U2824" s="61"/>
      <c r="V2824" s="61"/>
      <c r="W2824" s="61"/>
      <c r="X2824" s="61"/>
      <c r="Y2824" s="61"/>
      <c r="Z2824" s="61"/>
      <c r="AA2824" s="61"/>
      <c r="AB2824" s="61"/>
      <c r="AC2824" s="61"/>
      <c r="AD2824" s="61"/>
      <c r="AE2824" s="61"/>
      <c r="AF2824" s="61"/>
      <c r="AG2824" s="61"/>
      <c r="AH2824" s="61"/>
      <c r="AI2824" s="61"/>
      <c r="AJ2824" s="61"/>
      <c r="AK2824" s="61"/>
      <c r="AL2824" s="61"/>
      <c r="AM2824" s="61"/>
      <c r="AN2824" s="61"/>
      <c r="AO2824" s="61"/>
    </row>
    <row r="2825" spans="1:41" s="61" customFormat="1" ht="78.75" x14ac:dyDescent="0.25">
      <c r="A2825" s="358"/>
      <c r="B2825" s="361"/>
      <c r="C2825" s="366"/>
      <c r="D2825" s="156" t="s">
        <v>250</v>
      </c>
      <c r="E2825" s="156" t="s">
        <v>251</v>
      </c>
      <c r="F2825" s="156" t="s">
        <v>60</v>
      </c>
      <c r="G2825" s="238">
        <f t="shared" si="599"/>
        <v>9.5436899999999994E-5</v>
      </c>
      <c r="H2825" s="158">
        <f>$H$2107</f>
        <v>5</v>
      </c>
      <c r="I2825" s="159">
        <f>I2822</f>
        <v>8.0167000000000002E-2</v>
      </c>
      <c r="J2825" s="160"/>
      <c r="K2825" s="161">
        <f>K2822</f>
        <v>4200</v>
      </c>
      <c r="L2825" s="250">
        <v>1</v>
      </c>
      <c r="M2825" s="163" t="str">
        <f>CONCATENATE(H2825," ",F2825,"*",I2825,"/",K2825,"чел")</f>
        <v>5 шт.*0,080167/4200чел</v>
      </c>
      <c r="N2825" s="278">
        <f t="shared" ref="N2825:N2835" si="602">N2107</f>
        <v>52320</v>
      </c>
      <c r="O2825" s="280">
        <f t="shared" si="600"/>
        <v>4.9932590000000001</v>
      </c>
      <c r="P2825" s="166"/>
      <c r="Q2825" s="166">
        <f t="shared" si="601"/>
        <v>20971.6878</v>
      </c>
      <c r="R2825" s="71"/>
    </row>
    <row r="2826" spans="1:41" s="61" customFormat="1" ht="47.25" x14ac:dyDescent="0.25">
      <c r="A2826" s="358"/>
      <c r="B2826" s="361"/>
      <c r="C2826" s="366"/>
      <c r="D2826" s="156" t="s">
        <v>401</v>
      </c>
      <c r="E2826" s="156" t="s">
        <v>60</v>
      </c>
      <c r="F2826" s="156" t="s">
        <v>402</v>
      </c>
      <c r="G2826" s="238">
        <f t="shared" si="599"/>
        <v>1.9087380999999998E-4</v>
      </c>
      <c r="H2826" s="158">
        <f>H2108</f>
        <v>5</v>
      </c>
      <c r="I2826" s="159">
        <f>I2825</f>
        <v>8.0167000000000002E-2</v>
      </c>
      <c r="J2826" s="160"/>
      <c r="K2826" s="161">
        <f>K2825</f>
        <v>4200</v>
      </c>
      <c r="L2826" s="250">
        <f>$L$2108</f>
        <v>2</v>
      </c>
      <c r="M2826" s="163" t="str">
        <f>CONCATENATE(H2826," ",F2826,"*",I2826,"/",K2826,"чел")</f>
        <v>5 противопожарных водопроводов*0,080167/4200чел</v>
      </c>
      <c r="N2826" s="278">
        <f t="shared" si="602"/>
        <v>5450</v>
      </c>
      <c r="O2826" s="280">
        <f t="shared" si="600"/>
        <v>1.040262</v>
      </c>
      <c r="P2826" s="166"/>
      <c r="Q2826" s="166">
        <f t="shared" si="601"/>
        <v>4369.1004000000003</v>
      </c>
      <c r="R2826" s="71"/>
    </row>
    <row r="2827" spans="1:41" s="61" customFormat="1" ht="47.25" x14ac:dyDescent="0.25">
      <c r="A2827" s="358"/>
      <c r="B2827" s="361"/>
      <c r="C2827" s="366"/>
      <c r="D2827" s="156" t="s">
        <v>34</v>
      </c>
      <c r="E2827" s="156" t="s">
        <v>59</v>
      </c>
      <c r="F2827" s="156" t="s">
        <v>28</v>
      </c>
      <c r="G2827" s="238">
        <f t="shared" si="599"/>
        <v>3.8174759999999996E-5</v>
      </c>
      <c r="H2827" s="158">
        <f>H2109</f>
        <v>2</v>
      </c>
      <c r="I2827" s="159">
        <f>I2826</f>
        <v>8.0167000000000002E-2</v>
      </c>
      <c r="J2827" s="160"/>
      <c r="K2827" s="161">
        <f>K2826</f>
        <v>4200</v>
      </c>
      <c r="L2827" s="250">
        <v>1</v>
      </c>
      <c r="M2827" s="163" t="str">
        <f>CONCATENATE(H2827," ",F2827,"*",I2827,"/",K2827,"чел")</f>
        <v>2 шт*0,080167/4200чел</v>
      </c>
      <c r="N2827" s="278">
        <f t="shared" si="602"/>
        <v>7500</v>
      </c>
      <c r="O2827" s="280">
        <f t="shared" si="600"/>
        <v>0.28631099999999998</v>
      </c>
      <c r="P2827" s="166"/>
      <c r="Q2827" s="166">
        <f t="shared" si="601"/>
        <v>1202.5062</v>
      </c>
      <c r="R2827" s="71"/>
    </row>
    <row r="2828" spans="1:41" s="61" customFormat="1" ht="47.25" x14ac:dyDescent="0.25">
      <c r="A2828" s="358"/>
      <c r="B2828" s="361"/>
      <c r="C2828" s="366"/>
      <c r="D2828" s="156" t="s">
        <v>222</v>
      </c>
      <c r="E2828" s="156" t="s">
        <v>60</v>
      </c>
      <c r="F2828" s="156" t="s">
        <v>60</v>
      </c>
      <c r="G2828" s="238">
        <f t="shared" si="599"/>
        <v>3.8174759999999996E-5</v>
      </c>
      <c r="H2828" s="158">
        <f>H2214</f>
        <v>2</v>
      </c>
      <c r="I2828" s="159">
        <f>I2827</f>
        <v>8.0167000000000002E-2</v>
      </c>
      <c r="J2828" s="160"/>
      <c r="K2828" s="161">
        <f>K2827</f>
        <v>4200</v>
      </c>
      <c r="L2828" s="250">
        <v>1</v>
      </c>
      <c r="M2828" s="163" t="str">
        <f>CONCATENATE(H2828," ",F2828,"*",I2828,"/",K2828,"чел")</f>
        <v>2 шт.*0,080167/4200чел</v>
      </c>
      <c r="N2828" s="278">
        <f t="shared" si="602"/>
        <v>13000</v>
      </c>
      <c r="O2828" s="280">
        <f t="shared" si="600"/>
        <v>0.49627199999999999</v>
      </c>
      <c r="P2828" s="166"/>
      <c r="Q2828" s="166">
        <f t="shared" si="601"/>
        <v>2084.3424</v>
      </c>
      <c r="R2828" s="71"/>
    </row>
    <row r="2829" spans="1:41" s="61" customFormat="1" ht="31.5" x14ac:dyDescent="0.25">
      <c r="A2829" s="358"/>
      <c r="B2829" s="361"/>
      <c r="C2829" s="366"/>
      <c r="D2829" s="156" t="s">
        <v>35</v>
      </c>
      <c r="E2829" s="156" t="s">
        <v>102</v>
      </c>
      <c r="F2829" s="156" t="s">
        <v>252</v>
      </c>
      <c r="G2829" s="238">
        <f t="shared" si="599"/>
        <v>3.8174759999999996E-5</v>
      </c>
      <c r="H2829" s="158">
        <f>H2111</f>
        <v>2</v>
      </c>
      <c r="I2829" s="159">
        <f>I2827</f>
        <v>8.0167000000000002E-2</v>
      </c>
      <c r="J2829" s="160"/>
      <c r="K2829" s="161">
        <f>K2827</f>
        <v>4200</v>
      </c>
      <c r="L2829" s="250">
        <v>1</v>
      </c>
      <c r="M2829" s="163" t="str">
        <f>CONCATENATE(H2829," ",F2829,"*",I2829,"/",K2829,"чел")</f>
        <v>2 замера*0,080167/4200чел</v>
      </c>
      <c r="N2829" s="278">
        <f t="shared" si="602"/>
        <v>25830</v>
      </c>
      <c r="O2829" s="280">
        <f t="shared" si="600"/>
        <v>0.98605399999999999</v>
      </c>
      <c r="P2829" s="166"/>
      <c r="Q2829" s="166">
        <f t="shared" si="601"/>
        <v>4141.4268000000002</v>
      </c>
      <c r="R2829" s="71"/>
    </row>
    <row r="2830" spans="1:41" s="61" customFormat="1" ht="47.25" x14ac:dyDescent="0.25">
      <c r="A2830" s="358"/>
      <c r="B2830" s="361"/>
      <c r="C2830" s="366"/>
      <c r="D2830" s="156" t="s">
        <v>399</v>
      </c>
      <c r="E2830" s="156" t="s">
        <v>60</v>
      </c>
      <c r="F2830" s="156" t="s">
        <v>60</v>
      </c>
      <c r="G2830" s="238">
        <f t="shared" si="599"/>
        <v>7.634952399999999E-4</v>
      </c>
      <c r="H2830" s="158">
        <f>$H$2112</f>
        <v>4</v>
      </c>
      <c r="I2830" s="159">
        <f>I2829</f>
        <v>8.0167000000000002E-2</v>
      </c>
      <c r="J2830" s="160"/>
      <c r="K2830" s="161">
        <f>K2829</f>
        <v>4200</v>
      </c>
      <c r="L2830" s="250">
        <v>10</v>
      </c>
      <c r="M2830" s="163" t="str">
        <f>CONCATENATE(H2830," ",F2830,"*",L2830,"мес.","*",I2830,"/",K2830,"чел")</f>
        <v>4 шт.*10мес.*0,080167/4200чел</v>
      </c>
      <c r="N2830" s="278">
        <f t="shared" si="602"/>
        <v>2411.625</v>
      </c>
      <c r="O2830" s="280">
        <f t="shared" si="600"/>
        <v>1.841264</v>
      </c>
      <c r="P2830" s="166"/>
      <c r="Q2830" s="166">
        <f t="shared" si="601"/>
        <v>7733.3087999999998</v>
      </c>
      <c r="R2830" s="71"/>
    </row>
    <row r="2831" spans="1:41" s="61" customFormat="1" ht="47.25" x14ac:dyDescent="0.25">
      <c r="A2831" s="358"/>
      <c r="B2831" s="361"/>
      <c r="C2831" s="366"/>
      <c r="D2831" s="156" t="s">
        <v>36</v>
      </c>
      <c r="E2831" s="156" t="s">
        <v>31</v>
      </c>
      <c r="F2831" s="156" t="s">
        <v>224</v>
      </c>
      <c r="G2831" s="238">
        <f t="shared" si="599"/>
        <v>1.8323885699999998E-3</v>
      </c>
      <c r="H2831" s="158">
        <f>H2113</f>
        <v>8</v>
      </c>
      <c r="I2831" s="159">
        <f>I2830</f>
        <v>8.0167000000000002E-2</v>
      </c>
      <c r="J2831" s="160"/>
      <c r="K2831" s="161">
        <f>K2830</f>
        <v>4200</v>
      </c>
      <c r="L2831" s="250">
        <v>12</v>
      </c>
      <c r="M2831" s="163" t="str">
        <f>CONCATENATE(H2831," ",F2831,"*",L2831,"мес.","*",I2831,"/",K2831,"чел")</f>
        <v>8 устройств*12мес.*0,080167/4200чел</v>
      </c>
      <c r="N2831" s="278">
        <f t="shared" si="602"/>
        <v>2200</v>
      </c>
      <c r="O2831" s="280">
        <f t="shared" si="600"/>
        <v>4.0312549999999998</v>
      </c>
      <c r="P2831" s="166"/>
      <c r="Q2831" s="166">
        <f t="shared" si="601"/>
        <v>16931.271000000001</v>
      </c>
      <c r="R2831" s="71"/>
    </row>
    <row r="2832" spans="1:41" s="61" customFormat="1" ht="63" x14ac:dyDescent="0.25">
      <c r="A2832" s="358"/>
      <c r="B2832" s="361"/>
      <c r="C2832" s="366"/>
      <c r="D2832" s="156" t="s">
        <v>253</v>
      </c>
      <c r="E2832" s="156" t="s">
        <v>55</v>
      </c>
      <c r="F2832" s="156" t="s">
        <v>55</v>
      </c>
      <c r="G2832" s="238">
        <f t="shared" si="599"/>
        <v>1.1452428599999999E-3</v>
      </c>
      <c r="H2832" s="158">
        <f>H2114</f>
        <v>5</v>
      </c>
      <c r="I2832" s="159">
        <f>I2831</f>
        <v>8.0167000000000002E-2</v>
      </c>
      <c r="J2832" s="160"/>
      <c r="K2832" s="161">
        <f>K2831</f>
        <v>4200</v>
      </c>
      <c r="L2832" s="250">
        <v>12</v>
      </c>
      <c r="M2832" s="163" t="str">
        <f>CONCATENATE(H2832," ",F2832,"*",I2832,"/",K2832,"чел")</f>
        <v>5 система*0,080167/4200чел</v>
      </c>
      <c r="N2832" s="278">
        <f t="shared" si="602"/>
        <v>4251</v>
      </c>
      <c r="O2832" s="280">
        <f t="shared" si="600"/>
        <v>4.8684269999999996</v>
      </c>
      <c r="P2832" s="166"/>
      <c r="Q2832" s="166">
        <f t="shared" si="601"/>
        <v>20447.393399999997</v>
      </c>
      <c r="R2832" s="71"/>
    </row>
    <row r="2833" spans="1:41" s="61" customFormat="1" ht="31.5" x14ac:dyDescent="0.25">
      <c r="A2833" s="358"/>
      <c r="B2833" s="361"/>
      <c r="C2833" s="366"/>
      <c r="D2833" s="156" t="s">
        <v>99</v>
      </c>
      <c r="E2833" s="156" t="s">
        <v>103</v>
      </c>
      <c r="F2833" s="156" t="s">
        <v>225</v>
      </c>
      <c r="G2833" s="238">
        <f t="shared" si="599"/>
        <v>8.9710689999999993E-4</v>
      </c>
      <c r="H2833" s="158">
        <f>H2115</f>
        <v>47</v>
      </c>
      <c r="I2833" s="159">
        <f>I2832</f>
        <v>8.0167000000000002E-2</v>
      </c>
      <c r="J2833" s="160"/>
      <c r="K2833" s="161">
        <f>K2832</f>
        <v>4200</v>
      </c>
      <c r="L2833" s="250">
        <v>1</v>
      </c>
      <c r="M2833" s="163" t="str">
        <f>CONCATENATE(H2833," ",F2833,"*",I2833,"/",K2833,"чел.")</f>
        <v>47 ед.*0,080167/4200чел.</v>
      </c>
      <c r="N2833" s="164">
        <f t="shared" si="602"/>
        <v>15000</v>
      </c>
      <c r="O2833" s="165">
        <f>MROUND(G2833*N2833,0.000001)</f>
        <v>13.456602999999999</v>
      </c>
      <c r="P2833" s="166"/>
      <c r="Q2833" s="166">
        <f t="shared" si="601"/>
        <v>56517.732599999996</v>
      </c>
      <c r="R2833" s="71"/>
    </row>
    <row r="2834" spans="1:41" s="61" customFormat="1" x14ac:dyDescent="0.25">
      <c r="A2834" s="358"/>
      <c r="B2834" s="361"/>
      <c r="C2834" s="366"/>
      <c r="D2834" s="156" t="s">
        <v>27</v>
      </c>
      <c r="E2834" s="156" t="s">
        <v>28</v>
      </c>
      <c r="F2834" s="156" t="s">
        <v>28</v>
      </c>
      <c r="G2834" s="238">
        <f t="shared" si="599"/>
        <v>8.0166999999999999E-3</v>
      </c>
      <c r="H2834" s="160">
        <f>H2116</f>
        <v>420</v>
      </c>
      <c r="I2834" s="159">
        <f>I2832</f>
        <v>8.0167000000000002E-2</v>
      </c>
      <c r="J2834" s="160"/>
      <c r="K2834" s="161">
        <f>K2832</f>
        <v>4200</v>
      </c>
      <c r="L2834" s="250">
        <v>1</v>
      </c>
      <c r="M2834" s="163" t="str">
        <f>CONCATENATE(H2834," ",F2834,"*",I2834,"/",K2834,"чел")</f>
        <v>420 шт*0,080167/4200чел</v>
      </c>
      <c r="N2834" s="278">
        <f t="shared" si="602"/>
        <v>400</v>
      </c>
      <c r="O2834" s="280">
        <f t="shared" si="600"/>
        <v>3.20668</v>
      </c>
      <c r="P2834" s="166"/>
      <c r="Q2834" s="166">
        <f t="shared" si="601"/>
        <v>13468.056</v>
      </c>
      <c r="R2834" s="71"/>
    </row>
    <row r="2835" spans="1:41" s="61" customFormat="1" ht="31.5" x14ac:dyDescent="0.25">
      <c r="A2835" s="358"/>
      <c r="B2835" s="361"/>
      <c r="C2835" s="367"/>
      <c r="D2835" s="156" t="s">
        <v>104</v>
      </c>
      <c r="E2835" s="156" t="s">
        <v>105</v>
      </c>
      <c r="F2835" s="156" t="s">
        <v>226</v>
      </c>
      <c r="G2835" s="238">
        <f t="shared" si="599"/>
        <v>9.5436899999999994E-5</v>
      </c>
      <c r="H2835" s="160">
        <f>H2117</f>
        <v>5</v>
      </c>
      <c r="I2835" s="159">
        <f>I2834</f>
        <v>8.0167000000000002E-2</v>
      </c>
      <c r="J2835" s="160"/>
      <c r="K2835" s="161">
        <f>K2834</f>
        <v>4200</v>
      </c>
      <c r="L2835" s="250">
        <v>1</v>
      </c>
      <c r="M2835" s="163" t="str">
        <f>CONCATENATE(H2835," ",F2835,"*",I2835,"/",K2835,"чел")</f>
        <v>5 отключений*0,080167/4200чел</v>
      </c>
      <c r="N2835" s="278">
        <f t="shared" si="602"/>
        <v>9810</v>
      </c>
      <c r="O2835" s="280">
        <f t="shared" si="600"/>
        <v>0.93623599999999996</v>
      </c>
      <c r="P2835" s="166"/>
      <c r="Q2835" s="166">
        <f t="shared" si="601"/>
        <v>3932.1911999999998</v>
      </c>
      <c r="R2835" s="71"/>
    </row>
    <row r="2836" spans="1:41" s="109" customFormat="1" x14ac:dyDescent="0.25">
      <c r="A2836" s="358"/>
      <c r="B2836" s="361"/>
      <c r="C2836" s="249" t="s">
        <v>326</v>
      </c>
      <c r="D2836" s="240"/>
      <c r="E2836" s="240"/>
      <c r="F2836" s="240"/>
      <c r="G2836" s="227"/>
      <c r="H2836" s="228"/>
      <c r="I2836" s="206"/>
      <c r="J2836" s="228"/>
      <c r="K2836" s="207"/>
      <c r="L2836" s="257"/>
      <c r="M2836" s="209"/>
      <c r="N2836" s="281"/>
      <c r="O2836" s="279">
        <f>SUM(O2821:O2835)</f>
        <v>42.612701999999999</v>
      </c>
      <c r="P2836" s="267"/>
      <c r="Q2836" s="166"/>
      <c r="R2836" s="71"/>
      <c r="S2836" s="62"/>
      <c r="T2836" s="62"/>
      <c r="U2836" s="62"/>
      <c r="V2836" s="62"/>
      <c r="W2836" s="62"/>
      <c r="X2836" s="62"/>
      <c r="Y2836" s="62"/>
      <c r="Z2836" s="62"/>
      <c r="AA2836" s="62"/>
      <c r="AB2836" s="62"/>
      <c r="AC2836" s="62"/>
      <c r="AD2836" s="62"/>
      <c r="AE2836" s="62"/>
      <c r="AF2836" s="62"/>
      <c r="AG2836" s="62"/>
      <c r="AH2836" s="62"/>
      <c r="AI2836" s="62"/>
      <c r="AJ2836" s="62"/>
      <c r="AK2836" s="62"/>
      <c r="AL2836" s="62"/>
      <c r="AM2836" s="62"/>
      <c r="AN2836" s="62"/>
      <c r="AO2836" s="62"/>
    </row>
    <row r="2837" spans="1:41" s="61" customFormat="1" ht="31.5" x14ac:dyDescent="0.25">
      <c r="A2837" s="358"/>
      <c r="B2837" s="361"/>
      <c r="C2837" s="221" t="s">
        <v>79</v>
      </c>
      <c r="D2837" s="156" t="s">
        <v>37</v>
      </c>
      <c r="E2837" s="156" t="s">
        <v>61</v>
      </c>
      <c r="F2837" s="156" t="s">
        <v>254</v>
      </c>
      <c r="G2837" s="238">
        <f>MROUND(H2837*L2837*I2837/K2837,0.00000000001)</f>
        <v>1.9087379999999998E-5</v>
      </c>
      <c r="H2837" s="158">
        <f>$H$2119</f>
        <v>1</v>
      </c>
      <c r="I2837" s="159">
        <f>I2835</f>
        <v>8.0167000000000002E-2</v>
      </c>
      <c r="J2837" s="160"/>
      <c r="K2837" s="161">
        <f>K2835</f>
        <v>4200</v>
      </c>
      <c r="L2837" s="250">
        <v>1</v>
      </c>
      <c r="M2837" s="163" t="str">
        <f>CONCATENATE(H2837," ",F2837,"*",I2837,"/",K2837,"чел")</f>
        <v>1 автобус*0,080167/4200чел</v>
      </c>
      <c r="N2837" s="278">
        <f>N2119</f>
        <v>23352.160000000003</v>
      </c>
      <c r="O2837" s="280">
        <f>MROUND(N2837*G2837,0.000001)</f>
        <v>0.44573199999999996</v>
      </c>
      <c r="P2837" s="166"/>
      <c r="Q2837" s="166">
        <f>O2837*K2837</f>
        <v>1872.0743999999997</v>
      </c>
      <c r="R2837" s="71"/>
    </row>
    <row r="2838" spans="1:41" s="61" customFormat="1" x14ac:dyDescent="0.25">
      <c r="A2838" s="358"/>
      <c r="B2838" s="361"/>
      <c r="C2838" s="221"/>
      <c r="D2838" s="156" t="s">
        <v>255</v>
      </c>
      <c r="E2838" s="156" t="s">
        <v>28</v>
      </c>
      <c r="F2838" s="156" t="s">
        <v>28</v>
      </c>
      <c r="G2838" s="238">
        <f>MROUND(H2838*L2838*I2838/K2838,0.00000000001)</f>
        <v>1.3170292859999998E-2</v>
      </c>
      <c r="H2838" s="158">
        <f>H2120</f>
        <v>345</v>
      </c>
      <c r="I2838" s="159">
        <f>I2837</f>
        <v>8.0167000000000002E-2</v>
      </c>
      <c r="J2838" s="160"/>
      <c r="K2838" s="161">
        <f>K2837</f>
        <v>4200</v>
      </c>
      <c r="L2838" s="250">
        <v>2</v>
      </c>
      <c r="M2838" s="163" t="str">
        <f>CONCATENATE(H2838," ",F2838,"*",L2838,"раза в год","*",I2838,"/",K2838,"чел")</f>
        <v>345 шт*2раза в год*0,080167/4200чел</v>
      </c>
      <c r="N2838" s="278">
        <f>N2120</f>
        <v>436</v>
      </c>
      <c r="O2838" s="280">
        <f>MROUND(N2838*G2838,0.000001)</f>
        <v>5.742248</v>
      </c>
      <c r="P2838" s="166"/>
      <c r="Q2838" s="166">
        <f>O2838*K2838</f>
        <v>24117.441599999998</v>
      </c>
      <c r="R2838" s="71"/>
    </row>
    <row r="2839" spans="1:41" s="109" customFormat="1" x14ac:dyDescent="0.25">
      <c r="A2839" s="358"/>
      <c r="B2839" s="361"/>
      <c r="C2839" s="218" t="s">
        <v>328</v>
      </c>
      <c r="D2839" s="240"/>
      <c r="E2839" s="240"/>
      <c r="F2839" s="240"/>
      <c r="G2839" s="227"/>
      <c r="H2839" s="241"/>
      <c r="I2839" s="206"/>
      <c r="J2839" s="228"/>
      <c r="K2839" s="207"/>
      <c r="L2839" s="257"/>
      <c r="M2839" s="209"/>
      <c r="N2839" s="281"/>
      <c r="O2839" s="279">
        <f>O2838+O2837</f>
        <v>6.1879799999999996</v>
      </c>
      <c r="P2839" s="267"/>
      <c r="Q2839" s="166"/>
      <c r="R2839" s="71"/>
      <c r="S2839" s="62"/>
      <c r="T2839" s="62"/>
      <c r="U2839" s="62"/>
      <c r="V2839" s="62"/>
      <c r="W2839" s="62"/>
      <c r="X2839" s="62"/>
      <c r="Y2839" s="62"/>
      <c r="Z2839" s="62"/>
      <c r="AA2839" s="62"/>
      <c r="AB2839" s="62"/>
      <c r="AC2839" s="62"/>
      <c r="AD2839" s="62"/>
      <c r="AE2839" s="62"/>
      <c r="AF2839" s="62"/>
      <c r="AG2839" s="62"/>
      <c r="AH2839" s="62"/>
      <c r="AI2839" s="62"/>
      <c r="AJ2839" s="62"/>
      <c r="AK2839" s="62"/>
      <c r="AL2839" s="62"/>
      <c r="AM2839" s="62"/>
      <c r="AN2839" s="62"/>
      <c r="AO2839" s="62"/>
    </row>
    <row r="2840" spans="1:41" s="61" customFormat="1" x14ac:dyDescent="0.25">
      <c r="A2840" s="358"/>
      <c r="B2840" s="361"/>
      <c r="C2840" s="364" t="s">
        <v>80</v>
      </c>
      <c r="D2840" s="156" t="s">
        <v>38</v>
      </c>
      <c r="E2840" s="156" t="s">
        <v>57</v>
      </c>
      <c r="F2840" s="156" t="s">
        <v>228</v>
      </c>
      <c r="G2840" s="238">
        <f t="shared" ref="G2840:G2851" si="603">MROUND(H2840*L2840*I2840/K2840,0.00000000001)</f>
        <v>1.8323885699999998E-3</v>
      </c>
      <c r="H2840" s="158">
        <f>H2122</f>
        <v>8</v>
      </c>
      <c r="I2840" s="159">
        <f>I2837</f>
        <v>8.0167000000000002E-2</v>
      </c>
      <c r="J2840" s="160"/>
      <c r="K2840" s="161">
        <f>K2837</f>
        <v>4200</v>
      </c>
      <c r="L2840" s="250">
        <v>12</v>
      </c>
      <c r="M2840" s="163" t="str">
        <f>CONCATENATE(H2840," ",F2840,"*",L2840,"мес.","*",I2840,"/",K2840,"чел")</f>
        <v>8 зданий*12мес.*0,080167/4200чел</v>
      </c>
      <c r="N2840" s="278">
        <f t="shared" ref="N2840:N2849" si="604">N2122</f>
        <v>4694.63</v>
      </c>
      <c r="O2840" s="280">
        <f t="shared" ref="O2840:O2851" si="605">MROUND(N2840*G2840,0.000001)</f>
        <v>8.6023859999999992</v>
      </c>
      <c r="P2840" s="166"/>
      <c r="Q2840" s="166">
        <f t="shared" ref="Q2840:Q2851" si="606">O2840*K2840</f>
        <v>36130.021199999996</v>
      </c>
      <c r="R2840" s="71"/>
    </row>
    <row r="2841" spans="1:41" s="61" customFormat="1" x14ac:dyDescent="0.25">
      <c r="A2841" s="358"/>
      <c r="B2841" s="361"/>
      <c r="C2841" s="364"/>
      <c r="D2841" s="156" t="s">
        <v>256</v>
      </c>
      <c r="E2841" s="156" t="s">
        <v>20</v>
      </c>
      <c r="F2841" s="156" t="s">
        <v>20</v>
      </c>
      <c r="G2841" s="238">
        <f t="shared" si="603"/>
        <v>3.5693402399999997E-3</v>
      </c>
      <c r="H2841" s="158">
        <f>H2123</f>
        <v>187</v>
      </c>
      <c r="I2841" s="159">
        <f>I2838</f>
        <v>8.0167000000000002E-2</v>
      </c>
      <c r="J2841" s="160"/>
      <c r="K2841" s="161">
        <f>K2838</f>
        <v>4200</v>
      </c>
      <c r="L2841" s="250">
        <v>1</v>
      </c>
      <c r="M2841" s="163" t="str">
        <f t="shared" ref="M2841:M2847" si="607">CONCATENATE(H2841," ",F2841,"*",I2841,"/",K2841,"чел")</f>
        <v>187 чел.*0,080167/4200чел</v>
      </c>
      <c r="N2841" s="278">
        <f t="shared" si="604"/>
        <v>1853</v>
      </c>
      <c r="O2841" s="280">
        <f t="shared" si="605"/>
        <v>6.6139869999999998</v>
      </c>
      <c r="P2841" s="166"/>
      <c r="Q2841" s="166">
        <f t="shared" si="606"/>
        <v>27778.7454</v>
      </c>
      <c r="R2841" s="71"/>
    </row>
    <row r="2842" spans="1:41" s="61" customFormat="1" ht="63" x14ac:dyDescent="0.25">
      <c r="A2842" s="358"/>
      <c r="B2842" s="361"/>
      <c r="C2842" s="364"/>
      <c r="D2842" s="156" t="s">
        <v>39</v>
      </c>
      <c r="E2842" s="156" t="s">
        <v>20</v>
      </c>
      <c r="F2842" s="156" t="s">
        <v>234</v>
      </c>
      <c r="G2842" s="238">
        <f t="shared" si="603"/>
        <v>1.7178642999999999E-4</v>
      </c>
      <c r="H2842" s="158">
        <f>H2124</f>
        <v>9</v>
      </c>
      <c r="I2842" s="159">
        <f>I2840</f>
        <v>8.0167000000000002E-2</v>
      </c>
      <c r="J2842" s="160"/>
      <c r="K2842" s="161">
        <f>K2840</f>
        <v>4200</v>
      </c>
      <c r="L2842" s="250">
        <v>1</v>
      </c>
      <c r="M2842" s="163" t="str">
        <f t="shared" si="607"/>
        <v>9 чел(заявленная потребность руководителями учреждений)*0,080167/4200чел</v>
      </c>
      <c r="N2842" s="278">
        <f t="shared" si="604"/>
        <v>763</v>
      </c>
      <c r="O2842" s="280">
        <f t="shared" si="605"/>
        <v>0.131073</v>
      </c>
      <c r="P2842" s="166"/>
      <c r="Q2842" s="166">
        <f t="shared" si="606"/>
        <v>550.50659999999993</v>
      </c>
      <c r="R2842" s="71"/>
    </row>
    <row r="2843" spans="1:41" s="61" customFormat="1" ht="63" x14ac:dyDescent="0.25">
      <c r="A2843" s="358"/>
      <c r="B2843" s="361"/>
      <c r="C2843" s="364"/>
      <c r="D2843" s="156" t="s">
        <v>40</v>
      </c>
      <c r="E2843" s="156" t="s">
        <v>20</v>
      </c>
      <c r="F2843" s="156" t="s">
        <v>234</v>
      </c>
      <c r="G2843" s="238">
        <f t="shared" si="603"/>
        <v>2.4813594999999997E-4</v>
      </c>
      <c r="H2843" s="158">
        <f>H2125</f>
        <v>13</v>
      </c>
      <c r="I2843" s="159">
        <f t="shared" ref="I2843:I2848" si="608">I2842</f>
        <v>8.0167000000000002E-2</v>
      </c>
      <c r="J2843" s="160"/>
      <c r="K2843" s="161">
        <f t="shared" ref="K2843:K2848" si="609">K2842</f>
        <v>4200</v>
      </c>
      <c r="L2843" s="250">
        <v>1</v>
      </c>
      <c r="M2843" s="163" t="str">
        <f t="shared" si="607"/>
        <v>13 чел(заявленная потребность руководителями учреждений)*0,080167/4200чел</v>
      </c>
      <c r="N2843" s="278">
        <f t="shared" si="604"/>
        <v>1635</v>
      </c>
      <c r="O2843" s="280">
        <f t="shared" si="605"/>
        <v>0.40570200000000001</v>
      </c>
      <c r="P2843" s="166"/>
      <c r="Q2843" s="166">
        <f t="shared" si="606"/>
        <v>1703.9484</v>
      </c>
      <c r="R2843" s="71"/>
    </row>
    <row r="2844" spans="1:41" s="61" customFormat="1" ht="63" x14ac:dyDescent="0.25">
      <c r="A2844" s="358"/>
      <c r="B2844" s="361"/>
      <c r="C2844" s="364"/>
      <c r="D2844" s="156" t="s">
        <v>100</v>
      </c>
      <c r="E2844" s="156" t="s">
        <v>20</v>
      </c>
      <c r="F2844" s="156" t="s">
        <v>234</v>
      </c>
      <c r="G2844" s="238">
        <f t="shared" si="603"/>
        <v>1.3361166999999998E-4</v>
      </c>
      <c r="H2844" s="158">
        <f>H2126</f>
        <v>7</v>
      </c>
      <c r="I2844" s="159">
        <f t="shared" si="608"/>
        <v>8.0167000000000002E-2</v>
      </c>
      <c r="J2844" s="160"/>
      <c r="K2844" s="161">
        <f t="shared" si="609"/>
        <v>4200</v>
      </c>
      <c r="L2844" s="250">
        <v>1</v>
      </c>
      <c r="M2844" s="163" t="str">
        <f t="shared" si="607"/>
        <v>7 чел(заявленная потребность руководителями учреждений)*0,080167/4200чел</v>
      </c>
      <c r="N2844" s="278">
        <f t="shared" si="604"/>
        <v>3488</v>
      </c>
      <c r="O2844" s="280">
        <f t="shared" si="605"/>
        <v>0.46603799999999995</v>
      </c>
      <c r="P2844" s="166"/>
      <c r="Q2844" s="166">
        <f t="shared" si="606"/>
        <v>1957.3595999999998</v>
      </c>
      <c r="R2844" s="71"/>
    </row>
    <row r="2845" spans="1:41" s="61" customFormat="1" ht="110.25" x14ac:dyDescent="0.25">
      <c r="A2845" s="358"/>
      <c r="B2845" s="361"/>
      <c r="C2845" s="364"/>
      <c r="D2845" s="156" t="s">
        <v>235</v>
      </c>
      <c r="E2845" s="156" t="s">
        <v>50</v>
      </c>
      <c r="F2845" s="156" t="s">
        <v>230</v>
      </c>
      <c r="G2845" s="238">
        <f t="shared" si="603"/>
        <v>9.5436899999999994E-5</v>
      </c>
      <c r="H2845" s="158">
        <v>5</v>
      </c>
      <c r="I2845" s="159">
        <f t="shared" si="608"/>
        <v>8.0167000000000002E-2</v>
      </c>
      <c r="J2845" s="160"/>
      <c r="K2845" s="161">
        <f t="shared" si="609"/>
        <v>4200</v>
      </c>
      <c r="L2845" s="250">
        <v>1</v>
      </c>
      <c r="M2845" s="163" t="str">
        <f t="shared" si="607"/>
        <v>5 отчетов*0,080167/4200чел</v>
      </c>
      <c r="N2845" s="278">
        <f t="shared" si="604"/>
        <v>6540</v>
      </c>
      <c r="O2845" s="280">
        <f t="shared" si="605"/>
        <v>0.62415699999999996</v>
      </c>
      <c r="P2845" s="166"/>
      <c r="Q2845" s="166">
        <f t="shared" si="606"/>
        <v>2621.4593999999997</v>
      </c>
      <c r="R2845" s="71"/>
    </row>
    <row r="2846" spans="1:41" s="61" customFormat="1" ht="63" x14ac:dyDescent="0.25">
      <c r="A2846" s="358"/>
      <c r="B2846" s="361"/>
      <c r="C2846" s="364"/>
      <c r="D2846" s="156" t="s">
        <v>42</v>
      </c>
      <c r="E2846" s="156" t="s">
        <v>51</v>
      </c>
      <c r="F2846" s="156" t="s">
        <v>407</v>
      </c>
      <c r="G2846" s="238">
        <f t="shared" si="603"/>
        <v>4.9627189999999993E-4</v>
      </c>
      <c r="H2846" s="158">
        <f>H2128</f>
        <v>26</v>
      </c>
      <c r="I2846" s="159">
        <f t="shared" si="608"/>
        <v>8.0167000000000002E-2</v>
      </c>
      <c r="J2846" s="160"/>
      <c r="K2846" s="161">
        <f t="shared" si="609"/>
        <v>4200</v>
      </c>
      <c r="L2846" s="250">
        <v>1</v>
      </c>
      <c r="M2846" s="163" t="str">
        <f t="shared" si="607"/>
        <v>26 ед (заявленная потребность руководителями учреждений)*0,080167/4200чел</v>
      </c>
      <c r="N2846" s="278">
        <f t="shared" si="604"/>
        <v>1090</v>
      </c>
      <c r="O2846" s="280">
        <f t="shared" si="605"/>
        <v>0.54093599999999997</v>
      </c>
      <c r="P2846" s="166"/>
      <c r="Q2846" s="166">
        <f t="shared" si="606"/>
        <v>2271.9312</v>
      </c>
      <c r="R2846" s="71"/>
    </row>
    <row r="2847" spans="1:41" s="61" customFormat="1" ht="31.5" x14ac:dyDescent="0.25">
      <c r="A2847" s="358"/>
      <c r="B2847" s="361"/>
      <c r="C2847" s="364"/>
      <c r="D2847" s="156" t="s">
        <v>43</v>
      </c>
      <c r="E2847" s="156" t="s">
        <v>52</v>
      </c>
      <c r="F2847" s="156" t="s">
        <v>231</v>
      </c>
      <c r="G2847" s="238">
        <f t="shared" si="603"/>
        <v>9.5436899999999994E-5</v>
      </c>
      <c r="H2847" s="158">
        <v>5</v>
      </c>
      <c r="I2847" s="159">
        <f t="shared" si="608"/>
        <v>8.0167000000000002E-2</v>
      </c>
      <c r="J2847" s="160"/>
      <c r="K2847" s="161">
        <f t="shared" si="609"/>
        <v>4200</v>
      </c>
      <c r="L2847" s="250">
        <v>1</v>
      </c>
      <c r="M2847" s="163" t="str">
        <f t="shared" si="607"/>
        <v>5 ЭЦП*0,080167/4200чел</v>
      </c>
      <c r="N2847" s="278">
        <f t="shared" si="604"/>
        <v>7743.3600000000006</v>
      </c>
      <c r="O2847" s="280">
        <f t="shared" si="605"/>
        <v>0.73900199999999994</v>
      </c>
      <c r="P2847" s="166"/>
      <c r="Q2847" s="166">
        <f t="shared" si="606"/>
        <v>3103.8083999999999</v>
      </c>
      <c r="R2847" s="71"/>
    </row>
    <row r="2848" spans="1:41" s="61" customFormat="1" x14ac:dyDescent="0.25">
      <c r="A2848" s="358"/>
      <c r="B2848" s="361"/>
      <c r="C2848" s="364"/>
      <c r="D2848" s="156" t="s">
        <v>373</v>
      </c>
      <c r="E2848" s="156" t="s">
        <v>28</v>
      </c>
      <c r="F2848" s="156" t="s">
        <v>28</v>
      </c>
      <c r="G2848" s="238">
        <f t="shared" si="603"/>
        <v>9.5436899999999994E-5</v>
      </c>
      <c r="H2848" s="158">
        <f>H2130</f>
        <v>5</v>
      </c>
      <c r="I2848" s="159">
        <f t="shared" si="608"/>
        <v>8.0167000000000002E-2</v>
      </c>
      <c r="J2848" s="160"/>
      <c r="K2848" s="161">
        <f t="shared" si="609"/>
        <v>4200</v>
      </c>
      <c r="L2848" s="250">
        <v>1</v>
      </c>
      <c r="M2848" s="163" t="str">
        <f>CONCATENATE(H2848," ",F2848,"*",I2848,"/",K2848,"чел/час")</f>
        <v>5 шт*0,080167/4200чел/час</v>
      </c>
      <c r="N2848" s="278">
        <f t="shared" si="604"/>
        <v>24000</v>
      </c>
      <c r="O2848" s="280">
        <f t="shared" si="605"/>
        <v>2.290486</v>
      </c>
      <c r="P2848" s="166"/>
      <c r="Q2848" s="166">
        <f t="shared" si="606"/>
        <v>9620.0411999999997</v>
      </c>
      <c r="R2848" s="71"/>
    </row>
    <row r="2849" spans="1:41" s="61" customFormat="1" ht="63" x14ac:dyDescent="0.25">
      <c r="A2849" s="358"/>
      <c r="B2849" s="361"/>
      <c r="C2849" s="364"/>
      <c r="D2849" s="156" t="s">
        <v>45</v>
      </c>
      <c r="E2849" s="156" t="s">
        <v>53</v>
      </c>
      <c r="F2849" s="156" t="s">
        <v>257</v>
      </c>
      <c r="G2849" s="238">
        <f t="shared" si="603"/>
        <v>2.2904856999999998E-4</v>
      </c>
      <c r="H2849" s="158">
        <v>1</v>
      </c>
      <c r="I2849" s="159">
        <f>I2847</f>
        <v>8.0167000000000002E-2</v>
      </c>
      <c r="J2849" s="160"/>
      <c r="K2849" s="161">
        <f>K2847</f>
        <v>4200</v>
      </c>
      <c r="L2849" s="250">
        <v>12</v>
      </c>
      <c r="M2849" s="163" t="str">
        <f>CONCATENATE(H2849," ",F2849,"*",L2849,"мес.","*",I2849,"/",K2849,"чел")</f>
        <v>1  машина, оборудованная системой ГЛОНАСС*12мес.*0,080167/4200чел</v>
      </c>
      <c r="N2849" s="278">
        <f t="shared" si="604"/>
        <v>880.71999999999991</v>
      </c>
      <c r="O2849" s="280">
        <f t="shared" si="605"/>
        <v>0.20172799999999999</v>
      </c>
      <c r="P2849" s="166"/>
      <c r="Q2849" s="166">
        <f t="shared" si="606"/>
        <v>847.25759999999991</v>
      </c>
      <c r="R2849" s="71"/>
    </row>
    <row r="2850" spans="1:41" s="136" customFormat="1" ht="47.25" x14ac:dyDescent="0.25">
      <c r="A2850" s="358"/>
      <c r="B2850" s="361"/>
      <c r="C2850" s="364"/>
      <c r="D2850" s="156" t="s">
        <v>44</v>
      </c>
      <c r="E2850" s="156" t="s">
        <v>85</v>
      </c>
      <c r="F2850" s="156" t="s">
        <v>232</v>
      </c>
      <c r="G2850" s="238">
        <f t="shared" si="603"/>
        <v>5.8025638099999995E-3</v>
      </c>
      <c r="H2850" s="158">
        <f>$H$2132</f>
        <v>304</v>
      </c>
      <c r="I2850" s="159">
        <f>I2849</f>
        <v>8.0167000000000002E-2</v>
      </c>
      <c r="J2850" s="160"/>
      <c r="K2850" s="161">
        <f>K2849</f>
        <v>4200</v>
      </c>
      <c r="L2850" s="250">
        <v>1</v>
      </c>
      <c r="M2850" s="163" t="str">
        <f>CONCATENATE(H2850," ",F2850,"*",L2850,"мес.","*",I2850,"/",K2850,"чел.")</f>
        <v>304 мед.осмотров в мес.*1мес.*0,080167/4200чел.</v>
      </c>
      <c r="N2850" s="278">
        <f>$N$2132</f>
        <v>56.680000000000007</v>
      </c>
      <c r="O2850" s="280">
        <f t="shared" si="605"/>
        <v>0.32888899999999999</v>
      </c>
      <c r="P2850" s="166"/>
      <c r="Q2850" s="166">
        <f t="shared" si="606"/>
        <v>1381.3337999999999</v>
      </c>
      <c r="R2850" s="71"/>
      <c r="S2850" s="71"/>
      <c r="T2850" s="61"/>
      <c r="U2850" s="61"/>
      <c r="V2850" s="61"/>
      <c r="W2850" s="61"/>
      <c r="X2850" s="61"/>
      <c r="Y2850" s="61"/>
      <c r="Z2850" s="61"/>
      <c r="AA2850" s="61"/>
      <c r="AB2850" s="61"/>
      <c r="AC2850" s="61"/>
      <c r="AD2850" s="61"/>
      <c r="AE2850" s="61"/>
      <c r="AF2850" s="61"/>
      <c r="AG2850" s="61"/>
      <c r="AH2850" s="61"/>
      <c r="AI2850" s="61"/>
      <c r="AJ2850" s="61"/>
      <c r="AK2850" s="61"/>
      <c r="AL2850" s="61"/>
      <c r="AM2850" s="61"/>
      <c r="AN2850" s="61"/>
      <c r="AO2850" s="61"/>
    </row>
    <row r="2851" spans="1:41" s="61" customFormat="1" ht="31.5" x14ac:dyDescent="0.25">
      <c r="A2851" s="358"/>
      <c r="B2851" s="361"/>
      <c r="C2851" s="364"/>
      <c r="D2851" s="156" t="s">
        <v>408</v>
      </c>
      <c r="E2851" s="156" t="s">
        <v>20</v>
      </c>
      <c r="F2851" s="156" t="s">
        <v>20</v>
      </c>
      <c r="G2851" s="238">
        <f t="shared" si="603"/>
        <v>5.7262142999999995E-4</v>
      </c>
      <c r="H2851" s="158">
        <f>H2133</f>
        <v>30</v>
      </c>
      <c r="I2851" s="159">
        <f>I2849</f>
        <v>8.0167000000000002E-2</v>
      </c>
      <c r="J2851" s="160"/>
      <c r="K2851" s="161">
        <f>K2849</f>
        <v>4200</v>
      </c>
      <c r="L2851" s="250">
        <f>L2133</f>
        <v>1</v>
      </c>
      <c r="M2851" s="163" t="str">
        <f>CONCATENATE(H2851," ",F2851,"*",L2851," раз в год","*",I2851,"/",K2851,"чел.")</f>
        <v>30 чел.*1 раз в год*0,080167/4200чел.</v>
      </c>
      <c r="N2851" s="278">
        <f>N2133</f>
        <v>472.33333333333331</v>
      </c>
      <c r="O2851" s="280">
        <f t="shared" si="605"/>
        <v>0.27046799999999999</v>
      </c>
      <c r="P2851" s="166"/>
      <c r="Q2851" s="166">
        <f t="shared" si="606"/>
        <v>1135.9656</v>
      </c>
      <c r="R2851" s="71"/>
    </row>
    <row r="2852" spans="1:41" s="109" customFormat="1" x14ac:dyDescent="0.25">
      <c r="A2852" s="358"/>
      <c r="B2852" s="361"/>
      <c r="C2852" s="245" t="s">
        <v>329</v>
      </c>
      <c r="D2852" s="240"/>
      <c r="E2852" s="240"/>
      <c r="F2852" s="240"/>
      <c r="G2852" s="227"/>
      <c r="H2852" s="241"/>
      <c r="I2852" s="206"/>
      <c r="J2852" s="228"/>
      <c r="K2852" s="207"/>
      <c r="L2852" s="257"/>
      <c r="M2852" s="209"/>
      <c r="N2852" s="281"/>
      <c r="O2852" s="279">
        <f>SUM(O2840:O2851)</f>
        <v>21.214852</v>
      </c>
      <c r="P2852" s="267"/>
      <c r="Q2852" s="166"/>
      <c r="R2852" s="71"/>
      <c r="S2852" s="62"/>
      <c r="T2852" s="62"/>
      <c r="U2852" s="62"/>
      <c r="V2852" s="62"/>
      <c r="W2852" s="62"/>
      <c r="X2852" s="62"/>
      <c r="Y2852" s="62"/>
      <c r="Z2852" s="62"/>
      <c r="AA2852" s="62"/>
      <c r="AB2852" s="62"/>
      <c r="AC2852" s="62"/>
      <c r="AD2852" s="62"/>
      <c r="AE2852" s="62"/>
      <c r="AF2852" s="62"/>
      <c r="AG2852" s="62"/>
      <c r="AH2852" s="62"/>
      <c r="AI2852" s="62"/>
      <c r="AJ2852" s="62"/>
      <c r="AK2852" s="62"/>
      <c r="AL2852" s="62"/>
      <c r="AM2852" s="62"/>
      <c r="AN2852" s="62"/>
      <c r="AO2852" s="62"/>
    </row>
    <row r="2853" spans="1:41" s="61" customFormat="1" ht="31.5" x14ac:dyDescent="0.25">
      <c r="A2853" s="358"/>
      <c r="B2853" s="361"/>
      <c r="C2853" s="252" t="s">
        <v>237</v>
      </c>
      <c r="D2853" s="156" t="s">
        <v>41</v>
      </c>
      <c r="E2853" s="156" t="s">
        <v>61</v>
      </c>
      <c r="F2853" s="156" t="s">
        <v>254</v>
      </c>
      <c r="G2853" s="238">
        <f t="shared" ref="G2853:G2864" si="610">MROUND(H2853*L2853*I2853/K2853,0.00000000001)</f>
        <v>1.9087379999999998E-5</v>
      </c>
      <c r="H2853" s="158">
        <v>1</v>
      </c>
      <c r="I2853" s="159">
        <f>I2851</f>
        <v>8.0167000000000002E-2</v>
      </c>
      <c r="J2853" s="160"/>
      <c r="K2853" s="161">
        <f>K2851</f>
        <v>4200</v>
      </c>
      <c r="L2853" s="250">
        <v>1</v>
      </c>
      <c r="M2853" s="163" t="str">
        <f>CONCATENATE(H2853," ",F2853,"*",I2853,"/",K2853,"чел")</f>
        <v>1 автобус*0,080167/4200чел</v>
      </c>
      <c r="N2853" s="278">
        <f>N2135</f>
        <v>25724</v>
      </c>
      <c r="O2853" s="280">
        <f t="shared" ref="O2853:O2870" si="611">MROUND(N2853*G2853,0.000001)</f>
        <v>0.491004</v>
      </c>
      <c r="P2853" s="166"/>
      <c r="Q2853" s="166">
        <f t="shared" ref="Q2853:Q2864" si="612">O2853*K2853</f>
        <v>2062.2168000000001</v>
      </c>
      <c r="R2853" s="71"/>
    </row>
    <row r="2854" spans="1:41" s="61" customFormat="1" ht="78.75" x14ac:dyDescent="0.25">
      <c r="A2854" s="358"/>
      <c r="B2854" s="361"/>
      <c r="C2854" s="221" t="s">
        <v>236</v>
      </c>
      <c r="D2854" s="156" t="s">
        <v>19</v>
      </c>
      <c r="E2854" s="181" t="s">
        <v>20</v>
      </c>
      <c r="F2854" s="181" t="s">
        <v>238</v>
      </c>
      <c r="G2854" s="238">
        <f t="shared" si="610"/>
        <v>0</v>
      </c>
      <c r="H2854" s="158"/>
      <c r="I2854" s="159">
        <f>I2851</f>
        <v>8.0167000000000002E-2</v>
      </c>
      <c r="J2854" s="160"/>
      <c r="K2854" s="161">
        <f>K2851</f>
        <v>4200</v>
      </c>
      <c r="L2854" s="250"/>
      <c r="M2854" s="163"/>
      <c r="N2854" s="278"/>
      <c r="O2854" s="280">
        <f t="shared" si="611"/>
        <v>0</v>
      </c>
      <c r="P2854" s="166"/>
      <c r="Q2854" s="166">
        <f t="shared" si="612"/>
        <v>0</v>
      </c>
      <c r="R2854" s="71"/>
    </row>
    <row r="2855" spans="1:41" s="136" customFormat="1" ht="31.5" x14ac:dyDescent="0.25">
      <c r="A2855" s="358"/>
      <c r="B2855" s="361"/>
      <c r="C2855" s="372" t="s">
        <v>81</v>
      </c>
      <c r="D2855" s="156" t="s">
        <v>419</v>
      </c>
      <c r="E2855" s="156" t="s">
        <v>28</v>
      </c>
      <c r="F2855" s="156" t="s">
        <v>439</v>
      </c>
      <c r="G2855" s="238">
        <f t="shared" si="610"/>
        <v>1.5269905E-4</v>
      </c>
      <c r="H2855" s="158">
        <f>$H$2137</f>
        <v>8</v>
      </c>
      <c r="I2855" s="159">
        <f>I2854</f>
        <v>8.0167000000000002E-2</v>
      </c>
      <c r="J2855" s="160"/>
      <c r="K2855" s="161">
        <f>K2854</f>
        <v>4200</v>
      </c>
      <c r="L2855" s="250">
        <v>1</v>
      </c>
      <c r="M2855" s="163" t="str">
        <f>CONCATENATE(H2855," ",F2855,"*",I2855,"/",K2855,"чел/час")</f>
        <v>8 шт (потребность учреждений) *0,080167/4200чел/час</v>
      </c>
      <c r="N2855" s="278">
        <f>$N$2137</f>
        <v>33750</v>
      </c>
      <c r="O2855" s="280">
        <f t="shared" si="611"/>
        <v>5.1535929999999999</v>
      </c>
      <c r="P2855" s="166"/>
      <c r="Q2855" s="166">
        <f t="shared" si="612"/>
        <v>21645.0906</v>
      </c>
      <c r="R2855" s="71"/>
      <c r="S2855" s="61"/>
      <c r="T2855" s="71"/>
      <c r="U2855" s="61"/>
      <c r="V2855" s="61"/>
      <c r="W2855" s="61"/>
      <c r="X2855" s="61"/>
      <c r="Y2855" s="61"/>
      <c r="Z2855" s="61"/>
      <c r="AA2855" s="61"/>
      <c r="AB2855" s="61"/>
      <c r="AC2855" s="61"/>
      <c r="AD2855" s="61"/>
      <c r="AE2855" s="61"/>
      <c r="AF2855" s="61"/>
      <c r="AG2855" s="61"/>
      <c r="AH2855" s="61"/>
      <c r="AI2855" s="61"/>
      <c r="AJ2855" s="61"/>
      <c r="AK2855" s="61"/>
      <c r="AL2855" s="61"/>
      <c r="AM2855" s="61"/>
      <c r="AN2855" s="61"/>
      <c r="AO2855" s="61"/>
    </row>
    <row r="2856" spans="1:41" s="136" customFormat="1" ht="31.5" x14ac:dyDescent="0.25">
      <c r="A2856" s="358"/>
      <c r="B2856" s="361"/>
      <c r="C2856" s="373"/>
      <c r="D2856" s="156" t="s">
        <v>425</v>
      </c>
      <c r="E2856" s="156" t="s">
        <v>28</v>
      </c>
      <c r="F2856" s="156" t="s">
        <v>439</v>
      </c>
      <c r="G2856" s="238">
        <f t="shared" si="610"/>
        <v>5.7262139999999998E-5</v>
      </c>
      <c r="H2856" s="158">
        <f>$H$2138</f>
        <v>3</v>
      </c>
      <c r="I2856" s="159">
        <f t="shared" ref="I2856:I2864" si="613">I2855</f>
        <v>8.0167000000000002E-2</v>
      </c>
      <c r="J2856" s="160"/>
      <c r="K2856" s="161">
        <f t="shared" ref="K2856:K2864" si="614">K2855</f>
        <v>4200</v>
      </c>
      <c r="L2856" s="250">
        <v>1</v>
      </c>
      <c r="M2856" s="163" t="str">
        <f t="shared" ref="M2856:M2864" si="615">CONCATENATE(H2856," ",F2856,"*",I2856,"/",K2856,"чел/час")</f>
        <v>3 шт (потребность учреждений) *0,080167/4200чел/час</v>
      </c>
      <c r="N2856" s="278">
        <f>$N$2138</f>
        <v>12000</v>
      </c>
      <c r="O2856" s="280">
        <f t="shared" si="611"/>
        <v>0.68714599999999992</v>
      </c>
      <c r="P2856" s="166"/>
      <c r="Q2856" s="166">
        <f t="shared" si="612"/>
        <v>2886.0131999999999</v>
      </c>
      <c r="R2856" s="71"/>
      <c r="S2856" s="61"/>
      <c r="T2856" s="71"/>
      <c r="U2856" s="61"/>
      <c r="V2856" s="61"/>
      <c r="W2856" s="61"/>
      <c r="X2856" s="61"/>
      <c r="Y2856" s="61"/>
      <c r="Z2856" s="61"/>
      <c r="AA2856" s="61"/>
      <c r="AB2856" s="61"/>
      <c r="AC2856" s="61"/>
      <c r="AD2856" s="61"/>
      <c r="AE2856" s="61"/>
      <c r="AF2856" s="61"/>
      <c r="AG2856" s="61"/>
      <c r="AH2856" s="61"/>
      <c r="AI2856" s="61"/>
      <c r="AJ2856" s="61"/>
      <c r="AK2856" s="61"/>
      <c r="AL2856" s="61"/>
      <c r="AM2856" s="61"/>
      <c r="AN2856" s="61"/>
      <c r="AO2856" s="61"/>
    </row>
    <row r="2857" spans="1:41" s="136" customFormat="1" ht="31.5" x14ac:dyDescent="0.25">
      <c r="A2857" s="358"/>
      <c r="B2857" s="361"/>
      <c r="C2857" s="373"/>
      <c r="D2857" s="156" t="s">
        <v>426</v>
      </c>
      <c r="E2857" s="156" t="s">
        <v>28</v>
      </c>
      <c r="F2857" s="156" t="s">
        <v>439</v>
      </c>
      <c r="G2857" s="238">
        <f t="shared" si="610"/>
        <v>4.0083499999999999E-4</v>
      </c>
      <c r="H2857" s="158">
        <f>$H$2139</f>
        <v>21</v>
      </c>
      <c r="I2857" s="159">
        <f t="shared" si="613"/>
        <v>8.0167000000000002E-2</v>
      </c>
      <c r="J2857" s="160"/>
      <c r="K2857" s="161">
        <f t="shared" si="614"/>
        <v>4200</v>
      </c>
      <c r="L2857" s="250">
        <v>1</v>
      </c>
      <c r="M2857" s="163" t="str">
        <f t="shared" si="615"/>
        <v>21 шт (потребность учреждений) *0,080167/4200чел/час</v>
      </c>
      <c r="N2857" s="278">
        <f>$N$2139</f>
        <v>9714.2857142857138</v>
      </c>
      <c r="O2857" s="280">
        <f t="shared" si="611"/>
        <v>3.8938259999999998</v>
      </c>
      <c r="P2857" s="166"/>
      <c r="Q2857" s="166">
        <f t="shared" si="612"/>
        <v>16354.0692</v>
      </c>
      <c r="R2857" s="71"/>
      <c r="S2857" s="61"/>
      <c r="T2857" s="71"/>
      <c r="U2857" s="61"/>
      <c r="V2857" s="61"/>
      <c r="W2857" s="61"/>
      <c r="X2857" s="61"/>
      <c r="Y2857" s="61"/>
      <c r="Z2857" s="61"/>
      <c r="AA2857" s="61"/>
      <c r="AB2857" s="61"/>
      <c r="AC2857" s="61"/>
      <c r="AD2857" s="61"/>
      <c r="AE2857" s="61"/>
      <c r="AF2857" s="61"/>
      <c r="AG2857" s="61"/>
      <c r="AH2857" s="61"/>
      <c r="AI2857" s="61"/>
      <c r="AJ2857" s="61"/>
      <c r="AK2857" s="61"/>
      <c r="AL2857" s="61"/>
      <c r="AM2857" s="61"/>
      <c r="AN2857" s="61"/>
      <c r="AO2857" s="61"/>
    </row>
    <row r="2858" spans="1:41" s="136" customFormat="1" ht="31.5" x14ac:dyDescent="0.25">
      <c r="A2858" s="358"/>
      <c r="B2858" s="361"/>
      <c r="C2858" s="373"/>
      <c r="D2858" s="156" t="s">
        <v>427</v>
      </c>
      <c r="E2858" s="156" t="s">
        <v>28</v>
      </c>
      <c r="F2858" s="156" t="s">
        <v>439</v>
      </c>
      <c r="G2858" s="238">
        <f t="shared" si="610"/>
        <v>9.5436904999999996E-4</v>
      </c>
      <c r="H2858" s="158">
        <f>$H$2140</f>
        <v>50</v>
      </c>
      <c r="I2858" s="159">
        <f t="shared" si="613"/>
        <v>8.0167000000000002E-2</v>
      </c>
      <c r="J2858" s="160"/>
      <c r="K2858" s="161">
        <f t="shared" si="614"/>
        <v>4200</v>
      </c>
      <c r="L2858" s="250">
        <v>1</v>
      </c>
      <c r="M2858" s="163" t="str">
        <f t="shared" si="615"/>
        <v>50 шт (потребность учреждений) *0,080167/4200чел/час</v>
      </c>
      <c r="N2858" s="278">
        <f>$N$2140</f>
        <v>4400</v>
      </c>
      <c r="O2858" s="280">
        <f t="shared" si="611"/>
        <v>4.1992240000000001</v>
      </c>
      <c r="P2858" s="166"/>
      <c r="Q2858" s="166">
        <f t="shared" si="612"/>
        <v>17636.7408</v>
      </c>
      <c r="R2858" s="71"/>
      <c r="S2858" s="61"/>
      <c r="T2858" s="71"/>
      <c r="U2858" s="61"/>
      <c r="V2858" s="61"/>
      <c r="W2858" s="61"/>
      <c r="X2858" s="61"/>
      <c r="Y2858" s="61"/>
      <c r="Z2858" s="61"/>
      <c r="AA2858" s="61"/>
      <c r="AB2858" s="61"/>
      <c r="AC2858" s="61"/>
      <c r="AD2858" s="61"/>
      <c r="AE2858" s="61"/>
      <c r="AF2858" s="61"/>
      <c r="AG2858" s="61"/>
      <c r="AH2858" s="61"/>
      <c r="AI2858" s="61"/>
      <c r="AJ2858" s="61"/>
      <c r="AK2858" s="61"/>
      <c r="AL2858" s="61"/>
      <c r="AM2858" s="61"/>
      <c r="AN2858" s="61"/>
      <c r="AO2858" s="61"/>
    </row>
    <row r="2859" spans="1:41" s="136" customFormat="1" ht="31.5" x14ac:dyDescent="0.25">
      <c r="A2859" s="358"/>
      <c r="B2859" s="361"/>
      <c r="C2859" s="373"/>
      <c r="D2859" s="156" t="s">
        <v>428</v>
      </c>
      <c r="E2859" s="156" t="s">
        <v>28</v>
      </c>
      <c r="F2859" s="156" t="s">
        <v>439</v>
      </c>
      <c r="G2859" s="238">
        <f t="shared" si="610"/>
        <v>2.0232623799999998E-3</v>
      </c>
      <c r="H2859" s="158">
        <f>$H$2141</f>
        <v>106</v>
      </c>
      <c r="I2859" s="159">
        <f t="shared" si="613"/>
        <v>8.0167000000000002E-2</v>
      </c>
      <c r="J2859" s="160"/>
      <c r="K2859" s="161">
        <f t="shared" si="614"/>
        <v>4200</v>
      </c>
      <c r="L2859" s="250">
        <v>1</v>
      </c>
      <c r="M2859" s="163" t="str">
        <f t="shared" si="615"/>
        <v>106 шт (потребность учреждений) *0,080167/4200чел/час</v>
      </c>
      <c r="N2859" s="278">
        <f>N$2141</f>
        <v>4037.7358490566039</v>
      </c>
      <c r="O2859" s="280">
        <f t="shared" si="611"/>
        <v>8.1693990000000003</v>
      </c>
      <c r="P2859" s="166"/>
      <c r="Q2859" s="166">
        <f t="shared" si="612"/>
        <v>34311.4758</v>
      </c>
      <c r="R2859" s="71"/>
      <c r="S2859" s="61"/>
      <c r="T2859" s="71"/>
      <c r="U2859" s="61"/>
      <c r="V2859" s="61"/>
      <c r="W2859" s="61"/>
      <c r="X2859" s="61"/>
      <c r="Y2859" s="61"/>
      <c r="Z2859" s="61"/>
      <c r="AA2859" s="61"/>
      <c r="AB2859" s="61"/>
      <c r="AC2859" s="61"/>
      <c r="AD2859" s="61"/>
      <c r="AE2859" s="61"/>
      <c r="AF2859" s="61"/>
      <c r="AG2859" s="61"/>
      <c r="AH2859" s="61"/>
      <c r="AI2859" s="61"/>
      <c r="AJ2859" s="61"/>
      <c r="AK2859" s="61"/>
      <c r="AL2859" s="61"/>
      <c r="AM2859" s="61"/>
      <c r="AN2859" s="61"/>
      <c r="AO2859" s="61"/>
    </row>
    <row r="2860" spans="1:41" s="136" customFormat="1" ht="31.5" x14ac:dyDescent="0.25">
      <c r="A2860" s="358"/>
      <c r="B2860" s="361"/>
      <c r="C2860" s="373"/>
      <c r="D2860" s="156" t="s">
        <v>429</v>
      </c>
      <c r="E2860" s="156" t="s">
        <v>28</v>
      </c>
      <c r="F2860" s="156" t="s">
        <v>439</v>
      </c>
      <c r="G2860" s="238">
        <f t="shared" si="610"/>
        <v>4.9627189999999993E-4</v>
      </c>
      <c r="H2860" s="158">
        <f>$H$2142</f>
        <v>26</v>
      </c>
      <c r="I2860" s="159">
        <f t="shared" si="613"/>
        <v>8.0167000000000002E-2</v>
      </c>
      <c r="J2860" s="160"/>
      <c r="K2860" s="161">
        <f t="shared" si="614"/>
        <v>4200</v>
      </c>
      <c r="L2860" s="250">
        <v>1</v>
      </c>
      <c r="M2860" s="163" t="str">
        <f t="shared" si="615"/>
        <v>26 шт (потребность учреждений) *0,080167/4200чел/час</v>
      </c>
      <c r="N2860" s="278">
        <f>$N$2142</f>
        <v>39807.692307692305</v>
      </c>
      <c r="O2860" s="280">
        <f t="shared" si="611"/>
        <v>19.755438999999999</v>
      </c>
      <c r="P2860" s="166"/>
      <c r="Q2860" s="166">
        <f t="shared" si="612"/>
        <v>82972.843800000002</v>
      </c>
      <c r="R2860" s="71"/>
      <c r="S2860" s="61"/>
      <c r="T2860" s="71"/>
      <c r="U2860" s="61"/>
      <c r="V2860" s="61"/>
      <c r="W2860" s="61"/>
      <c r="X2860" s="61"/>
      <c r="Y2860" s="61"/>
      <c r="Z2860" s="61"/>
      <c r="AA2860" s="61"/>
      <c r="AB2860" s="61"/>
      <c r="AC2860" s="61"/>
      <c r="AD2860" s="61"/>
      <c r="AE2860" s="61"/>
      <c r="AF2860" s="61"/>
      <c r="AG2860" s="61"/>
      <c r="AH2860" s="61"/>
      <c r="AI2860" s="61"/>
      <c r="AJ2860" s="61"/>
      <c r="AK2860" s="61"/>
      <c r="AL2860" s="61"/>
      <c r="AM2860" s="61"/>
      <c r="AN2860" s="61"/>
      <c r="AO2860" s="61"/>
    </row>
    <row r="2861" spans="1:41" s="136" customFormat="1" ht="31.5" x14ac:dyDescent="0.25">
      <c r="A2861" s="358"/>
      <c r="B2861" s="361"/>
      <c r="C2861" s="373"/>
      <c r="D2861" s="156" t="s">
        <v>110</v>
      </c>
      <c r="E2861" s="156" t="s">
        <v>28</v>
      </c>
      <c r="F2861" s="156" t="s">
        <v>439</v>
      </c>
      <c r="G2861" s="238">
        <f t="shared" si="610"/>
        <v>4.7718451999999995E-4</v>
      </c>
      <c r="H2861" s="158">
        <f>$H$2143</f>
        <v>25</v>
      </c>
      <c r="I2861" s="159">
        <f t="shared" si="613"/>
        <v>8.0167000000000002E-2</v>
      </c>
      <c r="J2861" s="160"/>
      <c r="K2861" s="161">
        <f t="shared" si="614"/>
        <v>4200</v>
      </c>
      <c r="L2861" s="250">
        <v>1</v>
      </c>
      <c r="M2861" s="163" t="str">
        <f t="shared" si="615"/>
        <v>25 шт (потребность учреждений) *0,080167/4200чел/час</v>
      </c>
      <c r="N2861" s="278">
        <f>$N$2143</f>
        <v>53600</v>
      </c>
      <c r="O2861" s="280">
        <f t="shared" si="611"/>
        <v>25.577089999999998</v>
      </c>
      <c r="P2861" s="166"/>
      <c r="Q2861" s="166">
        <f t="shared" si="612"/>
        <v>107423.77799999999</v>
      </c>
      <c r="R2861" s="71"/>
      <c r="S2861" s="61"/>
      <c r="T2861" s="71"/>
      <c r="U2861" s="61"/>
      <c r="V2861" s="61"/>
      <c r="W2861" s="61"/>
      <c r="X2861" s="61"/>
      <c r="Y2861" s="61"/>
      <c r="Z2861" s="61"/>
      <c r="AA2861" s="61"/>
      <c r="AB2861" s="61"/>
      <c r="AC2861" s="61"/>
      <c r="AD2861" s="61"/>
      <c r="AE2861" s="61"/>
      <c r="AF2861" s="61"/>
      <c r="AG2861" s="61"/>
      <c r="AH2861" s="61"/>
      <c r="AI2861" s="61"/>
      <c r="AJ2861" s="61"/>
      <c r="AK2861" s="61"/>
      <c r="AL2861" s="61"/>
      <c r="AM2861" s="61"/>
      <c r="AN2861" s="61"/>
      <c r="AO2861" s="61"/>
    </row>
    <row r="2862" spans="1:41" s="136" customFormat="1" ht="31.5" x14ac:dyDescent="0.25">
      <c r="A2862" s="358"/>
      <c r="B2862" s="361"/>
      <c r="C2862" s="373"/>
      <c r="D2862" s="156" t="s">
        <v>112</v>
      </c>
      <c r="E2862" s="156" t="s">
        <v>28</v>
      </c>
      <c r="F2862" s="156" t="s">
        <v>439</v>
      </c>
      <c r="G2862" s="238">
        <f t="shared" si="610"/>
        <v>9.5436899999999994E-5</v>
      </c>
      <c r="H2862" s="158">
        <f>$H$2144</f>
        <v>5</v>
      </c>
      <c r="I2862" s="159">
        <f t="shared" si="613"/>
        <v>8.0167000000000002E-2</v>
      </c>
      <c r="J2862" s="160"/>
      <c r="K2862" s="161">
        <f t="shared" si="614"/>
        <v>4200</v>
      </c>
      <c r="L2862" s="250">
        <v>1</v>
      </c>
      <c r="M2862" s="163" t="str">
        <f t="shared" si="615"/>
        <v>5 шт (потребность учреждений) *0,080167/4200чел/час</v>
      </c>
      <c r="N2862" s="278">
        <f>$N$2144</f>
        <v>33000</v>
      </c>
      <c r="O2862" s="280">
        <f t="shared" si="611"/>
        <v>3.1494179999999998</v>
      </c>
      <c r="P2862" s="166"/>
      <c r="Q2862" s="166">
        <f t="shared" si="612"/>
        <v>13227.5556</v>
      </c>
      <c r="R2862" s="71"/>
      <c r="S2862" s="61"/>
      <c r="T2862" s="71"/>
      <c r="U2862" s="61"/>
      <c r="V2862" s="61"/>
      <c r="W2862" s="61"/>
      <c r="X2862" s="61"/>
      <c r="Y2862" s="61"/>
      <c r="Z2862" s="61"/>
      <c r="AA2862" s="61"/>
      <c r="AB2862" s="61"/>
      <c r="AC2862" s="61"/>
      <c r="AD2862" s="61"/>
      <c r="AE2862" s="61"/>
      <c r="AF2862" s="61"/>
      <c r="AG2862" s="61"/>
      <c r="AH2862" s="61"/>
      <c r="AI2862" s="61"/>
      <c r="AJ2862" s="61"/>
      <c r="AK2862" s="61"/>
      <c r="AL2862" s="61"/>
      <c r="AM2862" s="61"/>
      <c r="AN2862" s="61"/>
      <c r="AO2862" s="61"/>
    </row>
    <row r="2863" spans="1:41" s="136" customFormat="1" ht="31.5" x14ac:dyDescent="0.25">
      <c r="A2863" s="358"/>
      <c r="B2863" s="361"/>
      <c r="C2863" s="373"/>
      <c r="D2863" s="156" t="s">
        <v>111</v>
      </c>
      <c r="E2863" s="156" t="s">
        <v>28</v>
      </c>
      <c r="F2863" s="156" t="s">
        <v>439</v>
      </c>
      <c r="G2863" s="238">
        <f t="shared" si="610"/>
        <v>1.3933788099999998E-3</v>
      </c>
      <c r="H2863" s="158">
        <f>$H$2145</f>
        <v>73</v>
      </c>
      <c r="I2863" s="159">
        <f t="shared" si="613"/>
        <v>8.0167000000000002E-2</v>
      </c>
      <c r="J2863" s="160"/>
      <c r="K2863" s="161">
        <f t="shared" si="614"/>
        <v>4200</v>
      </c>
      <c r="L2863" s="250">
        <v>1</v>
      </c>
      <c r="M2863" s="163" t="str">
        <f t="shared" si="615"/>
        <v>73 шт (потребность учреждений) *0,080167/4200чел/час</v>
      </c>
      <c r="N2863" s="278">
        <f>$N$2145</f>
        <v>50616.438356164384</v>
      </c>
      <c r="O2863" s="280">
        <f t="shared" si="611"/>
        <v>70.527873</v>
      </c>
      <c r="P2863" s="166"/>
      <c r="Q2863" s="166">
        <f t="shared" si="612"/>
        <v>296217.06660000002</v>
      </c>
      <c r="R2863" s="71"/>
      <c r="S2863" s="61"/>
      <c r="T2863" s="71"/>
      <c r="U2863" s="61"/>
      <c r="V2863" s="61"/>
      <c r="W2863" s="61"/>
      <c r="X2863" s="61"/>
      <c r="Y2863" s="61"/>
      <c r="Z2863" s="61"/>
      <c r="AA2863" s="61"/>
      <c r="AB2863" s="61"/>
      <c r="AC2863" s="61"/>
      <c r="AD2863" s="61"/>
      <c r="AE2863" s="61"/>
      <c r="AF2863" s="61"/>
      <c r="AG2863" s="61"/>
      <c r="AH2863" s="61"/>
      <c r="AI2863" s="61"/>
      <c r="AJ2863" s="61"/>
      <c r="AK2863" s="61"/>
      <c r="AL2863" s="61"/>
      <c r="AM2863" s="61"/>
      <c r="AN2863" s="61"/>
      <c r="AO2863" s="61"/>
    </row>
    <row r="2864" spans="1:41" s="136" customFormat="1" ht="31.5" x14ac:dyDescent="0.25">
      <c r="A2864" s="358"/>
      <c r="B2864" s="361"/>
      <c r="C2864" s="374"/>
      <c r="D2864" s="156" t="s">
        <v>438</v>
      </c>
      <c r="E2864" s="156" t="s">
        <v>28</v>
      </c>
      <c r="F2864" s="156" t="s">
        <v>439</v>
      </c>
      <c r="G2864" s="238">
        <f t="shared" si="610"/>
        <v>6.2988356999999992E-4</v>
      </c>
      <c r="H2864" s="158">
        <f>$H$2146</f>
        <v>33</v>
      </c>
      <c r="I2864" s="159">
        <f t="shared" si="613"/>
        <v>8.0167000000000002E-2</v>
      </c>
      <c r="J2864" s="160"/>
      <c r="K2864" s="161">
        <f t="shared" si="614"/>
        <v>4200</v>
      </c>
      <c r="L2864" s="250">
        <v>1</v>
      </c>
      <c r="M2864" s="163" t="str">
        <f t="shared" si="615"/>
        <v>33 шт (потребность учреждений) *0,080167/4200чел/час</v>
      </c>
      <c r="N2864" s="278">
        <f>$N$2146</f>
        <v>25000</v>
      </c>
      <c r="O2864" s="280">
        <f t="shared" si="611"/>
        <v>15.747088999999999</v>
      </c>
      <c r="P2864" s="166"/>
      <c r="Q2864" s="166">
        <f t="shared" si="612"/>
        <v>66137.773799999995</v>
      </c>
      <c r="R2864" s="71"/>
      <c r="S2864" s="61"/>
      <c r="T2864" s="71"/>
      <c r="U2864" s="61"/>
      <c r="V2864" s="61"/>
      <c r="W2864" s="61"/>
      <c r="X2864" s="61"/>
      <c r="Y2864" s="61"/>
      <c r="Z2864" s="61"/>
      <c r="AA2864" s="61"/>
      <c r="AB2864" s="61"/>
      <c r="AC2864" s="61"/>
      <c r="AD2864" s="61"/>
      <c r="AE2864" s="61"/>
      <c r="AF2864" s="61"/>
      <c r="AG2864" s="61"/>
      <c r="AH2864" s="61"/>
      <c r="AI2864" s="61"/>
      <c r="AJ2864" s="61"/>
      <c r="AK2864" s="61"/>
      <c r="AL2864" s="61"/>
      <c r="AM2864" s="61"/>
      <c r="AN2864" s="61"/>
      <c r="AO2864" s="61"/>
    </row>
    <row r="2865" spans="1:41" s="61" customFormat="1" x14ac:dyDescent="0.25">
      <c r="A2865" s="358"/>
      <c r="B2865" s="361"/>
      <c r="C2865" s="245" t="s">
        <v>299</v>
      </c>
      <c r="D2865" s="240"/>
      <c r="E2865" s="240"/>
      <c r="F2865" s="181"/>
      <c r="G2865" s="227"/>
      <c r="H2865" s="241"/>
      <c r="I2865" s="206"/>
      <c r="J2865" s="228"/>
      <c r="K2865" s="207"/>
      <c r="L2865" s="257"/>
      <c r="M2865" s="209"/>
      <c r="N2865" s="290"/>
      <c r="O2865" s="279">
        <f>SUM(O2853:O2864)</f>
        <v>157.351101</v>
      </c>
      <c r="P2865" s="166"/>
      <c r="Q2865" s="166">
        <f>O2865*K2865</f>
        <v>0</v>
      </c>
      <c r="R2865" s="71"/>
    </row>
    <row r="2866" spans="1:41" s="61" customFormat="1" ht="47.25" x14ac:dyDescent="0.25">
      <c r="A2866" s="358"/>
      <c r="B2866" s="361"/>
      <c r="C2866" s="221" t="s">
        <v>434</v>
      </c>
      <c r="D2866" s="156" t="s">
        <v>436</v>
      </c>
      <c r="E2866" s="156" t="s">
        <v>28</v>
      </c>
      <c r="F2866" s="156" t="s">
        <v>437</v>
      </c>
      <c r="G2866" s="238">
        <f>MROUND(H2866*L2866*I2866/K2866,0.00000000001)</f>
        <v>4.9627189999999993E-4</v>
      </c>
      <c r="H2866" s="242">
        <f>$H$2148</f>
        <v>26</v>
      </c>
      <c r="I2866" s="159">
        <f>I2864</f>
        <v>8.0167000000000002E-2</v>
      </c>
      <c r="J2866" s="160"/>
      <c r="K2866" s="161">
        <f>K2864</f>
        <v>4200</v>
      </c>
      <c r="L2866" s="162">
        <v>1</v>
      </c>
      <c r="M2866" s="163" t="str">
        <f>CONCATENATE(H2866," ",F2866,"*",I2866,"/",K2866,"чел.")</f>
        <v>26 огнетушителей (потребность учреждений) *0,080167/4200чел.</v>
      </c>
      <c r="N2866" s="164">
        <f>$N$2148</f>
        <v>2180</v>
      </c>
      <c r="O2866" s="165">
        <f>MROUND(G2866*N2866,0.000001)</f>
        <v>1.0818729999999999</v>
      </c>
      <c r="P2866" s="166"/>
      <c r="Q2866" s="166">
        <f>O2866*K2866</f>
        <v>4543.8665999999994</v>
      </c>
      <c r="R2866" s="71"/>
    </row>
    <row r="2867" spans="1:41" s="61" customFormat="1" x14ac:dyDescent="0.25">
      <c r="A2867" s="358"/>
      <c r="B2867" s="361"/>
      <c r="C2867" s="218" t="s">
        <v>435</v>
      </c>
      <c r="D2867" s="240"/>
      <c r="E2867" s="240"/>
      <c r="F2867" s="240"/>
      <c r="G2867" s="251"/>
      <c r="H2867" s="241"/>
      <c r="I2867" s="206"/>
      <c r="J2867" s="228"/>
      <c r="K2867" s="207"/>
      <c r="L2867" s="229"/>
      <c r="M2867" s="209"/>
      <c r="N2867" s="210"/>
      <c r="O2867" s="198">
        <f>SUM(O2866)</f>
        <v>1.0818729999999999</v>
      </c>
      <c r="P2867" s="166"/>
      <c r="Q2867" s="166"/>
      <c r="R2867" s="71"/>
    </row>
    <row r="2868" spans="1:41" s="61" customFormat="1" ht="110.25" x14ac:dyDescent="0.25">
      <c r="A2868" s="358"/>
      <c r="B2868" s="361"/>
      <c r="C2868" s="221" t="s">
        <v>82</v>
      </c>
      <c r="D2868" s="156" t="s">
        <v>46</v>
      </c>
      <c r="E2868" s="156" t="s">
        <v>54</v>
      </c>
      <c r="F2868" s="156" t="s">
        <v>285</v>
      </c>
      <c r="G2868" s="238">
        <f>MROUND(H2868*L2868*I2868/K2868,0.00000000001)</f>
        <v>4.8672821429999999E-2</v>
      </c>
      <c r="H2868" s="158">
        <f>H2562</f>
        <v>231.81818181818178</v>
      </c>
      <c r="I2868" s="159">
        <f>I2854</f>
        <v>8.0167000000000002E-2</v>
      </c>
      <c r="J2868" s="160"/>
      <c r="K2868" s="161">
        <f>K2854</f>
        <v>4200</v>
      </c>
      <c r="L2868" s="250">
        <f>$L$2150</f>
        <v>11</v>
      </c>
      <c r="M2868" s="163" t="str">
        <f>CONCATENATE(H2868," ",F2868,"*",L2868,"автобус","*",I2868,"/",K2868,"чел")</f>
        <v>231,818181818182 л бензина АИ 92 (12,5л/день(зимой)*20дней*7мес+10л/день(летом)*20дней*4мес)*11автобус*0,080167/4200чел</v>
      </c>
      <c r="N2868" s="278">
        <f>N2562</f>
        <v>54.500000000000007</v>
      </c>
      <c r="O2868" s="280">
        <f t="shared" si="611"/>
        <v>2.6526689999999999</v>
      </c>
      <c r="P2868" s="166"/>
      <c r="Q2868" s="166">
        <f>O2868*K2868</f>
        <v>11141.209800000001</v>
      </c>
      <c r="R2868" s="71"/>
    </row>
    <row r="2869" spans="1:41" s="61" customFormat="1" ht="47.25" x14ac:dyDescent="0.25">
      <c r="A2869" s="358"/>
      <c r="B2869" s="361"/>
      <c r="C2869" s="364" t="s">
        <v>118</v>
      </c>
      <c r="D2869" s="156" t="s">
        <v>47</v>
      </c>
      <c r="E2869" s="156" t="s">
        <v>28</v>
      </c>
      <c r="F2869" s="156" t="s">
        <v>239</v>
      </c>
      <c r="G2869" s="238">
        <f>MROUND(H2869*L2869*I2869/K2869,0.00000000001)</f>
        <v>3.8174761999999995E-4</v>
      </c>
      <c r="H2869" s="158">
        <f>H2151</f>
        <v>20</v>
      </c>
      <c r="I2869" s="159">
        <f>I2868</f>
        <v>8.0167000000000002E-2</v>
      </c>
      <c r="J2869" s="160"/>
      <c r="K2869" s="161">
        <f>K2868</f>
        <v>4200</v>
      </c>
      <c r="L2869" s="250">
        <v>1</v>
      </c>
      <c r="M2869" s="163" t="str">
        <f>CONCATENATE(H2869," ",F2869,"*",I2869,"/",K2869,"чел")</f>
        <v>20 манометров (потребность учреждений) *0,080167/4200чел</v>
      </c>
      <c r="N2869" s="278">
        <f>N2151</f>
        <v>650</v>
      </c>
      <c r="O2869" s="280">
        <f t="shared" si="611"/>
        <v>0.248136</v>
      </c>
      <c r="P2869" s="166"/>
      <c r="Q2869" s="166">
        <f>O2869*K2869</f>
        <v>1042.1712</v>
      </c>
      <c r="R2869" s="71"/>
    </row>
    <row r="2870" spans="1:41" s="61" customFormat="1" ht="47.25" x14ac:dyDescent="0.25">
      <c r="A2870" s="358"/>
      <c r="B2870" s="361"/>
      <c r="C2870" s="364"/>
      <c r="D2870" s="255" t="s">
        <v>113</v>
      </c>
      <c r="E2870" s="156" t="s">
        <v>28</v>
      </c>
      <c r="F2870" s="156" t="s">
        <v>240</v>
      </c>
      <c r="G2870" s="238">
        <f>MROUND(H2870*L2870*I2870/K2870,0.00000000001)</f>
        <v>1.9087380999999999E-3</v>
      </c>
      <c r="H2870" s="158">
        <v>100</v>
      </c>
      <c r="I2870" s="159">
        <f>I2869</f>
        <v>8.0167000000000002E-2</v>
      </c>
      <c r="J2870" s="160"/>
      <c r="K2870" s="161">
        <f>K2869</f>
        <v>4200</v>
      </c>
      <c r="L2870" s="250">
        <v>1</v>
      </c>
      <c r="M2870" s="163" t="str">
        <f>CONCATENATE(H2870," ",F2870,"*",I2870,"/",K2870,"чел")</f>
        <v>100 светильников (потребность учреждений)*0,080167/4200чел</v>
      </c>
      <c r="N2870" s="278">
        <f>N2152</f>
        <v>106.27500000000001</v>
      </c>
      <c r="O2870" s="280">
        <f t="shared" si="611"/>
        <v>0.202851</v>
      </c>
      <c r="P2870" s="166"/>
      <c r="Q2870" s="166">
        <f>O2870*K2870</f>
        <v>851.9742</v>
      </c>
      <c r="R2870" s="71"/>
    </row>
    <row r="2871" spans="1:41" s="109" customFormat="1" x14ac:dyDescent="0.25">
      <c r="A2871" s="359"/>
      <c r="B2871" s="362"/>
      <c r="C2871" s="218" t="s">
        <v>301</v>
      </c>
      <c r="D2871" s="256"/>
      <c r="E2871" s="240"/>
      <c r="F2871" s="240"/>
      <c r="G2871" s="227"/>
      <c r="H2871" s="241"/>
      <c r="I2871" s="206"/>
      <c r="J2871" s="228"/>
      <c r="K2871" s="207"/>
      <c r="L2871" s="257"/>
      <c r="M2871" s="209"/>
      <c r="N2871" s="281"/>
      <c r="O2871" s="279">
        <f>O2869+O2870</f>
        <v>0.45098700000000003</v>
      </c>
      <c r="P2871" s="267"/>
      <c r="Q2871" s="166"/>
      <c r="R2871" s="71"/>
      <c r="S2871" s="62"/>
      <c r="T2871" s="62"/>
      <c r="U2871" s="62"/>
      <c r="V2871" s="62"/>
      <c r="W2871" s="62"/>
      <c r="X2871" s="62"/>
      <c r="Y2871" s="62"/>
      <c r="Z2871" s="62"/>
      <c r="AA2871" s="62"/>
      <c r="AB2871" s="62"/>
      <c r="AC2871" s="62"/>
      <c r="AD2871" s="62"/>
      <c r="AE2871" s="62"/>
      <c r="AF2871" s="62"/>
      <c r="AG2871" s="62"/>
      <c r="AH2871" s="62"/>
      <c r="AI2871" s="62"/>
      <c r="AJ2871" s="62"/>
      <c r="AK2871" s="62"/>
      <c r="AL2871" s="62"/>
      <c r="AM2871" s="62"/>
      <c r="AN2871" s="62"/>
      <c r="AO2871" s="62"/>
    </row>
    <row r="2872" spans="1:41" s="108" customFormat="1" x14ac:dyDescent="0.25">
      <c r="A2872" s="357" t="str">
        <f>школы!$B$41</f>
        <v>Коррекционно-развивающая, компенсирующая и логопедическая помощь обучающимся</v>
      </c>
      <c r="B2872" s="360" t="str">
        <f>школы!$A$41</f>
        <v>880900О.99.0.ББ15АА02000</v>
      </c>
      <c r="C2872" s="194"/>
      <c r="D2872" s="363" t="s">
        <v>15</v>
      </c>
      <c r="E2872" s="363"/>
      <c r="F2872" s="363"/>
      <c r="G2872" s="363"/>
      <c r="H2872" s="195"/>
      <c r="I2872" s="195"/>
      <c r="J2872" s="195"/>
      <c r="K2872" s="195"/>
      <c r="L2872" s="196"/>
      <c r="M2872" s="197"/>
      <c r="N2872" s="278"/>
      <c r="O2872" s="279">
        <f>O2873+O2877</f>
        <v>2585.1799435130997</v>
      </c>
      <c r="P2872" s="166"/>
      <c r="Q2872" s="166">
        <f t="shared" ref="Q2872:Q2889" si="616">O2872*K2872</f>
        <v>0</v>
      </c>
      <c r="R2872" s="71"/>
      <c r="S2872" s="61"/>
      <c r="T2872" s="61"/>
      <c r="U2872" s="61"/>
      <c r="V2872" s="61"/>
      <c r="W2872" s="61"/>
      <c r="X2872" s="61"/>
      <c r="Y2872" s="61"/>
      <c r="Z2872" s="61"/>
      <c r="AA2872" s="61"/>
      <c r="AB2872" s="61"/>
      <c r="AC2872" s="61"/>
      <c r="AD2872" s="61"/>
      <c r="AE2872" s="61"/>
      <c r="AF2872" s="61"/>
      <c r="AG2872" s="61"/>
      <c r="AH2872" s="61"/>
      <c r="AI2872" s="61"/>
      <c r="AJ2872" s="61"/>
      <c r="AK2872" s="61"/>
      <c r="AL2872" s="61"/>
      <c r="AM2872" s="61"/>
      <c r="AN2872" s="61"/>
      <c r="AO2872" s="61"/>
    </row>
    <row r="2873" spans="1:41" s="108" customFormat="1" x14ac:dyDescent="0.25">
      <c r="A2873" s="358"/>
      <c r="B2873" s="361"/>
      <c r="C2873" s="194"/>
      <c r="D2873" s="350" t="s">
        <v>62</v>
      </c>
      <c r="E2873" s="350"/>
      <c r="F2873" s="350"/>
      <c r="G2873" s="350"/>
      <c r="H2873" s="195"/>
      <c r="I2873" s="195"/>
      <c r="J2873" s="195"/>
      <c r="K2873" s="195"/>
      <c r="L2873" s="196"/>
      <c r="M2873" s="197"/>
      <c r="N2873" s="278"/>
      <c r="O2873" s="279">
        <f>O2874+O2875</f>
        <v>2569.5891155130998</v>
      </c>
      <c r="P2873" s="166"/>
      <c r="Q2873" s="166">
        <f t="shared" si="616"/>
        <v>0</v>
      </c>
      <c r="R2873" s="71"/>
      <c r="S2873" s="61"/>
      <c r="T2873" s="61"/>
      <c r="U2873" s="61"/>
      <c r="V2873" s="61"/>
      <c r="W2873" s="61"/>
      <c r="X2873" s="61"/>
      <c r="Y2873" s="61"/>
      <c r="Z2873" s="61"/>
      <c r="AA2873" s="61"/>
      <c r="AB2873" s="61"/>
      <c r="AC2873" s="61"/>
      <c r="AD2873" s="61"/>
      <c r="AE2873" s="61"/>
      <c r="AF2873" s="61"/>
      <c r="AG2873" s="61"/>
      <c r="AH2873" s="61"/>
      <c r="AI2873" s="61"/>
      <c r="AJ2873" s="61"/>
      <c r="AK2873" s="61"/>
      <c r="AL2873" s="61"/>
      <c r="AM2873" s="61"/>
      <c r="AN2873" s="61"/>
      <c r="AO2873" s="61"/>
    </row>
    <row r="2874" spans="1:41" s="61" customFormat="1" x14ac:dyDescent="0.25">
      <c r="A2874" s="358"/>
      <c r="B2874" s="361"/>
      <c r="C2874" s="194">
        <v>211</v>
      </c>
      <c r="D2874" s="194" t="s">
        <v>86</v>
      </c>
      <c r="E2874" s="199" t="s">
        <v>95</v>
      </c>
      <c r="F2874" s="199" t="s">
        <v>95</v>
      </c>
      <c r="G2874" s="238">
        <f>MROUND(H2874*L2874*I2874/K2874,0.00000000001)</f>
        <v>8.4394069169999988E-2</v>
      </c>
      <c r="H2874" s="201">
        <f>H2052</f>
        <v>368.4</v>
      </c>
      <c r="I2874" s="159">
        <f>школы!$K$41</f>
        <v>1.2695E-2</v>
      </c>
      <c r="J2874" s="159"/>
      <c r="K2874" s="161">
        <f>школы!$G$41</f>
        <v>665</v>
      </c>
      <c r="L2874" s="202">
        <v>12</v>
      </c>
      <c r="M2874" s="163" t="str">
        <f>CONCATENATE(H2874," ",F2874," ","в мес.","*",L2874,"мес.","*",I2874,"/",K2874,"чел")</f>
        <v>368,4 шт.ед в мес.*12мес.*0,012695/665чел</v>
      </c>
      <c r="N2874" s="278">
        <f>N2156</f>
        <v>23385.182971407892</v>
      </c>
      <c r="O2874" s="280">
        <f>MROUND(N2874*G2874,0.0000000001)</f>
        <v>1973.5707492421</v>
      </c>
      <c r="P2874" s="166"/>
      <c r="Q2874" s="166">
        <f t="shared" si="616"/>
        <v>1312424.5482459965</v>
      </c>
      <c r="R2874" s="71"/>
    </row>
    <row r="2875" spans="1:41" s="61" customFormat="1" x14ac:dyDescent="0.25">
      <c r="A2875" s="358"/>
      <c r="B2875" s="361"/>
      <c r="C2875" s="194">
        <v>213</v>
      </c>
      <c r="D2875" s="194" t="s">
        <v>87</v>
      </c>
      <c r="E2875" s="194" t="s">
        <v>88</v>
      </c>
      <c r="F2875" s="194"/>
      <c r="G2875" s="211">
        <v>30.2</v>
      </c>
      <c r="H2875" s="159"/>
      <c r="I2875" s="282">
        <f>I2874</f>
        <v>1.2695E-2</v>
      </c>
      <c r="J2875" s="159"/>
      <c r="K2875" s="161">
        <f>K2874</f>
        <v>665</v>
      </c>
      <c r="L2875" s="202"/>
      <c r="M2875" s="212"/>
      <c r="N2875" s="278"/>
      <c r="O2875" s="280">
        <f>MROUND(O2874*0.302,0.000000001)</f>
        <v>596.01836627099999</v>
      </c>
      <c r="P2875" s="166"/>
      <c r="Q2875" s="166">
        <f t="shared" si="616"/>
        <v>396352.21357021498</v>
      </c>
      <c r="R2875" s="71"/>
    </row>
    <row r="2876" spans="1:41" s="108" customFormat="1" x14ac:dyDescent="0.25">
      <c r="A2876" s="358"/>
      <c r="B2876" s="361"/>
      <c r="C2876" s="194"/>
      <c r="D2876" s="194"/>
      <c r="E2876" s="194"/>
      <c r="F2876" s="194"/>
      <c r="G2876" s="217"/>
      <c r="H2876" s="195"/>
      <c r="I2876" s="159"/>
      <c r="J2876" s="195"/>
      <c r="K2876" s="161"/>
      <c r="L2876" s="196"/>
      <c r="M2876" s="197"/>
      <c r="N2876" s="278"/>
      <c r="O2876" s="280"/>
      <c r="P2876" s="166"/>
      <c r="Q2876" s="166">
        <f t="shared" si="616"/>
        <v>0</v>
      </c>
      <c r="R2876" s="71"/>
      <c r="S2876" s="61"/>
      <c r="T2876" s="61"/>
      <c r="U2876" s="61"/>
      <c r="V2876" s="61"/>
      <c r="W2876" s="61"/>
      <c r="X2876" s="61"/>
      <c r="Y2876" s="61"/>
      <c r="Z2876" s="61"/>
      <c r="AA2876" s="61"/>
      <c r="AB2876" s="61"/>
      <c r="AC2876" s="61"/>
      <c r="AD2876" s="61"/>
      <c r="AE2876" s="61"/>
      <c r="AF2876" s="61"/>
      <c r="AG2876" s="61"/>
      <c r="AH2876" s="61"/>
      <c r="AI2876" s="61"/>
      <c r="AJ2876" s="61"/>
      <c r="AK2876" s="61"/>
      <c r="AL2876" s="61"/>
      <c r="AM2876" s="61"/>
      <c r="AN2876" s="61"/>
      <c r="AO2876" s="61"/>
    </row>
    <row r="2877" spans="1:41" s="108" customFormat="1" x14ac:dyDescent="0.25">
      <c r="A2877" s="358"/>
      <c r="B2877" s="361"/>
      <c r="C2877" s="194"/>
      <c r="D2877" s="356" t="s">
        <v>63</v>
      </c>
      <c r="E2877" s="356"/>
      <c r="F2877" s="356"/>
      <c r="G2877" s="356"/>
      <c r="H2877" s="195"/>
      <c r="I2877" s="159"/>
      <c r="J2877" s="195"/>
      <c r="K2877" s="161"/>
      <c r="L2877" s="196"/>
      <c r="M2877" s="197"/>
      <c r="N2877" s="278"/>
      <c r="O2877" s="280">
        <f>O2878</f>
        <v>15.590828</v>
      </c>
      <c r="P2877" s="166"/>
      <c r="Q2877" s="166">
        <f t="shared" si="616"/>
        <v>0</v>
      </c>
      <c r="R2877" s="71"/>
      <c r="S2877" s="61"/>
      <c r="T2877" s="61"/>
      <c r="U2877" s="61"/>
      <c r="V2877" s="61"/>
      <c r="W2877" s="61"/>
      <c r="X2877" s="61"/>
      <c r="Y2877" s="61"/>
      <c r="Z2877" s="61"/>
      <c r="AA2877" s="61"/>
      <c r="AB2877" s="61"/>
      <c r="AC2877" s="61"/>
      <c r="AD2877" s="61"/>
      <c r="AE2877" s="61"/>
      <c r="AF2877" s="61"/>
      <c r="AG2877" s="61"/>
      <c r="AH2877" s="61"/>
      <c r="AI2877" s="61"/>
      <c r="AJ2877" s="61"/>
      <c r="AK2877" s="61"/>
      <c r="AL2877" s="61"/>
      <c r="AM2877" s="61"/>
      <c r="AN2877" s="61"/>
      <c r="AO2877" s="61"/>
    </row>
    <row r="2878" spans="1:41" s="61" customFormat="1" x14ac:dyDescent="0.25">
      <c r="A2878" s="358"/>
      <c r="B2878" s="361"/>
      <c r="C2878" s="194">
        <v>346</v>
      </c>
      <c r="D2878" s="194" t="s">
        <v>259</v>
      </c>
      <c r="E2878" s="194" t="s">
        <v>260</v>
      </c>
      <c r="F2878" s="194" t="s">
        <v>261</v>
      </c>
      <c r="G2878" s="238">
        <f>MROUND(H2878*L2878*I2878/K2878,0.000000000001)</f>
        <v>2.3137353382999999E-2</v>
      </c>
      <c r="H2878" s="283">
        <f>H2057</f>
        <v>1212</v>
      </c>
      <c r="I2878" s="282">
        <f>I2875</f>
        <v>1.2695E-2</v>
      </c>
      <c r="J2878" s="195"/>
      <c r="K2878" s="161">
        <f>K2875</f>
        <v>665</v>
      </c>
      <c r="L2878" s="196">
        <v>1</v>
      </c>
      <c r="M2878" s="163" t="str">
        <f>CONCATENATE(H2878," ",F2878,"*",I2878,"/",K2878,"чел")</f>
        <v>1212 упаковок*0,012695/665чел</v>
      </c>
      <c r="N2878" s="278">
        <f>N2057</f>
        <v>673.83800330033012</v>
      </c>
      <c r="O2878" s="280">
        <f>MROUND(N2878*G2878,0.000001)</f>
        <v>15.590828</v>
      </c>
      <c r="P2878" s="166"/>
      <c r="Q2878" s="166">
        <f t="shared" si="616"/>
        <v>10367.90062</v>
      </c>
      <c r="R2878" s="71"/>
    </row>
    <row r="2879" spans="1:41" s="108" customFormat="1" x14ac:dyDescent="0.25">
      <c r="A2879" s="358"/>
      <c r="B2879" s="361"/>
      <c r="C2879" s="194"/>
      <c r="D2879" s="350" t="s">
        <v>64</v>
      </c>
      <c r="E2879" s="350"/>
      <c r="F2879" s="350"/>
      <c r="G2879" s="350"/>
      <c r="H2879" s="195"/>
      <c r="I2879" s="159"/>
      <c r="J2879" s="195"/>
      <c r="K2879" s="161"/>
      <c r="L2879" s="196"/>
      <c r="M2879" s="197"/>
      <c r="N2879" s="278"/>
      <c r="O2879" s="280"/>
      <c r="P2879" s="166"/>
      <c r="Q2879" s="166">
        <f t="shared" si="616"/>
        <v>0</v>
      </c>
      <c r="R2879" s="71"/>
      <c r="S2879" s="61"/>
      <c r="T2879" s="61"/>
      <c r="U2879" s="61"/>
      <c r="V2879" s="61"/>
      <c r="W2879" s="61"/>
      <c r="X2879" s="61"/>
      <c r="Y2879" s="61"/>
      <c r="Z2879" s="61"/>
      <c r="AA2879" s="61"/>
      <c r="AB2879" s="61"/>
      <c r="AC2879" s="61"/>
      <c r="AD2879" s="61"/>
      <c r="AE2879" s="61"/>
      <c r="AF2879" s="61"/>
      <c r="AG2879" s="61"/>
      <c r="AH2879" s="61"/>
      <c r="AI2879" s="61"/>
      <c r="AJ2879" s="61"/>
      <c r="AK2879" s="61"/>
      <c r="AL2879" s="61"/>
      <c r="AM2879" s="61"/>
      <c r="AN2879" s="61"/>
      <c r="AO2879" s="61"/>
    </row>
    <row r="2880" spans="1:41" s="108" customFormat="1" x14ac:dyDescent="0.25">
      <c r="A2880" s="358"/>
      <c r="B2880" s="361"/>
      <c r="C2880" s="194"/>
      <c r="D2880" s="194"/>
      <c r="E2880" s="194"/>
      <c r="F2880" s="194"/>
      <c r="G2880" s="217"/>
      <c r="H2880" s="195"/>
      <c r="I2880" s="159"/>
      <c r="J2880" s="195"/>
      <c r="K2880" s="161"/>
      <c r="L2880" s="196"/>
      <c r="M2880" s="197"/>
      <c r="N2880" s="278"/>
      <c r="O2880" s="280"/>
      <c r="P2880" s="166"/>
      <c r="Q2880" s="166">
        <f t="shared" si="616"/>
        <v>0</v>
      </c>
      <c r="R2880" s="71"/>
      <c r="S2880" s="61"/>
      <c r="T2880" s="61"/>
      <c r="U2880" s="61"/>
      <c r="V2880" s="61"/>
      <c r="W2880" s="61"/>
      <c r="X2880" s="61"/>
      <c r="Y2880" s="61"/>
      <c r="Z2880" s="61"/>
      <c r="AA2880" s="61"/>
      <c r="AB2880" s="61"/>
      <c r="AC2880" s="61"/>
      <c r="AD2880" s="61"/>
      <c r="AE2880" s="61"/>
      <c r="AF2880" s="61"/>
      <c r="AG2880" s="61"/>
      <c r="AH2880" s="61"/>
      <c r="AI2880" s="61"/>
      <c r="AJ2880" s="61"/>
      <c r="AK2880" s="61"/>
      <c r="AL2880" s="61"/>
      <c r="AM2880" s="61"/>
      <c r="AN2880" s="61"/>
      <c r="AO2880" s="61"/>
    </row>
    <row r="2881" spans="1:41" s="108" customFormat="1" x14ac:dyDescent="0.25">
      <c r="A2881" s="358"/>
      <c r="B2881" s="361"/>
      <c r="C2881" s="194"/>
      <c r="D2881" s="355" t="s">
        <v>5</v>
      </c>
      <c r="E2881" s="355"/>
      <c r="F2881" s="355"/>
      <c r="G2881" s="355"/>
      <c r="H2881" s="195"/>
      <c r="I2881" s="159"/>
      <c r="J2881" s="195"/>
      <c r="K2881" s="161"/>
      <c r="L2881" s="196"/>
      <c r="M2881" s="197"/>
      <c r="N2881" s="278"/>
      <c r="O2881" s="279">
        <f>O2882+O2891+O2902+O2904+O2915+O2911</f>
        <v>2352.8240876069999</v>
      </c>
      <c r="P2881" s="166"/>
      <c r="Q2881" s="166">
        <f t="shared" si="616"/>
        <v>0</v>
      </c>
      <c r="R2881" s="71"/>
      <c r="S2881" s="61"/>
      <c r="T2881" s="61"/>
      <c r="U2881" s="61"/>
      <c r="V2881" s="61"/>
      <c r="W2881" s="61"/>
      <c r="X2881" s="61"/>
      <c r="Y2881" s="61"/>
      <c r="Z2881" s="61"/>
      <c r="AA2881" s="61"/>
      <c r="AB2881" s="61"/>
      <c r="AC2881" s="61"/>
      <c r="AD2881" s="61"/>
      <c r="AE2881" s="61"/>
      <c r="AF2881" s="61"/>
      <c r="AG2881" s="61"/>
      <c r="AH2881" s="61"/>
      <c r="AI2881" s="61"/>
      <c r="AJ2881" s="61"/>
      <c r="AK2881" s="61"/>
      <c r="AL2881" s="61"/>
      <c r="AM2881" s="61"/>
      <c r="AN2881" s="61"/>
      <c r="AO2881" s="61"/>
    </row>
    <row r="2882" spans="1:41" s="108" customFormat="1" x14ac:dyDescent="0.25">
      <c r="A2882" s="358"/>
      <c r="B2882" s="361"/>
      <c r="C2882" s="221" t="s">
        <v>70</v>
      </c>
      <c r="D2882" s="355" t="s">
        <v>6</v>
      </c>
      <c r="E2882" s="355"/>
      <c r="F2882" s="355"/>
      <c r="G2882" s="355"/>
      <c r="H2882" s="189"/>
      <c r="I2882" s="159"/>
      <c r="J2882" s="189"/>
      <c r="K2882" s="161"/>
      <c r="L2882" s="190"/>
      <c r="M2882" s="197"/>
      <c r="N2882" s="278"/>
      <c r="O2882" s="279">
        <f>O2883+O2884+O2885+O2886+O2887+O2888+O2889</f>
        <v>120.59089900000001</v>
      </c>
      <c r="P2882" s="166"/>
      <c r="Q2882" s="166">
        <f t="shared" si="616"/>
        <v>0</v>
      </c>
      <c r="R2882" s="71"/>
      <c r="S2882" s="61"/>
      <c r="T2882" s="61"/>
      <c r="U2882" s="61"/>
      <c r="V2882" s="61"/>
      <c r="W2882" s="61"/>
      <c r="X2882" s="61"/>
      <c r="Y2882" s="61"/>
      <c r="Z2882" s="61"/>
      <c r="AA2882" s="61"/>
      <c r="AB2882" s="61"/>
      <c r="AC2882" s="61"/>
      <c r="AD2882" s="61"/>
      <c r="AE2882" s="61"/>
      <c r="AF2882" s="61"/>
      <c r="AG2882" s="61"/>
      <c r="AH2882" s="61"/>
      <c r="AI2882" s="61"/>
      <c r="AJ2882" s="61"/>
      <c r="AK2882" s="61"/>
      <c r="AL2882" s="61"/>
      <c r="AM2882" s="61"/>
      <c r="AN2882" s="61"/>
      <c r="AO2882" s="61"/>
    </row>
    <row r="2883" spans="1:41" s="61" customFormat="1" ht="31.5" x14ac:dyDescent="0.25">
      <c r="A2883" s="358"/>
      <c r="B2883" s="361"/>
      <c r="C2883" s="221" t="s">
        <v>72</v>
      </c>
      <c r="D2883" s="222" t="s">
        <v>7</v>
      </c>
      <c r="E2883" s="223" t="s">
        <v>8</v>
      </c>
      <c r="F2883" s="223" t="s">
        <v>8</v>
      </c>
      <c r="G2883" s="238">
        <f t="shared" ref="G2883:G2889" si="617">MROUND(H2883*L2883*I2883/K2883,0.000000000001)</f>
        <v>2.1583435186919999</v>
      </c>
      <c r="H2883" s="160">
        <f>H2063</f>
        <v>113060.13705633247</v>
      </c>
      <c r="I2883" s="282">
        <f>I2875</f>
        <v>1.2695E-2</v>
      </c>
      <c r="J2883" s="160"/>
      <c r="K2883" s="161">
        <f>K2875</f>
        <v>665</v>
      </c>
      <c r="L2883" s="250">
        <v>1</v>
      </c>
      <c r="M2883" s="163" t="str">
        <f>CONCATENATE(H2883," ",F2883,"(лимиты выделенные УЖКХ) ","*",I2883,"/",K2883,"чел")</f>
        <v>113060,137056332 кВт час.(лимиты выделенные УЖКХ) *0,012695/665чел</v>
      </c>
      <c r="N2883" s="278">
        <f>N2063</f>
        <v>10.461700036774822</v>
      </c>
      <c r="O2883" s="280">
        <f>MROUND(N2883*G2883,0.000001)</f>
        <v>22.579941999999999</v>
      </c>
      <c r="P2883" s="166"/>
      <c r="Q2883" s="166">
        <f t="shared" si="616"/>
        <v>15015.66143</v>
      </c>
      <c r="R2883" s="71"/>
    </row>
    <row r="2884" spans="1:41" s="61" customFormat="1" ht="31.5" x14ac:dyDescent="0.25">
      <c r="A2884" s="358"/>
      <c r="B2884" s="361"/>
      <c r="C2884" s="221" t="s">
        <v>73</v>
      </c>
      <c r="D2884" s="222" t="s">
        <v>9</v>
      </c>
      <c r="E2884" s="223" t="s">
        <v>10</v>
      </c>
      <c r="F2884" s="223" t="s">
        <v>10</v>
      </c>
      <c r="G2884" s="238">
        <f t="shared" si="617"/>
        <v>2.6611774435999998E-2</v>
      </c>
      <c r="H2884" s="160">
        <f>H2064</f>
        <v>1394</v>
      </c>
      <c r="I2884" s="159">
        <f t="shared" ref="I2884:I2889" si="618">I2883</f>
        <v>1.2695E-2</v>
      </c>
      <c r="J2884" s="160"/>
      <c r="K2884" s="161">
        <f t="shared" ref="K2884:K2889" si="619">K2883</f>
        <v>665</v>
      </c>
      <c r="L2884" s="250">
        <v>1</v>
      </c>
      <c r="M2884" s="163" t="str">
        <f>CONCATENATE(H2884," ",F2884,"(лимиты выделенные УЖКХ) ","*",I2884,"/",K2884,"чел")</f>
        <v>1394 Гкал(лимиты выделенные УЖКХ) *0,012695/665чел</v>
      </c>
      <c r="N2884" s="278">
        <f>N2168</f>
        <v>2845.3649999999998</v>
      </c>
      <c r="O2884" s="280">
        <f t="shared" ref="O2884:O2889" si="620">MROUND(N2884*G2884,0.000001)</f>
        <v>75.720212000000004</v>
      </c>
      <c r="P2884" s="166"/>
      <c r="Q2884" s="166">
        <f t="shared" si="616"/>
        <v>50353.940979999999</v>
      </c>
      <c r="R2884" s="71"/>
    </row>
    <row r="2885" spans="1:41" s="61" customFormat="1" ht="31.5" x14ac:dyDescent="0.25">
      <c r="A2885" s="358"/>
      <c r="B2885" s="361"/>
      <c r="C2885" s="364" t="s">
        <v>74</v>
      </c>
      <c r="D2885" s="222" t="s">
        <v>12</v>
      </c>
      <c r="E2885" s="222" t="s">
        <v>11</v>
      </c>
      <c r="F2885" s="222" t="s">
        <v>11</v>
      </c>
      <c r="G2885" s="238">
        <f t="shared" si="617"/>
        <v>7.7145701428999999E-2</v>
      </c>
      <c r="H2885" s="224">
        <f>H2065</f>
        <v>4041.1099999999997</v>
      </c>
      <c r="I2885" s="159">
        <f t="shared" si="618"/>
        <v>1.2695E-2</v>
      </c>
      <c r="J2885" s="160"/>
      <c r="K2885" s="161">
        <f t="shared" si="619"/>
        <v>665</v>
      </c>
      <c r="L2885" s="250">
        <v>1</v>
      </c>
      <c r="M2885" s="163" t="str">
        <f>CONCATENATE(H2885," ",F2885,"(лимиты выделенные УЖКХ) ","*",I2885,"/",K2885,"чел")</f>
        <v>4041,11 м3(лимиты выделенные УЖКХ) *0,012695/665чел</v>
      </c>
      <c r="N2885" s="278">
        <f>N2065</f>
        <v>51.830000000000013</v>
      </c>
      <c r="O2885" s="280">
        <f t="shared" si="620"/>
        <v>3.998462</v>
      </c>
      <c r="P2885" s="166"/>
      <c r="Q2885" s="166">
        <f t="shared" si="616"/>
        <v>2658.97723</v>
      </c>
      <c r="R2885" s="71"/>
    </row>
    <row r="2886" spans="1:41" s="61" customFormat="1" ht="47.25" x14ac:dyDescent="0.25">
      <c r="A2886" s="358"/>
      <c r="B2886" s="361"/>
      <c r="C2886" s="364"/>
      <c r="D2886" s="222" t="s">
        <v>17</v>
      </c>
      <c r="E2886" s="222" t="s">
        <v>11</v>
      </c>
      <c r="F2886" s="222" t="s">
        <v>11</v>
      </c>
      <c r="G2886" s="238">
        <f t="shared" si="617"/>
        <v>7.7145701428999999E-2</v>
      </c>
      <c r="H2886" s="160">
        <f>H2170</f>
        <v>4041.1099999999997</v>
      </c>
      <c r="I2886" s="159">
        <f t="shared" si="618"/>
        <v>1.2695E-2</v>
      </c>
      <c r="J2886" s="160"/>
      <c r="K2886" s="161">
        <f t="shared" si="619"/>
        <v>665</v>
      </c>
      <c r="L2886" s="162">
        <f>$L$25</f>
        <v>1</v>
      </c>
      <c r="M2886" s="163" t="str">
        <f>CONCATENATE(H2886," ",F2886,"(лимиты выделенные УЖКХ) ","*",I2886,"/",K2886,"чел")</f>
        <v>4041,11 м3(лимиты выделенные УЖКХ) *0,012695/665чел</v>
      </c>
      <c r="N2886" s="164">
        <f>N2066</f>
        <v>78.761157534246578</v>
      </c>
      <c r="O2886" s="280">
        <f t="shared" si="620"/>
        <v>6.076085</v>
      </c>
      <c r="P2886" s="166"/>
      <c r="Q2886" s="166">
        <f t="shared" si="616"/>
        <v>4040.5965249999999</v>
      </c>
      <c r="R2886" s="71"/>
    </row>
    <row r="2887" spans="1:41" s="61" customFormat="1" ht="31.5" x14ac:dyDescent="0.25">
      <c r="A2887" s="358"/>
      <c r="B2887" s="361"/>
      <c r="C2887" s="364"/>
      <c r="D2887" s="222" t="s">
        <v>13</v>
      </c>
      <c r="E2887" s="222" t="s">
        <v>11</v>
      </c>
      <c r="F2887" s="222" t="s">
        <v>11</v>
      </c>
      <c r="G2887" s="238">
        <f t="shared" si="617"/>
        <v>7.7145701428999999E-2</v>
      </c>
      <c r="H2887" s="160">
        <f>H2067</f>
        <v>4041.1099999999997</v>
      </c>
      <c r="I2887" s="159">
        <f t="shared" si="618"/>
        <v>1.2695E-2</v>
      </c>
      <c r="J2887" s="160"/>
      <c r="K2887" s="161">
        <f t="shared" si="619"/>
        <v>665</v>
      </c>
      <c r="L2887" s="162">
        <v>1</v>
      </c>
      <c r="M2887" s="163" t="str">
        <f>CONCATENATE(H2887," ",F2887,"(лимиты выделенные УЖКХ) ","*",I2887,"/",K2887,"чел")</f>
        <v>4041,11 м3(лимиты выделенные УЖКХ) *0,012695/665чел</v>
      </c>
      <c r="N2887" s="278">
        <f>N2067</f>
        <v>96.180004349493274</v>
      </c>
      <c r="O2887" s="280">
        <f t="shared" si="620"/>
        <v>7.4198740000000001</v>
      </c>
      <c r="P2887" s="166"/>
      <c r="Q2887" s="166">
        <f t="shared" si="616"/>
        <v>4934.2162100000005</v>
      </c>
      <c r="R2887" s="71"/>
    </row>
    <row r="2888" spans="1:41" s="61" customFormat="1" x14ac:dyDescent="0.25">
      <c r="A2888" s="358"/>
      <c r="B2888" s="361"/>
      <c r="C2888" s="364" t="s">
        <v>216</v>
      </c>
      <c r="D2888" s="222" t="s">
        <v>23</v>
      </c>
      <c r="E2888" s="222" t="s">
        <v>11</v>
      </c>
      <c r="F2888" s="222" t="s">
        <v>11</v>
      </c>
      <c r="G2888" s="238">
        <f t="shared" si="617"/>
        <v>4.7687383499999997E-4</v>
      </c>
      <c r="H2888" s="160">
        <f>H2068</f>
        <v>24.979999999999997</v>
      </c>
      <c r="I2888" s="159">
        <f t="shared" si="618"/>
        <v>1.2695E-2</v>
      </c>
      <c r="J2888" s="160"/>
      <c r="K2888" s="161">
        <f t="shared" si="619"/>
        <v>665</v>
      </c>
      <c r="L2888" s="162">
        <v>1</v>
      </c>
      <c r="M2888" s="163" t="str">
        <f>CONCATENATE(H2888," ",F2888," ","*",I2888,"/",K2888,"чел")</f>
        <v>24,98 м3 *0,012695/665чел</v>
      </c>
      <c r="N2888" s="164">
        <f>N2068</f>
        <v>8906.5644515612512</v>
      </c>
      <c r="O2888" s="280">
        <f t="shared" si="620"/>
        <v>4.2473079999999994</v>
      </c>
      <c r="P2888" s="166"/>
      <c r="Q2888" s="166">
        <f t="shared" si="616"/>
        <v>2824.4598199999996</v>
      </c>
      <c r="R2888" s="71"/>
    </row>
    <row r="2889" spans="1:41" s="61" customFormat="1" ht="47.25" x14ac:dyDescent="0.25">
      <c r="A2889" s="358"/>
      <c r="B2889" s="361"/>
      <c r="C2889" s="364"/>
      <c r="D2889" s="222" t="s">
        <v>24</v>
      </c>
      <c r="E2889" s="222" t="s">
        <v>25</v>
      </c>
      <c r="F2889" s="222" t="s">
        <v>248</v>
      </c>
      <c r="G2889" s="238">
        <f t="shared" si="617"/>
        <v>9.5451127999999995E-5</v>
      </c>
      <c r="H2889" s="160">
        <f>H2069</f>
        <v>5</v>
      </c>
      <c r="I2889" s="159">
        <f t="shared" si="618"/>
        <v>1.2695E-2</v>
      </c>
      <c r="J2889" s="160"/>
      <c r="K2889" s="161">
        <f t="shared" si="619"/>
        <v>665</v>
      </c>
      <c r="L2889" s="250">
        <v>1</v>
      </c>
      <c r="M2889" s="163" t="str">
        <f>CONCATENATE(H2889," ",F2889,"(потребность из расчета 4 контейнера для уборки территории весной и осенью на 1 учреждение)","*",I2889,"/",K2889,"чел")</f>
        <v>5 контейнеров(потребность из расчета 4 контейнера для уборки территории весной и осенью на 1 учреждение)*0,012695/665чел</v>
      </c>
      <c r="N2889" s="278">
        <f>N2379</f>
        <v>5751.8</v>
      </c>
      <c r="O2889" s="280">
        <f t="shared" si="620"/>
        <v>0.54901599999999995</v>
      </c>
      <c r="P2889" s="166"/>
      <c r="Q2889" s="166">
        <f t="shared" si="616"/>
        <v>365.09563999999995</v>
      </c>
      <c r="R2889" s="71"/>
    </row>
    <row r="2890" spans="1:41" s="109" customFormat="1" x14ac:dyDescent="0.25">
      <c r="A2890" s="358"/>
      <c r="B2890" s="361"/>
      <c r="C2890" s="218" t="s">
        <v>290</v>
      </c>
      <c r="D2890" s="226"/>
      <c r="E2890" s="226"/>
      <c r="F2890" s="226"/>
      <c r="G2890" s="227"/>
      <c r="H2890" s="228"/>
      <c r="I2890" s="206"/>
      <c r="J2890" s="228"/>
      <c r="K2890" s="207"/>
      <c r="L2890" s="257"/>
      <c r="M2890" s="209"/>
      <c r="N2890" s="281"/>
      <c r="O2890" s="279">
        <f>SUM(O2883:O2889)</f>
        <v>120.59089900000001</v>
      </c>
      <c r="P2890" s="267"/>
      <c r="Q2890" s="166"/>
      <c r="R2890" s="71"/>
      <c r="S2890" s="62"/>
      <c r="T2890" s="62"/>
      <c r="U2890" s="62"/>
      <c r="V2890" s="62"/>
      <c r="W2890" s="62"/>
      <c r="X2890" s="62"/>
      <c r="Y2890" s="62"/>
      <c r="Z2890" s="62"/>
      <c r="AA2890" s="62"/>
      <c r="AB2890" s="62"/>
      <c r="AC2890" s="62"/>
      <c r="AD2890" s="62"/>
      <c r="AE2890" s="62"/>
      <c r="AF2890" s="62"/>
      <c r="AG2890" s="62"/>
      <c r="AH2890" s="62"/>
      <c r="AI2890" s="62"/>
      <c r="AJ2890" s="62"/>
      <c r="AK2890" s="62"/>
      <c r="AL2890" s="62"/>
      <c r="AM2890" s="62"/>
      <c r="AN2890" s="62"/>
      <c r="AO2890" s="62"/>
    </row>
    <row r="2891" spans="1:41" s="108" customFormat="1" x14ac:dyDescent="0.25">
      <c r="A2891" s="358"/>
      <c r="B2891" s="361"/>
      <c r="C2891" s="221"/>
      <c r="D2891" s="356" t="s">
        <v>14</v>
      </c>
      <c r="E2891" s="356"/>
      <c r="F2891" s="356"/>
      <c r="G2891" s="356"/>
      <c r="H2891" s="188"/>
      <c r="I2891" s="159"/>
      <c r="J2891" s="188"/>
      <c r="K2891" s="161"/>
      <c r="L2891" s="250"/>
      <c r="M2891" s="230"/>
      <c r="N2891" s="278"/>
      <c r="O2891" s="279">
        <f>O2895+O2899+O2900</f>
        <v>1985.1449837450002</v>
      </c>
      <c r="P2891" s="166"/>
      <c r="Q2891" s="166">
        <f>O2891*K2891</f>
        <v>0</v>
      </c>
      <c r="R2891" s="71"/>
      <c r="S2891" s="61"/>
      <c r="T2891" s="61"/>
      <c r="U2891" s="61"/>
      <c r="V2891" s="61"/>
      <c r="W2891" s="61"/>
      <c r="X2891" s="61"/>
      <c r="Y2891" s="61"/>
      <c r="Z2891" s="61"/>
      <c r="AA2891" s="61"/>
      <c r="AB2891" s="61"/>
      <c r="AC2891" s="61"/>
      <c r="AD2891" s="61"/>
      <c r="AE2891" s="61"/>
      <c r="AF2891" s="61"/>
      <c r="AG2891" s="61"/>
      <c r="AH2891" s="61"/>
      <c r="AI2891" s="61"/>
      <c r="AJ2891" s="61"/>
      <c r="AK2891" s="61"/>
      <c r="AL2891" s="61"/>
      <c r="AM2891" s="61"/>
      <c r="AN2891" s="61"/>
      <c r="AO2891" s="61"/>
    </row>
    <row r="2892" spans="1:41" s="61" customFormat="1" x14ac:dyDescent="0.25">
      <c r="A2892" s="358"/>
      <c r="B2892" s="361"/>
      <c r="C2892" s="221" t="s">
        <v>379</v>
      </c>
      <c r="D2892" s="231" t="s">
        <v>49</v>
      </c>
      <c r="E2892" s="231" t="s">
        <v>22</v>
      </c>
      <c r="F2892" s="231" t="s">
        <v>22</v>
      </c>
      <c r="G2892" s="238">
        <f>MROUND(H2892*L2892*I2892/K2892,0.000000000001)</f>
        <v>6.3690719549000005E-2</v>
      </c>
      <c r="H2892" s="160">
        <f>H2176</f>
        <v>3336.3</v>
      </c>
      <c r="I2892" s="159">
        <f>I2887</f>
        <v>1.2695E-2</v>
      </c>
      <c r="J2892" s="160"/>
      <c r="K2892" s="161">
        <f>K2887</f>
        <v>665</v>
      </c>
      <c r="L2892" s="250">
        <v>1</v>
      </c>
      <c r="M2892" s="163" t="str">
        <f>CONCATENATE(H2892," ",F2892,"*",I2892,"/",K2892,"чел/час")</f>
        <v>3336,3 м2*0,012695/665чел/час</v>
      </c>
      <c r="N2892" s="278">
        <f>N2176</f>
        <v>2997.3323741869735</v>
      </c>
      <c r="O2892" s="280">
        <f>MROUND(N2892*G2892,0.000000001)</f>
        <v>190.902255639</v>
      </c>
      <c r="P2892" s="166"/>
      <c r="Q2892" s="166">
        <f>O2892*K2892</f>
        <v>126949.999999935</v>
      </c>
      <c r="R2892" s="71"/>
    </row>
    <row r="2893" spans="1:41" s="61" customFormat="1" x14ac:dyDescent="0.25">
      <c r="A2893" s="358"/>
      <c r="B2893" s="361"/>
      <c r="C2893" s="221" t="s">
        <v>379</v>
      </c>
      <c r="D2893" s="231" t="s">
        <v>49</v>
      </c>
      <c r="E2893" s="231" t="s">
        <v>28</v>
      </c>
      <c r="F2893" s="231" t="s">
        <v>28</v>
      </c>
      <c r="G2893" s="238">
        <f>MROUND(H2893*L2893*I2893/K2893,0.000000000001)</f>
        <v>0</v>
      </c>
      <c r="H2893" s="160"/>
      <c r="I2893" s="159">
        <f>I2892</f>
        <v>1.2695E-2</v>
      </c>
      <c r="J2893" s="160"/>
      <c r="K2893" s="161">
        <f>K2892</f>
        <v>665</v>
      </c>
      <c r="L2893" s="250">
        <v>1</v>
      </c>
      <c r="M2893" s="163"/>
      <c r="N2893" s="278"/>
      <c r="O2893" s="280">
        <f>MROUND(N2893*G2893,0.000000001)</f>
        <v>0</v>
      </c>
      <c r="P2893" s="166"/>
      <c r="Q2893" s="166">
        <f>O2893*K2893</f>
        <v>0</v>
      </c>
      <c r="R2893" s="71"/>
    </row>
    <row r="2894" spans="1:41" s="61" customFormat="1" x14ac:dyDescent="0.25">
      <c r="A2894" s="358"/>
      <c r="B2894" s="361"/>
      <c r="C2894" s="221" t="s">
        <v>379</v>
      </c>
      <c r="D2894" s="231" t="s">
        <v>49</v>
      </c>
      <c r="E2894" s="231" t="s">
        <v>101</v>
      </c>
      <c r="F2894" s="231" t="s">
        <v>101</v>
      </c>
      <c r="G2894" s="238">
        <f>MROUND(H2894*L2894*I2894/K2894,0.000000000001)</f>
        <v>0</v>
      </c>
      <c r="H2894" s="160"/>
      <c r="I2894" s="159">
        <f>I2892</f>
        <v>1.2695E-2</v>
      </c>
      <c r="J2894" s="160"/>
      <c r="K2894" s="161">
        <f>K2892</f>
        <v>665</v>
      </c>
      <c r="L2894" s="250">
        <v>1</v>
      </c>
      <c r="M2894" s="163"/>
      <c r="N2894" s="278"/>
      <c r="O2894" s="280">
        <f>MROUND(N2894*G2894,0.000001)</f>
        <v>0</v>
      </c>
      <c r="P2894" s="166"/>
      <c r="Q2894" s="166">
        <f>O2894*K2894</f>
        <v>0</v>
      </c>
      <c r="R2894" s="71"/>
    </row>
    <row r="2895" spans="1:41" s="109" customFormat="1" x14ac:dyDescent="0.25">
      <c r="A2895" s="358"/>
      <c r="B2895" s="361"/>
      <c r="C2895" s="218" t="s">
        <v>380</v>
      </c>
      <c r="D2895" s="232"/>
      <c r="E2895" s="232"/>
      <c r="F2895" s="232"/>
      <c r="G2895" s="227"/>
      <c r="H2895" s="228"/>
      <c r="I2895" s="206"/>
      <c r="J2895" s="228"/>
      <c r="K2895" s="207"/>
      <c r="L2895" s="257"/>
      <c r="M2895" s="209"/>
      <c r="N2895" s="281"/>
      <c r="O2895" s="279">
        <f>SUM(O2892:O2894)</f>
        <v>190.902255639</v>
      </c>
      <c r="P2895" s="267"/>
      <c r="Q2895" s="166"/>
      <c r="R2895" s="72"/>
      <c r="S2895" s="62"/>
      <c r="T2895" s="62"/>
      <c r="U2895" s="62"/>
      <c r="V2895" s="62"/>
      <c r="W2895" s="62"/>
      <c r="X2895" s="62"/>
      <c r="Y2895" s="62"/>
      <c r="Z2895" s="62"/>
      <c r="AA2895" s="62"/>
      <c r="AB2895" s="62"/>
      <c r="AC2895" s="62"/>
      <c r="AD2895" s="62"/>
      <c r="AE2895" s="62"/>
      <c r="AF2895" s="62"/>
      <c r="AG2895" s="62"/>
      <c r="AH2895" s="62"/>
      <c r="AI2895" s="62"/>
      <c r="AJ2895" s="62"/>
      <c r="AK2895" s="62"/>
      <c r="AL2895" s="62"/>
      <c r="AM2895" s="62"/>
      <c r="AN2895" s="62"/>
      <c r="AO2895" s="62"/>
    </row>
    <row r="2896" spans="1:41" s="61" customFormat="1" x14ac:dyDescent="0.25">
      <c r="A2896" s="358"/>
      <c r="B2896" s="361"/>
      <c r="C2896" s="221" t="s">
        <v>76</v>
      </c>
      <c r="D2896" s="231" t="s">
        <v>49</v>
      </c>
      <c r="E2896" s="231" t="s">
        <v>22</v>
      </c>
      <c r="F2896" s="231" t="s">
        <v>22</v>
      </c>
      <c r="G2896" s="238">
        <f>MROUND(H2896*L2896*I2896/K2896,0.000000000001)</f>
        <v>0.35725448120300002</v>
      </c>
      <c r="H2896" s="160">
        <f>H2180</f>
        <v>18714</v>
      </c>
      <c r="I2896" s="159">
        <f>I2894</f>
        <v>1.2695E-2</v>
      </c>
      <c r="J2896" s="160"/>
      <c r="K2896" s="161">
        <f>K2894</f>
        <v>665</v>
      </c>
      <c r="L2896" s="250">
        <v>1</v>
      </c>
      <c r="M2896" s="163" t="str">
        <f>CONCATENATE(H2896," ",F2896,"*",I2896,"/",K2896,"чел")</f>
        <v>18714 м2*0,012695/665чел</v>
      </c>
      <c r="N2896" s="278">
        <f>N2180</f>
        <v>3265.8708987923478</v>
      </c>
      <c r="O2896" s="280">
        <f>MROUND(N2896*G2896,0.000000001)</f>
        <v>1166.7470136240001</v>
      </c>
      <c r="P2896" s="166"/>
      <c r="Q2896" s="166">
        <f>O2896*K2896</f>
        <v>775886.76405996014</v>
      </c>
      <c r="R2896" s="71"/>
    </row>
    <row r="2897" spans="1:41" s="61" customFormat="1" x14ac:dyDescent="0.25">
      <c r="A2897" s="358"/>
      <c r="B2897" s="361"/>
      <c r="C2897" s="221"/>
      <c r="D2897" s="231" t="s">
        <v>49</v>
      </c>
      <c r="E2897" s="231" t="s">
        <v>28</v>
      </c>
      <c r="F2897" s="231" t="s">
        <v>28</v>
      </c>
      <c r="G2897" s="238">
        <f>MROUND(H2897*L2897*I2897/K2897,0.000000000001)</f>
        <v>3.8180451129999999E-3</v>
      </c>
      <c r="H2897" s="160">
        <f>H2181</f>
        <v>200</v>
      </c>
      <c r="I2897" s="159">
        <f>I2896</f>
        <v>1.2695E-2</v>
      </c>
      <c r="J2897" s="160"/>
      <c r="K2897" s="161">
        <f>K2896</f>
        <v>665</v>
      </c>
      <c r="L2897" s="250">
        <v>1</v>
      </c>
      <c r="M2897" s="163" t="str">
        <f>CONCATENATE(H2897," ",F2897,"*",I2897,"/",K2897,"чел")</f>
        <v>200 шт*0,012695/665чел</v>
      </c>
      <c r="N2897" s="278">
        <f>N2181</f>
        <v>108250</v>
      </c>
      <c r="O2897" s="280">
        <f>MROUND(N2897*G2897,0.000000001)</f>
        <v>413.30338348200002</v>
      </c>
      <c r="P2897" s="166"/>
      <c r="Q2897" s="166">
        <f>O2897*K2897</f>
        <v>274846.75001553004</v>
      </c>
      <c r="R2897" s="71"/>
    </row>
    <row r="2898" spans="1:41" s="61" customFormat="1" x14ac:dyDescent="0.25">
      <c r="A2898" s="358"/>
      <c r="B2898" s="361"/>
      <c r="C2898" s="221"/>
      <c r="D2898" s="231" t="s">
        <v>49</v>
      </c>
      <c r="E2898" s="231" t="s">
        <v>101</v>
      </c>
      <c r="F2898" s="231" t="s">
        <v>101</v>
      </c>
      <c r="G2898" s="238">
        <f>MROUND(H2898*L2898*I2898/K2898,0.000000000001)</f>
        <v>4.2418481203E-2</v>
      </c>
      <c r="H2898" s="160">
        <f>H2078</f>
        <v>2222</v>
      </c>
      <c r="I2898" s="159">
        <f>I2896</f>
        <v>1.2695E-2</v>
      </c>
      <c r="J2898" s="160"/>
      <c r="K2898" s="161">
        <f>K2896</f>
        <v>665</v>
      </c>
      <c r="L2898" s="250">
        <v>1</v>
      </c>
      <c r="M2898" s="163" t="str">
        <f>CONCATENATE(H2898," ",F2898,"*",I2898,"/",K2898,"чел")</f>
        <v>2222 погон.м.*0,012695/665чел</v>
      </c>
      <c r="N2898" s="278">
        <f>N2182</f>
        <v>5049.5049504950493</v>
      </c>
      <c r="O2898" s="280">
        <f>MROUND(N2898*G2898,0.000001)</f>
        <v>214.192331</v>
      </c>
      <c r="P2898" s="166"/>
      <c r="Q2898" s="166">
        <f>O2898*K2898</f>
        <v>142437.900115</v>
      </c>
      <c r="R2898" s="71"/>
    </row>
    <row r="2899" spans="1:41" s="109" customFormat="1" x14ac:dyDescent="0.25">
      <c r="A2899" s="358"/>
      <c r="B2899" s="361"/>
      <c r="C2899" s="218" t="s">
        <v>291</v>
      </c>
      <c r="D2899" s="232"/>
      <c r="E2899" s="232"/>
      <c r="F2899" s="232"/>
      <c r="G2899" s="227"/>
      <c r="H2899" s="228"/>
      <c r="I2899" s="206"/>
      <c r="J2899" s="228"/>
      <c r="K2899" s="207"/>
      <c r="L2899" s="257"/>
      <c r="M2899" s="209"/>
      <c r="N2899" s="281"/>
      <c r="O2899" s="279">
        <f>SUM(O2896:O2898)</f>
        <v>1794.2427281060002</v>
      </c>
      <c r="P2899" s="267"/>
      <c r="Q2899" s="166"/>
      <c r="R2899" s="72"/>
      <c r="S2899" s="62"/>
      <c r="T2899" s="62"/>
      <c r="U2899" s="62"/>
      <c r="V2899" s="62"/>
      <c r="W2899" s="62"/>
      <c r="X2899" s="62"/>
      <c r="Y2899" s="62"/>
      <c r="Z2899" s="62"/>
      <c r="AA2899" s="62"/>
      <c r="AB2899" s="62"/>
      <c r="AC2899" s="62"/>
      <c r="AD2899" s="62"/>
      <c r="AE2899" s="62"/>
      <c r="AF2899" s="62"/>
      <c r="AG2899" s="62"/>
      <c r="AH2899" s="62"/>
      <c r="AI2899" s="62"/>
      <c r="AJ2899" s="62"/>
      <c r="AK2899" s="62"/>
      <c r="AL2899" s="62"/>
      <c r="AM2899" s="62"/>
      <c r="AN2899" s="62"/>
      <c r="AO2899" s="62"/>
    </row>
    <row r="2900" spans="1:41" s="61" customFormat="1" x14ac:dyDescent="0.25">
      <c r="A2900" s="358"/>
      <c r="B2900" s="361"/>
      <c r="C2900" s="221" t="s">
        <v>77</v>
      </c>
      <c r="D2900" s="231"/>
      <c r="E2900" s="231"/>
      <c r="F2900" s="231"/>
      <c r="G2900" s="238">
        <f>MROUND(H2900*L2900*I2900/K2900,0.000000000001)</f>
        <v>0</v>
      </c>
      <c r="H2900" s="160"/>
      <c r="I2900" s="159">
        <f>I2898</f>
        <v>1.2695E-2</v>
      </c>
      <c r="J2900" s="160"/>
      <c r="K2900" s="161">
        <f>K2898</f>
        <v>665</v>
      </c>
      <c r="L2900" s="250"/>
      <c r="M2900" s="163"/>
      <c r="N2900" s="278"/>
      <c r="O2900" s="280">
        <f>MROUND(N2900*G2900,0.000001)</f>
        <v>0</v>
      </c>
      <c r="P2900" s="166"/>
      <c r="Q2900" s="166">
        <f>O2900*K2900</f>
        <v>0</v>
      </c>
      <c r="R2900" s="71"/>
    </row>
    <row r="2901" spans="1:41" s="109" customFormat="1" x14ac:dyDescent="0.25">
      <c r="A2901" s="358"/>
      <c r="B2901" s="361"/>
      <c r="C2901" s="218" t="s">
        <v>292</v>
      </c>
      <c r="D2901" s="232"/>
      <c r="E2901" s="232"/>
      <c r="F2901" s="232"/>
      <c r="G2901" s="227"/>
      <c r="H2901" s="228"/>
      <c r="I2901" s="206"/>
      <c r="J2901" s="228"/>
      <c r="K2901" s="207"/>
      <c r="L2901" s="257"/>
      <c r="M2901" s="209"/>
      <c r="N2901" s="281"/>
      <c r="O2901" s="279">
        <f>O2900</f>
        <v>0</v>
      </c>
      <c r="P2901" s="267"/>
      <c r="Q2901" s="166"/>
      <c r="R2901" s="72"/>
      <c r="S2901" s="62"/>
      <c r="T2901" s="62"/>
      <c r="U2901" s="62"/>
      <c r="V2901" s="62"/>
      <c r="W2901" s="62"/>
      <c r="X2901" s="62"/>
      <c r="Y2901" s="62"/>
      <c r="Z2901" s="62"/>
      <c r="AA2901" s="62"/>
      <c r="AB2901" s="62"/>
      <c r="AC2901" s="62"/>
      <c r="AD2901" s="62"/>
      <c r="AE2901" s="62"/>
      <c r="AF2901" s="62"/>
      <c r="AG2901" s="62"/>
      <c r="AH2901" s="62"/>
      <c r="AI2901" s="62"/>
      <c r="AJ2901" s="62"/>
      <c r="AK2901" s="62"/>
      <c r="AL2901" s="62"/>
      <c r="AM2901" s="62"/>
      <c r="AN2901" s="62"/>
      <c r="AO2901" s="62"/>
    </row>
    <row r="2902" spans="1:41" s="108" customFormat="1" x14ac:dyDescent="0.25">
      <c r="A2902" s="358"/>
      <c r="B2902" s="361"/>
      <c r="C2902" s="221"/>
      <c r="D2902" s="350" t="s">
        <v>65</v>
      </c>
      <c r="E2902" s="350"/>
      <c r="F2902" s="350"/>
      <c r="G2902" s="350"/>
      <c r="H2902" s="195"/>
      <c r="I2902" s="159"/>
      <c r="J2902" s="195"/>
      <c r="K2902" s="161"/>
      <c r="L2902" s="196"/>
      <c r="M2902" s="230"/>
      <c r="N2902" s="278"/>
      <c r="O2902" s="280"/>
      <c r="P2902" s="166"/>
      <c r="Q2902" s="166">
        <f t="shared" ref="Q2902:Q2921" si="621">O2902*K2902</f>
        <v>0</v>
      </c>
      <c r="R2902" s="71"/>
      <c r="S2902" s="61"/>
      <c r="T2902" s="61"/>
      <c r="U2902" s="61"/>
      <c r="V2902" s="61"/>
      <c r="W2902" s="61"/>
      <c r="X2902" s="61"/>
      <c r="Y2902" s="61"/>
      <c r="Z2902" s="61"/>
      <c r="AA2902" s="61"/>
      <c r="AB2902" s="61"/>
      <c r="AC2902" s="61"/>
      <c r="AD2902" s="61"/>
      <c r="AE2902" s="61"/>
      <c r="AF2902" s="61"/>
      <c r="AG2902" s="61"/>
      <c r="AH2902" s="61"/>
      <c r="AI2902" s="61"/>
      <c r="AJ2902" s="61"/>
      <c r="AK2902" s="61"/>
      <c r="AL2902" s="61"/>
      <c r="AM2902" s="61"/>
      <c r="AN2902" s="61"/>
      <c r="AO2902" s="61"/>
    </row>
    <row r="2903" spans="1:41" s="108" customFormat="1" x14ac:dyDescent="0.25">
      <c r="A2903" s="358"/>
      <c r="B2903" s="361"/>
      <c r="C2903" s="221"/>
      <c r="D2903" s="194"/>
      <c r="E2903" s="194"/>
      <c r="F2903" s="194"/>
      <c r="G2903" s="217"/>
      <c r="H2903" s="195"/>
      <c r="I2903" s="159"/>
      <c r="J2903" s="195"/>
      <c r="K2903" s="161"/>
      <c r="L2903" s="196"/>
      <c r="M2903" s="230"/>
      <c r="N2903" s="278"/>
      <c r="O2903" s="280"/>
      <c r="P2903" s="166"/>
      <c r="Q2903" s="166">
        <f t="shared" si="621"/>
        <v>0</v>
      </c>
      <c r="R2903" s="71"/>
      <c r="S2903" s="61"/>
      <c r="T2903" s="61"/>
      <c r="U2903" s="61"/>
      <c r="V2903" s="61"/>
      <c r="W2903" s="61"/>
      <c r="X2903" s="61"/>
      <c r="Y2903" s="61"/>
      <c r="Z2903" s="61"/>
      <c r="AA2903" s="61"/>
      <c r="AB2903" s="61"/>
      <c r="AC2903" s="61"/>
      <c r="AD2903" s="61"/>
      <c r="AE2903" s="61"/>
      <c r="AF2903" s="61"/>
      <c r="AG2903" s="61"/>
      <c r="AH2903" s="61"/>
      <c r="AI2903" s="61"/>
      <c r="AJ2903" s="61"/>
      <c r="AK2903" s="61"/>
      <c r="AL2903" s="61"/>
      <c r="AM2903" s="61"/>
      <c r="AN2903" s="61"/>
      <c r="AO2903" s="61"/>
    </row>
    <row r="2904" spans="1:41" s="108" customFormat="1" x14ac:dyDescent="0.25">
      <c r="A2904" s="358"/>
      <c r="B2904" s="361"/>
      <c r="C2904" s="365" t="s">
        <v>357</v>
      </c>
      <c r="D2904" s="368" t="s">
        <v>66</v>
      </c>
      <c r="E2904" s="368"/>
      <c r="F2904" s="368"/>
      <c r="G2904" s="368"/>
      <c r="H2904" s="195"/>
      <c r="I2904" s="159"/>
      <c r="J2904" s="195"/>
      <c r="K2904" s="161"/>
      <c r="L2904" s="196"/>
      <c r="M2904" s="230"/>
      <c r="N2904" s="278"/>
      <c r="O2904" s="279">
        <f>O2910</f>
        <v>8.5519528620000003</v>
      </c>
      <c r="P2904" s="166"/>
      <c r="Q2904" s="166">
        <f t="shared" si="621"/>
        <v>0</v>
      </c>
      <c r="R2904" s="71"/>
      <c r="S2904" s="61"/>
      <c r="T2904" s="61"/>
      <c r="U2904" s="61"/>
      <c r="V2904" s="61"/>
      <c r="W2904" s="61"/>
      <c r="X2904" s="61"/>
      <c r="Y2904" s="61"/>
      <c r="Z2904" s="61"/>
      <c r="AA2904" s="61"/>
      <c r="AB2904" s="61"/>
      <c r="AC2904" s="61"/>
      <c r="AD2904" s="61"/>
      <c r="AE2904" s="61"/>
      <c r="AF2904" s="61"/>
      <c r="AG2904" s="61"/>
      <c r="AH2904" s="61"/>
      <c r="AI2904" s="61"/>
      <c r="AJ2904" s="61"/>
      <c r="AK2904" s="61"/>
      <c r="AL2904" s="61"/>
      <c r="AM2904" s="61"/>
      <c r="AN2904" s="61"/>
      <c r="AO2904" s="61"/>
    </row>
    <row r="2905" spans="1:41" s="61" customFormat="1" x14ac:dyDescent="0.25">
      <c r="A2905" s="358"/>
      <c r="B2905" s="361"/>
      <c r="C2905" s="366"/>
      <c r="D2905" s="284" t="s">
        <v>241</v>
      </c>
      <c r="E2905" s="156" t="s">
        <v>28</v>
      </c>
      <c r="F2905" s="156" t="s">
        <v>28</v>
      </c>
      <c r="G2905" s="238">
        <f>MROUND(H2905*L2905*I2905/K2905,0.000000000001)</f>
        <v>3.8944060149999999E-3</v>
      </c>
      <c r="H2905" s="158">
        <f>H2085</f>
        <v>17</v>
      </c>
      <c r="I2905" s="159">
        <f>I2898</f>
        <v>1.2695E-2</v>
      </c>
      <c r="J2905" s="160"/>
      <c r="K2905" s="161">
        <f>K2898</f>
        <v>665</v>
      </c>
      <c r="L2905" s="250">
        <v>12</v>
      </c>
      <c r="M2905" s="163" t="str">
        <f>CONCATENATE(H2905," ",F2905,"*",L2905,"мес.","*",I2905,"/",K2905,"чел")</f>
        <v>17 шт*12мес.*0,012695/665чел</v>
      </c>
      <c r="N2905" s="278">
        <f>N2189</f>
        <v>327.76936274509802</v>
      </c>
      <c r="O2905" s="280">
        <f>MROUND(N2905*G2905,0.000001)</f>
        <v>1.276467</v>
      </c>
      <c r="P2905" s="166"/>
      <c r="Q2905" s="166">
        <f t="shared" si="621"/>
        <v>848.85055499999999</v>
      </c>
      <c r="R2905" s="71"/>
    </row>
    <row r="2906" spans="1:41" s="61" customFormat="1" x14ac:dyDescent="0.25">
      <c r="A2906" s="358"/>
      <c r="B2906" s="361"/>
      <c r="C2906" s="366"/>
      <c r="D2906" s="284" t="s">
        <v>242</v>
      </c>
      <c r="E2906" s="156" t="s">
        <v>243</v>
      </c>
      <c r="F2906" s="156" t="s">
        <v>243</v>
      </c>
      <c r="G2906" s="238">
        <f>MROUND(H2906*L2906*I2906/K2906,0.000000000001)</f>
        <v>3.9645053233079999</v>
      </c>
      <c r="H2906" s="158">
        <f>H2086</f>
        <v>17306</v>
      </c>
      <c r="I2906" s="159">
        <f>I2905</f>
        <v>1.2695E-2</v>
      </c>
      <c r="J2906" s="160"/>
      <c r="K2906" s="161">
        <f>K2905</f>
        <v>665</v>
      </c>
      <c r="L2906" s="250">
        <v>12</v>
      </c>
      <c r="M2906" s="163" t="str">
        <f>CONCATENATE(H2906," ",F2906,"*",L2906,"мес.","*",I2906,"/",K2906,"чел")</f>
        <v>17306 мин.*12мес.*0,012695/665чел</v>
      </c>
      <c r="N2906" s="278">
        <f>N2086</f>
        <v>0.78480002118725689</v>
      </c>
      <c r="O2906" s="280">
        <f>MROUND(N2906*G2906,0.000000001)</f>
        <v>3.111343862</v>
      </c>
      <c r="P2906" s="166"/>
      <c r="Q2906" s="166">
        <f t="shared" si="621"/>
        <v>2069.0436682300001</v>
      </c>
      <c r="R2906" s="71"/>
    </row>
    <row r="2907" spans="1:41" s="61" customFormat="1" ht="31.5" x14ac:dyDescent="0.25">
      <c r="A2907" s="358"/>
      <c r="B2907" s="361"/>
      <c r="C2907" s="366"/>
      <c r="D2907" s="285" t="s">
        <v>244</v>
      </c>
      <c r="E2907" s="286" t="s">
        <v>245</v>
      </c>
      <c r="F2907" s="286" t="s">
        <v>247</v>
      </c>
      <c r="G2907" s="238">
        <f>MROUND(H2907*L2907*I2907/K2907,0.000000000001)</f>
        <v>1.1454135339999999E-3</v>
      </c>
      <c r="H2907" s="158">
        <f>H2087</f>
        <v>5</v>
      </c>
      <c r="I2907" s="159">
        <f>I2906</f>
        <v>1.2695E-2</v>
      </c>
      <c r="J2907" s="160"/>
      <c r="K2907" s="161">
        <f>K2906</f>
        <v>665</v>
      </c>
      <c r="L2907" s="250">
        <v>12</v>
      </c>
      <c r="M2907" s="163" t="str">
        <f>CONCATENATE(H2907," ",F2907,"*",L2907,"мес.","*",I2907,"/",K2907,"чел")</f>
        <v>5 радиоточек*12мес.*0,012695/665чел</v>
      </c>
      <c r="N2907" s="278">
        <f>N2191</f>
        <v>165.68000000000004</v>
      </c>
      <c r="O2907" s="280">
        <f>MROUND(N2907*G2907,0.000001)</f>
        <v>0.189772</v>
      </c>
      <c r="P2907" s="166"/>
      <c r="Q2907" s="166">
        <f t="shared" si="621"/>
        <v>126.19838</v>
      </c>
      <c r="R2907" s="71"/>
    </row>
    <row r="2908" spans="1:41" s="61" customFormat="1" ht="47.25" x14ac:dyDescent="0.25">
      <c r="A2908" s="358"/>
      <c r="B2908" s="361"/>
      <c r="C2908" s="366"/>
      <c r="D2908" s="285" t="s">
        <v>374</v>
      </c>
      <c r="E2908" s="156" t="s">
        <v>28</v>
      </c>
      <c r="F2908" s="156" t="s">
        <v>28</v>
      </c>
      <c r="G2908" s="238">
        <f>MROUND(H2908*L2908*I2908/K2908,0.000000000001)</f>
        <v>5.3452631599999994E-4</v>
      </c>
      <c r="H2908" s="158">
        <f>H2398</f>
        <v>7</v>
      </c>
      <c r="I2908" s="159">
        <f>I2906</f>
        <v>1.2695E-2</v>
      </c>
      <c r="J2908" s="160"/>
      <c r="K2908" s="161">
        <f>K2906</f>
        <v>665</v>
      </c>
      <c r="L2908" s="250">
        <f>L2398</f>
        <v>4</v>
      </c>
      <c r="M2908" s="163" t="str">
        <f>CONCATENATE(H2908," ",F2908,"*",L2908,"мес.","*",I2908,"/",K2908,"чел/час")</f>
        <v>7 шт*4мес.*0,012695/665чел/час</v>
      </c>
      <c r="N2908" s="278">
        <f>N2398</f>
        <v>1256.0399999999997</v>
      </c>
      <c r="O2908" s="280">
        <f>MROUND(N2908*G2908,0.000001)</f>
        <v>0.67138599999999993</v>
      </c>
      <c r="P2908" s="166"/>
      <c r="Q2908" s="166">
        <f t="shared" si="621"/>
        <v>446.47168999999997</v>
      </c>
      <c r="R2908" s="71"/>
    </row>
    <row r="2909" spans="1:41" s="61" customFormat="1" x14ac:dyDescent="0.25">
      <c r="A2909" s="358"/>
      <c r="B2909" s="361"/>
      <c r="C2909" s="367"/>
      <c r="D2909" s="284" t="s">
        <v>246</v>
      </c>
      <c r="E2909" s="156" t="s">
        <v>28</v>
      </c>
      <c r="F2909" s="156" t="s">
        <v>28</v>
      </c>
      <c r="G2909" s="238">
        <f>MROUND(H2909*L2909*I2909/K2909,0.000000000001)</f>
        <v>1.1454135339999999E-3</v>
      </c>
      <c r="H2909" s="158">
        <v>5</v>
      </c>
      <c r="I2909" s="159">
        <f>I2907</f>
        <v>1.2695E-2</v>
      </c>
      <c r="J2909" s="160"/>
      <c r="K2909" s="161">
        <f>K2907</f>
        <v>665</v>
      </c>
      <c r="L2909" s="250">
        <v>12</v>
      </c>
      <c r="M2909" s="163" t="str">
        <f>CONCATENATE(H2909," ",F2909,"*",L2909,"мес.","*",I2909,"/",K2909,"чел")</f>
        <v>5 шт*12мес.*0,012695/665чел</v>
      </c>
      <c r="N2909" s="278">
        <f>N2193</f>
        <v>2883.6603333333333</v>
      </c>
      <c r="O2909" s="280">
        <f>MROUND(N2909*G2909,0.000001)</f>
        <v>3.3029839999999999</v>
      </c>
      <c r="P2909" s="166"/>
      <c r="Q2909" s="166">
        <f t="shared" si="621"/>
        <v>2196.4843599999999</v>
      </c>
      <c r="R2909" s="71"/>
    </row>
    <row r="2910" spans="1:41" s="109" customFormat="1" x14ac:dyDescent="0.25">
      <c r="A2910" s="358"/>
      <c r="B2910" s="361"/>
      <c r="C2910" s="218" t="s">
        <v>358</v>
      </c>
      <c r="D2910" s="287"/>
      <c r="E2910" s="287"/>
      <c r="F2910" s="287"/>
      <c r="G2910" s="288"/>
      <c r="H2910" s="214"/>
      <c r="I2910" s="206"/>
      <c r="J2910" s="214"/>
      <c r="K2910" s="207"/>
      <c r="L2910" s="215"/>
      <c r="M2910" s="289"/>
      <c r="N2910" s="281"/>
      <c r="O2910" s="279">
        <f>SUM(O2905:O2909)</f>
        <v>8.5519528620000003</v>
      </c>
      <c r="P2910" s="267"/>
      <c r="Q2910" s="166">
        <f t="shared" si="621"/>
        <v>0</v>
      </c>
      <c r="R2910" s="71"/>
      <c r="S2910" s="62"/>
      <c r="T2910" s="62"/>
      <c r="U2910" s="62"/>
      <c r="V2910" s="62"/>
      <c r="W2910" s="62"/>
      <c r="X2910" s="62"/>
      <c r="Y2910" s="62"/>
      <c r="Z2910" s="62"/>
      <c r="AA2910" s="62"/>
      <c r="AB2910" s="62"/>
      <c r="AC2910" s="62"/>
      <c r="AD2910" s="62"/>
      <c r="AE2910" s="62"/>
      <c r="AF2910" s="62"/>
      <c r="AG2910" s="62"/>
      <c r="AH2910" s="62"/>
      <c r="AI2910" s="62"/>
      <c r="AJ2910" s="62"/>
      <c r="AK2910" s="62"/>
      <c r="AL2910" s="62"/>
      <c r="AM2910" s="62"/>
      <c r="AN2910" s="62"/>
      <c r="AO2910" s="62"/>
    </row>
    <row r="2911" spans="1:41" s="108" customFormat="1" x14ac:dyDescent="0.25">
      <c r="A2911" s="358"/>
      <c r="B2911" s="361"/>
      <c r="C2911" s="365" t="s">
        <v>366</v>
      </c>
      <c r="D2911" s="368" t="s">
        <v>67</v>
      </c>
      <c r="E2911" s="368"/>
      <c r="F2911" s="368"/>
      <c r="G2911" s="368"/>
      <c r="H2911" s="195"/>
      <c r="I2911" s="159"/>
      <c r="J2911" s="195"/>
      <c r="K2911" s="161"/>
      <c r="L2911" s="196"/>
      <c r="M2911" s="230"/>
      <c r="N2911" s="278"/>
      <c r="O2911" s="279">
        <f>O2912</f>
        <v>1.1486209999999999</v>
      </c>
      <c r="P2911" s="166"/>
      <c r="Q2911" s="166">
        <f t="shared" si="621"/>
        <v>0</v>
      </c>
      <c r="R2911" s="71"/>
      <c r="S2911" s="61"/>
      <c r="T2911" s="61"/>
      <c r="U2911" s="61"/>
      <c r="V2911" s="61"/>
      <c r="W2911" s="61"/>
      <c r="X2911" s="61"/>
      <c r="Y2911" s="61"/>
      <c r="Z2911" s="61"/>
      <c r="AA2911" s="61"/>
      <c r="AB2911" s="61"/>
      <c r="AC2911" s="61"/>
      <c r="AD2911" s="61"/>
      <c r="AE2911" s="61"/>
      <c r="AF2911" s="61"/>
      <c r="AG2911" s="61"/>
      <c r="AH2911" s="61"/>
      <c r="AI2911" s="61"/>
      <c r="AJ2911" s="61"/>
      <c r="AK2911" s="61"/>
      <c r="AL2911" s="61"/>
      <c r="AM2911" s="61"/>
      <c r="AN2911" s="61"/>
      <c r="AO2911" s="61"/>
    </row>
    <row r="2912" spans="1:41" s="61" customFormat="1" x14ac:dyDescent="0.25">
      <c r="A2912" s="358"/>
      <c r="B2912" s="361"/>
      <c r="C2912" s="367"/>
      <c r="D2912" s="194" t="s">
        <v>367</v>
      </c>
      <c r="E2912" s="156" t="s">
        <v>28</v>
      </c>
      <c r="F2912" s="156" t="s">
        <v>28</v>
      </c>
      <c r="G2912" s="238">
        <f>MROUND(H2912*L2912*I2912/K2912,0.000000000001)</f>
        <v>4.5816541399999999E-4</v>
      </c>
      <c r="H2912" s="158">
        <f>H2092</f>
        <v>2</v>
      </c>
      <c r="I2912" s="159">
        <f>I2909</f>
        <v>1.2695E-2</v>
      </c>
      <c r="J2912" s="160"/>
      <c r="K2912" s="161">
        <f>K2909</f>
        <v>665</v>
      </c>
      <c r="L2912" s="250">
        <v>12</v>
      </c>
      <c r="M2912" s="163" t="str">
        <f>CONCATENATE(H2912," ",F2912,"*",L2912,"мес.","*",I2912,"/",K2912,"чел")</f>
        <v>2 шт*12мес.*0,012695/665чел</v>
      </c>
      <c r="N2912" s="278">
        <f>N2092</f>
        <v>2507</v>
      </c>
      <c r="O2912" s="280">
        <f>MROUND(N2912*G2912,0.000001)</f>
        <v>1.1486209999999999</v>
      </c>
      <c r="P2912" s="166"/>
      <c r="Q2912" s="166">
        <f t="shared" si="621"/>
        <v>763.83296499999994</v>
      </c>
      <c r="R2912" s="71"/>
    </row>
    <row r="2913" spans="1:41" s="108" customFormat="1" x14ac:dyDescent="0.25">
      <c r="A2913" s="358"/>
      <c r="B2913" s="361"/>
      <c r="C2913" s="221"/>
      <c r="D2913" s="350" t="s">
        <v>68</v>
      </c>
      <c r="E2913" s="350"/>
      <c r="F2913" s="350"/>
      <c r="G2913" s="350"/>
      <c r="H2913" s="195"/>
      <c r="I2913" s="159"/>
      <c r="J2913" s="195"/>
      <c r="K2913" s="161"/>
      <c r="L2913" s="196"/>
      <c r="M2913" s="230"/>
      <c r="N2913" s="278"/>
      <c r="O2913" s="280"/>
      <c r="P2913" s="166"/>
      <c r="Q2913" s="166">
        <f t="shared" si="621"/>
        <v>0</v>
      </c>
      <c r="R2913" s="71"/>
      <c r="S2913" s="61"/>
      <c r="T2913" s="61"/>
      <c r="U2913" s="61"/>
      <c r="V2913" s="61"/>
      <c r="W2913" s="61"/>
      <c r="X2913" s="61"/>
      <c r="Y2913" s="61"/>
      <c r="Z2913" s="61"/>
      <c r="AA2913" s="61"/>
      <c r="AB2913" s="61"/>
      <c r="AC2913" s="61"/>
      <c r="AD2913" s="61"/>
      <c r="AE2913" s="61"/>
      <c r="AF2913" s="61"/>
      <c r="AG2913" s="61"/>
      <c r="AH2913" s="61"/>
      <c r="AI2913" s="61"/>
      <c r="AJ2913" s="61"/>
      <c r="AK2913" s="61"/>
      <c r="AL2913" s="61"/>
      <c r="AM2913" s="61"/>
      <c r="AN2913" s="61"/>
      <c r="AO2913" s="61"/>
    </row>
    <row r="2914" spans="1:41" s="108" customFormat="1" x14ac:dyDescent="0.25">
      <c r="A2914" s="358"/>
      <c r="B2914" s="361"/>
      <c r="C2914" s="221"/>
      <c r="D2914" s="156"/>
      <c r="E2914" s="156"/>
      <c r="F2914" s="156"/>
      <c r="G2914" s="236"/>
      <c r="H2914" s="195"/>
      <c r="I2914" s="159"/>
      <c r="J2914" s="195"/>
      <c r="K2914" s="161"/>
      <c r="L2914" s="196"/>
      <c r="M2914" s="230"/>
      <c r="N2914" s="278"/>
      <c r="O2914" s="280"/>
      <c r="P2914" s="166"/>
      <c r="Q2914" s="166">
        <f t="shared" si="621"/>
        <v>0</v>
      </c>
      <c r="R2914" s="71"/>
      <c r="S2914" s="61"/>
      <c r="T2914" s="61"/>
      <c r="U2914" s="61"/>
      <c r="V2914" s="61"/>
      <c r="W2914" s="61"/>
      <c r="X2914" s="61"/>
      <c r="Y2914" s="61"/>
      <c r="Z2914" s="61"/>
      <c r="AA2914" s="61"/>
      <c r="AB2914" s="61"/>
      <c r="AC2914" s="61"/>
      <c r="AD2914" s="61"/>
      <c r="AE2914" s="61"/>
      <c r="AF2914" s="61"/>
      <c r="AG2914" s="61"/>
      <c r="AH2914" s="61"/>
      <c r="AI2914" s="61"/>
      <c r="AJ2914" s="61"/>
      <c r="AK2914" s="61"/>
      <c r="AL2914" s="61"/>
      <c r="AM2914" s="61"/>
      <c r="AN2914" s="61"/>
      <c r="AO2914" s="61"/>
    </row>
    <row r="2915" spans="1:41" s="108" customFormat="1" x14ac:dyDescent="0.25">
      <c r="A2915" s="358"/>
      <c r="B2915" s="361"/>
      <c r="C2915" s="221"/>
      <c r="D2915" s="368" t="s">
        <v>69</v>
      </c>
      <c r="E2915" s="368"/>
      <c r="F2915" s="368"/>
      <c r="G2915" s="368"/>
      <c r="H2915" s="187"/>
      <c r="I2915" s="159"/>
      <c r="J2915" s="187"/>
      <c r="K2915" s="161"/>
      <c r="L2915" s="276"/>
      <c r="M2915" s="230"/>
      <c r="N2915" s="278"/>
      <c r="O2915" s="279">
        <f>O2922+O2938+O2941+O2954+O2955+O2956+O2967+O2969+O2973+O2970</f>
        <v>237.387631</v>
      </c>
      <c r="P2915" s="166"/>
      <c r="Q2915" s="166">
        <f t="shared" si="621"/>
        <v>0</v>
      </c>
      <c r="R2915" s="71"/>
      <c r="S2915" s="61"/>
      <c r="T2915" s="61"/>
      <c r="U2915" s="61"/>
      <c r="V2915" s="61"/>
      <c r="W2915" s="61"/>
      <c r="X2915" s="61"/>
      <c r="Y2915" s="61"/>
      <c r="Z2915" s="61"/>
      <c r="AA2915" s="61"/>
      <c r="AB2915" s="61"/>
      <c r="AC2915" s="61"/>
      <c r="AD2915" s="61"/>
      <c r="AE2915" s="61"/>
      <c r="AF2915" s="61"/>
      <c r="AG2915" s="61"/>
      <c r="AH2915" s="61"/>
      <c r="AI2915" s="61"/>
      <c r="AJ2915" s="61"/>
      <c r="AK2915" s="61"/>
      <c r="AL2915" s="61"/>
      <c r="AM2915" s="61"/>
      <c r="AN2915" s="61"/>
      <c r="AO2915" s="61"/>
    </row>
    <row r="2916" spans="1:41" s="61" customFormat="1" ht="31.5" x14ac:dyDescent="0.25">
      <c r="A2916" s="358"/>
      <c r="B2916" s="361"/>
      <c r="C2916" s="365" t="s">
        <v>78</v>
      </c>
      <c r="D2916" s="156" t="s">
        <v>26</v>
      </c>
      <c r="E2916" s="156" t="s">
        <v>22</v>
      </c>
      <c r="F2916" s="156" t="s">
        <v>22</v>
      </c>
      <c r="G2916" s="238">
        <f t="shared" ref="G2916:G2921" si="622">MROUND(H2916*L2916*I2916/K2916,0.000000000001)</f>
        <v>1.1363097870679999</v>
      </c>
      <c r="H2916" s="158">
        <f>H2096</f>
        <v>4960.26</v>
      </c>
      <c r="I2916" s="159">
        <f>I2912</f>
        <v>1.2695E-2</v>
      </c>
      <c r="J2916" s="160"/>
      <c r="K2916" s="161">
        <f>K2912</f>
        <v>665</v>
      </c>
      <c r="L2916" s="250">
        <v>12</v>
      </c>
      <c r="M2916" s="163" t="str">
        <f>CONCATENATE(H2916," ",F2916,"(обрабатываемая площадь в мес.)","*",L2916,"мес.","*",I2916,"/",K2916,"чел")</f>
        <v>4960,26 м2(обрабатываемая площадь в мес.)*12мес.*0,012695/665чел</v>
      </c>
      <c r="N2916" s="278">
        <f>N2200</f>
        <v>1.1553999521530458</v>
      </c>
      <c r="O2916" s="280">
        <f>MROUND(N2916*G2916,0.000001)</f>
        <v>1.3128919999999999</v>
      </c>
      <c r="P2916" s="166"/>
      <c r="Q2916" s="166">
        <f t="shared" si="621"/>
        <v>873.07317999999998</v>
      </c>
      <c r="R2916" s="71"/>
    </row>
    <row r="2917" spans="1:41" s="61" customFormat="1" ht="31.5" x14ac:dyDescent="0.25">
      <c r="A2917" s="358"/>
      <c r="B2917" s="361"/>
      <c r="C2917" s="366"/>
      <c r="D2917" s="156" t="s">
        <v>96</v>
      </c>
      <c r="E2917" s="156" t="s">
        <v>22</v>
      </c>
      <c r="F2917" s="156" t="s">
        <v>22</v>
      </c>
      <c r="G2917" s="238">
        <f t="shared" si="622"/>
        <v>0.62934975699200002</v>
      </c>
      <c r="H2917" s="158">
        <f>H2097</f>
        <v>2747.26</v>
      </c>
      <c r="I2917" s="298">
        <f>I2916</f>
        <v>1.2695E-2</v>
      </c>
      <c r="J2917" s="299"/>
      <c r="K2917" s="300">
        <f>K2916</f>
        <v>665</v>
      </c>
      <c r="L2917" s="250">
        <v>12</v>
      </c>
      <c r="M2917" s="163" t="str">
        <f>CONCATENATE(H2917," ",F2917,"(обрабатываемая площадь в мес.)","*",L2917,"мес.","*",I2917,"/",K2917,"чел")</f>
        <v>2747,26 м2(обрабатываемая площадь в мес.)*12мес.*0,012695/665чел</v>
      </c>
      <c r="N2917" s="278">
        <f>N2201</f>
        <v>1.6108668273115756</v>
      </c>
      <c r="O2917" s="280">
        <f>MROUND(N2917*G2917,0.000001)</f>
        <v>1.0137989999999999</v>
      </c>
      <c r="P2917" s="166"/>
      <c r="Q2917" s="166">
        <f t="shared" si="621"/>
        <v>674.17633499999988</v>
      </c>
      <c r="R2917" s="71"/>
    </row>
    <row r="2918" spans="1:41" s="135" customFormat="1" ht="31.5" x14ac:dyDescent="0.25">
      <c r="A2918" s="358"/>
      <c r="B2918" s="361"/>
      <c r="C2918" s="366"/>
      <c r="D2918" s="156" t="s">
        <v>385</v>
      </c>
      <c r="E2918" s="156" t="s">
        <v>22</v>
      </c>
      <c r="F2918" s="156" t="s">
        <v>22</v>
      </c>
      <c r="G2918" s="238">
        <f t="shared" si="622"/>
        <v>1.2586995139849999</v>
      </c>
      <c r="H2918" s="242">
        <f>$H$2098</f>
        <v>2747.26</v>
      </c>
      <c r="I2918" s="298">
        <f>I2917</f>
        <v>1.2695E-2</v>
      </c>
      <c r="J2918" s="160"/>
      <c r="K2918" s="300">
        <f>K2917</f>
        <v>665</v>
      </c>
      <c r="L2918" s="162">
        <v>24</v>
      </c>
      <c r="M2918" s="163" t="str">
        <f>CONCATENATE(H2918," ",F2918,"(обрабатываемая площадь в год)","*",L2918," раза в год.","*",I2918,"/",K2918,"чел.")</f>
        <v>2747,26 м2(обрабатываемая площадь в год)*24 раза в год.*0,012695/665чел.</v>
      </c>
      <c r="N2918" s="164">
        <f>$N$2098</f>
        <v>1.7779423862321002</v>
      </c>
      <c r="O2918" s="165">
        <f>MROUND(G2918*N2918,0.000001)</f>
        <v>2.237895</v>
      </c>
      <c r="P2918" s="166"/>
      <c r="Q2918" s="166">
        <f t="shared" si="621"/>
        <v>1488.2001749999999</v>
      </c>
      <c r="R2918" s="71"/>
      <c r="S2918" s="61"/>
      <c r="T2918" s="61"/>
      <c r="U2918" s="61"/>
      <c r="V2918" s="61"/>
      <c r="W2918" s="61"/>
      <c r="X2918" s="61"/>
      <c r="Y2918" s="61"/>
      <c r="Z2918" s="61"/>
      <c r="AA2918" s="61"/>
      <c r="AB2918" s="61"/>
      <c r="AC2918" s="61"/>
      <c r="AD2918" s="61"/>
      <c r="AE2918" s="61"/>
      <c r="AF2918" s="61"/>
      <c r="AG2918" s="61"/>
      <c r="AH2918" s="61"/>
      <c r="AI2918" s="61"/>
      <c r="AJ2918" s="61"/>
      <c r="AK2918" s="61"/>
      <c r="AL2918" s="61"/>
      <c r="AM2918" s="61"/>
      <c r="AN2918" s="61"/>
      <c r="AO2918" s="61"/>
    </row>
    <row r="2919" spans="1:41" s="135" customFormat="1" ht="31.5" x14ac:dyDescent="0.25">
      <c r="A2919" s="358"/>
      <c r="B2919" s="361"/>
      <c r="C2919" s="366"/>
      <c r="D2919" s="156" t="s">
        <v>394</v>
      </c>
      <c r="E2919" s="156" t="s">
        <v>22</v>
      </c>
      <c r="F2919" s="156" t="s">
        <v>22</v>
      </c>
      <c r="G2919" s="238">
        <f t="shared" si="622"/>
        <v>1.1363097870679999</v>
      </c>
      <c r="H2919" s="243">
        <f>$H$2099</f>
        <v>4960.26</v>
      </c>
      <c r="I2919" s="298">
        <f>I2918</f>
        <v>1.2695E-2</v>
      </c>
      <c r="J2919" s="160"/>
      <c r="K2919" s="300">
        <f>K2918</f>
        <v>665</v>
      </c>
      <c r="L2919" s="162">
        <v>12</v>
      </c>
      <c r="M2919" s="163" t="str">
        <f>CONCATENATE(H2919," ",F2919,"(обрабатываемая площадь в мес.)","*",L2919,"мес.","*",I2919,"/",K2919,"чел.")</f>
        <v>4960,26 м2(обрабатываемая площадь в мес.)*12мес.*0,012695/665чел.</v>
      </c>
      <c r="N2919" s="164">
        <f>$N$2099</f>
        <v>0.54499999327992221</v>
      </c>
      <c r="O2919" s="165">
        <f>MROUND(G2919*N2919,0.000001)</f>
        <v>0.61928899999999998</v>
      </c>
      <c r="P2919" s="166"/>
      <c r="Q2919" s="166">
        <f t="shared" si="621"/>
        <v>411.82718499999999</v>
      </c>
      <c r="R2919" s="71"/>
      <c r="S2919" s="61"/>
      <c r="T2919" s="61"/>
      <c r="U2919" s="61"/>
      <c r="V2919" s="61"/>
      <c r="W2919" s="61"/>
      <c r="X2919" s="61"/>
      <c r="Y2919" s="61"/>
      <c r="Z2919" s="61"/>
      <c r="AA2919" s="61"/>
      <c r="AB2919" s="61"/>
      <c r="AC2919" s="61"/>
      <c r="AD2919" s="61"/>
      <c r="AE2919" s="61"/>
      <c r="AF2919" s="61"/>
      <c r="AG2919" s="61"/>
      <c r="AH2919" s="61"/>
      <c r="AI2919" s="61"/>
      <c r="AJ2919" s="61"/>
      <c r="AK2919" s="61"/>
      <c r="AL2919" s="61"/>
      <c r="AM2919" s="61"/>
      <c r="AN2919" s="61"/>
      <c r="AO2919" s="61"/>
    </row>
    <row r="2920" spans="1:41" s="135" customFormat="1" ht="31.5" x14ac:dyDescent="0.25">
      <c r="A2920" s="358"/>
      <c r="B2920" s="361"/>
      <c r="C2920" s="366"/>
      <c r="D2920" s="156" t="s">
        <v>395</v>
      </c>
      <c r="E2920" s="156" t="s">
        <v>98</v>
      </c>
      <c r="F2920" s="156" t="s">
        <v>98</v>
      </c>
      <c r="G2920" s="238">
        <f t="shared" si="622"/>
        <v>3.5889624000000002E-5</v>
      </c>
      <c r="H2920" s="242">
        <f>$H$2100</f>
        <v>1.8800000000000001</v>
      </c>
      <c r="I2920" s="298">
        <f>I2919</f>
        <v>1.2695E-2</v>
      </c>
      <c r="J2920" s="160"/>
      <c r="K2920" s="300">
        <f>K2919</f>
        <v>665</v>
      </c>
      <c r="L2920" s="162">
        <v>1</v>
      </c>
      <c r="M2920" s="163" t="str">
        <f>CONCATENATE(H2920," ",F2920,"(обрабатываемая площадь в год)","*",L2920," раз в год","*",I2920,"/",K2920,"чел.")</f>
        <v>1,88 Га(обрабатываемая площадь в год)*1 раз в год*0,012695/665чел.</v>
      </c>
      <c r="N2920" s="164">
        <f>$N$2100</f>
        <v>544.99999999999989</v>
      </c>
      <c r="O2920" s="165">
        <f>MROUND(G2920*N2920,0.000001)</f>
        <v>1.9559999999999998E-2</v>
      </c>
      <c r="P2920" s="166"/>
      <c r="Q2920" s="166">
        <f t="shared" si="621"/>
        <v>13.007399999999999</v>
      </c>
      <c r="R2920" s="71"/>
      <c r="S2920" s="61"/>
      <c r="T2920" s="61"/>
      <c r="U2920" s="61"/>
      <c r="V2920" s="61"/>
      <c r="W2920" s="61"/>
      <c r="X2920" s="61"/>
      <c r="Y2920" s="61"/>
      <c r="Z2920" s="61"/>
      <c r="AA2920" s="61"/>
      <c r="AB2920" s="61"/>
      <c r="AC2920" s="61"/>
      <c r="AD2920" s="61"/>
      <c r="AE2920" s="61"/>
      <c r="AF2920" s="61"/>
      <c r="AG2920" s="61"/>
      <c r="AH2920" s="61"/>
      <c r="AI2920" s="61"/>
      <c r="AJ2920" s="61"/>
      <c r="AK2920" s="61"/>
      <c r="AL2920" s="61"/>
      <c r="AM2920" s="61"/>
      <c r="AN2920" s="61"/>
      <c r="AO2920" s="61"/>
    </row>
    <row r="2921" spans="1:41" s="61" customFormat="1" ht="31.5" x14ac:dyDescent="0.25">
      <c r="A2921" s="358"/>
      <c r="B2921" s="361"/>
      <c r="C2921" s="367"/>
      <c r="D2921" s="156" t="s">
        <v>97</v>
      </c>
      <c r="E2921" s="156" t="s">
        <v>363</v>
      </c>
      <c r="F2921" s="156" t="s">
        <v>363</v>
      </c>
      <c r="G2921" s="238">
        <f t="shared" si="622"/>
        <v>3.5889624000000002E-5</v>
      </c>
      <c r="H2921" s="158">
        <f>$H$2101</f>
        <v>1.8800000000000001</v>
      </c>
      <c r="I2921" s="298">
        <f>I2917</f>
        <v>1.2695E-2</v>
      </c>
      <c r="J2921" s="299"/>
      <c r="K2921" s="300">
        <f>K2917</f>
        <v>665</v>
      </c>
      <c r="L2921" s="250">
        <v>1</v>
      </c>
      <c r="M2921" s="163" t="str">
        <f>CONCATENATE(H2921," ",F2921,"(обрабатываемая площадь в мес.)","*",L2921,"мес.","*",I2921,"/",K2921,"чел")</f>
        <v>1,88 га(обрабатываемая площадь в мес.)*1мес.*0,012695/665чел</v>
      </c>
      <c r="N2921" s="278">
        <f>$N$2101</f>
        <v>2965.9734042553187</v>
      </c>
      <c r="O2921" s="280">
        <f>MROUND(N2921*G2921,0.000001)</f>
        <v>0.106448</v>
      </c>
      <c r="P2921" s="166"/>
      <c r="Q2921" s="166">
        <f t="shared" si="621"/>
        <v>70.78792</v>
      </c>
      <c r="R2921" s="71"/>
    </row>
    <row r="2922" spans="1:41" s="109" customFormat="1" x14ac:dyDescent="0.25">
      <c r="A2922" s="358"/>
      <c r="B2922" s="361"/>
      <c r="C2922" s="218" t="s">
        <v>327</v>
      </c>
      <c r="D2922" s="240"/>
      <c r="E2922" s="240"/>
      <c r="F2922" s="240"/>
      <c r="G2922" s="227"/>
      <c r="H2922" s="241"/>
      <c r="I2922" s="206"/>
      <c r="J2922" s="228"/>
      <c r="K2922" s="207"/>
      <c r="L2922" s="257"/>
      <c r="M2922" s="209"/>
      <c r="N2922" s="281"/>
      <c r="O2922" s="279">
        <f>SUM(O2916:O2921)</f>
        <v>5.309883000000001</v>
      </c>
      <c r="P2922" s="267"/>
      <c r="Q2922" s="166"/>
      <c r="R2922" s="71"/>
      <c r="S2922" s="62"/>
      <c r="T2922" s="62"/>
      <c r="U2922" s="62"/>
      <c r="V2922" s="62"/>
      <c r="W2922" s="62"/>
      <c r="X2922" s="62"/>
      <c r="Y2922" s="62"/>
      <c r="Z2922" s="62"/>
      <c r="AA2922" s="62"/>
      <c r="AB2922" s="62"/>
      <c r="AC2922" s="62"/>
      <c r="AD2922" s="62"/>
      <c r="AE2922" s="62"/>
      <c r="AF2922" s="62"/>
      <c r="AG2922" s="62"/>
      <c r="AH2922" s="62"/>
      <c r="AI2922" s="62"/>
      <c r="AJ2922" s="62"/>
      <c r="AK2922" s="62"/>
      <c r="AL2922" s="62"/>
      <c r="AM2922" s="62"/>
      <c r="AN2922" s="62"/>
      <c r="AO2922" s="62"/>
    </row>
    <row r="2923" spans="1:41" s="61" customFormat="1" x14ac:dyDescent="0.25">
      <c r="A2923" s="358"/>
      <c r="B2923" s="361"/>
      <c r="C2923" s="366" t="s">
        <v>77</v>
      </c>
      <c r="D2923" s="156" t="s">
        <v>397</v>
      </c>
      <c r="E2923" s="156" t="s">
        <v>433</v>
      </c>
      <c r="F2923" s="156" t="s">
        <v>433</v>
      </c>
      <c r="G2923" s="238">
        <f t="shared" ref="G2923:G2937" si="623">MROUND(H2923*L2923*I2923/K2923,0.000000000001)</f>
        <v>0</v>
      </c>
      <c r="H2923" s="158"/>
      <c r="I2923" s="306">
        <f>I2917</f>
        <v>1.2695E-2</v>
      </c>
      <c r="J2923" s="307"/>
      <c r="K2923" s="308">
        <f>K2917</f>
        <v>665</v>
      </c>
      <c r="L2923" s="162">
        <v>1</v>
      </c>
      <c r="M2923" s="163"/>
      <c r="N2923" s="278"/>
      <c r="O2923" s="280">
        <f t="shared" ref="O2923:O2937" si="624">MROUND(N2923*G2923,0.000001)</f>
        <v>0</v>
      </c>
      <c r="P2923" s="166"/>
      <c r="Q2923" s="166">
        <f t="shared" ref="Q2923:Q2937" si="625">O2923*K2923</f>
        <v>0</v>
      </c>
      <c r="R2923" s="71"/>
    </row>
    <row r="2924" spans="1:41" s="61" customFormat="1" ht="63" x14ac:dyDescent="0.25">
      <c r="A2924" s="358"/>
      <c r="B2924" s="361"/>
      <c r="C2924" s="366"/>
      <c r="D2924" s="156" t="s">
        <v>249</v>
      </c>
      <c r="E2924" s="156" t="s">
        <v>22</v>
      </c>
      <c r="F2924" s="156" t="s">
        <v>22</v>
      </c>
      <c r="G2924" s="238">
        <f t="shared" si="623"/>
        <v>0.15824804300799999</v>
      </c>
      <c r="H2924" s="158">
        <f>H2104</f>
        <v>690.79</v>
      </c>
      <c r="I2924" s="159">
        <f>I2923</f>
        <v>1.2695E-2</v>
      </c>
      <c r="J2924" s="160"/>
      <c r="K2924" s="161">
        <f>K2923</f>
        <v>665</v>
      </c>
      <c r="L2924" s="250">
        <v>12</v>
      </c>
      <c r="M2924" s="163" t="str">
        <f>CONCATENATE(H2924," ",F2924,"*",L2924,"мес.","*",I2924,"/",K2924,"чел")</f>
        <v>690,79 м2*12мес.*0,012695/665чел</v>
      </c>
      <c r="N2924" s="278">
        <f>N2516</f>
        <v>30.306671829837342</v>
      </c>
      <c r="O2924" s="280">
        <f t="shared" si="624"/>
        <v>4.7959719999999999</v>
      </c>
      <c r="P2924" s="166"/>
      <c r="Q2924" s="166">
        <f t="shared" si="625"/>
        <v>3189.3213799999999</v>
      </c>
      <c r="R2924" s="71"/>
    </row>
    <row r="2925" spans="1:41" s="136" customFormat="1" x14ac:dyDescent="0.25">
      <c r="A2925" s="358"/>
      <c r="B2925" s="361"/>
      <c r="C2925" s="366"/>
      <c r="D2925" s="194" t="s">
        <v>398</v>
      </c>
      <c r="E2925" s="156" t="s">
        <v>60</v>
      </c>
      <c r="F2925" s="156" t="s">
        <v>60</v>
      </c>
      <c r="G2925" s="238">
        <f t="shared" si="623"/>
        <v>9.5451127999999995E-5</v>
      </c>
      <c r="H2925" s="158">
        <f>$H$2105</f>
        <v>5</v>
      </c>
      <c r="I2925" s="159">
        <f>I2924</f>
        <v>1.2695E-2</v>
      </c>
      <c r="J2925" s="160"/>
      <c r="K2925" s="161">
        <f>K2924</f>
        <v>665</v>
      </c>
      <c r="L2925" s="250">
        <v>1</v>
      </c>
      <c r="M2925" s="163" t="str">
        <f>CONCATENATE(H2925," ",F2925,"*",I2925,"/",K2925,"чел/час")</f>
        <v>5 шт.*0,012695/665чел/час</v>
      </c>
      <c r="N2925" s="278">
        <f>$N$2105</f>
        <v>11009</v>
      </c>
      <c r="O2925" s="280">
        <f t="shared" si="624"/>
        <v>1.050821</v>
      </c>
      <c r="P2925" s="166"/>
      <c r="Q2925" s="166">
        <f t="shared" si="625"/>
        <v>698.79596500000002</v>
      </c>
      <c r="R2925" s="71"/>
      <c r="S2925" s="61"/>
      <c r="T2925" s="61"/>
      <c r="U2925" s="61"/>
      <c r="V2925" s="61"/>
      <c r="W2925" s="61"/>
      <c r="X2925" s="61"/>
      <c r="Y2925" s="61"/>
      <c r="Z2925" s="61"/>
      <c r="AA2925" s="61"/>
      <c r="AB2925" s="61"/>
      <c r="AC2925" s="61"/>
      <c r="AD2925" s="61"/>
      <c r="AE2925" s="61"/>
      <c r="AF2925" s="61"/>
      <c r="AG2925" s="61"/>
      <c r="AH2925" s="61"/>
      <c r="AI2925" s="61"/>
      <c r="AJ2925" s="61"/>
      <c r="AK2925" s="61"/>
      <c r="AL2925" s="61"/>
      <c r="AM2925" s="61"/>
      <c r="AN2925" s="61"/>
      <c r="AO2925" s="61"/>
    </row>
    <row r="2926" spans="1:41" s="136" customFormat="1" ht="63" x14ac:dyDescent="0.25">
      <c r="A2926" s="358"/>
      <c r="B2926" s="361"/>
      <c r="C2926" s="366"/>
      <c r="D2926" s="156" t="s">
        <v>33</v>
      </c>
      <c r="E2926" s="156" t="s">
        <v>56</v>
      </c>
      <c r="F2926" s="156" t="s">
        <v>220</v>
      </c>
      <c r="G2926" s="238">
        <f t="shared" si="623"/>
        <v>9.5451127999999995E-5</v>
      </c>
      <c r="H2926" s="158">
        <f>$H$2106</f>
        <v>5</v>
      </c>
      <c r="I2926" s="159">
        <f>I2925</f>
        <v>1.2695E-2</v>
      </c>
      <c r="J2926" s="160"/>
      <c r="K2926" s="161">
        <f>K2925</f>
        <v>665</v>
      </c>
      <c r="L2926" s="250">
        <f>$L$2106</f>
        <v>1</v>
      </c>
      <c r="M2926" s="163" t="str">
        <f>CONCATENATE(H2926," ",F2926,"*",L2926," раз в год","*",I2926,"/",K2926,"чел.")</f>
        <v>5 дымоходов*1 раз в год*0,012695/665чел.</v>
      </c>
      <c r="N2926" s="278">
        <f>$N$2106</f>
        <v>6540</v>
      </c>
      <c r="O2926" s="280">
        <f t="shared" si="624"/>
        <v>0.62424999999999997</v>
      </c>
      <c r="P2926" s="166"/>
      <c r="Q2926" s="166">
        <f t="shared" si="625"/>
        <v>415.12624999999997</v>
      </c>
      <c r="R2926" s="71"/>
      <c r="S2926" s="61"/>
      <c r="T2926" s="61"/>
      <c r="U2926" s="61"/>
      <c r="V2926" s="61"/>
      <c r="W2926" s="61"/>
      <c r="X2926" s="61"/>
      <c r="Y2926" s="61"/>
      <c r="Z2926" s="61"/>
      <c r="AA2926" s="61"/>
      <c r="AB2926" s="61"/>
      <c r="AC2926" s="61"/>
      <c r="AD2926" s="61"/>
      <c r="AE2926" s="61"/>
      <c r="AF2926" s="61"/>
      <c r="AG2926" s="61"/>
      <c r="AH2926" s="61"/>
      <c r="AI2926" s="61"/>
      <c r="AJ2926" s="61"/>
      <c r="AK2926" s="61"/>
      <c r="AL2926" s="61"/>
      <c r="AM2926" s="61"/>
      <c r="AN2926" s="61"/>
      <c r="AO2926" s="61"/>
    </row>
    <row r="2927" spans="1:41" s="61" customFormat="1" ht="78.75" x14ac:dyDescent="0.25">
      <c r="A2927" s="358"/>
      <c r="B2927" s="361"/>
      <c r="C2927" s="366"/>
      <c r="D2927" s="156" t="s">
        <v>250</v>
      </c>
      <c r="E2927" s="156" t="s">
        <v>251</v>
      </c>
      <c r="F2927" s="156" t="s">
        <v>60</v>
      </c>
      <c r="G2927" s="238">
        <f t="shared" si="623"/>
        <v>9.5451127999999995E-5</v>
      </c>
      <c r="H2927" s="158">
        <f>$H$2107</f>
        <v>5</v>
      </c>
      <c r="I2927" s="159">
        <f>I2924</f>
        <v>1.2695E-2</v>
      </c>
      <c r="J2927" s="160"/>
      <c r="K2927" s="161">
        <f>K2924</f>
        <v>665</v>
      </c>
      <c r="L2927" s="250">
        <v>1</v>
      </c>
      <c r="M2927" s="163" t="str">
        <f>CONCATENATE(H2927," ",F2927,"*",I2927,"/",K2927,"чел")</f>
        <v>5 шт.*0,012695/665чел</v>
      </c>
      <c r="N2927" s="278">
        <f t="shared" ref="N2927:N2937" si="626">N2107</f>
        <v>52320</v>
      </c>
      <c r="O2927" s="280">
        <f t="shared" si="624"/>
        <v>4.9940030000000002</v>
      </c>
      <c r="P2927" s="166"/>
      <c r="Q2927" s="166">
        <f t="shared" si="625"/>
        <v>3321.0119950000003</v>
      </c>
      <c r="R2927" s="71"/>
    </row>
    <row r="2928" spans="1:41" s="61" customFormat="1" ht="47.25" x14ac:dyDescent="0.25">
      <c r="A2928" s="358"/>
      <c r="B2928" s="361"/>
      <c r="C2928" s="366"/>
      <c r="D2928" s="156" t="s">
        <v>401</v>
      </c>
      <c r="E2928" s="156" t="s">
        <v>60</v>
      </c>
      <c r="F2928" s="156" t="s">
        <v>402</v>
      </c>
      <c r="G2928" s="238">
        <f t="shared" si="623"/>
        <v>1.9090225599999999E-4</v>
      </c>
      <c r="H2928" s="158">
        <f>H2108</f>
        <v>5</v>
      </c>
      <c r="I2928" s="159">
        <f>I2927</f>
        <v>1.2695E-2</v>
      </c>
      <c r="J2928" s="160"/>
      <c r="K2928" s="161">
        <f>K2927</f>
        <v>665</v>
      </c>
      <c r="L2928" s="250">
        <f>$L$2108</f>
        <v>2</v>
      </c>
      <c r="M2928" s="163" t="str">
        <f>CONCATENATE(H2928," ",F2928,"*",I2928,"/",K2928,"чел")</f>
        <v>5 противопожарных водопроводов*0,012695/665чел</v>
      </c>
      <c r="N2928" s="278">
        <f t="shared" si="626"/>
        <v>5450</v>
      </c>
      <c r="O2928" s="280">
        <f t="shared" si="624"/>
        <v>1.0404169999999999</v>
      </c>
      <c r="P2928" s="166"/>
      <c r="Q2928" s="166">
        <f t="shared" si="625"/>
        <v>691.87730499999998</v>
      </c>
      <c r="R2928" s="71"/>
    </row>
    <row r="2929" spans="1:41" s="61" customFormat="1" ht="47.25" x14ac:dyDescent="0.25">
      <c r="A2929" s="358"/>
      <c r="B2929" s="361"/>
      <c r="C2929" s="366"/>
      <c r="D2929" s="156" t="s">
        <v>34</v>
      </c>
      <c r="E2929" s="156" t="s">
        <v>59</v>
      </c>
      <c r="F2929" s="156" t="s">
        <v>28</v>
      </c>
      <c r="G2929" s="238">
        <f t="shared" si="623"/>
        <v>3.8180450999999997E-5</v>
      </c>
      <c r="H2929" s="158">
        <f>H2109</f>
        <v>2</v>
      </c>
      <c r="I2929" s="159">
        <f>I2928</f>
        <v>1.2695E-2</v>
      </c>
      <c r="J2929" s="160"/>
      <c r="K2929" s="161">
        <f>K2928</f>
        <v>665</v>
      </c>
      <c r="L2929" s="250">
        <v>1</v>
      </c>
      <c r="M2929" s="163" t="str">
        <f>CONCATENATE(H2929," ",F2929,"*",I2929,"/",K2929,"чел")</f>
        <v>2 шт*0,012695/665чел</v>
      </c>
      <c r="N2929" s="278">
        <f t="shared" si="626"/>
        <v>7500</v>
      </c>
      <c r="O2929" s="280">
        <f t="shared" si="624"/>
        <v>0.28635299999999997</v>
      </c>
      <c r="P2929" s="166"/>
      <c r="Q2929" s="166">
        <f t="shared" si="625"/>
        <v>190.42474499999997</v>
      </c>
      <c r="R2929" s="71"/>
    </row>
    <row r="2930" spans="1:41" s="61" customFormat="1" ht="47.25" x14ac:dyDescent="0.25">
      <c r="A2930" s="358"/>
      <c r="B2930" s="361"/>
      <c r="C2930" s="366"/>
      <c r="D2930" s="156" t="s">
        <v>222</v>
      </c>
      <c r="E2930" s="156" t="s">
        <v>60</v>
      </c>
      <c r="F2930" s="156" t="s">
        <v>60</v>
      </c>
      <c r="G2930" s="238">
        <f t="shared" si="623"/>
        <v>3.8180450999999997E-5</v>
      </c>
      <c r="H2930" s="158">
        <f>H2318</f>
        <v>2</v>
      </c>
      <c r="I2930" s="159">
        <f>I2929</f>
        <v>1.2695E-2</v>
      </c>
      <c r="J2930" s="160"/>
      <c r="K2930" s="161">
        <f>K2929</f>
        <v>665</v>
      </c>
      <c r="L2930" s="250">
        <v>1</v>
      </c>
      <c r="M2930" s="163" t="str">
        <f>CONCATENATE(H2930," ",F2930,"*",I2930,"/",K2930,"чел")</f>
        <v>2 шт.*0,012695/665чел</v>
      </c>
      <c r="N2930" s="278">
        <f t="shared" si="626"/>
        <v>13000</v>
      </c>
      <c r="O2930" s="280">
        <f t="shared" si="624"/>
        <v>0.49634599999999995</v>
      </c>
      <c r="P2930" s="166"/>
      <c r="Q2930" s="166">
        <f t="shared" si="625"/>
        <v>330.07008999999999</v>
      </c>
      <c r="R2930" s="71"/>
    </row>
    <row r="2931" spans="1:41" s="61" customFormat="1" ht="31.5" x14ac:dyDescent="0.25">
      <c r="A2931" s="358"/>
      <c r="B2931" s="361"/>
      <c r="C2931" s="366"/>
      <c r="D2931" s="156" t="s">
        <v>35</v>
      </c>
      <c r="E2931" s="156" t="s">
        <v>102</v>
      </c>
      <c r="F2931" s="156" t="s">
        <v>252</v>
      </c>
      <c r="G2931" s="238">
        <f t="shared" si="623"/>
        <v>3.8180450999999997E-5</v>
      </c>
      <c r="H2931" s="158">
        <f>H2111</f>
        <v>2</v>
      </c>
      <c r="I2931" s="159">
        <f>I2929</f>
        <v>1.2695E-2</v>
      </c>
      <c r="J2931" s="160"/>
      <c r="K2931" s="161">
        <f>K2929</f>
        <v>665</v>
      </c>
      <c r="L2931" s="250">
        <v>1</v>
      </c>
      <c r="M2931" s="163" t="str">
        <f>CONCATENATE(H2931," ",F2931,"*",I2931,"/",K2931,"чел")</f>
        <v>2 замера*0,012695/665чел</v>
      </c>
      <c r="N2931" s="278">
        <f t="shared" si="626"/>
        <v>25830</v>
      </c>
      <c r="O2931" s="280">
        <f t="shared" si="624"/>
        <v>0.98620099999999999</v>
      </c>
      <c r="P2931" s="166"/>
      <c r="Q2931" s="166">
        <f t="shared" si="625"/>
        <v>655.82366500000001</v>
      </c>
      <c r="R2931" s="71"/>
    </row>
    <row r="2932" spans="1:41" s="61" customFormat="1" ht="47.25" x14ac:dyDescent="0.25">
      <c r="A2932" s="358"/>
      <c r="B2932" s="361"/>
      <c r="C2932" s="366"/>
      <c r="D2932" s="156" t="s">
        <v>399</v>
      </c>
      <c r="E2932" s="156" t="s">
        <v>60</v>
      </c>
      <c r="F2932" s="156" t="s">
        <v>60</v>
      </c>
      <c r="G2932" s="238">
        <f t="shared" si="623"/>
        <v>7.6360902299999996E-4</v>
      </c>
      <c r="H2932" s="158">
        <f>$H$2112</f>
        <v>4</v>
      </c>
      <c r="I2932" s="159">
        <f>I2931</f>
        <v>1.2695E-2</v>
      </c>
      <c r="J2932" s="160"/>
      <c r="K2932" s="161">
        <f>K2931</f>
        <v>665</v>
      </c>
      <c r="L2932" s="250">
        <v>10</v>
      </c>
      <c r="M2932" s="163" t="str">
        <f>CONCATENATE(H2932," ",F2932,"*",L2932,"мес.","*",I2932,"/",K2932,"чел")</f>
        <v>4 шт.*10мес.*0,012695/665чел</v>
      </c>
      <c r="N2932" s="278">
        <f t="shared" si="626"/>
        <v>2411.625</v>
      </c>
      <c r="O2932" s="280">
        <f t="shared" si="624"/>
        <v>1.8415389999999998</v>
      </c>
      <c r="P2932" s="166"/>
      <c r="Q2932" s="166">
        <f t="shared" si="625"/>
        <v>1224.623435</v>
      </c>
      <c r="R2932" s="71"/>
    </row>
    <row r="2933" spans="1:41" s="61" customFormat="1" ht="47.25" x14ac:dyDescent="0.25">
      <c r="A2933" s="358"/>
      <c r="B2933" s="361"/>
      <c r="C2933" s="366"/>
      <c r="D2933" s="156" t="s">
        <v>36</v>
      </c>
      <c r="E2933" s="156" t="s">
        <v>31</v>
      </c>
      <c r="F2933" s="156" t="s">
        <v>224</v>
      </c>
      <c r="G2933" s="238">
        <f t="shared" si="623"/>
        <v>1.832661654E-3</v>
      </c>
      <c r="H2933" s="158">
        <f>H2113</f>
        <v>8</v>
      </c>
      <c r="I2933" s="159">
        <f>I2932</f>
        <v>1.2695E-2</v>
      </c>
      <c r="J2933" s="160"/>
      <c r="K2933" s="161">
        <f>K2932</f>
        <v>665</v>
      </c>
      <c r="L2933" s="250">
        <v>12</v>
      </c>
      <c r="M2933" s="163" t="str">
        <f>CONCATENATE(H2933," ",F2933,"*",L2933,"мес.","*",I2933,"/",K2933,"чел")</f>
        <v>8 устройств*12мес.*0,012695/665чел</v>
      </c>
      <c r="N2933" s="278">
        <f t="shared" si="626"/>
        <v>2200</v>
      </c>
      <c r="O2933" s="280">
        <f t="shared" si="624"/>
        <v>4.0318559999999994</v>
      </c>
      <c r="P2933" s="166"/>
      <c r="Q2933" s="166">
        <f t="shared" si="625"/>
        <v>2681.1842399999996</v>
      </c>
      <c r="R2933" s="71"/>
    </row>
    <row r="2934" spans="1:41" s="61" customFormat="1" ht="63" x14ac:dyDescent="0.25">
      <c r="A2934" s="358"/>
      <c r="B2934" s="361"/>
      <c r="C2934" s="366"/>
      <c r="D2934" s="156" t="s">
        <v>253</v>
      </c>
      <c r="E2934" s="156" t="s">
        <v>55</v>
      </c>
      <c r="F2934" s="156" t="s">
        <v>55</v>
      </c>
      <c r="G2934" s="238">
        <f t="shared" si="623"/>
        <v>1.1454135339999999E-3</v>
      </c>
      <c r="H2934" s="158">
        <f>H2114</f>
        <v>5</v>
      </c>
      <c r="I2934" s="159">
        <f>I2933</f>
        <v>1.2695E-2</v>
      </c>
      <c r="J2934" s="160"/>
      <c r="K2934" s="161">
        <f>K2933</f>
        <v>665</v>
      </c>
      <c r="L2934" s="250">
        <v>12</v>
      </c>
      <c r="M2934" s="163" t="str">
        <f>CONCATENATE(H2934," ",F2934,"*",I2934,"/",K2934,"чел")</f>
        <v>5 система*0,012695/665чел</v>
      </c>
      <c r="N2934" s="278">
        <f t="shared" si="626"/>
        <v>4251</v>
      </c>
      <c r="O2934" s="280">
        <f t="shared" si="624"/>
        <v>4.8691529999999998</v>
      </c>
      <c r="P2934" s="166"/>
      <c r="Q2934" s="166">
        <f t="shared" si="625"/>
        <v>3237.9867449999997</v>
      </c>
      <c r="R2934" s="71"/>
    </row>
    <row r="2935" spans="1:41" s="61" customFormat="1" ht="31.5" x14ac:dyDescent="0.25">
      <c r="A2935" s="358"/>
      <c r="B2935" s="361"/>
      <c r="C2935" s="366"/>
      <c r="D2935" s="156" t="s">
        <v>99</v>
      </c>
      <c r="E2935" s="156" t="s">
        <v>103</v>
      </c>
      <c r="F2935" s="156" t="s">
        <v>225</v>
      </c>
      <c r="G2935" s="238">
        <f t="shared" si="623"/>
        <v>8.9724060199999997E-4</v>
      </c>
      <c r="H2935" s="158">
        <f>H2115</f>
        <v>47</v>
      </c>
      <c r="I2935" s="159">
        <f>I2934</f>
        <v>1.2695E-2</v>
      </c>
      <c r="J2935" s="160"/>
      <c r="K2935" s="161">
        <f>K2934</f>
        <v>665</v>
      </c>
      <c r="L2935" s="250">
        <v>1</v>
      </c>
      <c r="M2935" s="163" t="str">
        <f>CONCATENATE(H2935," ",F2935,"*",I2935,"/",K2935,"чел.")</f>
        <v>47 ед.*0,012695/665чел.</v>
      </c>
      <c r="N2935" s="164">
        <f t="shared" si="626"/>
        <v>15000</v>
      </c>
      <c r="O2935" s="165">
        <f>MROUND(G2935*N2935,0.000001)</f>
        <v>13.458608999999999</v>
      </c>
      <c r="P2935" s="166"/>
      <c r="Q2935" s="166">
        <f t="shared" si="625"/>
        <v>8949.9749849999989</v>
      </c>
      <c r="R2935" s="71"/>
    </row>
    <row r="2936" spans="1:41" s="61" customFormat="1" x14ac:dyDescent="0.25">
      <c r="A2936" s="358"/>
      <c r="B2936" s="361"/>
      <c r="C2936" s="366"/>
      <c r="D2936" s="156" t="s">
        <v>27</v>
      </c>
      <c r="E2936" s="156" t="s">
        <v>28</v>
      </c>
      <c r="F2936" s="156" t="s">
        <v>28</v>
      </c>
      <c r="G2936" s="238">
        <f t="shared" si="623"/>
        <v>8.0178947370000003E-3</v>
      </c>
      <c r="H2936" s="160">
        <f>H2116</f>
        <v>420</v>
      </c>
      <c r="I2936" s="159">
        <f>I2934</f>
        <v>1.2695E-2</v>
      </c>
      <c r="J2936" s="160"/>
      <c r="K2936" s="161">
        <f>K2934</f>
        <v>665</v>
      </c>
      <c r="L2936" s="250">
        <v>1</v>
      </c>
      <c r="M2936" s="163" t="str">
        <f>CONCATENATE(H2936," ",F2936,"*",I2936,"/",K2936,"чел")</f>
        <v>420 шт*0,012695/665чел</v>
      </c>
      <c r="N2936" s="278">
        <f t="shared" si="626"/>
        <v>400</v>
      </c>
      <c r="O2936" s="280">
        <f t="shared" si="624"/>
        <v>3.2071579999999997</v>
      </c>
      <c r="P2936" s="166"/>
      <c r="Q2936" s="166">
        <f t="shared" si="625"/>
        <v>2132.7600699999998</v>
      </c>
      <c r="R2936" s="71"/>
    </row>
    <row r="2937" spans="1:41" s="61" customFormat="1" ht="31.5" x14ac:dyDescent="0.25">
      <c r="A2937" s="358"/>
      <c r="B2937" s="361"/>
      <c r="C2937" s="367"/>
      <c r="D2937" s="156" t="s">
        <v>104</v>
      </c>
      <c r="E2937" s="156" t="s">
        <v>105</v>
      </c>
      <c r="F2937" s="156" t="s">
        <v>226</v>
      </c>
      <c r="G2937" s="238">
        <f t="shared" si="623"/>
        <v>9.5451127999999995E-5</v>
      </c>
      <c r="H2937" s="160">
        <f>H2117</f>
        <v>5</v>
      </c>
      <c r="I2937" s="159">
        <f>I2936</f>
        <v>1.2695E-2</v>
      </c>
      <c r="J2937" s="160"/>
      <c r="K2937" s="161">
        <f>K2936</f>
        <v>665</v>
      </c>
      <c r="L2937" s="250">
        <v>1</v>
      </c>
      <c r="M2937" s="163" t="str">
        <f>CONCATENATE(H2937," ",F2937,"*",I2937,"/",K2937,"чел")</f>
        <v>5 отключений*0,012695/665чел</v>
      </c>
      <c r="N2937" s="278">
        <f t="shared" si="626"/>
        <v>9810</v>
      </c>
      <c r="O2937" s="280">
        <f t="shared" si="624"/>
        <v>0.93637599999999999</v>
      </c>
      <c r="P2937" s="166"/>
      <c r="Q2937" s="166">
        <f t="shared" si="625"/>
        <v>622.69003999999995</v>
      </c>
      <c r="R2937" s="71"/>
    </row>
    <row r="2938" spans="1:41" s="109" customFormat="1" x14ac:dyDescent="0.25">
      <c r="A2938" s="358"/>
      <c r="B2938" s="361"/>
      <c r="C2938" s="249" t="s">
        <v>326</v>
      </c>
      <c r="D2938" s="240"/>
      <c r="E2938" s="240"/>
      <c r="F2938" s="240"/>
      <c r="G2938" s="227"/>
      <c r="H2938" s="228"/>
      <c r="I2938" s="206"/>
      <c r="J2938" s="228"/>
      <c r="K2938" s="207"/>
      <c r="L2938" s="257"/>
      <c r="M2938" s="209"/>
      <c r="N2938" s="281"/>
      <c r="O2938" s="279">
        <f>SUM(O2923:O2937)</f>
        <v>42.619053999999998</v>
      </c>
      <c r="P2938" s="267"/>
      <c r="Q2938" s="166"/>
      <c r="R2938" s="71"/>
      <c r="S2938" s="62"/>
      <c r="T2938" s="62"/>
      <c r="U2938" s="62"/>
      <c r="V2938" s="62"/>
      <c r="W2938" s="62"/>
      <c r="X2938" s="62"/>
      <c r="Y2938" s="62"/>
      <c r="Z2938" s="62"/>
      <c r="AA2938" s="62"/>
      <c r="AB2938" s="62"/>
      <c r="AC2938" s="62"/>
      <c r="AD2938" s="62"/>
      <c r="AE2938" s="62"/>
      <c r="AF2938" s="62"/>
      <c r="AG2938" s="62"/>
      <c r="AH2938" s="62"/>
      <c r="AI2938" s="62"/>
      <c r="AJ2938" s="62"/>
      <c r="AK2938" s="62"/>
      <c r="AL2938" s="62"/>
      <c r="AM2938" s="62"/>
      <c r="AN2938" s="62"/>
      <c r="AO2938" s="62"/>
    </row>
    <row r="2939" spans="1:41" s="61" customFormat="1" ht="31.5" x14ac:dyDescent="0.25">
      <c r="A2939" s="358"/>
      <c r="B2939" s="361"/>
      <c r="C2939" s="221" t="s">
        <v>79</v>
      </c>
      <c r="D2939" s="156" t="s">
        <v>37</v>
      </c>
      <c r="E2939" s="156" t="s">
        <v>61</v>
      </c>
      <c r="F2939" s="156" t="s">
        <v>254</v>
      </c>
      <c r="G2939" s="238">
        <f>MROUND(H2939*L2939*I2939/K2939,0.000000000001)</f>
        <v>1.9090226E-5</v>
      </c>
      <c r="H2939" s="158">
        <f>$H$2119</f>
        <v>1</v>
      </c>
      <c r="I2939" s="159">
        <f>I2937</f>
        <v>1.2695E-2</v>
      </c>
      <c r="J2939" s="160"/>
      <c r="K2939" s="161">
        <f>K2937</f>
        <v>665</v>
      </c>
      <c r="L2939" s="250">
        <v>1</v>
      </c>
      <c r="M2939" s="163" t="str">
        <f>CONCATENATE(H2939," ",F2939,"*",I2939,"/",K2939,"чел")</f>
        <v>1 автобус*0,012695/665чел</v>
      </c>
      <c r="N2939" s="278">
        <f>N2119</f>
        <v>23352.160000000003</v>
      </c>
      <c r="O2939" s="280">
        <f>MROUND(N2939*G2939,0.000001)</f>
        <v>0.44579799999999997</v>
      </c>
      <c r="P2939" s="166"/>
      <c r="Q2939" s="166">
        <f>O2939*K2939</f>
        <v>296.45567</v>
      </c>
      <c r="R2939" s="71"/>
    </row>
    <row r="2940" spans="1:41" s="61" customFormat="1" x14ac:dyDescent="0.25">
      <c r="A2940" s="358"/>
      <c r="B2940" s="361"/>
      <c r="C2940" s="221"/>
      <c r="D2940" s="156" t="s">
        <v>255</v>
      </c>
      <c r="E2940" s="156" t="s">
        <v>28</v>
      </c>
      <c r="F2940" s="156" t="s">
        <v>28</v>
      </c>
      <c r="G2940" s="238">
        <f>MROUND(H2940*L2940*I2940/K2940,0.000000000001)</f>
        <v>1.3172255639E-2</v>
      </c>
      <c r="H2940" s="158">
        <f>H2120</f>
        <v>345</v>
      </c>
      <c r="I2940" s="159">
        <f>I2939</f>
        <v>1.2695E-2</v>
      </c>
      <c r="J2940" s="160"/>
      <c r="K2940" s="161">
        <f>K2939</f>
        <v>665</v>
      </c>
      <c r="L2940" s="250">
        <v>2</v>
      </c>
      <c r="M2940" s="163" t="str">
        <f>CONCATENATE(H2940," ",F2940,"*",L2940,"раза в год","*",I2940,"/",K2940,"чел")</f>
        <v>345 шт*2раза в год*0,012695/665чел</v>
      </c>
      <c r="N2940" s="278">
        <f>N2120</f>
        <v>436</v>
      </c>
      <c r="O2940" s="280">
        <f>MROUND(N2940*G2940,0.000001)</f>
        <v>5.7431029999999996</v>
      </c>
      <c r="P2940" s="166"/>
      <c r="Q2940" s="166">
        <f>O2940*K2940</f>
        <v>3819.1634949999998</v>
      </c>
      <c r="R2940" s="71"/>
    </row>
    <row r="2941" spans="1:41" s="109" customFormat="1" x14ac:dyDescent="0.25">
      <c r="A2941" s="358"/>
      <c r="B2941" s="361"/>
      <c r="C2941" s="218" t="s">
        <v>328</v>
      </c>
      <c r="D2941" s="240"/>
      <c r="E2941" s="240"/>
      <c r="F2941" s="240"/>
      <c r="G2941" s="227"/>
      <c r="H2941" s="241"/>
      <c r="I2941" s="206"/>
      <c r="J2941" s="228"/>
      <c r="K2941" s="207"/>
      <c r="L2941" s="257"/>
      <c r="M2941" s="209"/>
      <c r="N2941" s="281"/>
      <c r="O2941" s="279">
        <f>O2940+O2939</f>
        <v>6.1889009999999995</v>
      </c>
      <c r="P2941" s="267"/>
      <c r="Q2941" s="166"/>
      <c r="R2941" s="71"/>
      <c r="S2941" s="62"/>
      <c r="T2941" s="62"/>
      <c r="U2941" s="62"/>
      <c r="V2941" s="62"/>
      <c r="W2941" s="62"/>
      <c r="X2941" s="62"/>
      <c r="Y2941" s="62"/>
      <c r="Z2941" s="62"/>
      <c r="AA2941" s="62"/>
      <c r="AB2941" s="62"/>
      <c r="AC2941" s="62"/>
      <c r="AD2941" s="62"/>
      <c r="AE2941" s="62"/>
      <c r="AF2941" s="62"/>
      <c r="AG2941" s="62"/>
      <c r="AH2941" s="62"/>
      <c r="AI2941" s="62"/>
      <c r="AJ2941" s="62"/>
      <c r="AK2941" s="62"/>
      <c r="AL2941" s="62"/>
      <c r="AM2941" s="62"/>
      <c r="AN2941" s="62"/>
      <c r="AO2941" s="62"/>
    </row>
    <row r="2942" spans="1:41" s="61" customFormat="1" x14ac:dyDescent="0.25">
      <c r="A2942" s="358"/>
      <c r="B2942" s="361"/>
      <c r="C2942" s="364" t="s">
        <v>80</v>
      </c>
      <c r="D2942" s="156" t="s">
        <v>38</v>
      </c>
      <c r="E2942" s="156" t="s">
        <v>57</v>
      </c>
      <c r="F2942" s="156" t="s">
        <v>228</v>
      </c>
      <c r="G2942" s="238">
        <f t="shared" ref="G2942:G2953" si="627">MROUND(H2942*L2942*I2942/K2942,0.000000000001)</f>
        <v>1.832661654E-3</v>
      </c>
      <c r="H2942" s="158">
        <f>H2122</f>
        <v>8</v>
      </c>
      <c r="I2942" s="159">
        <f>I2939</f>
        <v>1.2695E-2</v>
      </c>
      <c r="J2942" s="160"/>
      <c r="K2942" s="161">
        <f>K2939</f>
        <v>665</v>
      </c>
      <c r="L2942" s="250">
        <v>12</v>
      </c>
      <c r="M2942" s="163" t="str">
        <f>CONCATENATE(H2942," ",F2942,"*",L2942,"мес.","*",I2942,"/",K2942,"чел")</f>
        <v>8 зданий*12мес.*0,012695/665чел</v>
      </c>
      <c r="N2942" s="278">
        <f t="shared" ref="N2942:N2951" si="628">N2122</f>
        <v>4694.63</v>
      </c>
      <c r="O2942" s="280">
        <f t="shared" ref="O2942:O2953" si="629">MROUND(N2942*G2942,0.000001)</f>
        <v>8.603667999999999</v>
      </c>
      <c r="P2942" s="166"/>
      <c r="Q2942" s="166">
        <f t="shared" ref="Q2942:Q2953" si="630">O2942*K2942</f>
        <v>5721.4392199999993</v>
      </c>
      <c r="R2942" s="71"/>
    </row>
    <row r="2943" spans="1:41" s="61" customFormat="1" x14ac:dyDescent="0.25">
      <c r="A2943" s="358"/>
      <c r="B2943" s="361"/>
      <c r="C2943" s="364"/>
      <c r="D2943" s="156" t="s">
        <v>256</v>
      </c>
      <c r="E2943" s="156" t="s">
        <v>20</v>
      </c>
      <c r="F2943" s="156" t="s">
        <v>20</v>
      </c>
      <c r="G2943" s="238">
        <f t="shared" si="627"/>
        <v>3.5698721800000001E-3</v>
      </c>
      <c r="H2943" s="158">
        <f>H2123</f>
        <v>187</v>
      </c>
      <c r="I2943" s="159">
        <f>I2940</f>
        <v>1.2695E-2</v>
      </c>
      <c r="J2943" s="160"/>
      <c r="K2943" s="161">
        <f>K2940</f>
        <v>665</v>
      </c>
      <c r="L2943" s="250">
        <v>1</v>
      </c>
      <c r="M2943" s="163" t="str">
        <f t="shared" ref="M2943:M2949" si="631">CONCATENATE(H2943," ",F2943,"*",I2943,"/",K2943,"чел")</f>
        <v>187 чел.*0,012695/665чел</v>
      </c>
      <c r="N2943" s="278">
        <f t="shared" si="628"/>
        <v>1853</v>
      </c>
      <c r="O2943" s="280">
        <f t="shared" si="629"/>
        <v>6.614973</v>
      </c>
      <c r="P2943" s="166"/>
      <c r="Q2943" s="166">
        <f t="shared" si="630"/>
        <v>4398.9570450000001</v>
      </c>
      <c r="R2943" s="71"/>
    </row>
    <row r="2944" spans="1:41" s="61" customFormat="1" ht="63" x14ac:dyDescent="0.25">
      <c r="A2944" s="358"/>
      <c r="B2944" s="361"/>
      <c r="C2944" s="364"/>
      <c r="D2944" s="156" t="s">
        <v>39</v>
      </c>
      <c r="E2944" s="156" t="s">
        <v>20</v>
      </c>
      <c r="F2944" s="156" t="s">
        <v>234</v>
      </c>
      <c r="G2944" s="238">
        <f t="shared" si="627"/>
        <v>1.7181202999999999E-4</v>
      </c>
      <c r="H2944" s="158">
        <f>H2124</f>
        <v>9</v>
      </c>
      <c r="I2944" s="159">
        <f>I2942</f>
        <v>1.2695E-2</v>
      </c>
      <c r="J2944" s="160"/>
      <c r="K2944" s="161">
        <f>K2942</f>
        <v>665</v>
      </c>
      <c r="L2944" s="250">
        <v>1</v>
      </c>
      <c r="M2944" s="163" t="str">
        <f t="shared" si="631"/>
        <v>9 чел(заявленная потребность руководителями учреждений)*0,012695/665чел</v>
      </c>
      <c r="N2944" s="278">
        <f t="shared" si="628"/>
        <v>763</v>
      </c>
      <c r="O2944" s="280">
        <f t="shared" si="629"/>
        <v>0.13109299999999999</v>
      </c>
      <c r="P2944" s="166"/>
      <c r="Q2944" s="166">
        <f t="shared" si="630"/>
        <v>87.176844999999986</v>
      </c>
      <c r="R2944" s="71"/>
    </row>
    <row r="2945" spans="1:41" s="61" customFormat="1" ht="63" x14ac:dyDescent="0.25">
      <c r="A2945" s="358"/>
      <c r="B2945" s="361"/>
      <c r="C2945" s="364"/>
      <c r="D2945" s="156" t="s">
        <v>40</v>
      </c>
      <c r="E2945" s="156" t="s">
        <v>20</v>
      </c>
      <c r="F2945" s="156" t="s">
        <v>234</v>
      </c>
      <c r="G2945" s="238">
        <f t="shared" si="627"/>
        <v>2.4817293199999997E-4</v>
      </c>
      <c r="H2945" s="158">
        <f>H2125</f>
        <v>13</v>
      </c>
      <c r="I2945" s="159">
        <f t="shared" ref="I2945:I2950" si="632">I2944</f>
        <v>1.2695E-2</v>
      </c>
      <c r="J2945" s="160"/>
      <c r="K2945" s="161">
        <f t="shared" ref="K2945:K2950" si="633">K2944</f>
        <v>665</v>
      </c>
      <c r="L2945" s="250">
        <v>1</v>
      </c>
      <c r="M2945" s="163" t="str">
        <f t="shared" si="631"/>
        <v>13 чел(заявленная потребность руководителями учреждений)*0,012695/665чел</v>
      </c>
      <c r="N2945" s="278">
        <f t="shared" si="628"/>
        <v>1635</v>
      </c>
      <c r="O2945" s="280">
        <f t="shared" si="629"/>
        <v>0.40576299999999998</v>
      </c>
      <c r="P2945" s="166"/>
      <c r="Q2945" s="166">
        <f t="shared" si="630"/>
        <v>269.83239499999996</v>
      </c>
      <c r="R2945" s="71"/>
    </row>
    <row r="2946" spans="1:41" s="61" customFormat="1" ht="63" x14ac:dyDescent="0.25">
      <c r="A2946" s="358"/>
      <c r="B2946" s="361"/>
      <c r="C2946" s="364"/>
      <c r="D2946" s="156" t="s">
        <v>100</v>
      </c>
      <c r="E2946" s="156" t="s">
        <v>20</v>
      </c>
      <c r="F2946" s="156" t="s">
        <v>234</v>
      </c>
      <c r="G2946" s="238">
        <f t="shared" si="627"/>
        <v>1.3363157899999999E-4</v>
      </c>
      <c r="H2946" s="158">
        <f>H2126</f>
        <v>7</v>
      </c>
      <c r="I2946" s="159">
        <f t="shared" si="632"/>
        <v>1.2695E-2</v>
      </c>
      <c r="J2946" s="160"/>
      <c r="K2946" s="161">
        <f t="shared" si="633"/>
        <v>665</v>
      </c>
      <c r="L2946" s="250">
        <v>1</v>
      </c>
      <c r="M2946" s="163" t="str">
        <f t="shared" si="631"/>
        <v>7 чел(заявленная потребность руководителями учреждений)*0,012695/665чел</v>
      </c>
      <c r="N2946" s="278">
        <f t="shared" si="628"/>
        <v>3488</v>
      </c>
      <c r="O2946" s="280">
        <f t="shared" si="629"/>
        <v>0.46610699999999999</v>
      </c>
      <c r="P2946" s="166"/>
      <c r="Q2946" s="166">
        <f t="shared" si="630"/>
        <v>309.96115500000002</v>
      </c>
      <c r="R2946" s="71"/>
    </row>
    <row r="2947" spans="1:41" s="61" customFormat="1" ht="110.25" x14ac:dyDescent="0.25">
      <c r="A2947" s="358"/>
      <c r="B2947" s="361"/>
      <c r="C2947" s="364"/>
      <c r="D2947" s="156" t="s">
        <v>235</v>
      </c>
      <c r="E2947" s="156" t="s">
        <v>50</v>
      </c>
      <c r="F2947" s="156" t="s">
        <v>230</v>
      </c>
      <c r="G2947" s="238">
        <f t="shared" si="627"/>
        <v>9.5451127999999995E-5</v>
      </c>
      <c r="H2947" s="158">
        <v>5</v>
      </c>
      <c r="I2947" s="159">
        <f t="shared" si="632"/>
        <v>1.2695E-2</v>
      </c>
      <c r="J2947" s="160"/>
      <c r="K2947" s="161">
        <f t="shared" si="633"/>
        <v>665</v>
      </c>
      <c r="L2947" s="250">
        <v>1</v>
      </c>
      <c r="M2947" s="163" t="str">
        <f t="shared" si="631"/>
        <v>5 отчетов*0,012695/665чел</v>
      </c>
      <c r="N2947" s="278">
        <f t="shared" si="628"/>
        <v>6540</v>
      </c>
      <c r="O2947" s="280">
        <f t="shared" si="629"/>
        <v>0.62424999999999997</v>
      </c>
      <c r="P2947" s="166"/>
      <c r="Q2947" s="166">
        <f t="shared" si="630"/>
        <v>415.12624999999997</v>
      </c>
      <c r="R2947" s="71"/>
    </row>
    <row r="2948" spans="1:41" s="61" customFormat="1" ht="63" x14ac:dyDescent="0.25">
      <c r="A2948" s="358"/>
      <c r="B2948" s="361"/>
      <c r="C2948" s="364"/>
      <c r="D2948" s="156" t="s">
        <v>42</v>
      </c>
      <c r="E2948" s="156" t="s">
        <v>51</v>
      </c>
      <c r="F2948" s="156" t="s">
        <v>407</v>
      </c>
      <c r="G2948" s="238">
        <f t="shared" si="627"/>
        <v>4.9634586499999994E-4</v>
      </c>
      <c r="H2948" s="158">
        <f>H2128</f>
        <v>26</v>
      </c>
      <c r="I2948" s="159">
        <f t="shared" si="632"/>
        <v>1.2695E-2</v>
      </c>
      <c r="J2948" s="160"/>
      <c r="K2948" s="161">
        <f t="shared" si="633"/>
        <v>665</v>
      </c>
      <c r="L2948" s="250">
        <v>1</v>
      </c>
      <c r="M2948" s="163" t="str">
        <f t="shared" si="631"/>
        <v>26 ед (заявленная потребность руководителями учреждений)*0,012695/665чел</v>
      </c>
      <c r="N2948" s="278">
        <f t="shared" si="628"/>
        <v>1090</v>
      </c>
      <c r="O2948" s="280">
        <f t="shared" si="629"/>
        <v>0.54101699999999997</v>
      </c>
      <c r="P2948" s="166"/>
      <c r="Q2948" s="166">
        <f t="shared" si="630"/>
        <v>359.77630499999998</v>
      </c>
      <c r="R2948" s="71"/>
    </row>
    <row r="2949" spans="1:41" s="61" customFormat="1" ht="31.5" x14ac:dyDescent="0.25">
      <c r="A2949" s="358"/>
      <c r="B2949" s="361"/>
      <c r="C2949" s="364"/>
      <c r="D2949" s="156" t="s">
        <v>43</v>
      </c>
      <c r="E2949" s="156" t="s">
        <v>52</v>
      </c>
      <c r="F2949" s="156" t="s">
        <v>231</v>
      </c>
      <c r="G2949" s="238">
        <f t="shared" si="627"/>
        <v>9.5451127999999995E-5</v>
      </c>
      <c r="H2949" s="158">
        <v>5</v>
      </c>
      <c r="I2949" s="159">
        <f t="shared" si="632"/>
        <v>1.2695E-2</v>
      </c>
      <c r="J2949" s="160"/>
      <c r="K2949" s="161">
        <f t="shared" si="633"/>
        <v>665</v>
      </c>
      <c r="L2949" s="250">
        <v>1</v>
      </c>
      <c r="M2949" s="163" t="str">
        <f t="shared" si="631"/>
        <v>5 ЭЦП*0,012695/665чел</v>
      </c>
      <c r="N2949" s="278">
        <f t="shared" si="628"/>
        <v>7743.3600000000006</v>
      </c>
      <c r="O2949" s="280">
        <f t="shared" si="629"/>
        <v>0.73911199999999999</v>
      </c>
      <c r="P2949" s="166"/>
      <c r="Q2949" s="166">
        <f t="shared" si="630"/>
        <v>491.50948</v>
      </c>
      <c r="R2949" s="71"/>
    </row>
    <row r="2950" spans="1:41" s="61" customFormat="1" x14ac:dyDescent="0.25">
      <c r="A2950" s="358"/>
      <c r="B2950" s="361"/>
      <c r="C2950" s="364"/>
      <c r="D2950" s="156" t="s">
        <v>373</v>
      </c>
      <c r="E2950" s="156" t="s">
        <v>28</v>
      </c>
      <c r="F2950" s="156" t="s">
        <v>28</v>
      </c>
      <c r="G2950" s="238">
        <f t="shared" si="627"/>
        <v>9.5451127999999995E-5</v>
      </c>
      <c r="H2950" s="158">
        <f>H2130</f>
        <v>5</v>
      </c>
      <c r="I2950" s="159">
        <f t="shared" si="632"/>
        <v>1.2695E-2</v>
      </c>
      <c r="J2950" s="160"/>
      <c r="K2950" s="161">
        <f t="shared" si="633"/>
        <v>665</v>
      </c>
      <c r="L2950" s="250">
        <v>1</v>
      </c>
      <c r="M2950" s="163" t="str">
        <f>CONCATENATE(H2950," ",F2950,"*",I2950,"/",K2950,"чел/час")</f>
        <v>5 шт*0,012695/665чел/час</v>
      </c>
      <c r="N2950" s="278">
        <f t="shared" si="628"/>
        <v>24000</v>
      </c>
      <c r="O2950" s="280">
        <f t="shared" si="629"/>
        <v>2.2908269999999997</v>
      </c>
      <c r="P2950" s="166"/>
      <c r="Q2950" s="166">
        <f t="shared" si="630"/>
        <v>1523.3999549999999</v>
      </c>
      <c r="R2950" s="71"/>
    </row>
    <row r="2951" spans="1:41" s="61" customFormat="1" ht="63" x14ac:dyDescent="0.25">
      <c r="A2951" s="358"/>
      <c r="B2951" s="361"/>
      <c r="C2951" s="364"/>
      <c r="D2951" s="156" t="s">
        <v>45</v>
      </c>
      <c r="E2951" s="156" t="s">
        <v>53</v>
      </c>
      <c r="F2951" s="156" t="s">
        <v>257</v>
      </c>
      <c r="G2951" s="238">
        <f t="shared" si="627"/>
        <v>2.2908270699999999E-4</v>
      </c>
      <c r="H2951" s="158">
        <v>1</v>
      </c>
      <c r="I2951" s="159">
        <f>I2949</f>
        <v>1.2695E-2</v>
      </c>
      <c r="J2951" s="160"/>
      <c r="K2951" s="161">
        <f>K2949</f>
        <v>665</v>
      </c>
      <c r="L2951" s="250">
        <v>12</v>
      </c>
      <c r="M2951" s="163" t="str">
        <f>CONCATENATE(H2951," ",F2951,"*",L2951,"мес.","*",I2951,"/",K2951,"чел")</f>
        <v>1  машина, оборудованная системой ГЛОНАСС*12мес.*0,012695/665чел</v>
      </c>
      <c r="N2951" s="278">
        <f t="shared" si="628"/>
        <v>880.71999999999991</v>
      </c>
      <c r="O2951" s="280">
        <f t="shared" si="629"/>
        <v>0.20175799999999999</v>
      </c>
      <c r="P2951" s="166"/>
      <c r="Q2951" s="166">
        <f t="shared" si="630"/>
        <v>134.16907</v>
      </c>
      <c r="R2951" s="71"/>
    </row>
    <row r="2952" spans="1:41" s="136" customFormat="1" ht="47.25" x14ac:dyDescent="0.25">
      <c r="A2952" s="358"/>
      <c r="B2952" s="361"/>
      <c r="C2952" s="364"/>
      <c r="D2952" s="156" t="s">
        <v>44</v>
      </c>
      <c r="E2952" s="156" t="s">
        <v>85</v>
      </c>
      <c r="F2952" s="156" t="s">
        <v>232</v>
      </c>
      <c r="G2952" s="238">
        <f t="shared" si="627"/>
        <v>5.8034285710000001E-3</v>
      </c>
      <c r="H2952" s="158">
        <f>$H$2132</f>
        <v>304</v>
      </c>
      <c r="I2952" s="159">
        <f>I2951</f>
        <v>1.2695E-2</v>
      </c>
      <c r="J2952" s="160"/>
      <c r="K2952" s="161">
        <f>K2951</f>
        <v>665</v>
      </c>
      <c r="L2952" s="250">
        <v>1</v>
      </c>
      <c r="M2952" s="163" t="str">
        <f>CONCATENATE(H2952," ",F2952,"*",L2952,"мес.","*",I2952,"/",K2952,"чел.")</f>
        <v>304 мед.осмотров в мес.*1мес.*0,012695/665чел.</v>
      </c>
      <c r="N2952" s="278">
        <f>$N$2132</f>
        <v>56.680000000000007</v>
      </c>
      <c r="O2952" s="280">
        <f t="shared" si="629"/>
        <v>0.32893800000000001</v>
      </c>
      <c r="P2952" s="166"/>
      <c r="Q2952" s="166">
        <f t="shared" si="630"/>
        <v>218.74377000000001</v>
      </c>
      <c r="R2952" s="71"/>
      <c r="S2952" s="71"/>
      <c r="T2952" s="61"/>
      <c r="U2952" s="61"/>
      <c r="V2952" s="61"/>
      <c r="W2952" s="61"/>
      <c r="X2952" s="61"/>
      <c r="Y2952" s="61"/>
      <c r="Z2952" s="61"/>
      <c r="AA2952" s="61"/>
      <c r="AB2952" s="61"/>
      <c r="AC2952" s="61"/>
      <c r="AD2952" s="61"/>
      <c r="AE2952" s="61"/>
      <c r="AF2952" s="61"/>
      <c r="AG2952" s="61"/>
      <c r="AH2952" s="61"/>
      <c r="AI2952" s="61"/>
      <c r="AJ2952" s="61"/>
      <c r="AK2952" s="61"/>
      <c r="AL2952" s="61"/>
      <c r="AM2952" s="61"/>
      <c r="AN2952" s="61"/>
      <c r="AO2952" s="61"/>
    </row>
    <row r="2953" spans="1:41" s="61" customFormat="1" ht="31.5" x14ac:dyDescent="0.25">
      <c r="A2953" s="358"/>
      <c r="B2953" s="361"/>
      <c r="C2953" s="364"/>
      <c r="D2953" s="156" t="s">
        <v>408</v>
      </c>
      <c r="E2953" s="156" t="s">
        <v>20</v>
      </c>
      <c r="F2953" s="156" t="s">
        <v>20</v>
      </c>
      <c r="G2953" s="238">
        <f t="shared" si="627"/>
        <v>5.7270676699999995E-4</v>
      </c>
      <c r="H2953" s="158">
        <f>H2133</f>
        <v>30</v>
      </c>
      <c r="I2953" s="159">
        <f>I2951</f>
        <v>1.2695E-2</v>
      </c>
      <c r="J2953" s="160"/>
      <c r="K2953" s="161">
        <f>K2951</f>
        <v>665</v>
      </c>
      <c r="L2953" s="250">
        <f>L2133</f>
        <v>1</v>
      </c>
      <c r="M2953" s="163" t="str">
        <f>CONCATENATE(H2953," ",F2953,"*",L2953," раз в год","*",I2953,"/",K2953,"чел.")</f>
        <v>30 чел.*1 раз в год*0,012695/665чел.</v>
      </c>
      <c r="N2953" s="278">
        <f>N2133</f>
        <v>472.33333333333331</v>
      </c>
      <c r="O2953" s="280">
        <f t="shared" si="629"/>
        <v>0.27050799999999997</v>
      </c>
      <c r="P2953" s="166"/>
      <c r="Q2953" s="166">
        <f t="shared" si="630"/>
        <v>179.88781999999998</v>
      </c>
      <c r="R2953" s="71"/>
    </row>
    <row r="2954" spans="1:41" s="109" customFormat="1" x14ac:dyDescent="0.25">
      <c r="A2954" s="358"/>
      <c r="B2954" s="361"/>
      <c r="C2954" s="245" t="s">
        <v>329</v>
      </c>
      <c r="D2954" s="240"/>
      <c r="E2954" s="240"/>
      <c r="F2954" s="240"/>
      <c r="G2954" s="227"/>
      <c r="H2954" s="241"/>
      <c r="I2954" s="206"/>
      <c r="J2954" s="228"/>
      <c r="K2954" s="207"/>
      <c r="L2954" s="257"/>
      <c r="M2954" s="209"/>
      <c r="N2954" s="281"/>
      <c r="O2954" s="279">
        <f>SUM(O2942:O2953)</f>
        <v>21.218014</v>
      </c>
      <c r="P2954" s="267"/>
      <c r="Q2954" s="166"/>
      <c r="R2954" s="71"/>
      <c r="S2954" s="62"/>
      <c r="T2954" s="62"/>
      <c r="U2954" s="62"/>
      <c r="V2954" s="62"/>
      <c r="W2954" s="62"/>
      <c r="X2954" s="62"/>
      <c r="Y2954" s="62"/>
      <c r="Z2954" s="62"/>
      <c r="AA2954" s="62"/>
      <c r="AB2954" s="62"/>
      <c r="AC2954" s="62"/>
      <c r="AD2954" s="62"/>
      <c r="AE2954" s="62"/>
      <c r="AF2954" s="62"/>
      <c r="AG2954" s="62"/>
      <c r="AH2954" s="62"/>
      <c r="AI2954" s="62"/>
      <c r="AJ2954" s="62"/>
      <c r="AK2954" s="62"/>
      <c r="AL2954" s="62"/>
      <c r="AM2954" s="62"/>
      <c r="AN2954" s="62"/>
      <c r="AO2954" s="62"/>
    </row>
    <row r="2955" spans="1:41" s="61" customFormat="1" ht="31.5" x14ac:dyDescent="0.25">
      <c r="A2955" s="358"/>
      <c r="B2955" s="361"/>
      <c r="C2955" s="252" t="s">
        <v>237</v>
      </c>
      <c r="D2955" s="156" t="s">
        <v>41</v>
      </c>
      <c r="E2955" s="156" t="s">
        <v>61</v>
      </c>
      <c r="F2955" s="156" t="s">
        <v>254</v>
      </c>
      <c r="G2955" s="238">
        <f t="shared" ref="G2955:G2966" si="634">MROUND(H2955*L2955*I2955/K2955,0.000000000001)</f>
        <v>1.9090226E-5</v>
      </c>
      <c r="H2955" s="158">
        <v>1</v>
      </c>
      <c r="I2955" s="159">
        <f>I2953</f>
        <v>1.2695E-2</v>
      </c>
      <c r="J2955" s="160"/>
      <c r="K2955" s="161">
        <f>K2953</f>
        <v>665</v>
      </c>
      <c r="L2955" s="250">
        <v>1</v>
      </c>
      <c r="M2955" s="163" t="str">
        <f>CONCATENATE(H2955," ",F2955,"*",I2955,"/",K2955,"чел")</f>
        <v>1 автобус*0,012695/665чел</v>
      </c>
      <c r="N2955" s="278">
        <f>N2135</f>
        <v>25724</v>
      </c>
      <c r="O2955" s="280">
        <f t="shared" ref="O2955:O2972" si="635">MROUND(N2955*G2955,0.000001)</f>
        <v>0.49107699999999999</v>
      </c>
      <c r="P2955" s="166"/>
      <c r="Q2955" s="166">
        <f t="shared" ref="Q2955:Q2966" si="636">O2955*K2955</f>
        <v>326.56620499999997</v>
      </c>
      <c r="R2955" s="71"/>
    </row>
    <row r="2956" spans="1:41" s="61" customFormat="1" ht="78.75" x14ac:dyDescent="0.25">
      <c r="A2956" s="358"/>
      <c r="B2956" s="361"/>
      <c r="C2956" s="221" t="s">
        <v>236</v>
      </c>
      <c r="D2956" s="156" t="s">
        <v>19</v>
      </c>
      <c r="E2956" s="181" t="s">
        <v>20</v>
      </c>
      <c r="F2956" s="181" t="s">
        <v>238</v>
      </c>
      <c r="G2956" s="238">
        <f t="shared" si="634"/>
        <v>0</v>
      </c>
      <c r="H2956" s="158"/>
      <c r="I2956" s="159">
        <f>I2953</f>
        <v>1.2695E-2</v>
      </c>
      <c r="J2956" s="160"/>
      <c r="K2956" s="161">
        <f>K2953</f>
        <v>665</v>
      </c>
      <c r="L2956" s="250"/>
      <c r="M2956" s="163"/>
      <c r="N2956" s="278"/>
      <c r="O2956" s="280">
        <f t="shared" si="635"/>
        <v>0</v>
      </c>
      <c r="P2956" s="166"/>
      <c r="Q2956" s="166">
        <f t="shared" si="636"/>
        <v>0</v>
      </c>
      <c r="R2956" s="71"/>
    </row>
    <row r="2957" spans="1:41" s="136" customFormat="1" ht="31.5" x14ac:dyDescent="0.25">
      <c r="A2957" s="358"/>
      <c r="B2957" s="361"/>
      <c r="C2957" s="372" t="s">
        <v>81</v>
      </c>
      <c r="D2957" s="156" t="s">
        <v>419</v>
      </c>
      <c r="E2957" s="156" t="s">
        <v>28</v>
      </c>
      <c r="F2957" s="156" t="s">
        <v>439</v>
      </c>
      <c r="G2957" s="238">
        <f t="shared" si="634"/>
        <v>1.5272180499999999E-4</v>
      </c>
      <c r="H2957" s="158">
        <f>$H$2137</f>
        <v>8</v>
      </c>
      <c r="I2957" s="159">
        <f>I2956</f>
        <v>1.2695E-2</v>
      </c>
      <c r="J2957" s="160"/>
      <c r="K2957" s="161">
        <f>K2956</f>
        <v>665</v>
      </c>
      <c r="L2957" s="250">
        <v>1</v>
      </c>
      <c r="M2957" s="163" t="str">
        <f>CONCATENATE(H2957," ",F2957,"*",I2957,"/",K2957,"чел/час")</f>
        <v>8 шт (потребность учреждений) *0,012695/665чел/час</v>
      </c>
      <c r="N2957" s="278">
        <f>$N$2137</f>
        <v>33750</v>
      </c>
      <c r="O2957" s="280">
        <f t="shared" si="635"/>
        <v>5.1543609999999997</v>
      </c>
      <c r="P2957" s="166"/>
      <c r="Q2957" s="166">
        <f t="shared" si="636"/>
        <v>3427.6500649999998</v>
      </c>
      <c r="R2957" s="71"/>
      <c r="S2957" s="61"/>
      <c r="T2957" s="71"/>
      <c r="U2957" s="61"/>
      <c r="V2957" s="61"/>
      <c r="W2957" s="61"/>
      <c r="X2957" s="61"/>
      <c r="Y2957" s="61"/>
      <c r="Z2957" s="61"/>
      <c r="AA2957" s="61"/>
      <c r="AB2957" s="61"/>
      <c r="AC2957" s="61"/>
      <c r="AD2957" s="61"/>
      <c r="AE2957" s="61"/>
      <c r="AF2957" s="61"/>
      <c r="AG2957" s="61"/>
      <c r="AH2957" s="61"/>
      <c r="AI2957" s="61"/>
      <c r="AJ2957" s="61"/>
      <c r="AK2957" s="61"/>
      <c r="AL2957" s="61"/>
      <c r="AM2957" s="61"/>
      <c r="AN2957" s="61"/>
      <c r="AO2957" s="61"/>
    </row>
    <row r="2958" spans="1:41" s="136" customFormat="1" ht="31.5" x14ac:dyDescent="0.25">
      <c r="A2958" s="358"/>
      <c r="B2958" s="361"/>
      <c r="C2958" s="373"/>
      <c r="D2958" s="156" t="s">
        <v>425</v>
      </c>
      <c r="E2958" s="156" t="s">
        <v>28</v>
      </c>
      <c r="F2958" s="156" t="s">
        <v>439</v>
      </c>
      <c r="G2958" s="238">
        <f t="shared" si="634"/>
        <v>5.7270676999999997E-5</v>
      </c>
      <c r="H2958" s="158">
        <f>$H$2138</f>
        <v>3</v>
      </c>
      <c r="I2958" s="159">
        <f t="shared" ref="I2958:I2966" si="637">I2957</f>
        <v>1.2695E-2</v>
      </c>
      <c r="J2958" s="160"/>
      <c r="K2958" s="161">
        <f t="shared" ref="K2958:K2966" si="638">K2957</f>
        <v>665</v>
      </c>
      <c r="L2958" s="250">
        <v>1</v>
      </c>
      <c r="M2958" s="163" t="str">
        <f t="shared" ref="M2958:M2966" si="639">CONCATENATE(H2958," ",F2958,"*",I2958,"/",K2958,"чел/час")</f>
        <v>3 шт (потребность учреждений) *0,012695/665чел/час</v>
      </c>
      <c r="N2958" s="278">
        <f>$N$2138</f>
        <v>12000</v>
      </c>
      <c r="O2958" s="280">
        <f t="shared" si="635"/>
        <v>0.68724799999999997</v>
      </c>
      <c r="P2958" s="166"/>
      <c r="Q2958" s="166">
        <f t="shared" si="636"/>
        <v>457.01991999999996</v>
      </c>
      <c r="R2958" s="71"/>
      <c r="S2958" s="61"/>
      <c r="T2958" s="71"/>
      <c r="U2958" s="61"/>
      <c r="V2958" s="61"/>
      <c r="W2958" s="61"/>
      <c r="X2958" s="61"/>
      <c r="Y2958" s="61"/>
      <c r="Z2958" s="61"/>
      <c r="AA2958" s="61"/>
      <c r="AB2958" s="61"/>
      <c r="AC2958" s="61"/>
      <c r="AD2958" s="61"/>
      <c r="AE2958" s="61"/>
      <c r="AF2958" s="61"/>
      <c r="AG2958" s="61"/>
      <c r="AH2958" s="61"/>
      <c r="AI2958" s="61"/>
      <c r="AJ2958" s="61"/>
      <c r="AK2958" s="61"/>
      <c r="AL2958" s="61"/>
      <c r="AM2958" s="61"/>
      <c r="AN2958" s="61"/>
      <c r="AO2958" s="61"/>
    </row>
    <row r="2959" spans="1:41" s="136" customFormat="1" ht="31.5" x14ac:dyDescent="0.25">
      <c r="A2959" s="358"/>
      <c r="B2959" s="361"/>
      <c r="C2959" s="373"/>
      <c r="D2959" s="156" t="s">
        <v>426</v>
      </c>
      <c r="E2959" s="156" t="s">
        <v>28</v>
      </c>
      <c r="F2959" s="156" t="s">
        <v>439</v>
      </c>
      <c r="G2959" s="238">
        <f t="shared" si="634"/>
        <v>4.0089473699999998E-4</v>
      </c>
      <c r="H2959" s="158">
        <f>$H$2139</f>
        <v>21</v>
      </c>
      <c r="I2959" s="159">
        <f t="shared" si="637"/>
        <v>1.2695E-2</v>
      </c>
      <c r="J2959" s="160"/>
      <c r="K2959" s="161">
        <f t="shared" si="638"/>
        <v>665</v>
      </c>
      <c r="L2959" s="250">
        <v>1</v>
      </c>
      <c r="M2959" s="163" t="str">
        <f t="shared" si="639"/>
        <v>21 шт (потребность учреждений) *0,012695/665чел/час</v>
      </c>
      <c r="N2959" s="278">
        <f>$N$2139</f>
        <v>9714.2857142857138</v>
      </c>
      <c r="O2959" s="280">
        <f t="shared" si="635"/>
        <v>3.894406</v>
      </c>
      <c r="P2959" s="166"/>
      <c r="Q2959" s="166">
        <f t="shared" si="636"/>
        <v>2589.77999</v>
      </c>
      <c r="R2959" s="71"/>
      <c r="S2959" s="61"/>
      <c r="T2959" s="71"/>
      <c r="U2959" s="61"/>
      <c r="V2959" s="61"/>
      <c r="W2959" s="61"/>
      <c r="X2959" s="61"/>
      <c r="Y2959" s="61"/>
      <c r="Z2959" s="61"/>
      <c r="AA2959" s="61"/>
      <c r="AB2959" s="61"/>
      <c r="AC2959" s="61"/>
      <c r="AD2959" s="61"/>
      <c r="AE2959" s="61"/>
      <c r="AF2959" s="61"/>
      <c r="AG2959" s="61"/>
      <c r="AH2959" s="61"/>
      <c r="AI2959" s="61"/>
      <c r="AJ2959" s="61"/>
      <c r="AK2959" s="61"/>
      <c r="AL2959" s="61"/>
      <c r="AM2959" s="61"/>
      <c r="AN2959" s="61"/>
      <c r="AO2959" s="61"/>
    </row>
    <row r="2960" spans="1:41" s="136" customFormat="1" ht="31.5" x14ac:dyDescent="0.25">
      <c r="A2960" s="358"/>
      <c r="B2960" s="361"/>
      <c r="C2960" s="373"/>
      <c r="D2960" s="156" t="s">
        <v>427</v>
      </c>
      <c r="E2960" s="156" t="s">
        <v>28</v>
      </c>
      <c r="F2960" s="156" t="s">
        <v>439</v>
      </c>
      <c r="G2960" s="238">
        <f t="shared" si="634"/>
        <v>9.5451127799999998E-4</v>
      </c>
      <c r="H2960" s="158">
        <f>$H$2140</f>
        <v>50</v>
      </c>
      <c r="I2960" s="159">
        <f t="shared" si="637"/>
        <v>1.2695E-2</v>
      </c>
      <c r="J2960" s="160"/>
      <c r="K2960" s="161">
        <f t="shared" si="638"/>
        <v>665</v>
      </c>
      <c r="L2960" s="250">
        <v>1</v>
      </c>
      <c r="M2960" s="163" t="str">
        <f t="shared" si="639"/>
        <v>50 шт (потребность учреждений) *0,012695/665чел/час</v>
      </c>
      <c r="N2960" s="278">
        <f>$N$2140</f>
        <v>4400</v>
      </c>
      <c r="O2960" s="280">
        <f t="shared" si="635"/>
        <v>4.1998499999999996</v>
      </c>
      <c r="P2960" s="166"/>
      <c r="Q2960" s="166">
        <f t="shared" si="636"/>
        <v>2792.9002499999997</v>
      </c>
      <c r="R2960" s="71"/>
      <c r="S2960" s="61"/>
      <c r="T2960" s="71"/>
      <c r="U2960" s="61"/>
      <c r="V2960" s="61"/>
      <c r="W2960" s="61"/>
      <c r="X2960" s="61"/>
      <c r="Y2960" s="61"/>
      <c r="Z2960" s="61"/>
      <c r="AA2960" s="61"/>
      <c r="AB2960" s="61"/>
      <c r="AC2960" s="61"/>
      <c r="AD2960" s="61"/>
      <c r="AE2960" s="61"/>
      <c r="AF2960" s="61"/>
      <c r="AG2960" s="61"/>
      <c r="AH2960" s="61"/>
      <c r="AI2960" s="61"/>
      <c r="AJ2960" s="61"/>
      <c r="AK2960" s="61"/>
      <c r="AL2960" s="61"/>
      <c r="AM2960" s="61"/>
      <c r="AN2960" s="61"/>
      <c r="AO2960" s="61"/>
    </row>
    <row r="2961" spans="1:41" s="136" customFormat="1" ht="31.5" x14ac:dyDescent="0.25">
      <c r="A2961" s="358"/>
      <c r="B2961" s="361"/>
      <c r="C2961" s="373"/>
      <c r="D2961" s="156" t="s">
        <v>428</v>
      </c>
      <c r="E2961" s="156" t="s">
        <v>28</v>
      </c>
      <c r="F2961" s="156" t="s">
        <v>439</v>
      </c>
      <c r="G2961" s="238">
        <f t="shared" si="634"/>
        <v>2.0235639099999998E-3</v>
      </c>
      <c r="H2961" s="158">
        <f>$H$2141</f>
        <v>106</v>
      </c>
      <c r="I2961" s="159">
        <f t="shared" si="637"/>
        <v>1.2695E-2</v>
      </c>
      <c r="J2961" s="160"/>
      <c r="K2961" s="161">
        <f t="shared" si="638"/>
        <v>665</v>
      </c>
      <c r="L2961" s="250">
        <v>1</v>
      </c>
      <c r="M2961" s="163" t="str">
        <f t="shared" si="639"/>
        <v>106 шт (потребность учреждений) *0,012695/665чел/час</v>
      </c>
      <c r="N2961" s="278">
        <f>N$2141</f>
        <v>4037.7358490566039</v>
      </c>
      <c r="O2961" s="280">
        <f t="shared" si="635"/>
        <v>8.170617</v>
      </c>
      <c r="P2961" s="166"/>
      <c r="Q2961" s="166">
        <f t="shared" si="636"/>
        <v>5433.4603049999996</v>
      </c>
      <c r="R2961" s="71"/>
      <c r="S2961" s="61"/>
      <c r="T2961" s="71"/>
      <c r="U2961" s="61"/>
      <c r="V2961" s="61"/>
      <c r="W2961" s="61"/>
      <c r="X2961" s="61"/>
      <c r="Y2961" s="61"/>
      <c r="Z2961" s="61"/>
      <c r="AA2961" s="61"/>
      <c r="AB2961" s="61"/>
      <c r="AC2961" s="61"/>
      <c r="AD2961" s="61"/>
      <c r="AE2961" s="61"/>
      <c r="AF2961" s="61"/>
      <c r="AG2961" s="61"/>
      <c r="AH2961" s="61"/>
      <c r="AI2961" s="61"/>
      <c r="AJ2961" s="61"/>
      <c r="AK2961" s="61"/>
      <c r="AL2961" s="61"/>
      <c r="AM2961" s="61"/>
      <c r="AN2961" s="61"/>
      <c r="AO2961" s="61"/>
    </row>
    <row r="2962" spans="1:41" s="136" customFormat="1" ht="31.5" x14ac:dyDescent="0.25">
      <c r="A2962" s="358"/>
      <c r="B2962" s="361"/>
      <c r="C2962" s="373"/>
      <c r="D2962" s="156" t="s">
        <v>429</v>
      </c>
      <c r="E2962" s="156" t="s">
        <v>28</v>
      </c>
      <c r="F2962" s="156" t="s">
        <v>439</v>
      </c>
      <c r="G2962" s="238">
        <f t="shared" si="634"/>
        <v>4.9634586499999994E-4</v>
      </c>
      <c r="H2962" s="158">
        <f>$H$2142</f>
        <v>26</v>
      </c>
      <c r="I2962" s="159">
        <f t="shared" si="637"/>
        <v>1.2695E-2</v>
      </c>
      <c r="J2962" s="160"/>
      <c r="K2962" s="161">
        <f t="shared" si="638"/>
        <v>665</v>
      </c>
      <c r="L2962" s="250">
        <v>1</v>
      </c>
      <c r="M2962" s="163" t="str">
        <f t="shared" si="639"/>
        <v>26 шт (потребность учреждений) *0,012695/665чел/час</v>
      </c>
      <c r="N2962" s="278">
        <f>$N$2142</f>
        <v>39807.692307692305</v>
      </c>
      <c r="O2962" s="280">
        <f t="shared" si="635"/>
        <v>19.758382999999998</v>
      </c>
      <c r="P2962" s="166"/>
      <c r="Q2962" s="166">
        <f t="shared" si="636"/>
        <v>13139.324694999999</v>
      </c>
      <c r="R2962" s="71"/>
      <c r="S2962" s="61"/>
      <c r="T2962" s="71"/>
      <c r="U2962" s="61"/>
      <c r="V2962" s="61"/>
      <c r="W2962" s="61"/>
      <c r="X2962" s="61"/>
      <c r="Y2962" s="61"/>
      <c r="Z2962" s="61"/>
      <c r="AA2962" s="61"/>
      <c r="AB2962" s="61"/>
      <c r="AC2962" s="61"/>
      <c r="AD2962" s="61"/>
      <c r="AE2962" s="61"/>
      <c r="AF2962" s="61"/>
      <c r="AG2962" s="61"/>
      <c r="AH2962" s="61"/>
      <c r="AI2962" s="61"/>
      <c r="AJ2962" s="61"/>
      <c r="AK2962" s="61"/>
      <c r="AL2962" s="61"/>
      <c r="AM2962" s="61"/>
      <c r="AN2962" s="61"/>
      <c r="AO2962" s="61"/>
    </row>
    <row r="2963" spans="1:41" s="136" customFormat="1" ht="31.5" x14ac:dyDescent="0.25">
      <c r="A2963" s="358"/>
      <c r="B2963" s="361"/>
      <c r="C2963" s="373"/>
      <c r="D2963" s="156" t="s">
        <v>110</v>
      </c>
      <c r="E2963" s="156" t="s">
        <v>28</v>
      </c>
      <c r="F2963" s="156" t="s">
        <v>439</v>
      </c>
      <c r="G2963" s="238">
        <f t="shared" si="634"/>
        <v>4.7725563899999999E-4</v>
      </c>
      <c r="H2963" s="158">
        <f>$H$2143</f>
        <v>25</v>
      </c>
      <c r="I2963" s="159">
        <f t="shared" si="637"/>
        <v>1.2695E-2</v>
      </c>
      <c r="J2963" s="160"/>
      <c r="K2963" s="161">
        <f t="shared" si="638"/>
        <v>665</v>
      </c>
      <c r="L2963" s="250">
        <v>1</v>
      </c>
      <c r="M2963" s="163" t="str">
        <f t="shared" si="639"/>
        <v>25 шт (потребность учреждений) *0,012695/665чел/час</v>
      </c>
      <c r="N2963" s="278">
        <f>$N$2143</f>
        <v>53600</v>
      </c>
      <c r="O2963" s="280">
        <f t="shared" si="635"/>
        <v>25.580901999999998</v>
      </c>
      <c r="P2963" s="166"/>
      <c r="Q2963" s="166">
        <f t="shared" si="636"/>
        <v>17011.29983</v>
      </c>
      <c r="R2963" s="71"/>
      <c r="S2963" s="61"/>
      <c r="T2963" s="71"/>
      <c r="U2963" s="61"/>
      <c r="V2963" s="61"/>
      <c r="W2963" s="61"/>
      <c r="X2963" s="61"/>
      <c r="Y2963" s="61"/>
      <c r="Z2963" s="61"/>
      <c r="AA2963" s="61"/>
      <c r="AB2963" s="61"/>
      <c r="AC2963" s="61"/>
      <c r="AD2963" s="61"/>
      <c r="AE2963" s="61"/>
      <c r="AF2963" s="61"/>
      <c r="AG2963" s="61"/>
      <c r="AH2963" s="61"/>
      <c r="AI2963" s="61"/>
      <c r="AJ2963" s="61"/>
      <c r="AK2963" s="61"/>
      <c r="AL2963" s="61"/>
      <c r="AM2963" s="61"/>
      <c r="AN2963" s="61"/>
      <c r="AO2963" s="61"/>
    </row>
    <row r="2964" spans="1:41" s="136" customFormat="1" ht="31.5" x14ac:dyDescent="0.25">
      <c r="A2964" s="358"/>
      <c r="B2964" s="361"/>
      <c r="C2964" s="373"/>
      <c r="D2964" s="156" t="s">
        <v>112</v>
      </c>
      <c r="E2964" s="156" t="s">
        <v>28</v>
      </c>
      <c r="F2964" s="156" t="s">
        <v>439</v>
      </c>
      <c r="G2964" s="238">
        <f t="shared" si="634"/>
        <v>9.5451127999999995E-5</v>
      </c>
      <c r="H2964" s="158">
        <f>$H$2144</f>
        <v>5</v>
      </c>
      <c r="I2964" s="159">
        <f t="shared" si="637"/>
        <v>1.2695E-2</v>
      </c>
      <c r="J2964" s="160"/>
      <c r="K2964" s="161">
        <f t="shared" si="638"/>
        <v>665</v>
      </c>
      <c r="L2964" s="250">
        <v>1</v>
      </c>
      <c r="M2964" s="163" t="str">
        <f t="shared" si="639"/>
        <v>5 шт (потребность учреждений) *0,012695/665чел/час</v>
      </c>
      <c r="N2964" s="278">
        <f>$N$2144</f>
        <v>33000</v>
      </c>
      <c r="O2964" s="280">
        <f t="shared" si="635"/>
        <v>3.1498869999999997</v>
      </c>
      <c r="P2964" s="166"/>
      <c r="Q2964" s="166">
        <f t="shared" si="636"/>
        <v>2094.6748549999998</v>
      </c>
      <c r="R2964" s="71"/>
      <c r="S2964" s="61"/>
      <c r="T2964" s="71"/>
      <c r="U2964" s="61"/>
      <c r="V2964" s="61"/>
      <c r="W2964" s="61"/>
      <c r="X2964" s="61"/>
      <c r="Y2964" s="61"/>
      <c r="Z2964" s="61"/>
      <c r="AA2964" s="61"/>
      <c r="AB2964" s="61"/>
      <c r="AC2964" s="61"/>
      <c r="AD2964" s="61"/>
      <c r="AE2964" s="61"/>
      <c r="AF2964" s="61"/>
      <c r="AG2964" s="61"/>
      <c r="AH2964" s="61"/>
      <c r="AI2964" s="61"/>
      <c r="AJ2964" s="61"/>
      <c r="AK2964" s="61"/>
      <c r="AL2964" s="61"/>
      <c r="AM2964" s="61"/>
      <c r="AN2964" s="61"/>
      <c r="AO2964" s="61"/>
    </row>
    <row r="2965" spans="1:41" s="136" customFormat="1" ht="31.5" x14ac:dyDescent="0.25">
      <c r="A2965" s="358"/>
      <c r="B2965" s="361"/>
      <c r="C2965" s="373"/>
      <c r="D2965" s="156" t="s">
        <v>111</v>
      </c>
      <c r="E2965" s="156" t="s">
        <v>28</v>
      </c>
      <c r="F2965" s="156" t="s">
        <v>439</v>
      </c>
      <c r="G2965" s="238">
        <f t="shared" si="634"/>
        <v>1.3935864659999999E-3</v>
      </c>
      <c r="H2965" s="158">
        <f>$H$2145</f>
        <v>73</v>
      </c>
      <c r="I2965" s="159">
        <f t="shared" si="637"/>
        <v>1.2695E-2</v>
      </c>
      <c r="J2965" s="160"/>
      <c r="K2965" s="161">
        <f t="shared" si="638"/>
        <v>665</v>
      </c>
      <c r="L2965" s="250">
        <v>1</v>
      </c>
      <c r="M2965" s="163" t="str">
        <f t="shared" si="639"/>
        <v>73 шт (потребность учреждений) *0,012695/665чел/час</v>
      </c>
      <c r="N2965" s="278">
        <f>$N$2145</f>
        <v>50616.438356164384</v>
      </c>
      <c r="O2965" s="280">
        <f t="shared" si="635"/>
        <v>70.538382999999996</v>
      </c>
      <c r="P2965" s="166"/>
      <c r="Q2965" s="166">
        <f t="shared" si="636"/>
        <v>46908.024695</v>
      </c>
      <c r="R2965" s="71"/>
      <c r="S2965" s="61"/>
      <c r="T2965" s="71"/>
      <c r="U2965" s="61"/>
      <c r="V2965" s="61"/>
      <c r="W2965" s="61"/>
      <c r="X2965" s="61"/>
      <c r="Y2965" s="61"/>
      <c r="Z2965" s="61"/>
      <c r="AA2965" s="61"/>
      <c r="AB2965" s="61"/>
      <c r="AC2965" s="61"/>
      <c r="AD2965" s="61"/>
      <c r="AE2965" s="61"/>
      <c r="AF2965" s="61"/>
      <c r="AG2965" s="61"/>
      <c r="AH2965" s="61"/>
      <c r="AI2965" s="61"/>
      <c r="AJ2965" s="61"/>
      <c r="AK2965" s="61"/>
      <c r="AL2965" s="61"/>
      <c r="AM2965" s="61"/>
      <c r="AN2965" s="61"/>
      <c r="AO2965" s="61"/>
    </row>
    <row r="2966" spans="1:41" s="136" customFormat="1" ht="31.5" x14ac:dyDescent="0.25">
      <c r="A2966" s="358"/>
      <c r="B2966" s="361"/>
      <c r="C2966" s="374"/>
      <c r="D2966" s="156" t="s">
        <v>438</v>
      </c>
      <c r="E2966" s="156" t="s">
        <v>28</v>
      </c>
      <c r="F2966" s="156" t="s">
        <v>439</v>
      </c>
      <c r="G2966" s="238">
        <f t="shared" si="634"/>
        <v>6.2997744399999995E-4</v>
      </c>
      <c r="H2966" s="158">
        <f>$H$2146</f>
        <v>33</v>
      </c>
      <c r="I2966" s="159">
        <f t="shared" si="637"/>
        <v>1.2695E-2</v>
      </c>
      <c r="J2966" s="160"/>
      <c r="K2966" s="161">
        <f t="shared" si="638"/>
        <v>665</v>
      </c>
      <c r="L2966" s="250">
        <v>1</v>
      </c>
      <c r="M2966" s="163" t="str">
        <f t="shared" si="639"/>
        <v>33 шт (потребность учреждений) *0,012695/665чел/час</v>
      </c>
      <c r="N2966" s="278">
        <f>$N$2146</f>
        <v>25000</v>
      </c>
      <c r="O2966" s="280">
        <f t="shared" si="635"/>
        <v>15.749435999999999</v>
      </c>
      <c r="P2966" s="166"/>
      <c r="Q2966" s="166">
        <f t="shared" si="636"/>
        <v>10473.37494</v>
      </c>
      <c r="R2966" s="71"/>
      <c r="S2966" s="61"/>
      <c r="T2966" s="71"/>
      <c r="U2966" s="61"/>
      <c r="V2966" s="61"/>
      <c r="W2966" s="61"/>
      <c r="X2966" s="61"/>
      <c r="Y2966" s="61"/>
      <c r="Z2966" s="61"/>
      <c r="AA2966" s="61"/>
      <c r="AB2966" s="61"/>
      <c r="AC2966" s="61"/>
      <c r="AD2966" s="61"/>
      <c r="AE2966" s="61"/>
      <c r="AF2966" s="61"/>
      <c r="AG2966" s="61"/>
      <c r="AH2966" s="61"/>
      <c r="AI2966" s="61"/>
      <c r="AJ2966" s="61"/>
      <c r="AK2966" s="61"/>
      <c r="AL2966" s="61"/>
      <c r="AM2966" s="61"/>
      <c r="AN2966" s="61"/>
      <c r="AO2966" s="61"/>
    </row>
    <row r="2967" spans="1:41" s="61" customFormat="1" x14ac:dyDescent="0.25">
      <c r="A2967" s="358"/>
      <c r="B2967" s="361"/>
      <c r="C2967" s="245" t="s">
        <v>299</v>
      </c>
      <c r="D2967" s="240"/>
      <c r="E2967" s="240"/>
      <c r="F2967" s="181"/>
      <c r="G2967" s="227"/>
      <c r="H2967" s="241"/>
      <c r="I2967" s="206"/>
      <c r="J2967" s="228"/>
      <c r="K2967" s="207"/>
      <c r="L2967" s="257"/>
      <c r="M2967" s="209"/>
      <c r="N2967" s="290"/>
      <c r="O2967" s="279">
        <f>SUM(O2955:O2966)</f>
        <v>157.37455</v>
      </c>
      <c r="P2967" s="166"/>
      <c r="Q2967" s="166">
        <f>O2967*K2967</f>
        <v>0</v>
      </c>
      <c r="R2967" s="71"/>
    </row>
    <row r="2968" spans="1:41" s="61" customFormat="1" ht="47.25" x14ac:dyDescent="0.25">
      <c r="A2968" s="358"/>
      <c r="B2968" s="361"/>
      <c r="C2968" s="221" t="s">
        <v>434</v>
      </c>
      <c r="D2968" s="156" t="s">
        <v>436</v>
      </c>
      <c r="E2968" s="156" t="s">
        <v>28</v>
      </c>
      <c r="F2968" s="156" t="s">
        <v>437</v>
      </c>
      <c r="G2968" s="238">
        <f>MROUND(H2968*L2968*I2968/K2968,0.000000000001)</f>
        <v>4.9634586499999994E-4</v>
      </c>
      <c r="H2968" s="242">
        <f>$H$2148</f>
        <v>26</v>
      </c>
      <c r="I2968" s="159">
        <f>I2966</f>
        <v>1.2695E-2</v>
      </c>
      <c r="J2968" s="160"/>
      <c r="K2968" s="161">
        <f>K2966</f>
        <v>665</v>
      </c>
      <c r="L2968" s="162">
        <v>1</v>
      </c>
      <c r="M2968" s="163" t="str">
        <f>CONCATENATE(H2968," ",F2968,"*",I2968,"/",K2968,"чел.")</f>
        <v>26 огнетушителей (потребность учреждений) *0,012695/665чел.</v>
      </c>
      <c r="N2968" s="164">
        <f>$N$2148</f>
        <v>2180</v>
      </c>
      <c r="O2968" s="165">
        <f>MROUND(G2968*N2968,0.000001)</f>
        <v>1.0820339999999999</v>
      </c>
      <c r="P2968" s="166"/>
      <c r="Q2968" s="166">
        <f>O2968*K2968</f>
        <v>719.55260999999996</v>
      </c>
      <c r="R2968" s="71"/>
    </row>
    <row r="2969" spans="1:41" s="61" customFormat="1" x14ac:dyDescent="0.25">
      <c r="A2969" s="358"/>
      <c r="B2969" s="361"/>
      <c r="C2969" s="218" t="s">
        <v>435</v>
      </c>
      <c r="D2969" s="240"/>
      <c r="E2969" s="240"/>
      <c r="F2969" s="240"/>
      <c r="G2969" s="251"/>
      <c r="H2969" s="241"/>
      <c r="I2969" s="206"/>
      <c r="J2969" s="228"/>
      <c r="K2969" s="207"/>
      <c r="L2969" s="229"/>
      <c r="M2969" s="209"/>
      <c r="N2969" s="210"/>
      <c r="O2969" s="198">
        <f>SUM(O2968)</f>
        <v>1.0820339999999999</v>
      </c>
      <c r="P2969" s="166"/>
      <c r="Q2969" s="166"/>
      <c r="R2969" s="71"/>
    </row>
    <row r="2970" spans="1:41" s="61" customFormat="1" ht="110.25" x14ac:dyDescent="0.25">
      <c r="A2970" s="358"/>
      <c r="B2970" s="361"/>
      <c r="C2970" s="221" t="s">
        <v>82</v>
      </c>
      <c r="D2970" s="156" t="s">
        <v>46</v>
      </c>
      <c r="E2970" s="156" t="s">
        <v>54</v>
      </c>
      <c r="F2970" s="156" t="s">
        <v>285</v>
      </c>
      <c r="G2970" s="238">
        <f>MROUND(H2970*L2970*I2970/K2970,0.000000000001)</f>
        <v>4.8680075188000001E-2</v>
      </c>
      <c r="H2970" s="158">
        <f>H2664</f>
        <v>231.81818181818178</v>
      </c>
      <c r="I2970" s="159">
        <f>I2956</f>
        <v>1.2695E-2</v>
      </c>
      <c r="J2970" s="160"/>
      <c r="K2970" s="161">
        <f>K2956</f>
        <v>665</v>
      </c>
      <c r="L2970" s="250">
        <f>$L$2150</f>
        <v>11</v>
      </c>
      <c r="M2970" s="163" t="str">
        <f>CONCATENATE(H2970," ",F2970,"*",L2970,"автобус","*",I2970,"/",K2970,"чел")</f>
        <v>231,818181818182 л бензина АИ 92 (12,5л/день(зимой)*20дней*7мес+10л/день(летом)*20дней*4мес)*11автобус*0,012695/665чел</v>
      </c>
      <c r="N2970" s="278">
        <f>N2664</f>
        <v>54.500000000000007</v>
      </c>
      <c r="O2970" s="280">
        <f t="shared" si="635"/>
        <v>2.6530640000000001</v>
      </c>
      <c r="P2970" s="166"/>
      <c r="Q2970" s="166">
        <f>O2970*K2970</f>
        <v>1764.28756</v>
      </c>
      <c r="R2970" s="71"/>
    </row>
    <row r="2971" spans="1:41" s="61" customFormat="1" ht="47.25" x14ac:dyDescent="0.25">
      <c r="A2971" s="358"/>
      <c r="B2971" s="361"/>
      <c r="C2971" s="364" t="s">
        <v>118</v>
      </c>
      <c r="D2971" s="156" t="s">
        <v>47</v>
      </c>
      <c r="E2971" s="156" t="s">
        <v>28</v>
      </c>
      <c r="F2971" s="156" t="s">
        <v>239</v>
      </c>
      <c r="G2971" s="238">
        <f>MROUND(H2971*L2971*I2971/K2971,0.000000000001)</f>
        <v>3.8180451099999998E-4</v>
      </c>
      <c r="H2971" s="158">
        <f>H2151</f>
        <v>20</v>
      </c>
      <c r="I2971" s="159">
        <f>I2970</f>
        <v>1.2695E-2</v>
      </c>
      <c r="J2971" s="160"/>
      <c r="K2971" s="161">
        <f>K2970</f>
        <v>665</v>
      </c>
      <c r="L2971" s="250">
        <v>1</v>
      </c>
      <c r="M2971" s="163" t="str">
        <f>CONCATENATE(H2971," ",F2971,"*",I2971,"/",K2971,"чел")</f>
        <v>20 манометров (потребность учреждений) *0,012695/665чел</v>
      </c>
      <c r="N2971" s="278">
        <f>N2151</f>
        <v>650</v>
      </c>
      <c r="O2971" s="280">
        <f t="shared" si="635"/>
        <v>0.24817299999999998</v>
      </c>
      <c r="P2971" s="166"/>
      <c r="Q2971" s="166">
        <f>O2971*K2971</f>
        <v>165.035045</v>
      </c>
      <c r="R2971" s="71"/>
    </row>
    <row r="2972" spans="1:41" s="61" customFormat="1" ht="47.25" x14ac:dyDescent="0.25">
      <c r="A2972" s="358"/>
      <c r="B2972" s="361"/>
      <c r="C2972" s="364"/>
      <c r="D2972" s="255" t="s">
        <v>113</v>
      </c>
      <c r="E2972" s="156" t="s">
        <v>28</v>
      </c>
      <c r="F2972" s="156" t="s">
        <v>240</v>
      </c>
      <c r="G2972" s="238">
        <f>MROUND(H2972*L2972*I2972/K2972,0.000000000001)</f>
        <v>1.909022556E-3</v>
      </c>
      <c r="H2972" s="158">
        <v>100</v>
      </c>
      <c r="I2972" s="159">
        <f>I2971</f>
        <v>1.2695E-2</v>
      </c>
      <c r="J2972" s="160"/>
      <c r="K2972" s="161">
        <f>K2971</f>
        <v>665</v>
      </c>
      <c r="L2972" s="250">
        <v>1</v>
      </c>
      <c r="M2972" s="163" t="str">
        <f>CONCATENATE(H2972," ",F2972,"*",I2972,"/",K2972,"чел")</f>
        <v>100 светильников (потребность учреждений)*0,012695/665чел</v>
      </c>
      <c r="N2972" s="278">
        <f>N2152</f>
        <v>106.27500000000001</v>
      </c>
      <c r="O2972" s="280">
        <f t="shared" si="635"/>
        <v>0.20288099999999998</v>
      </c>
      <c r="P2972" s="166"/>
      <c r="Q2972" s="166">
        <f>O2972*K2972</f>
        <v>134.915865</v>
      </c>
      <c r="R2972" s="71"/>
    </row>
    <row r="2973" spans="1:41" s="109" customFormat="1" x14ac:dyDescent="0.25">
      <c r="A2973" s="359"/>
      <c r="B2973" s="362"/>
      <c r="C2973" s="218" t="s">
        <v>301</v>
      </c>
      <c r="D2973" s="256"/>
      <c r="E2973" s="240"/>
      <c r="F2973" s="240"/>
      <c r="G2973" s="227"/>
      <c r="H2973" s="241"/>
      <c r="I2973" s="206"/>
      <c r="J2973" s="228"/>
      <c r="K2973" s="207"/>
      <c r="L2973" s="257"/>
      <c r="M2973" s="209"/>
      <c r="N2973" s="281"/>
      <c r="O2973" s="279">
        <f>O2971+O2972</f>
        <v>0.45105399999999995</v>
      </c>
      <c r="P2973" s="267"/>
      <c r="Q2973" s="166"/>
      <c r="R2973" s="71"/>
      <c r="S2973" s="62"/>
      <c r="T2973" s="62"/>
      <c r="U2973" s="62"/>
      <c r="V2973" s="62"/>
      <c r="W2973" s="62"/>
      <c r="X2973" s="62"/>
      <c r="Y2973" s="62"/>
      <c r="Z2973" s="62"/>
      <c r="AA2973" s="62"/>
      <c r="AB2973" s="62"/>
      <c r="AC2973" s="62"/>
      <c r="AD2973" s="62"/>
      <c r="AE2973" s="62"/>
      <c r="AF2973" s="62"/>
      <c r="AG2973" s="62"/>
      <c r="AH2973" s="62"/>
      <c r="AI2973" s="62"/>
      <c r="AJ2973" s="62"/>
      <c r="AK2973" s="62"/>
      <c r="AL2973" s="62"/>
      <c r="AM2973" s="62"/>
      <c r="AN2973" s="62"/>
      <c r="AO2973" s="62"/>
    </row>
    <row r="2974" spans="1:41" s="61" customFormat="1" x14ac:dyDescent="0.25">
      <c r="A2974" s="357" t="str">
        <f>школы!$B$25</f>
        <v>Реализация дополнительных профессиональных программ повышения квалификации</v>
      </c>
      <c r="B2974" s="360" t="str">
        <f>школы!$A$25</f>
        <v>804200О.99.0.ББ60АБ20001</v>
      </c>
      <c r="C2974" s="194"/>
      <c r="D2974" s="363" t="s">
        <v>15</v>
      </c>
      <c r="E2974" s="363"/>
      <c r="F2974" s="363"/>
      <c r="G2974" s="363"/>
      <c r="H2974" s="195"/>
      <c r="I2974" s="195"/>
      <c r="J2974" s="195"/>
      <c r="K2974" s="195"/>
      <c r="L2974" s="196"/>
      <c r="M2974" s="197"/>
      <c r="N2974" s="278"/>
      <c r="O2974" s="279">
        <f>O2975+O2980+O2983</f>
        <v>10331.70091129</v>
      </c>
      <c r="P2974" s="166"/>
      <c r="Q2974" s="166">
        <f t="shared" ref="Q2974:Q2984" si="640">O2974*K2974</f>
        <v>0</v>
      </c>
      <c r="R2974" s="71"/>
    </row>
    <row r="2975" spans="1:41" s="61" customFormat="1" x14ac:dyDescent="0.25">
      <c r="A2975" s="358"/>
      <c r="B2975" s="361"/>
      <c r="C2975" s="194"/>
      <c r="D2975" s="350" t="s">
        <v>62</v>
      </c>
      <c r="E2975" s="350"/>
      <c r="F2975" s="350"/>
      <c r="G2975" s="350"/>
      <c r="H2975" s="195"/>
      <c r="I2975" s="195"/>
      <c r="J2975" s="195"/>
      <c r="K2975" s="195"/>
      <c r="L2975" s="196"/>
      <c r="M2975" s="197"/>
      <c r="N2975" s="278"/>
      <c r="O2975" s="279">
        <f>O2977+O2979</f>
        <v>10200.04779029</v>
      </c>
      <c r="P2975" s="166"/>
      <c r="Q2975" s="166">
        <f t="shared" si="640"/>
        <v>0</v>
      </c>
      <c r="R2975" s="71"/>
    </row>
    <row r="2976" spans="1:41" s="61" customFormat="1" x14ac:dyDescent="0.25">
      <c r="A2976" s="358"/>
      <c r="B2976" s="361"/>
      <c r="C2976" s="194">
        <v>211</v>
      </c>
      <c r="D2976" s="194" t="s">
        <v>86</v>
      </c>
      <c r="E2976" s="199" t="s">
        <v>95</v>
      </c>
      <c r="F2976" s="199" t="s">
        <v>95</v>
      </c>
      <c r="G2976" s="275">
        <f>MROUND(H2976*L2976*I2976/K2976,0.00000000001)</f>
        <v>0.46890683635999997</v>
      </c>
      <c r="H2976" s="201">
        <f>Лист1!K4</f>
        <v>49</v>
      </c>
      <c r="I2976" s="159">
        <f>школы!$K$25</f>
        <v>0.78948599999999991</v>
      </c>
      <c r="J2976" s="159"/>
      <c r="K2976" s="161">
        <f>школы!$G$25</f>
        <v>990</v>
      </c>
      <c r="L2976" s="202">
        <v>12</v>
      </c>
      <c r="M2976" s="163" t="str">
        <f>CONCATENATE(H2976," ",F2976," ","в мес.","*",L2976,"мес.","*",I2976,"/",K2976,"чел/час")</f>
        <v>49 шт.ед в мес.*12мес.*0,789486/990чел/час</v>
      </c>
      <c r="N2976" s="278">
        <f>Лист1!M4</f>
        <v>16707.237942176871</v>
      </c>
      <c r="O2976" s="280">
        <f>MROUND(N2976*G2976,0.000000001)</f>
        <v>7834.1380877800002</v>
      </c>
      <c r="P2976" s="166"/>
      <c r="Q2976" s="166">
        <f t="shared" si="640"/>
        <v>7755796.7069022004</v>
      </c>
      <c r="R2976" s="71">
        <f>Q2976-Лист1!F4</f>
        <v>-95625420.173097789</v>
      </c>
      <c r="T2976" s="71"/>
    </row>
    <row r="2977" spans="1:20" s="62" customFormat="1" x14ac:dyDescent="0.25">
      <c r="A2977" s="358"/>
      <c r="B2977" s="361"/>
      <c r="C2977" s="203" t="s">
        <v>288</v>
      </c>
      <c r="D2977" s="203"/>
      <c r="E2977" s="204"/>
      <c r="F2977" s="204"/>
      <c r="G2977" s="205"/>
      <c r="H2977" s="206"/>
      <c r="I2977" s="206"/>
      <c r="J2977" s="206"/>
      <c r="K2977" s="207"/>
      <c r="L2977" s="208"/>
      <c r="M2977" s="209"/>
      <c r="N2977" s="281"/>
      <c r="O2977" s="279">
        <f>O2976</f>
        <v>7834.1380877800002</v>
      </c>
      <c r="P2977" s="267"/>
      <c r="Q2977" s="166"/>
      <c r="R2977" s="71"/>
    </row>
    <row r="2978" spans="1:20" s="61" customFormat="1" x14ac:dyDescent="0.25">
      <c r="A2978" s="358"/>
      <c r="B2978" s="361"/>
      <c r="C2978" s="194">
        <v>213</v>
      </c>
      <c r="D2978" s="194" t="s">
        <v>87</v>
      </c>
      <c r="E2978" s="194" t="s">
        <v>88</v>
      </c>
      <c r="F2978" s="194"/>
      <c r="G2978" s="211">
        <v>30.2</v>
      </c>
      <c r="H2978" s="159"/>
      <c r="I2978" s="159">
        <f>I2976</f>
        <v>0.78948599999999991</v>
      </c>
      <c r="J2978" s="159"/>
      <c r="K2978" s="161">
        <f>K2976</f>
        <v>990</v>
      </c>
      <c r="L2978" s="202"/>
      <c r="M2978" s="212"/>
      <c r="N2978" s="278"/>
      <c r="O2978" s="280">
        <f>MROUND(O2976*0.302,0.00000001)</f>
        <v>2365.90970251</v>
      </c>
      <c r="P2978" s="166"/>
      <c r="Q2978" s="166">
        <f t="shared" si="640"/>
        <v>2342250.6054849001</v>
      </c>
      <c r="R2978" s="71"/>
      <c r="T2978" s="71"/>
    </row>
    <row r="2979" spans="1:20" s="62" customFormat="1" x14ac:dyDescent="0.25">
      <c r="A2979" s="358"/>
      <c r="B2979" s="361"/>
      <c r="C2979" s="203" t="s">
        <v>289</v>
      </c>
      <c r="D2979" s="203"/>
      <c r="E2979" s="203"/>
      <c r="F2979" s="203"/>
      <c r="G2979" s="213"/>
      <c r="H2979" s="214"/>
      <c r="I2979" s="206"/>
      <c r="J2979" s="214"/>
      <c r="K2979" s="207"/>
      <c r="L2979" s="215"/>
      <c r="M2979" s="216"/>
      <c r="N2979" s="281"/>
      <c r="O2979" s="279">
        <f>O2978</f>
        <v>2365.90970251</v>
      </c>
      <c r="P2979" s="267"/>
      <c r="Q2979" s="166"/>
      <c r="R2979" s="71"/>
    </row>
    <row r="2980" spans="1:20" s="61" customFormat="1" x14ac:dyDescent="0.25">
      <c r="A2980" s="358"/>
      <c r="B2980" s="361"/>
      <c r="C2980" s="194"/>
      <c r="D2980" s="356" t="s">
        <v>63</v>
      </c>
      <c r="E2980" s="356"/>
      <c r="F2980" s="356"/>
      <c r="G2980" s="356"/>
      <c r="H2980" s="195"/>
      <c r="I2980" s="159"/>
      <c r="J2980" s="195"/>
      <c r="K2980" s="161"/>
      <c r="L2980" s="196"/>
      <c r="M2980" s="197"/>
      <c r="N2980" s="278"/>
      <c r="O2980" s="279">
        <f>O2981</f>
        <v>131.653121</v>
      </c>
      <c r="P2980" s="166"/>
      <c r="Q2980" s="166">
        <f t="shared" si="640"/>
        <v>0</v>
      </c>
      <c r="R2980" s="71"/>
    </row>
    <row r="2981" spans="1:20" s="61" customFormat="1" x14ac:dyDescent="0.25">
      <c r="A2981" s="358"/>
      <c r="B2981" s="361"/>
      <c r="C2981" s="194">
        <v>346</v>
      </c>
      <c r="D2981" s="194" t="s">
        <v>259</v>
      </c>
      <c r="E2981" s="194" t="s">
        <v>260</v>
      </c>
      <c r="F2981" s="194" t="s">
        <v>261</v>
      </c>
      <c r="G2981" s="238">
        <f>MROUND(H2981*L2981*I2981/K2981,0.000001)</f>
        <v>0.195378</v>
      </c>
      <c r="H2981" s="283">
        <f>Лист1!K125</f>
        <v>245</v>
      </c>
      <c r="I2981" s="159">
        <f>I2978</f>
        <v>0.78948599999999991</v>
      </c>
      <c r="J2981" s="195"/>
      <c r="K2981" s="161">
        <f>K2978</f>
        <v>990</v>
      </c>
      <c r="L2981" s="196">
        <v>1</v>
      </c>
      <c r="M2981" s="163" t="str">
        <f>CONCATENATE(H2981," ",F2981,"*",I2981,"/",K2981,"чел/час")</f>
        <v>245 упаковок*0,789486/990чел/час</v>
      </c>
      <c r="N2981" s="278">
        <f>Лист1!M125</f>
        <v>673.83799999999997</v>
      </c>
      <c r="O2981" s="280">
        <f>MROUND(N2981*G2981,0.000001)</f>
        <v>131.653121</v>
      </c>
      <c r="P2981" s="166"/>
      <c r="Q2981" s="166">
        <f t="shared" si="640"/>
        <v>130336.58979</v>
      </c>
      <c r="R2981" s="71"/>
      <c r="S2981" s="71"/>
    </row>
    <row r="2982" spans="1:20" s="62" customFormat="1" x14ac:dyDescent="0.25">
      <c r="A2982" s="358"/>
      <c r="B2982" s="361"/>
      <c r="C2982" s="203" t="s">
        <v>356</v>
      </c>
      <c r="D2982" s="203"/>
      <c r="E2982" s="203"/>
      <c r="F2982" s="203"/>
      <c r="G2982" s="227"/>
      <c r="H2982" s="214"/>
      <c r="I2982" s="206"/>
      <c r="J2982" s="214"/>
      <c r="K2982" s="207"/>
      <c r="L2982" s="215"/>
      <c r="M2982" s="209"/>
      <c r="N2982" s="281"/>
      <c r="O2982" s="279">
        <f>O2981</f>
        <v>131.653121</v>
      </c>
      <c r="P2982" s="267"/>
      <c r="Q2982" s="166"/>
      <c r="R2982" s="71"/>
    </row>
    <row r="2983" spans="1:20" s="61" customFormat="1" x14ac:dyDescent="0.25">
      <c r="A2983" s="358"/>
      <c r="B2983" s="361"/>
      <c r="C2983" s="194"/>
      <c r="D2983" s="350" t="s">
        <v>64</v>
      </c>
      <c r="E2983" s="350"/>
      <c r="F2983" s="350"/>
      <c r="G2983" s="350"/>
      <c r="H2983" s="195"/>
      <c r="I2983" s="159"/>
      <c r="J2983" s="195"/>
      <c r="K2983" s="161"/>
      <c r="L2983" s="196"/>
      <c r="M2983" s="197"/>
      <c r="N2983" s="278"/>
      <c r="O2983" s="280"/>
      <c r="P2983" s="166"/>
      <c r="Q2983" s="166">
        <f t="shared" si="640"/>
        <v>0</v>
      </c>
      <c r="R2983" s="71"/>
    </row>
    <row r="2984" spans="1:20" s="61" customFormat="1" x14ac:dyDescent="0.25">
      <c r="A2984" s="358"/>
      <c r="B2984" s="361"/>
      <c r="C2984" s="194"/>
      <c r="D2984" s="194"/>
      <c r="E2984" s="194"/>
      <c r="F2984" s="194"/>
      <c r="G2984" s="217"/>
      <c r="H2984" s="195"/>
      <c r="I2984" s="159"/>
      <c r="J2984" s="195"/>
      <c r="K2984" s="161"/>
      <c r="L2984" s="196"/>
      <c r="M2984" s="197"/>
      <c r="N2984" s="278"/>
      <c r="O2984" s="280"/>
      <c r="P2984" s="166"/>
      <c r="Q2984" s="166">
        <f t="shared" si="640"/>
        <v>0</v>
      </c>
      <c r="R2984" s="71"/>
    </row>
    <row r="2985" spans="1:20" s="61" customFormat="1" x14ac:dyDescent="0.25">
      <c r="A2985" s="358"/>
      <c r="B2985" s="361"/>
      <c r="C2985" s="194"/>
      <c r="D2985" s="355" t="s">
        <v>5</v>
      </c>
      <c r="E2985" s="355"/>
      <c r="F2985" s="355"/>
      <c r="G2985" s="355"/>
      <c r="H2985" s="195"/>
      <c r="I2985" s="159"/>
      <c r="J2985" s="195"/>
      <c r="K2985" s="161"/>
      <c r="L2985" s="196"/>
      <c r="M2985" s="197"/>
      <c r="N2985" s="278"/>
      <c r="O2985" s="279">
        <f>O2986+O2995+O3006+O3008+O3019</f>
        <v>1813.1229019999998</v>
      </c>
      <c r="P2985" s="166"/>
      <c r="Q2985" s="166">
        <f t="shared" ref="Q2985:Q3056" si="641">O2985*K2985</f>
        <v>0</v>
      </c>
      <c r="R2985" s="71"/>
    </row>
    <row r="2986" spans="1:20" s="61" customFormat="1" x14ac:dyDescent="0.25">
      <c r="A2986" s="358"/>
      <c r="B2986" s="361"/>
      <c r="C2986" s="221" t="s">
        <v>70</v>
      </c>
      <c r="D2986" s="355" t="s">
        <v>6</v>
      </c>
      <c r="E2986" s="355"/>
      <c r="F2986" s="355"/>
      <c r="G2986" s="355"/>
      <c r="H2986" s="189"/>
      <c r="I2986" s="159"/>
      <c r="J2986" s="189"/>
      <c r="K2986" s="161"/>
      <c r="L2986" s="190"/>
      <c r="M2986" s="197"/>
      <c r="N2986" s="278"/>
      <c r="O2986" s="279">
        <f>O2987+O2988+O2989+O2990+O2991+O2992+O2993</f>
        <v>608.86837299999979</v>
      </c>
      <c r="P2986" s="166"/>
      <c r="Q2986" s="166">
        <f t="shared" si="641"/>
        <v>0</v>
      </c>
      <c r="R2986" s="71"/>
    </row>
    <row r="2987" spans="1:20" s="61" customFormat="1" ht="31.5" x14ac:dyDescent="0.25">
      <c r="A2987" s="358"/>
      <c r="B2987" s="361"/>
      <c r="C2987" s="221" t="s">
        <v>72</v>
      </c>
      <c r="D2987" s="222" t="s">
        <v>7</v>
      </c>
      <c r="E2987" s="223" t="s">
        <v>8</v>
      </c>
      <c r="F2987" s="223" t="s">
        <v>8</v>
      </c>
      <c r="G2987" s="238">
        <f>MROUND(H2987*L2987*I2987/K2987,0.00000001)</f>
        <v>9864.7688987500005</v>
      </c>
      <c r="H2987" s="160">
        <f>Лист1!K12*1000</f>
        <v>12370227.22349089</v>
      </c>
      <c r="I2987" s="159">
        <f>I2981</f>
        <v>0.78948599999999991</v>
      </c>
      <c r="J2987" s="160"/>
      <c r="K2987" s="161">
        <f>K2981</f>
        <v>990</v>
      </c>
      <c r="L2987" s="250">
        <v>1</v>
      </c>
      <c r="M2987" s="163" t="str">
        <f>CONCATENATE(H2987," ",F2987,"(лимиты выделенные УЖКХ) ","*",I2987,"/",K2987,"чел/час")</f>
        <v>12370227,2234909 кВт час.(лимиты выделенные УЖКХ) *0,789486/990чел/час</v>
      </c>
      <c r="N2987" s="278">
        <f>Лист1!M12</f>
        <v>1.0461700311716613E-2</v>
      </c>
      <c r="O2987" s="280">
        <f t="shared" ref="O2987:O2993" si="642">MROUND(N2987*G2987,0.000001)</f>
        <v>103.20225599999999</v>
      </c>
      <c r="P2987" s="166"/>
      <c r="Q2987" s="166">
        <f t="shared" si="641"/>
        <v>102170.23344</v>
      </c>
      <c r="R2987" s="71"/>
      <c r="T2987" s="71"/>
    </row>
    <row r="2988" spans="1:20" s="61" customFormat="1" ht="31.5" x14ac:dyDescent="0.25">
      <c r="A2988" s="358"/>
      <c r="B2988" s="361"/>
      <c r="C2988" s="221" t="s">
        <v>73</v>
      </c>
      <c r="D2988" s="222" t="s">
        <v>9</v>
      </c>
      <c r="E2988" s="223" t="s">
        <v>10</v>
      </c>
      <c r="F2988" s="223" t="s">
        <v>10</v>
      </c>
      <c r="G2988" s="238">
        <f>MROUND(H2988*L2988*I2988/K2988,0.00000001)</f>
        <v>0.1355683</v>
      </c>
      <c r="H2988" s="160">
        <f>Лист1!K13</f>
        <v>170</v>
      </c>
      <c r="I2988" s="159">
        <f t="shared" ref="I2988:I2993" si="643">I2987</f>
        <v>0.78948599999999991</v>
      </c>
      <c r="J2988" s="160"/>
      <c r="K2988" s="161">
        <f t="shared" ref="K2988:K2993" si="644">K2987</f>
        <v>990</v>
      </c>
      <c r="L2988" s="250">
        <v>1</v>
      </c>
      <c r="M2988" s="163" t="str">
        <f>CONCATENATE(H2988," ",F2988,"(лимиты выделенные УЖКХ) ","*",I2988,"/",K2988,"чел/час")</f>
        <v>170 Гкал(лимиты выделенные УЖКХ) *0,789486/990чел/час</v>
      </c>
      <c r="N2988" s="278">
        <f>Лист1!M13</f>
        <v>2845.3649999999998</v>
      </c>
      <c r="O2988" s="280">
        <f t="shared" si="642"/>
        <v>385.74129599999998</v>
      </c>
      <c r="P2988" s="166"/>
      <c r="Q2988" s="166">
        <f t="shared" si="641"/>
        <v>381883.88303999999</v>
      </c>
      <c r="R2988" s="71"/>
      <c r="T2988" s="71"/>
    </row>
    <row r="2989" spans="1:20" s="61" customFormat="1" ht="31.5" x14ac:dyDescent="0.25">
      <c r="A2989" s="358"/>
      <c r="B2989" s="361"/>
      <c r="C2989" s="364" t="s">
        <v>74</v>
      </c>
      <c r="D2989" s="222" t="s">
        <v>12</v>
      </c>
      <c r="E2989" s="222" t="s">
        <v>11</v>
      </c>
      <c r="F2989" s="222" t="s">
        <v>11</v>
      </c>
      <c r="G2989" s="238">
        <f>MROUND(H2989*L2989*I2989/K2989,0.000001)</f>
        <v>0.28255599999999997</v>
      </c>
      <c r="H2989" s="224">
        <f>Лист1!K14</f>
        <v>354.32</v>
      </c>
      <c r="I2989" s="159">
        <f t="shared" si="643"/>
        <v>0.78948599999999991</v>
      </c>
      <c r="J2989" s="160"/>
      <c r="K2989" s="161">
        <f t="shared" si="644"/>
        <v>990</v>
      </c>
      <c r="L2989" s="250">
        <v>1</v>
      </c>
      <c r="M2989" s="163" t="str">
        <f>CONCATENATE(H2989," ",F2989,"(лимиты выделенные УЖКХ) ","*",I2989,"/",K2989,"чел/час")</f>
        <v>354,32 м3(лимиты выделенные УЖКХ) *0,789486/990чел/час</v>
      </c>
      <c r="N2989" s="278">
        <f>Лист1!M14</f>
        <v>51.830000000000005</v>
      </c>
      <c r="O2989" s="280">
        <f t="shared" si="642"/>
        <v>14.644876999999999</v>
      </c>
      <c r="P2989" s="166"/>
      <c r="Q2989" s="166">
        <f t="shared" si="641"/>
        <v>14498.42823</v>
      </c>
      <c r="R2989" s="71"/>
    </row>
    <row r="2990" spans="1:20" s="61" customFormat="1" ht="47.25" x14ac:dyDescent="0.25">
      <c r="A2990" s="358"/>
      <c r="B2990" s="361"/>
      <c r="C2990" s="364"/>
      <c r="D2990" s="222" t="s">
        <v>17</v>
      </c>
      <c r="E2990" s="222" t="s">
        <v>11</v>
      </c>
      <c r="F2990" s="222" t="s">
        <v>11</v>
      </c>
      <c r="G2990" s="238">
        <f>MROUND(H2990*L2990*I2990/K2990,0.00000001)</f>
        <v>0.28255624000000001</v>
      </c>
      <c r="H2990" s="160">
        <f>Лист1!K15</f>
        <v>354.32</v>
      </c>
      <c r="I2990" s="159">
        <f t="shared" si="643"/>
        <v>0.78948599999999991</v>
      </c>
      <c r="J2990" s="160"/>
      <c r="K2990" s="161">
        <f t="shared" si="644"/>
        <v>990</v>
      </c>
      <c r="L2990" s="162">
        <f>$L$25</f>
        <v>1</v>
      </c>
      <c r="M2990" s="163" t="str">
        <f>CONCATENATE(H2990," ",F2990,"(лимиты выделенные УЖКХ) ","*",I2990,"/",K2990,"чел/час")</f>
        <v>354,32 м3(лимиты выделенные УЖКХ) *0,789486/990чел/час</v>
      </c>
      <c r="N2990" s="164">
        <f>Лист1!M15</f>
        <v>78.761157534246564</v>
      </c>
      <c r="O2990" s="280">
        <f t="shared" si="642"/>
        <v>22.254456999999999</v>
      </c>
      <c r="P2990" s="166"/>
      <c r="Q2990" s="166">
        <f t="shared" si="641"/>
        <v>22031.91243</v>
      </c>
      <c r="R2990" s="71"/>
      <c r="S2990" s="71"/>
    </row>
    <row r="2991" spans="1:20" s="61" customFormat="1" ht="31.5" x14ac:dyDescent="0.25">
      <c r="A2991" s="358"/>
      <c r="B2991" s="361"/>
      <c r="C2991" s="364"/>
      <c r="D2991" s="222" t="s">
        <v>13</v>
      </c>
      <c r="E2991" s="222" t="s">
        <v>11</v>
      </c>
      <c r="F2991" s="222" t="s">
        <v>11</v>
      </c>
      <c r="G2991" s="238">
        <f>MROUND(H2991*L2991*I2991/K2991,0.00000001)</f>
        <v>0.28255624000000001</v>
      </c>
      <c r="H2991" s="160">
        <f>Лист1!K16</f>
        <v>354.32</v>
      </c>
      <c r="I2991" s="159">
        <f t="shared" si="643"/>
        <v>0.78948599999999991</v>
      </c>
      <c r="J2991" s="160"/>
      <c r="K2991" s="161">
        <f t="shared" si="644"/>
        <v>990</v>
      </c>
      <c r="L2991" s="162">
        <v>1</v>
      </c>
      <c r="M2991" s="163" t="str">
        <f>CONCATENATE(H2991," ",F2991,"(лимиты выделенные УЖКХ) ","*",I2991,"/",K2991,"чел/час")</f>
        <v>354,32 м3(лимиты выделенные УЖКХ) *0,789486/990чел/час</v>
      </c>
      <c r="N2991" s="278">
        <f>Лист1!M16</f>
        <v>96.18</v>
      </c>
      <c r="O2991" s="280">
        <f t="shared" si="642"/>
        <v>27.176258999999998</v>
      </c>
      <c r="P2991" s="166"/>
      <c r="Q2991" s="166">
        <f t="shared" si="641"/>
        <v>26904.49641</v>
      </c>
      <c r="R2991" s="71"/>
      <c r="T2991" s="71"/>
    </row>
    <row r="2992" spans="1:20" s="61" customFormat="1" x14ac:dyDescent="0.25">
      <c r="A2992" s="358"/>
      <c r="B2992" s="361"/>
      <c r="C2992" s="364" t="s">
        <v>216</v>
      </c>
      <c r="D2992" s="222" t="s">
        <v>23</v>
      </c>
      <c r="E2992" s="222" t="s">
        <v>11</v>
      </c>
      <c r="F2992" s="222" t="s">
        <v>11</v>
      </c>
      <c r="G2992" s="238">
        <f>MROUND(H2992*L2992*I2992/K2992,0.00000001)</f>
        <v>5.0527099999999998E-2</v>
      </c>
      <c r="H2992" s="160">
        <f>Лист1!K18</f>
        <v>63.36</v>
      </c>
      <c r="I2992" s="159">
        <f t="shared" si="643"/>
        <v>0.78948599999999991</v>
      </c>
      <c r="J2992" s="160"/>
      <c r="K2992" s="161">
        <f t="shared" si="644"/>
        <v>990</v>
      </c>
      <c r="L2992" s="162">
        <v>1</v>
      </c>
      <c r="M2992" s="163" t="str">
        <f>CONCATENATE(H2992," ",F2992," ","*",I2992,"/",K2992,"чел/час")</f>
        <v>63,36 м3 *0,789486/990чел/час</v>
      </c>
      <c r="N2992" s="164">
        <f>Лист1!M18</f>
        <v>742.21369949494954</v>
      </c>
      <c r="O2992" s="280">
        <f t="shared" si="642"/>
        <v>37.501905999999998</v>
      </c>
      <c r="P2992" s="166"/>
      <c r="Q2992" s="166">
        <f t="shared" si="641"/>
        <v>37126.886939999997</v>
      </c>
      <c r="R2992" s="71"/>
      <c r="S2992" s="71"/>
    </row>
    <row r="2993" spans="1:20" s="61" customFormat="1" ht="63" x14ac:dyDescent="0.25">
      <c r="A2993" s="358"/>
      <c r="B2993" s="361"/>
      <c r="C2993" s="364"/>
      <c r="D2993" s="222" t="s">
        <v>24</v>
      </c>
      <c r="E2993" s="222" t="s">
        <v>25</v>
      </c>
      <c r="F2993" s="222" t="s">
        <v>248</v>
      </c>
      <c r="G2993" s="238">
        <f>MROUND(H2993*L2993*I2993/K2993,0.00000001)</f>
        <v>3.1898400000000002E-3</v>
      </c>
      <c r="H2993" s="160">
        <f>Лист1!K19</f>
        <v>4</v>
      </c>
      <c r="I2993" s="159">
        <f t="shared" si="643"/>
        <v>0.78948599999999991</v>
      </c>
      <c r="J2993" s="160"/>
      <c r="K2993" s="161">
        <f t="shared" si="644"/>
        <v>990</v>
      </c>
      <c r="L2993" s="250">
        <v>1</v>
      </c>
      <c r="M2993" s="163" t="str">
        <f>CONCATENATE(H2993," ",F2993,"(потребность из расчета 4 контейнера для уборки территории весной и осенью на 1 учреждение)","*",I2993,"/",K2993,"чел/час")</f>
        <v>4 контейнеров(потребность из расчета 4 контейнера для уборки территории весной и осенью на 1 учреждение)*0,789486/990чел/час</v>
      </c>
      <c r="N2993" s="278">
        <f>Лист1!M19</f>
        <v>5751.8</v>
      </c>
      <c r="O2993" s="280">
        <f t="shared" si="642"/>
        <v>18.347321999999998</v>
      </c>
      <c r="P2993" s="166"/>
      <c r="Q2993" s="166">
        <f t="shared" si="641"/>
        <v>18163.848779999997</v>
      </c>
      <c r="R2993" s="71"/>
      <c r="T2993" s="71"/>
    </row>
    <row r="2994" spans="1:20" s="62" customFormat="1" x14ac:dyDescent="0.25">
      <c r="A2994" s="358"/>
      <c r="B2994" s="361"/>
      <c r="C2994" s="218" t="s">
        <v>290</v>
      </c>
      <c r="D2994" s="226"/>
      <c r="E2994" s="226"/>
      <c r="F2994" s="226"/>
      <c r="G2994" s="227"/>
      <c r="H2994" s="228"/>
      <c r="I2994" s="206"/>
      <c r="J2994" s="228"/>
      <c r="K2994" s="207"/>
      <c r="L2994" s="257"/>
      <c r="M2994" s="209"/>
      <c r="N2994" s="281"/>
      <c r="O2994" s="279">
        <f>SUM(O2987:O2993)</f>
        <v>608.86837299999979</v>
      </c>
      <c r="P2994" s="267"/>
      <c r="Q2994" s="166"/>
      <c r="R2994" s="71"/>
    </row>
    <row r="2995" spans="1:20" s="61" customFormat="1" x14ac:dyDescent="0.25">
      <c r="A2995" s="358"/>
      <c r="B2995" s="361"/>
      <c r="C2995" s="221"/>
      <c r="D2995" s="356" t="s">
        <v>14</v>
      </c>
      <c r="E2995" s="356"/>
      <c r="F2995" s="356"/>
      <c r="G2995" s="356"/>
      <c r="H2995" s="188"/>
      <c r="I2995" s="159"/>
      <c r="J2995" s="188"/>
      <c r="K2995" s="161"/>
      <c r="L2995" s="250"/>
      <c r="M2995" s="230"/>
      <c r="N2995" s="278"/>
      <c r="O2995" s="279">
        <f>O2999+O3003+O3005</f>
        <v>0</v>
      </c>
      <c r="P2995" s="166"/>
      <c r="Q2995" s="166">
        <f t="shared" si="641"/>
        <v>0</v>
      </c>
      <c r="R2995" s="71"/>
    </row>
    <row r="2996" spans="1:20" s="61" customFormat="1" x14ac:dyDescent="0.25">
      <c r="A2996" s="358"/>
      <c r="B2996" s="361"/>
      <c r="C2996" s="365" t="s">
        <v>379</v>
      </c>
      <c r="D2996" s="231" t="s">
        <v>49</v>
      </c>
      <c r="E2996" s="231" t="s">
        <v>22</v>
      </c>
      <c r="F2996" s="231" t="s">
        <v>22</v>
      </c>
      <c r="G2996" s="238">
        <f>MROUND(H2996*L2996*I2996/K2996,0.00000001)</f>
        <v>0</v>
      </c>
      <c r="H2996" s="160"/>
      <c r="I2996" s="159">
        <f>I2991</f>
        <v>0.78948599999999991</v>
      </c>
      <c r="J2996" s="160"/>
      <c r="K2996" s="161">
        <f>K2991</f>
        <v>990</v>
      </c>
      <c r="L2996" s="250"/>
      <c r="M2996" s="163"/>
      <c r="N2996" s="278"/>
      <c r="O2996" s="280">
        <f>MROUND(N2996*G2996,0.000001)</f>
        <v>0</v>
      </c>
      <c r="P2996" s="166"/>
      <c r="Q2996" s="166">
        <f>O2996*K2996</f>
        <v>0</v>
      </c>
      <c r="R2996" s="71"/>
      <c r="T2996" s="71"/>
    </row>
    <row r="2997" spans="1:20" s="61" customFormat="1" x14ac:dyDescent="0.25">
      <c r="A2997" s="358"/>
      <c r="B2997" s="361"/>
      <c r="C2997" s="366"/>
      <c r="D2997" s="231" t="s">
        <v>49</v>
      </c>
      <c r="E2997" s="231" t="s">
        <v>28</v>
      </c>
      <c r="F2997" s="231" t="s">
        <v>28</v>
      </c>
      <c r="G2997" s="238">
        <f>MROUND(H2997*L2997*I2997/K2997,0.0000000001)</f>
        <v>0</v>
      </c>
      <c r="H2997" s="160"/>
      <c r="I2997" s="159">
        <f>I2991</f>
        <v>0.78948599999999991</v>
      </c>
      <c r="J2997" s="160"/>
      <c r="K2997" s="161">
        <f>K2991</f>
        <v>990</v>
      </c>
      <c r="L2997" s="250">
        <v>1</v>
      </c>
      <c r="M2997" s="163"/>
      <c r="N2997" s="278"/>
      <c r="O2997" s="280">
        <f>MROUND(N2997*G2997,0.000001)</f>
        <v>0</v>
      </c>
      <c r="P2997" s="166"/>
      <c r="Q2997" s="166">
        <f>O2997*K2997</f>
        <v>0</v>
      </c>
      <c r="R2997" s="71"/>
      <c r="T2997" s="71"/>
    </row>
    <row r="2998" spans="1:20" s="61" customFormat="1" x14ac:dyDescent="0.25">
      <c r="A2998" s="358"/>
      <c r="B2998" s="361"/>
      <c r="C2998" s="367"/>
      <c r="D2998" s="231" t="s">
        <v>49</v>
      </c>
      <c r="E2998" s="231" t="s">
        <v>101</v>
      </c>
      <c r="F2998" s="231" t="s">
        <v>101</v>
      </c>
      <c r="G2998" s="238">
        <f>MROUND(H2998*L2998*I2998/K2998,0.0000000001)</f>
        <v>0</v>
      </c>
      <c r="H2998" s="160"/>
      <c r="I2998" s="159">
        <f>I2996</f>
        <v>0.78948599999999991</v>
      </c>
      <c r="J2998" s="160"/>
      <c r="K2998" s="161">
        <f>K2996</f>
        <v>990</v>
      </c>
      <c r="L2998" s="250">
        <v>1</v>
      </c>
      <c r="M2998" s="163"/>
      <c r="N2998" s="278"/>
      <c r="O2998" s="280">
        <f>MROUND(N2998*G2998,0.000001)</f>
        <v>0</v>
      </c>
      <c r="P2998" s="166"/>
      <c r="Q2998" s="166">
        <f>O2998*K2998</f>
        <v>0</v>
      </c>
      <c r="R2998" s="71"/>
      <c r="T2998" s="71"/>
    </row>
    <row r="2999" spans="1:20" s="62" customFormat="1" x14ac:dyDescent="0.25">
      <c r="A2999" s="358"/>
      <c r="B2999" s="361"/>
      <c r="C2999" s="218" t="s">
        <v>380</v>
      </c>
      <c r="D2999" s="232"/>
      <c r="E2999" s="232"/>
      <c r="F2999" s="232"/>
      <c r="G2999" s="227"/>
      <c r="H2999" s="228"/>
      <c r="I2999" s="206"/>
      <c r="J2999" s="228"/>
      <c r="K2999" s="207"/>
      <c r="L2999" s="257"/>
      <c r="M2999" s="209"/>
      <c r="N2999" s="281"/>
      <c r="O2999" s="279">
        <f>O2996+O2998+O2997</f>
        <v>0</v>
      </c>
      <c r="P2999" s="267"/>
      <c r="Q2999" s="166"/>
      <c r="R2999" s="71"/>
    </row>
    <row r="3000" spans="1:20" s="61" customFormat="1" x14ac:dyDescent="0.25">
      <c r="A3000" s="358"/>
      <c r="B3000" s="361"/>
      <c r="C3000" s="365" t="s">
        <v>76</v>
      </c>
      <c r="D3000" s="231" t="s">
        <v>49</v>
      </c>
      <c r="E3000" s="231" t="s">
        <v>22</v>
      </c>
      <c r="F3000" s="231" t="s">
        <v>22</v>
      </c>
      <c r="G3000" s="238">
        <f>MROUND(H3000*L3000*I3000/K3000,0.00000001)</f>
        <v>0</v>
      </c>
      <c r="H3000" s="160"/>
      <c r="I3000" s="159">
        <f>I2998</f>
        <v>0.78948599999999991</v>
      </c>
      <c r="J3000" s="160"/>
      <c r="K3000" s="161">
        <f>K2998</f>
        <v>990</v>
      </c>
      <c r="L3000" s="250">
        <v>1</v>
      </c>
      <c r="M3000" s="163"/>
      <c r="N3000" s="278"/>
      <c r="O3000" s="280">
        <f>MROUND(N3000*G3000,0.000001)</f>
        <v>0</v>
      </c>
      <c r="P3000" s="166"/>
      <c r="Q3000" s="166">
        <f t="shared" si="641"/>
        <v>0</v>
      </c>
      <c r="R3000" s="71"/>
      <c r="T3000" s="71"/>
    </row>
    <row r="3001" spans="1:20" s="61" customFormat="1" x14ac:dyDescent="0.25">
      <c r="A3001" s="358"/>
      <c r="B3001" s="361"/>
      <c r="C3001" s="366"/>
      <c r="D3001" s="231" t="s">
        <v>49</v>
      </c>
      <c r="E3001" s="231" t="s">
        <v>28</v>
      </c>
      <c r="F3001" s="231" t="s">
        <v>28</v>
      </c>
      <c r="G3001" s="238">
        <f>MROUND(H3001*L3001*I3001/K3001,0.0000000001)</f>
        <v>0</v>
      </c>
      <c r="H3001" s="160"/>
      <c r="I3001" s="159">
        <f>I3000</f>
        <v>0.78948599999999991</v>
      </c>
      <c r="J3001" s="160"/>
      <c r="K3001" s="161">
        <f>K3000</f>
        <v>990</v>
      </c>
      <c r="L3001" s="250">
        <v>1</v>
      </c>
      <c r="M3001" s="163"/>
      <c r="N3001" s="278"/>
      <c r="O3001" s="280">
        <f>MROUND(N3001*G3001,0.000001)</f>
        <v>0</v>
      </c>
      <c r="P3001" s="166"/>
      <c r="Q3001" s="166">
        <f>O3001*K3001</f>
        <v>0</v>
      </c>
      <c r="R3001" s="71"/>
      <c r="T3001" s="71"/>
    </row>
    <row r="3002" spans="1:20" s="61" customFormat="1" x14ac:dyDescent="0.25">
      <c r="A3002" s="358"/>
      <c r="B3002" s="361"/>
      <c r="C3002" s="367"/>
      <c r="D3002" s="231" t="s">
        <v>49</v>
      </c>
      <c r="E3002" s="231" t="s">
        <v>101</v>
      </c>
      <c r="F3002" s="231" t="s">
        <v>101</v>
      </c>
      <c r="G3002" s="238">
        <f>MROUND(H3002*L3002*I3002/K3002,0.0000000001)</f>
        <v>0</v>
      </c>
      <c r="H3002" s="160"/>
      <c r="I3002" s="159">
        <f t="shared" ref="I3002" si="645">I3000</f>
        <v>0.78948599999999991</v>
      </c>
      <c r="J3002" s="160"/>
      <c r="K3002" s="161">
        <f t="shared" ref="K3002" si="646">K3000</f>
        <v>990</v>
      </c>
      <c r="L3002" s="250">
        <v>1</v>
      </c>
      <c r="M3002" s="163"/>
      <c r="N3002" s="278"/>
      <c r="O3002" s="280">
        <f>MROUND(N3002*G3002,0.000001)</f>
        <v>0</v>
      </c>
      <c r="P3002" s="166"/>
      <c r="Q3002" s="166">
        <f t="shared" si="641"/>
        <v>0</v>
      </c>
      <c r="R3002" s="71"/>
      <c r="T3002" s="71"/>
    </row>
    <row r="3003" spans="1:20" s="62" customFormat="1" x14ac:dyDescent="0.25">
      <c r="A3003" s="358"/>
      <c r="B3003" s="361"/>
      <c r="C3003" s="218" t="s">
        <v>291</v>
      </c>
      <c r="D3003" s="232"/>
      <c r="E3003" s="232"/>
      <c r="F3003" s="232"/>
      <c r="G3003" s="227"/>
      <c r="H3003" s="228"/>
      <c r="I3003" s="206"/>
      <c r="J3003" s="228"/>
      <c r="K3003" s="207"/>
      <c r="L3003" s="257"/>
      <c r="M3003" s="209"/>
      <c r="N3003" s="281"/>
      <c r="O3003" s="279">
        <f>O3000+O3002+O3001</f>
        <v>0</v>
      </c>
      <c r="P3003" s="267"/>
      <c r="Q3003" s="166"/>
      <c r="R3003" s="71"/>
    </row>
    <row r="3004" spans="1:20" s="61" customFormat="1" x14ac:dyDescent="0.25">
      <c r="A3004" s="358"/>
      <c r="B3004" s="361"/>
      <c r="C3004" s="221" t="s">
        <v>77</v>
      </c>
      <c r="D3004" s="231"/>
      <c r="E3004" s="231"/>
      <c r="F3004" s="231"/>
      <c r="G3004" s="238">
        <f>MROUND(H3004*L3004*I3004/K3004,0.000001)</f>
        <v>0</v>
      </c>
      <c r="H3004" s="160"/>
      <c r="I3004" s="159">
        <f>I3000</f>
        <v>0.78948599999999991</v>
      </c>
      <c r="J3004" s="160"/>
      <c r="K3004" s="161">
        <f>K3000</f>
        <v>990</v>
      </c>
      <c r="L3004" s="250"/>
      <c r="M3004" s="163"/>
      <c r="N3004" s="278">
        <f>Лист1!M29</f>
        <v>0.27250000000000002</v>
      </c>
      <c r="O3004" s="280">
        <f>MROUND(N3004*G3004,0.000001)</f>
        <v>0</v>
      </c>
      <c r="P3004" s="166"/>
      <c r="Q3004" s="166">
        <f t="shared" si="641"/>
        <v>0</v>
      </c>
      <c r="R3004" s="71"/>
      <c r="T3004" s="71"/>
    </row>
    <row r="3005" spans="1:20" s="62" customFormat="1" x14ac:dyDescent="0.25">
      <c r="A3005" s="358"/>
      <c r="B3005" s="361"/>
      <c r="C3005" s="218" t="s">
        <v>292</v>
      </c>
      <c r="D3005" s="232"/>
      <c r="E3005" s="232"/>
      <c r="F3005" s="232"/>
      <c r="G3005" s="227"/>
      <c r="H3005" s="228"/>
      <c r="I3005" s="206"/>
      <c r="J3005" s="228"/>
      <c r="K3005" s="207"/>
      <c r="L3005" s="257"/>
      <c r="M3005" s="209"/>
      <c r="N3005" s="281"/>
      <c r="O3005" s="279">
        <f>O3004</f>
        <v>0</v>
      </c>
      <c r="P3005" s="267"/>
      <c r="Q3005" s="166"/>
      <c r="R3005" s="71"/>
    </row>
    <row r="3006" spans="1:20" s="61" customFormat="1" x14ac:dyDescent="0.25">
      <c r="A3006" s="358"/>
      <c r="B3006" s="361"/>
      <c r="C3006" s="221"/>
      <c r="D3006" s="350" t="s">
        <v>65</v>
      </c>
      <c r="E3006" s="350"/>
      <c r="F3006" s="350"/>
      <c r="G3006" s="350"/>
      <c r="H3006" s="195"/>
      <c r="I3006" s="159"/>
      <c r="J3006" s="195"/>
      <c r="K3006" s="161"/>
      <c r="L3006" s="196"/>
      <c r="M3006" s="230"/>
      <c r="N3006" s="278"/>
      <c r="O3006" s="280"/>
      <c r="P3006" s="166"/>
      <c r="Q3006" s="166">
        <f t="shared" si="641"/>
        <v>0</v>
      </c>
      <c r="R3006" s="71"/>
    </row>
    <row r="3007" spans="1:20" s="61" customFormat="1" x14ac:dyDescent="0.25">
      <c r="A3007" s="358"/>
      <c r="B3007" s="361"/>
      <c r="C3007" s="221"/>
      <c r="D3007" s="194"/>
      <c r="E3007" s="194"/>
      <c r="F3007" s="194"/>
      <c r="G3007" s="217"/>
      <c r="H3007" s="195"/>
      <c r="I3007" s="159"/>
      <c r="J3007" s="195"/>
      <c r="K3007" s="161"/>
      <c r="L3007" s="196"/>
      <c r="M3007" s="230"/>
      <c r="N3007" s="278"/>
      <c r="O3007" s="280"/>
      <c r="P3007" s="166"/>
      <c r="Q3007" s="166">
        <f t="shared" si="641"/>
        <v>0</v>
      </c>
      <c r="R3007" s="71"/>
    </row>
    <row r="3008" spans="1:20" s="61" customFormat="1" x14ac:dyDescent="0.25">
      <c r="A3008" s="358"/>
      <c r="B3008" s="361"/>
      <c r="C3008" s="221" t="s">
        <v>357</v>
      </c>
      <c r="D3008" s="368" t="s">
        <v>66</v>
      </c>
      <c r="E3008" s="368"/>
      <c r="F3008" s="368"/>
      <c r="G3008" s="368"/>
      <c r="H3008" s="195"/>
      <c r="I3008" s="159"/>
      <c r="J3008" s="195"/>
      <c r="K3008" s="161"/>
      <c r="L3008" s="196"/>
      <c r="M3008" s="230"/>
      <c r="N3008" s="278"/>
      <c r="O3008" s="279">
        <f>O3009+O3010+O3011+O3013+O3012</f>
        <v>133.072711</v>
      </c>
      <c r="P3008" s="166"/>
      <c r="Q3008" s="166">
        <f t="shared" si="641"/>
        <v>0</v>
      </c>
      <c r="R3008" s="71"/>
    </row>
    <row r="3009" spans="1:41" s="61" customFormat="1" x14ac:dyDescent="0.25">
      <c r="A3009" s="358"/>
      <c r="B3009" s="361"/>
      <c r="C3009" s="365"/>
      <c r="D3009" s="284" t="s">
        <v>241</v>
      </c>
      <c r="E3009" s="156" t="s">
        <v>28</v>
      </c>
      <c r="F3009" s="156" t="s">
        <v>28</v>
      </c>
      <c r="G3009" s="238">
        <f>MROUND(H3009*L3009*I3009/K3009,0.000000001)</f>
        <v>4.7847636000000006E-2</v>
      </c>
      <c r="H3009" s="158">
        <f>Лист1!K6</f>
        <v>5</v>
      </c>
      <c r="I3009" s="159">
        <f>I3004</f>
        <v>0.78948599999999991</v>
      </c>
      <c r="J3009" s="160"/>
      <c r="K3009" s="161">
        <f>K3004</f>
        <v>990</v>
      </c>
      <c r="L3009" s="250">
        <v>12</v>
      </c>
      <c r="M3009" s="163" t="str">
        <f>CONCATENATE(H3009," ",F3009,"*",L3009,"мес.","*",I3009,"/",K3009,"чел/час")</f>
        <v>5 шт*12мес.*0,789486/990чел/час</v>
      </c>
      <c r="N3009" s="278">
        <f>Лист1!M6</f>
        <v>278.60400000000004</v>
      </c>
      <c r="O3009" s="280">
        <f>MROUND(N3009*G3009,0.000001)</f>
        <v>13.330542999999999</v>
      </c>
      <c r="P3009" s="166"/>
      <c r="Q3009" s="166">
        <f t="shared" si="641"/>
        <v>13197.237569999999</v>
      </c>
      <c r="R3009" s="71"/>
      <c r="T3009" s="71"/>
    </row>
    <row r="3010" spans="1:41" s="61" customFormat="1" x14ac:dyDescent="0.25">
      <c r="A3010" s="358"/>
      <c r="B3010" s="361"/>
      <c r="C3010" s="366"/>
      <c r="D3010" s="284" t="s">
        <v>242</v>
      </c>
      <c r="E3010" s="156" t="s">
        <v>243</v>
      </c>
      <c r="F3010" s="156" t="s">
        <v>243</v>
      </c>
      <c r="G3010" s="238">
        <f>MROUND(H3010*L3010*I3010/K3010,0.00000001)</f>
        <v>67.292915780000001</v>
      </c>
      <c r="H3010" s="158">
        <v>7032</v>
      </c>
      <c r="I3010" s="159">
        <f>I3009</f>
        <v>0.78948599999999991</v>
      </c>
      <c r="J3010" s="160"/>
      <c r="K3010" s="161">
        <f>K3009</f>
        <v>990</v>
      </c>
      <c r="L3010" s="250">
        <v>12</v>
      </c>
      <c r="M3010" s="163" t="str">
        <f>CONCATENATE(H3010," ",F3010,"*",L3010,"мес.","*",I3010,"/",K3010,"чел/час")</f>
        <v>7032 мин.*12мес.*0,789486/990чел/час</v>
      </c>
      <c r="N3010" s="278">
        <f>Лист1!M7</f>
        <v>0.78479996207811897</v>
      </c>
      <c r="O3010" s="280">
        <f>MROUND(N3010*G3010,0.000001)</f>
        <v>52.811478000000001</v>
      </c>
      <c r="P3010" s="166"/>
      <c r="Q3010" s="166">
        <f t="shared" si="641"/>
        <v>52283.363219999999</v>
      </c>
      <c r="R3010" s="71"/>
      <c r="T3010" s="71"/>
    </row>
    <row r="3011" spans="1:41" s="61" customFormat="1" ht="31.5" x14ac:dyDescent="0.25">
      <c r="A3011" s="358"/>
      <c r="B3011" s="361"/>
      <c r="C3011" s="366"/>
      <c r="D3011" s="285" t="s">
        <v>244</v>
      </c>
      <c r="E3011" s="286" t="s">
        <v>245</v>
      </c>
      <c r="F3011" s="286" t="s">
        <v>247</v>
      </c>
      <c r="G3011" s="238">
        <f>MROUND(H3011*L3011*I3011/K3011,0.000001)</f>
        <v>9.5700000000000004E-3</v>
      </c>
      <c r="H3011" s="158">
        <v>1</v>
      </c>
      <c r="I3011" s="159">
        <f>I3010</f>
        <v>0.78948599999999991</v>
      </c>
      <c r="J3011" s="160"/>
      <c r="K3011" s="161">
        <f>K3010</f>
        <v>990</v>
      </c>
      <c r="L3011" s="250">
        <v>12</v>
      </c>
      <c r="M3011" s="163" t="str">
        <f>CONCATENATE(H3011," ",F3011,"*",L3011,"мес.","*",I3011,"/",K3011,"чел/час")</f>
        <v>1 радиоточек*12мес.*0,789486/990чел/час</v>
      </c>
      <c r="N3011" s="278">
        <f>Лист1!M8</f>
        <v>165.68</v>
      </c>
      <c r="O3011" s="280">
        <f>MROUND(N3011*G3011,0.000001)</f>
        <v>1.585558</v>
      </c>
      <c r="P3011" s="166"/>
      <c r="Q3011" s="166">
        <f t="shared" si="641"/>
        <v>1569.7024200000001</v>
      </c>
      <c r="R3011" s="71"/>
      <c r="S3011" s="71"/>
    </row>
    <row r="3012" spans="1:41" s="61" customFormat="1" ht="47.25" x14ac:dyDescent="0.25">
      <c r="A3012" s="358"/>
      <c r="B3012" s="361"/>
      <c r="C3012" s="366"/>
      <c r="D3012" s="285" t="s">
        <v>374</v>
      </c>
      <c r="E3012" s="156" t="s">
        <v>28</v>
      </c>
      <c r="F3012" s="156" t="s">
        <v>28</v>
      </c>
      <c r="G3012" s="238">
        <f>MROUND(H3012*L3012*I3012/K3012,0.000001)</f>
        <v>5.7416999999999996E-2</v>
      </c>
      <c r="H3012" s="158">
        <f>Лист1!K10</f>
        <v>6</v>
      </c>
      <c r="I3012" s="159">
        <f>I3010</f>
        <v>0.78948599999999991</v>
      </c>
      <c r="J3012" s="160"/>
      <c r="K3012" s="161">
        <f>K3010</f>
        <v>990</v>
      </c>
      <c r="L3012" s="250">
        <f>Лист1!L10</f>
        <v>12</v>
      </c>
      <c r="M3012" s="163" t="str">
        <f>CONCATENATE(H3012," ",F3012,"*",L3012,"мес.","*",I3012,"/",K3012,"чел/час")</f>
        <v>6 шт*12мес.*0,789486/990чел/час</v>
      </c>
      <c r="N3012" s="278">
        <f>Лист1!M10</f>
        <v>418.67986111111117</v>
      </c>
      <c r="O3012" s="280">
        <f>MROUND(N3012*G3012,0.000001)</f>
        <v>24.039341999999998</v>
      </c>
      <c r="P3012" s="166"/>
      <c r="Q3012" s="166">
        <f t="shared" si="641"/>
        <v>23798.948579999997</v>
      </c>
      <c r="R3012" s="71"/>
    </row>
    <row r="3013" spans="1:41" s="61" customFormat="1" x14ac:dyDescent="0.25">
      <c r="A3013" s="358"/>
      <c r="B3013" s="361"/>
      <c r="C3013" s="367"/>
      <c r="D3013" s="284" t="s">
        <v>246</v>
      </c>
      <c r="E3013" s="156" t="s">
        <v>28</v>
      </c>
      <c r="F3013" s="156" t="s">
        <v>28</v>
      </c>
      <c r="G3013" s="238">
        <f>MROUND(H3013*L3013*I3013/K3013,0.0000001)</f>
        <v>9.5694999999999999E-3</v>
      </c>
      <c r="H3013" s="158">
        <v>1</v>
      </c>
      <c r="I3013" s="159">
        <f>I3011</f>
        <v>0.78948599999999991</v>
      </c>
      <c r="J3013" s="160"/>
      <c r="K3013" s="161">
        <f>K3011</f>
        <v>990</v>
      </c>
      <c r="L3013" s="250">
        <v>12</v>
      </c>
      <c r="M3013" s="163" t="str">
        <f>CONCATENATE(H3013," ",F3013,"*",L3013,"мес.","*",I3013,"/",K3013,"чел/час")</f>
        <v>1 шт*12мес.*0,789486/990чел/час</v>
      </c>
      <c r="N3013" s="278">
        <f>Лист1!M9</f>
        <v>4316.4000000000005</v>
      </c>
      <c r="O3013" s="280">
        <f>MROUND(N3013*G3013,0.000001)</f>
        <v>41.305789999999995</v>
      </c>
      <c r="P3013" s="166"/>
      <c r="Q3013" s="166">
        <f t="shared" si="641"/>
        <v>40892.732099999994</v>
      </c>
      <c r="R3013" s="71"/>
    </row>
    <row r="3014" spans="1:41" s="62" customFormat="1" x14ac:dyDescent="0.25">
      <c r="A3014" s="358"/>
      <c r="B3014" s="361"/>
      <c r="C3014" s="218" t="s">
        <v>358</v>
      </c>
      <c r="D3014" s="287"/>
      <c r="E3014" s="287"/>
      <c r="F3014" s="287"/>
      <c r="G3014" s="288"/>
      <c r="H3014" s="214"/>
      <c r="I3014" s="206"/>
      <c r="J3014" s="214"/>
      <c r="K3014" s="207"/>
      <c r="L3014" s="215"/>
      <c r="M3014" s="289"/>
      <c r="N3014" s="281"/>
      <c r="O3014" s="279">
        <f>O3008</f>
        <v>133.072711</v>
      </c>
      <c r="P3014" s="267"/>
      <c r="Q3014" s="166"/>
      <c r="R3014" s="71"/>
    </row>
    <row r="3015" spans="1:41" s="61" customFormat="1" x14ac:dyDescent="0.25">
      <c r="A3015" s="358"/>
      <c r="B3015" s="361"/>
      <c r="C3015" s="221"/>
      <c r="D3015" s="368" t="s">
        <v>67</v>
      </c>
      <c r="E3015" s="368"/>
      <c r="F3015" s="368"/>
      <c r="G3015" s="368"/>
      <c r="H3015" s="195"/>
      <c r="I3015" s="159"/>
      <c r="J3015" s="195"/>
      <c r="K3015" s="161"/>
      <c r="L3015" s="196"/>
      <c r="M3015" s="230"/>
      <c r="N3015" s="278"/>
      <c r="O3015" s="280"/>
      <c r="P3015" s="166"/>
      <c r="Q3015" s="166">
        <f t="shared" si="641"/>
        <v>0</v>
      </c>
      <c r="R3015" s="71"/>
    </row>
    <row r="3016" spans="1:41" s="61" customFormat="1" x14ac:dyDescent="0.25">
      <c r="A3016" s="358"/>
      <c r="B3016" s="361"/>
      <c r="C3016" s="221"/>
      <c r="D3016" s="194"/>
      <c r="E3016" s="194"/>
      <c r="F3016" s="194"/>
      <c r="G3016" s="217"/>
      <c r="H3016" s="195"/>
      <c r="I3016" s="159"/>
      <c r="J3016" s="195"/>
      <c r="K3016" s="161"/>
      <c r="L3016" s="196"/>
      <c r="M3016" s="230"/>
      <c r="N3016" s="278"/>
      <c r="O3016" s="280"/>
      <c r="P3016" s="166"/>
      <c r="Q3016" s="166">
        <f t="shared" si="641"/>
        <v>0</v>
      </c>
      <c r="R3016" s="71"/>
    </row>
    <row r="3017" spans="1:41" s="61" customFormat="1" x14ac:dyDescent="0.25">
      <c r="A3017" s="358"/>
      <c r="B3017" s="361"/>
      <c r="C3017" s="221"/>
      <c r="D3017" s="350" t="s">
        <v>68</v>
      </c>
      <c r="E3017" s="350"/>
      <c r="F3017" s="350"/>
      <c r="G3017" s="350"/>
      <c r="H3017" s="195"/>
      <c r="I3017" s="159"/>
      <c r="J3017" s="195"/>
      <c r="K3017" s="161"/>
      <c r="L3017" s="196"/>
      <c r="M3017" s="230"/>
      <c r="N3017" s="278"/>
      <c r="O3017" s="280"/>
      <c r="P3017" s="166"/>
      <c r="Q3017" s="166">
        <f t="shared" si="641"/>
        <v>0</v>
      </c>
      <c r="R3017" s="71"/>
    </row>
    <row r="3018" spans="1:41" s="61" customFormat="1" x14ac:dyDescent="0.25">
      <c r="A3018" s="358"/>
      <c r="B3018" s="361"/>
      <c r="C3018" s="221"/>
      <c r="D3018" s="156"/>
      <c r="E3018" s="156"/>
      <c r="F3018" s="156"/>
      <c r="G3018" s="236"/>
      <c r="H3018" s="195"/>
      <c r="I3018" s="159"/>
      <c r="J3018" s="195"/>
      <c r="K3018" s="161"/>
      <c r="L3018" s="196"/>
      <c r="M3018" s="230"/>
      <c r="N3018" s="278"/>
      <c r="O3018" s="280"/>
      <c r="P3018" s="166"/>
      <c r="Q3018" s="166">
        <f t="shared" si="641"/>
        <v>0</v>
      </c>
      <c r="R3018" s="71"/>
    </row>
    <row r="3019" spans="1:41" s="61" customFormat="1" x14ac:dyDescent="0.25">
      <c r="A3019" s="358"/>
      <c r="B3019" s="361"/>
      <c r="C3019" s="221"/>
      <c r="D3019" s="368" t="s">
        <v>69</v>
      </c>
      <c r="E3019" s="368"/>
      <c r="F3019" s="368"/>
      <c r="G3019" s="368"/>
      <c r="H3019" s="187"/>
      <c r="I3019" s="159"/>
      <c r="J3019" s="187"/>
      <c r="K3019" s="161"/>
      <c r="L3019" s="276"/>
      <c r="M3019" s="230"/>
      <c r="N3019" s="278"/>
      <c r="O3019" s="279">
        <f>O3026+O3033+O3037+O3055+O3057+O3059+O3065+O3067+O3070</f>
        <v>1071.181818</v>
      </c>
      <c r="P3019" s="166"/>
      <c r="Q3019" s="166">
        <f t="shared" si="641"/>
        <v>0</v>
      </c>
      <c r="R3019" s="71"/>
    </row>
    <row r="3020" spans="1:41" s="61" customFormat="1" ht="31.5" x14ac:dyDescent="0.25">
      <c r="A3020" s="358"/>
      <c r="B3020" s="361"/>
      <c r="C3020" s="365" t="s">
        <v>78</v>
      </c>
      <c r="D3020" s="156" t="s">
        <v>26</v>
      </c>
      <c r="E3020" s="156" t="s">
        <v>22</v>
      </c>
      <c r="F3020" s="156" t="s">
        <v>22</v>
      </c>
      <c r="G3020" s="238">
        <f>MROUND(H3020*L3020*I3020/K3020,0.000000001)</f>
        <v>6.6986690910000002</v>
      </c>
      <c r="H3020" s="158">
        <f>Лист1!K27</f>
        <v>700</v>
      </c>
      <c r="I3020" s="159">
        <f>I3013</f>
        <v>0.78948599999999991</v>
      </c>
      <c r="J3020" s="160"/>
      <c r="K3020" s="161">
        <f>K3013</f>
        <v>990</v>
      </c>
      <c r="L3020" s="250">
        <v>12</v>
      </c>
      <c r="M3020" s="163" t="str">
        <f>CONCATENATE(H3020," ",F3020,"(обрабатываемая площадь в мес.)","*",L3020,"мес.","*",I3020,"/",K3020,"чел/час")</f>
        <v>700 м2(обрабатываемая площадь в мес.)*12мес.*0,789486/990чел/час</v>
      </c>
      <c r="N3020" s="278">
        <f>Лист1!M27</f>
        <v>1.1554</v>
      </c>
      <c r="O3020" s="280">
        <f>MROUND(N3020*G3020,0.000001)</f>
        <v>7.7396419999999999</v>
      </c>
      <c r="P3020" s="166"/>
      <c r="Q3020" s="166">
        <f t="shared" si="641"/>
        <v>7662.2455799999998</v>
      </c>
      <c r="R3020" s="71"/>
      <c r="S3020" s="71"/>
    </row>
    <row r="3021" spans="1:41" s="61" customFormat="1" ht="31.5" x14ac:dyDescent="0.25">
      <c r="A3021" s="358"/>
      <c r="B3021" s="361"/>
      <c r="C3021" s="366"/>
      <c r="D3021" s="156" t="s">
        <v>96</v>
      </c>
      <c r="E3021" s="156" t="s">
        <v>22</v>
      </c>
      <c r="F3021" s="156" t="s">
        <v>22</v>
      </c>
      <c r="G3021" s="238">
        <f>MROUND(H3021*L3021*I3021/K3021,0.0000001)</f>
        <v>4.3062873000000002</v>
      </c>
      <c r="H3021" s="158">
        <f>Лист1!K28</f>
        <v>450</v>
      </c>
      <c r="I3021" s="159">
        <f t="shared" ref="I3021" si="647">I3020</f>
        <v>0.78948599999999991</v>
      </c>
      <c r="J3021" s="160"/>
      <c r="K3021" s="161">
        <f t="shared" ref="K3021" si="648">K3020</f>
        <v>990</v>
      </c>
      <c r="L3021" s="250">
        <v>12</v>
      </c>
      <c r="M3021" s="163" t="str">
        <f>CONCATENATE(H3021," ",F3021,"(обрабатываемая площадь в мес.)","*",L3021,"мес.","*",I3021,"/",K3021,"чел/час")</f>
        <v>450 м2(обрабатываемая площадь в мес.)*12мес.*0,789486/990чел/час</v>
      </c>
      <c r="N3021" s="278">
        <f>Лист1!M28</f>
        <v>1.853</v>
      </c>
      <c r="O3021" s="280">
        <f>MROUND(N3021*G3021,0.000001)</f>
        <v>7.9795499999999997</v>
      </c>
      <c r="P3021" s="166"/>
      <c r="Q3021" s="166">
        <f t="shared" si="641"/>
        <v>7899.7545</v>
      </c>
      <c r="R3021" s="71"/>
      <c r="S3021" s="71"/>
    </row>
    <row r="3022" spans="1:41" s="135" customFormat="1" ht="31.5" x14ac:dyDescent="0.25">
      <c r="A3022" s="358"/>
      <c r="B3022" s="361"/>
      <c r="C3022" s="366"/>
      <c r="D3022" s="156" t="s">
        <v>385</v>
      </c>
      <c r="E3022" s="156" t="s">
        <v>22</v>
      </c>
      <c r="F3022" s="156" t="s">
        <v>22</v>
      </c>
      <c r="G3022" s="238">
        <f>MROUND(H3022*L3022*I3022/K3022,0.000001)</f>
        <v>13.397338</v>
      </c>
      <c r="H3022" s="242">
        <f>Лист1!K29</f>
        <v>700</v>
      </c>
      <c r="I3022" s="244">
        <f>I3020</f>
        <v>0.78948599999999991</v>
      </c>
      <c r="J3022" s="160"/>
      <c r="K3022" s="161">
        <f>K3021</f>
        <v>990</v>
      </c>
      <c r="L3022" s="162">
        <v>24</v>
      </c>
      <c r="M3022" s="163" t="str">
        <f>CONCATENATE(H3022," ",F3022,"(обрабатываемая площадь в год)","*",L3022," раза в год.","*",I3022,"/",K3022,"чел.")</f>
        <v>700 м2(обрабатываемая площадь в год)*24 раза в год.*0,789486/990чел.</v>
      </c>
      <c r="N3022" s="164">
        <f>Лист1!M29</f>
        <v>0.27250000000000002</v>
      </c>
      <c r="O3022" s="165">
        <f>MROUND(G3022*N3022,0.000001)</f>
        <v>3.6507749999999999</v>
      </c>
      <c r="P3022" s="166"/>
      <c r="Q3022" s="166">
        <f t="shared" si="641"/>
        <v>3614.2672499999999</v>
      </c>
      <c r="R3022" s="71"/>
      <c r="S3022" s="61"/>
      <c r="T3022" s="61"/>
      <c r="U3022" s="61"/>
      <c r="V3022" s="61"/>
      <c r="W3022" s="61"/>
      <c r="X3022" s="61"/>
      <c r="Y3022" s="61"/>
      <c r="Z3022" s="61"/>
      <c r="AA3022" s="61"/>
      <c r="AB3022" s="61"/>
      <c r="AC3022" s="61"/>
      <c r="AD3022" s="61"/>
      <c r="AE3022" s="61"/>
      <c r="AF3022" s="61"/>
      <c r="AG3022" s="61"/>
      <c r="AH3022" s="61"/>
      <c r="AI3022" s="61"/>
      <c r="AJ3022" s="61"/>
      <c r="AK3022" s="61"/>
      <c r="AL3022" s="61"/>
      <c r="AM3022" s="61"/>
      <c r="AN3022" s="61"/>
      <c r="AO3022" s="61"/>
    </row>
    <row r="3023" spans="1:41" s="135" customFormat="1" ht="31.5" x14ac:dyDescent="0.25">
      <c r="A3023" s="358"/>
      <c r="B3023" s="361"/>
      <c r="C3023" s="366"/>
      <c r="D3023" s="156" t="s">
        <v>394</v>
      </c>
      <c r="E3023" s="156" t="s">
        <v>22</v>
      </c>
      <c r="F3023" s="156" t="s">
        <v>22</v>
      </c>
      <c r="G3023" s="238">
        <f>MROUND(H3023*L3023*I3023/K3023,0.000001)</f>
        <v>4.3062870000000002</v>
      </c>
      <c r="H3023" s="243">
        <f>Лист1!K30</f>
        <v>450</v>
      </c>
      <c r="I3023" s="244">
        <f>I3020</f>
        <v>0.78948599999999991</v>
      </c>
      <c r="J3023" s="160"/>
      <c r="K3023" s="161">
        <f>K3022</f>
        <v>990</v>
      </c>
      <c r="L3023" s="162">
        <v>12</v>
      </c>
      <c r="M3023" s="163" t="str">
        <f>CONCATENATE(H3023," ",F3023,"(обрабатываемая площадь в мес.)","*",L3023,"мес.","*",I3023,"/",K3023,"чел.")</f>
        <v>450 м2(обрабатываемая площадь в мес.)*12мес.*0,789486/990чел.</v>
      </c>
      <c r="N3023" s="164">
        <f>Лист1!M30</f>
        <v>4.5780000000000003</v>
      </c>
      <c r="O3023" s="165">
        <f>MROUND(G3023*N3023,0.000001)</f>
        <v>19.714181999999997</v>
      </c>
      <c r="P3023" s="166"/>
      <c r="Q3023" s="166">
        <f t="shared" si="641"/>
        <v>19517.040179999996</v>
      </c>
      <c r="R3023" s="71"/>
      <c r="S3023" s="61"/>
      <c r="T3023" s="61"/>
      <c r="U3023" s="61"/>
      <c r="V3023" s="61"/>
      <c r="W3023" s="61"/>
      <c r="X3023" s="61"/>
      <c r="Y3023" s="61"/>
      <c r="Z3023" s="61"/>
      <c r="AA3023" s="61"/>
      <c r="AB3023" s="61"/>
      <c r="AC3023" s="61"/>
      <c r="AD3023" s="61"/>
      <c r="AE3023" s="61"/>
      <c r="AF3023" s="61"/>
      <c r="AG3023" s="61"/>
      <c r="AH3023" s="61"/>
      <c r="AI3023" s="61"/>
      <c r="AJ3023" s="61"/>
      <c r="AK3023" s="61"/>
      <c r="AL3023" s="61"/>
      <c r="AM3023" s="61"/>
      <c r="AN3023" s="61"/>
      <c r="AO3023" s="61"/>
    </row>
    <row r="3024" spans="1:41" s="135" customFormat="1" ht="31.5" x14ac:dyDescent="0.25">
      <c r="A3024" s="358"/>
      <c r="B3024" s="361"/>
      <c r="C3024" s="366"/>
      <c r="D3024" s="156" t="s">
        <v>395</v>
      </c>
      <c r="E3024" s="156" t="s">
        <v>98</v>
      </c>
      <c r="F3024" s="156" t="s">
        <v>98</v>
      </c>
      <c r="G3024" s="238">
        <f>MROUND(H3024*L3024*I3024/K3024,0.000001)</f>
        <v>3.9899999999999999E-4</v>
      </c>
      <c r="H3024" s="242">
        <f>Лист1!K32</f>
        <v>0.5</v>
      </c>
      <c r="I3024" s="244">
        <f>I3020</f>
        <v>0.78948599999999991</v>
      </c>
      <c r="J3024" s="160"/>
      <c r="K3024" s="161">
        <f>K3020</f>
        <v>990</v>
      </c>
      <c r="L3024" s="162">
        <v>1</v>
      </c>
      <c r="M3024" s="163" t="str">
        <f>CONCATENATE(H3024," ",F3024,"(обрабатываемая площадь в год)","*",L3024," раз в год","*",I3024,"/",K3024,"чел.")</f>
        <v>0,5 Га(обрабатываемая площадь в год)*1 раз в год*0,789486/990чел.</v>
      </c>
      <c r="N3024" s="164">
        <f>$N$57</f>
        <v>545</v>
      </c>
      <c r="O3024" s="165">
        <f>MROUND(G3024*N3024,0.000001)</f>
        <v>0.21745499999999998</v>
      </c>
      <c r="P3024" s="166"/>
      <c r="Q3024" s="166">
        <f t="shared" si="641"/>
        <v>215.28044999999997</v>
      </c>
      <c r="R3024" s="71"/>
      <c r="S3024" s="61"/>
      <c r="T3024" s="61"/>
      <c r="U3024" s="61"/>
      <c r="V3024" s="61"/>
      <c r="W3024" s="61"/>
      <c r="X3024" s="61"/>
      <c r="Y3024" s="61"/>
      <c r="Z3024" s="61"/>
      <c r="AA3024" s="61"/>
      <c r="AB3024" s="61"/>
      <c r="AC3024" s="61"/>
      <c r="AD3024" s="61"/>
      <c r="AE3024" s="61"/>
      <c r="AF3024" s="61"/>
      <c r="AG3024" s="61"/>
      <c r="AH3024" s="61"/>
      <c r="AI3024" s="61"/>
      <c r="AJ3024" s="61"/>
      <c r="AK3024" s="61"/>
      <c r="AL3024" s="61"/>
      <c r="AM3024" s="61"/>
      <c r="AN3024" s="61"/>
      <c r="AO3024" s="61"/>
    </row>
    <row r="3025" spans="1:20" s="61" customFormat="1" ht="31.5" x14ac:dyDescent="0.25">
      <c r="A3025" s="358"/>
      <c r="B3025" s="361"/>
      <c r="C3025" s="367"/>
      <c r="D3025" s="156" t="s">
        <v>97</v>
      </c>
      <c r="E3025" s="156" t="s">
        <v>363</v>
      </c>
      <c r="F3025" s="156" t="s">
        <v>363</v>
      </c>
      <c r="G3025" s="238">
        <f>MROUND(H3025*L3025*I3025/K3025,0.0000001)</f>
        <v>3.9869999999999999E-4</v>
      </c>
      <c r="H3025" s="158">
        <f>Лист1!K31</f>
        <v>0.5</v>
      </c>
      <c r="I3025" s="159">
        <f>I3021</f>
        <v>0.78948599999999991</v>
      </c>
      <c r="J3025" s="160"/>
      <c r="K3025" s="161">
        <f>K3021</f>
        <v>990</v>
      </c>
      <c r="L3025" s="250">
        <v>1</v>
      </c>
      <c r="M3025" s="163" t="str">
        <f>CONCATENATE(H3025," ",F3025,"(обрабатываемая площадь в мес.)","*",L3025,"мес.","*",I3025,"/",K3025,"чел")</f>
        <v>0,5 га(обрабатываемая площадь в мес.)*1мес.*0,789486/990чел</v>
      </c>
      <c r="N3025" s="278">
        <f>Лист1!M31</f>
        <v>2965.98</v>
      </c>
      <c r="O3025" s="280">
        <f>MROUND(N3025*G3025,0.000001)</f>
        <v>1.182536</v>
      </c>
      <c r="P3025" s="166"/>
      <c r="Q3025" s="166">
        <f t="shared" si="641"/>
        <v>1170.71064</v>
      </c>
      <c r="R3025" s="71"/>
    </row>
    <row r="3026" spans="1:20" s="62" customFormat="1" x14ac:dyDescent="0.25">
      <c r="A3026" s="358"/>
      <c r="B3026" s="361"/>
      <c r="C3026" s="218" t="s">
        <v>294</v>
      </c>
      <c r="D3026" s="240"/>
      <c r="E3026" s="240"/>
      <c r="F3026" s="240"/>
      <c r="G3026" s="227"/>
      <c r="H3026" s="241"/>
      <c r="I3026" s="206"/>
      <c r="J3026" s="228"/>
      <c r="K3026" s="207"/>
      <c r="L3026" s="257"/>
      <c r="M3026" s="209"/>
      <c r="N3026" s="281"/>
      <c r="O3026" s="279">
        <f>SUM(O3020:O3025)</f>
        <v>40.484139999999996</v>
      </c>
      <c r="P3026" s="267"/>
      <c r="Q3026" s="166"/>
      <c r="R3026" s="71"/>
    </row>
    <row r="3027" spans="1:20" s="61" customFormat="1" ht="78.75" x14ac:dyDescent="0.25">
      <c r="A3027" s="358"/>
      <c r="B3027" s="361"/>
      <c r="C3027" s="366"/>
      <c r="D3027" s="156" t="s">
        <v>250</v>
      </c>
      <c r="E3027" s="156" t="s">
        <v>251</v>
      </c>
      <c r="F3027" s="156" t="s">
        <v>60</v>
      </c>
      <c r="G3027" s="238">
        <f>MROUND(H3027*L3027*I3027/K3027,0.00000001)</f>
        <v>9.5695299999999997E-3</v>
      </c>
      <c r="H3027" s="158">
        <v>1</v>
      </c>
      <c r="I3027" s="159">
        <f>I3025</f>
        <v>0.78948599999999991</v>
      </c>
      <c r="J3027" s="160"/>
      <c r="K3027" s="161">
        <f>K3025</f>
        <v>990</v>
      </c>
      <c r="L3027" s="250">
        <v>12</v>
      </c>
      <c r="M3027" s="163" t="str">
        <f t="shared" ref="M3027:M3034" si="649">CONCATENATE(H3027," ",F3027,"*",I3027,"/",K3027,"чел/час")</f>
        <v>1 шт.*0,789486/990чел/час</v>
      </c>
      <c r="N3027" s="278">
        <f>Лист1!M51</f>
        <v>4360</v>
      </c>
      <c r="O3027" s="280">
        <f>MROUND(N3027*G3027,0.000001)</f>
        <v>41.723151000000001</v>
      </c>
      <c r="P3027" s="166"/>
      <c r="Q3027" s="166">
        <f t="shared" si="641"/>
        <v>41305.91949</v>
      </c>
      <c r="R3027" s="71"/>
      <c r="T3027" s="71"/>
    </row>
    <row r="3028" spans="1:20" s="61" customFormat="1" ht="47.25" x14ac:dyDescent="0.25">
      <c r="A3028" s="358"/>
      <c r="B3028" s="361"/>
      <c r="C3028" s="366"/>
      <c r="D3028" s="156" t="s">
        <v>401</v>
      </c>
      <c r="E3028" s="156" t="s">
        <v>60</v>
      </c>
      <c r="F3028" s="156" t="s">
        <v>402</v>
      </c>
      <c r="G3028" s="238">
        <f>MROUND(H3028*L3028*I3028/K3028,0.000001)</f>
        <v>0</v>
      </c>
      <c r="H3028" s="158"/>
      <c r="I3028" s="159">
        <f>I3027</f>
        <v>0.78948599999999991</v>
      </c>
      <c r="J3028" s="160"/>
      <c r="K3028" s="161">
        <f>K3027</f>
        <v>990</v>
      </c>
      <c r="L3028" s="250">
        <v>1</v>
      </c>
      <c r="M3028" s="163"/>
      <c r="N3028" s="278">
        <f>Лист1!M41</f>
        <v>0</v>
      </c>
      <c r="O3028" s="280">
        <f>MROUND(N3028*G3028,0.000001)</f>
        <v>0</v>
      </c>
      <c r="P3028" s="166"/>
      <c r="Q3028" s="166">
        <f t="shared" si="641"/>
        <v>0</v>
      </c>
      <c r="R3028" s="71"/>
      <c r="T3028" s="71"/>
    </row>
    <row r="3029" spans="1:20" s="61" customFormat="1" ht="31.5" x14ac:dyDescent="0.25">
      <c r="A3029" s="358"/>
      <c r="B3029" s="361"/>
      <c r="C3029" s="366"/>
      <c r="D3029" s="156" t="s">
        <v>35</v>
      </c>
      <c r="E3029" s="156" t="s">
        <v>102</v>
      </c>
      <c r="F3029" s="156" t="s">
        <v>252</v>
      </c>
      <c r="G3029" s="238">
        <f>MROUND(H3029*L3029*I3029/K3029,0.00000001)</f>
        <v>0</v>
      </c>
      <c r="H3029" s="158"/>
      <c r="I3029" s="159">
        <f>I3028</f>
        <v>0.78948599999999991</v>
      </c>
      <c r="J3029" s="160"/>
      <c r="K3029" s="161">
        <f>K3028</f>
        <v>990</v>
      </c>
      <c r="L3029" s="250">
        <v>1</v>
      </c>
      <c r="M3029" s="163"/>
      <c r="N3029" s="278">
        <f>Лист1!M45</f>
        <v>0</v>
      </c>
      <c r="O3029" s="280">
        <f>MROUND(N3029*G3029,0.000001)</f>
        <v>0</v>
      </c>
      <c r="P3029" s="166"/>
      <c r="Q3029" s="166">
        <f t="shared" si="641"/>
        <v>0</v>
      </c>
      <c r="R3029" s="71"/>
      <c r="S3029" s="71"/>
    </row>
    <row r="3030" spans="1:20" s="61" customFormat="1" ht="31.5" x14ac:dyDescent="0.25">
      <c r="A3030" s="358"/>
      <c r="B3030" s="361"/>
      <c r="C3030" s="366"/>
      <c r="D3030" s="156" t="s">
        <v>99</v>
      </c>
      <c r="E3030" s="156" t="s">
        <v>103</v>
      </c>
      <c r="F3030" s="156" t="s">
        <v>225</v>
      </c>
      <c r="G3030" s="238">
        <f>MROUND(H3030*L3030*I3030/K3030,0.00000001)</f>
        <v>0</v>
      </c>
      <c r="H3030" s="158"/>
      <c r="I3030" s="159">
        <f>I3029</f>
        <v>0.78948599999999991</v>
      </c>
      <c r="J3030" s="160"/>
      <c r="K3030" s="161">
        <f>K3029</f>
        <v>990</v>
      </c>
      <c r="L3030" s="250">
        <v>1</v>
      </c>
      <c r="M3030" s="163"/>
      <c r="N3030" s="164">
        <f>Лист1!M48</f>
        <v>0</v>
      </c>
      <c r="O3030" s="165">
        <f>MROUND(G3030*N3030,0.000001)</f>
        <v>0</v>
      </c>
      <c r="P3030" s="166"/>
      <c r="Q3030" s="166">
        <f t="shared" si="641"/>
        <v>0</v>
      </c>
      <c r="R3030" s="71"/>
    </row>
    <row r="3031" spans="1:20" s="61" customFormat="1" x14ac:dyDescent="0.25">
      <c r="A3031" s="358"/>
      <c r="B3031" s="361"/>
      <c r="C3031" s="366"/>
      <c r="D3031" s="156" t="s">
        <v>27</v>
      </c>
      <c r="E3031" s="156" t="s">
        <v>28</v>
      </c>
      <c r="F3031" s="156" t="s">
        <v>28</v>
      </c>
      <c r="G3031" s="238">
        <f>MROUND(H3031*L3031*I3031/K3031,0.000001)</f>
        <v>0</v>
      </c>
      <c r="H3031" s="160"/>
      <c r="I3031" s="159">
        <f>I3029</f>
        <v>0.78948599999999991</v>
      </c>
      <c r="J3031" s="160"/>
      <c r="K3031" s="161">
        <f>K3029</f>
        <v>990</v>
      </c>
      <c r="L3031" s="250">
        <v>1</v>
      </c>
      <c r="M3031" s="163"/>
      <c r="N3031" s="278">
        <f>Лист1!M49</f>
        <v>0</v>
      </c>
      <c r="O3031" s="280">
        <f>MROUND(N3031*G3031,0.000001)</f>
        <v>0</v>
      </c>
      <c r="P3031" s="166"/>
      <c r="Q3031" s="166">
        <f t="shared" si="641"/>
        <v>0</v>
      </c>
      <c r="R3031" s="71"/>
      <c r="S3031" s="71"/>
    </row>
    <row r="3032" spans="1:20" s="61" customFormat="1" ht="31.5" x14ac:dyDescent="0.25">
      <c r="A3032" s="358"/>
      <c r="B3032" s="361"/>
      <c r="C3032" s="367"/>
      <c r="D3032" s="156" t="s">
        <v>104</v>
      </c>
      <c r="E3032" s="156" t="s">
        <v>105</v>
      </c>
      <c r="F3032" s="156" t="s">
        <v>226</v>
      </c>
      <c r="G3032" s="238">
        <f>MROUND(H3032*L3032*I3032/K3032,0.00000001)</f>
        <v>0</v>
      </c>
      <c r="H3032" s="160"/>
      <c r="I3032" s="159">
        <f>I3031</f>
        <v>0.78948599999999991</v>
      </c>
      <c r="J3032" s="160"/>
      <c r="K3032" s="161">
        <f>K3031</f>
        <v>990</v>
      </c>
      <c r="L3032" s="250">
        <v>1</v>
      </c>
      <c r="M3032" s="163"/>
      <c r="N3032" s="278">
        <f>Лист1!M50</f>
        <v>0</v>
      </c>
      <c r="O3032" s="280">
        <f>MROUND(N3032*G3032,0.000001)</f>
        <v>0</v>
      </c>
      <c r="P3032" s="166"/>
      <c r="Q3032" s="166">
        <f t="shared" si="641"/>
        <v>0</v>
      </c>
      <c r="R3032" s="71"/>
      <c r="S3032" s="71"/>
    </row>
    <row r="3033" spans="1:20" s="62" customFormat="1" x14ac:dyDescent="0.25">
      <c r="A3033" s="358"/>
      <c r="B3033" s="361"/>
      <c r="C3033" s="249" t="s">
        <v>292</v>
      </c>
      <c r="D3033" s="240"/>
      <c r="E3033" s="240"/>
      <c r="F3033" s="240"/>
      <c r="G3033" s="227"/>
      <c r="H3033" s="228"/>
      <c r="I3033" s="206"/>
      <c r="J3033" s="228"/>
      <c r="K3033" s="207"/>
      <c r="L3033" s="257"/>
      <c r="M3033" s="209"/>
      <c r="N3033" s="281"/>
      <c r="O3033" s="279">
        <f>SUM(O3027:O3032)</f>
        <v>41.723151000000001</v>
      </c>
      <c r="P3033" s="267"/>
      <c r="Q3033" s="166"/>
      <c r="R3033" s="71"/>
    </row>
    <row r="3034" spans="1:20" s="61" customFormat="1" ht="31.5" x14ac:dyDescent="0.25">
      <c r="A3034" s="358"/>
      <c r="B3034" s="361"/>
      <c r="C3034" s="221" t="s">
        <v>79</v>
      </c>
      <c r="D3034" s="156" t="s">
        <v>37</v>
      </c>
      <c r="E3034" s="156" t="s">
        <v>61</v>
      </c>
      <c r="F3034" s="156" t="s">
        <v>254</v>
      </c>
      <c r="G3034" s="238">
        <f>MROUND(H3034*L3034*I3034/K3034,0.00000001)</f>
        <v>7.9746000000000005E-4</v>
      </c>
      <c r="H3034" s="158">
        <v>1</v>
      </c>
      <c r="I3034" s="159">
        <f>I3032</f>
        <v>0.78948599999999991</v>
      </c>
      <c r="J3034" s="160"/>
      <c r="K3034" s="161">
        <f>K3032</f>
        <v>990</v>
      </c>
      <c r="L3034" s="250">
        <v>1</v>
      </c>
      <c r="M3034" s="163" t="str">
        <f t="shared" si="649"/>
        <v>1 автобус*0,789486/990чел/час</v>
      </c>
      <c r="N3034" s="278">
        <f>Лист1!J52</f>
        <v>23352.160000000003</v>
      </c>
      <c r="O3034" s="280">
        <f>MROUND(N3034*G3034,0.000001)</f>
        <v>18.622413999999999</v>
      </c>
      <c r="P3034" s="166"/>
      <c r="Q3034" s="166">
        <f t="shared" si="641"/>
        <v>18436.189859999999</v>
      </c>
      <c r="R3034" s="71"/>
      <c r="S3034" s="71"/>
    </row>
    <row r="3035" spans="1:20" s="61" customFormat="1" ht="31.5" x14ac:dyDescent="0.25">
      <c r="A3035" s="358"/>
      <c r="B3035" s="361"/>
      <c r="C3035" s="221"/>
      <c r="D3035" s="156" t="s">
        <v>262</v>
      </c>
      <c r="E3035" s="156" t="s">
        <v>440</v>
      </c>
      <c r="F3035" s="156" t="s">
        <v>441</v>
      </c>
      <c r="G3035" s="238">
        <f>MROUND(H3035*L3035*I3035/K3035,0.000001)</f>
        <v>3.1899999999999997E-3</v>
      </c>
      <c r="H3035" s="158">
        <f>Лист1!K53</f>
        <v>1</v>
      </c>
      <c r="I3035" s="159">
        <f>I3034</f>
        <v>0.78948599999999991</v>
      </c>
      <c r="J3035" s="160"/>
      <c r="K3035" s="161">
        <f>K3034</f>
        <v>990</v>
      </c>
      <c r="L3035" s="250">
        <v>4</v>
      </c>
      <c r="M3035" s="163" t="str">
        <f>CONCATENATE(H3035," ",F3035,"*",L3035,"раза в год","*",I3035,"/",K3035,"чел/час")</f>
        <v>1 услуга*4раза в год*0,789486/990чел/час</v>
      </c>
      <c r="N3035" s="278">
        <f>Лист1!M53</f>
        <v>24661.25</v>
      </c>
      <c r="O3035" s="280">
        <f>MROUND(N3035*G3035,0.000001)</f>
        <v>78.669387999999998</v>
      </c>
      <c r="P3035" s="166"/>
      <c r="Q3035" s="166">
        <f t="shared" si="641"/>
        <v>77882.69412</v>
      </c>
      <c r="R3035" s="71"/>
    </row>
    <row r="3036" spans="1:20" s="61" customFormat="1" x14ac:dyDescent="0.25">
      <c r="A3036" s="358"/>
      <c r="B3036" s="361"/>
      <c r="C3036" s="221"/>
      <c r="D3036" s="156" t="s">
        <v>255</v>
      </c>
      <c r="E3036" s="156" t="s">
        <v>28</v>
      </c>
      <c r="F3036" s="156" t="s">
        <v>28</v>
      </c>
      <c r="G3036" s="238">
        <f>MROUND(H3036*L3036*I3036/K3036,0.000001)</f>
        <v>4.4657999999999996E-2</v>
      </c>
      <c r="H3036" s="158">
        <v>56</v>
      </c>
      <c r="I3036" s="159">
        <f>I3034</f>
        <v>0.78948599999999991</v>
      </c>
      <c r="J3036" s="160"/>
      <c r="K3036" s="161">
        <f>K3034</f>
        <v>990</v>
      </c>
      <c r="L3036" s="250">
        <v>1</v>
      </c>
      <c r="M3036" s="163" t="str">
        <f>CONCATENATE(H3036," ",F3036,"*",L3036,"раза в год","*",I3036,"/",K3036,"чел/час")</f>
        <v>56 шт*1раза в год*0,789486/990чел/час</v>
      </c>
      <c r="N3036" s="278">
        <f>Лист1!M54</f>
        <v>743.53571428571433</v>
      </c>
      <c r="O3036" s="280">
        <f>MROUND(N3036*G3036,0.000001)</f>
        <v>33.204817999999996</v>
      </c>
      <c r="P3036" s="166"/>
      <c r="Q3036" s="166">
        <f t="shared" si="641"/>
        <v>32872.769819999994</v>
      </c>
      <c r="R3036" s="71"/>
      <c r="T3036" s="71"/>
    </row>
    <row r="3037" spans="1:20" s="62" customFormat="1" x14ac:dyDescent="0.25">
      <c r="A3037" s="358"/>
      <c r="B3037" s="361"/>
      <c r="C3037" s="218" t="s">
        <v>295</v>
      </c>
      <c r="D3037" s="240"/>
      <c r="E3037" s="240"/>
      <c r="F3037" s="240"/>
      <c r="G3037" s="227"/>
      <c r="H3037" s="241"/>
      <c r="I3037" s="206"/>
      <c r="J3037" s="228"/>
      <c r="K3037" s="207"/>
      <c r="L3037" s="257"/>
      <c r="M3037" s="209"/>
      <c r="N3037" s="281"/>
      <c r="O3037" s="279">
        <f>O3034+O3035+O3036</f>
        <v>130.49661999999998</v>
      </c>
      <c r="P3037" s="267"/>
      <c r="Q3037" s="166"/>
      <c r="R3037" s="71"/>
    </row>
    <row r="3038" spans="1:20" s="61" customFormat="1" x14ac:dyDescent="0.25">
      <c r="A3038" s="358"/>
      <c r="B3038" s="361"/>
      <c r="C3038" s="364" t="s">
        <v>80</v>
      </c>
      <c r="D3038" s="156" t="s">
        <v>38</v>
      </c>
      <c r="E3038" s="156" t="s">
        <v>57</v>
      </c>
      <c r="F3038" s="156" t="s">
        <v>228</v>
      </c>
      <c r="G3038" s="238">
        <f>MROUND(H3038*L3038*I3038/K3038,0.000001)</f>
        <v>9.5700000000000004E-3</v>
      </c>
      <c r="H3038" s="158">
        <v>1</v>
      </c>
      <c r="I3038" s="159">
        <f>I3034</f>
        <v>0.78948599999999991</v>
      </c>
      <c r="J3038" s="160"/>
      <c r="K3038" s="161">
        <f>K3034</f>
        <v>990</v>
      </c>
      <c r="L3038" s="250">
        <v>12</v>
      </c>
      <c r="M3038" s="163"/>
      <c r="N3038" s="278">
        <f>Лист1!M55</f>
        <v>0</v>
      </c>
      <c r="O3038" s="280">
        <f>MROUND(N3038*G3038,0.000001)</f>
        <v>0</v>
      </c>
      <c r="P3038" s="166"/>
      <c r="Q3038" s="166">
        <f t="shared" si="641"/>
        <v>0</v>
      </c>
      <c r="R3038" s="71"/>
      <c r="S3038" s="71"/>
    </row>
    <row r="3039" spans="1:20" s="61" customFormat="1" x14ac:dyDescent="0.25">
      <c r="A3039" s="358"/>
      <c r="B3039" s="361"/>
      <c r="C3039" s="364"/>
      <c r="D3039" s="156" t="s">
        <v>256</v>
      </c>
      <c r="E3039" s="156" t="s">
        <v>20</v>
      </c>
      <c r="F3039" s="156" t="s">
        <v>20</v>
      </c>
      <c r="G3039" s="238">
        <f>MROUND(H3039*L3039*I3039/K3039,0.00000001)</f>
        <v>1.9936519999999999E-2</v>
      </c>
      <c r="H3039" s="158">
        <f>Лист1!K72</f>
        <v>25</v>
      </c>
      <c r="I3039" s="159">
        <f>I3036</f>
        <v>0.78948599999999991</v>
      </c>
      <c r="J3039" s="160"/>
      <c r="K3039" s="161">
        <f>K3036</f>
        <v>990</v>
      </c>
      <c r="L3039" s="250">
        <v>1</v>
      </c>
      <c r="M3039" s="163" t="str">
        <f t="shared" ref="M3039:M3044" si="650">CONCATENATE(H3039," ",F3039,"*",I3039,"/",K3039,"чел/час")</f>
        <v>25 чел.*0,789486/990чел/час</v>
      </c>
      <c r="N3039" s="278">
        <f>Лист1!M72</f>
        <v>1853</v>
      </c>
      <c r="O3039" s="280">
        <f t="shared" ref="O3039:O3045" si="651">MROUND(N3039*G3039,0.000001)</f>
        <v>36.942371999999999</v>
      </c>
      <c r="P3039" s="166"/>
      <c r="Q3039" s="166">
        <f t="shared" si="641"/>
        <v>36572.948279999997</v>
      </c>
      <c r="R3039" s="71"/>
      <c r="S3039" s="71"/>
    </row>
    <row r="3040" spans="1:20" s="61" customFormat="1" ht="63" x14ac:dyDescent="0.25">
      <c r="A3040" s="358"/>
      <c r="B3040" s="361"/>
      <c r="C3040" s="364"/>
      <c r="D3040" s="156" t="s">
        <v>39</v>
      </c>
      <c r="E3040" s="156" t="s">
        <v>20</v>
      </c>
      <c r="F3040" s="156" t="s">
        <v>234</v>
      </c>
      <c r="G3040" s="238">
        <f>MROUND(H3040*L3040*I3040/K3040,0.000001)</f>
        <v>7.9699999999999997E-4</v>
      </c>
      <c r="H3040" s="158">
        <v>1</v>
      </c>
      <c r="I3040" s="159">
        <f>I3038</f>
        <v>0.78948599999999991</v>
      </c>
      <c r="J3040" s="160"/>
      <c r="K3040" s="161">
        <f>K3038</f>
        <v>990</v>
      </c>
      <c r="L3040" s="250">
        <v>1</v>
      </c>
      <c r="M3040" s="163" t="str">
        <f t="shared" si="650"/>
        <v>1 чел(заявленная потребность руководителями учреждений)*0,789486/990чел/час</v>
      </c>
      <c r="N3040" s="278">
        <f>Лист1!M62</f>
        <v>763</v>
      </c>
      <c r="O3040" s="280">
        <f t="shared" si="651"/>
        <v>0.60811099999999996</v>
      </c>
      <c r="P3040" s="166"/>
      <c r="Q3040" s="166">
        <f t="shared" si="641"/>
        <v>602.02988999999991</v>
      </c>
      <c r="R3040" s="71"/>
      <c r="T3040" s="71"/>
    </row>
    <row r="3041" spans="1:20" s="61" customFormat="1" ht="63" x14ac:dyDescent="0.25">
      <c r="A3041" s="358"/>
      <c r="B3041" s="361"/>
      <c r="C3041" s="364"/>
      <c r="D3041" s="156" t="s">
        <v>40</v>
      </c>
      <c r="E3041" s="156" t="s">
        <v>20</v>
      </c>
      <c r="F3041" s="156" t="s">
        <v>234</v>
      </c>
      <c r="G3041" s="238">
        <f>MROUND(H3041*L3041*I3041/K3041,0.000001)</f>
        <v>7.9699999999999997E-4</v>
      </c>
      <c r="H3041" s="158">
        <v>1</v>
      </c>
      <c r="I3041" s="159">
        <f>I3039</f>
        <v>0.78948599999999991</v>
      </c>
      <c r="J3041" s="160"/>
      <c r="K3041" s="161">
        <f>K3039</f>
        <v>990</v>
      </c>
      <c r="L3041" s="250">
        <v>1</v>
      </c>
      <c r="M3041" s="163" t="str">
        <f t="shared" si="650"/>
        <v>1 чел(заявленная потребность руководителями учреждений)*0,789486/990чел/час</v>
      </c>
      <c r="N3041" s="278">
        <f>Лист1!M63</f>
        <v>1635</v>
      </c>
      <c r="O3041" s="280">
        <f>MROUND(N3041*G3041,0.000001)</f>
        <v>1.3030949999999999</v>
      </c>
      <c r="P3041" s="166"/>
      <c r="Q3041" s="166">
        <f t="shared" si="641"/>
        <v>1290.06405</v>
      </c>
      <c r="R3041" s="71"/>
      <c r="T3041" s="71"/>
    </row>
    <row r="3042" spans="1:20" s="61" customFormat="1" ht="63" x14ac:dyDescent="0.25">
      <c r="A3042" s="358"/>
      <c r="B3042" s="361"/>
      <c r="C3042" s="364"/>
      <c r="D3042" s="156" t="s">
        <v>100</v>
      </c>
      <c r="E3042" s="156" t="s">
        <v>20</v>
      </c>
      <c r="F3042" s="156" t="s">
        <v>234</v>
      </c>
      <c r="G3042" s="238">
        <f>MROUND(H3042*L3042*I3042/K3042,0.00000001)</f>
        <v>7.9746000000000005E-4</v>
      </c>
      <c r="H3042" s="158">
        <v>1</v>
      </c>
      <c r="I3042" s="159">
        <f>I3040</f>
        <v>0.78948599999999991</v>
      </c>
      <c r="J3042" s="160"/>
      <c r="K3042" s="161">
        <f>K3040</f>
        <v>990</v>
      </c>
      <c r="L3042" s="250">
        <v>1</v>
      </c>
      <c r="M3042" s="163" t="str">
        <f t="shared" si="650"/>
        <v>1 чел(заявленная потребность руководителями учреждений)*0,789486/990чел/час</v>
      </c>
      <c r="N3042" s="278">
        <f>Лист1!M64</f>
        <v>3488</v>
      </c>
      <c r="O3042" s="280">
        <f>MROUND(N3042*G3042,0.000001)</f>
        <v>2.7815399999999997</v>
      </c>
      <c r="P3042" s="166"/>
      <c r="Q3042" s="166">
        <f t="shared" si="641"/>
        <v>2753.7245999999996</v>
      </c>
      <c r="R3042" s="71"/>
      <c r="T3042" s="71"/>
    </row>
    <row r="3043" spans="1:20" s="61" customFormat="1" ht="110.25" x14ac:dyDescent="0.25">
      <c r="A3043" s="358"/>
      <c r="B3043" s="361"/>
      <c r="C3043" s="364"/>
      <c r="D3043" s="156" t="s">
        <v>235</v>
      </c>
      <c r="E3043" s="156" t="s">
        <v>50</v>
      </c>
      <c r="F3043" s="156" t="s">
        <v>230</v>
      </c>
      <c r="G3043" s="238">
        <f>MROUND(H3043*L3043*I3043/K3043,0.0000001)</f>
        <v>7.9749999999999992E-4</v>
      </c>
      <c r="H3043" s="158">
        <v>1</v>
      </c>
      <c r="I3043" s="159">
        <f>I3039</f>
        <v>0.78948599999999991</v>
      </c>
      <c r="J3043" s="160"/>
      <c r="K3043" s="161">
        <f>K3039</f>
        <v>990</v>
      </c>
      <c r="L3043" s="250">
        <v>1</v>
      </c>
      <c r="M3043" s="163" t="str">
        <f t="shared" si="650"/>
        <v>1 отчетов*0,789486/990чел/час</v>
      </c>
      <c r="N3043" s="278">
        <f>Лист1!M65</f>
        <v>6540</v>
      </c>
      <c r="O3043" s="280">
        <f t="shared" si="651"/>
        <v>5.2156500000000001</v>
      </c>
      <c r="P3043" s="166"/>
      <c r="Q3043" s="166">
        <f t="shared" si="641"/>
        <v>5163.4935000000005</v>
      </c>
      <c r="R3043" s="71"/>
      <c r="S3043" s="71"/>
    </row>
    <row r="3044" spans="1:20" s="61" customFormat="1" ht="63" x14ac:dyDescent="0.25">
      <c r="A3044" s="358"/>
      <c r="B3044" s="361"/>
      <c r="C3044" s="364"/>
      <c r="D3044" s="156" t="s">
        <v>42</v>
      </c>
      <c r="E3044" s="156" t="s">
        <v>51</v>
      </c>
      <c r="F3044" s="156" t="s">
        <v>407</v>
      </c>
      <c r="G3044" s="238">
        <f>MROUND(H3044*L3044*I3044/K3044,0.000001)</f>
        <v>4.7850000000000002E-3</v>
      </c>
      <c r="H3044" s="158">
        <f>Лист1!K69</f>
        <v>6</v>
      </c>
      <c r="I3044" s="159">
        <f t="shared" ref="I3044:I3050" si="652">I3043</f>
        <v>0.78948599999999991</v>
      </c>
      <c r="J3044" s="160"/>
      <c r="K3044" s="161">
        <f t="shared" ref="K3044:K3050" si="653">K3043</f>
        <v>990</v>
      </c>
      <c r="L3044" s="250">
        <v>1</v>
      </c>
      <c r="M3044" s="163" t="str">
        <f t="shared" si="650"/>
        <v>6 ед (заявленная потребность руководителями учреждений)*0,789486/990чел/час</v>
      </c>
      <c r="N3044" s="278">
        <f>Лист1!M69</f>
        <v>1090</v>
      </c>
      <c r="O3044" s="280">
        <f t="shared" si="651"/>
        <v>5.2156500000000001</v>
      </c>
      <c r="P3044" s="166"/>
      <c r="Q3044" s="166">
        <f t="shared" si="641"/>
        <v>5163.4935000000005</v>
      </c>
      <c r="R3044" s="71"/>
      <c r="S3044" s="71"/>
    </row>
    <row r="3045" spans="1:20" s="61" customFormat="1" ht="31.5" x14ac:dyDescent="0.25">
      <c r="A3045" s="358"/>
      <c r="B3045" s="361"/>
      <c r="C3045" s="364"/>
      <c r="D3045" s="156" t="s">
        <v>263</v>
      </c>
      <c r="E3045" s="156" t="s">
        <v>264</v>
      </c>
      <c r="F3045" s="156" t="s">
        <v>265</v>
      </c>
      <c r="G3045" s="238">
        <f>MROUND(H3045*L3045*I3045/K3045,0.000001)</f>
        <v>9.5700000000000004E-3</v>
      </c>
      <c r="H3045" s="158">
        <v>1</v>
      </c>
      <c r="I3045" s="159">
        <f t="shared" si="652"/>
        <v>0.78948599999999991</v>
      </c>
      <c r="J3045" s="160"/>
      <c r="K3045" s="161">
        <f t="shared" si="653"/>
        <v>990</v>
      </c>
      <c r="L3045" s="250">
        <v>12</v>
      </c>
      <c r="M3045" s="163" t="str">
        <f>CONCATENATE(H3045," ",F3045,"*",L3045,"мес.","*",I3045,"/",K3045,"чел/час")</f>
        <v>1 мойка*12мес.*0,789486/990чел/час</v>
      </c>
      <c r="N3045" s="278">
        <f>Лист1!M57</f>
        <v>545</v>
      </c>
      <c r="O3045" s="280">
        <f t="shared" si="651"/>
        <v>5.2156500000000001</v>
      </c>
      <c r="P3045" s="166"/>
      <c r="Q3045" s="166">
        <f t="shared" si="641"/>
        <v>5163.4935000000005</v>
      </c>
      <c r="R3045" s="71"/>
    </row>
    <row r="3046" spans="1:20" s="61" customFormat="1" ht="31.5" x14ac:dyDescent="0.25">
      <c r="A3046" s="358"/>
      <c r="B3046" s="361"/>
      <c r="C3046" s="364"/>
      <c r="D3046" s="156" t="s">
        <v>266</v>
      </c>
      <c r="E3046" s="156" t="s">
        <v>267</v>
      </c>
      <c r="F3046" s="156" t="s">
        <v>268</v>
      </c>
      <c r="G3046" s="238">
        <f>MROUND(H3046*L3046*I3046/K3046,0.000001)</f>
        <v>0.19139099999999998</v>
      </c>
      <c r="H3046" s="158">
        <v>20</v>
      </c>
      <c r="I3046" s="159">
        <f t="shared" si="652"/>
        <v>0.78948599999999991</v>
      </c>
      <c r="J3046" s="160"/>
      <c r="K3046" s="161">
        <f t="shared" si="653"/>
        <v>990</v>
      </c>
      <c r="L3046" s="250">
        <v>12</v>
      </c>
      <c r="M3046" s="163" t="str">
        <f>CONCATENATE(H3046," ",F3046,"*",L3046,"мес.","*",I3046,"/",K3046,"чел/час")</f>
        <v>20 комплектов в мес.*12мес.*0,789486/990чел/час</v>
      </c>
      <c r="N3046" s="278">
        <f>Лист1!M58</f>
        <v>490.5</v>
      </c>
      <c r="O3046" s="280">
        <f t="shared" ref="O3046:O3054" si="654">MROUND(N3046*G3046,0.000001)</f>
        <v>93.877285000000001</v>
      </c>
      <c r="P3046" s="166"/>
      <c r="Q3046" s="166">
        <f t="shared" si="641"/>
        <v>92938.512149999995</v>
      </c>
      <c r="R3046" s="71"/>
    </row>
    <row r="3047" spans="1:20" s="61" customFormat="1" ht="47.25" x14ac:dyDescent="0.25">
      <c r="A3047" s="358"/>
      <c r="B3047" s="361"/>
      <c r="C3047" s="364"/>
      <c r="D3047" s="156" t="s">
        <v>269</v>
      </c>
      <c r="E3047" s="156" t="s">
        <v>20</v>
      </c>
      <c r="F3047" s="156" t="s">
        <v>20</v>
      </c>
      <c r="G3047" s="238">
        <f>MROUND(H3047*L3047*I3047/K3047,0.00000001)</f>
        <v>3.9873E-3</v>
      </c>
      <c r="H3047" s="158">
        <f>Лист1!K59</f>
        <v>5</v>
      </c>
      <c r="I3047" s="159">
        <f t="shared" si="652"/>
        <v>0.78948599999999991</v>
      </c>
      <c r="J3047" s="160"/>
      <c r="K3047" s="161">
        <f t="shared" si="653"/>
        <v>990</v>
      </c>
      <c r="L3047" s="250">
        <v>1</v>
      </c>
      <c r="M3047" s="163" t="str">
        <f>CONCATENATE(H3047," ",F3047,"*",I3047,"/",K3047,"чел/час")</f>
        <v>5 чел.*0,789486/990чел/час</v>
      </c>
      <c r="N3047" s="278">
        <f>Лист1!M59</f>
        <v>17576.25</v>
      </c>
      <c r="O3047" s="280">
        <f t="shared" si="654"/>
        <v>70.08178199999999</v>
      </c>
      <c r="P3047" s="166"/>
      <c r="Q3047" s="166">
        <f t="shared" si="641"/>
        <v>69380.964179999995</v>
      </c>
      <c r="R3047" s="71"/>
    </row>
    <row r="3048" spans="1:20" s="61" customFormat="1" ht="31.5" x14ac:dyDescent="0.25">
      <c r="A3048" s="358"/>
      <c r="B3048" s="361"/>
      <c r="C3048" s="364"/>
      <c r="D3048" s="156" t="s">
        <v>376</v>
      </c>
      <c r="E3048" s="156" t="s">
        <v>55</v>
      </c>
      <c r="F3048" s="156" t="s">
        <v>55</v>
      </c>
      <c r="G3048" s="238">
        <f>MROUND(H3048*L3048*I3048/K3048,0.00000001)</f>
        <v>9.5695299999999997E-3</v>
      </c>
      <c r="H3048" s="158">
        <v>1</v>
      </c>
      <c r="I3048" s="159">
        <f t="shared" si="652"/>
        <v>0.78948599999999991</v>
      </c>
      <c r="J3048" s="160"/>
      <c r="K3048" s="161">
        <f t="shared" si="653"/>
        <v>990</v>
      </c>
      <c r="L3048" s="250">
        <v>12</v>
      </c>
      <c r="M3048" s="163" t="str">
        <f>CONCATENATE(H3048," ",F3048,"*",L3048,"мес.","*",I3048,"/",K3048,"чел/час")</f>
        <v>1 система*12мес.*0,789486/990чел/час</v>
      </c>
      <c r="N3048" s="278">
        <f>Лист1!M66</f>
        <v>17713.59</v>
      </c>
      <c r="O3048" s="280">
        <f t="shared" si="654"/>
        <v>169.51073099999999</v>
      </c>
      <c r="P3048" s="166"/>
      <c r="Q3048" s="166">
        <f t="shared" si="641"/>
        <v>167815.62368999998</v>
      </c>
      <c r="R3048" s="71"/>
    </row>
    <row r="3049" spans="1:20" s="61" customFormat="1" ht="31.5" x14ac:dyDescent="0.25">
      <c r="A3049" s="358"/>
      <c r="B3049" s="361"/>
      <c r="C3049" s="364"/>
      <c r="D3049" s="156" t="s">
        <v>270</v>
      </c>
      <c r="E3049" s="156" t="s">
        <v>60</v>
      </c>
      <c r="F3049" s="156" t="s">
        <v>60</v>
      </c>
      <c r="G3049" s="238">
        <f>MROUND(H3049*L3049*I3049/K3049,0.000001)</f>
        <v>1.3557E-2</v>
      </c>
      <c r="H3049" s="158">
        <f>Лист1!K68</f>
        <v>17</v>
      </c>
      <c r="I3049" s="159">
        <f t="shared" si="652"/>
        <v>0.78948599999999991</v>
      </c>
      <c r="J3049" s="160"/>
      <c r="K3049" s="161">
        <f t="shared" si="653"/>
        <v>990</v>
      </c>
      <c r="L3049" s="250">
        <v>1</v>
      </c>
      <c r="M3049" s="163" t="str">
        <f>CONCATENATE(H3049," ",F3049,"*",I3049,"/",K3049,"чел/час")</f>
        <v>17 шт.*0,789486/990чел/час</v>
      </c>
      <c r="N3049" s="278">
        <f>Лист1!M68</f>
        <v>7935.2000000000016</v>
      </c>
      <c r="O3049" s="280">
        <f t="shared" si="654"/>
        <v>107.577506</v>
      </c>
      <c r="P3049" s="166"/>
      <c r="Q3049" s="166">
        <f t="shared" si="641"/>
        <v>106501.73093999999</v>
      </c>
      <c r="R3049" s="71"/>
    </row>
    <row r="3050" spans="1:20" s="61" customFormat="1" ht="31.5" x14ac:dyDescent="0.25">
      <c r="A3050" s="358"/>
      <c r="B3050" s="361"/>
      <c r="C3050" s="364"/>
      <c r="D3050" s="156" t="s">
        <v>408</v>
      </c>
      <c r="E3050" s="156" t="s">
        <v>20</v>
      </c>
      <c r="F3050" s="156" t="s">
        <v>20</v>
      </c>
      <c r="G3050" s="238">
        <f>MROUND(H3050*L3050*I3050/K3050,0.00000001)</f>
        <v>4.7847599999999999E-3</v>
      </c>
      <c r="H3050" s="158">
        <f>Лист1!K74</f>
        <v>6</v>
      </c>
      <c r="I3050" s="159">
        <f t="shared" si="652"/>
        <v>0.78948599999999991</v>
      </c>
      <c r="J3050" s="160"/>
      <c r="K3050" s="161">
        <f t="shared" si="653"/>
        <v>990</v>
      </c>
      <c r="L3050" s="250">
        <v>1</v>
      </c>
      <c r="M3050" s="163" t="str">
        <f>CONCATENATE(H3050," ",F3050,"*",I3050,"/",K3050,"чел/час")</f>
        <v>6 чел.*0,789486/990чел/час</v>
      </c>
      <c r="N3050" s="278">
        <f>Лист1!M74</f>
        <v>545</v>
      </c>
      <c r="O3050" s="280">
        <f t="shared" si="654"/>
        <v>2.607694</v>
      </c>
      <c r="P3050" s="166"/>
      <c r="Q3050" s="166">
        <f t="shared" si="641"/>
        <v>2581.61706</v>
      </c>
      <c r="R3050" s="71"/>
    </row>
    <row r="3051" spans="1:20" s="61" customFormat="1" ht="63" x14ac:dyDescent="0.25">
      <c r="A3051" s="358"/>
      <c r="B3051" s="361"/>
      <c r="C3051" s="364"/>
      <c r="D3051" s="156" t="s">
        <v>45</v>
      </c>
      <c r="E3051" s="156" t="s">
        <v>53</v>
      </c>
      <c r="F3051" s="156" t="s">
        <v>257</v>
      </c>
      <c r="G3051" s="238">
        <f>MROUND(H3051*L3051*I3051/K3051,0.000001)</f>
        <v>9.5700000000000004E-3</v>
      </c>
      <c r="H3051" s="158">
        <v>1</v>
      </c>
      <c r="I3051" s="159">
        <f>I3049</f>
        <v>0.78948599999999991</v>
      </c>
      <c r="J3051" s="160"/>
      <c r="K3051" s="161">
        <f>K3049</f>
        <v>990</v>
      </c>
      <c r="L3051" s="250">
        <v>12</v>
      </c>
      <c r="M3051" s="163" t="str">
        <f>CONCATENATE(H3051," ",F3051,"*",L3051,"мес.","*",I3051,"/",K3051,"чел")</f>
        <v>1  машина, оборудованная системой ГЛОНАСС*12мес.*0,789486/990чел</v>
      </c>
      <c r="N3051" s="278">
        <f>Лист1!M73</f>
        <v>880.71999999999991</v>
      </c>
      <c r="O3051" s="280">
        <f t="shared" si="654"/>
        <v>8.42849</v>
      </c>
      <c r="P3051" s="166"/>
      <c r="Q3051" s="166">
        <f t="shared" si="641"/>
        <v>8344.2050999999992</v>
      </c>
      <c r="R3051" s="71"/>
      <c r="S3051" s="71"/>
    </row>
    <row r="3052" spans="1:20" s="61" customFormat="1" ht="47.25" x14ac:dyDescent="0.25">
      <c r="A3052" s="358"/>
      <c r="B3052" s="361"/>
      <c r="C3052" s="364"/>
      <c r="D3052" s="156" t="s">
        <v>271</v>
      </c>
      <c r="E3052" s="156" t="s">
        <v>85</v>
      </c>
      <c r="F3052" s="156" t="s">
        <v>232</v>
      </c>
      <c r="G3052" s="238">
        <f>MROUND(H3052*L3052*I3052/K3052,0.000001)</f>
        <v>0.24242799999999998</v>
      </c>
      <c r="H3052" s="158">
        <f>Лист1!K71</f>
        <v>304</v>
      </c>
      <c r="I3052" s="159">
        <f>I3050</f>
        <v>0.78948599999999991</v>
      </c>
      <c r="J3052" s="160"/>
      <c r="K3052" s="161">
        <f>K3050</f>
        <v>990</v>
      </c>
      <c r="L3052" s="250">
        <v>1</v>
      </c>
      <c r="M3052" s="163" t="str">
        <f>CONCATENATE(H3052," ",F3052,"*",L3052,"мес.","*",I3052,"/",K3052,"чел")</f>
        <v>304 мед.осмотров в мес.*1мес.*0,789486/990чел</v>
      </c>
      <c r="N3052" s="278">
        <f>Лист1!M71</f>
        <v>56.680000000000007</v>
      </c>
      <c r="O3052" s="280">
        <f t="shared" si="654"/>
        <v>13.740819</v>
      </c>
      <c r="P3052" s="166"/>
      <c r="Q3052" s="166">
        <f t="shared" si="641"/>
        <v>13603.410809999999</v>
      </c>
      <c r="R3052" s="71"/>
    </row>
    <row r="3053" spans="1:20" s="61" customFormat="1" x14ac:dyDescent="0.25">
      <c r="A3053" s="358"/>
      <c r="B3053" s="361"/>
      <c r="C3053" s="364"/>
      <c r="D3053" s="156" t="s">
        <v>373</v>
      </c>
      <c r="E3053" s="156" t="s">
        <v>28</v>
      </c>
      <c r="F3053" s="156" t="s">
        <v>28</v>
      </c>
      <c r="G3053" s="238">
        <f>MROUND(H3053*L3053*I3053/K3053,0.000001)</f>
        <v>7.9699999999999997E-4</v>
      </c>
      <c r="H3053" s="158">
        <f>Лист1!K56</f>
        <v>1</v>
      </c>
      <c r="I3053" s="159">
        <f>I3052</f>
        <v>0.78948599999999991</v>
      </c>
      <c r="J3053" s="160"/>
      <c r="K3053" s="161">
        <f>K3052</f>
        <v>990</v>
      </c>
      <c r="L3053" s="250">
        <v>1</v>
      </c>
      <c r="M3053" s="163" t="str">
        <f>CONCATENATE(H3053," ",F3053,"*",L3053,"мес.","*",I3053,"/",K3053,"чел")</f>
        <v>1 шт*1мес.*0,789486/990чел</v>
      </c>
      <c r="N3053" s="278">
        <f>Лист1!J56</f>
        <v>24000</v>
      </c>
      <c r="O3053" s="280">
        <f t="shared" si="654"/>
        <v>19.128</v>
      </c>
      <c r="P3053" s="166"/>
      <c r="Q3053" s="166">
        <f t="shared" si="641"/>
        <v>18936.72</v>
      </c>
      <c r="R3053" s="71"/>
    </row>
    <row r="3054" spans="1:20" s="61" customFormat="1" ht="31.5" x14ac:dyDescent="0.25">
      <c r="A3054" s="358"/>
      <c r="B3054" s="361"/>
      <c r="C3054" s="364"/>
      <c r="D3054" s="156" t="s">
        <v>43</v>
      </c>
      <c r="E3054" s="156" t="s">
        <v>52</v>
      </c>
      <c r="F3054" s="156" t="s">
        <v>231</v>
      </c>
      <c r="G3054" s="238">
        <f>MROUND(H3054*L3054*I3054/K3054,0.000001)</f>
        <v>7.9699999999999997E-4</v>
      </c>
      <c r="H3054" s="158">
        <v>1</v>
      </c>
      <c r="I3054" s="159">
        <f>I3044</f>
        <v>0.78948599999999991</v>
      </c>
      <c r="J3054" s="160"/>
      <c r="K3054" s="161">
        <f>K3044</f>
        <v>990</v>
      </c>
      <c r="L3054" s="250">
        <v>1</v>
      </c>
      <c r="M3054" s="163" t="str">
        <f>CONCATENATE(H3054," ",F3054,"*",I3054,"/",K3054,"чел/час")</f>
        <v>1 ЭЦП*0,789486/990чел/час</v>
      </c>
      <c r="N3054" s="278">
        <f>Лист1!J70</f>
        <v>7743.3600000000006</v>
      </c>
      <c r="O3054" s="280">
        <f t="shared" si="654"/>
        <v>6.1714579999999994</v>
      </c>
      <c r="P3054" s="166"/>
      <c r="Q3054" s="166">
        <f t="shared" si="641"/>
        <v>6109.7434199999998</v>
      </c>
      <c r="R3054" s="71"/>
      <c r="S3054" s="71"/>
    </row>
    <row r="3055" spans="1:20" s="62" customFormat="1" x14ac:dyDescent="0.25">
      <c r="A3055" s="358"/>
      <c r="B3055" s="361"/>
      <c r="C3055" s="245" t="s">
        <v>296</v>
      </c>
      <c r="D3055" s="240"/>
      <c r="E3055" s="240"/>
      <c r="F3055" s="240"/>
      <c r="G3055" s="227"/>
      <c r="H3055" s="241"/>
      <c r="I3055" s="206"/>
      <c r="J3055" s="228"/>
      <c r="K3055" s="207"/>
      <c r="L3055" s="257"/>
      <c r="M3055" s="209"/>
      <c r="N3055" s="281"/>
      <c r="O3055" s="279">
        <f>SUM(O3038:O3054)</f>
        <v>548.40583300000003</v>
      </c>
      <c r="P3055" s="267"/>
      <c r="Q3055" s="166"/>
      <c r="R3055" s="71"/>
    </row>
    <row r="3056" spans="1:20" s="61" customFormat="1" ht="31.5" x14ac:dyDescent="0.25">
      <c r="A3056" s="358"/>
      <c r="B3056" s="361"/>
      <c r="C3056" s="252" t="s">
        <v>237</v>
      </c>
      <c r="D3056" s="156" t="s">
        <v>41</v>
      </c>
      <c r="E3056" s="156" t="s">
        <v>61</v>
      </c>
      <c r="F3056" s="156" t="s">
        <v>254</v>
      </c>
      <c r="G3056" s="238">
        <f>MROUND(H3056*L3056*I3056/K3056,0.00000001)</f>
        <v>7.9746000000000005E-4</v>
      </c>
      <c r="H3056" s="158">
        <v>1</v>
      </c>
      <c r="I3056" s="159">
        <f>I3054</f>
        <v>0.78948599999999991</v>
      </c>
      <c r="J3056" s="160"/>
      <c r="K3056" s="161">
        <f>K3054</f>
        <v>990</v>
      </c>
      <c r="L3056" s="250">
        <v>1</v>
      </c>
      <c r="M3056" s="163" t="str">
        <f>CONCATENATE(H3056," ",F3056,"*",I3056,"/",K3056,"чел/час")</f>
        <v>1 автобус*0,789486/990чел/час</v>
      </c>
      <c r="N3056" s="278">
        <f>Лист1!M75</f>
        <v>25724</v>
      </c>
      <c r="O3056" s="280">
        <f>MROUND(N3056*G3056,0.000001)</f>
        <v>20.513860999999999</v>
      </c>
      <c r="P3056" s="166"/>
      <c r="Q3056" s="166">
        <f t="shared" si="641"/>
        <v>20308.722389999999</v>
      </c>
      <c r="R3056" s="71"/>
      <c r="S3056" s="71"/>
    </row>
    <row r="3057" spans="1:20" s="62" customFormat="1" x14ac:dyDescent="0.25">
      <c r="A3057" s="358"/>
      <c r="B3057" s="361"/>
      <c r="C3057" s="245" t="s">
        <v>297</v>
      </c>
      <c r="D3057" s="240"/>
      <c r="E3057" s="240"/>
      <c r="F3057" s="240"/>
      <c r="G3057" s="227"/>
      <c r="H3057" s="241"/>
      <c r="I3057" s="206"/>
      <c r="J3057" s="228"/>
      <c r="K3057" s="207"/>
      <c r="L3057" s="257"/>
      <c r="M3057" s="209"/>
      <c r="N3057" s="281"/>
      <c r="O3057" s="279">
        <f>O3056</f>
        <v>20.513860999999999</v>
      </c>
      <c r="P3057" s="267"/>
      <c r="Q3057" s="166"/>
      <c r="R3057" s="71"/>
    </row>
    <row r="3058" spans="1:20" s="61" customFormat="1" ht="78.75" x14ac:dyDescent="0.25">
      <c r="A3058" s="358"/>
      <c r="B3058" s="361"/>
      <c r="C3058" s="221" t="s">
        <v>236</v>
      </c>
      <c r="D3058" s="156" t="s">
        <v>19</v>
      </c>
      <c r="E3058" s="181" t="s">
        <v>20</v>
      </c>
      <c r="F3058" s="181" t="s">
        <v>238</v>
      </c>
      <c r="G3058" s="238">
        <f>MROUND(H3058*L3058*I3058/K3058,0.000001)</f>
        <v>0</v>
      </c>
      <c r="H3058" s="158"/>
      <c r="I3058" s="159">
        <f>I3056</f>
        <v>0.78948599999999991</v>
      </c>
      <c r="J3058" s="160"/>
      <c r="K3058" s="161">
        <f>K3056</f>
        <v>990</v>
      </c>
      <c r="L3058" s="250"/>
      <c r="M3058" s="163"/>
      <c r="N3058" s="278"/>
      <c r="O3058" s="280">
        <f>MROUND(N3058*G3058,0.000001)</f>
        <v>0</v>
      </c>
      <c r="P3058" s="166"/>
      <c r="Q3058" s="166">
        <f>O3058*K3058</f>
        <v>0</v>
      </c>
      <c r="R3058" s="71"/>
      <c r="T3058" s="71"/>
    </row>
    <row r="3059" spans="1:20" s="62" customFormat="1" x14ac:dyDescent="0.25">
      <c r="A3059" s="358"/>
      <c r="B3059" s="361"/>
      <c r="C3059" s="245" t="s">
        <v>298</v>
      </c>
      <c r="D3059" s="240"/>
      <c r="E3059" s="253"/>
      <c r="F3059" s="253"/>
      <c r="G3059" s="227"/>
      <c r="H3059" s="241"/>
      <c r="I3059" s="206"/>
      <c r="J3059" s="228"/>
      <c r="K3059" s="207"/>
      <c r="L3059" s="257"/>
      <c r="M3059" s="209"/>
      <c r="N3059" s="281"/>
      <c r="O3059" s="279">
        <f>O3058</f>
        <v>0</v>
      </c>
      <c r="P3059" s="267"/>
      <c r="Q3059" s="166"/>
      <c r="R3059" s="71"/>
    </row>
    <row r="3060" spans="1:20" s="61" customFormat="1" x14ac:dyDescent="0.25">
      <c r="A3060" s="358"/>
      <c r="B3060" s="361"/>
      <c r="C3060" s="365" t="s">
        <v>81</v>
      </c>
      <c r="D3060" s="156" t="s">
        <v>427</v>
      </c>
      <c r="E3060" s="156" t="s">
        <v>28</v>
      </c>
      <c r="F3060" s="156" t="s">
        <v>28</v>
      </c>
      <c r="G3060" s="238">
        <f>MROUND(H3060*L3060*I3060/K3060,0.00000001)</f>
        <v>1.5949200000000001E-3</v>
      </c>
      <c r="H3060" s="158">
        <f>Лист1!K99</f>
        <v>2</v>
      </c>
      <c r="I3060" s="159">
        <f>I3056</f>
        <v>0.78948599999999991</v>
      </c>
      <c r="J3060" s="160"/>
      <c r="K3060" s="161">
        <f>K3056</f>
        <v>990</v>
      </c>
      <c r="L3060" s="250">
        <v>1</v>
      </c>
      <c r="M3060" s="163" t="str">
        <f>CONCATENATE(H3060," ",F3060,"*",I3060,"/",K3060,"чел/час")</f>
        <v>2 шт*0,789486/990чел/час</v>
      </c>
      <c r="N3060" s="278">
        <f>Лист1!M99</f>
        <v>10000</v>
      </c>
      <c r="O3060" s="280">
        <f>MROUND(N3060*G3060,0.000001)</f>
        <v>15.949199999999999</v>
      </c>
      <c r="P3060" s="166"/>
      <c r="Q3060" s="166">
        <f t="shared" ref="Q3060:Q3062" si="655">O3060*K3060</f>
        <v>15789.707999999999</v>
      </c>
      <c r="R3060" s="71"/>
    </row>
    <row r="3061" spans="1:20" s="61" customFormat="1" x14ac:dyDescent="0.25">
      <c r="A3061" s="358"/>
      <c r="B3061" s="361"/>
      <c r="C3061" s="366"/>
      <c r="D3061" s="156" t="s">
        <v>428</v>
      </c>
      <c r="E3061" s="156" t="s">
        <v>28</v>
      </c>
      <c r="F3061" s="156" t="s">
        <v>28</v>
      </c>
      <c r="G3061" s="238">
        <f>MROUND(H3061*L3061*I3061/K3061,0.00000001)</f>
        <v>1.5949200000000001E-3</v>
      </c>
      <c r="H3061" s="158">
        <f>Лист1!K99</f>
        <v>2</v>
      </c>
      <c r="I3061" s="159">
        <f>I3060</f>
        <v>0.78948599999999991</v>
      </c>
      <c r="J3061" s="160"/>
      <c r="K3061" s="161">
        <f>K3060</f>
        <v>990</v>
      </c>
      <c r="L3061" s="250">
        <v>1</v>
      </c>
      <c r="M3061" s="163" t="str">
        <f>CONCATENATE(H3061," ",F3061,"*",I3061,"/",K3061,"чел/час")</f>
        <v>2 шт*0,789486/990чел/час</v>
      </c>
      <c r="N3061" s="278">
        <f>Лист1!M100</f>
        <v>6000</v>
      </c>
      <c r="O3061" s="280">
        <f>MROUND(N3061*G3061,0.000001)</f>
        <v>9.5695199999999989</v>
      </c>
      <c r="P3061" s="166"/>
      <c r="Q3061" s="166">
        <f t="shared" si="655"/>
        <v>9473.8247999999985</v>
      </c>
      <c r="R3061" s="71"/>
    </row>
    <row r="3062" spans="1:20" s="61" customFormat="1" x14ac:dyDescent="0.25">
      <c r="A3062" s="358"/>
      <c r="B3062" s="361"/>
      <c r="C3062" s="366"/>
      <c r="D3062" s="156" t="s">
        <v>110</v>
      </c>
      <c r="E3062" s="156" t="s">
        <v>28</v>
      </c>
      <c r="F3062" s="156" t="s">
        <v>28</v>
      </c>
      <c r="G3062" s="238">
        <f>MROUND(H3062*L3062*I3062/K3062,0.00000001)</f>
        <v>7.9746000000000005E-4</v>
      </c>
      <c r="H3062" s="158">
        <f>Лист1!K102</f>
        <v>1</v>
      </c>
      <c r="I3062" s="159">
        <f t="shared" ref="I3062:I3063" si="656">I3061</f>
        <v>0.78948599999999991</v>
      </c>
      <c r="J3062" s="160"/>
      <c r="K3062" s="161">
        <f t="shared" ref="K3062:K3063" si="657">K3061</f>
        <v>990</v>
      </c>
      <c r="L3062" s="250">
        <v>1</v>
      </c>
      <c r="M3062" s="163" t="str">
        <f>CONCATENATE(H3062," ",F3062,"*",I3062,"/",K3062,"чел/час")</f>
        <v>1 шт*0,789486/990чел/час</v>
      </c>
      <c r="N3062" s="278">
        <f>Лист1!M102</f>
        <v>40000</v>
      </c>
      <c r="O3062" s="280">
        <f>MROUND(N3062*G3062,0.000001)</f>
        <v>31.898399999999999</v>
      </c>
      <c r="P3062" s="166"/>
      <c r="Q3062" s="166">
        <f t="shared" si="655"/>
        <v>31579.415999999997</v>
      </c>
      <c r="R3062" s="71"/>
    </row>
    <row r="3063" spans="1:20" s="61" customFormat="1" x14ac:dyDescent="0.25">
      <c r="A3063" s="358"/>
      <c r="B3063" s="361"/>
      <c r="C3063" s="366"/>
      <c r="D3063" s="156" t="s">
        <v>111</v>
      </c>
      <c r="E3063" s="156" t="s">
        <v>28</v>
      </c>
      <c r="F3063" s="156" t="s">
        <v>28</v>
      </c>
      <c r="G3063" s="238">
        <f>MROUND(H3063*L3063*I3063/K3063,0.00000001)</f>
        <v>2.3923799999999999E-3</v>
      </c>
      <c r="H3063" s="158">
        <f>Лист1!K104</f>
        <v>3</v>
      </c>
      <c r="I3063" s="159">
        <f t="shared" si="656"/>
        <v>0.78948599999999991</v>
      </c>
      <c r="J3063" s="160"/>
      <c r="K3063" s="161">
        <f t="shared" si="657"/>
        <v>990</v>
      </c>
      <c r="L3063" s="250">
        <v>1</v>
      </c>
      <c r="M3063" s="163" t="str">
        <f>CONCATENATE(H3063," ",F3063,"*",I3063,"/",K3063,"чел/час")</f>
        <v>3 шт*0,789486/990чел/час</v>
      </c>
      <c r="N3063" s="278">
        <f>Лист1!M104</f>
        <v>50000</v>
      </c>
      <c r="O3063" s="280">
        <f>MROUND(N3063*G3063,0.000001)</f>
        <v>119.619</v>
      </c>
      <c r="P3063" s="166"/>
      <c r="Q3063" s="166">
        <f t="shared" ref="Q3063" si="658">O3063*K3063</f>
        <v>118422.81</v>
      </c>
      <c r="R3063" s="71"/>
    </row>
    <row r="3064" spans="1:20" s="61" customFormat="1" x14ac:dyDescent="0.25">
      <c r="A3064" s="358"/>
      <c r="B3064" s="361"/>
      <c r="C3064" s="367"/>
      <c r="D3064" s="156" t="s">
        <v>438</v>
      </c>
      <c r="E3064" s="156" t="s">
        <v>28</v>
      </c>
      <c r="F3064" s="156" t="s">
        <v>28</v>
      </c>
      <c r="G3064" s="238">
        <f>MROUND(H3064*L3064*I3064/K3064,0.00000001)</f>
        <v>1.5949200000000001E-3</v>
      </c>
      <c r="H3064" s="158">
        <f>Лист1!K105</f>
        <v>2</v>
      </c>
      <c r="I3064" s="159">
        <f>I3058</f>
        <v>0.78948599999999991</v>
      </c>
      <c r="J3064" s="160"/>
      <c r="K3064" s="161">
        <f>K3058</f>
        <v>990</v>
      </c>
      <c r="L3064" s="250">
        <v>1</v>
      </c>
      <c r="M3064" s="163" t="str">
        <f>CONCATENATE(H3064," ",F3064,"*",I3064,"/",K3064,"чел/час")</f>
        <v>2 шт*0,789486/990чел/час</v>
      </c>
      <c r="N3064" s="278">
        <f>Лист1!M105</f>
        <v>55000</v>
      </c>
      <c r="O3064" s="280">
        <f>MROUND(N3064*G3064,0.000001)</f>
        <v>87.72059999999999</v>
      </c>
      <c r="P3064" s="166"/>
      <c r="Q3064" s="166">
        <f t="shared" ref="Q3064:Q3133" si="659">O3064*K3064</f>
        <v>86843.393999999986</v>
      </c>
      <c r="R3064" s="71"/>
    </row>
    <row r="3065" spans="1:20" s="62" customFormat="1" x14ac:dyDescent="0.25">
      <c r="A3065" s="358"/>
      <c r="B3065" s="361"/>
      <c r="C3065" s="245" t="s">
        <v>299</v>
      </c>
      <c r="D3065" s="240"/>
      <c r="E3065" s="240"/>
      <c r="F3065" s="240"/>
      <c r="G3065" s="227"/>
      <c r="H3065" s="241"/>
      <c r="I3065" s="206"/>
      <c r="J3065" s="228"/>
      <c r="K3065" s="207"/>
      <c r="L3065" s="257"/>
      <c r="M3065" s="209"/>
      <c r="N3065" s="281"/>
      <c r="O3065" s="279">
        <f>SUM(O3060:O3063)</f>
        <v>177.03611999999998</v>
      </c>
      <c r="P3065" s="267"/>
      <c r="Q3065" s="166"/>
      <c r="R3065" s="71"/>
    </row>
    <row r="3066" spans="1:20" s="61" customFormat="1" ht="110.25" x14ac:dyDescent="0.25">
      <c r="A3066" s="358"/>
      <c r="B3066" s="361"/>
      <c r="C3066" s="221" t="s">
        <v>82</v>
      </c>
      <c r="D3066" s="156" t="s">
        <v>46</v>
      </c>
      <c r="E3066" s="156" t="s">
        <v>54</v>
      </c>
      <c r="F3066" s="156" t="s">
        <v>285</v>
      </c>
      <c r="G3066" s="238">
        <f>MROUND(H3066*L3066*I3066/K3066,0.000001)</f>
        <v>2.033525</v>
      </c>
      <c r="H3066" s="242">
        <f>Лист1!K124</f>
        <v>231.81818181818178</v>
      </c>
      <c r="I3066" s="159">
        <f>I3058</f>
        <v>0.78948599999999991</v>
      </c>
      <c r="J3066" s="160"/>
      <c r="K3066" s="161">
        <f>K3058</f>
        <v>990</v>
      </c>
      <c r="L3066" s="250">
        <v>11</v>
      </c>
      <c r="M3066" s="163" t="str">
        <f>CONCATENATE(H3066," ",F3066,"*",L3066,"автобус","*",I3066,"/",K3066,"чел/час")</f>
        <v>231,818181818182 л бензина АИ 92 (12,5л/день(зимой)*20дней*7мес+10л/день(летом)*20дней*4мес)*11автобус*0,789486/990чел/час</v>
      </c>
      <c r="N3066" s="278">
        <f>Лист1!M124</f>
        <v>54.500000000000007</v>
      </c>
      <c r="O3066" s="280">
        <f>MROUND(N3066*G3066,0.000001)</f>
        <v>110.827113</v>
      </c>
      <c r="P3066" s="166"/>
      <c r="Q3066" s="166">
        <f t="shared" si="659"/>
        <v>109718.84187</v>
      </c>
      <c r="R3066" s="71"/>
      <c r="S3066" s="71"/>
    </row>
    <row r="3067" spans="1:20" s="62" customFormat="1" x14ac:dyDescent="0.25">
      <c r="A3067" s="358"/>
      <c r="B3067" s="361"/>
      <c r="C3067" s="218" t="s">
        <v>300</v>
      </c>
      <c r="D3067" s="240"/>
      <c r="E3067" s="240"/>
      <c r="F3067" s="240"/>
      <c r="G3067" s="227"/>
      <c r="H3067" s="241"/>
      <c r="I3067" s="206"/>
      <c r="J3067" s="228"/>
      <c r="K3067" s="207"/>
      <c r="L3067" s="257"/>
      <c r="M3067" s="209"/>
      <c r="N3067" s="281"/>
      <c r="O3067" s="279">
        <f>O3066</f>
        <v>110.827113</v>
      </c>
      <c r="P3067" s="267"/>
      <c r="Q3067" s="166"/>
      <c r="R3067" s="71"/>
    </row>
    <row r="3068" spans="1:20" s="61" customFormat="1" ht="47.25" x14ac:dyDescent="0.25">
      <c r="A3068" s="358"/>
      <c r="B3068" s="361"/>
      <c r="C3068" s="364" t="s">
        <v>118</v>
      </c>
      <c r="D3068" s="156" t="s">
        <v>47</v>
      </c>
      <c r="E3068" s="156" t="s">
        <v>28</v>
      </c>
      <c r="F3068" s="156" t="s">
        <v>239</v>
      </c>
      <c r="G3068" s="238">
        <f>MROUND(H3068*L3068*I3068/K3068,0.000001)</f>
        <v>0</v>
      </c>
      <c r="H3068" s="158">
        <f>Лист1!K126</f>
        <v>0</v>
      </c>
      <c r="I3068" s="159">
        <f>I3066</f>
        <v>0.78948599999999991</v>
      </c>
      <c r="J3068" s="160"/>
      <c r="K3068" s="161">
        <f>K3066</f>
        <v>990</v>
      </c>
      <c r="L3068" s="250">
        <v>1</v>
      </c>
      <c r="M3068" s="163"/>
      <c r="N3068" s="278">
        <f>Лист1!M126</f>
        <v>0</v>
      </c>
      <c r="O3068" s="280">
        <f>MROUND(N3068*G3068,0.000001)</f>
        <v>0</v>
      </c>
      <c r="P3068" s="166"/>
      <c r="Q3068" s="166">
        <f t="shared" si="659"/>
        <v>0</v>
      </c>
      <c r="R3068" s="71"/>
      <c r="S3068" s="71"/>
    </row>
    <row r="3069" spans="1:20" s="61" customFormat="1" ht="47.25" x14ac:dyDescent="0.25">
      <c r="A3069" s="358"/>
      <c r="B3069" s="361"/>
      <c r="C3069" s="364"/>
      <c r="D3069" s="255" t="s">
        <v>113</v>
      </c>
      <c r="E3069" s="156" t="s">
        <v>28</v>
      </c>
      <c r="F3069" s="156" t="s">
        <v>240</v>
      </c>
      <c r="G3069" s="238">
        <f>MROUND(H3069*L3069*I3069/K3069,0.000001)</f>
        <v>1.5948999999999998E-2</v>
      </c>
      <c r="H3069" s="158">
        <f>Лист1!K127</f>
        <v>20</v>
      </c>
      <c r="I3069" s="159">
        <f>I3068</f>
        <v>0.78948599999999991</v>
      </c>
      <c r="J3069" s="160"/>
      <c r="K3069" s="161">
        <f>K3068</f>
        <v>990</v>
      </c>
      <c r="L3069" s="250">
        <v>1</v>
      </c>
      <c r="M3069" s="163" t="str">
        <f>CONCATENATE(H3069," ",F3069,"*",I3069,"/",K3069,"чел/час")</f>
        <v>20 светильников (потребность учреждений)*0,789486/990чел/час</v>
      </c>
      <c r="N3069" s="278">
        <f>Лист1!M127</f>
        <v>106.27500000000001</v>
      </c>
      <c r="O3069" s="280">
        <f>MROUND(N3069*G3069,0.000001)</f>
        <v>1.6949799999999999</v>
      </c>
      <c r="P3069" s="166"/>
      <c r="Q3069" s="166">
        <f t="shared" si="659"/>
        <v>1678.0301999999999</v>
      </c>
      <c r="R3069" s="71"/>
      <c r="S3069" s="71"/>
    </row>
    <row r="3070" spans="1:20" s="62" customFormat="1" x14ac:dyDescent="0.25">
      <c r="A3070" s="359"/>
      <c r="B3070" s="362"/>
      <c r="C3070" s="218" t="s">
        <v>301</v>
      </c>
      <c r="D3070" s="256"/>
      <c r="E3070" s="240"/>
      <c r="F3070" s="240"/>
      <c r="G3070" s="227"/>
      <c r="H3070" s="241"/>
      <c r="I3070" s="206"/>
      <c r="J3070" s="228"/>
      <c r="K3070" s="207"/>
      <c r="L3070" s="257"/>
      <c r="M3070" s="209"/>
      <c r="N3070" s="281"/>
      <c r="O3070" s="279">
        <f>O3068+O3069</f>
        <v>1.6949799999999999</v>
      </c>
      <c r="P3070" s="267"/>
      <c r="Q3070" s="166"/>
      <c r="R3070" s="71"/>
    </row>
    <row r="3071" spans="1:20" s="61" customFormat="1" x14ac:dyDescent="0.25">
      <c r="A3071" s="357" t="str">
        <f>школы!$B$26</f>
        <v>Информационно-технологическое обеспечение образовательной деятельности</v>
      </c>
      <c r="B3071" s="360" t="str">
        <f>школы!$A$26</f>
        <v>48Д72100000000000003101</v>
      </c>
      <c r="C3071" s="194"/>
      <c r="D3071" s="363" t="s">
        <v>15</v>
      </c>
      <c r="E3071" s="363"/>
      <c r="F3071" s="363"/>
      <c r="G3071" s="363"/>
      <c r="H3071" s="195"/>
      <c r="I3071" s="195"/>
      <c r="J3071" s="195"/>
      <c r="K3071" s="195"/>
      <c r="L3071" s="196"/>
      <c r="M3071" s="197"/>
      <c r="N3071" s="278"/>
      <c r="O3071" s="279">
        <f>O3072+O3077+O3080</f>
        <v>10335.7637875051</v>
      </c>
      <c r="P3071" s="166"/>
      <c r="Q3071" s="166">
        <f t="shared" si="659"/>
        <v>0</v>
      </c>
      <c r="R3071" s="71"/>
    </row>
    <row r="3072" spans="1:20" s="61" customFormat="1" x14ac:dyDescent="0.25">
      <c r="A3072" s="358"/>
      <c r="B3072" s="361"/>
      <c r="C3072" s="194"/>
      <c r="D3072" s="350" t="s">
        <v>62</v>
      </c>
      <c r="E3072" s="350"/>
      <c r="F3072" s="350"/>
      <c r="G3072" s="350"/>
      <c r="H3072" s="195"/>
      <c r="I3072" s="195"/>
      <c r="J3072" s="195"/>
      <c r="K3072" s="195"/>
      <c r="L3072" s="196"/>
      <c r="M3072" s="197"/>
      <c r="N3072" s="278"/>
      <c r="O3072" s="279">
        <f>O3074+O3076</f>
        <v>10204.0587815051</v>
      </c>
      <c r="P3072" s="166"/>
      <c r="Q3072" s="166">
        <f t="shared" si="659"/>
        <v>0</v>
      </c>
      <c r="R3072" s="71"/>
    </row>
    <row r="3073" spans="1:18" s="61" customFormat="1" x14ac:dyDescent="0.25">
      <c r="A3073" s="358"/>
      <c r="B3073" s="361"/>
      <c r="C3073" s="194">
        <v>211</v>
      </c>
      <c r="D3073" s="194" t="s">
        <v>86</v>
      </c>
      <c r="E3073" s="199" t="s">
        <v>95</v>
      </c>
      <c r="F3073" s="199" t="s">
        <v>95</v>
      </c>
      <c r="G3073" s="275">
        <f>MROUND(H3073*L3073*I3073/K3073,0.00000000001)</f>
        <v>0.46909122580999996</v>
      </c>
      <c r="H3073" s="201">
        <f>$H$2976</f>
        <v>49</v>
      </c>
      <c r="I3073" s="159">
        <f>школы!$K$26</f>
        <v>2.4731E-2</v>
      </c>
      <c r="J3073" s="159"/>
      <c r="K3073" s="161">
        <f>школы!$G$26</f>
        <v>31</v>
      </c>
      <c r="L3073" s="202">
        <v>12</v>
      </c>
      <c r="M3073" s="163" t="str">
        <f>CONCATENATE(H3073," ",F3073," ","в мес.","*",L3073,"мес.","*",I3073,"/",K3073,"чел/час")</f>
        <v>49 шт.ед в мес.*12мес.*0,024731/31чел/час</v>
      </c>
      <c r="N3073" s="278">
        <f>N2976</f>
        <v>16707.237942176871</v>
      </c>
      <c r="O3073" s="280">
        <f>MROUND(N3073*G3073,0.0000000001)</f>
        <v>7837.2187261951003</v>
      </c>
      <c r="P3073" s="166"/>
      <c r="Q3073" s="166">
        <f t="shared" si="659"/>
        <v>242953.78051204811</v>
      </c>
      <c r="R3073" s="71"/>
    </row>
    <row r="3074" spans="1:18" s="62" customFormat="1" x14ac:dyDescent="0.25">
      <c r="A3074" s="358"/>
      <c r="B3074" s="361"/>
      <c r="C3074" s="203" t="s">
        <v>288</v>
      </c>
      <c r="D3074" s="203"/>
      <c r="E3074" s="204"/>
      <c r="F3074" s="204"/>
      <c r="G3074" s="205"/>
      <c r="H3074" s="206"/>
      <c r="I3074" s="206"/>
      <c r="J3074" s="206"/>
      <c r="K3074" s="207"/>
      <c r="L3074" s="208"/>
      <c r="M3074" s="209"/>
      <c r="N3074" s="281"/>
      <c r="O3074" s="279">
        <f>O3073</f>
        <v>7837.2187261951003</v>
      </c>
      <c r="P3074" s="267"/>
      <c r="Q3074" s="166"/>
      <c r="R3074" s="71"/>
    </row>
    <row r="3075" spans="1:18" s="61" customFormat="1" x14ac:dyDescent="0.25">
      <c r="A3075" s="358"/>
      <c r="B3075" s="361"/>
      <c r="C3075" s="194">
        <v>213</v>
      </c>
      <c r="D3075" s="194" t="s">
        <v>87</v>
      </c>
      <c r="E3075" s="194" t="s">
        <v>88</v>
      </c>
      <c r="F3075" s="194"/>
      <c r="G3075" s="211">
        <v>30.2</v>
      </c>
      <c r="H3075" s="159"/>
      <c r="I3075" s="159">
        <f>I3073</f>
        <v>2.4731E-2</v>
      </c>
      <c r="J3075" s="159"/>
      <c r="K3075" s="161">
        <f>K3073</f>
        <v>31</v>
      </c>
      <c r="L3075" s="202"/>
      <c r="M3075" s="212"/>
      <c r="N3075" s="278"/>
      <c r="O3075" s="280">
        <f>MROUND(O3073*0.302,0.00000001)</f>
        <v>2366.84005531</v>
      </c>
      <c r="P3075" s="166"/>
      <c r="Q3075" s="166">
        <f t="shared" si="659"/>
        <v>73372.041714610008</v>
      </c>
      <c r="R3075" s="71"/>
    </row>
    <row r="3076" spans="1:18" s="62" customFormat="1" x14ac:dyDescent="0.25">
      <c r="A3076" s="358"/>
      <c r="B3076" s="361"/>
      <c r="C3076" s="203" t="s">
        <v>289</v>
      </c>
      <c r="D3076" s="203"/>
      <c r="E3076" s="203"/>
      <c r="F3076" s="203"/>
      <c r="G3076" s="213"/>
      <c r="H3076" s="214"/>
      <c r="I3076" s="206"/>
      <c r="J3076" s="214"/>
      <c r="K3076" s="207"/>
      <c r="L3076" s="215"/>
      <c r="M3076" s="216"/>
      <c r="N3076" s="281"/>
      <c r="O3076" s="279">
        <f>O3075</f>
        <v>2366.84005531</v>
      </c>
      <c r="P3076" s="267"/>
      <c r="Q3076" s="166"/>
      <c r="R3076" s="71"/>
    </row>
    <row r="3077" spans="1:18" s="61" customFormat="1" x14ac:dyDescent="0.25">
      <c r="A3077" s="358"/>
      <c r="B3077" s="361"/>
      <c r="C3077" s="194"/>
      <c r="D3077" s="356" t="s">
        <v>63</v>
      </c>
      <c r="E3077" s="356"/>
      <c r="F3077" s="356"/>
      <c r="G3077" s="356"/>
      <c r="H3077" s="195"/>
      <c r="I3077" s="159"/>
      <c r="J3077" s="195"/>
      <c r="K3077" s="161"/>
      <c r="L3077" s="196"/>
      <c r="M3077" s="197"/>
      <c r="N3077" s="278"/>
      <c r="O3077" s="279">
        <f>O3078</f>
        <v>131.705006</v>
      </c>
      <c r="P3077" s="166"/>
      <c r="Q3077" s="166">
        <f t="shared" si="659"/>
        <v>0</v>
      </c>
      <c r="R3077" s="71"/>
    </row>
    <row r="3078" spans="1:18" s="61" customFormat="1" x14ac:dyDescent="0.25">
      <c r="A3078" s="358"/>
      <c r="B3078" s="361"/>
      <c r="C3078" s="194">
        <v>346</v>
      </c>
      <c r="D3078" s="194" t="s">
        <v>259</v>
      </c>
      <c r="E3078" s="194" t="s">
        <v>260</v>
      </c>
      <c r="F3078" s="194" t="s">
        <v>261</v>
      </c>
      <c r="G3078" s="238">
        <f>MROUND(H3078*L3078*I3078/K3078,0.000001)</f>
        <v>0.19545499999999999</v>
      </c>
      <c r="H3078" s="283">
        <f>H2981</f>
        <v>245</v>
      </c>
      <c r="I3078" s="159">
        <f>I3075</f>
        <v>2.4731E-2</v>
      </c>
      <c r="J3078" s="195"/>
      <c r="K3078" s="161">
        <f>K3075</f>
        <v>31</v>
      </c>
      <c r="L3078" s="196">
        <v>1</v>
      </c>
      <c r="M3078" s="163" t="str">
        <f>CONCATENATE(H3078," ",F3078,"*",I3078,"/",K3078,"чел/час")</f>
        <v>245 упаковок*0,024731/31чел/час</v>
      </c>
      <c r="N3078" s="278">
        <f>N2981</f>
        <v>673.83799999999997</v>
      </c>
      <c r="O3078" s="280">
        <f>MROUND(N3078*G3078,0.000001)</f>
        <v>131.705006</v>
      </c>
      <c r="P3078" s="166"/>
      <c r="Q3078" s="166">
        <f t="shared" si="659"/>
        <v>4082.8551859999998</v>
      </c>
      <c r="R3078" s="71"/>
    </row>
    <row r="3079" spans="1:18" s="62" customFormat="1" x14ac:dyDescent="0.25">
      <c r="A3079" s="358"/>
      <c r="B3079" s="361"/>
      <c r="C3079" s="203" t="s">
        <v>356</v>
      </c>
      <c r="D3079" s="203"/>
      <c r="E3079" s="203"/>
      <c r="F3079" s="203"/>
      <c r="G3079" s="227"/>
      <c r="H3079" s="214"/>
      <c r="I3079" s="206"/>
      <c r="J3079" s="214"/>
      <c r="K3079" s="207"/>
      <c r="L3079" s="215"/>
      <c r="M3079" s="209"/>
      <c r="N3079" s="281"/>
      <c r="O3079" s="279">
        <f>O3078</f>
        <v>131.705006</v>
      </c>
      <c r="P3079" s="267"/>
      <c r="Q3079" s="166"/>
      <c r="R3079" s="71"/>
    </row>
    <row r="3080" spans="1:18" s="61" customFormat="1" x14ac:dyDescent="0.25">
      <c r="A3080" s="358"/>
      <c r="B3080" s="361"/>
      <c r="C3080" s="194"/>
      <c r="D3080" s="350" t="s">
        <v>64</v>
      </c>
      <c r="E3080" s="350"/>
      <c r="F3080" s="350"/>
      <c r="G3080" s="350"/>
      <c r="H3080" s="195"/>
      <c r="I3080" s="159"/>
      <c r="J3080" s="195"/>
      <c r="K3080" s="161"/>
      <c r="L3080" s="196"/>
      <c r="M3080" s="197"/>
      <c r="N3080" s="278"/>
      <c r="O3080" s="280"/>
      <c r="P3080" s="166"/>
      <c r="Q3080" s="166">
        <f t="shared" si="659"/>
        <v>0</v>
      </c>
      <c r="R3080" s="71"/>
    </row>
    <row r="3081" spans="1:18" s="61" customFormat="1" x14ac:dyDescent="0.25">
      <c r="A3081" s="358"/>
      <c r="B3081" s="361"/>
      <c r="C3081" s="194"/>
      <c r="D3081" s="194"/>
      <c r="E3081" s="194"/>
      <c r="F3081" s="194"/>
      <c r="G3081" s="217"/>
      <c r="H3081" s="195"/>
      <c r="I3081" s="159"/>
      <c r="J3081" s="195"/>
      <c r="K3081" s="161"/>
      <c r="L3081" s="196"/>
      <c r="M3081" s="197"/>
      <c r="N3081" s="278"/>
      <c r="O3081" s="280"/>
      <c r="P3081" s="166"/>
      <c r="Q3081" s="166">
        <f t="shared" si="659"/>
        <v>0</v>
      </c>
      <c r="R3081" s="71"/>
    </row>
    <row r="3082" spans="1:18" s="61" customFormat="1" x14ac:dyDescent="0.25">
      <c r="A3082" s="358"/>
      <c r="B3082" s="361"/>
      <c r="C3082" s="194"/>
      <c r="D3082" s="355" t="s">
        <v>5</v>
      </c>
      <c r="E3082" s="355"/>
      <c r="F3082" s="355"/>
      <c r="G3082" s="355"/>
      <c r="H3082" s="195"/>
      <c r="I3082" s="159"/>
      <c r="J3082" s="195"/>
      <c r="K3082" s="161"/>
      <c r="L3082" s="196"/>
      <c r="M3082" s="197"/>
      <c r="N3082" s="278"/>
      <c r="O3082" s="279">
        <f>O3083+O3092+O3103+O3105+O3116</f>
        <v>1901.6024159999999</v>
      </c>
      <c r="P3082" s="166"/>
      <c r="Q3082" s="166">
        <f t="shared" si="659"/>
        <v>0</v>
      </c>
      <c r="R3082" s="71"/>
    </row>
    <row r="3083" spans="1:18" s="61" customFormat="1" x14ac:dyDescent="0.25">
      <c r="A3083" s="358"/>
      <c r="B3083" s="361"/>
      <c r="C3083" s="221" t="s">
        <v>70</v>
      </c>
      <c r="D3083" s="355" t="s">
        <v>6</v>
      </c>
      <c r="E3083" s="355"/>
      <c r="F3083" s="355"/>
      <c r="G3083" s="355"/>
      <c r="H3083" s="189"/>
      <c r="I3083" s="159"/>
      <c r="J3083" s="189"/>
      <c r="K3083" s="161"/>
      <c r="L3083" s="190"/>
      <c r="M3083" s="197"/>
      <c r="N3083" s="278"/>
      <c r="O3083" s="279">
        <f>O3084+O3085+O3086+O3087+O3088+O3089+O3090</f>
        <v>609.10782799999993</v>
      </c>
      <c r="P3083" s="166"/>
      <c r="Q3083" s="166">
        <f t="shared" si="659"/>
        <v>0</v>
      </c>
      <c r="R3083" s="71"/>
    </row>
    <row r="3084" spans="1:18" s="61" customFormat="1" ht="31.5" x14ac:dyDescent="0.25">
      <c r="A3084" s="358"/>
      <c r="B3084" s="361"/>
      <c r="C3084" s="221" t="s">
        <v>72</v>
      </c>
      <c r="D3084" s="222" t="s">
        <v>7</v>
      </c>
      <c r="E3084" s="223" t="s">
        <v>8</v>
      </c>
      <c r="F3084" s="223" t="s">
        <v>8</v>
      </c>
      <c r="G3084" s="238">
        <f>MROUND(H3084*L3084*I3084/K3084,0.00000001)</f>
        <v>9868.6480472300009</v>
      </c>
      <c r="H3084" s="160">
        <f t="shared" ref="H3084:H3090" si="660">H2987</f>
        <v>12370227.22349089</v>
      </c>
      <c r="I3084" s="159">
        <f>I3078</f>
        <v>2.4731E-2</v>
      </c>
      <c r="J3084" s="160"/>
      <c r="K3084" s="161">
        <f>K3078</f>
        <v>31</v>
      </c>
      <c r="L3084" s="250">
        <v>1</v>
      </c>
      <c r="M3084" s="163" t="str">
        <f>CONCATENATE(H3084," ",F3084,"(лимиты выделенные УЖКХ) ","*",I3084,"/",K3084,"чел/час")</f>
        <v>12370227,2234909 кВт час.(лимиты выделенные УЖКХ) *0,024731/31чел/час</v>
      </c>
      <c r="N3084" s="278">
        <f t="shared" ref="N3084:N3090" si="661">N2987</f>
        <v>1.0461700311716613E-2</v>
      </c>
      <c r="O3084" s="280">
        <f t="shared" ref="O3084:O3090" si="662">MROUND(N3084*G3084,0.000001)</f>
        <v>103.24283799999999</v>
      </c>
      <c r="P3084" s="166"/>
      <c r="Q3084" s="166">
        <f t="shared" si="659"/>
        <v>3200.5279779999996</v>
      </c>
      <c r="R3084" s="71"/>
    </row>
    <row r="3085" spans="1:18" s="61" customFormat="1" ht="31.5" x14ac:dyDescent="0.25">
      <c r="A3085" s="358"/>
      <c r="B3085" s="361"/>
      <c r="C3085" s="221" t="s">
        <v>73</v>
      </c>
      <c r="D3085" s="222" t="s">
        <v>9</v>
      </c>
      <c r="E3085" s="223" t="s">
        <v>10</v>
      </c>
      <c r="F3085" s="223" t="s">
        <v>10</v>
      </c>
      <c r="G3085" s="238">
        <f>MROUND(H3085*L3085*I3085/K3085,0.00000001)</f>
        <v>0.13562161</v>
      </c>
      <c r="H3085" s="160">
        <f t="shared" si="660"/>
        <v>170</v>
      </c>
      <c r="I3085" s="159">
        <f t="shared" ref="I3085:I3147" si="663">I3084</f>
        <v>2.4731E-2</v>
      </c>
      <c r="J3085" s="160"/>
      <c r="K3085" s="161">
        <f t="shared" ref="K3085:K3147" si="664">K3084</f>
        <v>31</v>
      </c>
      <c r="L3085" s="250">
        <v>1</v>
      </c>
      <c r="M3085" s="163" t="str">
        <f>CONCATENATE(H3085," ",F3085,"(лимиты выделенные УЖКХ) ","*",I3085,"/",K3085,"чел/час")</f>
        <v>170 Гкал(лимиты выделенные УЖКХ) *0,024731/31чел/час</v>
      </c>
      <c r="N3085" s="278">
        <f t="shared" si="661"/>
        <v>2845.3649999999998</v>
      </c>
      <c r="O3085" s="280">
        <f t="shared" si="662"/>
        <v>385.89298199999996</v>
      </c>
      <c r="P3085" s="166"/>
      <c r="Q3085" s="166">
        <f t="shared" si="659"/>
        <v>11962.682441999999</v>
      </c>
      <c r="R3085" s="71"/>
    </row>
    <row r="3086" spans="1:18" s="61" customFormat="1" ht="31.5" x14ac:dyDescent="0.25">
      <c r="A3086" s="358"/>
      <c r="B3086" s="361"/>
      <c r="C3086" s="364" t="s">
        <v>74</v>
      </c>
      <c r="D3086" s="222" t="s">
        <v>12</v>
      </c>
      <c r="E3086" s="222" t="s">
        <v>11</v>
      </c>
      <c r="F3086" s="222" t="s">
        <v>11</v>
      </c>
      <c r="G3086" s="238">
        <f>MROUND(H3086*L3086*I3086/K3086,0.000001)</f>
        <v>0.282667</v>
      </c>
      <c r="H3086" s="224">
        <f t="shared" si="660"/>
        <v>354.32</v>
      </c>
      <c r="I3086" s="159">
        <f t="shared" si="663"/>
        <v>2.4731E-2</v>
      </c>
      <c r="J3086" s="160"/>
      <c r="K3086" s="161">
        <f t="shared" si="664"/>
        <v>31</v>
      </c>
      <c r="L3086" s="250">
        <v>1</v>
      </c>
      <c r="M3086" s="163" t="str">
        <f>CONCATENATE(H3086," ",F3086,"(лимиты выделенные УЖКХ) ","*",I3086,"/",K3086,"чел/час")</f>
        <v>354,32 м3(лимиты выделенные УЖКХ) *0,024731/31чел/час</v>
      </c>
      <c r="N3086" s="278">
        <f t="shared" si="661"/>
        <v>51.830000000000005</v>
      </c>
      <c r="O3086" s="280">
        <f t="shared" si="662"/>
        <v>14.650630999999999</v>
      </c>
      <c r="P3086" s="166"/>
      <c r="Q3086" s="166">
        <f t="shared" si="659"/>
        <v>454.16956099999999</v>
      </c>
      <c r="R3086" s="71"/>
    </row>
    <row r="3087" spans="1:18" s="61" customFormat="1" ht="47.25" x14ac:dyDescent="0.25">
      <c r="A3087" s="358"/>
      <c r="B3087" s="361"/>
      <c r="C3087" s="364"/>
      <c r="D3087" s="222" t="s">
        <v>17</v>
      </c>
      <c r="E3087" s="222" t="s">
        <v>11</v>
      </c>
      <c r="F3087" s="222" t="s">
        <v>11</v>
      </c>
      <c r="G3087" s="238">
        <f>MROUND(H3087*L3087*I3087/K3087,0.00000001)</f>
        <v>0.28266734999999998</v>
      </c>
      <c r="H3087" s="160">
        <f t="shared" si="660"/>
        <v>354.32</v>
      </c>
      <c r="I3087" s="159">
        <f t="shared" si="663"/>
        <v>2.4731E-2</v>
      </c>
      <c r="J3087" s="160"/>
      <c r="K3087" s="161">
        <f t="shared" si="664"/>
        <v>31</v>
      </c>
      <c r="L3087" s="162">
        <f>$L$25</f>
        <v>1</v>
      </c>
      <c r="M3087" s="163" t="str">
        <f>CONCATENATE(H3087," ",F3087,"(лимиты выделенные УЖКХ) ","*",I3087,"/",K3087,"чел/час")</f>
        <v>354,32 м3(лимиты выделенные УЖКХ) *0,024731/31чел/час</v>
      </c>
      <c r="N3087" s="164">
        <f t="shared" si="661"/>
        <v>78.761157534246564</v>
      </c>
      <c r="O3087" s="280">
        <f t="shared" si="662"/>
        <v>22.263207999999999</v>
      </c>
      <c r="P3087" s="166"/>
      <c r="Q3087" s="166">
        <f t="shared" si="659"/>
        <v>690.159448</v>
      </c>
      <c r="R3087" s="71"/>
    </row>
    <row r="3088" spans="1:18" s="61" customFormat="1" ht="31.5" x14ac:dyDescent="0.25">
      <c r="A3088" s="358"/>
      <c r="B3088" s="361"/>
      <c r="C3088" s="364"/>
      <c r="D3088" s="222" t="s">
        <v>13</v>
      </c>
      <c r="E3088" s="222" t="s">
        <v>11</v>
      </c>
      <c r="F3088" s="222" t="s">
        <v>11</v>
      </c>
      <c r="G3088" s="238">
        <f>MROUND(H3088*L3088*I3088/K3088,0.00000001)</f>
        <v>0.28266734999999998</v>
      </c>
      <c r="H3088" s="160">
        <f t="shared" si="660"/>
        <v>354.32</v>
      </c>
      <c r="I3088" s="159">
        <f t="shared" si="663"/>
        <v>2.4731E-2</v>
      </c>
      <c r="J3088" s="160"/>
      <c r="K3088" s="161">
        <f t="shared" si="664"/>
        <v>31</v>
      </c>
      <c r="L3088" s="162">
        <v>1</v>
      </c>
      <c r="M3088" s="163" t="str">
        <f>CONCATENATE(H3088," ",F3088,"(лимиты выделенные УЖКХ) ","*",I3088,"/",K3088,"чел/час")</f>
        <v>354,32 м3(лимиты выделенные УЖКХ) *0,024731/31чел/час</v>
      </c>
      <c r="N3088" s="278">
        <f t="shared" si="661"/>
        <v>96.18</v>
      </c>
      <c r="O3088" s="280">
        <f t="shared" si="662"/>
        <v>27.186945999999999</v>
      </c>
      <c r="P3088" s="166"/>
      <c r="Q3088" s="166">
        <f t="shared" si="659"/>
        <v>842.79532599999993</v>
      </c>
      <c r="R3088" s="71"/>
    </row>
    <row r="3089" spans="1:18" s="61" customFormat="1" x14ac:dyDescent="0.25">
      <c r="A3089" s="358"/>
      <c r="B3089" s="361"/>
      <c r="C3089" s="364" t="s">
        <v>216</v>
      </c>
      <c r="D3089" s="222" t="s">
        <v>23</v>
      </c>
      <c r="E3089" s="222" t="s">
        <v>11</v>
      </c>
      <c r="F3089" s="222" t="s">
        <v>11</v>
      </c>
      <c r="G3089" s="238">
        <f>MROUND(H3089*L3089*I3089/K3089,0.00000001)</f>
        <v>5.0546970000000004E-2</v>
      </c>
      <c r="H3089" s="160">
        <f t="shared" si="660"/>
        <v>63.36</v>
      </c>
      <c r="I3089" s="159">
        <f t="shared" si="663"/>
        <v>2.4731E-2</v>
      </c>
      <c r="J3089" s="160"/>
      <c r="K3089" s="161">
        <f t="shared" si="664"/>
        <v>31</v>
      </c>
      <c r="L3089" s="162">
        <v>1</v>
      </c>
      <c r="M3089" s="163" t="str">
        <f>CONCATENATE(H3089," ",F3089," ","*",I3089,"/",K3089,"чел/час")</f>
        <v>63,36 м3 *0,024731/31чел/час</v>
      </c>
      <c r="N3089" s="164">
        <f t="shared" si="661"/>
        <v>742.21369949494954</v>
      </c>
      <c r="O3089" s="280">
        <f t="shared" si="662"/>
        <v>37.516653999999996</v>
      </c>
      <c r="P3089" s="166"/>
      <c r="Q3089" s="166">
        <f t="shared" si="659"/>
        <v>1163.0162739999998</v>
      </c>
      <c r="R3089" s="71"/>
    </row>
    <row r="3090" spans="1:18" s="61" customFormat="1" ht="47.25" x14ac:dyDescent="0.25">
      <c r="A3090" s="358"/>
      <c r="B3090" s="361"/>
      <c r="C3090" s="364"/>
      <c r="D3090" s="222" t="s">
        <v>24</v>
      </c>
      <c r="E3090" s="222" t="s">
        <v>25</v>
      </c>
      <c r="F3090" s="222" t="s">
        <v>248</v>
      </c>
      <c r="G3090" s="238">
        <f>MROUND(H3090*L3090*I3090/K3090,0.00000001)</f>
        <v>3.1911000000000001E-3</v>
      </c>
      <c r="H3090" s="160">
        <f t="shared" si="660"/>
        <v>4</v>
      </c>
      <c r="I3090" s="159">
        <f t="shared" si="663"/>
        <v>2.4731E-2</v>
      </c>
      <c r="J3090" s="160"/>
      <c r="K3090" s="161">
        <f t="shared" si="664"/>
        <v>31</v>
      </c>
      <c r="L3090" s="250">
        <v>1</v>
      </c>
      <c r="M3090" s="163" t="str">
        <f>CONCATENATE(H3090," ",F3090,"(потребность из расчета 4 контейнера для уборки территории весной и осенью на 1 учреждение)","*",I3090,"/",K3090,"чел/час")</f>
        <v>4 контейнеров(потребность из расчета 4 контейнера для уборки территории весной и осенью на 1 учреждение)*0,024731/31чел/час</v>
      </c>
      <c r="N3090" s="278">
        <f t="shared" si="661"/>
        <v>5751.8</v>
      </c>
      <c r="O3090" s="280">
        <f t="shared" si="662"/>
        <v>18.354568999999998</v>
      </c>
      <c r="P3090" s="166"/>
      <c r="Q3090" s="166">
        <f t="shared" si="659"/>
        <v>568.99163899999996</v>
      </c>
      <c r="R3090" s="71"/>
    </row>
    <row r="3091" spans="1:18" s="62" customFormat="1" x14ac:dyDescent="0.25">
      <c r="A3091" s="358"/>
      <c r="B3091" s="361"/>
      <c r="C3091" s="218" t="s">
        <v>290</v>
      </c>
      <c r="D3091" s="226"/>
      <c r="E3091" s="226"/>
      <c r="F3091" s="226"/>
      <c r="G3091" s="227"/>
      <c r="H3091" s="228"/>
      <c r="I3091" s="206"/>
      <c r="J3091" s="228"/>
      <c r="K3091" s="207"/>
      <c r="L3091" s="257"/>
      <c r="M3091" s="209"/>
      <c r="N3091" s="281"/>
      <c r="O3091" s="279">
        <f>SUM(O3084:O3090)</f>
        <v>609.10782799999993</v>
      </c>
      <c r="P3091" s="267"/>
      <c r="Q3091" s="166"/>
      <c r="R3091" s="71"/>
    </row>
    <row r="3092" spans="1:18" s="61" customFormat="1" x14ac:dyDescent="0.25">
      <c r="A3092" s="358"/>
      <c r="B3092" s="361"/>
      <c r="C3092" s="221"/>
      <c r="D3092" s="356" t="s">
        <v>14</v>
      </c>
      <c r="E3092" s="356"/>
      <c r="F3092" s="356"/>
      <c r="G3092" s="356"/>
      <c r="H3092" s="188"/>
      <c r="I3092" s="159"/>
      <c r="J3092" s="188"/>
      <c r="K3092" s="161"/>
      <c r="L3092" s="250"/>
      <c r="M3092" s="230"/>
      <c r="N3092" s="278"/>
      <c r="O3092" s="279">
        <f>O3096+O3100+O3102</f>
        <v>0</v>
      </c>
      <c r="P3092" s="166"/>
      <c r="Q3092" s="166">
        <f t="shared" si="659"/>
        <v>0</v>
      </c>
      <c r="R3092" s="71"/>
    </row>
    <row r="3093" spans="1:18" s="61" customFormat="1" x14ac:dyDescent="0.25">
      <c r="A3093" s="358"/>
      <c r="B3093" s="361"/>
      <c r="C3093" s="365" t="s">
        <v>379</v>
      </c>
      <c r="D3093" s="231" t="s">
        <v>49</v>
      </c>
      <c r="E3093" s="231" t="s">
        <v>22</v>
      </c>
      <c r="F3093" s="231" t="s">
        <v>22</v>
      </c>
      <c r="G3093" s="238">
        <f>MROUND(H3093*L3093*I3093/K3093,0.000001)</f>
        <v>0</v>
      </c>
      <c r="H3093" s="160"/>
      <c r="I3093" s="159">
        <f>I3088</f>
        <v>2.4731E-2</v>
      </c>
      <c r="J3093" s="160"/>
      <c r="K3093" s="161">
        <f>K3088</f>
        <v>31</v>
      </c>
      <c r="L3093" s="250"/>
      <c r="M3093" s="163"/>
      <c r="N3093" s="278"/>
      <c r="O3093" s="280">
        <f>MROUND(N3093*G3093,0.000001)</f>
        <v>0</v>
      </c>
      <c r="P3093" s="166"/>
      <c r="Q3093" s="166">
        <f>O3093*K3093</f>
        <v>0</v>
      </c>
      <c r="R3093" s="71"/>
    </row>
    <row r="3094" spans="1:18" s="61" customFormat="1" x14ac:dyDescent="0.25">
      <c r="A3094" s="358"/>
      <c r="B3094" s="361"/>
      <c r="C3094" s="366"/>
      <c r="D3094" s="231" t="s">
        <v>49</v>
      </c>
      <c r="E3094" s="231" t="s">
        <v>28</v>
      </c>
      <c r="F3094" s="231" t="s">
        <v>28</v>
      </c>
      <c r="G3094" s="238">
        <f>MROUND(H3094*L3094*I3094/K3094,0.000001)</f>
        <v>0</v>
      </c>
      <c r="H3094" s="160"/>
      <c r="I3094" s="159">
        <f t="shared" si="663"/>
        <v>2.4731E-2</v>
      </c>
      <c r="J3094" s="160"/>
      <c r="K3094" s="161">
        <f t="shared" si="664"/>
        <v>31</v>
      </c>
      <c r="L3094" s="250">
        <v>2</v>
      </c>
      <c r="M3094" s="163"/>
      <c r="N3094" s="278"/>
      <c r="O3094" s="280">
        <f>MROUND(N3094*G3094,0.000001)</f>
        <v>0</v>
      </c>
      <c r="P3094" s="166"/>
      <c r="Q3094" s="166"/>
      <c r="R3094" s="71"/>
    </row>
    <row r="3095" spans="1:18" s="61" customFormat="1" x14ac:dyDescent="0.25">
      <c r="A3095" s="358"/>
      <c r="B3095" s="361"/>
      <c r="C3095" s="367"/>
      <c r="D3095" s="231" t="s">
        <v>49</v>
      </c>
      <c r="E3095" s="231" t="s">
        <v>101</v>
      </c>
      <c r="F3095" s="231" t="s">
        <v>101</v>
      </c>
      <c r="G3095" s="238">
        <f>MROUND(H3095*L3095*I3095/K3095,0.00000001)</f>
        <v>0</v>
      </c>
      <c r="H3095" s="160"/>
      <c r="I3095" s="159">
        <f>I3093</f>
        <v>2.4731E-2</v>
      </c>
      <c r="J3095" s="160"/>
      <c r="K3095" s="161">
        <f>K3093</f>
        <v>31</v>
      </c>
      <c r="L3095" s="250">
        <v>1</v>
      </c>
      <c r="M3095" s="163"/>
      <c r="N3095" s="278"/>
      <c r="O3095" s="280">
        <f>MROUND(N3095*G3095,0.000001)</f>
        <v>0</v>
      </c>
      <c r="P3095" s="166"/>
      <c r="Q3095" s="166">
        <f>O3095*K3095</f>
        <v>0</v>
      </c>
      <c r="R3095" s="71"/>
    </row>
    <row r="3096" spans="1:18" s="62" customFormat="1" x14ac:dyDescent="0.25">
      <c r="A3096" s="358"/>
      <c r="B3096" s="361"/>
      <c r="C3096" s="218" t="s">
        <v>380</v>
      </c>
      <c r="D3096" s="232"/>
      <c r="E3096" s="232"/>
      <c r="F3096" s="232"/>
      <c r="G3096" s="227"/>
      <c r="H3096" s="228"/>
      <c r="I3096" s="206"/>
      <c r="J3096" s="228"/>
      <c r="K3096" s="207"/>
      <c r="L3096" s="257"/>
      <c r="M3096" s="209"/>
      <c r="N3096" s="281"/>
      <c r="O3096" s="279">
        <f>O3095+O3093+O3094</f>
        <v>0</v>
      </c>
      <c r="P3096" s="267"/>
      <c r="Q3096" s="166"/>
      <c r="R3096" s="71"/>
    </row>
    <row r="3097" spans="1:18" s="61" customFormat="1" x14ac:dyDescent="0.25">
      <c r="A3097" s="358"/>
      <c r="B3097" s="361"/>
      <c r="C3097" s="365" t="s">
        <v>76</v>
      </c>
      <c r="D3097" s="231" t="s">
        <v>49</v>
      </c>
      <c r="E3097" s="231" t="s">
        <v>22</v>
      </c>
      <c r="F3097" s="231" t="s">
        <v>22</v>
      </c>
      <c r="G3097" s="238">
        <f>MROUND(H3097*L3097*I3097/K3097,0.000001)</f>
        <v>0</v>
      </c>
      <c r="H3097" s="160"/>
      <c r="I3097" s="159">
        <f>I3093</f>
        <v>2.4731E-2</v>
      </c>
      <c r="J3097" s="160"/>
      <c r="K3097" s="161">
        <f>K3093</f>
        <v>31</v>
      </c>
      <c r="L3097" s="250">
        <v>1</v>
      </c>
      <c r="M3097" s="163"/>
      <c r="N3097" s="278"/>
      <c r="O3097" s="280">
        <f>MROUND(N3097*G3097,0.000001)</f>
        <v>0</v>
      </c>
      <c r="P3097" s="166"/>
      <c r="Q3097" s="166">
        <f t="shared" si="659"/>
        <v>0</v>
      </c>
      <c r="R3097" s="71"/>
    </row>
    <row r="3098" spans="1:18" s="61" customFormat="1" x14ac:dyDescent="0.25">
      <c r="A3098" s="358"/>
      <c r="B3098" s="361"/>
      <c r="C3098" s="366"/>
      <c r="D3098" s="231" t="s">
        <v>49</v>
      </c>
      <c r="E3098" s="231" t="s">
        <v>28</v>
      </c>
      <c r="F3098" s="231" t="s">
        <v>28</v>
      </c>
      <c r="G3098" s="238">
        <f>MROUND(H3098*L3098*I3098/K3098,0.000001)</f>
        <v>0</v>
      </c>
      <c r="H3098" s="160"/>
      <c r="I3098" s="159">
        <f t="shared" si="663"/>
        <v>2.4731E-2</v>
      </c>
      <c r="J3098" s="160"/>
      <c r="K3098" s="161">
        <f t="shared" si="664"/>
        <v>31</v>
      </c>
      <c r="L3098" s="250">
        <v>2</v>
      </c>
      <c r="M3098" s="163"/>
      <c r="N3098" s="278"/>
      <c r="O3098" s="280">
        <f>MROUND(N3098*G3098,0.000001)</f>
        <v>0</v>
      </c>
      <c r="P3098" s="166"/>
      <c r="Q3098" s="166"/>
      <c r="R3098" s="71"/>
    </row>
    <row r="3099" spans="1:18" s="61" customFormat="1" x14ac:dyDescent="0.25">
      <c r="A3099" s="358"/>
      <c r="B3099" s="361"/>
      <c r="C3099" s="367"/>
      <c r="D3099" s="231" t="s">
        <v>49</v>
      </c>
      <c r="E3099" s="231" t="s">
        <v>101</v>
      </c>
      <c r="F3099" s="231" t="s">
        <v>101</v>
      </c>
      <c r="G3099" s="238">
        <f>MROUND(H3099*L3099*I3099/K3099,0.00000001)</f>
        <v>0</v>
      </c>
      <c r="H3099" s="160"/>
      <c r="I3099" s="159">
        <f>I3097</f>
        <v>2.4731E-2</v>
      </c>
      <c r="J3099" s="160"/>
      <c r="K3099" s="161">
        <f>K3097</f>
        <v>31</v>
      </c>
      <c r="L3099" s="250">
        <v>1</v>
      </c>
      <c r="M3099" s="163"/>
      <c r="N3099" s="278"/>
      <c r="O3099" s="280">
        <f>MROUND(N3099*G3099,0.000001)</f>
        <v>0</v>
      </c>
      <c r="P3099" s="166"/>
      <c r="Q3099" s="166">
        <f t="shared" si="659"/>
        <v>0</v>
      </c>
      <c r="R3099" s="71"/>
    </row>
    <row r="3100" spans="1:18" s="62" customFormat="1" x14ac:dyDescent="0.25">
      <c r="A3100" s="358"/>
      <c r="B3100" s="361"/>
      <c r="C3100" s="218" t="s">
        <v>291</v>
      </c>
      <c r="D3100" s="232"/>
      <c r="E3100" s="232"/>
      <c r="F3100" s="232"/>
      <c r="G3100" s="227"/>
      <c r="H3100" s="228"/>
      <c r="I3100" s="206"/>
      <c r="J3100" s="228"/>
      <c r="K3100" s="207"/>
      <c r="L3100" s="257"/>
      <c r="M3100" s="209"/>
      <c r="N3100" s="281"/>
      <c r="O3100" s="279">
        <f>O3099+O3097+O3098</f>
        <v>0</v>
      </c>
      <c r="P3100" s="267"/>
      <c r="Q3100" s="166"/>
      <c r="R3100" s="71"/>
    </row>
    <row r="3101" spans="1:18" s="61" customFormat="1" x14ac:dyDescent="0.25">
      <c r="A3101" s="358"/>
      <c r="B3101" s="361"/>
      <c r="C3101" s="221" t="s">
        <v>77</v>
      </c>
      <c r="D3101" s="231"/>
      <c r="E3101" s="231"/>
      <c r="F3101" s="231"/>
      <c r="G3101" s="238">
        <f>MROUND(H3101*L3101*I3101/K3101,0.000001)</f>
        <v>0</v>
      </c>
      <c r="H3101" s="160"/>
      <c r="I3101" s="159">
        <f>I3097</f>
        <v>2.4731E-2</v>
      </c>
      <c r="J3101" s="160"/>
      <c r="K3101" s="161">
        <f>K3097</f>
        <v>31</v>
      </c>
      <c r="L3101" s="250"/>
      <c r="M3101" s="163"/>
      <c r="N3101" s="278">
        <f>N3004</f>
        <v>0.27250000000000002</v>
      </c>
      <c r="O3101" s="280">
        <f>MROUND(N3101*G3101,0.000001)</f>
        <v>0</v>
      </c>
      <c r="P3101" s="166"/>
      <c r="Q3101" s="166">
        <f t="shared" si="659"/>
        <v>0</v>
      </c>
      <c r="R3101" s="71"/>
    </row>
    <row r="3102" spans="1:18" s="62" customFormat="1" x14ac:dyDescent="0.25">
      <c r="A3102" s="358"/>
      <c r="B3102" s="361"/>
      <c r="C3102" s="218" t="s">
        <v>292</v>
      </c>
      <c r="D3102" s="232"/>
      <c r="E3102" s="232"/>
      <c r="F3102" s="232"/>
      <c r="G3102" s="227"/>
      <c r="H3102" s="228"/>
      <c r="I3102" s="206"/>
      <c r="J3102" s="228"/>
      <c r="K3102" s="207"/>
      <c r="L3102" s="257"/>
      <c r="M3102" s="209"/>
      <c r="N3102" s="281"/>
      <c r="O3102" s="279">
        <f>O3101</f>
        <v>0</v>
      </c>
      <c r="P3102" s="267"/>
      <c r="Q3102" s="166"/>
      <c r="R3102" s="71"/>
    </row>
    <row r="3103" spans="1:18" s="61" customFormat="1" x14ac:dyDescent="0.25">
      <c r="A3103" s="358"/>
      <c r="B3103" s="361"/>
      <c r="C3103" s="221"/>
      <c r="D3103" s="350" t="s">
        <v>65</v>
      </c>
      <c r="E3103" s="350"/>
      <c r="F3103" s="350"/>
      <c r="G3103" s="350"/>
      <c r="H3103" s="195"/>
      <c r="I3103" s="159"/>
      <c r="J3103" s="195"/>
      <c r="K3103" s="161"/>
      <c r="L3103" s="196"/>
      <c r="M3103" s="230"/>
      <c r="N3103" s="278"/>
      <c r="O3103" s="280"/>
      <c r="P3103" s="166"/>
      <c r="Q3103" s="166">
        <f t="shared" si="659"/>
        <v>0</v>
      </c>
      <c r="R3103" s="71"/>
    </row>
    <row r="3104" spans="1:18" s="61" customFormat="1" x14ac:dyDescent="0.25">
      <c r="A3104" s="358"/>
      <c r="B3104" s="361"/>
      <c r="C3104" s="221"/>
      <c r="D3104" s="194"/>
      <c r="E3104" s="194"/>
      <c r="F3104" s="194"/>
      <c r="G3104" s="217"/>
      <c r="H3104" s="195"/>
      <c r="I3104" s="159"/>
      <c r="J3104" s="195"/>
      <c r="K3104" s="161"/>
      <c r="L3104" s="196"/>
      <c r="M3104" s="230"/>
      <c r="N3104" s="278"/>
      <c r="O3104" s="280"/>
      <c r="P3104" s="166"/>
      <c r="Q3104" s="166">
        <f t="shared" si="659"/>
        <v>0</v>
      </c>
      <c r="R3104" s="71"/>
    </row>
    <row r="3105" spans="1:41" s="61" customFormat="1" x14ac:dyDescent="0.25">
      <c r="A3105" s="358"/>
      <c r="B3105" s="361"/>
      <c r="C3105" s="221" t="s">
        <v>357</v>
      </c>
      <c r="D3105" s="368" t="s">
        <v>66</v>
      </c>
      <c r="E3105" s="368"/>
      <c r="F3105" s="368"/>
      <c r="G3105" s="368"/>
      <c r="H3105" s="195"/>
      <c r="I3105" s="159"/>
      <c r="J3105" s="195"/>
      <c r="K3105" s="161"/>
      <c r="L3105" s="196"/>
      <c r="M3105" s="230"/>
      <c r="N3105" s="278"/>
      <c r="O3105" s="279">
        <f>SUM(O3106:O3110)</f>
        <v>133.123953</v>
      </c>
      <c r="P3105" s="166"/>
      <c r="Q3105" s="166">
        <f t="shared" si="659"/>
        <v>0</v>
      </c>
      <c r="R3105" s="71"/>
    </row>
    <row r="3106" spans="1:41" s="61" customFormat="1" x14ac:dyDescent="0.25">
      <c r="A3106" s="358"/>
      <c r="B3106" s="361"/>
      <c r="C3106" s="365"/>
      <c r="D3106" s="284" t="s">
        <v>241</v>
      </c>
      <c r="E3106" s="156" t="s">
        <v>28</v>
      </c>
      <c r="F3106" s="156" t="s">
        <v>28</v>
      </c>
      <c r="G3106" s="238">
        <f>MROUND(H3106*L3106*I3106/K3106,0.000000001)</f>
        <v>4.7866452000000004E-2</v>
      </c>
      <c r="H3106" s="158">
        <f>H3009</f>
        <v>5</v>
      </c>
      <c r="I3106" s="159">
        <f>I3101</f>
        <v>2.4731E-2</v>
      </c>
      <c r="J3106" s="160"/>
      <c r="K3106" s="161">
        <f>K3101</f>
        <v>31</v>
      </c>
      <c r="L3106" s="250">
        <v>12</v>
      </c>
      <c r="M3106" s="163" t="str">
        <f>CONCATENATE(H3106," ",F3106,"*",L3106,"мес.","*",I3106,"/",K3106,"чел/час")</f>
        <v>5 шт*12мес.*0,024731/31чел/час</v>
      </c>
      <c r="N3106" s="278">
        <f>N3009</f>
        <v>278.60400000000004</v>
      </c>
      <c r="O3106" s="280">
        <f>MROUND(N3106*G3106,0.000001)</f>
        <v>13.335785</v>
      </c>
      <c r="P3106" s="166"/>
      <c r="Q3106" s="166">
        <f t="shared" si="659"/>
        <v>413.409335</v>
      </c>
      <c r="R3106" s="71"/>
    </row>
    <row r="3107" spans="1:41" s="61" customFormat="1" x14ac:dyDescent="0.25">
      <c r="A3107" s="358"/>
      <c r="B3107" s="361"/>
      <c r="C3107" s="366"/>
      <c r="D3107" s="284" t="s">
        <v>242</v>
      </c>
      <c r="E3107" s="156" t="s">
        <v>243</v>
      </c>
      <c r="F3107" s="156" t="s">
        <v>243</v>
      </c>
      <c r="G3107" s="238">
        <f>MROUND(H3107*L3107*I3107/K3107,0.00000001)</f>
        <v>67.319377549999999</v>
      </c>
      <c r="H3107" s="158">
        <v>7032</v>
      </c>
      <c r="I3107" s="159">
        <f t="shared" si="663"/>
        <v>2.4731E-2</v>
      </c>
      <c r="J3107" s="160"/>
      <c r="K3107" s="161">
        <f t="shared" si="664"/>
        <v>31</v>
      </c>
      <c r="L3107" s="250">
        <v>12</v>
      </c>
      <c r="M3107" s="163" t="str">
        <f>CONCATENATE(H3107," ",F3107,"*",L3107,"мес.","*",I3107,"/",K3107,"чел/час")</f>
        <v>7032 мин.*12мес.*0,024731/31чел/час</v>
      </c>
      <c r="N3107" s="278">
        <f>N3010</f>
        <v>0.78479996207811897</v>
      </c>
      <c r="O3107" s="280">
        <f>MROUND(N3107*G3107,0.000001)</f>
        <v>52.832245</v>
      </c>
      <c r="P3107" s="166"/>
      <c r="Q3107" s="166">
        <f t="shared" si="659"/>
        <v>1637.799595</v>
      </c>
      <c r="R3107" s="71"/>
    </row>
    <row r="3108" spans="1:41" s="61" customFormat="1" ht="31.5" x14ac:dyDescent="0.25">
      <c r="A3108" s="358"/>
      <c r="B3108" s="361"/>
      <c r="C3108" s="366"/>
      <c r="D3108" s="285" t="s">
        <v>244</v>
      </c>
      <c r="E3108" s="286" t="s">
        <v>245</v>
      </c>
      <c r="F3108" s="286" t="s">
        <v>247</v>
      </c>
      <c r="G3108" s="238">
        <f>MROUND(H3108*L3108*I3108/K3108,0.000001)</f>
        <v>9.5729999999999999E-3</v>
      </c>
      <c r="H3108" s="158">
        <v>1</v>
      </c>
      <c r="I3108" s="159">
        <f t="shared" si="663"/>
        <v>2.4731E-2</v>
      </c>
      <c r="J3108" s="160"/>
      <c r="K3108" s="161">
        <f t="shared" si="664"/>
        <v>31</v>
      </c>
      <c r="L3108" s="250">
        <v>12</v>
      </c>
      <c r="M3108" s="163" t="str">
        <f>CONCATENATE(H3108," ",F3108,"*",L3108,"мес.","*",I3108,"/",K3108,"чел/час")</f>
        <v>1 радиоточек*12мес.*0,024731/31чел/час</v>
      </c>
      <c r="N3108" s="278">
        <f>N3011</f>
        <v>165.68</v>
      </c>
      <c r="O3108" s="280">
        <f>MROUND(N3108*G3108,0.000001)</f>
        <v>1.586055</v>
      </c>
      <c r="P3108" s="166"/>
      <c r="Q3108" s="166">
        <f t="shared" si="659"/>
        <v>49.167704999999998</v>
      </c>
      <c r="R3108" s="71"/>
    </row>
    <row r="3109" spans="1:41" s="61" customFormat="1" ht="47.25" x14ac:dyDescent="0.25">
      <c r="A3109" s="358"/>
      <c r="B3109" s="361"/>
      <c r="C3109" s="366"/>
      <c r="D3109" s="285" t="s">
        <v>374</v>
      </c>
      <c r="E3109" s="156" t="s">
        <v>28</v>
      </c>
      <c r="F3109" s="156" t="s">
        <v>28</v>
      </c>
      <c r="G3109" s="238">
        <f>MROUND(H3109*L3109*I3109/K3109,0.000001)</f>
        <v>5.7439999999999998E-2</v>
      </c>
      <c r="H3109" s="158">
        <f>H3012</f>
        <v>6</v>
      </c>
      <c r="I3109" s="159">
        <f>I3107</f>
        <v>2.4731E-2</v>
      </c>
      <c r="J3109" s="160"/>
      <c r="K3109" s="161">
        <f>K3107</f>
        <v>31</v>
      </c>
      <c r="L3109" s="250">
        <f>L3012</f>
        <v>12</v>
      </c>
      <c r="M3109" s="163" t="str">
        <f>CONCATENATE(H3109," ",F3109,"*",L3109,"мес.","*",I3109,"/",K3109,"чел/час")</f>
        <v>6 шт*12мес.*0,024731/31чел/час</v>
      </c>
      <c r="N3109" s="278">
        <f>N3012</f>
        <v>418.67986111111117</v>
      </c>
      <c r="O3109" s="280">
        <f>MROUND(N3109*G3109,0.000001)</f>
        <v>24.048970999999998</v>
      </c>
      <c r="P3109" s="166"/>
      <c r="Q3109" s="166">
        <f t="shared" si="659"/>
        <v>745.51810099999989</v>
      </c>
      <c r="R3109" s="71"/>
    </row>
    <row r="3110" spans="1:41" s="61" customFormat="1" x14ac:dyDescent="0.25">
      <c r="A3110" s="358"/>
      <c r="B3110" s="361"/>
      <c r="C3110" s="367"/>
      <c r="D3110" s="284" t="s">
        <v>246</v>
      </c>
      <c r="E3110" s="156" t="s">
        <v>28</v>
      </c>
      <c r="F3110" s="156" t="s">
        <v>28</v>
      </c>
      <c r="G3110" s="238">
        <f>MROUND(H3110*L3110*I3110/K3110,0.000001)</f>
        <v>9.5729999999999999E-3</v>
      </c>
      <c r="H3110" s="158">
        <v>1</v>
      </c>
      <c r="I3110" s="159">
        <f>I3108</f>
        <v>2.4731E-2</v>
      </c>
      <c r="J3110" s="160"/>
      <c r="K3110" s="161">
        <f>K3108</f>
        <v>31</v>
      </c>
      <c r="L3110" s="250">
        <v>12</v>
      </c>
      <c r="M3110" s="163" t="str">
        <f>CONCATENATE(H3110," ",F3110,"*",L3110,"мес.","*",I3110,"/",K3110,"чел/час")</f>
        <v>1 шт*12мес.*0,024731/31чел/час</v>
      </c>
      <c r="N3110" s="278">
        <f>N3013</f>
        <v>4316.4000000000005</v>
      </c>
      <c r="O3110" s="280">
        <f>MROUND(N3110*G3110,0.000001)</f>
        <v>41.320896999999995</v>
      </c>
      <c r="P3110" s="166"/>
      <c r="Q3110" s="166">
        <f t="shared" si="659"/>
        <v>1280.9478069999998</v>
      </c>
      <c r="R3110" s="71"/>
    </row>
    <row r="3111" spans="1:41" s="62" customFormat="1" x14ac:dyDescent="0.25">
      <c r="A3111" s="358"/>
      <c r="B3111" s="361"/>
      <c r="C3111" s="218" t="s">
        <v>358</v>
      </c>
      <c r="D3111" s="287"/>
      <c r="E3111" s="287"/>
      <c r="F3111" s="287"/>
      <c r="G3111" s="288"/>
      <c r="H3111" s="214"/>
      <c r="I3111" s="206"/>
      <c r="J3111" s="214"/>
      <c r="K3111" s="207"/>
      <c r="L3111" s="215"/>
      <c r="M3111" s="289"/>
      <c r="N3111" s="281"/>
      <c r="O3111" s="279">
        <f>O3105</f>
        <v>133.123953</v>
      </c>
      <c r="P3111" s="267"/>
      <c r="Q3111" s="166"/>
      <c r="R3111" s="71"/>
    </row>
    <row r="3112" spans="1:41" s="61" customFormat="1" x14ac:dyDescent="0.25">
      <c r="A3112" s="358"/>
      <c r="B3112" s="361"/>
      <c r="C3112" s="221"/>
      <c r="D3112" s="368" t="s">
        <v>67</v>
      </c>
      <c r="E3112" s="368"/>
      <c r="F3112" s="368"/>
      <c r="G3112" s="368"/>
      <c r="H3112" s="195"/>
      <c r="I3112" s="159">
        <f>I3109</f>
        <v>2.4731E-2</v>
      </c>
      <c r="J3112" s="195"/>
      <c r="K3112" s="161">
        <f>K3110</f>
        <v>31</v>
      </c>
      <c r="L3112" s="196"/>
      <c r="M3112" s="230"/>
      <c r="N3112" s="278"/>
      <c r="O3112" s="280"/>
      <c r="P3112" s="166"/>
      <c r="Q3112" s="166">
        <f t="shared" si="659"/>
        <v>0</v>
      </c>
      <c r="R3112" s="71"/>
    </row>
    <row r="3113" spans="1:41" s="61" customFormat="1" x14ac:dyDescent="0.25">
      <c r="A3113" s="358"/>
      <c r="B3113" s="361"/>
      <c r="C3113" s="221"/>
      <c r="D3113" s="194"/>
      <c r="E3113" s="194"/>
      <c r="F3113" s="194"/>
      <c r="G3113" s="217"/>
      <c r="H3113" s="195"/>
      <c r="I3113" s="159"/>
      <c r="J3113" s="195"/>
      <c r="K3113" s="161"/>
      <c r="L3113" s="196"/>
      <c r="M3113" s="230"/>
      <c r="N3113" s="278"/>
      <c r="O3113" s="280"/>
      <c r="P3113" s="166"/>
      <c r="Q3113" s="166">
        <f t="shared" si="659"/>
        <v>0</v>
      </c>
      <c r="R3113" s="71"/>
    </row>
    <row r="3114" spans="1:41" s="61" customFormat="1" x14ac:dyDescent="0.25">
      <c r="A3114" s="358"/>
      <c r="B3114" s="361"/>
      <c r="C3114" s="221"/>
      <c r="D3114" s="350" t="s">
        <v>68</v>
      </c>
      <c r="E3114" s="350"/>
      <c r="F3114" s="350"/>
      <c r="G3114" s="350"/>
      <c r="H3114" s="195"/>
      <c r="I3114" s="159"/>
      <c r="J3114" s="195"/>
      <c r="K3114" s="161"/>
      <c r="L3114" s="196"/>
      <c r="M3114" s="230"/>
      <c r="N3114" s="278"/>
      <c r="O3114" s="280"/>
      <c r="P3114" s="166"/>
      <c r="Q3114" s="166">
        <f t="shared" si="659"/>
        <v>0</v>
      </c>
      <c r="R3114" s="71"/>
    </row>
    <row r="3115" spans="1:41" s="61" customFormat="1" x14ac:dyDescent="0.25">
      <c r="A3115" s="358"/>
      <c r="B3115" s="361"/>
      <c r="C3115" s="221"/>
      <c r="D3115" s="156"/>
      <c r="E3115" s="156"/>
      <c r="F3115" s="156"/>
      <c r="G3115" s="236"/>
      <c r="H3115" s="195"/>
      <c r="I3115" s="159"/>
      <c r="J3115" s="195"/>
      <c r="K3115" s="161"/>
      <c r="L3115" s="196"/>
      <c r="M3115" s="230"/>
      <c r="N3115" s="278"/>
      <c r="O3115" s="280"/>
      <c r="P3115" s="166"/>
      <c r="Q3115" s="166">
        <f t="shared" si="659"/>
        <v>0</v>
      </c>
      <c r="R3115" s="71"/>
    </row>
    <row r="3116" spans="1:41" s="61" customFormat="1" x14ac:dyDescent="0.25">
      <c r="A3116" s="358"/>
      <c r="B3116" s="361"/>
      <c r="C3116" s="221"/>
      <c r="D3116" s="368" t="s">
        <v>69</v>
      </c>
      <c r="E3116" s="368"/>
      <c r="F3116" s="368"/>
      <c r="G3116" s="368"/>
      <c r="H3116" s="187"/>
      <c r="I3116" s="159"/>
      <c r="J3116" s="187"/>
      <c r="K3116" s="161"/>
      <c r="L3116" s="276"/>
      <c r="M3116" s="230"/>
      <c r="N3116" s="278"/>
      <c r="O3116" s="279">
        <f>O3123+O3130+O3134+O3152+O3154+O3156+O3162+O3164+O3167</f>
        <v>1159.370635</v>
      </c>
      <c r="P3116" s="166"/>
      <c r="Q3116" s="166">
        <f t="shared" si="659"/>
        <v>0</v>
      </c>
      <c r="R3116" s="71"/>
    </row>
    <row r="3117" spans="1:41" s="61" customFormat="1" ht="31.5" x14ac:dyDescent="0.25">
      <c r="A3117" s="358"/>
      <c r="B3117" s="361"/>
      <c r="C3117" s="365" t="s">
        <v>78</v>
      </c>
      <c r="D3117" s="156" t="s">
        <v>26</v>
      </c>
      <c r="E3117" s="156" t="s">
        <v>22</v>
      </c>
      <c r="F3117" s="156" t="s">
        <v>22</v>
      </c>
      <c r="G3117" s="238">
        <f>MROUND(H3117*L3117*I3117/K3117,0.000000001)</f>
        <v>6.7013032260000003</v>
      </c>
      <c r="H3117" s="158">
        <f>H3020</f>
        <v>700</v>
      </c>
      <c r="I3117" s="159">
        <f>I3109</f>
        <v>2.4731E-2</v>
      </c>
      <c r="J3117" s="160"/>
      <c r="K3117" s="161">
        <f>K3106</f>
        <v>31</v>
      </c>
      <c r="L3117" s="250">
        <v>12</v>
      </c>
      <c r="M3117" s="163" t="str">
        <f>CONCATENATE(H3117," ",F3117,"(обрабатываемая площадь в мес.)","*",L3117,"мес.","*",I3117,"/",K3117,"чел/час")</f>
        <v>700 м2(обрабатываемая площадь в мес.)*12мес.*0,024731/31чел/час</v>
      </c>
      <c r="N3117" s="278">
        <f>N3020</f>
        <v>1.1554</v>
      </c>
      <c r="O3117" s="280">
        <f>MROUND(N3117*G3117,0.000001)</f>
        <v>7.742686</v>
      </c>
      <c r="P3117" s="166"/>
      <c r="Q3117" s="166">
        <f t="shared" si="659"/>
        <v>240.02326600000001</v>
      </c>
      <c r="R3117" s="71"/>
    </row>
    <row r="3118" spans="1:41" s="61" customFormat="1" ht="32.450000000000003" customHeight="1" x14ac:dyDescent="0.25">
      <c r="A3118" s="358"/>
      <c r="B3118" s="361"/>
      <c r="C3118" s="366"/>
      <c r="D3118" s="156" t="s">
        <v>96</v>
      </c>
      <c r="E3118" s="156" t="s">
        <v>22</v>
      </c>
      <c r="F3118" s="156" t="s">
        <v>22</v>
      </c>
      <c r="G3118" s="238">
        <f>MROUND(H3118*L3118*I3118/K3118,0.0000001)</f>
        <v>4.3079805999999996</v>
      </c>
      <c r="H3118" s="158">
        <f>H3021</f>
        <v>450</v>
      </c>
      <c r="I3118" s="159">
        <f t="shared" si="663"/>
        <v>2.4731E-2</v>
      </c>
      <c r="J3118" s="160"/>
      <c r="K3118" s="161">
        <f t="shared" si="664"/>
        <v>31</v>
      </c>
      <c r="L3118" s="250">
        <v>12</v>
      </c>
      <c r="M3118" s="163" t="str">
        <f>CONCATENATE(H3118," ",F3118,"(обрабатываемая площадь в мес.)","*",L3118,"мес.","*",I3118,"/",K3118,"чел/час")</f>
        <v>450 м2(обрабатываемая площадь в мес.)*12мес.*0,024731/31чел/час</v>
      </c>
      <c r="N3118" s="278">
        <f>N3021</f>
        <v>1.853</v>
      </c>
      <c r="O3118" s="280">
        <f>MROUND(N3118*G3118,0.000001)</f>
        <v>7.9826879999999996</v>
      </c>
      <c r="P3118" s="166"/>
      <c r="Q3118" s="166">
        <f t="shared" si="659"/>
        <v>247.46332799999999</v>
      </c>
      <c r="R3118" s="71"/>
    </row>
    <row r="3119" spans="1:41" s="135" customFormat="1" ht="31.5" x14ac:dyDescent="0.25">
      <c r="A3119" s="358"/>
      <c r="B3119" s="361"/>
      <c r="C3119" s="366"/>
      <c r="D3119" s="156" t="s">
        <v>385</v>
      </c>
      <c r="E3119" s="156" t="s">
        <v>22</v>
      </c>
      <c r="F3119" s="156" t="s">
        <v>22</v>
      </c>
      <c r="G3119" s="238">
        <f>MROUND(H3119*L3119*I3119/K3119,0.000001)</f>
        <v>13.402605999999999</v>
      </c>
      <c r="H3119" s="242">
        <f>$H$3022</f>
        <v>700</v>
      </c>
      <c r="I3119" s="244">
        <f>I3118</f>
        <v>2.4731E-2</v>
      </c>
      <c r="J3119" s="160"/>
      <c r="K3119" s="161">
        <f>K3117</f>
        <v>31</v>
      </c>
      <c r="L3119" s="162">
        <v>24</v>
      </c>
      <c r="M3119" s="163" t="str">
        <f>CONCATENATE(H3119," ",F3119,"(обрабатываемая площадь в год)","*",L3119," раза в год.","*",I3119,"/",K3119,"чел.")</f>
        <v>700 м2(обрабатываемая площадь в год)*24 раза в год.*0,024731/31чел.</v>
      </c>
      <c r="N3119" s="164">
        <f>$N$3022</f>
        <v>0.27250000000000002</v>
      </c>
      <c r="O3119" s="165">
        <f>MROUND(G3119*N3119,0.000001)</f>
        <v>3.6522099999999997</v>
      </c>
      <c r="P3119" s="166"/>
      <c r="Q3119" s="166">
        <f t="shared" si="659"/>
        <v>113.21850999999999</v>
      </c>
      <c r="R3119" s="71"/>
      <c r="S3119" s="61"/>
      <c r="T3119" s="61"/>
      <c r="U3119" s="61"/>
      <c r="V3119" s="61"/>
      <c r="W3119" s="61"/>
      <c r="X3119" s="61"/>
      <c r="Y3119" s="61"/>
      <c r="Z3119" s="61"/>
      <c r="AA3119" s="61"/>
      <c r="AB3119" s="61"/>
      <c r="AC3119" s="61"/>
      <c r="AD3119" s="61"/>
      <c r="AE3119" s="61"/>
      <c r="AF3119" s="61"/>
      <c r="AG3119" s="61"/>
      <c r="AH3119" s="61"/>
      <c r="AI3119" s="61"/>
      <c r="AJ3119" s="61"/>
      <c r="AK3119" s="61"/>
      <c r="AL3119" s="61"/>
      <c r="AM3119" s="61"/>
      <c r="AN3119" s="61"/>
      <c r="AO3119" s="61"/>
    </row>
    <row r="3120" spans="1:41" s="135" customFormat="1" ht="31.5" x14ac:dyDescent="0.25">
      <c r="A3120" s="358"/>
      <c r="B3120" s="361"/>
      <c r="C3120" s="366"/>
      <c r="D3120" s="156" t="s">
        <v>394</v>
      </c>
      <c r="E3120" s="156" t="s">
        <v>22</v>
      </c>
      <c r="F3120" s="156" t="s">
        <v>22</v>
      </c>
      <c r="G3120" s="238">
        <f>MROUND(H3120*L3120*I3120/K3120,0.000001)</f>
        <v>4.3079809999999998</v>
      </c>
      <c r="H3120" s="243">
        <f>$H$3023</f>
        <v>450</v>
      </c>
      <c r="I3120" s="244">
        <f>I3119</f>
        <v>2.4731E-2</v>
      </c>
      <c r="J3120" s="160"/>
      <c r="K3120" s="161">
        <f>K3117</f>
        <v>31</v>
      </c>
      <c r="L3120" s="162">
        <v>12</v>
      </c>
      <c r="M3120" s="163" t="str">
        <f>CONCATENATE(H3120," ",F3120,"(обрабатываемая площадь в мес.)","*",L3120,"мес.","*",I3120,"/",K3120,"чел.")</f>
        <v>450 м2(обрабатываемая площадь в мес.)*12мес.*0,024731/31чел.</v>
      </c>
      <c r="N3120" s="164">
        <f>$N$3023</f>
        <v>4.5780000000000003</v>
      </c>
      <c r="O3120" s="165">
        <f>MROUND(G3120*N3120,0.000001)</f>
        <v>19.721937</v>
      </c>
      <c r="P3120" s="166"/>
      <c r="Q3120" s="166">
        <f t="shared" si="659"/>
        <v>611.38004699999999</v>
      </c>
      <c r="R3120" s="71"/>
      <c r="S3120" s="61"/>
      <c r="T3120" s="61"/>
      <c r="U3120" s="61"/>
      <c r="V3120" s="61"/>
      <c r="W3120" s="61"/>
      <c r="X3120" s="61"/>
      <c r="Y3120" s="61"/>
      <c r="Z3120" s="61"/>
      <c r="AA3120" s="61"/>
      <c r="AB3120" s="61"/>
      <c r="AC3120" s="61"/>
      <c r="AD3120" s="61"/>
      <c r="AE3120" s="61"/>
      <c r="AF3120" s="61"/>
      <c r="AG3120" s="61"/>
      <c r="AH3120" s="61"/>
      <c r="AI3120" s="61"/>
      <c r="AJ3120" s="61"/>
      <c r="AK3120" s="61"/>
      <c r="AL3120" s="61"/>
      <c r="AM3120" s="61"/>
      <c r="AN3120" s="61"/>
      <c r="AO3120" s="61"/>
    </row>
    <row r="3121" spans="1:41" s="135" customFormat="1" ht="31.5" x14ac:dyDescent="0.25">
      <c r="A3121" s="358"/>
      <c r="B3121" s="361"/>
      <c r="C3121" s="366"/>
      <c r="D3121" s="156" t="s">
        <v>395</v>
      </c>
      <c r="E3121" s="156" t="s">
        <v>98</v>
      </c>
      <c r="F3121" s="156" t="s">
        <v>98</v>
      </c>
      <c r="G3121" s="238">
        <f>MROUND(H3121*L3121*I3121/K3121,0.000001)</f>
        <v>3.9899999999999999E-4</v>
      </c>
      <c r="H3121" s="242">
        <f>$H$3024</f>
        <v>0.5</v>
      </c>
      <c r="I3121" s="244">
        <f>I3117</f>
        <v>2.4731E-2</v>
      </c>
      <c r="J3121" s="160"/>
      <c r="K3121" s="161">
        <f>K3117</f>
        <v>31</v>
      </c>
      <c r="L3121" s="162">
        <v>1</v>
      </c>
      <c r="M3121" s="163" t="str">
        <f>CONCATENATE(H3121," ",F3121,"(обрабатываемая площадь в год)","*",L3121," раз в год","*",I3121,"/",K3121,"чел.")</f>
        <v>0,5 Га(обрабатываемая площадь в год)*1 раз в год*0,024731/31чел.</v>
      </c>
      <c r="N3121" s="164">
        <f>$N$57</f>
        <v>545</v>
      </c>
      <c r="O3121" s="165">
        <f>MROUND(G3121*N3121,0.000001)</f>
        <v>0.21745499999999998</v>
      </c>
      <c r="P3121" s="166"/>
      <c r="Q3121" s="166">
        <f t="shared" si="659"/>
        <v>6.7411049999999992</v>
      </c>
      <c r="R3121" s="71"/>
      <c r="S3121" s="61"/>
      <c r="T3121" s="61"/>
      <c r="U3121" s="61"/>
      <c r="V3121" s="61"/>
      <c r="W3121" s="61"/>
      <c r="X3121" s="61"/>
      <c r="Y3121" s="61"/>
      <c r="Z3121" s="61"/>
      <c r="AA3121" s="61"/>
      <c r="AB3121" s="61"/>
      <c r="AC3121" s="61"/>
      <c r="AD3121" s="61"/>
      <c r="AE3121" s="61"/>
      <c r="AF3121" s="61"/>
      <c r="AG3121" s="61"/>
      <c r="AH3121" s="61"/>
      <c r="AI3121" s="61"/>
      <c r="AJ3121" s="61"/>
      <c r="AK3121" s="61"/>
      <c r="AL3121" s="61"/>
      <c r="AM3121" s="61"/>
      <c r="AN3121" s="61"/>
      <c r="AO3121" s="61"/>
    </row>
    <row r="3122" spans="1:41" s="61" customFormat="1" ht="31.5" x14ac:dyDescent="0.25">
      <c r="A3122" s="358"/>
      <c r="B3122" s="361"/>
      <c r="C3122" s="367"/>
      <c r="D3122" s="156" t="s">
        <v>97</v>
      </c>
      <c r="E3122" s="156" t="s">
        <v>363</v>
      </c>
      <c r="F3122" s="156" t="s">
        <v>363</v>
      </c>
      <c r="G3122" s="238">
        <f>MROUND(H3122*L3122*I3122/K3122,0.0000001)</f>
        <v>3.9889999999999999E-4</v>
      </c>
      <c r="H3122" s="158">
        <f>H3025</f>
        <v>0.5</v>
      </c>
      <c r="I3122" s="159">
        <f>I3118</f>
        <v>2.4731E-2</v>
      </c>
      <c r="J3122" s="160"/>
      <c r="K3122" s="161">
        <f>K3118</f>
        <v>31</v>
      </c>
      <c r="L3122" s="250">
        <v>1</v>
      </c>
      <c r="M3122" s="163" t="str">
        <f>CONCATENATE(H3122," ",F3122,"(обрабатываемая площадь в мес.)","*",L3122,"мес.","*",I3122,"/",K3122,"чел")</f>
        <v>0,5 га(обрабатываемая площадь в мес.)*1мес.*0,024731/31чел</v>
      </c>
      <c r="N3122" s="278">
        <f>N3025</f>
        <v>2965.98</v>
      </c>
      <c r="O3122" s="280">
        <f>MROUND(N3122*G3122,0.000001)</f>
        <v>1.1831289999999999</v>
      </c>
      <c r="P3122" s="166"/>
      <c r="Q3122" s="166">
        <f t="shared" si="659"/>
        <v>36.676998999999995</v>
      </c>
      <c r="R3122" s="71"/>
    </row>
    <row r="3123" spans="1:41" s="62" customFormat="1" x14ac:dyDescent="0.25">
      <c r="A3123" s="358"/>
      <c r="B3123" s="361"/>
      <c r="C3123" s="218" t="s">
        <v>294</v>
      </c>
      <c r="D3123" s="240"/>
      <c r="E3123" s="240"/>
      <c r="F3123" s="240"/>
      <c r="G3123" s="227"/>
      <c r="H3123" s="241"/>
      <c r="I3123" s="206"/>
      <c r="J3123" s="228"/>
      <c r="K3123" s="207"/>
      <c r="L3123" s="257"/>
      <c r="M3123" s="209"/>
      <c r="N3123" s="281"/>
      <c r="O3123" s="279">
        <f>SUM(O3117:O3122)</f>
        <v>40.500104999999998</v>
      </c>
      <c r="P3123" s="267"/>
      <c r="Q3123" s="166"/>
      <c r="R3123" s="71"/>
    </row>
    <row r="3124" spans="1:41" s="61" customFormat="1" ht="78.75" x14ac:dyDescent="0.25">
      <c r="A3124" s="358"/>
      <c r="B3124" s="361"/>
      <c r="C3124" s="366"/>
      <c r="D3124" s="156" t="s">
        <v>250</v>
      </c>
      <c r="E3124" s="156" t="s">
        <v>251</v>
      </c>
      <c r="F3124" s="156" t="s">
        <v>60</v>
      </c>
      <c r="G3124" s="238">
        <f>MROUND(H3124*L3124*I3124/K3124,0.00000001)</f>
        <v>9.5732899999999999E-3</v>
      </c>
      <c r="H3124" s="158">
        <v>1</v>
      </c>
      <c r="I3124" s="159">
        <f>I3122</f>
        <v>2.4731E-2</v>
      </c>
      <c r="J3124" s="160"/>
      <c r="K3124" s="161">
        <f>K3122</f>
        <v>31</v>
      </c>
      <c r="L3124" s="250">
        <v>12</v>
      </c>
      <c r="M3124" s="163" t="str">
        <f t="shared" ref="M3124:M3131" si="665">CONCATENATE(H3124," ",F3124,"*",I3124,"/",K3124,"чел/час")</f>
        <v>1 шт.*0,024731/31чел/час</v>
      </c>
      <c r="N3124" s="278">
        <f t="shared" ref="N3124:N3129" si="666">N3027</f>
        <v>4360</v>
      </c>
      <c r="O3124" s="280">
        <f t="shared" ref="O3124:O3137" si="667">MROUND(N3124*G3124,0.000001)</f>
        <v>41.739543999999995</v>
      </c>
      <c r="P3124" s="166"/>
      <c r="Q3124" s="166">
        <f t="shared" si="659"/>
        <v>1293.9258639999998</v>
      </c>
      <c r="R3124" s="71"/>
    </row>
    <row r="3125" spans="1:41" s="61" customFormat="1" ht="47.25" x14ac:dyDescent="0.25">
      <c r="A3125" s="358"/>
      <c r="B3125" s="361"/>
      <c r="C3125" s="366"/>
      <c r="D3125" s="156" t="s">
        <v>401</v>
      </c>
      <c r="E3125" s="156" t="s">
        <v>60</v>
      </c>
      <c r="F3125" s="156" t="s">
        <v>402</v>
      </c>
      <c r="G3125" s="238">
        <f t="shared" ref="G3125:G3135" si="668">MROUND(H3125*L3125*I3125/K3125,0.000001)</f>
        <v>0</v>
      </c>
      <c r="H3125" s="158">
        <f>H3028</f>
        <v>0</v>
      </c>
      <c r="I3125" s="159">
        <f t="shared" si="663"/>
        <v>2.4731E-2</v>
      </c>
      <c r="J3125" s="160"/>
      <c r="K3125" s="161">
        <f t="shared" si="664"/>
        <v>31</v>
      </c>
      <c r="L3125" s="250">
        <v>1</v>
      </c>
      <c r="M3125" s="163"/>
      <c r="N3125" s="278">
        <f t="shared" si="666"/>
        <v>0</v>
      </c>
      <c r="O3125" s="280">
        <f t="shared" si="667"/>
        <v>0</v>
      </c>
      <c r="P3125" s="166"/>
      <c r="Q3125" s="166">
        <f t="shared" si="659"/>
        <v>0</v>
      </c>
      <c r="R3125" s="71"/>
    </row>
    <row r="3126" spans="1:41" s="61" customFormat="1" ht="31.5" x14ac:dyDescent="0.25">
      <c r="A3126" s="358"/>
      <c r="B3126" s="361"/>
      <c r="C3126" s="366"/>
      <c r="D3126" s="156" t="s">
        <v>35</v>
      </c>
      <c r="E3126" s="156" t="s">
        <v>102</v>
      </c>
      <c r="F3126" s="156" t="s">
        <v>252</v>
      </c>
      <c r="G3126" s="238">
        <f>MROUND(H3126*L3126*I3126/K3126,0.00000001)</f>
        <v>7.9777000000000005E-4</v>
      </c>
      <c r="H3126" s="158">
        <v>1</v>
      </c>
      <c r="I3126" s="159">
        <f t="shared" si="663"/>
        <v>2.4731E-2</v>
      </c>
      <c r="J3126" s="160"/>
      <c r="K3126" s="161">
        <f t="shared" si="664"/>
        <v>31</v>
      </c>
      <c r="L3126" s="250">
        <v>1</v>
      </c>
      <c r="M3126" s="163"/>
      <c r="N3126" s="278">
        <f t="shared" si="666"/>
        <v>0</v>
      </c>
      <c r="O3126" s="280">
        <f t="shared" si="667"/>
        <v>0</v>
      </c>
      <c r="P3126" s="166"/>
      <c r="Q3126" s="166">
        <f t="shared" si="659"/>
        <v>0</v>
      </c>
      <c r="R3126" s="71"/>
    </row>
    <row r="3127" spans="1:41" s="61" customFormat="1" ht="31.5" x14ac:dyDescent="0.25">
      <c r="A3127" s="358"/>
      <c r="B3127" s="361"/>
      <c r="C3127" s="366"/>
      <c r="D3127" s="156" t="s">
        <v>99</v>
      </c>
      <c r="E3127" s="156" t="s">
        <v>103</v>
      </c>
      <c r="F3127" s="156" t="s">
        <v>225</v>
      </c>
      <c r="G3127" s="238">
        <f>MROUND(H3127*L3127*I3127/K3127,0.00000001)</f>
        <v>0</v>
      </c>
      <c r="H3127" s="158">
        <f>H3030</f>
        <v>0</v>
      </c>
      <c r="I3127" s="159">
        <f t="shared" si="663"/>
        <v>2.4731E-2</v>
      </c>
      <c r="J3127" s="160"/>
      <c r="K3127" s="161">
        <f t="shared" si="664"/>
        <v>31</v>
      </c>
      <c r="L3127" s="250">
        <v>1</v>
      </c>
      <c r="M3127" s="163"/>
      <c r="N3127" s="164">
        <f t="shared" si="666"/>
        <v>0</v>
      </c>
      <c r="O3127" s="165">
        <f>MROUND(G3127*N3127,0.000001)</f>
        <v>0</v>
      </c>
      <c r="P3127" s="166"/>
      <c r="Q3127" s="166">
        <f t="shared" si="659"/>
        <v>0</v>
      </c>
      <c r="R3127" s="71"/>
    </row>
    <row r="3128" spans="1:41" s="61" customFormat="1" x14ac:dyDescent="0.25">
      <c r="A3128" s="358"/>
      <c r="B3128" s="361"/>
      <c r="C3128" s="366"/>
      <c r="D3128" s="156" t="s">
        <v>27</v>
      </c>
      <c r="E3128" s="156" t="s">
        <v>28</v>
      </c>
      <c r="F3128" s="156" t="s">
        <v>28</v>
      </c>
      <c r="G3128" s="238">
        <f t="shared" si="668"/>
        <v>0</v>
      </c>
      <c r="H3128" s="160">
        <f>H3031</f>
        <v>0</v>
      </c>
      <c r="I3128" s="159">
        <f>I3126</f>
        <v>2.4731E-2</v>
      </c>
      <c r="J3128" s="160"/>
      <c r="K3128" s="161">
        <f>K3126</f>
        <v>31</v>
      </c>
      <c r="L3128" s="250">
        <v>1</v>
      </c>
      <c r="M3128" s="163"/>
      <c r="N3128" s="278">
        <f t="shared" si="666"/>
        <v>0</v>
      </c>
      <c r="O3128" s="280">
        <f t="shared" si="667"/>
        <v>0</v>
      </c>
      <c r="P3128" s="166"/>
      <c r="Q3128" s="166">
        <f t="shared" si="659"/>
        <v>0</v>
      </c>
      <c r="R3128" s="71"/>
    </row>
    <row r="3129" spans="1:41" s="61" customFormat="1" ht="31.5" x14ac:dyDescent="0.25">
      <c r="A3129" s="358"/>
      <c r="B3129" s="361"/>
      <c r="C3129" s="367"/>
      <c r="D3129" s="156" t="s">
        <v>104</v>
      </c>
      <c r="E3129" s="156" t="s">
        <v>105</v>
      </c>
      <c r="F3129" s="156" t="s">
        <v>226</v>
      </c>
      <c r="G3129" s="238">
        <f>MROUND(H3129*L3129*I3129/K3129,0.00000001)</f>
        <v>7.9777000000000005E-4</v>
      </c>
      <c r="H3129" s="160">
        <v>1</v>
      </c>
      <c r="I3129" s="159">
        <f t="shared" si="663"/>
        <v>2.4731E-2</v>
      </c>
      <c r="J3129" s="160"/>
      <c r="K3129" s="161">
        <f t="shared" si="664"/>
        <v>31</v>
      </c>
      <c r="L3129" s="250">
        <v>1</v>
      </c>
      <c r="M3129" s="163"/>
      <c r="N3129" s="278">
        <f t="shared" si="666"/>
        <v>0</v>
      </c>
      <c r="O3129" s="280">
        <f t="shared" si="667"/>
        <v>0</v>
      </c>
      <c r="P3129" s="166"/>
      <c r="Q3129" s="166">
        <f t="shared" si="659"/>
        <v>0</v>
      </c>
      <c r="R3129" s="71"/>
    </row>
    <row r="3130" spans="1:41" s="62" customFormat="1" x14ac:dyDescent="0.25">
      <c r="A3130" s="358"/>
      <c r="B3130" s="361"/>
      <c r="C3130" s="249" t="s">
        <v>292</v>
      </c>
      <c r="D3130" s="240"/>
      <c r="E3130" s="240"/>
      <c r="F3130" s="240"/>
      <c r="G3130" s="227"/>
      <c r="H3130" s="228"/>
      <c r="I3130" s="206"/>
      <c r="J3130" s="228"/>
      <c r="K3130" s="207"/>
      <c r="L3130" s="257"/>
      <c r="M3130" s="209"/>
      <c r="N3130" s="281"/>
      <c r="O3130" s="279">
        <f>SUM(O3124:O3129)</f>
        <v>41.739543999999995</v>
      </c>
      <c r="P3130" s="267"/>
      <c r="Q3130" s="166"/>
      <c r="R3130" s="71"/>
    </row>
    <row r="3131" spans="1:41" s="61" customFormat="1" ht="31.5" x14ac:dyDescent="0.25">
      <c r="A3131" s="358"/>
      <c r="B3131" s="361"/>
      <c r="C3131" s="221" t="s">
        <v>79</v>
      </c>
      <c r="D3131" s="156" t="s">
        <v>37</v>
      </c>
      <c r="E3131" s="156" t="s">
        <v>61</v>
      </c>
      <c r="F3131" s="156" t="s">
        <v>254</v>
      </c>
      <c r="G3131" s="238">
        <f>MROUND(H3131*L3131*I3131/K3131,0.00000001)</f>
        <v>7.9777000000000005E-4</v>
      </c>
      <c r="H3131" s="158">
        <v>1</v>
      </c>
      <c r="I3131" s="159">
        <f>I3129</f>
        <v>2.4731E-2</v>
      </c>
      <c r="J3131" s="160"/>
      <c r="K3131" s="161">
        <f>K3129</f>
        <v>31</v>
      </c>
      <c r="L3131" s="250">
        <v>1</v>
      </c>
      <c r="M3131" s="163" t="str">
        <f t="shared" si="665"/>
        <v>1 автобус*0,024731/31чел/час</v>
      </c>
      <c r="N3131" s="278">
        <f>N3034</f>
        <v>23352.160000000003</v>
      </c>
      <c r="O3131" s="280">
        <f t="shared" si="667"/>
        <v>18.629652999999998</v>
      </c>
      <c r="P3131" s="166"/>
      <c r="Q3131" s="166">
        <f t="shared" si="659"/>
        <v>577.51924299999996</v>
      </c>
      <c r="R3131" s="71"/>
    </row>
    <row r="3132" spans="1:41" s="61" customFormat="1" ht="31.5" x14ac:dyDescent="0.25">
      <c r="A3132" s="358"/>
      <c r="B3132" s="361"/>
      <c r="C3132" s="221"/>
      <c r="D3132" s="156" t="s">
        <v>262</v>
      </c>
      <c r="E3132" s="156" t="s">
        <v>440</v>
      </c>
      <c r="F3132" s="156" t="s">
        <v>441</v>
      </c>
      <c r="G3132" s="238">
        <f t="shared" si="668"/>
        <v>3.1909999999999998E-3</v>
      </c>
      <c r="H3132" s="158">
        <f>$H$3035</f>
        <v>1</v>
      </c>
      <c r="I3132" s="159">
        <f t="shared" si="663"/>
        <v>2.4731E-2</v>
      </c>
      <c r="J3132" s="160"/>
      <c r="K3132" s="161">
        <f t="shared" si="664"/>
        <v>31</v>
      </c>
      <c r="L3132" s="250">
        <v>4</v>
      </c>
      <c r="M3132" s="163" t="str">
        <f>CONCATENATE(H3132," ",F3132,"*",L3132,"раза в год","*",I3132,"/",K3132,"чел/час")</f>
        <v>1 услуга*4раза в год*0,024731/31чел/час</v>
      </c>
      <c r="N3132" s="278">
        <f>N3035</f>
        <v>24661.25</v>
      </c>
      <c r="O3132" s="280">
        <f t="shared" si="667"/>
        <v>78.694048999999993</v>
      </c>
      <c r="P3132" s="166"/>
      <c r="Q3132" s="166">
        <f t="shared" si="659"/>
        <v>2439.5155189999996</v>
      </c>
      <c r="R3132" s="71"/>
    </row>
    <row r="3133" spans="1:41" s="61" customFormat="1" x14ac:dyDescent="0.25">
      <c r="A3133" s="358"/>
      <c r="B3133" s="361"/>
      <c r="C3133" s="221"/>
      <c r="D3133" s="156" t="s">
        <v>255</v>
      </c>
      <c r="E3133" s="156" t="s">
        <v>28</v>
      </c>
      <c r="F3133" s="156" t="s">
        <v>28</v>
      </c>
      <c r="G3133" s="238">
        <f t="shared" si="668"/>
        <v>4.4674999999999999E-2</v>
      </c>
      <c r="H3133" s="158">
        <v>56</v>
      </c>
      <c r="I3133" s="159">
        <f>I3131</f>
        <v>2.4731E-2</v>
      </c>
      <c r="J3133" s="160"/>
      <c r="K3133" s="161">
        <f>K3131</f>
        <v>31</v>
      </c>
      <c r="L3133" s="250">
        <v>1</v>
      </c>
      <c r="M3133" s="163" t="str">
        <f>CONCATENATE(H3133," ",F3133,"*",L3133,"раза в год","*",I3133,"/",K3133,"чел/час")</f>
        <v>56 шт*1раза в год*0,024731/31чел/час</v>
      </c>
      <c r="N3133" s="278">
        <f>N3036</f>
        <v>743.53571428571433</v>
      </c>
      <c r="O3133" s="280">
        <f t="shared" si="667"/>
        <v>33.217458000000001</v>
      </c>
      <c r="P3133" s="166"/>
      <c r="Q3133" s="166">
        <f t="shared" si="659"/>
        <v>1029.7411979999999</v>
      </c>
      <c r="R3133" s="71"/>
    </row>
    <row r="3134" spans="1:41" s="62" customFormat="1" x14ac:dyDescent="0.25">
      <c r="A3134" s="358"/>
      <c r="B3134" s="361"/>
      <c r="C3134" s="218" t="s">
        <v>295</v>
      </c>
      <c r="D3134" s="240"/>
      <c r="E3134" s="240"/>
      <c r="F3134" s="240"/>
      <c r="G3134" s="227"/>
      <c r="H3134" s="241"/>
      <c r="I3134" s="206"/>
      <c r="J3134" s="228"/>
      <c r="K3134" s="207"/>
      <c r="L3134" s="257"/>
      <c r="M3134" s="209"/>
      <c r="N3134" s="281"/>
      <c r="O3134" s="279">
        <f>O3131+O3132+O3133</f>
        <v>130.54115999999999</v>
      </c>
      <c r="P3134" s="267"/>
      <c r="Q3134" s="166"/>
      <c r="R3134" s="71"/>
    </row>
    <row r="3135" spans="1:41" s="61" customFormat="1" x14ac:dyDescent="0.25">
      <c r="A3135" s="358"/>
      <c r="B3135" s="361"/>
      <c r="C3135" s="364" t="s">
        <v>80</v>
      </c>
      <c r="D3135" s="156" t="s">
        <v>38</v>
      </c>
      <c r="E3135" s="156" t="s">
        <v>57</v>
      </c>
      <c r="F3135" s="156" t="s">
        <v>228</v>
      </c>
      <c r="G3135" s="238">
        <f t="shared" si="668"/>
        <v>9.5729999999999999E-3</v>
      </c>
      <c r="H3135" s="158">
        <v>1</v>
      </c>
      <c r="I3135" s="159">
        <f>I3131</f>
        <v>2.4731E-2</v>
      </c>
      <c r="J3135" s="160"/>
      <c r="K3135" s="161">
        <f>K3131</f>
        <v>31</v>
      </c>
      <c r="L3135" s="250">
        <v>12</v>
      </c>
      <c r="M3135" s="163"/>
      <c r="N3135" s="278">
        <f t="shared" ref="N3135:N3151" si="669">N3038</f>
        <v>0</v>
      </c>
      <c r="O3135" s="280">
        <f t="shared" si="667"/>
        <v>0</v>
      </c>
      <c r="P3135" s="166"/>
      <c r="Q3135" s="166">
        <f t="shared" ref="Q3135:Q3151" si="670">O3135*K3135</f>
        <v>0</v>
      </c>
      <c r="R3135" s="71"/>
    </row>
    <row r="3136" spans="1:41" s="61" customFormat="1" x14ac:dyDescent="0.25">
      <c r="A3136" s="358"/>
      <c r="B3136" s="361"/>
      <c r="C3136" s="364"/>
      <c r="D3136" s="156" t="s">
        <v>256</v>
      </c>
      <c r="E3136" s="156" t="s">
        <v>20</v>
      </c>
      <c r="F3136" s="156" t="s">
        <v>20</v>
      </c>
      <c r="G3136" s="238">
        <f>MROUND(H3136*L3136*I3136/K3136,0.00000001)</f>
        <v>1.994435E-2</v>
      </c>
      <c r="H3136" s="158">
        <f>H3039</f>
        <v>25</v>
      </c>
      <c r="I3136" s="159">
        <f>I3133</f>
        <v>2.4731E-2</v>
      </c>
      <c r="J3136" s="160"/>
      <c r="K3136" s="161">
        <f>K3133</f>
        <v>31</v>
      </c>
      <c r="L3136" s="250">
        <v>1</v>
      </c>
      <c r="M3136" s="163" t="str">
        <f t="shared" ref="M3136:M3141" si="671">CONCATENATE(H3136," ",F3136,"*",I3136,"/",K3136,"чел/час")</f>
        <v>25 чел.*0,024731/31чел/час</v>
      </c>
      <c r="N3136" s="278">
        <f t="shared" si="669"/>
        <v>1853</v>
      </c>
      <c r="O3136" s="280">
        <f t="shared" si="667"/>
        <v>36.956880999999996</v>
      </c>
      <c r="P3136" s="166"/>
      <c r="Q3136" s="166">
        <f t="shared" si="670"/>
        <v>1145.6633109999998</v>
      </c>
      <c r="R3136" s="71"/>
    </row>
    <row r="3137" spans="1:18" s="61" customFormat="1" ht="63" x14ac:dyDescent="0.25">
      <c r="A3137" s="358"/>
      <c r="B3137" s="361"/>
      <c r="C3137" s="364"/>
      <c r="D3137" s="156" t="s">
        <v>39</v>
      </c>
      <c r="E3137" s="156" t="s">
        <v>20</v>
      </c>
      <c r="F3137" s="156" t="s">
        <v>234</v>
      </c>
      <c r="G3137" s="238">
        <f t="shared" ref="G3137:G3166" si="672">MROUND(H3137*L3137*I3137/K3137,0.000001)</f>
        <v>7.9799999999999999E-4</v>
      </c>
      <c r="H3137" s="158">
        <v>1</v>
      </c>
      <c r="I3137" s="159">
        <f>I3135</f>
        <v>2.4731E-2</v>
      </c>
      <c r="J3137" s="160"/>
      <c r="K3137" s="161">
        <f>K3135</f>
        <v>31</v>
      </c>
      <c r="L3137" s="250">
        <v>1</v>
      </c>
      <c r="M3137" s="163" t="str">
        <f t="shared" si="671"/>
        <v>1 чел(заявленная потребность руководителями учреждений)*0,024731/31чел/час</v>
      </c>
      <c r="N3137" s="278">
        <f t="shared" si="669"/>
        <v>763</v>
      </c>
      <c r="O3137" s="280">
        <f t="shared" si="667"/>
        <v>0.60887400000000003</v>
      </c>
      <c r="P3137" s="166"/>
      <c r="Q3137" s="166">
        <f t="shared" si="670"/>
        <v>18.875094000000001</v>
      </c>
      <c r="R3137" s="71"/>
    </row>
    <row r="3138" spans="1:18" s="61" customFormat="1" ht="63" x14ac:dyDescent="0.25">
      <c r="A3138" s="358"/>
      <c r="B3138" s="361"/>
      <c r="C3138" s="364"/>
      <c r="D3138" s="156" t="s">
        <v>40</v>
      </c>
      <c r="E3138" s="156" t="s">
        <v>20</v>
      </c>
      <c r="F3138" s="156" t="s">
        <v>234</v>
      </c>
      <c r="G3138" s="238">
        <f>MROUND(H3138*L3138*I3138/K3138,0.000001)</f>
        <v>7.9799999999999999E-4</v>
      </c>
      <c r="H3138" s="158">
        <v>1</v>
      </c>
      <c r="I3138" s="159">
        <f>I3136</f>
        <v>2.4731E-2</v>
      </c>
      <c r="J3138" s="160"/>
      <c r="K3138" s="161">
        <f>K3136</f>
        <v>31</v>
      </c>
      <c r="L3138" s="250">
        <v>1</v>
      </c>
      <c r="M3138" s="163" t="str">
        <f t="shared" si="671"/>
        <v>1 чел(заявленная потребность руководителями учреждений)*0,024731/31чел/час</v>
      </c>
      <c r="N3138" s="278">
        <f t="shared" si="669"/>
        <v>1635</v>
      </c>
      <c r="O3138" s="280">
        <f>MROUND(N3138*G3138,0.000001)</f>
        <v>1.3047299999999999</v>
      </c>
      <c r="P3138" s="166"/>
      <c r="Q3138" s="166">
        <f t="shared" si="670"/>
        <v>40.446629999999999</v>
      </c>
      <c r="R3138" s="71"/>
    </row>
    <row r="3139" spans="1:18" s="61" customFormat="1" ht="63" x14ac:dyDescent="0.25">
      <c r="A3139" s="358"/>
      <c r="B3139" s="361"/>
      <c r="C3139" s="364"/>
      <c r="D3139" s="156" t="s">
        <v>100</v>
      </c>
      <c r="E3139" s="156" t="s">
        <v>20</v>
      </c>
      <c r="F3139" s="156" t="s">
        <v>234</v>
      </c>
      <c r="G3139" s="238">
        <f>MROUND(H3139*L3139*I3139/K3139,0.00000001)</f>
        <v>7.9777000000000005E-4</v>
      </c>
      <c r="H3139" s="158">
        <v>1</v>
      </c>
      <c r="I3139" s="159">
        <f>I3137</f>
        <v>2.4731E-2</v>
      </c>
      <c r="J3139" s="160"/>
      <c r="K3139" s="161">
        <f>K3137</f>
        <v>31</v>
      </c>
      <c r="L3139" s="250">
        <v>1</v>
      </c>
      <c r="M3139" s="163" t="str">
        <f t="shared" si="671"/>
        <v>1 чел(заявленная потребность руководителями учреждений)*0,024731/31чел/час</v>
      </c>
      <c r="N3139" s="278">
        <f t="shared" si="669"/>
        <v>3488</v>
      </c>
      <c r="O3139" s="280">
        <f>MROUND(N3139*G3139,0.000001)</f>
        <v>2.7826219999999999</v>
      </c>
      <c r="P3139" s="166"/>
      <c r="Q3139" s="166">
        <f t="shared" si="670"/>
        <v>86.261281999999994</v>
      </c>
      <c r="R3139" s="71"/>
    </row>
    <row r="3140" spans="1:18" s="61" customFormat="1" ht="110.25" x14ac:dyDescent="0.25">
      <c r="A3140" s="358"/>
      <c r="B3140" s="361"/>
      <c r="C3140" s="364"/>
      <c r="D3140" s="156" t="s">
        <v>235</v>
      </c>
      <c r="E3140" s="156" t="s">
        <v>50</v>
      </c>
      <c r="F3140" s="156" t="s">
        <v>230</v>
      </c>
      <c r="G3140" s="238">
        <f>MROUND(H3140*L3140*I3140/K3140,0.00000001)</f>
        <v>7.9777000000000005E-4</v>
      </c>
      <c r="H3140" s="158">
        <v>1</v>
      </c>
      <c r="I3140" s="159">
        <f>I3136</f>
        <v>2.4731E-2</v>
      </c>
      <c r="J3140" s="160"/>
      <c r="K3140" s="161">
        <f>K3136</f>
        <v>31</v>
      </c>
      <c r="L3140" s="250">
        <v>1</v>
      </c>
      <c r="M3140" s="163" t="str">
        <f t="shared" si="671"/>
        <v>1 отчетов*0,024731/31чел/час</v>
      </c>
      <c r="N3140" s="278">
        <f t="shared" si="669"/>
        <v>6540</v>
      </c>
      <c r="O3140" s="280">
        <f t="shared" ref="O3140:O3151" si="673">MROUND(N3140*G3140,0.000001)</f>
        <v>5.2174160000000001</v>
      </c>
      <c r="P3140" s="166"/>
      <c r="Q3140" s="166">
        <f t="shared" si="670"/>
        <v>161.73989599999999</v>
      </c>
      <c r="R3140" s="71"/>
    </row>
    <row r="3141" spans="1:18" s="61" customFormat="1" ht="63" x14ac:dyDescent="0.25">
      <c r="A3141" s="358"/>
      <c r="B3141" s="361"/>
      <c r="C3141" s="364"/>
      <c r="D3141" s="156" t="s">
        <v>42</v>
      </c>
      <c r="E3141" s="156" t="s">
        <v>51</v>
      </c>
      <c r="F3141" s="156" t="s">
        <v>407</v>
      </c>
      <c r="G3141" s="238">
        <f t="shared" si="672"/>
        <v>4.7869999999999996E-3</v>
      </c>
      <c r="H3141" s="158">
        <f>H3044</f>
        <v>6</v>
      </c>
      <c r="I3141" s="159">
        <f t="shared" si="663"/>
        <v>2.4731E-2</v>
      </c>
      <c r="J3141" s="160"/>
      <c r="K3141" s="161">
        <f t="shared" si="664"/>
        <v>31</v>
      </c>
      <c r="L3141" s="250">
        <v>1</v>
      </c>
      <c r="M3141" s="163" t="str">
        <f t="shared" si="671"/>
        <v>6 ед (заявленная потребность руководителями учреждений)*0,024731/31чел/час</v>
      </c>
      <c r="N3141" s="278">
        <f t="shared" si="669"/>
        <v>1090</v>
      </c>
      <c r="O3141" s="280">
        <f t="shared" si="673"/>
        <v>5.2178300000000002</v>
      </c>
      <c r="P3141" s="166"/>
      <c r="Q3141" s="166">
        <f t="shared" si="670"/>
        <v>161.75273000000001</v>
      </c>
      <c r="R3141" s="71"/>
    </row>
    <row r="3142" spans="1:18" s="61" customFormat="1" ht="31.5" x14ac:dyDescent="0.25">
      <c r="A3142" s="358"/>
      <c r="B3142" s="361"/>
      <c r="C3142" s="364"/>
      <c r="D3142" s="156" t="s">
        <v>263</v>
      </c>
      <c r="E3142" s="156" t="s">
        <v>264</v>
      </c>
      <c r="F3142" s="156" t="s">
        <v>265</v>
      </c>
      <c r="G3142" s="238">
        <f t="shared" si="672"/>
        <v>9.5729999999999999E-3</v>
      </c>
      <c r="H3142" s="158">
        <v>1</v>
      </c>
      <c r="I3142" s="159">
        <f t="shared" si="663"/>
        <v>2.4731E-2</v>
      </c>
      <c r="J3142" s="160"/>
      <c r="K3142" s="161">
        <f t="shared" si="664"/>
        <v>31</v>
      </c>
      <c r="L3142" s="250">
        <v>12</v>
      </c>
      <c r="M3142" s="163" t="str">
        <f>CONCATENATE(H3142," ",F3142,"*",L3142,"мес.","*",I3142,"/",K3142,"чел/час")</f>
        <v>1 мойка*12мес.*0,024731/31чел/час</v>
      </c>
      <c r="N3142" s="278">
        <f t="shared" si="669"/>
        <v>545</v>
      </c>
      <c r="O3142" s="280">
        <f t="shared" si="673"/>
        <v>5.2172849999999995</v>
      </c>
      <c r="P3142" s="166"/>
      <c r="Q3142" s="166">
        <f t="shared" si="670"/>
        <v>161.73583499999998</v>
      </c>
      <c r="R3142" s="71"/>
    </row>
    <row r="3143" spans="1:18" s="61" customFormat="1" ht="31.5" x14ac:dyDescent="0.25">
      <c r="A3143" s="358"/>
      <c r="B3143" s="361"/>
      <c r="C3143" s="364"/>
      <c r="D3143" s="156" t="s">
        <v>266</v>
      </c>
      <c r="E3143" s="156" t="s">
        <v>267</v>
      </c>
      <c r="F3143" s="156" t="s">
        <v>268</v>
      </c>
      <c r="G3143" s="238">
        <f t="shared" si="672"/>
        <v>0.191466</v>
      </c>
      <c r="H3143" s="158">
        <v>20</v>
      </c>
      <c r="I3143" s="159">
        <f t="shared" si="663"/>
        <v>2.4731E-2</v>
      </c>
      <c r="J3143" s="160"/>
      <c r="K3143" s="161">
        <f t="shared" si="664"/>
        <v>31</v>
      </c>
      <c r="L3143" s="250">
        <v>12</v>
      </c>
      <c r="M3143" s="163" t="str">
        <f>CONCATENATE(H3143," ",F3143,"*",L3143,"мес.","*",I3143,"/",K3143,"чел/час")</f>
        <v>20 комплектов в мес.*12мес.*0,024731/31чел/час</v>
      </c>
      <c r="N3143" s="278">
        <f t="shared" si="669"/>
        <v>490.5</v>
      </c>
      <c r="O3143" s="280">
        <f t="shared" si="673"/>
        <v>93.914073000000002</v>
      </c>
      <c r="P3143" s="166"/>
      <c r="Q3143" s="166">
        <f t="shared" si="670"/>
        <v>2911.3362630000001</v>
      </c>
      <c r="R3143" s="71"/>
    </row>
    <row r="3144" spans="1:18" s="61" customFormat="1" ht="47.25" x14ac:dyDescent="0.25">
      <c r="A3144" s="358"/>
      <c r="B3144" s="361"/>
      <c r="C3144" s="364"/>
      <c r="D3144" s="156" t="s">
        <v>269</v>
      </c>
      <c r="E3144" s="156" t="s">
        <v>20</v>
      </c>
      <c r="F3144" s="156" t="s">
        <v>20</v>
      </c>
      <c r="G3144" s="238">
        <f>MROUND(H3144*L3144*I3144/K3144,0.00000001)</f>
        <v>3.9888700000000003E-3</v>
      </c>
      <c r="H3144" s="158">
        <f>$H$3047</f>
        <v>5</v>
      </c>
      <c r="I3144" s="159">
        <f t="shared" si="663"/>
        <v>2.4731E-2</v>
      </c>
      <c r="J3144" s="160"/>
      <c r="K3144" s="161">
        <f t="shared" si="664"/>
        <v>31</v>
      </c>
      <c r="L3144" s="250">
        <v>1</v>
      </c>
      <c r="M3144" s="163" t="str">
        <f>CONCATENATE(H3144," ",F3144,"*",I3144,"/",K3144,"чел/час")</f>
        <v>5 чел.*0,024731/31чел/час</v>
      </c>
      <c r="N3144" s="278">
        <f t="shared" si="669"/>
        <v>17576.25</v>
      </c>
      <c r="O3144" s="280">
        <f t="shared" si="673"/>
        <v>70.109375999999997</v>
      </c>
      <c r="P3144" s="166"/>
      <c r="Q3144" s="166">
        <f t="shared" si="670"/>
        <v>2173.390656</v>
      </c>
      <c r="R3144" s="71"/>
    </row>
    <row r="3145" spans="1:18" s="61" customFormat="1" ht="31.5" x14ac:dyDescent="0.25">
      <c r="A3145" s="358"/>
      <c r="B3145" s="361"/>
      <c r="C3145" s="364"/>
      <c r="D3145" s="156" t="s">
        <v>376</v>
      </c>
      <c r="E3145" s="156" t="s">
        <v>55</v>
      </c>
      <c r="F3145" s="156" t="s">
        <v>55</v>
      </c>
      <c r="G3145" s="238">
        <f>MROUND(H3145*L3145*I3145/K3145,0.00000001)</f>
        <v>9.5732899999999999E-3</v>
      </c>
      <c r="H3145" s="158">
        <v>1</v>
      </c>
      <c r="I3145" s="159">
        <f t="shared" si="663"/>
        <v>2.4731E-2</v>
      </c>
      <c r="J3145" s="160"/>
      <c r="K3145" s="161">
        <f t="shared" si="664"/>
        <v>31</v>
      </c>
      <c r="L3145" s="250">
        <v>12</v>
      </c>
      <c r="M3145" s="163" t="str">
        <f>CONCATENATE(H3145," ",F3145,"*",L3145,"мес.","*",I3145,"/",K3145,"чел/час")</f>
        <v>1 система*12мес.*0,024731/31чел/час</v>
      </c>
      <c r="N3145" s="278">
        <f t="shared" si="669"/>
        <v>17713.59</v>
      </c>
      <c r="O3145" s="280">
        <f t="shared" si="673"/>
        <v>169.57733399999998</v>
      </c>
      <c r="P3145" s="166"/>
      <c r="Q3145" s="166">
        <f t="shared" si="670"/>
        <v>5256.8973539999997</v>
      </c>
      <c r="R3145" s="71"/>
    </row>
    <row r="3146" spans="1:18" s="61" customFormat="1" ht="31.5" x14ac:dyDescent="0.25">
      <c r="A3146" s="358"/>
      <c r="B3146" s="361"/>
      <c r="C3146" s="364"/>
      <c r="D3146" s="156" t="s">
        <v>270</v>
      </c>
      <c r="E3146" s="156" t="s">
        <v>60</v>
      </c>
      <c r="F3146" s="156" t="s">
        <v>60</v>
      </c>
      <c r="G3146" s="238">
        <f t="shared" si="672"/>
        <v>1.3561999999999999E-2</v>
      </c>
      <c r="H3146" s="158">
        <f>H3049</f>
        <v>17</v>
      </c>
      <c r="I3146" s="159">
        <f t="shared" si="663"/>
        <v>2.4731E-2</v>
      </c>
      <c r="J3146" s="160"/>
      <c r="K3146" s="161">
        <f t="shared" si="664"/>
        <v>31</v>
      </c>
      <c r="L3146" s="250">
        <v>1</v>
      </c>
      <c r="M3146" s="163" t="str">
        <f>CONCATENATE(H3146," ",F3146,"*",I3146,"/",K3146,"чел/час")</f>
        <v>17 шт.*0,024731/31чел/час</v>
      </c>
      <c r="N3146" s="278">
        <f t="shared" si="669"/>
        <v>7935.2000000000016</v>
      </c>
      <c r="O3146" s="280">
        <f t="shared" si="673"/>
        <v>107.617182</v>
      </c>
      <c r="P3146" s="166"/>
      <c r="Q3146" s="166">
        <f t="shared" si="670"/>
        <v>3336.132642</v>
      </c>
      <c r="R3146" s="71"/>
    </row>
    <row r="3147" spans="1:18" s="61" customFormat="1" ht="31.5" x14ac:dyDescent="0.25">
      <c r="A3147" s="358"/>
      <c r="B3147" s="361"/>
      <c r="C3147" s="364"/>
      <c r="D3147" s="156" t="s">
        <v>408</v>
      </c>
      <c r="E3147" s="156" t="s">
        <v>20</v>
      </c>
      <c r="F3147" s="156" t="s">
        <v>20</v>
      </c>
      <c r="G3147" s="238">
        <f>MROUND(H3147*L3147*I3147/K3147,0.00000001)</f>
        <v>4.7866499999999999E-3</v>
      </c>
      <c r="H3147" s="158">
        <f>$H$3050</f>
        <v>6</v>
      </c>
      <c r="I3147" s="159">
        <f t="shared" si="663"/>
        <v>2.4731E-2</v>
      </c>
      <c r="J3147" s="160"/>
      <c r="K3147" s="161">
        <f t="shared" si="664"/>
        <v>31</v>
      </c>
      <c r="L3147" s="250">
        <v>1</v>
      </c>
      <c r="M3147" s="163" t="str">
        <f>CONCATENATE(H3147," ",F3147,"*",I3147,"/",K3147,"чел/час")</f>
        <v>6 чел.*0,024731/31чел/час</v>
      </c>
      <c r="N3147" s="278">
        <f t="shared" si="669"/>
        <v>545</v>
      </c>
      <c r="O3147" s="280">
        <f t="shared" si="673"/>
        <v>2.608724</v>
      </c>
      <c r="P3147" s="166"/>
      <c r="Q3147" s="166">
        <f t="shared" si="670"/>
        <v>80.870444000000006</v>
      </c>
      <c r="R3147" s="71"/>
    </row>
    <row r="3148" spans="1:18" s="61" customFormat="1" ht="63" x14ac:dyDescent="0.25">
      <c r="A3148" s="358"/>
      <c r="B3148" s="361"/>
      <c r="C3148" s="364"/>
      <c r="D3148" s="156" t="s">
        <v>45</v>
      </c>
      <c r="E3148" s="156" t="s">
        <v>53</v>
      </c>
      <c r="F3148" s="156" t="s">
        <v>257</v>
      </c>
      <c r="G3148" s="238">
        <f t="shared" si="672"/>
        <v>9.5729999999999999E-3</v>
      </c>
      <c r="H3148" s="158">
        <v>1</v>
      </c>
      <c r="I3148" s="159">
        <f>I3146</f>
        <v>2.4731E-2</v>
      </c>
      <c r="J3148" s="160"/>
      <c r="K3148" s="161">
        <f>K3146</f>
        <v>31</v>
      </c>
      <c r="L3148" s="250">
        <v>12</v>
      </c>
      <c r="M3148" s="163" t="str">
        <f>CONCATENATE(H3148," ",F3148,"*",L3148,"мес.","*",I3148,"/",K3148,"чел")</f>
        <v>1  машина, оборудованная системой ГЛОНАСС*12мес.*0,024731/31чел</v>
      </c>
      <c r="N3148" s="278">
        <f t="shared" si="669"/>
        <v>880.71999999999991</v>
      </c>
      <c r="O3148" s="280">
        <f t="shared" si="673"/>
        <v>8.4311329999999991</v>
      </c>
      <c r="P3148" s="166"/>
      <c r="Q3148" s="166">
        <f t="shared" si="670"/>
        <v>261.36512299999998</v>
      </c>
      <c r="R3148" s="71"/>
    </row>
    <row r="3149" spans="1:18" s="61" customFormat="1" ht="47.25" x14ac:dyDescent="0.25">
      <c r="A3149" s="358"/>
      <c r="B3149" s="361"/>
      <c r="C3149" s="364"/>
      <c r="D3149" s="156" t="s">
        <v>271</v>
      </c>
      <c r="E3149" s="156" t="s">
        <v>85</v>
      </c>
      <c r="F3149" s="156" t="s">
        <v>232</v>
      </c>
      <c r="G3149" s="238">
        <f t="shared" si="672"/>
        <v>0.24252299999999999</v>
      </c>
      <c r="H3149" s="158">
        <f>H3052</f>
        <v>304</v>
      </c>
      <c r="I3149" s="159">
        <f>I3147</f>
        <v>2.4731E-2</v>
      </c>
      <c r="J3149" s="160"/>
      <c r="K3149" s="161">
        <f>K3147</f>
        <v>31</v>
      </c>
      <c r="L3149" s="250">
        <v>1</v>
      </c>
      <c r="M3149" s="163" t="str">
        <f>CONCATENATE(H3149," ",F3149,"*",L3149,"мес.","*",I3149,"/",K3149,"чел")</f>
        <v>304 мед.осмотров в мес.*1мес.*0,024731/31чел</v>
      </c>
      <c r="N3149" s="278">
        <f t="shared" si="669"/>
        <v>56.680000000000007</v>
      </c>
      <c r="O3149" s="280">
        <f t="shared" si="673"/>
        <v>13.746203999999999</v>
      </c>
      <c r="P3149" s="166"/>
      <c r="Q3149" s="166">
        <f t="shared" si="670"/>
        <v>426.13232399999998</v>
      </c>
      <c r="R3149" s="71"/>
    </row>
    <row r="3150" spans="1:18" s="61" customFormat="1" x14ac:dyDescent="0.25">
      <c r="A3150" s="358"/>
      <c r="B3150" s="361"/>
      <c r="C3150" s="364"/>
      <c r="D3150" s="156" t="s">
        <v>373</v>
      </c>
      <c r="E3150" s="156" t="s">
        <v>28</v>
      </c>
      <c r="F3150" s="156" t="s">
        <v>28</v>
      </c>
      <c r="G3150" s="238">
        <f t="shared" si="672"/>
        <v>7.9799999999999999E-4</v>
      </c>
      <c r="H3150" s="158">
        <f>H3053</f>
        <v>1</v>
      </c>
      <c r="I3150" s="159">
        <f>I3149</f>
        <v>2.4731E-2</v>
      </c>
      <c r="J3150" s="160"/>
      <c r="K3150" s="161">
        <f>K3149</f>
        <v>31</v>
      </c>
      <c r="L3150" s="250">
        <v>1</v>
      </c>
      <c r="M3150" s="163" t="str">
        <f>CONCATENATE(H3150," ",F3150,"*",L3150,"мес.","*",I3150,"/",K3150,"чел")</f>
        <v>1 шт*1мес.*0,024731/31чел</v>
      </c>
      <c r="N3150" s="278">
        <f t="shared" si="669"/>
        <v>24000</v>
      </c>
      <c r="O3150" s="280">
        <f t="shared" si="673"/>
        <v>19.151999999999997</v>
      </c>
      <c r="P3150" s="166"/>
      <c r="Q3150" s="166">
        <f t="shared" si="670"/>
        <v>593.71199999999988</v>
      </c>
      <c r="R3150" s="71"/>
    </row>
    <row r="3151" spans="1:18" s="61" customFormat="1" ht="31.5" x14ac:dyDescent="0.25">
      <c r="A3151" s="358"/>
      <c r="B3151" s="361"/>
      <c r="C3151" s="364"/>
      <c r="D3151" s="156" t="s">
        <v>43</v>
      </c>
      <c r="E3151" s="156" t="s">
        <v>52</v>
      </c>
      <c r="F3151" s="156" t="s">
        <v>231</v>
      </c>
      <c r="G3151" s="238">
        <f t="shared" si="672"/>
        <v>7.9799999999999999E-4</v>
      </c>
      <c r="H3151" s="158">
        <v>1</v>
      </c>
      <c r="I3151" s="159">
        <f>I3141</f>
        <v>2.4731E-2</v>
      </c>
      <c r="J3151" s="160"/>
      <c r="K3151" s="161">
        <f>K3141</f>
        <v>31</v>
      </c>
      <c r="L3151" s="250">
        <v>1</v>
      </c>
      <c r="M3151" s="163" t="str">
        <f>CONCATENATE(H3151," ",F3151,"*",I3151,"/",K3151,"чел/час")</f>
        <v>1 ЭЦП*0,024731/31чел/час</v>
      </c>
      <c r="N3151" s="278">
        <f t="shared" si="669"/>
        <v>7743.3600000000006</v>
      </c>
      <c r="O3151" s="280">
        <f t="shared" si="673"/>
        <v>6.1792009999999999</v>
      </c>
      <c r="P3151" s="166"/>
      <c r="Q3151" s="166">
        <f t="shared" si="670"/>
        <v>191.55523099999999</v>
      </c>
      <c r="R3151" s="71"/>
    </row>
    <row r="3152" spans="1:18" s="62" customFormat="1" x14ac:dyDescent="0.25">
      <c r="A3152" s="358"/>
      <c r="B3152" s="361"/>
      <c r="C3152" s="245" t="s">
        <v>296</v>
      </c>
      <c r="D3152" s="240"/>
      <c r="E3152" s="240"/>
      <c r="F3152" s="240"/>
      <c r="G3152" s="227"/>
      <c r="H3152" s="241"/>
      <c r="I3152" s="206"/>
      <c r="J3152" s="228"/>
      <c r="K3152" s="207"/>
      <c r="L3152" s="257"/>
      <c r="M3152" s="209"/>
      <c r="N3152" s="281"/>
      <c r="O3152" s="279">
        <f>SUM(O3135:O3151)</f>
        <v>548.64086500000008</v>
      </c>
      <c r="P3152" s="267"/>
      <c r="Q3152" s="166"/>
      <c r="R3152" s="71"/>
    </row>
    <row r="3153" spans="1:18" s="61" customFormat="1" ht="31.5" x14ac:dyDescent="0.25">
      <c r="A3153" s="358"/>
      <c r="B3153" s="361"/>
      <c r="C3153" s="252" t="s">
        <v>237</v>
      </c>
      <c r="D3153" s="156" t="s">
        <v>41</v>
      </c>
      <c r="E3153" s="156" t="s">
        <v>61</v>
      </c>
      <c r="F3153" s="156" t="s">
        <v>254</v>
      </c>
      <c r="G3153" s="238">
        <f>MROUND(H3153*L3153*I3153/K3153,0.00000001)</f>
        <v>7.9777000000000005E-4</v>
      </c>
      <c r="H3153" s="158">
        <v>1</v>
      </c>
      <c r="I3153" s="159">
        <f>I3151</f>
        <v>2.4731E-2</v>
      </c>
      <c r="J3153" s="160"/>
      <c r="K3153" s="161">
        <f>K3151</f>
        <v>31</v>
      </c>
      <c r="L3153" s="250">
        <v>1</v>
      </c>
      <c r="M3153" s="163" t="str">
        <f>CONCATENATE(H3153," ",F3153,"*",I3153,"/",K3153,"чел/час")</f>
        <v>1 автобус*0,024731/31чел/час</v>
      </c>
      <c r="N3153" s="278">
        <f>N3056</f>
        <v>25724</v>
      </c>
      <c r="O3153" s="280">
        <f>MROUND(N3153*G3153,0.000001)</f>
        <v>20.521834999999999</v>
      </c>
      <c r="P3153" s="166"/>
      <c r="Q3153" s="166">
        <f t="shared" ref="Q3153:Q3207" si="674">O3153*K3153</f>
        <v>636.17688499999997</v>
      </c>
      <c r="R3153" s="71"/>
    </row>
    <row r="3154" spans="1:18" s="62" customFormat="1" x14ac:dyDescent="0.25">
      <c r="A3154" s="358"/>
      <c r="B3154" s="361"/>
      <c r="C3154" s="245" t="s">
        <v>297</v>
      </c>
      <c r="D3154" s="240"/>
      <c r="E3154" s="240"/>
      <c r="F3154" s="240"/>
      <c r="G3154" s="227"/>
      <c r="H3154" s="241"/>
      <c r="I3154" s="206"/>
      <c r="J3154" s="228"/>
      <c r="K3154" s="207"/>
      <c r="L3154" s="257"/>
      <c r="M3154" s="209"/>
      <c r="N3154" s="281"/>
      <c r="O3154" s="279">
        <f>O3153</f>
        <v>20.521834999999999</v>
      </c>
      <c r="P3154" s="267"/>
      <c r="Q3154" s="166"/>
      <c r="R3154" s="71"/>
    </row>
    <row r="3155" spans="1:18" s="61" customFormat="1" ht="78.75" x14ac:dyDescent="0.25">
      <c r="A3155" s="358"/>
      <c r="B3155" s="361"/>
      <c r="C3155" s="221" t="s">
        <v>236</v>
      </c>
      <c r="D3155" s="156" t="s">
        <v>19</v>
      </c>
      <c r="E3155" s="181" t="s">
        <v>20</v>
      </c>
      <c r="F3155" s="181" t="s">
        <v>238</v>
      </c>
      <c r="G3155" s="238">
        <f t="shared" si="672"/>
        <v>0</v>
      </c>
      <c r="H3155" s="158"/>
      <c r="I3155" s="159">
        <f>I3153</f>
        <v>2.4731E-2</v>
      </c>
      <c r="J3155" s="160"/>
      <c r="K3155" s="161">
        <f>K3153</f>
        <v>31</v>
      </c>
      <c r="L3155" s="250"/>
      <c r="M3155" s="163"/>
      <c r="N3155" s="278"/>
      <c r="O3155" s="280">
        <f>MROUND(N3155*G3155,0.000001)</f>
        <v>0</v>
      </c>
      <c r="P3155" s="166"/>
      <c r="Q3155" s="166">
        <f t="shared" si="674"/>
        <v>0</v>
      </c>
      <c r="R3155" s="71"/>
    </row>
    <row r="3156" spans="1:18" s="62" customFormat="1" x14ac:dyDescent="0.25">
      <c r="A3156" s="358"/>
      <c r="B3156" s="361"/>
      <c r="C3156" s="245" t="s">
        <v>298</v>
      </c>
      <c r="D3156" s="240"/>
      <c r="E3156" s="253"/>
      <c r="F3156" s="253"/>
      <c r="G3156" s="227"/>
      <c r="H3156" s="241"/>
      <c r="I3156" s="206"/>
      <c r="J3156" s="228"/>
      <c r="K3156" s="207"/>
      <c r="L3156" s="257"/>
      <c r="M3156" s="209"/>
      <c r="N3156" s="281"/>
      <c r="O3156" s="279">
        <f>O3155</f>
        <v>0</v>
      </c>
      <c r="P3156" s="267"/>
      <c r="Q3156" s="166"/>
      <c r="R3156" s="71"/>
    </row>
    <row r="3157" spans="1:18" s="61" customFormat="1" x14ac:dyDescent="0.25">
      <c r="A3157" s="358"/>
      <c r="B3157" s="361"/>
      <c r="C3157" s="365" t="s">
        <v>81</v>
      </c>
      <c r="D3157" s="156" t="s">
        <v>427</v>
      </c>
      <c r="E3157" s="156" t="s">
        <v>28</v>
      </c>
      <c r="F3157" s="156" t="s">
        <v>28</v>
      </c>
      <c r="G3157" s="238">
        <f>MROUND(H3157*L3157*I3157/K3157,0.00000001)</f>
        <v>1.59555E-3</v>
      </c>
      <c r="H3157" s="158">
        <f>$H$3060</f>
        <v>2</v>
      </c>
      <c r="I3157" s="159">
        <f>I3153</f>
        <v>2.4731E-2</v>
      </c>
      <c r="J3157" s="160"/>
      <c r="K3157" s="161">
        <f>K3153</f>
        <v>31</v>
      </c>
      <c r="L3157" s="250">
        <v>1</v>
      </c>
      <c r="M3157" s="163" t="str">
        <f>CONCATENATE(H3157," ",F3157,"*",I3157,"/",K3157,"чел/час")</f>
        <v>2 шт*0,024731/31чел/час</v>
      </c>
      <c r="N3157" s="278">
        <f>$N$3060</f>
        <v>10000</v>
      </c>
      <c r="O3157" s="280">
        <f>MROUND(N3157*G3157,0.000001)</f>
        <v>15.955499999999999</v>
      </c>
      <c r="P3157" s="166"/>
      <c r="Q3157" s="166">
        <f t="shared" ref="Q3157:Q3161" si="675">O3157*K3157</f>
        <v>494.62049999999999</v>
      </c>
      <c r="R3157" s="71"/>
    </row>
    <row r="3158" spans="1:18" s="61" customFormat="1" x14ac:dyDescent="0.25">
      <c r="A3158" s="358"/>
      <c r="B3158" s="361"/>
      <c r="C3158" s="366"/>
      <c r="D3158" s="156" t="s">
        <v>428</v>
      </c>
      <c r="E3158" s="156" t="s">
        <v>28</v>
      </c>
      <c r="F3158" s="156" t="s">
        <v>28</v>
      </c>
      <c r="G3158" s="238">
        <f>MROUND(H3158*L3158*I3158/K3158,0.00000001)</f>
        <v>1.59555E-3</v>
      </c>
      <c r="H3158" s="158">
        <f>$H$3061</f>
        <v>2</v>
      </c>
      <c r="I3158" s="159">
        <f>I3157</f>
        <v>2.4731E-2</v>
      </c>
      <c r="J3158" s="160"/>
      <c r="K3158" s="161">
        <f>K3157</f>
        <v>31</v>
      </c>
      <c r="L3158" s="250">
        <v>1</v>
      </c>
      <c r="M3158" s="163" t="str">
        <f>CONCATENATE(H3158," ",F3158,"*",I3158,"/",K3158,"чел/час")</f>
        <v>2 шт*0,024731/31чел/час</v>
      </c>
      <c r="N3158" s="278">
        <f>$N$3061</f>
        <v>6000</v>
      </c>
      <c r="O3158" s="280">
        <f>MROUND(N3158*G3158,0.000001)</f>
        <v>9.5732999999999997</v>
      </c>
      <c r="P3158" s="166"/>
      <c r="Q3158" s="166">
        <f t="shared" si="675"/>
        <v>296.77229999999997</v>
      </c>
      <c r="R3158" s="71"/>
    </row>
    <row r="3159" spans="1:18" s="61" customFormat="1" x14ac:dyDescent="0.25">
      <c r="A3159" s="358"/>
      <c r="B3159" s="361"/>
      <c r="C3159" s="366"/>
      <c r="D3159" s="156" t="s">
        <v>110</v>
      </c>
      <c r="E3159" s="156" t="s">
        <v>28</v>
      </c>
      <c r="F3159" s="156" t="s">
        <v>28</v>
      </c>
      <c r="G3159" s="238">
        <f>MROUND(H3159*L3159*I3159/K3159,0.00000001)</f>
        <v>7.9777000000000005E-4</v>
      </c>
      <c r="H3159" s="158">
        <f>$H$3062</f>
        <v>1</v>
      </c>
      <c r="I3159" s="159">
        <f t="shared" ref="I3159:I3160" si="676">I3158</f>
        <v>2.4731E-2</v>
      </c>
      <c r="J3159" s="160"/>
      <c r="K3159" s="161">
        <f t="shared" ref="K3159:K3160" si="677">K3158</f>
        <v>31</v>
      </c>
      <c r="L3159" s="250">
        <v>1</v>
      </c>
      <c r="M3159" s="163" t="str">
        <f>CONCATENATE(H3159," ",F3159,"*",I3159,"/",K3159,"чел/час")</f>
        <v>1 шт*0,024731/31чел/час</v>
      </c>
      <c r="N3159" s="278">
        <f>$N$3062</f>
        <v>40000</v>
      </c>
      <c r="O3159" s="280">
        <f>MROUND(N3159*G3159,0.000001)</f>
        <v>31.910799999999998</v>
      </c>
      <c r="P3159" s="166"/>
      <c r="Q3159" s="166">
        <f t="shared" si="675"/>
        <v>989.23479999999995</v>
      </c>
      <c r="R3159" s="71"/>
    </row>
    <row r="3160" spans="1:18" s="61" customFormat="1" x14ac:dyDescent="0.25">
      <c r="A3160" s="358"/>
      <c r="B3160" s="361"/>
      <c r="C3160" s="366"/>
      <c r="D3160" s="156" t="s">
        <v>111</v>
      </c>
      <c r="E3160" s="156" t="s">
        <v>28</v>
      </c>
      <c r="F3160" s="156" t="s">
        <v>28</v>
      </c>
      <c r="G3160" s="238">
        <f>MROUND(H3160*L3160*I3160/K3160,0.00000001)</f>
        <v>2.39332E-3</v>
      </c>
      <c r="H3160" s="158">
        <f>$H$3063</f>
        <v>3</v>
      </c>
      <c r="I3160" s="159">
        <f t="shared" si="676"/>
        <v>2.4731E-2</v>
      </c>
      <c r="J3160" s="160"/>
      <c r="K3160" s="161">
        <f t="shared" si="677"/>
        <v>31</v>
      </c>
      <c r="L3160" s="250">
        <v>1</v>
      </c>
      <c r="M3160" s="163" t="str">
        <f>CONCATENATE(H3160," ",F3160,"*",I3160,"/",K3160,"чел/час")</f>
        <v>3 шт*0,024731/31чел/час</v>
      </c>
      <c r="N3160" s="278">
        <f>$N$3063</f>
        <v>50000</v>
      </c>
      <c r="O3160" s="280">
        <f>MROUND(N3160*G3160,0.000001)</f>
        <v>119.666</v>
      </c>
      <c r="P3160" s="166"/>
      <c r="Q3160" s="166">
        <f t="shared" si="675"/>
        <v>3709.6459999999997</v>
      </c>
      <c r="R3160" s="71"/>
    </row>
    <row r="3161" spans="1:18" s="61" customFormat="1" x14ac:dyDescent="0.25">
      <c r="A3161" s="358"/>
      <c r="B3161" s="361"/>
      <c r="C3161" s="367"/>
      <c r="D3161" s="156" t="s">
        <v>438</v>
      </c>
      <c r="E3161" s="156" t="s">
        <v>28</v>
      </c>
      <c r="F3161" s="156" t="s">
        <v>28</v>
      </c>
      <c r="G3161" s="238">
        <f>MROUND(H3161*L3161*I3161/K3161,0.00000001)</f>
        <v>1.59555E-3</v>
      </c>
      <c r="H3161" s="158">
        <f>$H$3064</f>
        <v>2</v>
      </c>
      <c r="I3161" s="159">
        <f>I3155</f>
        <v>2.4731E-2</v>
      </c>
      <c r="J3161" s="160"/>
      <c r="K3161" s="161">
        <f>K3155</f>
        <v>31</v>
      </c>
      <c r="L3161" s="250">
        <v>1</v>
      </c>
      <c r="M3161" s="163" t="str">
        <f>CONCATENATE(H3161," ",F3161,"*",I3161,"/",K3161,"чел/час")</f>
        <v>2 шт*0,024731/31чел/час</v>
      </c>
      <c r="N3161" s="278">
        <f>$N$3064</f>
        <v>55000</v>
      </c>
      <c r="O3161" s="280">
        <f>MROUND(N3161*G3161,0.000001)</f>
        <v>87.75524999999999</v>
      </c>
      <c r="P3161" s="166"/>
      <c r="Q3161" s="166">
        <f t="shared" si="675"/>
        <v>2720.4127499999995</v>
      </c>
      <c r="R3161" s="71"/>
    </row>
    <row r="3162" spans="1:18" s="62" customFormat="1" x14ac:dyDescent="0.25">
      <c r="A3162" s="358"/>
      <c r="B3162" s="361"/>
      <c r="C3162" s="245" t="s">
        <v>299</v>
      </c>
      <c r="D3162" s="240"/>
      <c r="E3162" s="240"/>
      <c r="F3162" s="240"/>
      <c r="G3162" s="227"/>
      <c r="H3162" s="241"/>
      <c r="I3162" s="206"/>
      <c r="J3162" s="228"/>
      <c r="K3162" s="207"/>
      <c r="L3162" s="257"/>
      <c r="M3162" s="209"/>
      <c r="N3162" s="281"/>
      <c r="O3162" s="279">
        <f>SUM(O3157:O3161)</f>
        <v>264.86084999999997</v>
      </c>
      <c r="P3162" s="267"/>
      <c r="Q3162" s="166"/>
      <c r="R3162" s="71"/>
    </row>
    <row r="3163" spans="1:18" s="61" customFormat="1" ht="110.25" x14ac:dyDescent="0.25">
      <c r="A3163" s="358"/>
      <c r="B3163" s="361"/>
      <c r="C3163" s="221" t="s">
        <v>82</v>
      </c>
      <c r="D3163" s="156" t="s">
        <v>46</v>
      </c>
      <c r="E3163" s="156" t="s">
        <v>54</v>
      </c>
      <c r="F3163" s="156" t="s">
        <v>285</v>
      </c>
      <c r="G3163" s="238">
        <f t="shared" si="672"/>
        <v>2.0343239999999998</v>
      </c>
      <c r="H3163" s="242">
        <f>H3066</f>
        <v>231.81818181818178</v>
      </c>
      <c r="I3163" s="159">
        <f>I3155</f>
        <v>2.4731E-2</v>
      </c>
      <c r="J3163" s="160"/>
      <c r="K3163" s="161">
        <f>K3155</f>
        <v>31</v>
      </c>
      <c r="L3163" s="250">
        <v>11</v>
      </c>
      <c r="M3163" s="163" t="str">
        <f>CONCATENATE(H3163," ",F3163,"*",L3163,"автобус","*",I3163,"/",K3163,"чел/час")</f>
        <v>231,818181818182 л бензина АИ 92 (12,5л/день(зимой)*20дней*7мес+10л/день(летом)*20дней*4мес)*11автобус*0,024731/31чел/час</v>
      </c>
      <c r="N3163" s="278">
        <f>N3066</f>
        <v>54.500000000000007</v>
      </c>
      <c r="O3163" s="280">
        <f>MROUND(N3163*G3163,0.000001)</f>
        <v>110.87065799999999</v>
      </c>
      <c r="P3163" s="166"/>
      <c r="Q3163" s="166">
        <f t="shared" si="674"/>
        <v>3436.9903979999999</v>
      </c>
      <c r="R3163" s="71"/>
    </row>
    <row r="3164" spans="1:18" s="62" customFormat="1" x14ac:dyDescent="0.25">
      <c r="A3164" s="358"/>
      <c r="B3164" s="361"/>
      <c r="C3164" s="218" t="s">
        <v>300</v>
      </c>
      <c r="D3164" s="240"/>
      <c r="E3164" s="240"/>
      <c r="F3164" s="240"/>
      <c r="G3164" s="227"/>
      <c r="H3164" s="241"/>
      <c r="I3164" s="206"/>
      <c r="J3164" s="228"/>
      <c r="K3164" s="207"/>
      <c r="L3164" s="257"/>
      <c r="M3164" s="209"/>
      <c r="N3164" s="281"/>
      <c r="O3164" s="279">
        <f>O3163</f>
        <v>110.87065799999999</v>
      </c>
      <c r="P3164" s="267"/>
      <c r="Q3164" s="166"/>
      <c r="R3164" s="71"/>
    </row>
    <row r="3165" spans="1:18" s="61" customFormat="1" ht="47.25" x14ac:dyDescent="0.25">
      <c r="A3165" s="358"/>
      <c r="B3165" s="361"/>
      <c r="C3165" s="364" t="s">
        <v>118</v>
      </c>
      <c r="D3165" s="156" t="s">
        <v>47</v>
      </c>
      <c r="E3165" s="156" t="s">
        <v>28</v>
      </c>
      <c r="F3165" s="156" t="s">
        <v>239</v>
      </c>
      <c r="G3165" s="238">
        <f t="shared" si="672"/>
        <v>0</v>
      </c>
      <c r="H3165" s="158">
        <f>H3068</f>
        <v>0</v>
      </c>
      <c r="I3165" s="159">
        <f>I3163</f>
        <v>2.4731E-2</v>
      </c>
      <c r="J3165" s="160"/>
      <c r="K3165" s="161">
        <f>K3163</f>
        <v>31</v>
      </c>
      <c r="L3165" s="250">
        <v>1</v>
      </c>
      <c r="M3165" s="163"/>
      <c r="N3165" s="278">
        <f>N3068</f>
        <v>0</v>
      </c>
      <c r="O3165" s="280">
        <f>MROUND(N3165*G3165,0.000001)</f>
        <v>0</v>
      </c>
      <c r="P3165" s="166"/>
      <c r="Q3165" s="166">
        <f t="shared" si="674"/>
        <v>0</v>
      </c>
      <c r="R3165" s="71"/>
    </row>
    <row r="3166" spans="1:18" s="61" customFormat="1" ht="47.25" x14ac:dyDescent="0.25">
      <c r="A3166" s="358"/>
      <c r="B3166" s="361"/>
      <c r="C3166" s="364"/>
      <c r="D3166" s="255" t="s">
        <v>113</v>
      </c>
      <c r="E3166" s="156" t="s">
        <v>28</v>
      </c>
      <c r="F3166" s="156" t="s">
        <v>240</v>
      </c>
      <c r="G3166" s="238">
        <f t="shared" si="672"/>
        <v>1.5955E-2</v>
      </c>
      <c r="H3166" s="158">
        <f>H3069</f>
        <v>20</v>
      </c>
      <c r="I3166" s="159">
        <f>I3165</f>
        <v>2.4731E-2</v>
      </c>
      <c r="J3166" s="160"/>
      <c r="K3166" s="161">
        <f>K3165</f>
        <v>31</v>
      </c>
      <c r="L3166" s="250">
        <v>1</v>
      </c>
      <c r="M3166" s="163" t="str">
        <f>CONCATENATE(H3166," ",F3166,"*",I3166,"/",K3166,"чел/час")</f>
        <v>20 светильников (потребность учреждений)*0,024731/31чел/час</v>
      </c>
      <c r="N3166" s="278">
        <f>N3069</f>
        <v>106.27500000000001</v>
      </c>
      <c r="O3166" s="280">
        <f>MROUND(N3166*G3166,0.000001)</f>
        <v>1.6956179999999998</v>
      </c>
      <c r="P3166" s="166"/>
      <c r="Q3166" s="166">
        <f t="shared" si="674"/>
        <v>52.564157999999992</v>
      </c>
      <c r="R3166" s="71"/>
    </row>
    <row r="3167" spans="1:18" s="62" customFormat="1" x14ac:dyDescent="0.25">
      <c r="A3167" s="359"/>
      <c r="B3167" s="362"/>
      <c r="C3167" s="218" t="s">
        <v>301</v>
      </c>
      <c r="D3167" s="256"/>
      <c r="E3167" s="240"/>
      <c r="F3167" s="240"/>
      <c r="G3167" s="227"/>
      <c r="H3167" s="241"/>
      <c r="I3167" s="206"/>
      <c r="J3167" s="228"/>
      <c r="K3167" s="207"/>
      <c r="L3167" s="257"/>
      <c r="M3167" s="209"/>
      <c r="N3167" s="281"/>
      <c r="O3167" s="279">
        <f>O3165+O3166</f>
        <v>1.6956179999999998</v>
      </c>
      <c r="P3167" s="267"/>
      <c r="Q3167" s="166"/>
      <c r="R3167" s="71"/>
    </row>
    <row r="3168" spans="1:18" s="61" customFormat="1" x14ac:dyDescent="0.25">
      <c r="A3168" s="357" t="str">
        <f>школы!$B$27</f>
        <v>Оценка качества образования</v>
      </c>
      <c r="B3168" s="360" t="str">
        <f>школы!$A$27</f>
        <v>48Д71100000000000004101</v>
      </c>
      <c r="C3168" s="194"/>
      <c r="D3168" s="369" t="s">
        <v>15</v>
      </c>
      <c r="E3168" s="370"/>
      <c r="F3168" s="370"/>
      <c r="G3168" s="371"/>
      <c r="H3168" s="195"/>
      <c r="I3168" s="195"/>
      <c r="J3168" s="195"/>
      <c r="K3168" s="195"/>
      <c r="L3168" s="196"/>
      <c r="M3168" s="197"/>
      <c r="N3168" s="278"/>
      <c r="O3168" s="279">
        <f>O3169+O3174+O3177</f>
        <v>10329.97911572</v>
      </c>
      <c r="P3168" s="166"/>
      <c r="Q3168" s="166">
        <f t="shared" si="674"/>
        <v>0</v>
      </c>
      <c r="R3168" s="71"/>
    </row>
    <row r="3169" spans="1:18" s="61" customFormat="1" x14ac:dyDescent="0.25">
      <c r="A3169" s="358"/>
      <c r="B3169" s="361"/>
      <c r="C3169" s="194"/>
      <c r="D3169" s="350" t="s">
        <v>62</v>
      </c>
      <c r="E3169" s="350"/>
      <c r="F3169" s="350"/>
      <c r="G3169" s="350"/>
      <c r="H3169" s="195"/>
      <c r="I3169" s="195"/>
      <c r="J3169" s="195"/>
      <c r="K3169" s="195"/>
      <c r="L3169" s="196"/>
      <c r="M3169" s="197"/>
      <c r="N3169" s="278"/>
      <c r="O3169" s="279">
        <f>O3171+O3173</f>
        <v>10198.34823172</v>
      </c>
      <c r="P3169" s="166"/>
      <c r="Q3169" s="166">
        <f t="shared" si="674"/>
        <v>0</v>
      </c>
      <c r="R3169" s="71"/>
    </row>
    <row r="3170" spans="1:18" s="61" customFormat="1" x14ac:dyDescent="0.25">
      <c r="A3170" s="358"/>
      <c r="B3170" s="361"/>
      <c r="C3170" s="194">
        <v>211</v>
      </c>
      <c r="D3170" s="194" t="s">
        <v>86</v>
      </c>
      <c r="E3170" s="199" t="s">
        <v>95</v>
      </c>
      <c r="F3170" s="199" t="s">
        <v>95</v>
      </c>
      <c r="G3170" s="275">
        <f>MROUND(H3170*L3170*I3170/K3170,0.00000000001)</f>
        <v>0.46882870587999997</v>
      </c>
      <c r="H3170" s="201">
        <f>$H$2976</f>
        <v>49</v>
      </c>
      <c r="I3170" s="159">
        <f>школы!$K$27</f>
        <v>9.4881999999999994E-2</v>
      </c>
      <c r="J3170" s="159"/>
      <c r="K3170" s="161">
        <f>школы!$G$27</f>
        <v>119</v>
      </c>
      <c r="L3170" s="202">
        <v>12</v>
      </c>
      <c r="M3170" s="163" t="str">
        <f>CONCATENATE(H3170," ",F3170," ","в мес.","*",L3170,"мес.","*",I3170,"/",K3170,"чел/час")</f>
        <v>49 шт.ед в мес.*12мес.*0,094882/119чел/час</v>
      </c>
      <c r="N3170" s="278">
        <f>N2976</f>
        <v>16707.237942176871</v>
      </c>
      <c r="O3170" s="280">
        <f>MROUND(N3170*G3170,0.0000000001)</f>
        <v>7832.8327432599999</v>
      </c>
      <c r="P3170" s="166"/>
      <c r="Q3170" s="166">
        <f t="shared" si="674"/>
        <v>932107.09644793998</v>
      </c>
      <c r="R3170" s="71"/>
    </row>
    <row r="3171" spans="1:18" s="62" customFormat="1" x14ac:dyDescent="0.25">
      <c r="A3171" s="358"/>
      <c r="B3171" s="361"/>
      <c r="C3171" s="203" t="s">
        <v>288</v>
      </c>
      <c r="D3171" s="203"/>
      <c r="E3171" s="204"/>
      <c r="F3171" s="204"/>
      <c r="G3171" s="205"/>
      <c r="H3171" s="206"/>
      <c r="I3171" s="206"/>
      <c r="J3171" s="206"/>
      <c r="K3171" s="207"/>
      <c r="L3171" s="208"/>
      <c r="M3171" s="209"/>
      <c r="N3171" s="281"/>
      <c r="O3171" s="279">
        <f>O3170</f>
        <v>7832.8327432599999</v>
      </c>
      <c r="P3171" s="267"/>
      <c r="Q3171" s="166"/>
      <c r="R3171" s="71"/>
    </row>
    <row r="3172" spans="1:18" s="61" customFormat="1" x14ac:dyDescent="0.25">
      <c r="A3172" s="358"/>
      <c r="B3172" s="361"/>
      <c r="C3172" s="194">
        <v>213</v>
      </c>
      <c r="D3172" s="194" t="s">
        <v>87</v>
      </c>
      <c r="E3172" s="194" t="s">
        <v>88</v>
      </c>
      <c r="F3172" s="194"/>
      <c r="G3172" s="211">
        <v>30.2</v>
      </c>
      <c r="H3172" s="159"/>
      <c r="I3172" s="159">
        <f>I3170</f>
        <v>9.4881999999999994E-2</v>
      </c>
      <c r="J3172" s="159"/>
      <c r="K3172" s="161">
        <f>K3170</f>
        <v>119</v>
      </c>
      <c r="L3172" s="202"/>
      <c r="M3172" s="212"/>
      <c r="N3172" s="278"/>
      <c r="O3172" s="280">
        <f>MROUND(O3170*0.302,0.00000001)</f>
        <v>2365.5154884600001</v>
      </c>
      <c r="P3172" s="166"/>
      <c r="Q3172" s="166">
        <f t="shared" si="674"/>
        <v>281496.34312674002</v>
      </c>
      <c r="R3172" s="71"/>
    </row>
    <row r="3173" spans="1:18" s="62" customFormat="1" x14ac:dyDescent="0.25">
      <c r="A3173" s="358"/>
      <c r="B3173" s="361"/>
      <c r="C3173" s="203" t="s">
        <v>289</v>
      </c>
      <c r="D3173" s="203"/>
      <c r="E3173" s="203"/>
      <c r="F3173" s="203"/>
      <c r="G3173" s="213"/>
      <c r="H3173" s="214"/>
      <c r="I3173" s="206"/>
      <c r="J3173" s="214"/>
      <c r="K3173" s="207"/>
      <c r="L3173" s="215"/>
      <c r="M3173" s="216"/>
      <c r="N3173" s="281"/>
      <c r="O3173" s="279">
        <f>O3172</f>
        <v>2365.5154884600001</v>
      </c>
      <c r="P3173" s="267"/>
      <c r="Q3173" s="166"/>
      <c r="R3173" s="71"/>
    </row>
    <row r="3174" spans="1:18" s="61" customFormat="1" x14ac:dyDescent="0.25">
      <c r="A3174" s="358"/>
      <c r="B3174" s="361"/>
      <c r="C3174" s="194"/>
      <c r="D3174" s="356" t="s">
        <v>63</v>
      </c>
      <c r="E3174" s="356"/>
      <c r="F3174" s="356"/>
      <c r="G3174" s="356"/>
      <c r="H3174" s="195"/>
      <c r="I3174" s="159"/>
      <c r="J3174" s="195"/>
      <c r="K3174" s="161"/>
      <c r="L3174" s="196"/>
      <c r="M3174" s="197"/>
      <c r="N3174" s="278"/>
      <c r="O3174" s="279">
        <f>O3175</f>
        <v>131.63088399999998</v>
      </c>
      <c r="P3174" s="166"/>
      <c r="Q3174" s="166">
        <f t="shared" si="674"/>
        <v>0</v>
      </c>
      <c r="R3174" s="71"/>
    </row>
    <row r="3175" spans="1:18" s="61" customFormat="1" x14ac:dyDescent="0.25">
      <c r="A3175" s="358"/>
      <c r="B3175" s="361"/>
      <c r="C3175" s="194">
        <v>346</v>
      </c>
      <c r="D3175" s="194" t="s">
        <v>259</v>
      </c>
      <c r="E3175" s="194" t="s">
        <v>260</v>
      </c>
      <c r="F3175" s="194" t="s">
        <v>261</v>
      </c>
      <c r="G3175" s="238">
        <f>MROUND(H3175*L3175*I3175/K3175,0.000001)</f>
        <v>0.19534499999999999</v>
      </c>
      <c r="H3175" s="283">
        <f>H2981</f>
        <v>245</v>
      </c>
      <c r="I3175" s="159">
        <f>I3172</f>
        <v>9.4881999999999994E-2</v>
      </c>
      <c r="J3175" s="195"/>
      <c r="K3175" s="161">
        <f>K3172</f>
        <v>119</v>
      </c>
      <c r="L3175" s="196">
        <v>1</v>
      </c>
      <c r="M3175" s="163" t="str">
        <f>CONCATENATE(H3175," ",F3175,"*",I3175,"/",K3175,"чел/час")</f>
        <v>245 упаковок*0,094882/119чел/час</v>
      </c>
      <c r="N3175" s="278">
        <f>N2981</f>
        <v>673.83799999999997</v>
      </c>
      <c r="O3175" s="280">
        <f>MROUND(N3175*G3175,0.000001)</f>
        <v>131.63088399999998</v>
      </c>
      <c r="P3175" s="166"/>
      <c r="Q3175" s="166">
        <f t="shared" si="674"/>
        <v>15664.075195999998</v>
      </c>
      <c r="R3175" s="71"/>
    </row>
    <row r="3176" spans="1:18" s="62" customFormat="1" x14ac:dyDescent="0.25">
      <c r="A3176" s="358"/>
      <c r="B3176" s="361"/>
      <c r="C3176" s="203" t="s">
        <v>356</v>
      </c>
      <c r="D3176" s="203"/>
      <c r="E3176" s="203"/>
      <c r="F3176" s="203"/>
      <c r="G3176" s="227"/>
      <c r="H3176" s="214"/>
      <c r="I3176" s="206"/>
      <c r="J3176" s="214"/>
      <c r="K3176" s="207"/>
      <c r="L3176" s="215"/>
      <c r="M3176" s="209"/>
      <c r="N3176" s="281"/>
      <c r="O3176" s="279">
        <f>O3175</f>
        <v>131.63088399999998</v>
      </c>
      <c r="P3176" s="267"/>
      <c r="Q3176" s="166"/>
      <c r="R3176" s="71"/>
    </row>
    <row r="3177" spans="1:18" s="61" customFormat="1" x14ac:dyDescent="0.25">
      <c r="A3177" s="358"/>
      <c r="B3177" s="361"/>
      <c r="C3177" s="194"/>
      <c r="D3177" s="350" t="s">
        <v>64</v>
      </c>
      <c r="E3177" s="350"/>
      <c r="F3177" s="350"/>
      <c r="G3177" s="350"/>
      <c r="H3177" s="195"/>
      <c r="I3177" s="159"/>
      <c r="J3177" s="195"/>
      <c r="K3177" s="161"/>
      <c r="L3177" s="196"/>
      <c r="M3177" s="197"/>
      <c r="N3177" s="278"/>
      <c r="O3177" s="280"/>
      <c r="P3177" s="166"/>
      <c r="Q3177" s="166">
        <f t="shared" si="674"/>
        <v>0</v>
      </c>
      <c r="R3177" s="71"/>
    </row>
    <row r="3178" spans="1:18" s="61" customFormat="1" x14ac:dyDescent="0.25">
      <c r="A3178" s="358"/>
      <c r="B3178" s="361"/>
      <c r="C3178" s="194"/>
      <c r="D3178" s="194"/>
      <c r="E3178" s="194"/>
      <c r="F3178" s="194"/>
      <c r="G3178" s="217"/>
      <c r="H3178" s="195"/>
      <c r="I3178" s="159"/>
      <c r="J3178" s="195"/>
      <c r="K3178" s="161"/>
      <c r="L3178" s="196"/>
      <c r="M3178" s="197"/>
      <c r="N3178" s="278"/>
      <c r="O3178" s="280"/>
      <c r="P3178" s="166"/>
      <c r="Q3178" s="166">
        <f t="shared" si="674"/>
        <v>0</v>
      </c>
      <c r="R3178" s="71"/>
    </row>
    <row r="3179" spans="1:18" s="61" customFormat="1" x14ac:dyDescent="0.25">
      <c r="A3179" s="358"/>
      <c r="B3179" s="361"/>
      <c r="C3179" s="194"/>
      <c r="D3179" s="355" t="s">
        <v>5</v>
      </c>
      <c r="E3179" s="355"/>
      <c r="F3179" s="355"/>
      <c r="G3179" s="355"/>
      <c r="H3179" s="195"/>
      <c r="I3179" s="159"/>
      <c r="J3179" s="195"/>
      <c r="K3179" s="161"/>
      <c r="L3179" s="196"/>
      <c r="M3179" s="197"/>
      <c r="N3179" s="278"/>
      <c r="O3179" s="279">
        <f>O3180+O3189+O3200+O3202+O3213</f>
        <v>1900.5217610000002</v>
      </c>
      <c r="P3179" s="166"/>
      <c r="Q3179" s="166">
        <f t="shared" si="674"/>
        <v>0</v>
      </c>
      <c r="R3179" s="71"/>
    </row>
    <row r="3180" spans="1:18" s="61" customFormat="1" x14ac:dyDescent="0.25">
      <c r="A3180" s="358"/>
      <c r="B3180" s="361"/>
      <c r="C3180" s="221" t="s">
        <v>70</v>
      </c>
      <c r="D3180" s="355" t="s">
        <v>6</v>
      </c>
      <c r="E3180" s="355"/>
      <c r="F3180" s="355"/>
      <c r="G3180" s="355"/>
      <c r="H3180" s="189"/>
      <c r="I3180" s="159"/>
      <c r="J3180" s="189"/>
      <c r="K3180" s="161"/>
      <c r="L3180" s="190"/>
      <c r="M3180" s="197"/>
      <c r="N3180" s="278"/>
      <c r="O3180" s="279">
        <f>O3181+O3182+O3183+O3184+O3185+O3186+O3187</f>
        <v>608.7669360000001</v>
      </c>
      <c r="P3180" s="166"/>
      <c r="Q3180" s="166">
        <f t="shared" si="674"/>
        <v>0</v>
      </c>
      <c r="R3180" s="71"/>
    </row>
    <row r="3181" spans="1:18" s="61" customFormat="1" ht="31.5" x14ac:dyDescent="0.25">
      <c r="A3181" s="358"/>
      <c r="B3181" s="361"/>
      <c r="C3181" s="221" t="s">
        <v>72</v>
      </c>
      <c r="D3181" s="222" t="s">
        <v>7</v>
      </c>
      <c r="E3181" s="223" t="s">
        <v>8</v>
      </c>
      <c r="F3181" s="223" t="s">
        <v>8</v>
      </c>
      <c r="G3181" s="238">
        <f>MROUND(H3181*L3181*I3181/K3181,0.00000001)</f>
        <v>9863.1252052</v>
      </c>
      <c r="H3181" s="160">
        <f t="shared" ref="H3181:H3187" si="678">H2987</f>
        <v>12370227.22349089</v>
      </c>
      <c r="I3181" s="159">
        <f>I3175</f>
        <v>9.4881999999999994E-2</v>
      </c>
      <c r="J3181" s="160"/>
      <c r="K3181" s="161">
        <f>K3175</f>
        <v>119</v>
      </c>
      <c r="L3181" s="250">
        <v>1</v>
      </c>
      <c r="M3181" s="163" t="str">
        <f>CONCATENATE(H3181," ",F3181,"(лимиты выделенные УЖКХ) ","*",I3181,"/",K3181,"чел/час")</f>
        <v>12370227,2234909 кВт час.(лимиты выделенные УЖКХ) *0,094882/119чел/час</v>
      </c>
      <c r="N3181" s="278">
        <f t="shared" ref="N3181:N3187" si="679">N2987</f>
        <v>1.0461700311716613E-2</v>
      </c>
      <c r="O3181" s="280">
        <f t="shared" ref="O3181:O3187" si="680">MROUND(N3181*G3181,0.000001)</f>
        <v>103.18505999999999</v>
      </c>
      <c r="P3181" s="166"/>
      <c r="Q3181" s="166">
        <f t="shared" si="674"/>
        <v>12279.022139999999</v>
      </c>
      <c r="R3181" s="71"/>
    </row>
    <row r="3182" spans="1:18" s="61" customFormat="1" ht="31.5" x14ac:dyDescent="0.25">
      <c r="A3182" s="358"/>
      <c r="B3182" s="361"/>
      <c r="C3182" s="221" t="s">
        <v>73</v>
      </c>
      <c r="D3182" s="222" t="s">
        <v>9</v>
      </c>
      <c r="E3182" s="223" t="s">
        <v>10</v>
      </c>
      <c r="F3182" s="223" t="s">
        <v>10</v>
      </c>
      <c r="G3182" s="238">
        <f>MROUND(H3182*L3182*I3182/K3182,0.00000001)</f>
        <v>0.13554571000000001</v>
      </c>
      <c r="H3182" s="160">
        <f t="shared" si="678"/>
        <v>170</v>
      </c>
      <c r="I3182" s="159">
        <f t="shared" ref="I3182:I3187" si="681">I3181</f>
        <v>9.4881999999999994E-2</v>
      </c>
      <c r="J3182" s="160"/>
      <c r="K3182" s="161">
        <f t="shared" ref="K3182:K3187" si="682">K3181</f>
        <v>119</v>
      </c>
      <c r="L3182" s="250">
        <v>1</v>
      </c>
      <c r="M3182" s="163" t="str">
        <f>CONCATENATE(H3182," ",F3182,"(лимиты выделенные УЖКХ) ","*",I3182,"/",K3182,"чел/час")</f>
        <v>170 Гкал(лимиты выделенные УЖКХ) *0,094882/119чел/час</v>
      </c>
      <c r="N3182" s="278">
        <f t="shared" si="679"/>
        <v>2845.3649999999998</v>
      </c>
      <c r="O3182" s="280">
        <f t="shared" si="680"/>
        <v>385.67701899999997</v>
      </c>
      <c r="P3182" s="166"/>
      <c r="Q3182" s="166">
        <f t="shared" si="674"/>
        <v>45895.565260999996</v>
      </c>
      <c r="R3182" s="71"/>
    </row>
    <row r="3183" spans="1:18" s="61" customFormat="1" ht="31.5" x14ac:dyDescent="0.25">
      <c r="A3183" s="358"/>
      <c r="B3183" s="361"/>
      <c r="C3183" s="365" t="s">
        <v>74</v>
      </c>
      <c r="D3183" s="222" t="s">
        <v>12</v>
      </c>
      <c r="E3183" s="222" t="s">
        <v>11</v>
      </c>
      <c r="F3183" s="222" t="s">
        <v>11</v>
      </c>
      <c r="G3183" s="238">
        <f>MROUND(H3183*L3183*I3183/K3183,0.000001)</f>
        <v>0.28250900000000001</v>
      </c>
      <c r="H3183" s="224">
        <f t="shared" si="678"/>
        <v>354.32</v>
      </c>
      <c r="I3183" s="159">
        <f t="shared" si="681"/>
        <v>9.4881999999999994E-2</v>
      </c>
      <c r="J3183" s="160"/>
      <c r="K3183" s="161">
        <f t="shared" si="682"/>
        <v>119</v>
      </c>
      <c r="L3183" s="250">
        <v>1</v>
      </c>
      <c r="M3183" s="163" t="str">
        <f>CONCATENATE(H3183," ",F3183,"(лимиты выделенные УЖКХ) ","*",I3183,"/",K3183,"чел/час")</f>
        <v>354,32 м3(лимиты выделенные УЖКХ) *0,094882/119чел/час</v>
      </c>
      <c r="N3183" s="278">
        <f t="shared" si="679"/>
        <v>51.830000000000005</v>
      </c>
      <c r="O3183" s="280">
        <f t="shared" si="680"/>
        <v>14.642441</v>
      </c>
      <c r="P3183" s="166"/>
      <c r="Q3183" s="166">
        <f t="shared" si="674"/>
        <v>1742.4504790000001</v>
      </c>
      <c r="R3183" s="71"/>
    </row>
    <row r="3184" spans="1:18" s="61" customFormat="1" ht="47.25" x14ac:dyDescent="0.25">
      <c r="A3184" s="358"/>
      <c r="B3184" s="361"/>
      <c r="C3184" s="366"/>
      <c r="D3184" s="222" t="s">
        <v>17</v>
      </c>
      <c r="E3184" s="222" t="s">
        <v>11</v>
      </c>
      <c r="F3184" s="222" t="s">
        <v>11</v>
      </c>
      <c r="G3184" s="238">
        <f>MROUND(H3184*L3184*I3184/K3184,0.00000001)</f>
        <v>0.28250915999999998</v>
      </c>
      <c r="H3184" s="160">
        <f t="shared" si="678"/>
        <v>354.32</v>
      </c>
      <c r="I3184" s="159">
        <f t="shared" si="681"/>
        <v>9.4881999999999994E-2</v>
      </c>
      <c r="J3184" s="160"/>
      <c r="K3184" s="161">
        <f t="shared" si="682"/>
        <v>119</v>
      </c>
      <c r="L3184" s="162">
        <f>$L$25</f>
        <v>1</v>
      </c>
      <c r="M3184" s="163" t="str">
        <f>CONCATENATE(H3184," ",F3184,"(лимиты выделенные УЖКХ) ","*",I3184,"/",K3184,"чел/час")</f>
        <v>354,32 м3(лимиты выделенные УЖКХ) *0,094882/119чел/час</v>
      </c>
      <c r="N3184" s="164">
        <f t="shared" si="679"/>
        <v>78.761157534246564</v>
      </c>
      <c r="O3184" s="280">
        <f t="shared" si="680"/>
        <v>22.250747999999998</v>
      </c>
      <c r="P3184" s="166"/>
      <c r="Q3184" s="166">
        <f t="shared" si="674"/>
        <v>2647.8390119999999</v>
      </c>
      <c r="R3184" s="71"/>
    </row>
    <row r="3185" spans="1:18" s="61" customFormat="1" ht="31.5" x14ac:dyDescent="0.25">
      <c r="A3185" s="358"/>
      <c r="B3185" s="361"/>
      <c r="C3185" s="367"/>
      <c r="D3185" s="222" t="s">
        <v>13</v>
      </c>
      <c r="E3185" s="222" t="s">
        <v>11</v>
      </c>
      <c r="F3185" s="222" t="s">
        <v>11</v>
      </c>
      <c r="G3185" s="238">
        <f>MROUND(H3185*L3185*I3185/K3185,0.00000001)</f>
        <v>0.28250915999999998</v>
      </c>
      <c r="H3185" s="160">
        <f t="shared" si="678"/>
        <v>354.32</v>
      </c>
      <c r="I3185" s="159">
        <f t="shared" si="681"/>
        <v>9.4881999999999994E-2</v>
      </c>
      <c r="J3185" s="160"/>
      <c r="K3185" s="161">
        <f t="shared" si="682"/>
        <v>119</v>
      </c>
      <c r="L3185" s="162">
        <v>1</v>
      </c>
      <c r="M3185" s="163" t="str">
        <f>CONCATENATE(H3185," ",F3185,"(лимиты выделенные УЖКХ) ","*",I3185,"/",K3185,"чел/час")</f>
        <v>354,32 м3(лимиты выделенные УЖКХ) *0,094882/119чел/час</v>
      </c>
      <c r="N3185" s="278">
        <f t="shared" si="679"/>
        <v>96.18</v>
      </c>
      <c r="O3185" s="280">
        <f t="shared" si="680"/>
        <v>27.171730999999998</v>
      </c>
      <c r="P3185" s="166"/>
      <c r="Q3185" s="166">
        <f t="shared" si="674"/>
        <v>3233.4359889999996</v>
      </c>
      <c r="R3185" s="71"/>
    </row>
    <row r="3186" spans="1:18" s="61" customFormat="1" x14ac:dyDescent="0.25">
      <c r="A3186" s="358"/>
      <c r="B3186" s="361"/>
      <c r="C3186" s="365" t="s">
        <v>216</v>
      </c>
      <c r="D3186" s="222" t="s">
        <v>23</v>
      </c>
      <c r="E3186" s="222" t="s">
        <v>11</v>
      </c>
      <c r="F3186" s="222" t="s">
        <v>11</v>
      </c>
      <c r="G3186" s="238">
        <f>MROUND(H3186*L3186*I3186/K3186,0.00000001)</f>
        <v>5.0518689999999998E-2</v>
      </c>
      <c r="H3186" s="160">
        <f t="shared" si="678"/>
        <v>63.36</v>
      </c>
      <c r="I3186" s="159">
        <f t="shared" si="681"/>
        <v>9.4881999999999994E-2</v>
      </c>
      <c r="J3186" s="160"/>
      <c r="K3186" s="161">
        <f t="shared" si="682"/>
        <v>119</v>
      </c>
      <c r="L3186" s="162">
        <v>1</v>
      </c>
      <c r="M3186" s="163" t="str">
        <f>CONCATENATE(H3186," ",F3186," ","*",I3186,"/",K3186,"чел/час")</f>
        <v>63,36 м3 *0,094882/119чел/час</v>
      </c>
      <c r="N3186" s="164">
        <f t="shared" si="679"/>
        <v>742.21369949494954</v>
      </c>
      <c r="O3186" s="280">
        <f t="shared" si="680"/>
        <v>37.495663999999998</v>
      </c>
      <c r="P3186" s="166"/>
      <c r="Q3186" s="166">
        <f t="shared" si="674"/>
        <v>4461.9840159999994</v>
      </c>
      <c r="R3186" s="71"/>
    </row>
    <row r="3187" spans="1:18" s="61" customFormat="1" ht="63" x14ac:dyDescent="0.25">
      <c r="A3187" s="358"/>
      <c r="B3187" s="361"/>
      <c r="C3187" s="367"/>
      <c r="D3187" s="222" t="s">
        <v>24</v>
      </c>
      <c r="E3187" s="222" t="s">
        <v>25</v>
      </c>
      <c r="F3187" s="222" t="s">
        <v>248</v>
      </c>
      <c r="G3187" s="238">
        <f>MROUND(H3187*L3187*I3187/K3187,0.00000001)</f>
        <v>3.1893099999999999E-3</v>
      </c>
      <c r="H3187" s="160">
        <f t="shared" si="678"/>
        <v>4</v>
      </c>
      <c r="I3187" s="159">
        <f t="shared" si="681"/>
        <v>9.4881999999999994E-2</v>
      </c>
      <c r="J3187" s="160"/>
      <c r="K3187" s="161">
        <f t="shared" si="682"/>
        <v>119</v>
      </c>
      <c r="L3187" s="250">
        <v>1</v>
      </c>
      <c r="M3187" s="163" t="str">
        <f>CONCATENATE(H3187," ",F3187,"(потребность из расчета 4 контейнера для уборки территории весной и осенью на 1 учреждение)","*",I3187,"/",K3187,"чел/час")</f>
        <v>4 контейнеров(потребность из расчета 4 контейнера для уборки территории весной и осенью на 1 учреждение)*0,094882/119чел/час</v>
      </c>
      <c r="N3187" s="278">
        <f t="shared" si="679"/>
        <v>5751.8</v>
      </c>
      <c r="O3187" s="280">
        <f t="shared" si="680"/>
        <v>18.344272999999998</v>
      </c>
      <c r="P3187" s="166"/>
      <c r="Q3187" s="166">
        <f t="shared" si="674"/>
        <v>2182.9684869999996</v>
      </c>
      <c r="R3187" s="71"/>
    </row>
    <row r="3188" spans="1:18" s="62" customFormat="1" x14ac:dyDescent="0.25">
      <c r="A3188" s="358"/>
      <c r="B3188" s="361"/>
      <c r="C3188" s="218" t="s">
        <v>290</v>
      </c>
      <c r="D3188" s="226"/>
      <c r="E3188" s="226"/>
      <c r="F3188" s="226"/>
      <c r="G3188" s="227"/>
      <c r="H3188" s="228"/>
      <c r="I3188" s="206"/>
      <c r="J3188" s="228"/>
      <c r="K3188" s="207"/>
      <c r="L3188" s="257"/>
      <c r="M3188" s="209"/>
      <c r="N3188" s="281"/>
      <c r="O3188" s="279">
        <f>SUM(O3181:O3187)</f>
        <v>608.7669360000001</v>
      </c>
      <c r="P3188" s="267"/>
      <c r="Q3188" s="166"/>
      <c r="R3188" s="71"/>
    </row>
    <row r="3189" spans="1:18" s="61" customFormat="1" x14ac:dyDescent="0.25">
      <c r="A3189" s="358"/>
      <c r="B3189" s="361"/>
      <c r="C3189" s="221"/>
      <c r="D3189" s="356" t="s">
        <v>14</v>
      </c>
      <c r="E3189" s="356"/>
      <c r="F3189" s="356"/>
      <c r="G3189" s="356"/>
      <c r="H3189" s="188"/>
      <c r="I3189" s="159"/>
      <c r="J3189" s="188"/>
      <c r="K3189" s="161"/>
      <c r="L3189" s="250"/>
      <c r="M3189" s="230"/>
      <c r="N3189" s="278"/>
      <c r="O3189" s="279">
        <f>O3197+O3199+O3193</f>
        <v>0</v>
      </c>
      <c r="P3189" s="166"/>
      <c r="Q3189" s="166">
        <f t="shared" si="674"/>
        <v>0</v>
      </c>
      <c r="R3189" s="71"/>
    </row>
    <row r="3190" spans="1:18" s="61" customFormat="1" x14ac:dyDescent="0.25">
      <c r="A3190" s="358"/>
      <c r="B3190" s="361"/>
      <c r="C3190" s="365" t="s">
        <v>379</v>
      </c>
      <c r="D3190" s="231" t="s">
        <v>49</v>
      </c>
      <c r="E3190" s="231" t="s">
        <v>22</v>
      </c>
      <c r="F3190" s="231" t="s">
        <v>22</v>
      </c>
      <c r="G3190" s="238">
        <f>MROUND(H3190*L3190*I3190/K3190,0.000001)</f>
        <v>0</v>
      </c>
      <c r="H3190" s="160"/>
      <c r="I3190" s="159">
        <f>I3185</f>
        <v>9.4881999999999994E-2</v>
      </c>
      <c r="J3190" s="160"/>
      <c r="K3190" s="161">
        <f>K3185</f>
        <v>119</v>
      </c>
      <c r="L3190" s="250"/>
      <c r="M3190" s="163"/>
      <c r="N3190" s="278"/>
      <c r="O3190" s="280">
        <f>MROUND(N3190*G3190,0.000001)</f>
        <v>0</v>
      </c>
      <c r="P3190" s="166"/>
      <c r="Q3190" s="166">
        <f>O3190*K3190</f>
        <v>0</v>
      </c>
      <c r="R3190" s="71"/>
    </row>
    <row r="3191" spans="1:18" s="61" customFormat="1" x14ac:dyDescent="0.25">
      <c r="A3191" s="358"/>
      <c r="B3191" s="361"/>
      <c r="C3191" s="366"/>
      <c r="D3191" s="231" t="s">
        <v>49</v>
      </c>
      <c r="E3191" s="231" t="s">
        <v>28</v>
      </c>
      <c r="F3191" s="231" t="s">
        <v>28</v>
      </c>
      <c r="G3191" s="238">
        <f>MROUND(H3191*L3191*I3191/K3191,0.00000001)</f>
        <v>0</v>
      </c>
      <c r="H3191" s="160"/>
      <c r="I3191" s="159">
        <f>I3185</f>
        <v>9.4881999999999994E-2</v>
      </c>
      <c r="J3191" s="160"/>
      <c r="K3191" s="161">
        <f>K3185</f>
        <v>119</v>
      </c>
      <c r="L3191" s="250">
        <v>1</v>
      </c>
      <c r="M3191" s="163"/>
      <c r="N3191" s="278"/>
      <c r="O3191" s="280">
        <f>MROUND(N3191*G3191,0.000001)</f>
        <v>0</v>
      </c>
      <c r="P3191" s="166"/>
      <c r="Q3191" s="166">
        <f>O3191*K3191</f>
        <v>0</v>
      </c>
      <c r="R3191" s="71"/>
    </row>
    <row r="3192" spans="1:18" s="61" customFormat="1" x14ac:dyDescent="0.25">
      <c r="A3192" s="358"/>
      <c r="B3192" s="361"/>
      <c r="C3192" s="367"/>
      <c r="D3192" s="231" t="s">
        <v>49</v>
      </c>
      <c r="E3192" s="231" t="s">
        <v>101</v>
      </c>
      <c r="F3192" s="231" t="s">
        <v>101</v>
      </c>
      <c r="G3192" s="238">
        <f>MROUND(H3192*L3192*I3192/K3192,0.00000001)</f>
        <v>0</v>
      </c>
      <c r="H3192" s="160"/>
      <c r="I3192" s="159">
        <f>I3190</f>
        <v>9.4881999999999994E-2</v>
      </c>
      <c r="J3192" s="160"/>
      <c r="K3192" s="161">
        <f>K3190</f>
        <v>119</v>
      </c>
      <c r="L3192" s="250">
        <v>1</v>
      </c>
      <c r="M3192" s="163"/>
      <c r="N3192" s="278"/>
      <c r="O3192" s="280">
        <f>MROUND(N3192*G3192,0.000001)</f>
        <v>0</v>
      </c>
      <c r="P3192" s="166"/>
      <c r="Q3192" s="166">
        <f>O3192*K3192</f>
        <v>0</v>
      </c>
      <c r="R3192" s="71"/>
    </row>
    <row r="3193" spans="1:18" s="62" customFormat="1" x14ac:dyDescent="0.25">
      <c r="A3193" s="358"/>
      <c r="B3193" s="361"/>
      <c r="C3193" s="218" t="s">
        <v>380</v>
      </c>
      <c r="D3193" s="232"/>
      <c r="E3193" s="232"/>
      <c r="F3193" s="232"/>
      <c r="G3193" s="227"/>
      <c r="H3193" s="228"/>
      <c r="I3193" s="206"/>
      <c r="J3193" s="228"/>
      <c r="K3193" s="207"/>
      <c r="L3193" s="257"/>
      <c r="M3193" s="209"/>
      <c r="N3193" s="281"/>
      <c r="O3193" s="279">
        <f>O3190+O3192+O3191</f>
        <v>0</v>
      </c>
      <c r="P3193" s="267"/>
      <c r="Q3193" s="166"/>
      <c r="R3193" s="71"/>
    </row>
    <row r="3194" spans="1:18" s="61" customFormat="1" x14ac:dyDescent="0.25">
      <c r="A3194" s="358"/>
      <c r="B3194" s="361"/>
      <c r="C3194" s="365" t="s">
        <v>76</v>
      </c>
      <c r="D3194" s="231" t="s">
        <v>49</v>
      </c>
      <c r="E3194" s="231" t="s">
        <v>22</v>
      </c>
      <c r="F3194" s="231" t="s">
        <v>22</v>
      </c>
      <c r="G3194" s="238">
        <f>MROUND(H3194*L3194*I3194/K3194,0.000001)</f>
        <v>0</v>
      </c>
      <c r="H3194" s="160"/>
      <c r="I3194" s="159">
        <f>I3190</f>
        <v>9.4881999999999994E-2</v>
      </c>
      <c r="J3194" s="160"/>
      <c r="K3194" s="161">
        <f>K3190</f>
        <v>119</v>
      </c>
      <c r="L3194" s="250">
        <v>1</v>
      </c>
      <c r="M3194" s="163"/>
      <c r="N3194" s="278"/>
      <c r="O3194" s="280">
        <f>MROUND(N3194*G3194,0.000001)</f>
        <v>0</v>
      </c>
      <c r="P3194" s="166"/>
      <c r="Q3194" s="166">
        <f t="shared" si="674"/>
        <v>0</v>
      </c>
      <c r="R3194" s="71"/>
    </row>
    <row r="3195" spans="1:18" s="61" customFormat="1" x14ac:dyDescent="0.25">
      <c r="A3195" s="358"/>
      <c r="B3195" s="361"/>
      <c r="C3195" s="366"/>
      <c r="D3195" s="231" t="s">
        <v>49</v>
      </c>
      <c r="E3195" s="231" t="s">
        <v>28</v>
      </c>
      <c r="F3195" s="231" t="s">
        <v>28</v>
      </c>
      <c r="G3195" s="238">
        <f>MROUND(H3195*L3195*I3195/K3195,0.00000001)</f>
        <v>0</v>
      </c>
      <c r="H3195" s="160"/>
      <c r="I3195" s="159">
        <f>I3190</f>
        <v>9.4881999999999994E-2</v>
      </c>
      <c r="J3195" s="160"/>
      <c r="K3195" s="161">
        <f>K3190</f>
        <v>119</v>
      </c>
      <c r="L3195" s="250">
        <v>1</v>
      </c>
      <c r="M3195" s="163"/>
      <c r="N3195" s="278"/>
      <c r="O3195" s="280">
        <f>MROUND(N3195*G3195,0.000001)</f>
        <v>0</v>
      </c>
      <c r="P3195" s="166"/>
      <c r="Q3195" s="166">
        <f>O3195*K3195</f>
        <v>0</v>
      </c>
      <c r="R3195" s="71"/>
    </row>
    <row r="3196" spans="1:18" s="61" customFormat="1" x14ac:dyDescent="0.25">
      <c r="A3196" s="358"/>
      <c r="B3196" s="361"/>
      <c r="C3196" s="367"/>
      <c r="D3196" s="231" t="s">
        <v>49</v>
      </c>
      <c r="E3196" s="231" t="s">
        <v>101</v>
      </c>
      <c r="F3196" s="231" t="s">
        <v>101</v>
      </c>
      <c r="G3196" s="238">
        <f>MROUND(H3196*L3196*I3196/K3196,0.00000001)</f>
        <v>0</v>
      </c>
      <c r="H3196" s="160"/>
      <c r="I3196" s="159">
        <f>I3194</f>
        <v>9.4881999999999994E-2</v>
      </c>
      <c r="J3196" s="160"/>
      <c r="K3196" s="161">
        <f>K3194</f>
        <v>119</v>
      </c>
      <c r="L3196" s="250">
        <v>1</v>
      </c>
      <c r="M3196" s="163"/>
      <c r="N3196" s="278"/>
      <c r="O3196" s="280">
        <f>MROUND(N3196*G3196,0.000001)</f>
        <v>0</v>
      </c>
      <c r="P3196" s="166"/>
      <c r="Q3196" s="166">
        <f t="shared" si="674"/>
        <v>0</v>
      </c>
      <c r="R3196" s="71"/>
    </row>
    <row r="3197" spans="1:18" s="62" customFormat="1" x14ac:dyDescent="0.25">
      <c r="A3197" s="358"/>
      <c r="B3197" s="361"/>
      <c r="C3197" s="218" t="s">
        <v>291</v>
      </c>
      <c r="D3197" s="232"/>
      <c r="E3197" s="232"/>
      <c r="F3197" s="232"/>
      <c r="G3197" s="227"/>
      <c r="H3197" s="228"/>
      <c r="I3197" s="206"/>
      <c r="J3197" s="228"/>
      <c r="K3197" s="207"/>
      <c r="L3197" s="257"/>
      <c r="M3197" s="209"/>
      <c r="N3197" s="281"/>
      <c r="O3197" s="279">
        <f>O3194+O3196+O3195</f>
        <v>0</v>
      </c>
      <c r="P3197" s="267"/>
      <c r="Q3197" s="166"/>
      <c r="R3197" s="71"/>
    </row>
    <row r="3198" spans="1:18" s="61" customFormat="1" x14ac:dyDescent="0.25">
      <c r="A3198" s="358"/>
      <c r="B3198" s="361"/>
      <c r="C3198" s="221" t="s">
        <v>77</v>
      </c>
      <c r="D3198" s="231"/>
      <c r="E3198" s="231"/>
      <c r="F3198" s="231"/>
      <c r="G3198" s="238">
        <f>MROUND(H3198*L3198*I3198/K3198,0.000001)</f>
        <v>0</v>
      </c>
      <c r="H3198" s="160"/>
      <c r="I3198" s="159">
        <f>I3194</f>
        <v>9.4881999999999994E-2</v>
      </c>
      <c r="J3198" s="160"/>
      <c r="K3198" s="161">
        <f>K3194</f>
        <v>119</v>
      </c>
      <c r="L3198" s="250"/>
      <c r="M3198" s="163"/>
      <c r="N3198" s="278">
        <f>N3004</f>
        <v>0.27250000000000002</v>
      </c>
      <c r="O3198" s="280">
        <f>MROUND(N3198*G3198,0.000001)</f>
        <v>0</v>
      </c>
      <c r="P3198" s="166"/>
      <c r="Q3198" s="166">
        <f t="shared" si="674"/>
        <v>0</v>
      </c>
      <c r="R3198" s="71"/>
    </row>
    <row r="3199" spans="1:18" s="62" customFormat="1" x14ac:dyDescent="0.25">
      <c r="A3199" s="358"/>
      <c r="B3199" s="361"/>
      <c r="C3199" s="218" t="s">
        <v>292</v>
      </c>
      <c r="D3199" s="232"/>
      <c r="E3199" s="232"/>
      <c r="F3199" s="232"/>
      <c r="G3199" s="227"/>
      <c r="H3199" s="228"/>
      <c r="I3199" s="206"/>
      <c r="J3199" s="228"/>
      <c r="K3199" s="207"/>
      <c r="L3199" s="257"/>
      <c r="M3199" s="209"/>
      <c r="N3199" s="281"/>
      <c r="O3199" s="279">
        <f>O3198</f>
        <v>0</v>
      </c>
      <c r="P3199" s="267"/>
      <c r="Q3199" s="166"/>
      <c r="R3199" s="71"/>
    </row>
    <row r="3200" spans="1:18" s="61" customFormat="1" x14ac:dyDescent="0.25">
      <c r="A3200" s="358"/>
      <c r="B3200" s="361"/>
      <c r="C3200" s="221"/>
      <c r="D3200" s="350" t="s">
        <v>65</v>
      </c>
      <c r="E3200" s="350"/>
      <c r="F3200" s="350"/>
      <c r="G3200" s="350"/>
      <c r="H3200" s="195"/>
      <c r="I3200" s="159"/>
      <c r="J3200" s="195"/>
      <c r="K3200" s="161"/>
      <c r="L3200" s="196"/>
      <c r="M3200" s="230"/>
      <c r="N3200" s="278"/>
      <c r="O3200" s="280"/>
      <c r="P3200" s="166"/>
      <c r="Q3200" s="166">
        <f t="shared" si="674"/>
        <v>0</v>
      </c>
      <c r="R3200" s="71"/>
    </row>
    <row r="3201" spans="1:41" s="61" customFormat="1" x14ac:dyDescent="0.25">
      <c r="A3201" s="358"/>
      <c r="B3201" s="361"/>
      <c r="C3201" s="221"/>
      <c r="D3201" s="194"/>
      <c r="E3201" s="194"/>
      <c r="F3201" s="194"/>
      <c r="G3201" s="217"/>
      <c r="H3201" s="195"/>
      <c r="I3201" s="159"/>
      <c r="J3201" s="195"/>
      <c r="K3201" s="161"/>
      <c r="L3201" s="196"/>
      <c r="M3201" s="230"/>
      <c r="N3201" s="278"/>
      <c r="O3201" s="280"/>
      <c r="P3201" s="166"/>
      <c r="Q3201" s="166">
        <f t="shared" si="674"/>
        <v>0</v>
      </c>
      <c r="R3201" s="71"/>
    </row>
    <row r="3202" spans="1:41" s="61" customFormat="1" x14ac:dyDescent="0.25">
      <c r="A3202" s="358"/>
      <c r="B3202" s="361"/>
      <c r="C3202" s="221" t="s">
        <v>357</v>
      </c>
      <c r="D3202" s="368" t="s">
        <v>66</v>
      </c>
      <c r="E3202" s="368"/>
      <c r="F3202" s="368"/>
      <c r="G3202" s="368"/>
      <c r="H3202" s="195"/>
      <c r="I3202" s="159"/>
      <c r="J3202" s="195"/>
      <c r="K3202" s="161"/>
      <c r="L3202" s="196"/>
      <c r="M3202" s="230"/>
      <c r="N3202" s="278"/>
      <c r="O3202" s="279">
        <f>SUM(O3203:O3207)</f>
        <v>133.05111400000001</v>
      </c>
      <c r="P3202" s="166"/>
      <c r="Q3202" s="166">
        <f t="shared" si="674"/>
        <v>0</v>
      </c>
      <c r="R3202" s="71"/>
    </row>
    <row r="3203" spans="1:41" s="61" customFormat="1" x14ac:dyDescent="0.25">
      <c r="A3203" s="358"/>
      <c r="B3203" s="361"/>
      <c r="C3203" s="365"/>
      <c r="D3203" s="284" t="s">
        <v>241</v>
      </c>
      <c r="E3203" s="156" t="s">
        <v>28</v>
      </c>
      <c r="F3203" s="156" t="s">
        <v>28</v>
      </c>
      <c r="G3203" s="238">
        <f>MROUND(H3203*L3203*I3203/K3203,0.000000001)</f>
        <v>4.7839664000000004E-2</v>
      </c>
      <c r="H3203" s="158">
        <f>H3009</f>
        <v>5</v>
      </c>
      <c r="I3203" s="159">
        <f>I3190</f>
        <v>9.4881999999999994E-2</v>
      </c>
      <c r="J3203" s="160"/>
      <c r="K3203" s="161">
        <f>K3190</f>
        <v>119</v>
      </c>
      <c r="L3203" s="250">
        <v>12</v>
      </c>
      <c r="M3203" s="163" t="str">
        <f>CONCATENATE(H3203," ",F3203,"*",L3203,"мес.","*",I3203,"/",K3203,"чел/час")</f>
        <v>5 шт*12мес.*0,094882/119чел/час</v>
      </c>
      <c r="N3203" s="278">
        <f>N3009</f>
        <v>278.60400000000004</v>
      </c>
      <c r="O3203" s="280">
        <f>MROUND(N3203*G3203,0.000001)</f>
        <v>13.328322</v>
      </c>
      <c r="P3203" s="166"/>
      <c r="Q3203" s="166">
        <f t="shared" si="674"/>
        <v>1586.070318</v>
      </c>
      <c r="R3203" s="71"/>
    </row>
    <row r="3204" spans="1:41" s="61" customFormat="1" x14ac:dyDescent="0.25">
      <c r="A3204" s="358"/>
      <c r="B3204" s="361"/>
      <c r="C3204" s="366"/>
      <c r="D3204" s="284" t="s">
        <v>242</v>
      </c>
      <c r="E3204" s="156" t="s">
        <v>243</v>
      </c>
      <c r="F3204" s="156" t="s">
        <v>243</v>
      </c>
      <c r="G3204" s="238">
        <f>MROUND(H3204*L3204*I3204/K3204,0.00000001)</f>
        <v>67.28170326</v>
      </c>
      <c r="H3204" s="158">
        <v>7032</v>
      </c>
      <c r="I3204" s="159">
        <f>I3203</f>
        <v>9.4881999999999994E-2</v>
      </c>
      <c r="J3204" s="160"/>
      <c r="K3204" s="161">
        <f>K3203</f>
        <v>119</v>
      </c>
      <c r="L3204" s="250">
        <v>12</v>
      </c>
      <c r="M3204" s="163" t="str">
        <f>CONCATENATE(H3204," ",F3204,"*",L3204,"мес.","*",I3204,"/",K3204,"чел/час")</f>
        <v>7032 мин.*12мес.*0,094882/119чел/час</v>
      </c>
      <c r="N3204" s="278">
        <f>N3010</f>
        <v>0.78479996207811897</v>
      </c>
      <c r="O3204" s="280">
        <f>MROUND(N3204*G3204,0.000001)</f>
        <v>52.802678</v>
      </c>
      <c r="P3204" s="166"/>
      <c r="Q3204" s="166">
        <f t="shared" si="674"/>
        <v>6283.5186819999999</v>
      </c>
      <c r="R3204" s="71"/>
    </row>
    <row r="3205" spans="1:41" s="61" customFormat="1" ht="31.5" x14ac:dyDescent="0.25">
      <c r="A3205" s="358"/>
      <c r="B3205" s="361"/>
      <c r="C3205" s="366"/>
      <c r="D3205" s="285" t="s">
        <v>244</v>
      </c>
      <c r="E3205" s="286" t="s">
        <v>245</v>
      </c>
      <c r="F3205" s="286" t="s">
        <v>247</v>
      </c>
      <c r="G3205" s="238">
        <f>MROUND(H3205*L3205*I3205/K3205,0.000001)</f>
        <v>9.5680000000000001E-3</v>
      </c>
      <c r="H3205" s="158">
        <v>1</v>
      </c>
      <c r="I3205" s="159">
        <f>I3204</f>
        <v>9.4881999999999994E-2</v>
      </c>
      <c r="J3205" s="160"/>
      <c r="K3205" s="161">
        <f>K3204</f>
        <v>119</v>
      </c>
      <c r="L3205" s="250">
        <v>12</v>
      </c>
      <c r="M3205" s="163" t="str">
        <f>CONCATENATE(H3205," ",F3205,"*",L3205,"мес.","*",I3205,"/",K3205,"чел/час")</f>
        <v>1 радиоточек*12мес.*0,094882/119чел/час</v>
      </c>
      <c r="N3205" s="278">
        <f>N3011</f>
        <v>165.68</v>
      </c>
      <c r="O3205" s="280">
        <f>MROUND(N3205*G3205,0.000001)</f>
        <v>1.585226</v>
      </c>
      <c r="P3205" s="166"/>
      <c r="Q3205" s="166">
        <f t="shared" si="674"/>
        <v>188.64189400000001</v>
      </c>
      <c r="R3205" s="71"/>
    </row>
    <row r="3206" spans="1:41" s="61" customFormat="1" ht="47.25" x14ac:dyDescent="0.25">
      <c r="A3206" s="358"/>
      <c r="B3206" s="361"/>
      <c r="C3206" s="366"/>
      <c r="D3206" s="285" t="s">
        <v>374</v>
      </c>
      <c r="E3206" s="156" t="s">
        <v>28</v>
      </c>
      <c r="F3206" s="156" t="s">
        <v>28</v>
      </c>
      <c r="G3206" s="238">
        <f>MROUND(H3206*L3206*I3206/K3206,0.000001)</f>
        <v>5.7408000000000001E-2</v>
      </c>
      <c r="H3206" s="158">
        <f>H3012</f>
        <v>6</v>
      </c>
      <c r="I3206" s="159">
        <f>I3204</f>
        <v>9.4881999999999994E-2</v>
      </c>
      <c r="J3206" s="160"/>
      <c r="K3206" s="161">
        <f>K3204</f>
        <v>119</v>
      </c>
      <c r="L3206" s="250">
        <f>L3012</f>
        <v>12</v>
      </c>
      <c r="M3206" s="163" t="str">
        <f>CONCATENATE(H3206," ",F3206,"*",L3206,"мес.","*",I3206,"/",K3206,"чел/час")</f>
        <v>6 шт*12мес.*0,094882/119чел/час</v>
      </c>
      <c r="N3206" s="278">
        <f>N3012</f>
        <v>418.67986111111117</v>
      </c>
      <c r="O3206" s="280">
        <f>MROUND(N3206*G3206,0.000001)</f>
        <v>24.035572999999999</v>
      </c>
      <c r="P3206" s="166"/>
      <c r="Q3206" s="166">
        <f t="shared" si="674"/>
        <v>2860.2331869999998</v>
      </c>
      <c r="R3206" s="71"/>
    </row>
    <row r="3207" spans="1:41" s="61" customFormat="1" x14ac:dyDescent="0.25">
      <c r="A3207" s="358"/>
      <c r="B3207" s="361"/>
      <c r="C3207" s="367"/>
      <c r="D3207" s="284" t="s">
        <v>246</v>
      </c>
      <c r="E3207" s="156" t="s">
        <v>28</v>
      </c>
      <c r="F3207" s="156" t="s">
        <v>28</v>
      </c>
      <c r="G3207" s="238">
        <f>MROUND(H3207*L3207*I3207/K3207,0.000001)</f>
        <v>9.5680000000000001E-3</v>
      </c>
      <c r="H3207" s="158">
        <v>1</v>
      </c>
      <c r="I3207" s="159">
        <f>I3205</f>
        <v>9.4881999999999994E-2</v>
      </c>
      <c r="J3207" s="160"/>
      <c r="K3207" s="161">
        <f>K3205</f>
        <v>119</v>
      </c>
      <c r="L3207" s="250">
        <v>12</v>
      </c>
      <c r="M3207" s="163" t="str">
        <f>CONCATENATE(H3207," ",F3207,"*",L3207,"мес.","*",I3207,"/",K3207,"чел/час")</f>
        <v>1 шт*12мес.*0,094882/119чел/час</v>
      </c>
      <c r="N3207" s="278">
        <f>N3013</f>
        <v>4316.4000000000005</v>
      </c>
      <c r="O3207" s="280">
        <f>MROUND(N3207*G3207,0.000001)</f>
        <v>41.299315</v>
      </c>
      <c r="P3207" s="166"/>
      <c r="Q3207" s="166">
        <f t="shared" si="674"/>
        <v>4914.618485</v>
      </c>
      <c r="R3207" s="71"/>
    </row>
    <row r="3208" spans="1:41" s="62" customFormat="1" x14ac:dyDescent="0.25">
      <c r="A3208" s="358"/>
      <c r="B3208" s="361"/>
      <c r="C3208" s="218" t="s">
        <v>358</v>
      </c>
      <c r="D3208" s="287"/>
      <c r="E3208" s="287"/>
      <c r="F3208" s="287"/>
      <c r="G3208" s="288"/>
      <c r="H3208" s="214"/>
      <c r="I3208" s="206"/>
      <c r="J3208" s="214"/>
      <c r="K3208" s="207"/>
      <c r="L3208" s="215"/>
      <c r="M3208" s="289"/>
      <c r="N3208" s="281"/>
      <c r="O3208" s="279">
        <f>O3202</f>
        <v>133.05111400000001</v>
      </c>
      <c r="P3208" s="267"/>
      <c r="Q3208" s="166"/>
      <c r="R3208" s="71"/>
    </row>
    <row r="3209" spans="1:41" s="61" customFormat="1" x14ac:dyDescent="0.25">
      <c r="A3209" s="358"/>
      <c r="B3209" s="361"/>
      <c r="C3209" s="221"/>
      <c r="D3209" s="368" t="s">
        <v>67</v>
      </c>
      <c r="E3209" s="368"/>
      <c r="F3209" s="368"/>
      <c r="G3209" s="368"/>
      <c r="H3209" s="195"/>
      <c r="I3209" s="159">
        <f>I3207</f>
        <v>9.4881999999999994E-2</v>
      </c>
      <c r="J3209" s="195"/>
      <c r="K3209" s="161">
        <f>K3207</f>
        <v>119</v>
      </c>
      <c r="L3209" s="196"/>
      <c r="M3209" s="230"/>
      <c r="N3209" s="278"/>
      <c r="O3209" s="280"/>
      <c r="P3209" s="166"/>
      <c r="Q3209" s="166">
        <f t="shared" ref="Q3209:Q3279" si="683">O3209*K3209</f>
        <v>0</v>
      </c>
      <c r="R3209" s="71"/>
    </row>
    <row r="3210" spans="1:41" s="61" customFormat="1" x14ac:dyDescent="0.25">
      <c r="A3210" s="358"/>
      <c r="B3210" s="361"/>
      <c r="C3210" s="221"/>
      <c r="D3210" s="194"/>
      <c r="E3210" s="194"/>
      <c r="F3210" s="194"/>
      <c r="G3210" s="217"/>
      <c r="H3210" s="195"/>
      <c r="I3210" s="159"/>
      <c r="J3210" s="195"/>
      <c r="K3210" s="161"/>
      <c r="L3210" s="196"/>
      <c r="M3210" s="230"/>
      <c r="N3210" s="278"/>
      <c r="O3210" s="280"/>
      <c r="P3210" s="166"/>
      <c r="Q3210" s="166">
        <f t="shared" si="683"/>
        <v>0</v>
      </c>
      <c r="R3210" s="71"/>
    </row>
    <row r="3211" spans="1:41" s="61" customFormat="1" x14ac:dyDescent="0.25">
      <c r="A3211" s="358"/>
      <c r="B3211" s="361"/>
      <c r="C3211" s="221"/>
      <c r="D3211" s="350" t="s">
        <v>68</v>
      </c>
      <c r="E3211" s="350"/>
      <c r="F3211" s="350"/>
      <c r="G3211" s="350"/>
      <c r="H3211" s="195"/>
      <c r="I3211" s="159"/>
      <c r="J3211" s="195"/>
      <c r="K3211" s="161"/>
      <c r="L3211" s="196"/>
      <c r="M3211" s="230"/>
      <c r="N3211" s="278"/>
      <c r="O3211" s="280"/>
      <c r="P3211" s="166"/>
      <c r="Q3211" s="166">
        <f t="shared" si="683"/>
        <v>0</v>
      </c>
      <c r="R3211" s="71"/>
    </row>
    <row r="3212" spans="1:41" s="61" customFormat="1" x14ac:dyDescent="0.25">
      <c r="A3212" s="358"/>
      <c r="B3212" s="361"/>
      <c r="C3212" s="221"/>
      <c r="D3212" s="156"/>
      <c r="E3212" s="156"/>
      <c r="F3212" s="156"/>
      <c r="G3212" s="236"/>
      <c r="H3212" s="195"/>
      <c r="I3212" s="159"/>
      <c r="J3212" s="195"/>
      <c r="K3212" s="161"/>
      <c r="L3212" s="196"/>
      <c r="M3212" s="230"/>
      <c r="N3212" s="278"/>
      <c r="O3212" s="280"/>
      <c r="P3212" s="166"/>
      <c r="Q3212" s="166">
        <f t="shared" si="683"/>
        <v>0</v>
      </c>
      <c r="R3212" s="71"/>
    </row>
    <row r="3213" spans="1:41" s="61" customFormat="1" x14ac:dyDescent="0.25">
      <c r="A3213" s="358"/>
      <c r="B3213" s="361"/>
      <c r="C3213" s="221"/>
      <c r="D3213" s="368" t="s">
        <v>69</v>
      </c>
      <c r="E3213" s="368"/>
      <c r="F3213" s="368"/>
      <c r="G3213" s="368"/>
      <c r="H3213" s="187"/>
      <c r="I3213" s="159"/>
      <c r="J3213" s="187"/>
      <c r="K3213" s="161"/>
      <c r="L3213" s="276"/>
      <c r="M3213" s="230"/>
      <c r="N3213" s="278"/>
      <c r="O3213" s="279">
        <f>O3220+O3227+O3231+O3249+O3251+O3253+O3259+O3261+O3264</f>
        <v>1158.7037110000001</v>
      </c>
      <c r="P3213" s="166"/>
      <c r="Q3213" s="166">
        <f t="shared" si="683"/>
        <v>0</v>
      </c>
      <c r="R3213" s="71"/>
    </row>
    <row r="3214" spans="1:41" s="61" customFormat="1" ht="31.5" x14ac:dyDescent="0.25">
      <c r="A3214" s="358"/>
      <c r="B3214" s="361"/>
      <c r="C3214" s="365" t="s">
        <v>78</v>
      </c>
      <c r="D3214" s="156" t="s">
        <v>26</v>
      </c>
      <c r="E3214" s="156" t="s">
        <v>22</v>
      </c>
      <c r="F3214" s="156" t="s">
        <v>22</v>
      </c>
      <c r="G3214" s="238">
        <f>MROUND(H3214*L3214*I3214/K3214,0.000000001)</f>
        <v>6.6975529410000005</v>
      </c>
      <c r="H3214" s="158">
        <f>H3020</f>
        <v>700</v>
      </c>
      <c r="I3214" s="159">
        <f>I3203</f>
        <v>9.4881999999999994E-2</v>
      </c>
      <c r="J3214" s="160"/>
      <c r="K3214" s="161">
        <f>K3203</f>
        <v>119</v>
      </c>
      <c r="L3214" s="250">
        <v>12</v>
      </c>
      <c r="M3214" s="163" t="str">
        <f>CONCATENATE(H3214," ",F3214,"(обрабатываемая площадь в мес.)","*",L3214,"мес.","*",I3214,"/",K3214,"чел/час")</f>
        <v>700 м2(обрабатываемая площадь в мес.)*12мес.*0,094882/119чел/час</v>
      </c>
      <c r="N3214" s="278">
        <f>N3020</f>
        <v>1.1554</v>
      </c>
      <c r="O3214" s="280">
        <f>MROUND(N3214*G3214,0.000001)</f>
        <v>7.738353</v>
      </c>
      <c r="P3214" s="166"/>
      <c r="Q3214" s="166">
        <f t="shared" si="683"/>
        <v>920.86400700000002</v>
      </c>
      <c r="R3214" s="71"/>
    </row>
    <row r="3215" spans="1:41" s="61" customFormat="1" ht="31.5" x14ac:dyDescent="0.25">
      <c r="A3215" s="358"/>
      <c r="B3215" s="361"/>
      <c r="C3215" s="366"/>
      <c r="D3215" s="156" t="s">
        <v>96</v>
      </c>
      <c r="E3215" s="156" t="s">
        <v>22</v>
      </c>
      <c r="F3215" s="156" t="s">
        <v>22</v>
      </c>
      <c r="G3215" s="238">
        <f>MROUND(H3215*L3215*I3215/K3215,0.0000001)</f>
        <v>4.3055696999999995</v>
      </c>
      <c r="H3215" s="158">
        <f>H3021</f>
        <v>450</v>
      </c>
      <c r="I3215" s="159">
        <f t="shared" ref="I3215" si="684">I3214</f>
        <v>9.4881999999999994E-2</v>
      </c>
      <c r="J3215" s="160"/>
      <c r="K3215" s="161">
        <f>K3214</f>
        <v>119</v>
      </c>
      <c r="L3215" s="250">
        <v>12</v>
      </c>
      <c r="M3215" s="163" t="str">
        <f>CONCATENATE(H3215," ",F3215,"(обрабатываемая площадь в мес.)","*",L3215,"мес.","*",I3215,"/",K3215,"чел/час")</f>
        <v>450 м2(обрабатываемая площадь в мес.)*12мес.*0,094882/119чел/час</v>
      </c>
      <c r="N3215" s="278">
        <f>N3021</f>
        <v>1.853</v>
      </c>
      <c r="O3215" s="280">
        <f>MROUND(N3215*G3215,0.000001)</f>
        <v>7.9782209999999996</v>
      </c>
      <c r="P3215" s="166"/>
      <c r="Q3215" s="166">
        <f t="shared" si="683"/>
        <v>949.40829899999994</v>
      </c>
      <c r="R3215" s="71"/>
    </row>
    <row r="3216" spans="1:41" s="135" customFormat="1" ht="31.5" x14ac:dyDescent="0.25">
      <c r="A3216" s="358"/>
      <c r="B3216" s="361"/>
      <c r="C3216" s="366"/>
      <c r="D3216" s="156" t="s">
        <v>385</v>
      </c>
      <c r="E3216" s="156" t="s">
        <v>22</v>
      </c>
      <c r="F3216" s="156" t="s">
        <v>22</v>
      </c>
      <c r="G3216" s="238">
        <f>MROUND(H3216*L3216*I3216/K3216,0.000001)</f>
        <v>13.395106</v>
      </c>
      <c r="H3216" s="242">
        <f>$H$3022</f>
        <v>700</v>
      </c>
      <c r="I3216" s="244">
        <f>I3214</f>
        <v>9.4881999999999994E-2</v>
      </c>
      <c r="J3216" s="160"/>
      <c r="K3216" s="161">
        <f>K3203</f>
        <v>119</v>
      </c>
      <c r="L3216" s="162">
        <v>24</v>
      </c>
      <c r="M3216" s="163" t="str">
        <f>CONCATENATE(H3216," ",F3216,"(обрабатываемая площадь в год)","*",L3216," раза в год.","*",I3216,"/",K3216,"чел.")</f>
        <v>700 м2(обрабатываемая площадь в год)*24 раза в год.*0,094882/119чел.</v>
      </c>
      <c r="N3216" s="164">
        <f>$N$3022</f>
        <v>0.27250000000000002</v>
      </c>
      <c r="O3216" s="165">
        <f>MROUND(G3216*N3216,0.000001)</f>
        <v>3.650166</v>
      </c>
      <c r="P3216" s="166"/>
      <c r="Q3216" s="166">
        <f t="shared" si="683"/>
        <v>434.369754</v>
      </c>
      <c r="R3216" s="71"/>
      <c r="S3216" s="61"/>
      <c r="T3216" s="61"/>
      <c r="U3216" s="61"/>
      <c r="V3216" s="61"/>
      <c r="W3216" s="61"/>
      <c r="X3216" s="61"/>
      <c r="Y3216" s="61"/>
      <c r="Z3216" s="61"/>
      <c r="AA3216" s="61"/>
      <c r="AB3216" s="61"/>
      <c r="AC3216" s="61"/>
      <c r="AD3216" s="61"/>
      <c r="AE3216" s="61"/>
      <c r="AF3216" s="61"/>
      <c r="AG3216" s="61"/>
      <c r="AH3216" s="61"/>
      <c r="AI3216" s="61"/>
      <c r="AJ3216" s="61"/>
      <c r="AK3216" s="61"/>
      <c r="AL3216" s="61"/>
      <c r="AM3216" s="61"/>
      <c r="AN3216" s="61"/>
      <c r="AO3216" s="61"/>
    </row>
    <row r="3217" spans="1:41" s="135" customFormat="1" ht="31.5" x14ac:dyDescent="0.25">
      <c r="A3217" s="358"/>
      <c r="B3217" s="361"/>
      <c r="C3217" s="366"/>
      <c r="D3217" s="156" t="s">
        <v>394</v>
      </c>
      <c r="E3217" s="156" t="s">
        <v>22</v>
      </c>
      <c r="F3217" s="156" t="s">
        <v>22</v>
      </c>
      <c r="G3217" s="238">
        <f>MROUND(H3217*L3217*I3217/K3217,0.000001)</f>
        <v>4.3055699999999995</v>
      </c>
      <c r="H3217" s="243">
        <f>$H$3023</f>
        <v>450</v>
      </c>
      <c r="I3217" s="244">
        <f>I3216</f>
        <v>9.4881999999999994E-2</v>
      </c>
      <c r="J3217" s="160"/>
      <c r="K3217" s="161">
        <f>K3203</f>
        <v>119</v>
      </c>
      <c r="L3217" s="162">
        <v>12</v>
      </c>
      <c r="M3217" s="163" t="str">
        <f>CONCATENATE(H3217," ",F3217,"(обрабатываемая площадь в мес.)","*",L3217,"мес.","*",I3217,"/",K3217,"чел.")</f>
        <v>450 м2(обрабатываемая площадь в мес.)*12мес.*0,094882/119чел.</v>
      </c>
      <c r="N3217" s="164">
        <f>$N$3023</f>
        <v>4.5780000000000003</v>
      </c>
      <c r="O3217" s="165">
        <f>MROUND(G3217*N3217,0.000001)</f>
        <v>19.710898999999998</v>
      </c>
      <c r="P3217" s="166"/>
      <c r="Q3217" s="166">
        <f t="shared" si="683"/>
        <v>2345.5969809999997</v>
      </c>
      <c r="R3217" s="71"/>
      <c r="S3217" s="61"/>
      <c r="T3217" s="61"/>
      <c r="U3217" s="61"/>
      <c r="V3217" s="61"/>
      <c r="W3217" s="61"/>
      <c r="X3217" s="61"/>
      <c r="Y3217" s="61"/>
      <c r="Z3217" s="61"/>
      <c r="AA3217" s="61"/>
      <c r="AB3217" s="61"/>
      <c r="AC3217" s="61"/>
      <c r="AD3217" s="61"/>
      <c r="AE3217" s="61"/>
      <c r="AF3217" s="61"/>
      <c r="AG3217" s="61"/>
      <c r="AH3217" s="61"/>
      <c r="AI3217" s="61"/>
      <c r="AJ3217" s="61"/>
      <c r="AK3217" s="61"/>
      <c r="AL3217" s="61"/>
      <c r="AM3217" s="61"/>
      <c r="AN3217" s="61"/>
      <c r="AO3217" s="61"/>
    </row>
    <row r="3218" spans="1:41" s="135" customFormat="1" ht="31.5" x14ac:dyDescent="0.25">
      <c r="A3218" s="358"/>
      <c r="B3218" s="361"/>
      <c r="C3218" s="366"/>
      <c r="D3218" s="156" t="s">
        <v>395</v>
      </c>
      <c r="E3218" s="156" t="s">
        <v>98</v>
      </c>
      <c r="F3218" s="156" t="s">
        <v>98</v>
      </c>
      <c r="G3218" s="238">
        <f>MROUND(H3218*L3218*I3218/K3218,0.000001)</f>
        <v>3.9899999999999999E-4</v>
      </c>
      <c r="H3218" s="242">
        <f>$H$3024</f>
        <v>0.5</v>
      </c>
      <c r="I3218" s="244">
        <f>I3214</f>
        <v>9.4881999999999994E-2</v>
      </c>
      <c r="J3218" s="160"/>
      <c r="K3218" s="161">
        <f>K3214</f>
        <v>119</v>
      </c>
      <c r="L3218" s="162">
        <v>1</v>
      </c>
      <c r="M3218" s="163" t="str">
        <f>CONCATENATE(H3218," ",F3218,"(обрабатываемая площадь в год)","*",L3218," раз в год","*",I3218,"/",K3218,"чел.")</f>
        <v>0,5 Га(обрабатываемая площадь в год)*1 раз в год*0,094882/119чел.</v>
      </c>
      <c r="N3218" s="164">
        <f>$N$57</f>
        <v>545</v>
      </c>
      <c r="O3218" s="165">
        <f>MROUND(G3218*N3218,0.000001)</f>
        <v>0.21745499999999998</v>
      </c>
      <c r="P3218" s="166"/>
      <c r="Q3218" s="166">
        <f t="shared" si="683"/>
        <v>25.877144999999999</v>
      </c>
      <c r="R3218" s="71"/>
      <c r="S3218" s="61"/>
      <c r="T3218" s="61"/>
      <c r="U3218" s="61"/>
      <c r="V3218" s="61"/>
      <c r="W3218" s="61"/>
      <c r="X3218" s="61"/>
      <c r="Y3218" s="61"/>
      <c r="Z3218" s="61"/>
      <c r="AA3218" s="61"/>
      <c r="AB3218" s="61"/>
      <c r="AC3218" s="61"/>
      <c r="AD3218" s="61"/>
      <c r="AE3218" s="61"/>
      <c r="AF3218" s="61"/>
      <c r="AG3218" s="61"/>
      <c r="AH3218" s="61"/>
      <c r="AI3218" s="61"/>
      <c r="AJ3218" s="61"/>
      <c r="AK3218" s="61"/>
      <c r="AL3218" s="61"/>
      <c r="AM3218" s="61"/>
      <c r="AN3218" s="61"/>
      <c r="AO3218" s="61"/>
    </row>
    <row r="3219" spans="1:41" s="61" customFormat="1" ht="31.5" x14ac:dyDescent="0.25">
      <c r="A3219" s="358"/>
      <c r="B3219" s="361"/>
      <c r="C3219" s="367"/>
      <c r="D3219" s="156" t="s">
        <v>97</v>
      </c>
      <c r="E3219" s="156" t="s">
        <v>363</v>
      </c>
      <c r="F3219" s="156" t="s">
        <v>363</v>
      </c>
      <c r="G3219" s="238">
        <f>MROUND(H3219*L3219*I3219/K3219,0.0000001)</f>
        <v>3.9869999999999999E-4</v>
      </c>
      <c r="H3219" s="158">
        <f>H3025</f>
        <v>0.5</v>
      </c>
      <c r="I3219" s="159">
        <f>I3215</f>
        <v>9.4881999999999994E-2</v>
      </c>
      <c r="J3219" s="160"/>
      <c r="K3219" s="161">
        <f>K3215</f>
        <v>119</v>
      </c>
      <c r="L3219" s="250">
        <v>1</v>
      </c>
      <c r="M3219" s="163" t="str">
        <f>CONCATENATE(H3219," ",F3219,"(обрабатываемая площадь в мес.)","*",L3219,"мес.","*",I3219,"/",K3219,"чел")</f>
        <v>0,5 га(обрабатываемая площадь в мес.)*1мес.*0,094882/119чел</v>
      </c>
      <c r="N3219" s="278">
        <f>N3025</f>
        <v>2965.98</v>
      </c>
      <c r="O3219" s="280">
        <f>MROUND(N3219*G3219,0.000001)</f>
        <v>1.182536</v>
      </c>
      <c r="P3219" s="166"/>
      <c r="Q3219" s="166">
        <f t="shared" si="683"/>
        <v>140.72178400000001</v>
      </c>
      <c r="R3219" s="71"/>
    </row>
    <row r="3220" spans="1:41" s="62" customFormat="1" x14ac:dyDescent="0.25">
      <c r="A3220" s="358"/>
      <c r="B3220" s="361"/>
      <c r="C3220" s="218" t="s">
        <v>294</v>
      </c>
      <c r="D3220" s="240"/>
      <c r="E3220" s="240"/>
      <c r="F3220" s="240"/>
      <c r="G3220" s="227"/>
      <c r="H3220" s="241"/>
      <c r="I3220" s="206"/>
      <c r="J3220" s="228"/>
      <c r="K3220" s="207"/>
      <c r="L3220" s="257"/>
      <c r="M3220" s="209"/>
      <c r="N3220" s="281"/>
      <c r="O3220" s="279">
        <f>SUM(O3214:O3219)</f>
        <v>40.477629999999998</v>
      </c>
      <c r="P3220" s="267"/>
      <c r="Q3220" s="166"/>
      <c r="R3220" s="71"/>
    </row>
    <row r="3221" spans="1:41" s="61" customFormat="1" ht="78.75" x14ac:dyDescent="0.25">
      <c r="A3221" s="358"/>
      <c r="B3221" s="361"/>
      <c r="C3221" s="366"/>
      <c r="D3221" s="156" t="s">
        <v>250</v>
      </c>
      <c r="E3221" s="156" t="s">
        <v>251</v>
      </c>
      <c r="F3221" s="156" t="s">
        <v>60</v>
      </c>
      <c r="G3221" s="238">
        <f>MROUND(H3221*L3221*I3221/K3221,0.00000001)</f>
        <v>9.5679300000000005E-3</v>
      </c>
      <c r="H3221" s="158">
        <v>1</v>
      </c>
      <c r="I3221" s="159">
        <f>I3219</f>
        <v>9.4881999999999994E-2</v>
      </c>
      <c r="J3221" s="160"/>
      <c r="K3221" s="161">
        <f>K3219</f>
        <v>119</v>
      </c>
      <c r="L3221" s="250">
        <v>12</v>
      </c>
      <c r="M3221" s="163" t="str">
        <f>CONCATENATE(H3221," ",F3221,"*",I3221,"/",K3221,"чел/час")</f>
        <v>1 шт.*0,094882/119чел/час</v>
      </c>
      <c r="N3221" s="278">
        <f t="shared" ref="N3221:N3226" si="685">N3027</f>
        <v>4360</v>
      </c>
      <c r="O3221" s="280">
        <f t="shared" ref="O3221:O3226" si="686">MROUND(N3221*G3221,0.000001)</f>
        <v>41.716175</v>
      </c>
      <c r="P3221" s="166"/>
      <c r="Q3221" s="166">
        <f t="shared" si="683"/>
        <v>4964.2248250000002</v>
      </c>
      <c r="R3221" s="71"/>
    </row>
    <row r="3222" spans="1:41" s="61" customFormat="1" ht="47.25" x14ac:dyDescent="0.25">
      <c r="A3222" s="358"/>
      <c r="B3222" s="361"/>
      <c r="C3222" s="366"/>
      <c r="D3222" s="156" t="s">
        <v>401</v>
      </c>
      <c r="E3222" s="156" t="s">
        <v>60</v>
      </c>
      <c r="F3222" s="156" t="s">
        <v>402</v>
      </c>
      <c r="G3222" s="238">
        <f t="shared" ref="G3222:G3232" si="687">MROUND(H3222*L3222*I3222/K3222,0.000001)</f>
        <v>0</v>
      </c>
      <c r="H3222" s="158">
        <f>H3028</f>
        <v>0</v>
      </c>
      <c r="I3222" s="159">
        <f>I3221</f>
        <v>9.4881999999999994E-2</v>
      </c>
      <c r="J3222" s="160"/>
      <c r="K3222" s="161">
        <f>K3221</f>
        <v>119</v>
      </c>
      <c r="L3222" s="250">
        <v>1</v>
      </c>
      <c r="M3222" s="163"/>
      <c r="N3222" s="278">
        <f t="shared" si="685"/>
        <v>0</v>
      </c>
      <c r="O3222" s="280">
        <f t="shared" si="686"/>
        <v>0</v>
      </c>
      <c r="P3222" s="166"/>
      <c r="Q3222" s="166">
        <f t="shared" si="683"/>
        <v>0</v>
      </c>
      <c r="R3222" s="71"/>
    </row>
    <row r="3223" spans="1:41" s="61" customFormat="1" ht="31.5" x14ac:dyDescent="0.25">
      <c r="A3223" s="358"/>
      <c r="B3223" s="361"/>
      <c r="C3223" s="366"/>
      <c r="D3223" s="156" t="s">
        <v>35</v>
      </c>
      <c r="E3223" s="156" t="s">
        <v>102</v>
      </c>
      <c r="F3223" s="156" t="s">
        <v>252</v>
      </c>
      <c r="G3223" s="238">
        <f>MROUND(H3223*L3223*I3223/K3223,0.00000001)</f>
        <v>7.9733000000000007E-4</v>
      </c>
      <c r="H3223" s="158">
        <v>1</v>
      </c>
      <c r="I3223" s="159">
        <f>I3222</f>
        <v>9.4881999999999994E-2</v>
      </c>
      <c r="J3223" s="160"/>
      <c r="K3223" s="161">
        <f>K3222</f>
        <v>119</v>
      </c>
      <c r="L3223" s="250">
        <v>1</v>
      </c>
      <c r="M3223" s="163"/>
      <c r="N3223" s="278">
        <f t="shared" si="685"/>
        <v>0</v>
      </c>
      <c r="O3223" s="280">
        <f t="shared" si="686"/>
        <v>0</v>
      </c>
      <c r="P3223" s="166"/>
      <c r="Q3223" s="166">
        <f t="shared" si="683"/>
        <v>0</v>
      </c>
      <c r="R3223" s="71"/>
    </row>
    <row r="3224" spans="1:41" s="61" customFormat="1" ht="31.5" x14ac:dyDescent="0.25">
      <c r="A3224" s="358"/>
      <c r="B3224" s="361"/>
      <c r="C3224" s="366"/>
      <c r="D3224" s="156" t="s">
        <v>99</v>
      </c>
      <c r="E3224" s="156" t="s">
        <v>103</v>
      </c>
      <c r="F3224" s="156" t="s">
        <v>225</v>
      </c>
      <c r="G3224" s="238">
        <f>MROUND(H3224*L3224*I3224/K3224,0.00000001)</f>
        <v>0</v>
      </c>
      <c r="H3224" s="158">
        <f>H3030</f>
        <v>0</v>
      </c>
      <c r="I3224" s="159">
        <f>I3223</f>
        <v>9.4881999999999994E-2</v>
      </c>
      <c r="J3224" s="160"/>
      <c r="K3224" s="161">
        <f>K3223</f>
        <v>119</v>
      </c>
      <c r="L3224" s="250">
        <v>1</v>
      </c>
      <c r="M3224" s="163"/>
      <c r="N3224" s="164">
        <f t="shared" si="685"/>
        <v>0</v>
      </c>
      <c r="O3224" s="165">
        <f>MROUND(G3224*N3224,0.000001)</f>
        <v>0</v>
      </c>
      <c r="P3224" s="166"/>
      <c r="Q3224" s="166">
        <f t="shared" si="683"/>
        <v>0</v>
      </c>
      <c r="R3224" s="71"/>
    </row>
    <row r="3225" spans="1:41" s="61" customFormat="1" x14ac:dyDescent="0.25">
      <c r="A3225" s="358"/>
      <c r="B3225" s="361"/>
      <c r="C3225" s="366"/>
      <c r="D3225" s="156" t="s">
        <v>27</v>
      </c>
      <c r="E3225" s="156" t="s">
        <v>28</v>
      </c>
      <c r="F3225" s="156" t="s">
        <v>28</v>
      </c>
      <c r="G3225" s="238">
        <f t="shared" si="687"/>
        <v>0</v>
      </c>
      <c r="H3225" s="160">
        <f>H3031</f>
        <v>0</v>
      </c>
      <c r="I3225" s="159">
        <f>I3223</f>
        <v>9.4881999999999994E-2</v>
      </c>
      <c r="J3225" s="160"/>
      <c r="K3225" s="161">
        <f>K3223</f>
        <v>119</v>
      </c>
      <c r="L3225" s="250">
        <v>1</v>
      </c>
      <c r="M3225" s="163"/>
      <c r="N3225" s="278">
        <f t="shared" si="685"/>
        <v>0</v>
      </c>
      <c r="O3225" s="280">
        <f t="shared" si="686"/>
        <v>0</v>
      </c>
      <c r="P3225" s="166"/>
      <c r="Q3225" s="166">
        <f t="shared" si="683"/>
        <v>0</v>
      </c>
      <c r="R3225" s="71"/>
    </row>
    <row r="3226" spans="1:41" s="61" customFormat="1" ht="31.5" x14ac:dyDescent="0.25">
      <c r="A3226" s="358"/>
      <c r="B3226" s="361"/>
      <c r="C3226" s="367"/>
      <c r="D3226" s="156" t="s">
        <v>104</v>
      </c>
      <c r="E3226" s="156" t="s">
        <v>105</v>
      </c>
      <c r="F3226" s="156" t="s">
        <v>226</v>
      </c>
      <c r="G3226" s="238">
        <f>MROUND(H3226*L3226*I3226/K3226,0.00000001)</f>
        <v>7.9733000000000007E-4</v>
      </c>
      <c r="H3226" s="160">
        <v>1</v>
      </c>
      <c r="I3226" s="159">
        <f>I3225</f>
        <v>9.4881999999999994E-2</v>
      </c>
      <c r="J3226" s="160"/>
      <c r="K3226" s="161">
        <f>K3225</f>
        <v>119</v>
      </c>
      <c r="L3226" s="250">
        <v>1</v>
      </c>
      <c r="M3226" s="163"/>
      <c r="N3226" s="278">
        <f t="shared" si="685"/>
        <v>0</v>
      </c>
      <c r="O3226" s="280">
        <f t="shared" si="686"/>
        <v>0</v>
      </c>
      <c r="P3226" s="166"/>
      <c r="Q3226" s="166">
        <f t="shared" si="683"/>
        <v>0</v>
      </c>
      <c r="R3226" s="71"/>
    </row>
    <row r="3227" spans="1:41" s="62" customFormat="1" x14ac:dyDescent="0.25">
      <c r="A3227" s="358"/>
      <c r="B3227" s="361"/>
      <c r="C3227" s="249" t="s">
        <v>292</v>
      </c>
      <c r="D3227" s="240"/>
      <c r="E3227" s="240"/>
      <c r="F3227" s="240"/>
      <c r="G3227" s="227"/>
      <c r="H3227" s="228"/>
      <c r="I3227" s="206"/>
      <c r="J3227" s="228"/>
      <c r="K3227" s="207"/>
      <c r="L3227" s="257"/>
      <c r="M3227" s="209"/>
      <c r="N3227" s="281"/>
      <c r="O3227" s="279">
        <f>SUM(O3221:O3226)</f>
        <v>41.716175</v>
      </c>
      <c r="P3227" s="267"/>
      <c r="Q3227" s="166"/>
      <c r="R3227" s="71"/>
    </row>
    <row r="3228" spans="1:41" s="61" customFormat="1" ht="31.5" x14ac:dyDescent="0.25">
      <c r="A3228" s="358"/>
      <c r="B3228" s="361"/>
      <c r="C3228" s="221" t="s">
        <v>79</v>
      </c>
      <c r="D3228" s="156" t="s">
        <v>37</v>
      </c>
      <c r="E3228" s="156" t="s">
        <v>61</v>
      </c>
      <c r="F3228" s="156" t="s">
        <v>254</v>
      </c>
      <c r="G3228" s="238">
        <f>MROUND(H3228*L3228*I3228/K3228,0.00000001)</f>
        <v>7.9733000000000007E-4</v>
      </c>
      <c r="H3228" s="158">
        <v>1</v>
      </c>
      <c r="I3228" s="159">
        <f>I3226</f>
        <v>9.4881999999999994E-2</v>
      </c>
      <c r="J3228" s="160"/>
      <c r="K3228" s="161">
        <f>K3226</f>
        <v>119</v>
      </c>
      <c r="L3228" s="250">
        <v>1</v>
      </c>
      <c r="M3228" s="163" t="str">
        <f>CONCATENATE(H3228," ",F3228,"*",I3228,"/",K3228,"чел/час")</f>
        <v>1 автобус*0,094882/119чел/час</v>
      </c>
      <c r="N3228" s="278">
        <f>N3034</f>
        <v>23352.160000000003</v>
      </c>
      <c r="O3228" s="280">
        <f>MROUND(N3228*G3228,0.000001)</f>
        <v>18.619377999999998</v>
      </c>
      <c r="P3228" s="166"/>
      <c r="Q3228" s="166">
        <f t="shared" si="683"/>
        <v>2215.7059819999995</v>
      </c>
      <c r="R3228" s="71"/>
    </row>
    <row r="3229" spans="1:41" s="61" customFormat="1" ht="31.5" x14ac:dyDescent="0.25">
      <c r="A3229" s="358"/>
      <c r="B3229" s="361"/>
      <c r="C3229" s="221"/>
      <c r="D3229" s="156" t="s">
        <v>262</v>
      </c>
      <c r="E3229" s="156" t="s">
        <v>440</v>
      </c>
      <c r="F3229" s="156" t="s">
        <v>441</v>
      </c>
      <c r="G3229" s="238">
        <f t="shared" si="687"/>
        <v>3.189E-3</v>
      </c>
      <c r="H3229" s="158">
        <f>$H$3035</f>
        <v>1</v>
      </c>
      <c r="I3229" s="159">
        <f>I3228</f>
        <v>9.4881999999999994E-2</v>
      </c>
      <c r="J3229" s="160"/>
      <c r="K3229" s="161">
        <f>K3228</f>
        <v>119</v>
      </c>
      <c r="L3229" s="250">
        <v>4</v>
      </c>
      <c r="M3229" s="163" t="str">
        <f>CONCATENATE(H3229," ",F3229,"*",L3229,"раза в год","*",I3229,"/",K3229,"чел/час")</f>
        <v>1 услуга*4раза в год*0,094882/119чел/час</v>
      </c>
      <c r="N3229" s="278">
        <f>N3035</f>
        <v>24661.25</v>
      </c>
      <c r="O3229" s="280">
        <f>MROUND(N3229*G3229,0.000001)</f>
        <v>78.644725999999991</v>
      </c>
      <c r="P3229" s="166"/>
      <c r="Q3229" s="166">
        <f t="shared" si="683"/>
        <v>9358.7223939999985</v>
      </c>
      <c r="R3229" s="71"/>
    </row>
    <row r="3230" spans="1:41" s="61" customFormat="1" x14ac:dyDescent="0.25">
      <c r="A3230" s="358"/>
      <c r="B3230" s="361"/>
      <c r="C3230" s="221"/>
      <c r="D3230" s="156" t="s">
        <v>255</v>
      </c>
      <c r="E3230" s="156" t="s">
        <v>28</v>
      </c>
      <c r="F3230" s="156" t="s">
        <v>28</v>
      </c>
      <c r="G3230" s="238">
        <f t="shared" si="687"/>
        <v>4.4649999999999995E-2</v>
      </c>
      <c r="H3230" s="158">
        <v>56</v>
      </c>
      <c r="I3230" s="159">
        <f>I3228</f>
        <v>9.4881999999999994E-2</v>
      </c>
      <c r="J3230" s="160"/>
      <c r="K3230" s="161">
        <f>K3228</f>
        <v>119</v>
      </c>
      <c r="L3230" s="250">
        <v>1</v>
      </c>
      <c r="M3230" s="163" t="str">
        <f>CONCATENATE(H3230," ",F3230,"*",L3230,"раза в год","*",I3230,"/",K3230,"чел/час")</f>
        <v>56 шт*1раза в год*0,094882/119чел/час</v>
      </c>
      <c r="N3230" s="278">
        <f>N3036</f>
        <v>743.53571428571433</v>
      </c>
      <c r="O3230" s="280">
        <f>MROUND(N3230*G3230,0.000001)</f>
        <v>33.198869999999999</v>
      </c>
      <c r="P3230" s="166"/>
      <c r="Q3230" s="166">
        <f t="shared" si="683"/>
        <v>3950.6655299999998</v>
      </c>
      <c r="R3230" s="71"/>
    </row>
    <row r="3231" spans="1:41" s="62" customFormat="1" x14ac:dyDescent="0.25">
      <c r="A3231" s="358"/>
      <c r="B3231" s="361"/>
      <c r="C3231" s="218" t="s">
        <v>295</v>
      </c>
      <c r="D3231" s="240"/>
      <c r="E3231" s="240"/>
      <c r="F3231" s="240"/>
      <c r="G3231" s="227"/>
      <c r="H3231" s="241"/>
      <c r="I3231" s="206"/>
      <c r="J3231" s="228"/>
      <c r="K3231" s="207"/>
      <c r="L3231" s="257"/>
      <c r="M3231" s="209"/>
      <c r="N3231" s="281"/>
      <c r="O3231" s="279">
        <f>O3228+O3229+O3230</f>
        <v>130.46297399999997</v>
      </c>
      <c r="P3231" s="267"/>
      <c r="Q3231" s="166"/>
      <c r="R3231" s="71"/>
    </row>
    <row r="3232" spans="1:41" s="61" customFormat="1" x14ac:dyDescent="0.25">
      <c r="A3232" s="358"/>
      <c r="B3232" s="361"/>
      <c r="C3232" s="365" t="s">
        <v>80</v>
      </c>
      <c r="D3232" s="156" t="s">
        <v>38</v>
      </c>
      <c r="E3232" s="156" t="s">
        <v>57</v>
      </c>
      <c r="F3232" s="156" t="s">
        <v>228</v>
      </c>
      <c r="G3232" s="238">
        <f t="shared" si="687"/>
        <v>9.5680000000000001E-3</v>
      </c>
      <c r="H3232" s="158">
        <v>1</v>
      </c>
      <c r="I3232" s="159">
        <f>I3228</f>
        <v>9.4881999999999994E-2</v>
      </c>
      <c r="J3232" s="160"/>
      <c r="K3232" s="161">
        <f>K3228</f>
        <v>119</v>
      </c>
      <c r="L3232" s="250">
        <v>12</v>
      </c>
      <c r="M3232" s="163"/>
      <c r="N3232" s="278">
        <f t="shared" ref="N3232:N3248" si="688">N3038</f>
        <v>0</v>
      </c>
      <c r="O3232" s="280">
        <f t="shared" ref="O3232:O3248" si="689">MROUND(N3232*G3232,0.000001)</f>
        <v>0</v>
      </c>
      <c r="P3232" s="166"/>
      <c r="Q3232" s="166">
        <f t="shared" si="683"/>
        <v>0</v>
      </c>
      <c r="R3232" s="71"/>
    </row>
    <row r="3233" spans="1:18" s="61" customFormat="1" x14ac:dyDescent="0.25">
      <c r="A3233" s="358"/>
      <c r="B3233" s="361"/>
      <c r="C3233" s="366"/>
      <c r="D3233" s="156" t="s">
        <v>256</v>
      </c>
      <c r="E3233" s="156" t="s">
        <v>20</v>
      </c>
      <c r="F3233" s="156" t="s">
        <v>20</v>
      </c>
      <c r="G3233" s="238">
        <f>MROUND(H3233*L3233*I3233/K3233,0.00000001)</f>
        <v>1.993319E-2</v>
      </c>
      <c r="H3233" s="158">
        <f>H3039</f>
        <v>25</v>
      </c>
      <c r="I3233" s="159">
        <f>I3230</f>
        <v>9.4881999999999994E-2</v>
      </c>
      <c r="J3233" s="160"/>
      <c r="K3233" s="161">
        <f>K3230</f>
        <v>119</v>
      </c>
      <c r="L3233" s="250">
        <v>1</v>
      </c>
      <c r="M3233" s="163" t="str">
        <f t="shared" ref="M3233:M3238" si="690">CONCATENATE(H3233," ",F3233,"*",I3233,"/",K3233,"чел/час")</f>
        <v>25 чел.*0,094882/119чел/час</v>
      </c>
      <c r="N3233" s="278">
        <f t="shared" si="688"/>
        <v>1853</v>
      </c>
      <c r="O3233" s="280">
        <f t="shared" si="689"/>
        <v>36.936200999999997</v>
      </c>
      <c r="P3233" s="166"/>
      <c r="Q3233" s="166">
        <f t="shared" si="683"/>
        <v>4395.4079189999993</v>
      </c>
      <c r="R3233" s="71"/>
    </row>
    <row r="3234" spans="1:18" s="61" customFormat="1" ht="63" x14ac:dyDescent="0.25">
      <c r="A3234" s="358"/>
      <c r="B3234" s="361"/>
      <c r="C3234" s="366"/>
      <c r="D3234" s="156" t="s">
        <v>39</v>
      </c>
      <c r="E3234" s="156" t="s">
        <v>20</v>
      </c>
      <c r="F3234" s="156" t="s">
        <v>234</v>
      </c>
      <c r="G3234" s="238">
        <f t="shared" ref="G3234:G3263" si="691">MROUND(H3234*L3234*I3234/K3234,0.000001)</f>
        <v>7.9699999999999997E-4</v>
      </c>
      <c r="H3234" s="158">
        <v>1</v>
      </c>
      <c r="I3234" s="159">
        <f>I3232</f>
        <v>9.4881999999999994E-2</v>
      </c>
      <c r="J3234" s="160"/>
      <c r="K3234" s="161">
        <f>K3232</f>
        <v>119</v>
      </c>
      <c r="L3234" s="250">
        <v>1</v>
      </c>
      <c r="M3234" s="163" t="str">
        <f t="shared" si="690"/>
        <v>1 чел(заявленная потребность руководителями учреждений)*0,094882/119чел/час</v>
      </c>
      <c r="N3234" s="278">
        <f t="shared" si="688"/>
        <v>763</v>
      </c>
      <c r="O3234" s="280">
        <f t="shared" si="689"/>
        <v>0.60811099999999996</v>
      </c>
      <c r="P3234" s="166"/>
      <c r="Q3234" s="166">
        <f t="shared" si="683"/>
        <v>72.365208999999993</v>
      </c>
      <c r="R3234" s="71"/>
    </row>
    <row r="3235" spans="1:18" s="61" customFormat="1" ht="63" x14ac:dyDescent="0.25">
      <c r="A3235" s="358"/>
      <c r="B3235" s="361"/>
      <c r="C3235" s="366"/>
      <c r="D3235" s="156" t="s">
        <v>40</v>
      </c>
      <c r="E3235" s="156" t="s">
        <v>20</v>
      </c>
      <c r="F3235" s="156" t="s">
        <v>234</v>
      </c>
      <c r="G3235" s="238">
        <f>MROUND(H3235*L3235*I3235/K3235,0.000001)</f>
        <v>7.9699999999999997E-4</v>
      </c>
      <c r="H3235" s="158">
        <v>1</v>
      </c>
      <c r="I3235" s="159">
        <f>I3233</f>
        <v>9.4881999999999994E-2</v>
      </c>
      <c r="J3235" s="160"/>
      <c r="K3235" s="161">
        <f>K3233</f>
        <v>119</v>
      </c>
      <c r="L3235" s="250">
        <v>1</v>
      </c>
      <c r="M3235" s="163" t="str">
        <f t="shared" si="690"/>
        <v>1 чел(заявленная потребность руководителями учреждений)*0,094882/119чел/час</v>
      </c>
      <c r="N3235" s="278">
        <f t="shared" si="688"/>
        <v>1635</v>
      </c>
      <c r="O3235" s="280">
        <f t="shared" si="689"/>
        <v>1.3030949999999999</v>
      </c>
      <c r="P3235" s="166"/>
      <c r="Q3235" s="166">
        <f t="shared" si="683"/>
        <v>155.06830499999998</v>
      </c>
      <c r="R3235" s="71"/>
    </row>
    <row r="3236" spans="1:18" s="61" customFormat="1" ht="63" x14ac:dyDescent="0.25">
      <c r="A3236" s="358"/>
      <c r="B3236" s="361"/>
      <c r="C3236" s="366"/>
      <c r="D3236" s="156" t="s">
        <v>100</v>
      </c>
      <c r="E3236" s="156" t="s">
        <v>20</v>
      </c>
      <c r="F3236" s="156" t="s">
        <v>234</v>
      </c>
      <c r="G3236" s="238">
        <f>MROUND(H3236*L3236*I3236/K3236,0.00000001)</f>
        <v>7.9733000000000007E-4</v>
      </c>
      <c r="H3236" s="158">
        <v>1</v>
      </c>
      <c r="I3236" s="159">
        <f>I3234</f>
        <v>9.4881999999999994E-2</v>
      </c>
      <c r="J3236" s="160"/>
      <c r="K3236" s="161">
        <f>K3234</f>
        <v>119</v>
      </c>
      <c r="L3236" s="250">
        <v>1</v>
      </c>
      <c r="M3236" s="163" t="str">
        <f t="shared" si="690"/>
        <v>1 чел(заявленная потребность руководителями учреждений)*0,094882/119чел/час</v>
      </c>
      <c r="N3236" s="278">
        <f t="shared" si="688"/>
        <v>3488</v>
      </c>
      <c r="O3236" s="280">
        <f t="shared" si="689"/>
        <v>2.7810869999999999</v>
      </c>
      <c r="P3236" s="166"/>
      <c r="Q3236" s="166">
        <f t="shared" si="683"/>
        <v>330.94935299999997</v>
      </c>
      <c r="R3236" s="71"/>
    </row>
    <row r="3237" spans="1:18" s="61" customFormat="1" ht="110.25" x14ac:dyDescent="0.25">
      <c r="A3237" s="358"/>
      <c r="B3237" s="361"/>
      <c r="C3237" s="366"/>
      <c r="D3237" s="156" t="s">
        <v>235</v>
      </c>
      <c r="E3237" s="156" t="s">
        <v>50</v>
      </c>
      <c r="F3237" s="156" t="s">
        <v>230</v>
      </c>
      <c r="G3237" s="238">
        <f>MROUND(H3237*L3237*I3237/K3237,0.00000001)</f>
        <v>7.9733000000000007E-4</v>
      </c>
      <c r="H3237" s="158">
        <v>1</v>
      </c>
      <c r="I3237" s="159">
        <f>I3233</f>
        <v>9.4881999999999994E-2</v>
      </c>
      <c r="J3237" s="160"/>
      <c r="K3237" s="161">
        <f>K3233</f>
        <v>119</v>
      </c>
      <c r="L3237" s="250">
        <v>1</v>
      </c>
      <c r="M3237" s="163" t="str">
        <f t="shared" si="690"/>
        <v>1 отчетов*0,094882/119чел/час</v>
      </c>
      <c r="N3237" s="278">
        <f t="shared" si="688"/>
        <v>6540</v>
      </c>
      <c r="O3237" s="280">
        <f t="shared" si="689"/>
        <v>5.2145380000000001</v>
      </c>
      <c r="P3237" s="166"/>
      <c r="Q3237" s="166">
        <f t="shared" si="683"/>
        <v>620.53002200000003</v>
      </c>
      <c r="R3237" s="71"/>
    </row>
    <row r="3238" spans="1:18" s="61" customFormat="1" ht="63" x14ac:dyDescent="0.25">
      <c r="A3238" s="358"/>
      <c r="B3238" s="361"/>
      <c r="C3238" s="366"/>
      <c r="D3238" s="156" t="s">
        <v>42</v>
      </c>
      <c r="E3238" s="156" t="s">
        <v>51</v>
      </c>
      <c r="F3238" s="156" t="s">
        <v>407</v>
      </c>
      <c r="G3238" s="238">
        <f t="shared" si="691"/>
        <v>4.7840000000000001E-3</v>
      </c>
      <c r="H3238" s="158">
        <f>H3044</f>
        <v>6</v>
      </c>
      <c r="I3238" s="159">
        <f t="shared" ref="I3238:I3244" si="692">I3237</f>
        <v>9.4881999999999994E-2</v>
      </c>
      <c r="J3238" s="160"/>
      <c r="K3238" s="161">
        <f t="shared" ref="K3238:K3244" si="693">K3237</f>
        <v>119</v>
      </c>
      <c r="L3238" s="250">
        <v>1</v>
      </c>
      <c r="M3238" s="163" t="str">
        <f t="shared" si="690"/>
        <v>6 ед (заявленная потребность руководителями учреждений)*0,094882/119чел/час</v>
      </c>
      <c r="N3238" s="278">
        <f t="shared" si="688"/>
        <v>1090</v>
      </c>
      <c r="O3238" s="280">
        <f t="shared" si="689"/>
        <v>5.2145599999999996</v>
      </c>
      <c r="P3238" s="166"/>
      <c r="Q3238" s="166">
        <f t="shared" si="683"/>
        <v>620.5326399999999</v>
      </c>
      <c r="R3238" s="71"/>
    </row>
    <row r="3239" spans="1:18" s="61" customFormat="1" ht="31.5" x14ac:dyDescent="0.25">
      <c r="A3239" s="358"/>
      <c r="B3239" s="361"/>
      <c r="C3239" s="366"/>
      <c r="D3239" s="156" t="s">
        <v>263</v>
      </c>
      <c r="E3239" s="156" t="s">
        <v>264</v>
      </c>
      <c r="F3239" s="156" t="s">
        <v>265</v>
      </c>
      <c r="G3239" s="238">
        <f t="shared" si="691"/>
        <v>9.5680000000000001E-3</v>
      </c>
      <c r="H3239" s="158">
        <v>1</v>
      </c>
      <c r="I3239" s="159">
        <f t="shared" si="692"/>
        <v>9.4881999999999994E-2</v>
      </c>
      <c r="J3239" s="160"/>
      <c r="K3239" s="161">
        <f t="shared" si="693"/>
        <v>119</v>
      </c>
      <c r="L3239" s="250">
        <v>12</v>
      </c>
      <c r="M3239" s="163" t="str">
        <f>CONCATENATE(H3239," ",F3239,"*",L3239,"мес.","*",I3239,"/",K3239,"чел/час")</f>
        <v>1 мойка*12мес.*0,094882/119чел/час</v>
      </c>
      <c r="N3239" s="278">
        <f t="shared" si="688"/>
        <v>545</v>
      </c>
      <c r="O3239" s="280">
        <f t="shared" si="689"/>
        <v>5.2145599999999996</v>
      </c>
      <c r="P3239" s="166"/>
      <c r="Q3239" s="166">
        <f t="shared" si="683"/>
        <v>620.5326399999999</v>
      </c>
      <c r="R3239" s="71"/>
    </row>
    <row r="3240" spans="1:18" s="61" customFormat="1" ht="31.5" x14ac:dyDescent="0.25">
      <c r="A3240" s="358"/>
      <c r="B3240" s="361"/>
      <c r="C3240" s="366"/>
      <c r="D3240" s="156" t="s">
        <v>266</v>
      </c>
      <c r="E3240" s="156" t="s">
        <v>267</v>
      </c>
      <c r="F3240" s="156" t="s">
        <v>268</v>
      </c>
      <c r="G3240" s="238">
        <f t="shared" si="691"/>
        <v>0.191359</v>
      </c>
      <c r="H3240" s="158">
        <v>20</v>
      </c>
      <c r="I3240" s="159">
        <f t="shared" si="692"/>
        <v>9.4881999999999994E-2</v>
      </c>
      <c r="J3240" s="160"/>
      <c r="K3240" s="161">
        <f t="shared" si="693"/>
        <v>119</v>
      </c>
      <c r="L3240" s="250">
        <v>12</v>
      </c>
      <c r="M3240" s="163" t="str">
        <f>CONCATENATE(H3240," ",F3240,"*",L3240,"мес.","*",I3240,"/",K3240,"чел/час")</f>
        <v>20 комплектов в мес.*12мес.*0,094882/119чел/час</v>
      </c>
      <c r="N3240" s="278">
        <f t="shared" si="688"/>
        <v>490.5</v>
      </c>
      <c r="O3240" s="280">
        <f t="shared" si="689"/>
        <v>93.861589999999993</v>
      </c>
      <c r="P3240" s="166"/>
      <c r="Q3240" s="166">
        <f t="shared" si="683"/>
        <v>11169.529209999999</v>
      </c>
      <c r="R3240" s="71"/>
    </row>
    <row r="3241" spans="1:18" s="61" customFormat="1" ht="47.25" x14ac:dyDescent="0.25">
      <c r="A3241" s="358"/>
      <c r="B3241" s="361"/>
      <c r="C3241" s="366"/>
      <c r="D3241" s="156" t="s">
        <v>269</v>
      </c>
      <c r="E3241" s="156" t="s">
        <v>20</v>
      </c>
      <c r="F3241" s="156" t="s">
        <v>20</v>
      </c>
      <c r="G3241" s="238">
        <f>MROUND(H3241*L3241*I3241/K3241,0.00000001)</f>
        <v>3.9866400000000005E-3</v>
      </c>
      <c r="H3241" s="158">
        <f>$H$3047</f>
        <v>5</v>
      </c>
      <c r="I3241" s="159">
        <f t="shared" si="692"/>
        <v>9.4881999999999994E-2</v>
      </c>
      <c r="J3241" s="160"/>
      <c r="K3241" s="161">
        <f t="shared" si="693"/>
        <v>119</v>
      </c>
      <c r="L3241" s="250">
        <v>1</v>
      </c>
      <c r="M3241" s="163" t="str">
        <f>CONCATENATE(H3241," ",F3241,"*",I3241,"/",K3241,"чел/час")</f>
        <v>5 чел.*0,094882/119чел/час</v>
      </c>
      <c r="N3241" s="278">
        <f t="shared" si="688"/>
        <v>17576.25</v>
      </c>
      <c r="O3241" s="280">
        <f t="shared" si="689"/>
        <v>70.070180999999991</v>
      </c>
      <c r="P3241" s="166"/>
      <c r="Q3241" s="166">
        <f t="shared" si="683"/>
        <v>8338.3515389999993</v>
      </c>
      <c r="R3241" s="71"/>
    </row>
    <row r="3242" spans="1:18" s="61" customFormat="1" ht="31.5" x14ac:dyDescent="0.25">
      <c r="A3242" s="358"/>
      <c r="B3242" s="361"/>
      <c r="C3242" s="366"/>
      <c r="D3242" s="156" t="s">
        <v>376</v>
      </c>
      <c r="E3242" s="156" t="s">
        <v>55</v>
      </c>
      <c r="F3242" s="156" t="s">
        <v>55</v>
      </c>
      <c r="G3242" s="238">
        <f>MROUND(H3242*L3242*I3242/K3242,0.00000001)</f>
        <v>9.5679300000000005E-3</v>
      </c>
      <c r="H3242" s="158">
        <v>1</v>
      </c>
      <c r="I3242" s="159">
        <f t="shared" si="692"/>
        <v>9.4881999999999994E-2</v>
      </c>
      <c r="J3242" s="160"/>
      <c r="K3242" s="161">
        <f t="shared" si="693"/>
        <v>119</v>
      </c>
      <c r="L3242" s="250">
        <v>12</v>
      </c>
      <c r="M3242" s="163" t="str">
        <f>CONCATENATE(H3242," ",F3242,"*",L3242,"мес.","*",I3242,"/",K3242,"чел/час")</f>
        <v>1 система*12мес.*0,094882/119чел/час</v>
      </c>
      <c r="N3242" s="278">
        <f t="shared" si="688"/>
        <v>17713.59</v>
      </c>
      <c r="O3242" s="280">
        <f t="shared" si="689"/>
        <v>169.48238899999998</v>
      </c>
      <c r="P3242" s="166"/>
      <c r="Q3242" s="166">
        <f t="shared" si="683"/>
        <v>20168.404290999999</v>
      </c>
      <c r="R3242" s="71"/>
    </row>
    <row r="3243" spans="1:18" s="61" customFormat="1" ht="31.5" x14ac:dyDescent="0.25">
      <c r="A3243" s="358"/>
      <c r="B3243" s="361"/>
      <c r="C3243" s="366"/>
      <c r="D3243" s="156" t="s">
        <v>270</v>
      </c>
      <c r="E3243" s="156" t="s">
        <v>60</v>
      </c>
      <c r="F3243" s="156" t="s">
        <v>60</v>
      </c>
      <c r="G3243" s="238">
        <f t="shared" si="691"/>
        <v>1.3554999999999999E-2</v>
      </c>
      <c r="H3243" s="158">
        <f>H3049</f>
        <v>17</v>
      </c>
      <c r="I3243" s="159">
        <f t="shared" si="692"/>
        <v>9.4881999999999994E-2</v>
      </c>
      <c r="J3243" s="160"/>
      <c r="K3243" s="161">
        <f t="shared" si="693"/>
        <v>119</v>
      </c>
      <c r="L3243" s="250">
        <v>1</v>
      </c>
      <c r="M3243" s="163" t="str">
        <f>CONCATENATE(H3243," ",F3243,"*",I3243,"/",K3243,"чел/час")</f>
        <v>17 шт.*0,094882/119чел/час</v>
      </c>
      <c r="N3243" s="278">
        <f t="shared" si="688"/>
        <v>7935.2000000000016</v>
      </c>
      <c r="O3243" s="280">
        <f t="shared" si="689"/>
        <v>107.56163599999999</v>
      </c>
      <c r="P3243" s="166"/>
      <c r="Q3243" s="166">
        <f t="shared" si="683"/>
        <v>12799.834683999999</v>
      </c>
      <c r="R3243" s="71"/>
    </row>
    <row r="3244" spans="1:18" s="61" customFormat="1" ht="31.5" x14ac:dyDescent="0.25">
      <c r="A3244" s="358"/>
      <c r="B3244" s="361"/>
      <c r="C3244" s="366"/>
      <c r="D3244" s="156" t="s">
        <v>408</v>
      </c>
      <c r="E3244" s="156" t="s">
        <v>20</v>
      </c>
      <c r="F3244" s="156" t="s">
        <v>20</v>
      </c>
      <c r="G3244" s="238">
        <f>MROUND(H3244*L3244*I3244/K3244,0.00000001)</f>
        <v>4.7839700000000002E-3</v>
      </c>
      <c r="H3244" s="158">
        <f>$H$3050</f>
        <v>6</v>
      </c>
      <c r="I3244" s="159">
        <f t="shared" si="692"/>
        <v>9.4881999999999994E-2</v>
      </c>
      <c r="J3244" s="160"/>
      <c r="K3244" s="161">
        <f t="shared" si="693"/>
        <v>119</v>
      </c>
      <c r="L3244" s="250">
        <v>1</v>
      </c>
      <c r="M3244" s="163" t="str">
        <f>CONCATENATE(H3244," ",F3244,"*",I3244,"/",K3244,"чел/час")</f>
        <v>6 чел.*0,094882/119чел/час</v>
      </c>
      <c r="N3244" s="278">
        <f t="shared" si="688"/>
        <v>545</v>
      </c>
      <c r="O3244" s="280">
        <f t="shared" si="689"/>
        <v>2.6072639999999998</v>
      </c>
      <c r="P3244" s="166"/>
      <c r="Q3244" s="166">
        <f t="shared" si="683"/>
        <v>310.26441599999998</v>
      </c>
      <c r="R3244" s="71"/>
    </row>
    <row r="3245" spans="1:18" s="61" customFormat="1" ht="63" x14ac:dyDescent="0.25">
      <c r="A3245" s="358"/>
      <c r="B3245" s="361"/>
      <c r="C3245" s="366"/>
      <c r="D3245" s="156" t="s">
        <v>45</v>
      </c>
      <c r="E3245" s="156" t="s">
        <v>53</v>
      </c>
      <c r="F3245" s="156" t="s">
        <v>257</v>
      </c>
      <c r="G3245" s="238">
        <f t="shared" si="691"/>
        <v>9.5680000000000001E-3</v>
      </c>
      <c r="H3245" s="158">
        <v>1</v>
      </c>
      <c r="I3245" s="159">
        <f>I3243</f>
        <v>9.4881999999999994E-2</v>
      </c>
      <c r="J3245" s="160"/>
      <c r="K3245" s="161">
        <f>K3243</f>
        <v>119</v>
      </c>
      <c r="L3245" s="250">
        <v>12</v>
      </c>
      <c r="M3245" s="163" t="str">
        <f>CONCATENATE(H3245," ",F3245,"*",L3245,"мес.","*",I3245,"/",K3245,"чел")</f>
        <v>1  машина, оборудованная системой ГЛОНАСС*12мес.*0,094882/119чел</v>
      </c>
      <c r="N3245" s="278">
        <f t="shared" si="688"/>
        <v>880.71999999999991</v>
      </c>
      <c r="O3245" s="280">
        <f t="shared" si="689"/>
        <v>8.4267289999999999</v>
      </c>
      <c r="P3245" s="166"/>
      <c r="Q3245" s="166">
        <f t="shared" si="683"/>
        <v>1002.780751</v>
      </c>
      <c r="R3245" s="71"/>
    </row>
    <row r="3246" spans="1:18" s="61" customFormat="1" ht="47.25" x14ac:dyDescent="0.25">
      <c r="A3246" s="358"/>
      <c r="B3246" s="361"/>
      <c r="C3246" s="366"/>
      <c r="D3246" s="156" t="s">
        <v>271</v>
      </c>
      <c r="E3246" s="156" t="s">
        <v>85</v>
      </c>
      <c r="F3246" s="156" t="s">
        <v>232</v>
      </c>
      <c r="G3246" s="238">
        <f t="shared" si="691"/>
        <v>0.24238799999999999</v>
      </c>
      <c r="H3246" s="158">
        <f>H3052</f>
        <v>304</v>
      </c>
      <c r="I3246" s="159">
        <f>I3244</f>
        <v>9.4881999999999994E-2</v>
      </c>
      <c r="J3246" s="160"/>
      <c r="K3246" s="161">
        <f>K3244</f>
        <v>119</v>
      </c>
      <c r="L3246" s="250">
        <v>1</v>
      </c>
      <c r="M3246" s="163" t="str">
        <f>CONCATENATE(H3246," ",F3246,"*",L3246,"мес.","*",I3246,"/",K3246,"чел")</f>
        <v>304 мед.осмотров в мес.*1мес.*0,094882/119чел</v>
      </c>
      <c r="N3246" s="278">
        <f t="shared" si="688"/>
        <v>56.680000000000007</v>
      </c>
      <c r="O3246" s="280">
        <f t="shared" si="689"/>
        <v>13.738551999999999</v>
      </c>
      <c r="P3246" s="166"/>
      <c r="Q3246" s="166">
        <f t="shared" si="683"/>
        <v>1634.8876879999998</v>
      </c>
      <c r="R3246" s="71"/>
    </row>
    <row r="3247" spans="1:18" s="61" customFormat="1" x14ac:dyDescent="0.25">
      <c r="A3247" s="358"/>
      <c r="B3247" s="361"/>
      <c r="C3247" s="366"/>
      <c r="D3247" s="156" t="s">
        <v>373</v>
      </c>
      <c r="E3247" s="156" t="s">
        <v>28</v>
      </c>
      <c r="F3247" s="156" t="s">
        <v>28</v>
      </c>
      <c r="G3247" s="238">
        <f t="shared" si="691"/>
        <v>7.9699999999999997E-4</v>
      </c>
      <c r="H3247" s="158">
        <f>H3053</f>
        <v>1</v>
      </c>
      <c r="I3247" s="159">
        <f>I3246</f>
        <v>9.4881999999999994E-2</v>
      </c>
      <c r="J3247" s="160"/>
      <c r="K3247" s="161">
        <f>K3246</f>
        <v>119</v>
      </c>
      <c r="L3247" s="250">
        <v>1</v>
      </c>
      <c r="M3247" s="163" t="str">
        <f>CONCATENATE(H3247," ",F3247,"*",L3247,"мес.","*",I3247,"/",K3247,"чел")</f>
        <v>1 шт*1мес.*0,094882/119чел</v>
      </c>
      <c r="N3247" s="278">
        <f t="shared" si="688"/>
        <v>24000</v>
      </c>
      <c r="O3247" s="280">
        <f t="shared" si="689"/>
        <v>19.128</v>
      </c>
      <c r="P3247" s="166"/>
      <c r="Q3247" s="166">
        <f t="shared" si="683"/>
        <v>2276.232</v>
      </c>
      <c r="R3247" s="71"/>
    </row>
    <row r="3248" spans="1:18" s="61" customFormat="1" ht="31.5" x14ac:dyDescent="0.25">
      <c r="A3248" s="358"/>
      <c r="B3248" s="361"/>
      <c r="C3248" s="367"/>
      <c r="D3248" s="156" t="s">
        <v>43</v>
      </c>
      <c r="E3248" s="156" t="s">
        <v>52</v>
      </c>
      <c r="F3248" s="156" t="s">
        <v>231</v>
      </c>
      <c r="G3248" s="238">
        <f t="shared" si="691"/>
        <v>7.9699999999999997E-4</v>
      </c>
      <c r="H3248" s="158">
        <v>1</v>
      </c>
      <c r="I3248" s="159">
        <f>I3238</f>
        <v>9.4881999999999994E-2</v>
      </c>
      <c r="J3248" s="160"/>
      <c r="K3248" s="161">
        <f>K3238</f>
        <v>119</v>
      </c>
      <c r="L3248" s="250">
        <v>1</v>
      </c>
      <c r="M3248" s="163" t="str">
        <f>CONCATENATE(H3248," ",F3248,"*",I3248,"/",K3248,"чел/час")</f>
        <v>1 ЭЦП*0,094882/119чел/час</v>
      </c>
      <c r="N3248" s="278">
        <f t="shared" si="688"/>
        <v>7743.3600000000006</v>
      </c>
      <c r="O3248" s="280">
        <f t="shared" si="689"/>
        <v>6.1714579999999994</v>
      </c>
      <c r="P3248" s="166"/>
      <c r="Q3248" s="166">
        <f t="shared" si="683"/>
        <v>734.40350199999989</v>
      </c>
      <c r="R3248" s="71"/>
    </row>
    <row r="3249" spans="1:18" s="62" customFormat="1" x14ac:dyDescent="0.25">
      <c r="A3249" s="358"/>
      <c r="B3249" s="361"/>
      <c r="C3249" s="245" t="s">
        <v>296</v>
      </c>
      <c r="D3249" s="240"/>
      <c r="E3249" s="240"/>
      <c r="F3249" s="240"/>
      <c r="G3249" s="227"/>
      <c r="H3249" s="241"/>
      <c r="I3249" s="206"/>
      <c r="J3249" s="228"/>
      <c r="K3249" s="207"/>
      <c r="L3249" s="257"/>
      <c r="M3249" s="209"/>
      <c r="N3249" s="281"/>
      <c r="O3249" s="279">
        <f>SUM(O3232:O3248)</f>
        <v>548.31995100000006</v>
      </c>
      <c r="P3249" s="267"/>
      <c r="Q3249" s="166"/>
      <c r="R3249" s="71"/>
    </row>
    <row r="3250" spans="1:18" s="61" customFormat="1" ht="31.5" x14ac:dyDescent="0.25">
      <c r="A3250" s="358"/>
      <c r="B3250" s="361"/>
      <c r="C3250" s="252" t="s">
        <v>237</v>
      </c>
      <c r="D3250" s="156" t="s">
        <v>41</v>
      </c>
      <c r="E3250" s="156" t="s">
        <v>61</v>
      </c>
      <c r="F3250" s="156" t="s">
        <v>254</v>
      </c>
      <c r="G3250" s="238">
        <f>MROUND(H3250*L3250*I3250/K3250,0.00000001)</f>
        <v>7.9733000000000007E-4</v>
      </c>
      <c r="H3250" s="158">
        <v>1</v>
      </c>
      <c r="I3250" s="159">
        <f>I3248</f>
        <v>9.4881999999999994E-2</v>
      </c>
      <c r="J3250" s="160"/>
      <c r="K3250" s="161">
        <f>K3248</f>
        <v>119</v>
      </c>
      <c r="L3250" s="250">
        <v>1</v>
      </c>
      <c r="M3250" s="163" t="str">
        <f>CONCATENATE(H3250," ",F3250,"*",I3250,"/",K3250,"чел/час")</f>
        <v>1 автобус*0,094882/119чел/час</v>
      </c>
      <c r="N3250" s="278">
        <f>N3056</f>
        <v>25724</v>
      </c>
      <c r="O3250" s="280">
        <f>MROUND(N3250*G3250,0.000001)</f>
        <v>20.510517</v>
      </c>
      <c r="P3250" s="166"/>
      <c r="Q3250" s="166">
        <f t="shared" si="683"/>
        <v>2440.7515229999999</v>
      </c>
      <c r="R3250" s="71"/>
    </row>
    <row r="3251" spans="1:18" s="62" customFormat="1" x14ac:dyDescent="0.25">
      <c r="A3251" s="358"/>
      <c r="B3251" s="361"/>
      <c r="C3251" s="245" t="s">
        <v>297</v>
      </c>
      <c r="D3251" s="240"/>
      <c r="E3251" s="240"/>
      <c r="F3251" s="240"/>
      <c r="G3251" s="227"/>
      <c r="H3251" s="241"/>
      <c r="I3251" s="206"/>
      <c r="J3251" s="228"/>
      <c r="K3251" s="207"/>
      <c r="L3251" s="257"/>
      <c r="M3251" s="209"/>
      <c r="N3251" s="281"/>
      <c r="O3251" s="279">
        <f>O3250</f>
        <v>20.510517</v>
      </c>
      <c r="P3251" s="267"/>
      <c r="Q3251" s="166"/>
      <c r="R3251" s="71"/>
    </row>
    <row r="3252" spans="1:18" s="61" customFormat="1" ht="78.75" x14ac:dyDescent="0.25">
      <c r="A3252" s="358"/>
      <c r="B3252" s="361"/>
      <c r="C3252" s="221" t="s">
        <v>236</v>
      </c>
      <c r="D3252" s="156" t="s">
        <v>19</v>
      </c>
      <c r="E3252" s="181" t="s">
        <v>20</v>
      </c>
      <c r="F3252" s="181" t="s">
        <v>238</v>
      </c>
      <c r="G3252" s="238">
        <f t="shared" si="691"/>
        <v>0</v>
      </c>
      <c r="H3252" s="158"/>
      <c r="I3252" s="159">
        <f>I3250</f>
        <v>9.4881999999999994E-2</v>
      </c>
      <c r="J3252" s="160"/>
      <c r="K3252" s="161">
        <f>K3250</f>
        <v>119</v>
      </c>
      <c r="L3252" s="250"/>
      <c r="M3252" s="163"/>
      <c r="N3252" s="278"/>
      <c r="O3252" s="280">
        <f>MROUND(N3252*G3252,0.000001)</f>
        <v>0</v>
      </c>
      <c r="P3252" s="166"/>
      <c r="Q3252" s="166">
        <f t="shared" si="683"/>
        <v>0</v>
      </c>
      <c r="R3252" s="71"/>
    </row>
    <row r="3253" spans="1:18" s="62" customFormat="1" x14ac:dyDescent="0.25">
      <c r="A3253" s="358"/>
      <c r="B3253" s="361"/>
      <c r="C3253" s="245" t="s">
        <v>298</v>
      </c>
      <c r="D3253" s="240"/>
      <c r="E3253" s="253"/>
      <c r="F3253" s="253"/>
      <c r="G3253" s="227"/>
      <c r="H3253" s="241"/>
      <c r="I3253" s="206"/>
      <c r="J3253" s="228"/>
      <c r="K3253" s="207"/>
      <c r="L3253" s="257"/>
      <c r="M3253" s="209"/>
      <c r="N3253" s="281"/>
      <c r="O3253" s="279">
        <f>O3252</f>
        <v>0</v>
      </c>
      <c r="P3253" s="267"/>
      <c r="Q3253" s="166"/>
      <c r="R3253" s="71"/>
    </row>
    <row r="3254" spans="1:18" s="61" customFormat="1" ht="15.75" customHeight="1" x14ac:dyDescent="0.25">
      <c r="A3254" s="358"/>
      <c r="B3254" s="361"/>
      <c r="C3254" s="365" t="s">
        <v>81</v>
      </c>
      <c r="D3254" s="156" t="s">
        <v>427</v>
      </c>
      <c r="E3254" s="156" t="s">
        <v>28</v>
      </c>
      <c r="F3254" s="156" t="s">
        <v>28</v>
      </c>
      <c r="G3254" s="238">
        <f>MROUND(H3254*L3254*I3254/K3254,0.00000001)</f>
        <v>1.5946600000000001E-3</v>
      </c>
      <c r="H3254" s="158">
        <f>$H$3060</f>
        <v>2</v>
      </c>
      <c r="I3254" s="159">
        <f>I3250</f>
        <v>9.4881999999999994E-2</v>
      </c>
      <c r="J3254" s="160"/>
      <c r="K3254" s="161">
        <f>K3250</f>
        <v>119</v>
      </c>
      <c r="L3254" s="250">
        <v>1</v>
      </c>
      <c r="M3254" s="163" t="str">
        <f>CONCATENATE(H3254," ",F3254,"*",I3254,"/",K3254,"чел/час")</f>
        <v>2 шт*0,094882/119чел/час</v>
      </c>
      <c r="N3254" s="278">
        <f>$N$3060</f>
        <v>10000</v>
      </c>
      <c r="O3254" s="280">
        <f>MROUND(N3254*G3254,0.000001)</f>
        <v>15.9466</v>
      </c>
      <c r="P3254" s="166"/>
      <c r="Q3254" s="166">
        <f t="shared" ref="Q3254:Q3257" si="694">O3254*K3254</f>
        <v>1897.6454000000001</v>
      </c>
      <c r="R3254" s="71"/>
    </row>
    <row r="3255" spans="1:18" s="61" customFormat="1" ht="15.75" customHeight="1" x14ac:dyDescent="0.25">
      <c r="A3255" s="358"/>
      <c r="B3255" s="361"/>
      <c r="C3255" s="366"/>
      <c r="D3255" s="156" t="s">
        <v>428</v>
      </c>
      <c r="E3255" s="156" t="s">
        <v>28</v>
      </c>
      <c r="F3255" s="156" t="s">
        <v>28</v>
      </c>
      <c r="G3255" s="238">
        <f>MROUND(H3255*L3255*I3255/K3255,0.00000001)</f>
        <v>1.5946600000000001E-3</v>
      </c>
      <c r="H3255" s="158">
        <f>$H$3061</f>
        <v>2</v>
      </c>
      <c r="I3255" s="159">
        <f>I3254</f>
        <v>9.4881999999999994E-2</v>
      </c>
      <c r="J3255" s="160"/>
      <c r="K3255" s="161">
        <f>K3254</f>
        <v>119</v>
      </c>
      <c r="L3255" s="250">
        <v>1</v>
      </c>
      <c r="M3255" s="163" t="str">
        <f>CONCATENATE(H3255," ",F3255,"*",I3255,"/",K3255,"чел/час")</f>
        <v>2 шт*0,094882/119чел/час</v>
      </c>
      <c r="N3255" s="278">
        <f>$N$3061</f>
        <v>6000</v>
      </c>
      <c r="O3255" s="280">
        <f>MROUND(N3255*G3255,0.000001)</f>
        <v>9.5679599999999994</v>
      </c>
      <c r="P3255" s="166"/>
      <c r="Q3255" s="166">
        <f t="shared" si="694"/>
        <v>1138.5872399999998</v>
      </c>
      <c r="R3255" s="71"/>
    </row>
    <row r="3256" spans="1:18" s="61" customFormat="1" ht="15.75" customHeight="1" x14ac:dyDescent="0.25">
      <c r="A3256" s="358"/>
      <c r="B3256" s="361"/>
      <c r="C3256" s="366"/>
      <c r="D3256" s="156" t="s">
        <v>110</v>
      </c>
      <c r="E3256" s="156" t="s">
        <v>28</v>
      </c>
      <c r="F3256" s="156" t="s">
        <v>28</v>
      </c>
      <c r="G3256" s="238">
        <f>MROUND(H3256*L3256*I3256/K3256,0.00000001)</f>
        <v>7.9733000000000007E-4</v>
      </c>
      <c r="H3256" s="158">
        <f>$H$3062</f>
        <v>1</v>
      </c>
      <c r="I3256" s="159">
        <f t="shared" ref="I3256:I3257" si="695">I3255</f>
        <v>9.4881999999999994E-2</v>
      </c>
      <c r="J3256" s="160"/>
      <c r="K3256" s="161">
        <f t="shared" ref="K3256:K3257" si="696">K3255</f>
        <v>119</v>
      </c>
      <c r="L3256" s="250">
        <v>1</v>
      </c>
      <c r="M3256" s="163" t="str">
        <f>CONCATENATE(H3256," ",F3256,"*",I3256,"/",K3256,"чел/час")</f>
        <v>1 шт*0,094882/119чел/час</v>
      </c>
      <c r="N3256" s="278">
        <f>$N$3062</f>
        <v>40000</v>
      </c>
      <c r="O3256" s="280">
        <f>MROUND(N3256*G3256,0.000001)</f>
        <v>31.8932</v>
      </c>
      <c r="P3256" s="166"/>
      <c r="Q3256" s="166">
        <f t="shared" si="694"/>
        <v>3795.2908000000002</v>
      </c>
      <c r="R3256" s="71"/>
    </row>
    <row r="3257" spans="1:18" s="61" customFormat="1" ht="15.75" customHeight="1" x14ac:dyDescent="0.25">
      <c r="A3257" s="358"/>
      <c r="B3257" s="361"/>
      <c r="C3257" s="366"/>
      <c r="D3257" s="156" t="s">
        <v>111</v>
      </c>
      <c r="E3257" s="156" t="s">
        <v>28</v>
      </c>
      <c r="F3257" s="156" t="s">
        <v>28</v>
      </c>
      <c r="G3257" s="238">
        <f>MROUND(H3257*L3257*I3257/K3257,0.00000001)</f>
        <v>2.3919800000000001E-3</v>
      </c>
      <c r="H3257" s="158">
        <f>$H$3063</f>
        <v>3</v>
      </c>
      <c r="I3257" s="159">
        <f t="shared" si="695"/>
        <v>9.4881999999999994E-2</v>
      </c>
      <c r="J3257" s="160"/>
      <c r="K3257" s="161">
        <f t="shared" si="696"/>
        <v>119</v>
      </c>
      <c r="L3257" s="250">
        <v>1</v>
      </c>
      <c r="M3257" s="163" t="str">
        <f>CONCATENATE(H3257," ",F3257,"*",I3257,"/",K3257,"чел/час")</f>
        <v>3 шт*0,094882/119чел/час</v>
      </c>
      <c r="N3257" s="278">
        <f>$N$3063</f>
        <v>50000</v>
      </c>
      <c r="O3257" s="280">
        <f>MROUND(N3257*G3257,0.000001)</f>
        <v>119.59899999999999</v>
      </c>
      <c r="P3257" s="166"/>
      <c r="Q3257" s="166">
        <f t="shared" si="694"/>
        <v>14232.280999999999</v>
      </c>
      <c r="R3257" s="71"/>
    </row>
    <row r="3258" spans="1:18" s="61" customFormat="1" x14ac:dyDescent="0.25">
      <c r="A3258" s="358"/>
      <c r="B3258" s="361"/>
      <c r="C3258" s="367"/>
      <c r="D3258" s="156" t="s">
        <v>438</v>
      </c>
      <c r="E3258" s="156" t="s">
        <v>28</v>
      </c>
      <c r="F3258" s="156" t="s">
        <v>28</v>
      </c>
      <c r="G3258" s="238">
        <f>MROUND(H3258*L3258*I3258/K3258,0.00000001)</f>
        <v>1.5946600000000001E-3</v>
      </c>
      <c r="H3258" s="158">
        <f>$H$3064</f>
        <v>2</v>
      </c>
      <c r="I3258" s="159">
        <f>I3252</f>
        <v>9.4881999999999994E-2</v>
      </c>
      <c r="J3258" s="160"/>
      <c r="K3258" s="161">
        <f>K3252</f>
        <v>119</v>
      </c>
      <c r="L3258" s="250">
        <v>1</v>
      </c>
      <c r="M3258" s="163" t="str">
        <f>CONCATENATE(H3258," ",F3258,"*",I3258,"/",K3258,"чел/час")</f>
        <v>2 шт*0,094882/119чел/час</v>
      </c>
      <c r="N3258" s="278">
        <f>$N$3064</f>
        <v>55000</v>
      </c>
      <c r="O3258" s="280">
        <f>MROUND(N3258*G3258,0.000001)</f>
        <v>87.706299999999999</v>
      </c>
      <c r="P3258" s="166"/>
      <c r="Q3258" s="166">
        <f t="shared" si="683"/>
        <v>10437.0497</v>
      </c>
      <c r="R3258" s="71"/>
    </row>
    <row r="3259" spans="1:18" s="62" customFormat="1" x14ac:dyDescent="0.25">
      <c r="A3259" s="358"/>
      <c r="B3259" s="361"/>
      <c r="C3259" s="245" t="s">
        <v>299</v>
      </c>
      <c r="D3259" s="240"/>
      <c r="E3259" s="240"/>
      <c r="F3259" s="240"/>
      <c r="G3259" s="227"/>
      <c r="H3259" s="241"/>
      <c r="I3259" s="206"/>
      <c r="J3259" s="228"/>
      <c r="K3259" s="207"/>
      <c r="L3259" s="257"/>
      <c r="M3259" s="209"/>
      <c r="N3259" s="281"/>
      <c r="O3259" s="279">
        <f>SUM(O3254:O3258)</f>
        <v>264.71305999999998</v>
      </c>
      <c r="P3259" s="267"/>
      <c r="Q3259" s="166"/>
      <c r="R3259" s="71"/>
    </row>
    <row r="3260" spans="1:18" s="61" customFormat="1" ht="110.25" x14ac:dyDescent="0.25">
      <c r="A3260" s="358"/>
      <c r="B3260" s="361"/>
      <c r="C3260" s="221" t="s">
        <v>82</v>
      </c>
      <c r="D3260" s="156" t="s">
        <v>46</v>
      </c>
      <c r="E3260" s="156" t="s">
        <v>54</v>
      </c>
      <c r="F3260" s="156" t="s">
        <v>285</v>
      </c>
      <c r="G3260" s="238">
        <f t="shared" si="691"/>
        <v>2.0331859999999997</v>
      </c>
      <c r="H3260" s="242">
        <f>H3066</f>
        <v>231.81818181818178</v>
      </c>
      <c r="I3260" s="159">
        <f>I3252</f>
        <v>9.4881999999999994E-2</v>
      </c>
      <c r="J3260" s="160"/>
      <c r="K3260" s="161">
        <f>K3252</f>
        <v>119</v>
      </c>
      <c r="L3260" s="250">
        <v>11</v>
      </c>
      <c r="M3260" s="163" t="str">
        <f>CONCATENATE(H3260," ",F3260,"*",L3260,"автобус","*",I3260,"/",K3260,"чел/час")</f>
        <v>231,818181818182 л бензина АИ 92 (12,5л/день(зимой)*20дней*7мес+10л/день(летом)*20дней*4мес)*11автобус*0,094882/119чел/час</v>
      </c>
      <c r="N3260" s="278">
        <f>N3066</f>
        <v>54.500000000000007</v>
      </c>
      <c r="O3260" s="280">
        <f>MROUND(N3260*G3260,0.000001)</f>
        <v>110.80863699999999</v>
      </c>
      <c r="P3260" s="166"/>
      <c r="Q3260" s="166">
        <f t="shared" si="683"/>
        <v>13186.227802999998</v>
      </c>
      <c r="R3260" s="71"/>
    </row>
    <row r="3261" spans="1:18" s="62" customFormat="1" x14ac:dyDescent="0.25">
      <c r="A3261" s="358"/>
      <c r="B3261" s="361"/>
      <c r="C3261" s="218" t="s">
        <v>300</v>
      </c>
      <c r="D3261" s="240"/>
      <c r="E3261" s="240"/>
      <c r="F3261" s="240"/>
      <c r="G3261" s="227"/>
      <c r="H3261" s="241"/>
      <c r="I3261" s="206"/>
      <c r="J3261" s="228"/>
      <c r="K3261" s="207"/>
      <c r="L3261" s="257"/>
      <c r="M3261" s="209"/>
      <c r="N3261" s="281"/>
      <c r="O3261" s="279">
        <f>O3260</f>
        <v>110.80863699999999</v>
      </c>
      <c r="P3261" s="267"/>
      <c r="Q3261" s="166"/>
      <c r="R3261" s="71"/>
    </row>
    <row r="3262" spans="1:18" s="61" customFormat="1" ht="47.25" x14ac:dyDescent="0.25">
      <c r="A3262" s="358"/>
      <c r="B3262" s="361"/>
      <c r="C3262" s="365" t="s">
        <v>118</v>
      </c>
      <c r="D3262" s="156" t="s">
        <v>47</v>
      </c>
      <c r="E3262" s="156" t="s">
        <v>28</v>
      </c>
      <c r="F3262" s="156" t="s">
        <v>239</v>
      </c>
      <c r="G3262" s="238">
        <f t="shared" si="691"/>
        <v>0</v>
      </c>
      <c r="H3262" s="158">
        <f>H3068</f>
        <v>0</v>
      </c>
      <c r="I3262" s="159">
        <f>I3260</f>
        <v>9.4881999999999994E-2</v>
      </c>
      <c r="J3262" s="160"/>
      <c r="K3262" s="161">
        <f>K3260</f>
        <v>119</v>
      </c>
      <c r="L3262" s="250">
        <v>1</v>
      </c>
      <c r="M3262" s="163"/>
      <c r="N3262" s="278">
        <f>N3068</f>
        <v>0</v>
      </c>
      <c r="O3262" s="280">
        <f>MROUND(N3262*G3262,0.000001)</f>
        <v>0</v>
      </c>
      <c r="P3262" s="166"/>
      <c r="Q3262" s="166">
        <f t="shared" si="683"/>
        <v>0</v>
      </c>
      <c r="R3262" s="71"/>
    </row>
    <row r="3263" spans="1:18" s="61" customFormat="1" ht="47.25" x14ac:dyDescent="0.25">
      <c r="A3263" s="358"/>
      <c r="B3263" s="361"/>
      <c r="C3263" s="367"/>
      <c r="D3263" s="255" t="s">
        <v>113</v>
      </c>
      <c r="E3263" s="156" t="s">
        <v>28</v>
      </c>
      <c r="F3263" s="156" t="s">
        <v>240</v>
      </c>
      <c r="G3263" s="238">
        <f t="shared" si="691"/>
        <v>1.5946999999999999E-2</v>
      </c>
      <c r="H3263" s="158">
        <f>H3069</f>
        <v>20</v>
      </c>
      <c r="I3263" s="159">
        <f>I3262</f>
        <v>9.4881999999999994E-2</v>
      </c>
      <c r="J3263" s="160"/>
      <c r="K3263" s="161">
        <f>K3262</f>
        <v>119</v>
      </c>
      <c r="L3263" s="250">
        <v>1</v>
      </c>
      <c r="M3263" s="163" t="str">
        <f>CONCATENATE(H3263," ",F3263,"*",I3263,"/",K3263,"чел/час")</f>
        <v>20 светильников (потребность учреждений)*0,094882/119чел/час</v>
      </c>
      <c r="N3263" s="278">
        <f>N3069</f>
        <v>106.27500000000001</v>
      </c>
      <c r="O3263" s="280">
        <f>MROUND(N3263*G3263,0.000001)</f>
        <v>1.6947669999999999</v>
      </c>
      <c r="P3263" s="166"/>
      <c r="Q3263" s="166">
        <f t="shared" si="683"/>
        <v>201.67727299999999</v>
      </c>
      <c r="R3263" s="71"/>
    </row>
    <row r="3264" spans="1:18" s="62" customFormat="1" x14ac:dyDescent="0.25">
      <c r="A3264" s="359"/>
      <c r="B3264" s="362"/>
      <c r="C3264" s="218" t="s">
        <v>301</v>
      </c>
      <c r="D3264" s="256"/>
      <c r="E3264" s="240"/>
      <c r="F3264" s="240"/>
      <c r="G3264" s="227"/>
      <c r="H3264" s="241"/>
      <c r="I3264" s="206"/>
      <c r="J3264" s="228"/>
      <c r="K3264" s="207"/>
      <c r="L3264" s="257"/>
      <c r="M3264" s="209"/>
      <c r="N3264" s="281"/>
      <c r="O3264" s="279">
        <f>O3262+O3263</f>
        <v>1.6947669999999999</v>
      </c>
      <c r="P3264" s="267"/>
      <c r="Q3264" s="166"/>
      <c r="R3264" s="71"/>
    </row>
    <row r="3265" spans="1:18" s="61" customFormat="1" x14ac:dyDescent="0.25">
      <c r="A3265" s="357" t="str">
        <f>школы!$B$28</f>
        <v>Методическое обеспечение образовательной деятельности</v>
      </c>
      <c r="B3265" s="360" t="str">
        <f>школы!$A$28</f>
        <v>48Д70100000000000005101</v>
      </c>
      <c r="C3265" s="194"/>
      <c r="D3265" s="363" t="s">
        <v>15</v>
      </c>
      <c r="E3265" s="363"/>
      <c r="F3265" s="363"/>
      <c r="G3265" s="363"/>
      <c r="H3265" s="195"/>
      <c r="I3265" s="195"/>
      <c r="J3265" s="195"/>
      <c r="K3265" s="195"/>
      <c r="L3265" s="196"/>
      <c r="M3265" s="197"/>
      <c r="N3265" s="278"/>
      <c r="O3265" s="279">
        <f>O3266+O3271+O3274</f>
        <v>10330.506305262801</v>
      </c>
      <c r="P3265" s="166"/>
      <c r="Q3265" s="166">
        <f t="shared" si="683"/>
        <v>0</v>
      </c>
      <c r="R3265" s="71"/>
    </row>
    <row r="3266" spans="1:18" s="61" customFormat="1" x14ac:dyDescent="0.25">
      <c r="A3266" s="358"/>
      <c r="B3266" s="361"/>
      <c r="C3266" s="194"/>
      <c r="D3266" s="350" t="s">
        <v>62</v>
      </c>
      <c r="E3266" s="350"/>
      <c r="F3266" s="350"/>
      <c r="G3266" s="350"/>
      <c r="H3266" s="195"/>
      <c r="I3266" s="195"/>
      <c r="J3266" s="195"/>
      <c r="K3266" s="195"/>
      <c r="L3266" s="196"/>
      <c r="M3266" s="197"/>
      <c r="N3266" s="278"/>
      <c r="O3266" s="279">
        <f>O3268+O3270</f>
        <v>10198.868683262801</v>
      </c>
      <c r="P3266" s="166"/>
      <c r="Q3266" s="166">
        <f t="shared" si="683"/>
        <v>0</v>
      </c>
      <c r="R3266" s="71"/>
    </row>
    <row r="3267" spans="1:18" s="61" customFormat="1" x14ac:dyDescent="0.25">
      <c r="A3267" s="358"/>
      <c r="B3267" s="361"/>
      <c r="C3267" s="194">
        <v>211</v>
      </c>
      <c r="D3267" s="194" t="s">
        <v>86</v>
      </c>
      <c r="E3267" s="199" t="s">
        <v>95</v>
      </c>
      <c r="F3267" s="199" t="s">
        <v>95</v>
      </c>
      <c r="G3267" s="275">
        <f>MROUND(H3267*L3267*I3267/K3267,0.00000000001)</f>
        <v>0.46885263157999996</v>
      </c>
      <c r="H3267" s="201">
        <f>$H$2976</f>
        <v>49</v>
      </c>
      <c r="I3267" s="159">
        <f>школы!$K$28</f>
        <v>9.0899999999999995E-2</v>
      </c>
      <c r="J3267" s="159"/>
      <c r="K3267" s="161">
        <f>школы!$G$28</f>
        <v>114</v>
      </c>
      <c r="L3267" s="202">
        <v>12</v>
      </c>
      <c r="M3267" s="163" t="str">
        <f>CONCATENATE(H3267," ",F3267," ","в мес.","*",L3267,"мес.","*",I3267,"/",K3267,"чел/час")</f>
        <v>49 шт.ед в мес.*12мес.*0,0909/114чел/час</v>
      </c>
      <c r="N3267" s="278">
        <f>N2976</f>
        <v>16707.237942176871</v>
      </c>
      <c r="O3267" s="280">
        <f>MROUND(N3267*G3267,0.0000000001)</f>
        <v>7833.2324756227999</v>
      </c>
      <c r="P3267" s="166"/>
      <c r="Q3267" s="166">
        <f t="shared" si="683"/>
        <v>892988.50222099922</v>
      </c>
      <c r="R3267" s="71"/>
    </row>
    <row r="3268" spans="1:18" s="62" customFormat="1" x14ac:dyDescent="0.25">
      <c r="A3268" s="358"/>
      <c r="B3268" s="361"/>
      <c r="C3268" s="203" t="s">
        <v>288</v>
      </c>
      <c r="D3268" s="203"/>
      <c r="E3268" s="204"/>
      <c r="F3268" s="204"/>
      <c r="G3268" s="205"/>
      <c r="H3268" s="206"/>
      <c r="I3268" s="206"/>
      <c r="J3268" s="206"/>
      <c r="K3268" s="207"/>
      <c r="L3268" s="208"/>
      <c r="M3268" s="209"/>
      <c r="N3268" s="281"/>
      <c r="O3268" s="279">
        <f>O3267</f>
        <v>7833.2324756227999</v>
      </c>
      <c r="P3268" s="267"/>
      <c r="Q3268" s="166"/>
      <c r="R3268" s="71"/>
    </row>
    <row r="3269" spans="1:18" s="61" customFormat="1" x14ac:dyDescent="0.25">
      <c r="A3269" s="358"/>
      <c r="B3269" s="361"/>
      <c r="C3269" s="194">
        <v>213</v>
      </c>
      <c r="D3269" s="194" t="s">
        <v>87</v>
      </c>
      <c r="E3269" s="194" t="s">
        <v>88</v>
      </c>
      <c r="F3269" s="194"/>
      <c r="G3269" s="211">
        <v>30.2</v>
      </c>
      <c r="H3269" s="159"/>
      <c r="I3269" s="159">
        <f>I3267</f>
        <v>9.0899999999999995E-2</v>
      </c>
      <c r="J3269" s="159"/>
      <c r="K3269" s="161">
        <f>K3267</f>
        <v>114</v>
      </c>
      <c r="L3269" s="202"/>
      <c r="M3269" s="212"/>
      <c r="N3269" s="278"/>
      <c r="O3269" s="280">
        <f>MROUND(O3267*0.302,0.00000001)</f>
        <v>2365.6362076400001</v>
      </c>
      <c r="P3269" s="166"/>
      <c r="Q3269" s="166">
        <f t="shared" si="683"/>
        <v>269682.52767096</v>
      </c>
      <c r="R3269" s="71"/>
    </row>
    <row r="3270" spans="1:18" s="62" customFormat="1" x14ac:dyDescent="0.25">
      <c r="A3270" s="358"/>
      <c r="B3270" s="361"/>
      <c r="C3270" s="203" t="s">
        <v>289</v>
      </c>
      <c r="D3270" s="203"/>
      <c r="E3270" s="203"/>
      <c r="F3270" s="203"/>
      <c r="G3270" s="213"/>
      <c r="H3270" s="214"/>
      <c r="I3270" s="206"/>
      <c r="J3270" s="214"/>
      <c r="K3270" s="207"/>
      <c r="L3270" s="215"/>
      <c r="M3270" s="216"/>
      <c r="N3270" s="281"/>
      <c r="O3270" s="279">
        <f>O3269</f>
        <v>2365.6362076400001</v>
      </c>
      <c r="P3270" s="267"/>
      <c r="Q3270" s="166"/>
      <c r="R3270" s="71"/>
    </row>
    <row r="3271" spans="1:18" s="61" customFormat="1" x14ac:dyDescent="0.25">
      <c r="A3271" s="358"/>
      <c r="B3271" s="361"/>
      <c r="C3271" s="194"/>
      <c r="D3271" s="356" t="s">
        <v>63</v>
      </c>
      <c r="E3271" s="356"/>
      <c r="F3271" s="356"/>
      <c r="G3271" s="356"/>
      <c r="H3271" s="195"/>
      <c r="I3271" s="159"/>
      <c r="J3271" s="195"/>
      <c r="K3271" s="161"/>
      <c r="L3271" s="196"/>
      <c r="M3271" s="197"/>
      <c r="N3271" s="278"/>
      <c r="O3271" s="279">
        <f>O3272</f>
        <v>131.63762199999999</v>
      </c>
      <c r="P3271" s="166"/>
      <c r="Q3271" s="166">
        <f t="shared" si="683"/>
        <v>0</v>
      </c>
      <c r="R3271" s="71"/>
    </row>
    <row r="3272" spans="1:18" s="61" customFormat="1" x14ac:dyDescent="0.25">
      <c r="A3272" s="358"/>
      <c r="B3272" s="361"/>
      <c r="C3272" s="194">
        <v>346</v>
      </c>
      <c r="D3272" s="194" t="s">
        <v>259</v>
      </c>
      <c r="E3272" s="194" t="s">
        <v>260</v>
      </c>
      <c r="F3272" s="194" t="s">
        <v>261</v>
      </c>
      <c r="G3272" s="238">
        <f>MROUND(H3272*L3272*I3272/K3272,0.000001)</f>
        <v>0.195355</v>
      </c>
      <c r="H3272" s="283">
        <f>H2981</f>
        <v>245</v>
      </c>
      <c r="I3272" s="159">
        <f>I3269</f>
        <v>9.0899999999999995E-2</v>
      </c>
      <c r="J3272" s="195"/>
      <c r="K3272" s="161">
        <f>K3269</f>
        <v>114</v>
      </c>
      <c r="L3272" s="196">
        <v>1</v>
      </c>
      <c r="M3272" s="163" t="str">
        <f>CONCATENATE(H3272," ",F3272,"*",I3272,"/",K3272,"чел/час")</f>
        <v>245 упаковок*0,0909/114чел/час</v>
      </c>
      <c r="N3272" s="278">
        <f>N2981</f>
        <v>673.83799999999997</v>
      </c>
      <c r="O3272" s="280">
        <f>MROUND(N3272*G3272,0.000001)</f>
        <v>131.63762199999999</v>
      </c>
      <c r="P3272" s="166"/>
      <c r="Q3272" s="166">
        <f t="shared" si="683"/>
        <v>15006.688908</v>
      </c>
      <c r="R3272" s="71"/>
    </row>
    <row r="3273" spans="1:18" s="62" customFormat="1" x14ac:dyDescent="0.25">
      <c r="A3273" s="358"/>
      <c r="B3273" s="361"/>
      <c r="C3273" s="203" t="s">
        <v>301</v>
      </c>
      <c r="D3273" s="203"/>
      <c r="E3273" s="203"/>
      <c r="F3273" s="203"/>
      <c r="G3273" s="227"/>
      <c r="H3273" s="214"/>
      <c r="I3273" s="206"/>
      <c r="J3273" s="214"/>
      <c r="K3273" s="207"/>
      <c r="L3273" s="215"/>
      <c r="M3273" s="209"/>
      <c r="N3273" s="281"/>
      <c r="O3273" s="279">
        <f>O3272</f>
        <v>131.63762199999999</v>
      </c>
      <c r="P3273" s="267"/>
      <c r="Q3273" s="166"/>
      <c r="R3273" s="71"/>
    </row>
    <row r="3274" spans="1:18" s="61" customFormat="1" x14ac:dyDescent="0.25">
      <c r="A3274" s="358"/>
      <c r="B3274" s="361"/>
      <c r="C3274" s="194"/>
      <c r="D3274" s="350" t="s">
        <v>64</v>
      </c>
      <c r="E3274" s="350"/>
      <c r="F3274" s="350"/>
      <c r="G3274" s="350"/>
      <c r="H3274" s="195"/>
      <c r="I3274" s="159"/>
      <c r="J3274" s="195"/>
      <c r="K3274" s="161"/>
      <c r="L3274" s="196"/>
      <c r="M3274" s="197"/>
      <c r="N3274" s="278"/>
      <c r="O3274" s="280"/>
      <c r="P3274" s="166"/>
      <c r="Q3274" s="166">
        <f t="shared" si="683"/>
        <v>0</v>
      </c>
      <c r="R3274" s="71"/>
    </row>
    <row r="3275" spans="1:18" s="61" customFormat="1" x14ac:dyDescent="0.25">
      <c r="A3275" s="358"/>
      <c r="B3275" s="361"/>
      <c r="C3275" s="194"/>
      <c r="D3275" s="194"/>
      <c r="E3275" s="194"/>
      <c r="F3275" s="194"/>
      <c r="G3275" s="217"/>
      <c r="H3275" s="195"/>
      <c r="I3275" s="159"/>
      <c r="J3275" s="195"/>
      <c r="K3275" s="161"/>
      <c r="L3275" s="196"/>
      <c r="M3275" s="197"/>
      <c r="N3275" s="278"/>
      <c r="O3275" s="280"/>
      <c r="P3275" s="166"/>
      <c r="Q3275" s="166">
        <f t="shared" si="683"/>
        <v>0</v>
      </c>
      <c r="R3275" s="71"/>
    </row>
    <row r="3276" spans="1:18" s="61" customFormat="1" x14ac:dyDescent="0.25">
      <c r="A3276" s="358"/>
      <c r="B3276" s="361"/>
      <c r="C3276" s="194"/>
      <c r="D3276" s="355" t="s">
        <v>5</v>
      </c>
      <c r="E3276" s="355"/>
      <c r="F3276" s="355"/>
      <c r="G3276" s="355"/>
      <c r="H3276" s="195"/>
      <c r="I3276" s="159"/>
      <c r="J3276" s="195"/>
      <c r="K3276" s="161"/>
      <c r="L3276" s="196"/>
      <c r="M3276" s="197"/>
      <c r="N3276" s="278"/>
      <c r="O3276" s="279">
        <f>O3277+O3286+O3297+O3299+O3310</f>
        <v>1900.6049050000001</v>
      </c>
      <c r="P3276" s="166"/>
      <c r="Q3276" s="166">
        <f t="shared" si="683"/>
        <v>0</v>
      </c>
      <c r="R3276" s="71"/>
    </row>
    <row r="3277" spans="1:18" s="61" customFormat="1" x14ac:dyDescent="0.25">
      <c r="A3277" s="358"/>
      <c r="B3277" s="361"/>
      <c r="C3277" s="221" t="s">
        <v>70</v>
      </c>
      <c r="D3277" s="355" t="s">
        <v>6</v>
      </c>
      <c r="E3277" s="355"/>
      <c r="F3277" s="355"/>
      <c r="G3277" s="355"/>
      <c r="H3277" s="189"/>
      <c r="I3277" s="159"/>
      <c r="J3277" s="189"/>
      <c r="K3277" s="161"/>
      <c r="L3277" s="190"/>
      <c r="M3277" s="197"/>
      <c r="N3277" s="278"/>
      <c r="O3277" s="279">
        <f>O3278+O3279+O3280+O3281+O3282+O3283+O3284</f>
        <v>608.79802099999995</v>
      </c>
      <c r="P3277" s="166"/>
      <c r="Q3277" s="166">
        <f t="shared" si="683"/>
        <v>0</v>
      </c>
      <c r="R3277" s="71"/>
    </row>
    <row r="3278" spans="1:18" s="61" customFormat="1" ht="31.5" x14ac:dyDescent="0.25">
      <c r="A3278" s="358"/>
      <c r="B3278" s="361"/>
      <c r="C3278" s="221" t="s">
        <v>72</v>
      </c>
      <c r="D3278" s="222" t="s">
        <v>7</v>
      </c>
      <c r="E3278" s="223" t="s">
        <v>8</v>
      </c>
      <c r="F3278" s="223" t="s">
        <v>8</v>
      </c>
      <c r="G3278" s="238">
        <f>MROUND(H3278*L3278*I3278/K3278,0.00000001)</f>
        <v>9863.62854926</v>
      </c>
      <c r="H3278" s="160">
        <f t="shared" ref="H3278:H3284" si="697">H2987</f>
        <v>12370227.22349089</v>
      </c>
      <c r="I3278" s="159">
        <f>I3272</f>
        <v>9.0899999999999995E-2</v>
      </c>
      <c r="J3278" s="160"/>
      <c r="K3278" s="161">
        <f>K3272</f>
        <v>114</v>
      </c>
      <c r="L3278" s="250">
        <v>1</v>
      </c>
      <c r="M3278" s="163" t="str">
        <f>CONCATENATE(H3278," ",F3278,"(лимиты выделенные УЖКХ) ","*",I3278,"/",K3278,"чел/час")</f>
        <v>12370227,2234909 кВт час.(лимиты выделенные УЖКХ) *0,0909/114чел/час</v>
      </c>
      <c r="N3278" s="278">
        <f t="shared" ref="N3278:N3284" si="698">N2987</f>
        <v>1.0461700311716613E-2</v>
      </c>
      <c r="O3278" s="280">
        <f t="shared" ref="O3278:O3284" si="699">MROUND(N3278*G3278,0.000001)</f>
        <v>103.190326</v>
      </c>
      <c r="P3278" s="166"/>
      <c r="Q3278" s="166">
        <f t="shared" si="683"/>
        <v>11763.697163999999</v>
      </c>
      <c r="R3278" s="71"/>
    </row>
    <row r="3279" spans="1:18" s="61" customFormat="1" ht="31.5" x14ac:dyDescent="0.25">
      <c r="A3279" s="358"/>
      <c r="B3279" s="361"/>
      <c r="C3279" s="221" t="s">
        <v>73</v>
      </c>
      <c r="D3279" s="222" t="s">
        <v>9</v>
      </c>
      <c r="E3279" s="223" t="s">
        <v>10</v>
      </c>
      <c r="F3279" s="223" t="s">
        <v>10</v>
      </c>
      <c r="G3279" s="238">
        <f>MROUND(H3279*L3279*I3279/K3279,0.00000001)</f>
        <v>0.13555263000000001</v>
      </c>
      <c r="H3279" s="160">
        <f t="shared" si="697"/>
        <v>170</v>
      </c>
      <c r="I3279" s="159">
        <f t="shared" ref="I3279:I3284" si="700">I3278</f>
        <v>9.0899999999999995E-2</v>
      </c>
      <c r="J3279" s="160"/>
      <c r="K3279" s="161">
        <f t="shared" ref="K3279:K3284" si="701">K3278</f>
        <v>114</v>
      </c>
      <c r="L3279" s="250">
        <v>1</v>
      </c>
      <c r="M3279" s="163" t="str">
        <f>CONCATENATE(H3279," ",F3279,"(лимиты выделенные УЖКХ) ","*",I3279,"/",K3279,"чел/час")</f>
        <v>170 Гкал(лимиты выделенные УЖКХ) *0,0909/114чел/час</v>
      </c>
      <c r="N3279" s="278">
        <f t="shared" si="698"/>
        <v>2845.3649999999998</v>
      </c>
      <c r="O3279" s="280">
        <f t="shared" si="699"/>
        <v>385.696709</v>
      </c>
      <c r="P3279" s="166"/>
      <c r="Q3279" s="166">
        <f t="shared" si="683"/>
        <v>43969.424826000002</v>
      </c>
      <c r="R3279" s="71"/>
    </row>
    <row r="3280" spans="1:18" s="61" customFormat="1" ht="31.5" x14ac:dyDescent="0.25">
      <c r="A3280" s="358"/>
      <c r="B3280" s="361"/>
      <c r="C3280" s="364" t="s">
        <v>74</v>
      </c>
      <c r="D3280" s="222" t="s">
        <v>12</v>
      </c>
      <c r="E3280" s="222" t="s">
        <v>11</v>
      </c>
      <c r="F3280" s="222" t="s">
        <v>11</v>
      </c>
      <c r="G3280" s="238">
        <f>MROUND(H3280*L3280*I3280/K3280,0.000001)</f>
        <v>0.282524</v>
      </c>
      <c r="H3280" s="224">
        <f t="shared" si="697"/>
        <v>354.32</v>
      </c>
      <c r="I3280" s="159">
        <f t="shared" si="700"/>
        <v>9.0899999999999995E-2</v>
      </c>
      <c r="J3280" s="160"/>
      <c r="K3280" s="161">
        <f t="shared" si="701"/>
        <v>114</v>
      </c>
      <c r="L3280" s="250">
        <v>1</v>
      </c>
      <c r="M3280" s="163" t="str">
        <f>CONCATENATE(H3280," ",F3280,"(лимиты выделенные УЖКХ) ","*",I3280,"/",K3280,"чел/час")</f>
        <v>354,32 м3(лимиты выделенные УЖКХ) *0,0909/114чел/час</v>
      </c>
      <c r="N3280" s="278">
        <f t="shared" si="698"/>
        <v>51.830000000000005</v>
      </c>
      <c r="O3280" s="280">
        <f t="shared" si="699"/>
        <v>14.643219</v>
      </c>
      <c r="P3280" s="166"/>
      <c r="Q3280" s="166">
        <f>O3280*K3280</f>
        <v>1669.3269660000001</v>
      </c>
      <c r="R3280" s="71"/>
    </row>
    <row r="3281" spans="1:18" s="61" customFormat="1" ht="47.25" x14ac:dyDescent="0.25">
      <c r="A3281" s="358"/>
      <c r="B3281" s="361"/>
      <c r="C3281" s="364"/>
      <c r="D3281" s="222" t="s">
        <v>17</v>
      </c>
      <c r="E3281" s="222" t="s">
        <v>11</v>
      </c>
      <c r="F3281" s="222" t="s">
        <v>11</v>
      </c>
      <c r="G3281" s="238">
        <f>MROUND(H3281*L3281*I3281/K3281,0.00000001)</f>
        <v>0.28252358</v>
      </c>
      <c r="H3281" s="160">
        <f t="shared" si="697"/>
        <v>354.32</v>
      </c>
      <c r="I3281" s="159">
        <f t="shared" si="700"/>
        <v>9.0899999999999995E-2</v>
      </c>
      <c r="J3281" s="160"/>
      <c r="K3281" s="161">
        <f t="shared" si="701"/>
        <v>114</v>
      </c>
      <c r="L3281" s="162">
        <f>$L$25</f>
        <v>1</v>
      </c>
      <c r="M3281" s="163" t="str">
        <f>CONCATENATE(H3281," ",F3281,"(лимиты выделенные УЖКХ) ","*",I3281,"/",K3281,"чел/час")</f>
        <v>354,32 м3(лимиты выделенные УЖКХ) *0,0909/114чел/час</v>
      </c>
      <c r="N3281" s="164">
        <f t="shared" si="698"/>
        <v>78.761157534246564</v>
      </c>
      <c r="O3281" s="280">
        <f t="shared" si="699"/>
        <v>22.251884</v>
      </c>
      <c r="P3281" s="166"/>
      <c r="Q3281" s="166">
        <f>O3281*K3281</f>
        <v>2536.7147760000003</v>
      </c>
      <c r="R3281" s="71"/>
    </row>
    <row r="3282" spans="1:18" s="61" customFormat="1" ht="31.5" x14ac:dyDescent="0.25">
      <c r="A3282" s="358"/>
      <c r="B3282" s="361"/>
      <c r="C3282" s="364"/>
      <c r="D3282" s="222" t="s">
        <v>13</v>
      </c>
      <c r="E3282" s="222" t="s">
        <v>11</v>
      </c>
      <c r="F3282" s="222" t="s">
        <v>11</v>
      </c>
      <c r="G3282" s="238">
        <f>MROUND(H3282*L3282*I3282/K3282,0.00000001)</f>
        <v>0.28252358</v>
      </c>
      <c r="H3282" s="160">
        <f t="shared" si="697"/>
        <v>354.32</v>
      </c>
      <c r="I3282" s="159">
        <f t="shared" si="700"/>
        <v>9.0899999999999995E-2</v>
      </c>
      <c r="J3282" s="160"/>
      <c r="K3282" s="161">
        <f t="shared" si="701"/>
        <v>114</v>
      </c>
      <c r="L3282" s="162">
        <v>1</v>
      </c>
      <c r="M3282" s="163" t="str">
        <f>CONCATENATE(H3282," ",F3282,"(лимиты выделенные УЖКХ) ","*",I3282,"/",K3282,"чел/час")</f>
        <v>354,32 м3(лимиты выделенные УЖКХ) *0,0909/114чел/час</v>
      </c>
      <c r="N3282" s="278">
        <f t="shared" si="698"/>
        <v>96.18</v>
      </c>
      <c r="O3282" s="280">
        <f t="shared" si="699"/>
        <v>27.173117999999999</v>
      </c>
      <c r="P3282" s="166"/>
      <c r="Q3282" s="166">
        <f>O3282*K3282</f>
        <v>3097.7354519999999</v>
      </c>
      <c r="R3282" s="71"/>
    </row>
    <row r="3283" spans="1:18" s="61" customFormat="1" x14ac:dyDescent="0.25">
      <c r="A3283" s="358"/>
      <c r="B3283" s="361"/>
      <c r="C3283" s="364" t="s">
        <v>216</v>
      </c>
      <c r="D3283" s="222" t="s">
        <v>23</v>
      </c>
      <c r="E3283" s="222" t="s">
        <v>11</v>
      </c>
      <c r="F3283" s="222" t="s">
        <v>11</v>
      </c>
      <c r="G3283" s="238">
        <f>MROUND(H3283*L3283*I3283/K3283,0.00000001)</f>
        <v>5.0521259999999998E-2</v>
      </c>
      <c r="H3283" s="160">
        <f t="shared" si="697"/>
        <v>63.36</v>
      </c>
      <c r="I3283" s="159">
        <f t="shared" si="700"/>
        <v>9.0899999999999995E-2</v>
      </c>
      <c r="J3283" s="160"/>
      <c r="K3283" s="161">
        <f t="shared" si="701"/>
        <v>114</v>
      </c>
      <c r="L3283" s="162">
        <v>1</v>
      </c>
      <c r="M3283" s="163" t="str">
        <f>CONCATENATE(H3283," ",F3283," ","*",I3283,"/",K3283,"чел/час")</f>
        <v>63,36 м3 *0,0909/114чел/час</v>
      </c>
      <c r="N3283" s="164">
        <f t="shared" si="698"/>
        <v>742.21369949494954</v>
      </c>
      <c r="O3283" s="280">
        <f t="shared" si="699"/>
        <v>37.497571000000001</v>
      </c>
      <c r="P3283" s="166"/>
      <c r="Q3283" s="166">
        <f>O3283*K3283</f>
        <v>4274.7230939999999</v>
      </c>
      <c r="R3283" s="71"/>
    </row>
    <row r="3284" spans="1:18" s="61" customFormat="1" ht="47.25" x14ac:dyDescent="0.25">
      <c r="A3284" s="358"/>
      <c r="B3284" s="361"/>
      <c r="C3284" s="364"/>
      <c r="D3284" s="222" t="s">
        <v>24</v>
      </c>
      <c r="E3284" s="222" t="s">
        <v>25</v>
      </c>
      <c r="F3284" s="222" t="s">
        <v>248</v>
      </c>
      <c r="G3284" s="238">
        <f>MROUND(H3284*L3284*I3284/K3284,0.00000001)</f>
        <v>3.1894700000000002E-3</v>
      </c>
      <c r="H3284" s="160">
        <f t="shared" si="697"/>
        <v>4</v>
      </c>
      <c r="I3284" s="159">
        <f t="shared" si="700"/>
        <v>9.0899999999999995E-2</v>
      </c>
      <c r="J3284" s="160"/>
      <c r="K3284" s="161">
        <f t="shared" si="701"/>
        <v>114</v>
      </c>
      <c r="L3284" s="250">
        <v>1</v>
      </c>
      <c r="M3284" s="163" t="str">
        <f>CONCATENATE(H3284," ",F3284,"(потребность из расчета 4 контейнера для уборки территории весной и осенью на 1 учреждение)","*",I3284,"/",K3284,"чел/час")</f>
        <v>4 контейнеров(потребность из расчета 4 контейнера для уборки территории весной и осенью на 1 учреждение)*0,0909/114чел/час</v>
      </c>
      <c r="N3284" s="278">
        <f t="shared" si="698"/>
        <v>5751.8</v>
      </c>
      <c r="O3284" s="280">
        <f t="shared" si="699"/>
        <v>18.345193999999999</v>
      </c>
      <c r="P3284" s="166"/>
      <c r="Q3284" s="166">
        <f>O3284*K3284</f>
        <v>2091.352116</v>
      </c>
      <c r="R3284" s="71"/>
    </row>
    <row r="3285" spans="1:18" s="62" customFormat="1" x14ac:dyDescent="0.25">
      <c r="A3285" s="358"/>
      <c r="B3285" s="361"/>
      <c r="C3285" s="218" t="s">
        <v>290</v>
      </c>
      <c r="D3285" s="226"/>
      <c r="E3285" s="226"/>
      <c r="F3285" s="226"/>
      <c r="G3285" s="227"/>
      <c r="H3285" s="228"/>
      <c r="I3285" s="206"/>
      <c r="J3285" s="228"/>
      <c r="K3285" s="207"/>
      <c r="L3285" s="257"/>
      <c r="M3285" s="209"/>
      <c r="N3285" s="281"/>
      <c r="O3285" s="279">
        <f>SUM(O3278:O3284)</f>
        <v>608.79802099999995</v>
      </c>
      <c r="P3285" s="267"/>
      <c r="Q3285" s="166"/>
      <c r="R3285" s="71"/>
    </row>
    <row r="3286" spans="1:18" s="61" customFormat="1" x14ac:dyDescent="0.25">
      <c r="A3286" s="358"/>
      <c r="B3286" s="361"/>
      <c r="C3286" s="221"/>
      <c r="D3286" s="356" t="s">
        <v>14</v>
      </c>
      <c r="E3286" s="356"/>
      <c r="F3286" s="356"/>
      <c r="G3286" s="356"/>
      <c r="H3286" s="188"/>
      <c r="I3286" s="159"/>
      <c r="J3286" s="188"/>
      <c r="K3286" s="161"/>
      <c r="L3286" s="250"/>
      <c r="M3286" s="230"/>
      <c r="N3286" s="278"/>
      <c r="O3286" s="279">
        <f>O3290+O3294+O3296</f>
        <v>0</v>
      </c>
      <c r="P3286" s="166"/>
      <c r="Q3286" s="166">
        <f t="shared" ref="Q3286:Q3349" si="702">O3286*K3286</f>
        <v>0</v>
      </c>
      <c r="R3286" s="71"/>
    </row>
    <row r="3287" spans="1:18" s="61" customFormat="1" x14ac:dyDescent="0.25">
      <c r="A3287" s="358"/>
      <c r="B3287" s="361"/>
      <c r="C3287" s="365" t="s">
        <v>379</v>
      </c>
      <c r="D3287" s="231" t="s">
        <v>49</v>
      </c>
      <c r="E3287" s="231" t="s">
        <v>22</v>
      </c>
      <c r="F3287" s="231" t="s">
        <v>22</v>
      </c>
      <c r="G3287" s="238">
        <f>MROUND(H3287*L3287*I3287/K3287,0.000001)</f>
        <v>0</v>
      </c>
      <c r="H3287" s="160"/>
      <c r="I3287" s="159">
        <f>I3282</f>
        <v>9.0899999999999995E-2</v>
      </c>
      <c r="J3287" s="160"/>
      <c r="K3287" s="161">
        <f>K3282</f>
        <v>114</v>
      </c>
      <c r="L3287" s="250"/>
      <c r="M3287" s="163"/>
      <c r="N3287" s="278"/>
      <c r="O3287" s="280">
        <f>MROUND(N3287*G3287,0.000001)</f>
        <v>0</v>
      </c>
      <c r="P3287" s="166"/>
      <c r="Q3287" s="166">
        <f t="shared" si="702"/>
        <v>0</v>
      </c>
      <c r="R3287" s="71"/>
    </row>
    <row r="3288" spans="1:18" s="61" customFormat="1" x14ac:dyDescent="0.25">
      <c r="A3288" s="358"/>
      <c r="B3288" s="361"/>
      <c r="C3288" s="366"/>
      <c r="D3288" s="231" t="s">
        <v>49</v>
      </c>
      <c r="E3288" s="231" t="s">
        <v>28</v>
      </c>
      <c r="F3288" s="231" t="s">
        <v>28</v>
      </c>
      <c r="G3288" s="238">
        <f>MROUND(H3288*L3288*I3288/K3288,0.00000001)</f>
        <v>0</v>
      </c>
      <c r="H3288" s="160"/>
      <c r="I3288" s="159">
        <f>I3282</f>
        <v>9.0899999999999995E-2</v>
      </c>
      <c r="J3288" s="160"/>
      <c r="K3288" s="161">
        <f>K3282</f>
        <v>114</v>
      </c>
      <c r="L3288" s="250">
        <v>1</v>
      </c>
      <c r="M3288" s="163"/>
      <c r="N3288" s="278"/>
      <c r="O3288" s="280">
        <f>MROUND(N3288*G3288,0.000001)</f>
        <v>0</v>
      </c>
      <c r="P3288" s="166"/>
      <c r="Q3288" s="166">
        <f t="shared" si="702"/>
        <v>0</v>
      </c>
      <c r="R3288" s="71"/>
    </row>
    <row r="3289" spans="1:18" s="61" customFormat="1" x14ac:dyDescent="0.25">
      <c r="A3289" s="358"/>
      <c r="B3289" s="361"/>
      <c r="C3289" s="367"/>
      <c r="D3289" s="231" t="s">
        <v>49</v>
      </c>
      <c r="E3289" s="231" t="s">
        <v>101</v>
      </c>
      <c r="F3289" s="231" t="s">
        <v>101</v>
      </c>
      <c r="G3289" s="238">
        <f>MROUND(H3289*L3289*I3289/K3289,0.00000001)</f>
        <v>0</v>
      </c>
      <c r="H3289" s="160"/>
      <c r="I3289" s="159">
        <f>I3287</f>
        <v>9.0899999999999995E-2</v>
      </c>
      <c r="J3289" s="160"/>
      <c r="K3289" s="161">
        <f>K3287</f>
        <v>114</v>
      </c>
      <c r="L3289" s="250">
        <v>1</v>
      </c>
      <c r="M3289" s="163"/>
      <c r="N3289" s="278"/>
      <c r="O3289" s="280">
        <f>MROUND(N3289*G3289,0.000001)</f>
        <v>0</v>
      </c>
      <c r="P3289" s="166"/>
      <c r="Q3289" s="166">
        <f t="shared" si="702"/>
        <v>0</v>
      </c>
      <c r="R3289" s="71"/>
    </row>
    <row r="3290" spans="1:18" s="62" customFormat="1" x14ac:dyDescent="0.25">
      <c r="A3290" s="358"/>
      <c r="B3290" s="361"/>
      <c r="C3290" s="218" t="s">
        <v>380</v>
      </c>
      <c r="D3290" s="232"/>
      <c r="E3290" s="232"/>
      <c r="F3290" s="232"/>
      <c r="G3290" s="227"/>
      <c r="H3290" s="228"/>
      <c r="I3290" s="206"/>
      <c r="J3290" s="228"/>
      <c r="K3290" s="207"/>
      <c r="L3290" s="257"/>
      <c r="M3290" s="209"/>
      <c r="N3290" s="281"/>
      <c r="O3290" s="279">
        <f>O3287+O3289+O3288</f>
        <v>0</v>
      </c>
      <c r="P3290" s="267"/>
      <c r="Q3290" s="166"/>
      <c r="R3290" s="71"/>
    </row>
    <row r="3291" spans="1:18" s="61" customFormat="1" x14ac:dyDescent="0.25">
      <c r="A3291" s="358"/>
      <c r="B3291" s="361"/>
      <c r="C3291" s="365" t="s">
        <v>76</v>
      </c>
      <c r="D3291" s="231" t="s">
        <v>49</v>
      </c>
      <c r="E3291" s="231" t="s">
        <v>22</v>
      </c>
      <c r="F3291" s="231" t="s">
        <v>22</v>
      </c>
      <c r="G3291" s="238">
        <f>MROUND(H3291*L3291*I3291/K3291,0.000001)</f>
        <v>0</v>
      </c>
      <c r="H3291" s="160"/>
      <c r="I3291" s="159">
        <f>I3287</f>
        <v>9.0899999999999995E-2</v>
      </c>
      <c r="J3291" s="160"/>
      <c r="K3291" s="161">
        <f>K3287</f>
        <v>114</v>
      </c>
      <c r="L3291" s="250">
        <v>1</v>
      </c>
      <c r="M3291" s="163"/>
      <c r="N3291" s="278"/>
      <c r="O3291" s="280">
        <f>MROUND(N3291*G3291,0.000001)</f>
        <v>0</v>
      </c>
      <c r="P3291" s="166"/>
      <c r="Q3291" s="166">
        <f t="shared" si="702"/>
        <v>0</v>
      </c>
      <c r="R3291" s="71"/>
    </row>
    <row r="3292" spans="1:18" s="61" customFormat="1" x14ac:dyDescent="0.25">
      <c r="A3292" s="358"/>
      <c r="B3292" s="361"/>
      <c r="C3292" s="366"/>
      <c r="D3292" s="231" t="s">
        <v>49</v>
      </c>
      <c r="E3292" s="231" t="s">
        <v>28</v>
      </c>
      <c r="F3292" s="231" t="s">
        <v>28</v>
      </c>
      <c r="G3292" s="238">
        <f>MROUND(H3292*L3292*I3292/K3292,0.000001)</f>
        <v>0</v>
      </c>
      <c r="H3292" s="160"/>
      <c r="I3292" s="159">
        <f>I3287</f>
        <v>9.0899999999999995E-2</v>
      </c>
      <c r="J3292" s="160"/>
      <c r="K3292" s="161">
        <f>K3287</f>
        <v>114</v>
      </c>
      <c r="L3292" s="250">
        <v>1</v>
      </c>
      <c r="M3292" s="163"/>
      <c r="N3292" s="278"/>
      <c r="O3292" s="280">
        <f>MROUND(N3292*G3292,0.000001)</f>
        <v>0</v>
      </c>
      <c r="P3292" s="166"/>
      <c r="Q3292" s="166">
        <f>O3292*K3292</f>
        <v>0</v>
      </c>
      <c r="R3292" s="71"/>
    </row>
    <row r="3293" spans="1:18" s="61" customFormat="1" x14ac:dyDescent="0.25">
      <c r="A3293" s="358"/>
      <c r="B3293" s="361"/>
      <c r="C3293" s="367"/>
      <c r="D3293" s="231" t="s">
        <v>49</v>
      </c>
      <c r="E3293" s="231" t="s">
        <v>101</v>
      </c>
      <c r="F3293" s="231" t="s">
        <v>101</v>
      </c>
      <c r="G3293" s="238">
        <f>MROUND(H3293*L3293*I3293/K3293,0.000001)</f>
        <v>0</v>
      </c>
      <c r="H3293" s="160"/>
      <c r="I3293" s="159">
        <f>I3288</f>
        <v>9.0899999999999995E-2</v>
      </c>
      <c r="J3293" s="160"/>
      <c r="K3293" s="161">
        <f>K3288</f>
        <v>114</v>
      </c>
      <c r="L3293" s="250">
        <v>1</v>
      </c>
      <c r="M3293" s="163"/>
      <c r="N3293" s="278"/>
      <c r="O3293" s="280">
        <f>MROUND(N3293*G3293,0.000001)</f>
        <v>0</v>
      </c>
      <c r="P3293" s="166"/>
      <c r="Q3293" s="166">
        <f t="shared" si="702"/>
        <v>0</v>
      </c>
      <c r="R3293" s="71"/>
    </row>
    <row r="3294" spans="1:18" s="62" customFormat="1" x14ac:dyDescent="0.25">
      <c r="A3294" s="358"/>
      <c r="B3294" s="361"/>
      <c r="C3294" s="218" t="s">
        <v>291</v>
      </c>
      <c r="D3294" s="232"/>
      <c r="E3294" s="232"/>
      <c r="F3294" s="232"/>
      <c r="G3294" s="227"/>
      <c r="H3294" s="228"/>
      <c r="I3294" s="206"/>
      <c r="J3294" s="228"/>
      <c r="K3294" s="207"/>
      <c r="L3294" s="257"/>
      <c r="M3294" s="209"/>
      <c r="N3294" s="281"/>
      <c r="O3294" s="279">
        <f>O3291+O3293</f>
        <v>0</v>
      </c>
      <c r="P3294" s="267"/>
      <c r="Q3294" s="166"/>
      <c r="R3294" s="71"/>
    </row>
    <row r="3295" spans="1:18" s="61" customFormat="1" x14ac:dyDescent="0.25">
      <c r="A3295" s="358"/>
      <c r="B3295" s="361"/>
      <c r="C3295" s="221" t="s">
        <v>77</v>
      </c>
      <c r="D3295" s="231"/>
      <c r="E3295" s="231"/>
      <c r="F3295" s="231"/>
      <c r="G3295" s="238">
        <f>MROUND(H3295*L3295*I3295/K3295,0.000001)</f>
        <v>0</v>
      </c>
      <c r="H3295" s="160"/>
      <c r="I3295" s="159">
        <f>I3291</f>
        <v>9.0899999999999995E-2</v>
      </c>
      <c r="J3295" s="160"/>
      <c r="K3295" s="161">
        <f>K3291</f>
        <v>114</v>
      </c>
      <c r="L3295" s="250"/>
      <c r="M3295" s="163"/>
      <c r="N3295" s="278"/>
      <c r="O3295" s="280">
        <f>MROUND(N3295*G3295,0.000001)</f>
        <v>0</v>
      </c>
      <c r="P3295" s="166"/>
      <c r="Q3295" s="166">
        <f t="shared" si="702"/>
        <v>0</v>
      </c>
      <c r="R3295" s="71"/>
    </row>
    <row r="3296" spans="1:18" s="62" customFormat="1" x14ac:dyDescent="0.25">
      <c r="A3296" s="358"/>
      <c r="B3296" s="361"/>
      <c r="C3296" s="218" t="s">
        <v>292</v>
      </c>
      <c r="D3296" s="232"/>
      <c r="E3296" s="232"/>
      <c r="F3296" s="232"/>
      <c r="G3296" s="227"/>
      <c r="H3296" s="228"/>
      <c r="I3296" s="206"/>
      <c r="J3296" s="228"/>
      <c r="K3296" s="207"/>
      <c r="L3296" s="257"/>
      <c r="M3296" s="209"/>
      <c r="N3296" s="281"/>
      <c r="O3296" s="279">
        <f>O3295</f>
        <v>0</v>
      </c>
      <c r="P3296" s="267"/>
      <c r="Q3296" s="166"/>
      <c r="R3296" s="71"/>
    </row>
    <row r="3297" spans="1:18" s="61" customFormat="1" x14ac:dyDescent="0.25">
      <c r="A3297" s="358"/>
      <c r="B3297" s="361"/>
      <c r="C3297" s="221"/>
      <c r="D3297" s="350" t="s">
        <v>65</v>
      </c>
      <c r="E3297" s="350"/>
      <c r="F3297" s="350"/>
      <c r="G3297" s="350"/>
      <c r="H3297" s="195"/>
      <c r="I3297" s="159"/>
      <c r="J3297" s="195"/>
      <c r="K3297" s="161"/>
      <c r="L3297" s="196"/>
      <c r="M3297" s="230"/>
      <c r="N3297" s="278"/>
      <c r="O3297" s="280"/>
      <c r="P3297" s="166"/>
      <c r="Q3297" s="166">
        <f t="shared" si="702"/>
        <v>0</v>
      </c>
      <c r="R3297" s="71"/>
    </row>
    <row r="3298" spans="1:18" s="61" customFormat="1" x14ac:dyDescent="0.25">
      <c r="A3298" s="358"/>
      <c r="B3298" s="361"/>
      <c r="C3298" s="221"/>
      <c r="D3298" s="194"/>
      <c r="E3298" s="194"/>
      <c r="F3298" s="194"/>
      <c r="G3298" s="217"/>
      <c r="H3298" s="195"/>
      <c r="I3298" s="159"/>
      <c r="J3298" s="195"/>
      <c r="K3298" s="161"/>
      <c r="L3298" s="196"/>
      <c r="M3298" s="230"/>
      <c r="N3298" s="278"/>
      <c r="O3298" s="280"/>
      <c r="P3298" s="166"/>
      <c r="Q3298" s="166">
        <f t="shared" si="702"/>
        <v>0</v>
      </c>
      <c r="R3298" s="71"/>
    </row>
    <row r="3299" spans="1:18" s="61" customFormat="1" x14ac:dyDescent="0.25">
      <c r="A3299" s="358"/>
      <c r="B3299" s="361"/>
      <c r="C3299" s="221" t="s">
        <v>357</v>
      </c>
      <c r="D3299" s="368" t="s">
        <v>66</v>
      </c>
      <c r="E3299" s="368"/>
      <c r="F3299" s="368"/>
      <c r="G3299" s="368"/>
      <c r="H3299" s="195"/>
      <c r="I3299" s="159"/>
      <c r="J3299" s="195"/>
      <c r="K3299" s="161"/>
      <c r="L3299" s="196"/>
      <c r="M3299" s="230"/>
      <c r="N3299" s="278"/>
      <c r="O3299" s="279">
        <f>SUM(O3300:O3304)</f>
        <v>133.055746</v>
      </c>
      <c r="P3299" s="166"/>
      <c r="Q3299" s="166">
        <f t="shared" si="702"/>
        <v>0</v>
      </c>
      <c r="R3299" s="71"/>
    </row>
    <row r="3300" spans="1:18" s="61" customFormat="1" x14ac:dyDescent="0.25">
      <c r="A3300" s="358"/>
      <c r="B3300" s="361"/>
      <c r="C3300" s="365"/>
      <c r="D3300" s="284" t="s">
        <v>241</v>
      </c>
      <c r="E3300" s="156" t="s">
        <v>28</v>
      </c>
      <c r="F3300" s="156" t="s">
        <v>28</v>
      </c>
      <c r="G3300" s="238">
        <f>MROUND(H3300*L3300*I3300/K3300,0.000000001)</f>
        <v>4.7842105000000003E-2</v>
      </c>
      <c r="H3300" s="158">
        <f>H3009</f>
        <v>5</v>
      </c>
      <c r="I3300" s="159">
        <f>I3291</f>
        <v>9.0899999999999995E-2</v>
      </c>
      <c r="J3300" s="160"/>
      <c r="K3300" s="161">
        <f>K3291</f>
        <v>114</v>
      </c>
      <c r="L3300" s="250">
        <v>12</v>
      </c>
      <c r="M3300" s="163" t="str">
        <f>CONCATENATE(H3300," ",F3300,"*",L3300,"мес.","*",I3300,"/",K3300,"чел/час")</f>
        <v>5 шт*12мес.*0,0909/114чел/час</v>
      </c>
      <c r="N3300" s="278">
        <f>N3009</f>
        <v>278.60400000000004</v>
      </c>
      <c r="O3300" s="280">
        <f>MROUND(N3300*G3300,0.000001)</f>
        <v>13.329001999999999</v>
      </c>
      <c r="P3300" s="166"/>
      <c r="Q3300" s="166">
        <f t="shared" si="702"/>
        <v>1519.506228</v>
      </c>
      <c r="R3300" s="71"/>
    </row>
    <row r="3301" spans="1:18" s="61" customFormat="1" x14ac:dyDescent="0.25">
      <c r="A3301" s="358"/>
      <c r="B3301" s="361"/>
      <c r="C3301" s="366"/>
      <c r="D3301" s="284" t="s">
        <v>242</v>
      </c>
      <c r="E3301" s="156" t="s">
        <v>243</v>
      </c>
      <c r="F3301" s="156" t="s">
        <v>243</v>
      </c>
      <c r="G3301" s="238">
        <f>MROUND(H3301*L3301*I3301/K3301,0.00000001)</f>
        <v>67.285136840000007</v>
      </c>
      <c r="H3301" s="158">
        <v>7032</v>
      </c>
      <c r="I3301" s="159">
        <f>I3300</f>
        <v>9.0899999999999995E-2</v>
      </c>
      <c r="J3301" s="160"/>
      <c r="K3301" s="161">
        <f>K3300</f>
        <v>114</v>
      </c>
      <c r="L3301" s="250">
        <v>12</v>
      </c>
      <c r="M3301" s="163" t="str">
        <f>CONCATENATE(H3301," ",F3301,"*",L3301,"мес.","*",I3301,"/",K3301,"чел/час")</f>
        <v>7032 мин.*12мес.*0,0909/114чел/час</v>
      </c>
      <c r="N3301" s="278">
        <f>N3010</f>
        <v>0.78479996207811897</v>
      </c>
      <c r="O3301" s="280">
        <f>MROUND(N3301*G3301,0.000001)</f>
        <v>52.805372999999996</v>
      </c>
      <c r="P3301" s="166"/>
      <c r="Q3301" s="166">
        <f t="shared" si="702"/>
        <v>6019.8125219999993</v>
      </c>
      <c r="R3301" s="71"/>
    </row>
    <row r="3302" spans="1:18" s="61" customFormat="1" ht="31.5" x14ac:dyDescent="0.25">
      <c r="A3302" s="358"/>
      <c r="B3302" s="361"/>
      <c r="C3302" s="366"/>
      <c r="D3302" s="285" t="s">
        <v>244</v>
      </c>
      <c r="E3302" s="286" t="s">
        <v>245</v>
      </c>
      <c r="F3302" s="286" t="s">
        <v>247</v>
      </c>
      <c r="G3302" s="238">
        <f>MROUND(H3302*L3302*I3302/K3302,0.000001)</f>
        <v>9.5680000000000001E-3</v>
      </c>
      <c r="H3302" s="158">
        <v>1</v>
      </c>
      <c r="I3302" s="159">
        <f>I3301</f>
        <v>9.0899999999999995E-2</v>
      </c>
      <c r="J3302" s="160"/>
      <c r="K3302" s="161">
        <f>K3301</f>
        <v>114</v>
      </c>
      <c r="L3302" s="250">
        <v>12</v>
      </c>
      <c r="M3302" s="163" t="str">
        <f>CONCATENATE(H3302," ",F3302,"*",L3302,"мес.","*",I3302,"/",K3302,"чел/час")</f>
        <v>1 радиоточек*12мес.*0,0909/114чел/час</v>
      </c>
      <c r="N3302" s="278">
        <f>N3011</f>
        <v>165.68</v>
      </c>
      <c r="O3302" s="280">
        <f>MROUND(N3302*G3302,0.000001)</f>
        <v>1.585226</v>
      </c>
      <c r="P3302" s="166"/>
      <c r="Q3302" s="166">
        <f t="shared" si="702"/>
        <v>180.71576400000001</v>
      </c>
      <c r="R3302" s="71"/>
    </row>
    <row r="3303" spans="1:18" s="61" customFormat="1" ht="47.25" x14ac:dyDescent="0.25">
      <c r="A3303" s="358"/>
      <c r="B3303" s="361"/>
      <c r="C3303" s="366"/>
      <c r="D3303" s="285" t="s">
        <v>374</v>
      </c>
      <c r="E3303" s="156" t="s">
        <v>28</v>
      </c>
      <c r="F3303" s="156" t="s">
        <v>28</v>
      </c>
      <c r="G3303" s="238">
        <f>MROUND(H3303*L3303*I3303/K3303,0.000001)</f>
        <v>5.7410999999999997E-2</v>
      </c>
      <c r="H3303" s="158">
        <f>H3012</f>
        <v>6</v>
      </c>
      <c r="I3303" s="159">
        <f>I3301</f>
        <v>9.0899999999999995E-2</v>
      </c>
      <c r="J3303" s="160"/>
      <c r="K3303" s="161">
        <f>K3301</f>
        <v>114</v>
      </c>
      <c r="L3303" s="250">
        <f>L3012</f>
        <v>12</v>
      </c>
      <c r="M3303" s="163" t="str">
        <f>CONCATENATE(H3303," ",F3303,"*",L3303,"мес.","*",I3303,"/",K3303,"чел/час")</f>
        <v>6 шт*12мес.*0,0909/114чел/час</v>
      </c>
      <c r="N3303" s="278">
        <f>N3012</f>
        <v>418.67986111111117</v>
      </c>
      <c r="O3303" s="280">
        <f>MROUND(N3303*G3303,0.000001)</f>
        <v>24.036829999999998</v>
      </c>
      <c r="P3303" s="166"/>
      <c r="Q3303" s="166">
        <f t="shared" si="702"/>
        <v>2740.1986199999997</v>
      </c>
      <c r="R3303" s="71"/>
    </row>
    <row r="3304" spans="1:18" s="61" customFormat="1" x14ac:dyDescent="0.25">
      <c r="A3304" s="358"/>
      <c r="B3304" s="361"/>
      <c r="C3304" s="367"/>
      <c r="D3304" s="284" t="s">
        <v>246</v>
      </c>
      <c r="E3304" s="156" t="s">
        <v>28</v>
      </c>
      <c r="F3304" s="156" t="s">
        <v>28</v>
      </c>
      <c r="G3304" s="238">
        <f>MROUND(H3304*L3304*I3304/K3304,0.000001)</f>
        <v>9.5680000000000001E-3</v>
      </c>
      <c r="H3304" s="158">
        <v>1</v>
      </c>
      <c r="I3304" s="159">
        <f>I3302</f>
        <v>9.0899999999999995E-2</v>
      </c>
      <c r="J3304" s="160"/>
      <c r="K3304" s="161">
        <f>K3302</f>
        <v>114</v>
      </c>
      <c r="L3304" s="250">
        <v>12</v>
      </c>
      <c r="M3304" s="163" t="str">
        <f>CONCATENATE(H3304," ",F3304,"*",L3304,"мес.","*",I3304,"/",K3304,"чел/час")</f>
        <v>1 шт*12мес.*0,0909/114чел/час</v>
      </c>
      <c r="N3304" s="278">
        <f>N3013</f>
        <v>4316.4000000000005</v>
      </c>
      <c r="O3304" s="280">
        <f>MROUND(N3304*G3304,0.000001)</f>
        <v>41.299315</v>
      </c>
      <c r="P3304" s="166"/>
      <c r="Q3304" s="166">
        <f t="shared" si="702"/>
        <v>4708.1219099999998</v>
      </c>
      <c r="R3304" s="71"/>
    </row>
    <row r="3305" spans="1:18" s="62" customFormat="1" x14ac:dyDescent="0.25">
      <c r="A3305" s="358"/>
      <c r="B3305" s="361"/>
      <c r="C3305" s="218" t="s">
        <v>358</v>
      </c>
      <c r="D3305" s="287"/>
      <c r="E3305" s="287"/>
      <c r="F3305" s="287"/>
      <c r="G3305" s="288"/>
      <c r="H3305" s="214"/>
      <c r="I3305" s="206"/>
      <c r="J3305" s="214"/>
      <c r="K3305" s="207"/>
      <c r="L3305" s="215"/>
      <c r="M3305" s="289"/>
      <c r="N3305" s="281"/>
      <c r="O3305" s="279">
        <f>O3299</f>
        <v>133.055746</v>
      </c>
      <c r="P3305" s="267"/>
      <c r="Q3305" s="166"/>
      <c r="R3305" s="71"/>
    </row>
    <row r="3306" spans="1:18" s="61" customFormat="1" x14ac:dyDescent="0.25">
      <c r="A3306" s="358"/>
      <c r="B3306" s="361"/>
      <c r="C3306" s="221"/>
      <c r="D3306" s="368" t="s">
        <v>67</v>
      </c>
      <c r="E3306" s="368"/>
      <c r="F3306" s="368"/>
      <c r="G3306" s="368"/>
      <c r="H3306" s="195"/>
      <c r="I3306" s="159">
        <f>I3300</f>
        <v>9.0899999999999995E-2</v>
      </c>
      <c r="J3306" s="195"/>
      <c r="K3306" s="161">
        <f>K3300</f>
        <v>114</v>
      </c>
      <c r="L3306" s="196"/>
      <c r="M3306" s="230"/>
      <c r="N3306" s="278"/>
      <c r="O3306" s="280"/>
      <c r="P3306" s="166"/>
      <c r="Q3306" s="166">
        <f t="shared" si="702"/>
        <v>0</v>
      </c>
      <c r="R3306" s="71"/>
    </row>
    <row r="3307" spans="1:18" s="61" customFormat="1" x14ac:dyDescent="0.25">
      <c r="A3307" s="358"/>
      <c r="B3307" s="361"/>
      <c r="C3307" s="221"/>
      <c r="D3307" s="194"/>
      <c r="E3307" s="194"/>
      <c r="F3307" s="194"/>
      <c r="G3307" s="217"/>
      <c r="H3307" s="195"/>
      <c r="I3307" s="159"/>
      <c r="J3307" s="195"/>
      <c r="K3307" s="161"/>
      <c r="L3307" s="196"/>
      <c r="M3307" s="230"/>
      <c r="N3307" s="278"/>
      <c r="O3307" s="280"/>
      <c r="P3307" s="166"/>
      <c r="Q3307" s="166">
        <f t="shared" si="702"/>
        <v>0</v>
      </c>
      <c r="R3307" s="71"/>
    </row>
    <row r="3308" spans="1:18" s="61" customFormat="1" x14ac:dyDescent="0.25">
      <c r="A3308" s="358"/>
      <c r="B3308" s="361"/>
      <c r="C3308" s="221"/>
      <c r="D3308" s="350" t="s">
        <v>68</v>
      </c>
      <c r="E3308" s="350"/>
      <c r="F3308" s="350"/>
      <c r="G3308" s="350"/>
      <c r="H3308" s="195"/>
      <c r="I3308" s="159"/>
      <c r="J3308" s="195"/>
      <c r="K3308" s="161"/>
      <c r="L3308" s="196"/>
      <c r="M3308" s="230"/>
      <c r="N3308" s="278"/>
      <c r="O3308" s="280"/>
      <c r="P3308" s="166"/>
      <c r="Q3308" s="166">
        <f t="shared" si="702"/>
        <v>0</v>
      </c>
      <c r="R3308" s="71"/>
    </row>
    <row r="3309" spans="1:18" s="61" customFormat="1" x14ac:dyDescent="0.25">
      <c r="A3309" s="358"/>
      <c r="B3309" s="361"/>
      <c r="C3309" s="221"/>
      <c r="D3309" s="156"/>
      <c r="E3309" s="156"/>
      <c r="F3309" s="156"/>
      <c r="G3309" s="236"/>
      <c r="H3309" s="195"/>
      <c r="I3309" s="159"/>
      <c r="J3309" s="195"/>
      <c r="K3309" s="161"/>
      <c r="L3309" s="196"/>
      <c r="M3309" s="230"/>
      <c r="N3309" s="278"/>
      <c r="O3309" s="280"/>
      <c r="P3309" s="166"/>
      <c r="Q3309" s="166">
        <f t="shared" si="702"/>
        <v>0</v>
      </c>
      <c r="R3309" s="71"/>
    </row>
    <row r="3310" spans="1:18" s="61" customFormat="1" x14ac:dyDescent="0.25">
      <c r="A3310" s="358"/>
      <c r="B3310" s="361"/>
      <c r="C3310" s="221"/>
      <c r="D3310" s="368" t="s">
        <v>69</v>
      </c>
      <c r="E3310" s="368"/>
      <c r="F3310" s="368"/>
      <c r="G3310" s="368"/>
      <c r="H3310" s="187"/>
      <c r="I3310" s="159"/>
      <c r="J3310" s="187"/>
      <c r="K3310" s="161"/>
      <c r="L3310" s="276"/>
      <c r="M3310" s="230"/>
      <c r="N3310" s="278"/>
      <c r="O3310" s="279">
        <f>O3317+O3324+O3328+O3346+O3348+O3350+O3356+O3358+O3361</f>
        <v>1158.7511380000001</v>
      </c>
      <c r="P3310" s="166"/>
      <c r="Q3310" s="166">
        <f t="shared" si="702"/>
        <v>0</v>
      </c>
      <c r="R3310" s="71"/>
    </row>
    <row r="3311" spans="1:18" s="61" customFormat="1" ht="31.5" x14ac:dyDescent="0.25">
      <c r="A3311" s="358"/>
      <c r="B3311" s="361"/>
      <c r="C3311" s="365" t="s">
        <v>78</v>
      </c>
      <c r="D3311" s="156" t="s">
        <v>26</v>
      </c>
      <c r="E3311" s="156" t="s">
        <v>22</v>
      </c>
      <c r="F3311" s="156" t="s">
        <v>22</v>
      </c>
      <c r="G3311" s="238">
        <f>MROUND(H3311*L3311*I3311/K3311,0.000000001)</f>
        <v>6.6978947370000004</v>
      </c>
      <c r="H3311" s="158">
        <f>H3020</f>
        <v>700</v>
      </c>
      <c r="I3311" s="159">
        <f>I3300</f>
        <v>9.0899999999999995E-2</v>
      </c>
      <c r="J3311" s="160"/>
      <c r="K3311" s="161">
        <f>K3300</f>
        <v>114</v>
      </c>
      <c r="L3311" s="250">
        <v>12</v>
      </c>
      <c r="M3311" s="163" t="str">
        <f>CONCATENATE(H3311," ",F3311,"(обрабатываемая площадь в мес.)","*",L3311,"мес.","*",I3311,"/",K3311,"чел/час")</f>
        <v>700 м2(обрабатываемая площадь в мес.)*12мес.*0,0909/114чел/час</v>
      </c>
      <c r="N3311" s="278">
        <f>N3020</f>
        <v>1.1554</v>
      </c>
      <c r="O3311" s="280">
        <f>MROUND(N3311*G3311,0.000001)</f>
        <v>7.7387479999999993</v>
      </c>
      <c r="P3311" s="166"/>
      <c r="Q3311" s="166">
        <f t="shared" si="702"/>
        <v>882.21727199999987</v>
      </c>
      <c r="R3311" s="71"/>
    </row>
    <row r="3312" spans="1:18" s="61" customFormat="1" ht="31.5" x14ac:dyDescent="0.25">
      <c r="A3312" s="358"/>
      <c r="B3312" s="361"/>
      <c r="C3312" s="366"/>
      <c r="D3312" s="156" t="s">
        <v>96</v>
      </c>
      <c r="E3312" s="156" t="s">
        <v>22</v>
      </c>
      <c r="F3312" s="156" t="s">
        <v>22</v>
      </c>
      <c r="G3312" s="238">
        <f>MROUND(H3312*L3312*I3312/K3312,0.0000001)</f>
        <v>4.3057894999999995</v>
      </c>
      <c r="H3312" s="158">
        <f>H3021</f>
        <v>450</v>
      </c>
      <c r="I3312" s="159">
        <f t="shared" ref="I3312" si="703">I3311</f>
        <v>9.0899999999999995E-2</v>
      </c>
      <c r="J3312" s="160"/>
      <c r="K3312" s="161">
        <f>K3311</f>
        <v>114</v>
      </c>
      <c r="L3312" s="250">
        <v>12</v>
      </c>
      <c r="M3312" s="163" t="str">
        <f>CONCATENATE(H3312," ",F3312,"(обрабатываемая площадь в мес.)","*",L3312,"мес.","*",I3312,"/",K3312,"чел/час")</f>
        <v>450 м2(обрабатываемая площадь в мес.)*12мес.*0,0909/114чел/час</v>
      </c>
      <c r="N3312" s="278">
        <f>N3021</f>
        <v>1.853</v>
      </c>
      <c r="O3312" s="280">
        <f>MROUND(N3312*G3312,0.000001)</f>
        <v>7.9786279999999996</v>
      </c>
      <c r="P3312" s="166"/>
      <c r="Q3312" s="166">
        <f t="shared" si="702"/>
        <v>909.56359199999997</v>
      </c>
      <c r="R3312" s="71"/>
    </row>
    <row r="3313" spans="1:41" s="135" customFormat="1" ht="31.5" x14ac:dyDescent="0.25">
      <c r="A3313" s="358"/>
      <c r="B3313" s="361"/>
      <c r="C3313" s="366"/>
      <c r="D3313" s="156" t="s">
        <v>385</v>
      </c>
      <c r="E3313" s="156" t="s">
        <v>22</v>
      </c>
      <c r="F3313" s="156" t="s">
        <v>22</v>
      </c>
      <c r="G3313" s="238">
        <f>MROUND(H3313*L3313*I3313/K3313,0.000001)</f>
        <v>13.395788999999999</v>
      </c>
      <c r="H3313" s="242">
        <f>$H$3022</f>
        <v>700</v>
      </c>
      <c r="I3313" s="244">
        <f>I3311</f>
        <v>9.0899999999999995E-2</v>
      </c>
      <c r="J3313" s="160"/>
      <c r="K3313" s="161">
        <f>K3311</f>
        <v>114</v>
      </c>
      <c r="L3313" s="162">
        <v>24</v>
      </c>
      <c r="M3313" s="163" t="str">
        <f>CONCATENATE(H3313," ",F3313,"(обрабатываемая площадь в год)","*",L3313," раза в год.","*",I3313,"/",K3313,"чел.")</f>
        <v>700 м2(обрабатываемая площадь в год)*24 раза в год.*0,0909/114чел.</v>
      </c>
      <c r="N3313" s="164">
        <f>$N$3022</f>
        <v>0.27250000000000002</v>
      </c>
      <c r="O3313" s="165">
        <f>MROUND(G3313*N3313,0.000001)</f>
        <v>3.650353</v>
      </c>
      <c r="P3313" s="166"/>
      <c r="Q3313" s="166">
        <f t="shared" si="702"/>
        <v>416.140242</v>
      </c>
      <c r="R3313" s="71"/>
      <c r="S3313" s="61"/>
      <c r="T3313" s="61"/>
      <c r="U3313" s="61"/>
      <c r="V3313" s="61"/>
      <c r="W3313" s="61"/>
      <c r="X3313" s="61"/>
      <c r="Y3313" s="61"/>
      <c r="Z3313" s="61"/>
      <c r="AA3313" s="61"/>
      <c r="AB3313" s="61"/>
      <c r="AC3313" s="61"/>
      <c r="AD3313" s="61"/>
      <c r="AE3313" s="61"/>
      <c r="AF3313" s="61"/>
      <c r="AG3313" s="61"/>
      <c r="AH3313" s="61"/>
      <c r="AI3313" s="61"/>
      <c r="AJ3313" s="61"/>
      <c r="AK3313" s="61"/>
      <c r="AL3313" s="61"/>
      <c r="AM3313" s="61"/>
      <c r="AN3313" s="61"/>
      <c r="AO3313" s="61"/>
    </row>
    <row r="3314" spans="1:41" s="135" customFormat="1" ht="31.5" x14ac:dyDescent="0.25">
      <c r="A3314" s="358"/>
      <c r="B3314" s="361"/>
      <c r="C3314" s="366"/>
      <c r="D3314" s="156" t="s">
        <v>394</v>
      </c>
      <c r="E3314" s="156" t="s">
        <v>22</v>
      </c>
      <c r="F3314" s="156" t="s">
        <v>22</v>
      </c>
      <c r="G3314" s="238">
        <f>MROUND(H3314*L3314*I3314/K3314,0.000001)</f>
        <v>4.3057889999999999</v>
      </c>
      <c r="H3314" s="243">
        <f>$H$3023</f>
        <v>450</v>
      </c>
      <c r="I3314" s="244">
        <f t="shared" ref="I3314:I3316" si="704">I3312</f>
        <v>9.0899999999999995E-2</v>
      </c>
      <c r="J3314" s="160"/>
      <c r="K3314" s="161">
        <f>K3311</f>
        <v>114</v>
      </c>
      <c r="L3314" s="162">
        <v>12</v>
      </c>
      <c r="M3314" s="163" t="str">
        <f>CONCATENATE(H3314," ",F3314,"(обрабатываемая площадь в мес.)","*",L3314,"мес.","*",I3314,"/",K3314,"чел.")</f>
        <v>450 м2(обрабатываемая площадь в мес.)*12мес.*0,0909/114чел.</v>
      </c>
      <c r="N3314" s="164">
        <f>$N$3023</f>
        <v>4.5780000000000003</v>
      </c>
      <c r="O3314" s="165">
        <f>MROUND(G3314*N3314,0.000001)</f>
        <v>19.711901999999998</v>
      </c>
      <c r="P3314" s="166"/>
      <c r="Q3314" s="166">
        <f t="shared" si="702"/>
        <v>2247.1568279999997</v>
      </c>
      <c r="R3314" s="71"/>
      <c r="S3314" s="61"/>
      <c r="T3314" s="61"/>
      <c r="U3314" s="61"/>
      <c r="V3314" s="61"/>
      <c r="W3314" s="61"/>
      <c r="X3314" s="61"/>
      <c r="Y3314" s="61"/>
      <c r="Z3314" s="61"/>
      <c r="AA3314" s="61"/>
      <c r="AB3314" s="61"/>
      <c r="AC3314" s="61"/>
      <c r="AD3314" s="61"/>
      <c r="AE3314" s="61"/>
      <c r="AF3314" s="61"/>
      <c r="AG3314" s="61"/>
      <c r="AH3314" s="61"/>
      <c r="AI3314" s="61"/>
      <c r="AJ3314" s="61"/>
      <c r="AK3314" s="61"/>
      <c r="AL3314" s="61"/>
      <c r="AM3314" s="61"/>
      <c r="AN3314" s="61"/>
      <c r="AO3314" s="61"/>
    </row>
    <row r="3315" spans="1:41" s="135" customFormat="1" ht="31.5" x14ac:dyDescent="0.25">
      <c r="A3315" s="358"/>
      <c r="B3315" s="361"/>
      <c r="C3315" s="366"/>
      <c r="D3315" s="156" t="s">
        <v>395</v>
      </c>
      <c r="E3315" s="156" t="s">
        <v>98</v>
      </c>
      <c r="F3315" s="156" t="s">
        <v>98</v>
      </c>
      <c r="G3315" s="238">
        <f>MROUND(H3315*L3315*I3315/K3315,0.000001)</f>
        <v>3.9899999999999999E-4</v>
      </c>
      <c r="H3315" s="242">
        <f>$H$3024</f>
        <v>0.5</v>
      </c>
      <c r="I3315" s="244">
        <f t="shared" si="704"/>
        <v>9.0899999999999995E-2</v>
      </c>
      <c r="J3315" s="160"/>
      <c r="K3315" s="161">
        <f>K3311</f>
        <v>114</v>
      </c>
      <c r="L3315" s="162">
        <v>1</v>
      </c>
      <c r="M3315" s="163" t="str">
        <f>CONCATENATE(H3315," ",F3315,"(обрабатываемая площадь в год)","*",L3315," раз в год","*",I3315,"/",K3315,"чел.")</f>
        <v>0,5 Га(обрабатываемая площадь в год)*1 раз в год*0,0909/114чел.</v>
      </c>
      <c r="N3315" s="164">
        <f>$N$57</f>
        <v>545</v>
      </c>
      <c r="O3315" s="165">
        <f>MROUND(G3315*N3315,0.000001)</f>
        <v>0.21745499999999998</v>
      </c>
      <c r="P3315" s="166"/>
      <c r="Q3315" s="166">
        <f t="shared" si="702"/>
        <v>24.789869999999997</v>
      </c>
      <c r="R3315" s="71"/>
      <c r="S3315" s="61"/>
      <c r="T3315" s="61"/>
      <c r="U3315" s="61"/>
      <c r="V3315" s="61"/>
      <c r="W3315" s="61"/>
      <c r="X3315" s="61"/>
      <c r="Y3315" s="61"/>
      <c r="Z3315" s="61"/>
      <c r="AA3315" s="61"/>
      <c r="AB3315" s="61"/>
      <c r="AC3315" s="61"/>
      <c r="AD3315" s="61"/>
      <c r="AE3315" s="61"/>
      <c r="AF3315" s="61"/>
      <c r="AG3315" s="61"/>
      <c r="AH3315" s="61"/>
      <c r="AI3315" s="61"/>
      <c r="AJ3315" s="61"/>
      <c r="AK3315" s="61"/>
      <c r="AL3315" s="61"/>
      <c r="AM3315" s="61"/>
      <c r="AN3315" s="61"/>
      <c r="AO3315" s="61"/>
    </row>
    <row r="3316" spans="1:41" s="61" customFormat="1" ht="31.5" x14ac:dyDescent="0.25">
      <c r="A3316" s="358"/>
      <c r="B3316" s="361"/>
      <c r="C3316" s="367"/>
      <c r="D3316" s="156" t="s">
        <v>97</v>
      </c>
      <c r="E3316" s="156" t="s">
        <v>363</v>
      </c>
      <c r="F3316" s="156" t="s">
        <v>363</v>
      </c>
      <c r="G3316" s="238">
        <f>MROUND(H3316*L3316*I3316/K3316,0.0000001)</f>
        <v>3.9869999999999999E-4</v>
      </c>
      <c r="H3316" s="158">
        <f>H3025</f>
        <v>0.5</v>
      </c>
      <c r="I3316" s="244">
        <f t="shared" si="704"/>
        <v>9.0899999999999995E-2</v>
      </c>
      <c r="J3316" s="160"/>
      <c r="K3316" s="161">
        <f>K3312</f>
        <v>114</v>
      </c>
      <c r="L3316" s="250">
        <v>1</v>
      </c>
      <c r="M3316" s="163" t="str">
        <f>CONCATENATE(H3316," ",F3316,"(обрабатываемая площадь в мес.)","*",L3316,"мес.","*",I3316,"/",K3316,"чел")</f>
        <v>0,5 га(обрабатываемая площадь в мес.)*1мес.*0,0909/114чел</v>
      </c>
      <c r="N3316" s="278">
        <f>N3025</f>
        <v>2965.98</v>
      </c>
      <c r="O3316" s="280">
        <f>MROUND(N3316*G3316,0.000001)</f>
        <v>1.182536</v>
      </c>
      <c r="P3316" s="166"/>
      <c r="Q3316" s="166">
        <f t="shared" si="702"/>
        <v>134.80910399999999</v>
      </c>
      <c r="R3316" s="71"/>
    </row>
    <row r="3317" spans="1:41" s="62" customFormat="1" x14ac:dyDescent="0.25">
      <c r="A3317" s="358"/>
      <c r="B3317" s="361"/>
      <c r="C3317" s="218" t="s">
        <v>294</v>
      </c>
      <c r="D3317" s="240"/>
      <c r="E3317" s="240"/>
      <c r="F3317" s="240"/>
      <c r="G3317" s="227"/>
      <c r="H3317" s="241"/>
      <c r="I3317" s="206"/>
      <c r="J3317" s="228"/>
      <c r="K3317" s="207"/>
      <c r="L3317" s="257"/>
      <c r="M3317" s="209"/>
      <c r="N3317" s="281"/>
      <c r="O3317" s="279">
        <f>SUM(O3311:O3316)</f>
        <v>40.479621999999992</v>
      </c>
      <c r="P3317" s="267"/>
      <c r="Q3317" s="166"/>
      <c r="R3317" s="71"/>
    </row>
    <row r="3318" spans="1:41" s="61" customFormat="1" ht="78.75" x14ac:dyDescent="0.25">
      <c r="A3318" s="358"/>
      <c r="B3318" s="361"/>
      <c r="C3318" s="366"/>
      <c r="D3318" s="156" t="s">
        <v>250</v>
      </c>
      <c r="E3318" s="156" t="s">
        <v>251</v>
      </c>
      <c r="F3318" s="156" t="s">
        <v>60</v>
      </c>
      <c r="G3318" s="238">
        <f>MROUND(H3318*L3318*I3318/K3318,0.00000001)</f>
        <v>9.5684199999999994E-3</v>
      </c>
      <c r="H3318" s="158">
        <v>1</v>
      </c>
      <c r="I3318" s="159">
        <f>I3316</f>
        <v>9.0899999999999995E-2</v>
      </c>
      <c r="J3318" s="160"/>
      <c r="K3318" s="161">
        <f>K3316</f>
        <v>114</v>
      </c>
      <c r="L3318" s="250">
        <v>12</v>
      </c>
      <c r="M3318" s="163" t="str">
        <f>CONCATENATE(H3318," ",F3318,"*",I3318,"/",K3318,"чел/час")</f>
        <v>1 шт.*0,0909/114чел/час</v>
      </c>
      <c r="N3318" s="278">
        <f t="shared" ref="N3318:N3323" si="705">N3027</f>
        <v>4360</v>
      </c>
      <c r="O3318" s="280">
        <f t="shared" ref="O3318:O3323" si="706">MROUND(N3318*G3318,0.000001)</f>
        <v>41.718311</v>
      </c>
      <c r="P3318" s="166"/>
      <c r="Q3318" s="166">
        <f t="shared" si="702"/>
        <v>4755.8874539999997</v>
      </c>
      <c r="R3318" s="71"/>
    </row>
    <row r="3319" spans="1:41" s="61" customFormat="1" ht="47.25" x14ac:dyDescent="0.25">
      <c r="A3319" s="358"/>
      <c r="B3319" s="361"/>
      <c r="C3319" s="366"/>
      <c r="D3319" s="156" t="s">
        <v>401</v>
      </c>
      <c r="E3319" s="156" t="s">
        <v>60</v>
      </c>
      <c r="F3319" s="156" t="s">
        <v>402</v>
      </c>
      <c r="G3319" s="238">
        <f t="shared" ref="G3319:G3329" si="707">MROUND(H3319*L3319*I3319/K3319,0.000001)</f>
        <v>0</v>
      </c>
      <c r="H3319" s="158">
        <f>H3028</f>
        <v>0</v>
      </c>
      <c r="I3319" s="159">
        <f>I3318</f>
        <v>9.0899999999999995E-2</v>
      </c>
      <c r="J3319" s="160"/>
      <c r="K3319" s="161">
        <f>K3318</f>
        <v>114</v>
      </c>
      <c r="L3319" s="250">
        <v>1</v>
      </c>
      <c r="M3319" s="163"/>
      <c r="N3319" s="278">
        <f t="shared" si="705"/>
        <v>0</v>
      </c>
      <c r="O3319" s="280">
        <f t="shared" si="706"/>
        <v>0</v>
      </c>
      <c r="P3319" s="166"/>
      <c r="Q3319" s="166">
        <f t="shared" si="702"/>
        <v>0</v>
      </c>
      <c r="R3319" s="71"/>
    </row>
    <row r="3320" spans="1:41" s="61" customFormat="1" ht="31.5" x14ac:dyDescent="0.25">
      <c r="A3320" s="358"/>
      <c r="B3320" s="361"/>
      <c r="C3320" s="366"/>
      <c r="D3320" s="156" t="s">
        <v>35</v>
      </c>
      <c r="E3320" s="156" t="s">
        <v>102</v>
      </c>
      <c r="F3320" s="156" t="s">
        <v>252</v>
      </c>
      <c r="G3320" s="238">
        <f>MROUND(H3320*L3320*I3320/K3320,0.00000001)</f>
        <v>7.9737000000000004E-4</v>
      </c>
      <c r="H3320" s="158">
        <v>1</v>
      </c>
      <c r="I3320" s="159">
        <f>I3319</f>
        <v>9.0899999999999995E-2</v>
      </c>
      <c r="J3320" s="160"/>
      <c r="K3320" s="161">
        <f>K3319</f>
        <v>114</v>
      </c>
      <c r="L3320" s="250">
        <v>1</v>
      </c>
      <c r="M3320" s="163"/>
      <c r="N3320" s="278">
        <f t="shared" si="705"/>
        <v>0</v>
      </c>
      <c r="O3320" s="280">
        <f t="shared" si="706"/>
        <v>0</v>
      </c>
      <c r="P3320" s="166"/>
      <c r="Q3320" s="166">
        <f t="shared" si="702"/>
        <v>0</v>
      </c>
      <c r="R3320" s="71"/>
    </row>
    <row r="3321" spans="1:41" s="61" customFormat="1" ht="31.5" x14ac:dyDescent="0.25">
      <c r="A3321" s="358"/>
      <c r="B3321" s="361"/>
      <c r="C3321" s="366"/>
      <c r="D3321" s="156" t="s">
        <v>99</v>
      </c>
      <c r="E3321" s="156" t="s">
        <v>103</v>
      </c>
      <c r="F3321" s="156" t="s">
        <v>225</v>
      </c>
      <c r="G3321" s="238">
        <f>MROUND(H3321*L3321*I3321/K3321,0.00000001)</f>
        <v>0</v>
      </c>
      <c r="H3321" s="158">
        <f>H3030</f>
        <v>0</v>
      </c>
      <c r="I3321" s="159">
        <f>I3320</f>
        <v>9.0899999999999995E-2</v>
      </c>
      <c r="J3321" s="160"/>
      <c r="K3321" s="161">
        <f>K3320</f>
        <v>114</v>
      </c>
      <c r="L3321" s="250">
        <v>1</v>
      </c>
      <c r="M3321" s="163"/>
      <c r="N3321" s="164">
        <f t="shared" si="705"/>
        <v>0</v>
      </c>
      <c r="O3321" s="165">
        <f>MROUND(G3321*N3321,0.000001)</f>
        <v>0</v>
      </c>
      <c r="P3321" s="166"/>
      <c r="Q3321" s="166">
        <f t="shared" si="702"/>
        <v>0</v>
      </c>
      <c r="R3321" s="71"/>
    </row>
    <row r="3322" spans="1:41" s="61" customFormat="1" x14ac:dyDescent="0.25">
      <c r="A3322" s="358"/>
      <c r="B3322" s="361"/>
      <c r="C3322" s="366"/>
      <c r="D3322" s="156" t="s">
        <v>27</v>
      </c>
      <c r="E3322" s="156" t="s">
        <v>28</v>
      </c>
      <c r="F3322" s="156" t="s">
        <v>28</v>
      </c>
      <c r="G3322" s="238">
        <f t="shared" si="707"/>
        <v>0</v>
      </c>
      <c r="H3322" s="160">
        <f>H3031</f>
        <v>0</v>
      </c>
      <c r="I3322" s="159">
        <f>I3320</f>
        <v>9.0899999999999995E-2</v>
      </c>
      <c r="J3322" s="160"/>
      <c r="K3322" s="161">
        <f>K3320</f>
        <v>114</v>
      </c>
      <c r="L3322" s="250">
        <v>1</v>
      </c>
      <c r="M3322" s="163"/>
      <c r="N3322" s="278">
        <f t="shared" si="705"/>
        <v>0</v>
      </c>
      <c r="O3322" s="280">
        <f t="shared" si="706"/>
        <v>0</v>
      </c>
      <c r="P3322" s="166"/>
      <c r="Q3322" s="166">
        <f t="shared" si="702"/>
        <v>0</v>
      </c>
      <c r="R3322" s="71"/>
    </row>
    <row r="3323" spans="1:41" s="61" customFormat="1" ht="31.5" x14ac:dyDescent="0.25">
      <c r="A3323" s="358"/>
      <c r="B3323" s="361"/>
      <c r="C3323" s="367"/>
      <c r="D3323" s="156" t="s">
        <v>104</v>
      </c>
      <c r="E3323" s="156" t="s">
        <v>105</v>
      </c>
      <c r="F3323" s="156" t="s">
        <v>226</v>
      </c>
      <c r="G3323" s="238">
        <f>MROUND(H3323*L3323*I3323/K3323,0.00000001)</f>
        <v>7.9737000000000004E-4</v>
      </c>
      <c r="H3323" s="160">
        <v>1</v>
      </c>
      <c r="I3323" s="159">
        <f>I3322</f>
        <v>9.0899999999999995E-2</v>
      </c>
      <c r="J3323" s="160"/>
      <c r="K3323" s="161">
        <f>K3322</f>
        <v>114</v>
      </c>
      <c r="L3323" s="250">
        <v>1</v>
      </c>
      <c r="M3323" s="163"/>
      <c r="N3323" s="278">
        <f t="shared" si="705"/>
        <v>0</v>
      </c>
      <c r="O3323" s="280">
        <f t="shared" si="706"/>
        <v>0</v>
      </c>
      <c r="P3323" s="166"/>
      <c r="Q3323" s="166">
        <f t="shared" si="702"/>
        <v>0</v>
      </c>
      <c r="R3323" s="71"/>
    </row>
    <row r="3324" spans="1:41" s="62" customFormat="1" x14ac:dyDescent="0.25">
      <c r="A3324" s="358"/>
      <c r="B3324" s="361"/>
      <c r="C3324" s="249" t="s">
        <v>292</v>
      </c>
      <c r="D3324" s="240"/>
      <c r="E3324" s="240"/>
      <c r="F3324" s="240"/>
      <c r="G3324" s="227"/>
      <c r="H3324" s="228"/>
      <c r="I3324" s="206"/>
      <c r="J3324" s="228"/>
      <c r="K3324" s="207"/>
      <c r="L3324" s="257"/>
      <c r="M3324" s="209"/>
      <c r="N3324" s="281"/>
      <c r="O3324" s="279">
        <f>SUM(O3318:O3323)</f>
        <v>41.718311</v>
      </c>
      <c r="P3324" s="267"/>
      <c r="Q3324" s="166"/>
      <c r="R3324" s="71"/>
    </row>
    <row r="3325" spans="1:41" s="61" customFormat="1" ht="31.5" x14ac:dyDescent="0.25">
      <c r="A3325" s="358"/>
      <c r="B3325" s="361"/>
      <c r="C3325" s="221" t="s">
        <v>79</v>
      </c>
      <c r="D3325" s="156" t="s">
        <v>37</v>
      </c>
      <c r="E3325" s="156" t="s">
        <v>61</v>
      </c>
      <c r="F3325" s="156" t="s">
        <v>254</v>
      </c>
      <c r="G3325" s="238">
        <f>MROUND(H3325*L3325*I3325/K3325,0.00000001)</f>
        <v>7.9737000000000004E-4</v>
      </c>
      <c r="H3325" s="158">
        <v>1</v>
      </c>
      <c r="I3325" s="159">
        <f>I3323</f>
        <v>9.0899999999999995E-2</v>
      </c>
      <c r="J3325" s="160"/>
      <c r="K3325" s="161">
        <f>K3323</f>
        <v>114</v>
      </c>
      <c r="L3325" s="250">
        <v>1</v>
      </c>
      <c r="M3325" s="163" t="str">
        <f>CONCATENATE(H3325," ",F3325,"*",I3325,"/",K3325,"чел/час")</f>
        <v>1 автобус*0,0909/114чел/час</v>
      </c>
      <c r="N3325" s="278">
        <f>N3034</f>
        <v>23352.160000000003</v>
      </c>
      <c r="O3325" s="280">
        <f>MROUND(N3325*G3325,0.000001)</f>
        <v>18.620311999999998</v>
      </c>
      <c r="P3325" s="166"/>
      <c r="Q3325" s="166">
        <f t="shared" si="702"/>
        <v>2122.7155679999996</v>
      </c>
      <c r="R3325" s="71"/>
    </row>
    <row r="3326" spans="1:41" s="61" customFormat="1" ht="31.5" x14ac:dyDescent="0.25">
      <c r="A3326" s="358"/>
      <c r="B3326" s="361"/>
      <c r="C3326" s="221"/>
      <c r="D3326" s="156" t="s">
        <v>262</v>
      </c>
      <c r="E3326" s="156" t="s">
        <v>440</v>
      </c>
      <c r="F3326" s="156" t="s">
        <v>441</v>
      </c>
      <c r="G3326" s="238">
        <f t="shared" si="707"/>
        <v>3.189E-3</v>
      </c>
      <c r="H3326" s="158">
        <f>$H$3035</f>
        <v>1</v>
      </c>
      <c r="I3326" s="159">
        <f>I3325</f>
        <v>9.0899999999999995E-2</v>
      </c>
      <c r="J3326" s="160"/>
      <c r="K3326" s="161">
        <f>K3325</f>
        <v>114</v>
      </c>
      <c r="L3326" s="250">
        <v>4</v>
      </c>
      <c r="M3326" s="163" t="str">
        <f>CONCATENATE(H3326," ",F3326,"*",L3326,"раза в год","*",I3326,"/",K3326,"чел/час")</f>
        <v>1 услуга*4раза в год*0,0909/114чел/час</v>
      </c>
      <c r="N3326" s="278">
        <f>N3035</f>
        <v>24661.25</v>
      </c>
      <c r="O3326" s="280">
        <f>MROUND(N3326*G3326,0.000001)</f>
        <v>78.644725999999991</v>
      </c>
      <c r="P3326" s="166"/>
      <c r="Q3326" s="166">
        <f t="shared" si="702"/>
        <v>8965.4987639999999</v>
      </c>
      <c r="R3326" s="71"/>
    </row>
    <row r="3327" spans="1:41" s="61" customFormat="1" x14ac:dyDescent="0.25">
      <c r="A3327" s="358"/>
      <c r="B3327" s="361"/>
      <c r="C3327" s="221"/>
      <c r="D3327" s="156" t="s">
        <v>255</v>
      </c>
      <c r="E3327" s="156" t="s">
        <v>28</v>
      </c>
      <c r="F3327" s="156" t="s">
        <v>28</v>
      </c>
      <c r="G3327" s="238">
        <f t="shared" si="707"/>
        <v>4.4652999999999998E-2</v>
      </c>
      <c r="H3327" s="158">
        <v>56</v>
      </c>
      <c r="I3327" s="159">
        <f>I3325</f>
        <v>9.0899999999999995E-2</v>
      </c>
      <c r="J3327" s="160"/>
      <c r="K3327" s="161">
        <f>K3325</f>
        <v>114</v>
      </c>
      <c r="L3327" s="250">
        <v>1</v>
      </c>
      <c r="M3327" s="163" t="str">
        <f>CONCATENATE(H3327," ",F3327,"*",L3327,"раза в год","*",I3327,"/",K3327,"чел/час")</f>
        <v>56 шт*1раза в год*0,0909/114чел/час</v>
      </c>
      <c r="N3327" s="278">
        <f>N3036</f>
        <v>743.53571428571433</v>
      </c>
      <c r="O3327" s="280">
        <f>MROUND(N3327*G3327,0.000001)</f>
        <v>33.201099999999997</v>
      </c>
      <c r="P3327" s="166"/>
      <c r="Q3327" s="166">
        <f t="shared" si="702"/>
        <v>3784.9253999999996</v>
      </c>
      <c r="R3327" s="71"/>
    </row>
    <row r="3328" spans="1:41" s="62" customFormat="1" x14ac:dyDescent="0.25">
      <c r="A3328" s="358"/>
      <c r="B3328" s="361"/>
      <c r="C3328" s="218" t="s">
        <v>295</v>
      </c>
      <c r="D3328" s="240"/>
      <c r="E3328" s="240"/>
      <c r="F3328" s="240"/>
      <c r="G3328" s="227"/>
      <c r="H3328" s="241"/>
      <c r="I3328" s="206"/>
      <c r="J3328" s="228"/>
      <c r="K3328" s="207"/>
      <c r="L3328" s="257"/>
      <c r="M3328" s="209"/>
      <c r="N3328" s="281"/>
      <c r="O3328" s="279">
        <f>O3325+O3326+O3327</f>
        <v>130.466138</v>
      </c>
      <c r="P3328" s="267"/>
      <c r="Q3328" s="166"/>
      <c r="R3328" s="71"/>
    </row>
    <row r="3329" spans="1:18" s="61" customFormat="1" x14ac:dyDescent="0.25">
      <c r="A3329" s="358"/>
      <c r="B3329" s="361"/>
      <c r="C3329" s="365" t="s">
        <v>80</v>
      </c>
      <c r="D3329" s="156" t="s">
        <v>38</v>
      </c>
      <c r="E3329" s="156" t="s">
        <v>57</v>
      </c>
      <c r="F3329" s="156" t="s">
        <v>228</v>
      </c>
      <c r="G3329" s="238">
        <f t="shared" si="707"/>
        <v>9.5680000000000001E-3</v>
      </c>
      <c r="H3329" s="158">
        <v>1</v>
      </c>
      <c r="I3329" s="159">
        <f>I3325</f>
        <v>9.0899999999999995E-2</v>
      </c>
      <c r="J3329" s="160"/>
      <c r="K3329" s="161">
        <f>K3325</f>
        <v>114</v>
      </c>
      <c r="L3329" s="250">
        <v>12</v>
      </c>
      <c r="M3329" s="163"/>
      <c r="N3329" s="278">
        <f t="shared" ref="N3329:N3345" si="708">N3038</f>
        <v>0</v>
      </c>
      <c r="O3329" s="280">
        <f t="shared" ref="O3329:O3345" si="709">MROUND(N3329*G3329,0.000001)</f>
        <v>0</v>
      </c>
      <c r="P3329" s="166"/>
      <c r="Q3329" s="166">
        <f t="shared" si="702"/>
        <v>0</v>
      </c>
      <c r="R3329" s="71"/>
    </row>
    <row r="3330" spans="1:18" s="61" customFormat="1" x14ac:dyDescent="0.25">
      <c r="A3330" s="358"/>
      <c r="B3330" s="361"/>
      <c r="C3330" s="366"/>
      <c r="D3330" s="156" t="s">
        <v>256</v>
      </c>
      <c r="E3330" s="156" t="s">
        <v>20</v>
      </c>
      <c r="F3330" s="156" t="s">
        <v>20</v>
      </c>
      <c r="G3330" s="238">
        <f>MROUND(H3330*L3330*I3330/K3330,0.00000001)</f>
        <v>1.9934210000000001E-2</v>
      </c>
      <c r="H3330" s="158">
        <f>H3039</f>
        <v>25</v>
      </c>
      <c r="I3330" s="159">
        <f>I3327</f>
        <v>9.0899999999999995E-2</v>
      </c>
      <c r="J3330" s="160"/>
      <c r="K3330" s="161">
        <f>K3327</f>
        <v>114</v>
      </c>
      <c r="L3330" s="250">
        <v>1</v>
      </c>
      <c r="M3330" s="163" t="str">
        <f t="shared" ref="M3330:M3335" si="710">CONCATENATE(H3330," ",F3330,"*",I3330,"/",K3330,"чел/час")</f>
        <v>25 чел.*0,0909/114чел/час</v>
      </c>
      <c r="N3330" s="278">
        <f t="shared" si="708"/>
        <v>1853</v>
      </c>
      <c r="O3330" s="280">
        <f t="shared" si="709"/>
        <v>36.938091</v>
      </c>
      <c r="P3330" s="166"/>
      <c r="Q3330" s="166">
        <f t="shared" si="702"/>
        <v>4210.9423740000002</v>
      </c>
      <c r="R3330" s="71"/>
    </row>
    <row r="3331" spans="1:18" s="61" customFormat="1" ht="63" x14ac:dyDescent="0.25">
      <c r="A3331" s="358"/>
      <c r="B3331" s="361"/>
      <c r="C3331" s="366"/>
      <c r="D3331" s="156" t="s">
        <v>39</v>
      </c>
      <c r="E3331" s="156" t="s">
        <v>20</v>
      </c>
      <c r="F3331" s="156" t="s">
        <v>234</v>
      </c>
      <c r="G3331" s="238">
        <f t="shared" ref="G3331:G3357" si="711">MROUND(H3331*L3331*I3331/K3331,0.000001)</f>
        <v>7.9699999999999997E-4</v>
      </c>
      <c r="H3331" s="158">
        <v>1</v>
      </c>
      <c r="I3331" s="159">
        <f>I3329</f>
        <v>9.0899999999999995E-2</v>
      </c>
      <c r="J3331" s="160"/>
      <c r="K3331" s="161">
        <f>K3329</f>
        <v>114</v>
      </c>
      <c r="L3331" s="250">
        <v>1</v>
      </c>
      <c r="M3331" s="163" t="str">
        <f t="shared" si="710"/>
        <v>1 чел(заявленная потребность руководителями учреждений)*0,0909/114чел/час</v>
      </c>
      <c r="N3331" s="278">
        <f t="shared" si="708"/>
        <v>763</v>
      </c>
      <c r="O3331" s="280">
        <f t="shared" si="709"/>
        <v>0.60811099999999996</v>
      </c>
      <c r="P3331" s="166"/>
      <c r="Q3331" s="166">
        <f t="shared" si="702"/>
        <v>69.324653999999995</v>
      </c>
      <c r="R3331" s="71"/>
    </row>
    <row r="3332" spans="1:18" s="61" customFormat="1" ht="63" x14ac:dyDescent="0.25">
      <c r="A3332" s="358"/>
      <c r="B3332" s="361"/>
      <c r="C3332" s="366"/>
      <c r="D3332" s="156" t="s">
        <v>40</v>
      </c>
      <c r="E3332" s="156" t="s">
        <v>20</v>
      </c>
      <c r="F3332" s="156" t="s">
        <v>234</v>
      </c>
      <c r="G3332" s="238">
        <f>MROUND(H3332*L3332*I3332/K3332,0.000001)</f>
        <v>7.9699999999999997E-4</v>
      </c>
      <c r="H3332" s="158">
        <v>1</v>
      </c>
      <c r="I3332" s="159">
        <f>I3330</f>
        <v>9.0899999999999995E-2</v>
      </c>
      <c r="J3332" s="160"/>
      <c r="K3332" s="161">
        <f>K3330</f>
        <v>114</v>
      </c>
      <c r="L3332" s="250">
        <v>1</v>
      </c>
      <c r="M3332" s="163" t="str">
        <f t="shared" si="710"/>
        <v>1 чел(заявленная потребность руководителями учреждений)*0,0909/114чел/час</v>
      </c>
      <c r="N3332" s="278">
        <f t="shared" si="708"/>
        <v>1635</v>
      </c>
      <c r="O3332" s="280">
        <f t="shared" si="709"/>
        <v>1.3030949999999999</v>
      </c>
      <c r="P3332" s="166"/>
      <c r="Q3332" s="166">
        <f t="shared" si="702"/>
        <v>148.55283</v>
      </c>
      <c r="R3332" s="71"/>
    </row>
    <row r="3333" spans="1:18" s="61" customFormat="1" ht="63" x14ac:dyDescent="0.25">
      <c r="A3333" s="358"/>
      <c r="B3333" s="361"/>
      <c r="C3333" s="366"/>
      <c r="D3333" s="156" t="s">
        <v>100</v>
      </c>
      <c r="E3333" s="156" t="s">
        <v>20</v>
      </c>
      <c r="F3333" s="156" t="s">
        <v>234</v>
      </c>
      <c r="G3333" s="238">
        <f>MROUND(H3333*L3333*I3333/K3333,0.00000001)</f>
        <v>7.9737000000000004E-4</v>
      </c>
      <c r="H3333" s="158">
        <v>1</v>
      </c>
      <c r="I3333" s="159">
        <f>I3331</f>
        <v>9.0899999999999995E-2</v>
      </c>
      <c r="J3333" s="160"/>
      <c r="K3333" s="161">
        <f>K3331</f>
        <v>114</v>
      </c>
      <c r="L3333" s="250">
        <v>1</v>
      </c>
      <c r="M3333" s="163" t="str">
        <f t="shared" si="710"/>
        <v>1 чел(заявленная потребность руководителями учреждений)*0,0909/114чел/час</v>
      </c>
      <c r="N3333" s="278">
        <f t="shared" si="708"/>
        <v>3488</v>
      </c>
      <c r="O3333" s="280">
        <f t="shared" si="709"/>
        <v>2.7812269999999999</v>
      </c>
      <c r="P3333" s="166"/>
      <c r="Q3333" s="166">
        <f t="shared" si="702"/>
        <v>317.05987799999997</v>
      </c>
      <c r="R3333" s="71"/>
    </row>
    <row r="3334" spans="1:18" s="61" customFormat="1" ht="110.25" x14ac:dyDescent="0.25">
      <c r="A3334" s="358"/>
      <c r="B3334" s="361"/>
      <c r="C3334" s="366"/>
      <c r="D3334" s="156" t="s">
        <v>235</v>
      </c>
      <c r="E3334" s="156" t="s">
        <v>50</v>
      </c>
      <c r="F3334" s="156" t="s">
        <v>230</v>
      </c>
      <c r="G3334" s="238">
        <f>MROUND(H3334*L3334*I3334/K3334,0.00000001)</f>
        <v>7.9737000000000004E-4</v>
      </c>
      <c r="H3334" s="158">
        <v>1</v>
      </c>
      <c r="I3334" s="159">
        <f>I3330</f>
        <v>9.0899999999999995E-2</v>
      </c>
      <c r="J3334" s="160"/>
      <c r="K3334" s="161">
        <f>K3330</f>
        <v>114</v>
      </c>
      <c r="L3334" s="250">
        <v>1</v>
      </c>
      <c r="M3334" s="163" t="str">
        <f t="shared" si="710"/>
        <v>1 отчетов*0,0909/114чел/час</v>
      </c>
      <c r="N3334" s="278">
        <f t="shared" si="708"/>
        <v>6540</v>
      </c>
      <c r="O3334" s="280">
        <f t="shared" si="709"/>
        <v>5.2147999999999994</v>
      </c>
      <c r="P3334" s="166"/>
      <c r="Q3334" s="166">
        <f t="shared" si="702"/>
        <v>594.48719999999992</v>
      </c>
      <c r="R3334" s="71"/>
    </row>
    <row r="3335" spans="1:18" s="61" customFormat="1" ht="63" x14ac:dyDescent="0.25">
      <c r="A3335" s="358"/>
      <c r="B3335" s="361"/>
      <c r="C3335" s="366"/>
      <c r="D3335" s="156" t="s">
        <v>42</v>
      </c>
      <c r="E3335" s="156" t="s">
        <v>51</v>
      </c>
      <c r="F3335" s="156" t="s">
        <v>407</v>
      </c>
      <c r="G3335" s="238">
        <f t="shared" si="711"/>
        <v>4.7840000000000001E-3</v>
      </c>
      <c r="H3335" s="158">
        <f>H3044</f>
        <v>6</v>
      </c>
      <c r="I3335" s="159">
        <f t="shared" ref="I3335:I3341" si="712">I3334</f>
        <v>9.0899999999999995E-2</v>
      </c>
      <c r="J3335" s="160"/>
      <c r="K3335" s="161">
        <f t="shared" ref="K3335:K3341" si="713">K3334</f>
        <v>114</v>
      </c>
      <c r="L3335" s="250">
        <v>1</v>
      </c>
      <c r="M3335" s="163" t="str">
        <f t="shared" si="710"/>
        <v>6 ед (заявленная потребность руководителями учреждений)*0,0909/114чел/час</v>
      </c>
      <c r="N3335" s="278">
        <f t="shared" si="708"/>
        <v>1090</v>
      </c>
      <c r="O3335" s="280">
        <f t="shared" si="709"/>
        <v>5.2145599999999996</v>
      </c>
      <c r="P3335" s="166"/>
      <c r="Q3335" s="166">
        <f t="shared" si="702"/>
        <v>594.45983999999999</v>
      </c>
      <c r="R3335" s="71"/>
    </row>
    <row r="3336" spans="1:18" s="61" customFormat="1" ht="31.5" x14ac:dyDescent="0.25">
      <c r="A3336" s="358"/>
      <c r="B3336" s="361"/>
      <c r="C3336" s="366"/>
      <c r="D3336" s="156" t="s">
        <v>263</v>
      </c>
      <c r="E3336" s="156" t="s">
        <v>264</v>
      </c>
      <c r="F3336" s="156" t="s">
        <v>265</v>
      </c>
      <c r="G3336" s="238">
        <f t="shared" si="711"/>
        <v>9.5680000000000001E-3</v>
      </c>
      <c r="H3336" s="158">
        <v>1</v>
      </c>
      <c r="I3336" s="159">
        <f t="shared" si="712"/>
        <v>9.0899999999999995E-2</v>
      </c>
      <c r="J3336" s="160"/>
      <c r="K3336" s="161">
        <f t="shared" si="713"/>
        <v>114</v>
      </c>
      <c r="L3336" s="250">
        <v>12</v>
      </c>
      <c r="M3336" s="163" t="str">
        <f>CONCATENATE(H3336," ",F3336,"*",L3336,"мес.","*",I3336,"/",K3336,"чел/час")</f>
        <v>1 мойка*12мес.*0,0909/114чел/час</v>
      </c>
      <c r="N3336" s="278">
        <f t="shared" si="708"/>
        <v>545</v>
      </c>
      <c r="O3336" s="280">
        <f t="shared" si="709"/>
        <v>5.2145599999999996</v>
      </c>
      <c r="P3336" s="166"/>
      <c r="Q3336" s="166">
        <f t="shared" si="702"/>
        <v>594.45983999999999</v>
      </c>
      <c r="R3336" s="71"/>
    </row>
    <row r="3337" spans="1:18" s="61" customFormat="1" ht="31.5" x14ac:dyDescent="0.25">
      <c r="A3337" s="358"/>
      <c r="B3337" s="361"/>
      <c r="C3337" s="366"/>
      <c r="D3337" s="156" t="s">
        <v>266</v>
      </c>
      <c r="E3337" s="156" t="s">
        <v>267</v>
      </c>
      <c r="F3337" s="156" t="s">
        <v>268</v>
      </c>
      <c r="G3337" s="238">
        <f t="shared" si="711"/>
        <v>0.19136799999999998</v>
      </c>
      <c r="H3337" s="158">
        <v>20</v>
      </c>
      <c r="I3337" s="159">
        <f t="shared" si="712"/>
        <v>9.0899999999999995E-2</v>
      </c>
      <c r="J3337" s="160"/>
      <c r="K3337" s="161">
        <f t="shared" si="713"/>
        <v>114</v>
      </c>
      <c r="L3337" s="250">
        <v>12</v>
      </c>
      <c r="M3337" s="163" t="str">
        <f>CONCATENATE(H3337," ",F3337,"*",L3337,"мес.","*",I3337,"/",K3337,"чел/час")</f>
        <v>20 комплектов в мес.*12мес.*0,0909/114чел/час</v>
      </c>
      <c r="N3337" s="278">
        <f t="shared" si="708"/>
        <v>490.5</v>
      </c>
      <c r="O3337" s="280">
        <f t="shared" si="709"/>
        <v>93.86600399999999</v>
      </c>
      <c r="P3337" s="166"/>
      <c r="Q3337" s="166">
        <f t="shared" si="702"/>
        <v>10700.724455999998</v>
      </c>
      <c r="R3337" s="71"/>
    </row>
    <row r="3338" spans="1:18" s="61" customFormat="1" ht="47.25" x14ac:dyDescent="0.25">
      <c r="A3338" s="358"/>
      <c r="B3338" s="361"/>
      <c r="C3338" s="366"/>
      <c r="D3338" s="156" t="s">
        <v>269</v>
      </c>
      <c r="E3338" s="156" t="s">
        <v>20</v>
      </c>
      <c r="F3338" s="156" t="s">
        <v>20</v>
      </c>
      <c r="G3338" s="238">
        <f>MROUND(H3338*L3338*I3338/K3338,0.00000001)</f>
        <v>3.9868400000000002E-3</v>
      </c>
      <c r="H3338" s="158">
        <f>$H$3047</f>
        <v>5</v>
      </c>
      <c r="I3338" s="159">
        <f t="shared" si="712"/>
        <v>9.0899999999999995E-2</v>
      </c>
      <c r="J3338" s="160"/>
      <c r="K3338" s="161">
        <f t="shared" si="713"/>
        <v>114</v>
      </c>
      <c r="L3338" s="250">
        <v>1</v>
      </c>
      <c r="M3338" s="163" t="str">
        <f>CONCATENATE(H3338," ",F3338,"*",I3338,"/",K3338,"чел/час")</f>
        <v>5 чел.*0,0909/114чел/час</v>
      </c>
      <c r="N3338" s="278">
        <f t="shared" si="708"/>
        <v>17576.25</v>
      </c>
      <c r="O3338" s="280">
        <f t="shared" si="709"/>
        <v>70.073696999999996</v>
      </c>
      <c r="P3338" s="166"/>
      <c r="Q3338" s="166">
        <f t="shared" si="702"/>
        <v>7988.4014579999994</v>
      </c>
      <c r="R3338" s="71"/>
    </row>
    <row r="3339" spans="1:18" s="61" customFormat="1" ht="31.5" x14ac:dyDescent="0.25">
      <c r="A3339" s="358"/>
      <c r="B3339" s="361"/>
      <c r="C3339" s="366"/>
      <c r="D3339" s="156" t="s">
        <v>376</v>
      </c>
      <c r="E3339" s="156" t="s">
        <v>55</v>
      </c>
      <c r="F3339" s="156" t="s">
        <v>55</v>
      </c>
      <c r="G3339" s="238">
        <f>MROUND(H3339*L3339*I3339/K3339,0.00000001)</f>
        <v>9.5684199999999994E-3</v>
      </c>
      <c r="H3339" s="158">
        <v>1</v>
      </c>
      <c r="I3339" s="159">
        <f t="shared" si="712"/>
        <v>9.0899999999999995E-2</v>
      </c>
      <c r="J3339" s="160"/>
      <c r="K3339" s="161">
        <f t="shared" si="713"/>
        <v>114</v>
      </c>
      <c r="L3339" s="250">
        <v>12</v>
      </c>
      <c r="M3339" s="163" t="str">
        <f>CONCATENATE(H3339," ",F3339,"*",L3339,"мес.","*",I3339,"/",K3339,"чел/час")</f>
        <v>1 система*12мес.*0,0909/114чел/час</v>
      </c>
      <c r="N3339" s="278">
        <f t="shared" si="708"/>
        <v>17713.59</v>
      </c>
      <c r="O3339" s="280">
        <f t="shared" si="709"/>
        <v>169.49106899999998</v>
      </c>
      <c r="P3339" s="166"/>
      <c r="Q3339" s="166">
        <f t="shared" si="702"/>
        <v>19321.981865999998</v>
      </c>
      <c r="R3339" s="71"/>
    </row>
    <row r="3340" spans="1:18" s="61" customFormat="1" ht="31.5" x14ac:dyDescent="0.25">
      <c r="A3340" s="358"/>
      <c r="B3340" s="361"/>
      <c r="C3340" s="366"/>
      <c r="D3340" s="156" t="s">
        <v>270</v>
      </c>
      <c r="E3340" s="156" t="s">
        <v>60</v>
      </c>
      <c r="F3340" s="156" t="s">
        <v>60</v>
      </c>
      <c r="G3340" s="238">
        <f t="shared" si="711"/>
        <v>1.3554999999999999E-2</v>
      </c>
      <c r="H3340" s="158">
        <f>H3049</f>
        <v>17</v>
      </c>
      <c r="I3340" s="159">
        <f t="shared" si="712"/>
        <v>9.0899999999999995E-2</v>
      </c>
      <c r="J3340" s="160"/>
      <c r="K3340" s="161">
        <f t="shared" si="713"/>
        <v>114</v>
      </c>
      <c r="L3340" s="250">
        <v>1</v>
      </c>
      <c r="M3340" s="163" t="str">
        <f>CONCATENATE(H3340," ",F3340,"*",I3340,"/",K3340,"чел/час")</f>
        <v>17 шт.*0,0909/114чел/час</v>
      </c>
      <c r="N3340" s="278">
        <f t="shared" si="708"/>
        <v>7935.2000000000016</v>
      </c>
      <c r="O3340" s="280">
        <f t="shared" si="709"/>
        <v>107.56163599999999</v>
      </c>
      <c r="P3340" s="166"/>
      <c r="Q3340" s="166">
        <f t="shared" si="702"/>
        <v>12262.026503999999</v>
      </c>
      <c r="R3340" s="71"/>
    </row>
    <row r="3341" spans="1:18" s="61" customFormat="1" ht="31.5" x14ac:dyDescent="0.25">
      <c r="A3341" s="358"/>
      <c r="B3341" s="361"/>
      <c r="C3341" s="366"/>
      <c r="D3341" s="156" t="s">
        <v>408</v>
      </c>
      <c r="E3341" s="156" t="s">
        <v>20</v>
      </c>
      <c r="F3341" s="156" t="s">
        <v>20</v>
      </c>
      <c r="G3341" s="238">
        <f>MROUND(H3341*L3341*I3341/K3341,0.00000001)</f>
        <v>4.7842099999999997E-3</v>
      </c>
      <c r="H3341" s="158">
        <f>$H$3050</f>
        <v>6</v>
      </c>
      <c r="I3341" s="159">
        <f t="shared" si="712"/>
        <v>9.0899999999999995E-2</v>
      </c>
      <c r="J3341" s="160"/>
      <c r="K3341" s="161">
        <f t="shared" si="713"/>
        <v>114</v>
      </c>
      <c r="L3341" s="250">
        <v>1</v>
      </c>
      <c r="M3341" s="163" t="str">
        <f>CONCATENATE(H3341," ",F3341,"*",I3341,"/",K3341,"чел/час")</f>
        <v>6 чел.*0,0909/114чел/час</v>
      </c>
      <c r="N3341" s="278">
        <f t="shared" si="708"/>
        <v>545</v>
      </c>
      <c r="O3341" s="280">
        <f t="shared" si="709"/>
        <v>2.6073939999999998</v>
      </c>
      <c r="P3341" s="166"/>
      <c r="Q3341" s="166">
        <f t="shared" si="702"/>
        <v>297.24291599999998</v>
      </c>
      <c r="R3341" s="71"/>
    </row>
    <row r="3342" spans="1:18" s="61" customFormat="1" ht="63" x14ac:dyDescent="0.25">
      <c r="A3342" s="358"/>
      <c r="B3342" s="361"/>
      <c r="C3342" s="366"/>
      <c r="D3342" s="156" t="s">
        <v>45</v>
      </c>
      <c r="E3342" s="156" t="s">
        <v>53</v>
      </c>
      <c r="F3342" s="156" t="s">
        <v>257</v>
      </c>
      <c r="G3342" s="238">
        <f t="shared" si="711"/>
        <v>9.5680000000000001E-3</v>
      </c>
      <c r="H3342" s="158">
        <v>1</v>
      </c>
      <c r="I3342" s="159">
        <f>I3340</f>
        <v>9.0899999999999995E-2</v>
      </c>
      <c r="J3342" s="160"/>
      <c r="K3342" s="161">
        <f>K3340</f>
        <v>114</v>
      </c>
      <c r="L3342" s="250">
        <v>12</v>
      </c>
      <c r="M3342" s="163" t="str">
        <f>CONCATENATE(H3342," ",F3342,"*",L3342,"мес.","*",I3342,"/",K3342,"чел")</f>
        <v>1  машина, оборудованная системой ГЛОНАСС*12мес.*0,0909/114чел</v>
      </c>
      <c r="N3342" s="278">
        <f t="shared" si="708"/>
        <v>880.71999999999991</v>
      </c>
      <c r="O3342" s="280">
        <f t="shared" si="709"/>
        <v>8.4267289999999999</v>
      </c>
      <c r="P3342" s="166"/>
      <c r="Q3342" s="166">
        <f t="shared" si="702"/>
        <v>960.64710600000001</v>
      </c>
      <c r="R3342" s="71"/>
    </row>
    <row r="3343" spans="1:18" s="61" customFormat="1" ht="47.25" x14ac:dyDescent="0.25">
      <c r="A3343" s="358"/>
      <c r="B3343" s="361"/>
      <c r="C3343" s="366"/>
      <c r="D3343" s="156" t="s">
        <v>271</v>
      </c>
      <c r="E3343" s="156" t="s">
        <v>85</v>
      </c>
      <c r="F3343" s="156" t="s">
        <v>232</v>
      </c>
      <c r="G3343" s="238">
        <f t="shared" si="711"/>
        <v>0.24239999999999998</v>
      </c>
      <c r="H3343" s="158">
        <f>H3052</f>
        <v>304</v>
      </c>
      <c r="I3343" s="159">
        <f>I3341</f>
        <v>9.0899999999999995E-2</v>
      </c>
      <c r="J3343" s="160"/>
      <c r="K3343" s="161">
        <f>K3341</f>
        <v>114</v>
      </c>
      <c r="L3343" s="250">
        <v>1</v>
      </c>
      <c r="M3343" s="163" t="str">
        <f>CONCATENATE(H3343," ",F3343,"*",L3343,"мес.","*",I3343,"/",K3343,"чел")</f>
        <v>304 мед.осмотров в мес.*1мес.*0,0909/114чел</v>
      </c>
      <c r="N3343" s="278">
        <f t="shared" si="708"/>
        <v>56.680000000000007</v>
      </c>
      <c r="O3343" s="280">
        <f t="shared" si="709"/>
        <v>13.739231999999999</v>
      </c>
      <c r="P3343" s="166"/>
      <c r="Q3343" s="166">
        <f t="shared" si="702"/>
        <v>1566.2724479999999</v>
      </c>
      <c r="R3343" s="71"/>
    </row>
    <row r="3344" spans="1:18" s="61" customFormat="1" x14ac:dyDescent="0.25">
      <c r="A3344" s="358"/>
      <c r="B3344" s="361"/>
      <c r="C3344" s="366"/>
      <c r="D3344" s="156" t="s">
        <v>373</v>
      </c>
      <c r="E3344" s="156" t="s">
        <v>28</v>
      </c>
      <c r="F3344" s="156" t="s">
        <v>28</v>
      </c>
      <c r="G3344" s="238">
        <f t="shared" si="711"/>
        <v>7.9699999999999997E-4</v>
      </c>
      <c r="H3344" s="158">
        <f>H3053</f>
        <v>1</v>
      </c>
      <c r="I3344" s="159">
        <f>I3343</f>
        <v>9.0899999999999995E-2</v>
      </c>
      <c r="J3344" s="160"/>
      <c r="K3344" s="161">
        <f>K3343</f>
        <v>114</v>
      </c>
      <c r="L3344" s="250">
        <v>1</v>
      </c>
      <c r="M3344" s="163" t="str">
        <f>CONCATENATE(H3344," ",F3344,"*",L3344,"мес.","*",I3344,"/",K3344,"чел")</f>
        <v>1 шт*1мес.*0,0909/114чел</v>
      </c>
      <c r="N3344" s="278">
        <f t="shared" si="708"/>
        <v>24000</v>
      </c>
      <c r="O3344" s="280">
        <f t="shared" si="709"/>
        <v>19.128</v>
      </c>
      <c r="P3344" s="166"/>
      <c r="Q3344" s="166">
        <f t="shared" si="702"/>
        <v>2180.5920000000001</v>
      </c>
      <c r="R3344" s="71"/>
    </row>
    <row r="3345" spans="1:18" s="61" customFormat="1" ht="31.5" x14ac:dyDescent="0.25">
      <c r="A3345" s="358"/>
      <c r="B3345" s="361"/>
      <c r="C3345" s="367"/>
      <c r="D3345" s="156" t="s">
        <v>43</v>
      </c>
      <c r="E3345" s="156" t="s">
        <v>52</v>
      </c>
      <c r="F3345" s="156" t="s">
        <v>231</v>
      </c>
      <c r="G3345" s="238">
        <f t="shared" si="711"/>
        <v>7.9699999999999997E-4</v>
      </c>
      <c r="H3345" s="158">
        <v>1</v>
      </c>
      <c r="I3345" s="159">
        <f>I3335</f>
        <v>9.0899999999999995E-2</v>
      </c>
      <c r="J3345" s="160"/>
      <c r="K3345" s="161">
        <f>K3335</f>
        <v>114</v>
      </c>
      <c r="L3345" s="250">
        <v>1</v>
      </c>
      <c r="M3345" s="163" t="str">
        <f>CONCATENATE(H3345," ",F3345,"*",I3345,"/",K3345,"чел/час")</f>
        <v>1 ЭЦП*0,0909/114чел/час</v>
      </c>
      <c r="N3345" s="278">
        <f t="shared" si="708"/>
        <v>7743.3600000000006</v>
      </c>
      <c r="O3345" s="280">
        <f t="shared" si="709"/>
        <v>6.1714579999999994</v>
      </c>
      <c r="P3345" s="166"/>
      <c r="Q3345" s="166">
        <f t="shared" si="702"/>
        <v>703.54621199999997</v>
      </c>
      <c r="R3345" s="71"/>
    </row>
    <row r="3346" spans="1:18" s="62" customFormat="1" x14ac:dyDescent="0.25">
      <c r="A3346" s="358"/>
      <c r="B3346" s="361"/>
      <c r="C3346" s="245" t="s">
        <v>296</v>
      </c>
      <c r="D3346" s="240"/>
      <c r="E3346" s="240"/>
      <c r="F3346" s="240"/>
      <c r="G3346" s="227"/>
      <c r="H3346" s="241"/>
      <c r="I3346" s="206"/>
      <c r="J3346" s="228"/>
      <c r="K3346" s="207"/>
      <c r="L3346" s="257"/>
      <c r="M3346" s="209"/>
      <c r="N3346" s="281"/>
      <c r="O3346" s="279">
        <f>SUM(O3329:O3345)</f>
        <v>548.33966300000009</v>
      </c>
      <c r="P3346" s="267"/>
      <c r="Q3346" s="166"/>
      <c r="R3346" s="71"/>
    </row>
    <row r="3347" spans="1:18" s="61" customFormat="1" ht="31.5" x14ac:dyDescent="0.25">
      <c r="A3347" s="358"/>
      <c r="B3347" s="361"/>
      <c r="C3347" s="252" t="s">
        <v>237</v>
      </c>
      <c r="D3347" s="156" t="s">
        <v>41</v>
      </c>
      <c r="E3347" s="156" t="s">
        <v>61</v>
      </c>
      <c r="F3347" s="156" t="s">
        <v>254</v>
      </c>
      <c r="G3347" s="238">
        <f>MROUND(H3347*L3347*I3347/K3347,0.00000001)</f>
        <v>7.9737000000000004E-4</v>
      </c>
      <c r="H3347" s="158">
        <v>1</v>
      </c>
      <c r="I3347" s="159">
        <f>I3345</f>
        <v>9.0899999999999995E-2</v>
      </c>
      <c r="J3347" s="160"/>
      <c r="K3347" s="161">
        <f>K3345</f>
        <v>114</v>
      </c>
      <c r="L3347" s="250">
        <v>1</v>
      </c>
      <c r="M3347" s="163" t="str">
        <f>CONCATENATE(H3347," ",F3347,"*",I3347,"/",K3347,"чел/час")</f>
        <v>1 автобус*0,0909/114чел/час</v>
      </c>
      <c r="N3347" s="278">
        <f>N3056</f>
        <v>25724</v>
      </c>
      <c r="O3347" s="280">
        <f>MROUND(N3347*G3347,0.000001)</f>
        <v>20.511545999999999</v>
      </c>
      <c r="P3347" s="166"/>
      <c r="Q3347" s="166">
        <f t="shared" si="702"/>
        <v>2338.3162440000001</v>
      </c>
      <c r="R3347" s="71"/>
    </row>
    <row r="3348" spans="1:18" s="62" customFormat="1" x14ac:dyDescent="0.25">
      <c r="A3348" s="358"/>
      <c r="B3348" s="361"/>
      <c r="C3348" s="245" t="s">
        <v>297</v>
      </c>
      <c r="D3348" s="240"/>
      <c r="E3348" s="240"/>
      <c r="F3348" s="240"/>
      <c r="G3348" s="227"/>
      <c r="H3348" s="241"/>
      <c r="I3348" s="206"/>
      <c r="J3348" s="228"/>
      <c r="K3348" s="207"/>
      <c r="L3348" s="257"/>
      <c r="M3348" s="209"/>
      <c r="N3348" s="281"/>
      <c r="O3348" s="279">
        <f>O3347</f>
        <v>20.511545999999999</v>
      </c>
      <c r="P3348" s="267"/>
      <c r="Q3348" s="166"/>
      <c r="R3348" s="71"/>
    </row>
    <row r="3349" spans="1:18" s="61" customFormat="1" ht="78.75" x14ac:dyDescent="0.25">
      <c r="A3349" s="358"/>
      <c r="B3349" s="361"/>
      <c r="C3349" s="221" t="s">
        <v>236</v>
      </c>
      <c r="D3349" s="156" t="s">
        <v>19</v>
      </c>
      <c r="E3349" s="181" t="s">
        <v>20</v>
      </c>
      <c r="F3349" s="181" t="s">
        <v>238</v>
      </c>
      <c r="G3349" s="238">
        <f t="shared" si="711"/>
        <v>0</v>
      </c>
      <c r="H3349" s="158"/>
      <c r="I3349" s="159">
        <f>I3347</f>
        <v>9.0899999999999995E-2</v>
      </c>
      <c r="J3349" s="160"/>
      <c r="K3349" s="161">
        <f>K3347</f>
        <v>114</v>
      </c>
      <c r="L3349" s="250"/>
      <c r="M3349" s="163"/>
      <c r="N3349" s="278"/>
      <c r="O3349" s="280">
        <f>MROUND(N3349*G3349,0.000001)</f>
        <v>0</v>
      </c>
      <c r="P3349" s="166"/>
      <c r="Q3349" s="166">
        <f t="shared" si="702"/>
        <v>0</v>
      </c>
      <c r="R3349" s="71"/>
    </row>
    <row r="3350" spans="1:18" s="62" customFormat="1" x14ac:dyDescent="0.25">
      <c r="A3350" s="358"/>
      <c r="B3350" s="361"/>
      <c r="C3350" s="245" t="s">
        <v>298</v>
      </c>
      <c r="D3350" s="240"/>
      <c r="E3350" s="253"/>
      <c r="F3350" s="253"/>
      <c r="G3350" s="227"/>
      <c r="H3350" s="241"/>
      <c r="I3350" s="206"/>
      <c r="J3350" s="228"/>
      <c r="K3350" s="207"/>
      <c r="L3350" s="257"/>
      <c r="M3350" s="209"/>
      <c r="N3350" s="281"/>
      <c r="O3350" s="279">
        <f>O3349</f>
        <v>0</v>
      </c>
      <c r="P3350" s="267"/>
      <c r="Q3350" s="166"/>
      <c r="R3350" s="71"/>
    </row>
    <row r="3351" spans="1:18" s="61" customFormat="1" x14ac:dyDescent="0.25">
      <c r="A3351" s="358"/>
      <c r="B3351" s="361"/>
      <c r="C3351" s="365" t="s">
        <v>81</v>
      </c>
      <c r="D3351" s="156" t="s">
        <v>427</v>
      </c>
      <c r="E3351" s="156" t="s">
        <v>28</v>
      </c>
      <c r="F3351" s="156" t="s">
        <v>28</v>
      </c>
      <c r="G3351" s="238">
        <f>MROUND(H3351*L3351*I3351/K3351,0.00000001)</f>
        <v>1.5947400000000001E-3</v>
      </c>
      <c r="H3351" s="158">
        <f>$H$3060</f>
        <v>2</v>
      </c>
      <c r="I3351" s="159">
        <f>I3347</f>
        <v>9.0899999999999995E-2</v>
      </c>
      <c r="J3351" s="160"/>
      <c r="K3351" s="161">
        <f>K3347</f>
        <v>114</v>
      </c>
      <c r="L3351" s="250">
        <v>1</v>
      </c>
      <c r="M3351" s="163" t="str">
        <f>CONCATENATE(H3351," ",F3351,"*",I3351,"/",K3351,"чел/час")</f>
        <v>2 шт*0,0909/114чел/час</v>
      </c>
      <c r="N3351" s="278">
        <f>$N$3060</f>
        <v>10000</v>
      </c>
      <c r="O3351" s="280">
        <f>MROUND(N3351*G3351,0.000001)</f>
        <v>15.9474</v>
      </c>
      <c r="P3351" s="166"/>
      <c r="Q3351" s="166">
        <f t="shared" ref="Q3351:Q3355" si="714">O3351*K3351</f>
        <v>1818.0036</v>
      </c>
      <c r="R3351" s="71"/>
    </row>
    <row r="3352" spans="1:18" s="61" customFormat="1" x14ac:dyDescent="0.25">
      <c r="A3352" s="358"/>
      <c r="B3352" s="361"/>
      <c r="C3352" s="366"/>
      <c r="D3352" s="156" t="s">
        <v>428</v>
      </c>
      <c r="E3352" s="156" t="s">
        <v>28</v>
      </c>
      <c r="F3352" s="156" t="s">
        <v>28</v>
      </c>
      <c r="G3352" s="238">
        <f>MROUND(H3352*L3352*I3352/K3352,0.00000001)</f>
        <v>1.5947400000000001E-3</v>
      </c>
      <c r="H3352" s="158">
        <f>$H$3061</f>
        <v>2</v>
      </c>
      <c r="I3352" s="159">
        <f>I3351</f>
        <v>9.0899999999999995E-2</v>
      </c>
      <c r="J3352" s="160"/>
      <c r="K3352" s="161">
        <f>K3351</f>
        <v>114</v>
      </c>
      <c r="L3352" s="250">
        <v>1</v>
      </c>
      <c r="M3352" s="163" t="str">
        <f>CONCATENATE(H3352," ",F3352,"*",I3352,"/",K3352,"чел/час")</f>
        <v>2 шт*0,0909/114чел/час</v>
      </c>
      <c r="N3352" s="278">
        <f>$N$3061</f>
        <v>6000</v>
      </c>
      <c r="O3352" s="280">
        <f>MROUND(N3352*G3352,0.000001)</f>
        <v>9.5684399999999989</v>
      </c>
      <c r="P3352" s="166"/>
      <c r="Q3352" s="166">
        <f t="shared" si="714"/>
        <v>1090.80216</v>
      </c>
      <c r="R3352" s="71"/>
    </row>
    <row r="3353" spans="1:18" s="61" customFormat="1" x14ac:dyDescent="0.25">
      <c r="A3353" s="358"/>
      <c r="B3353" s="361"/>
      <c r="C3353" s="366"/>
      <c r="D3353" s="156" t="s">
        <v>110</v>
      </c>
      <c r="E3353" s="156" t="s">
        <v>28</v>
      </c>
      <c r="F3353" s="156" t="s">
        <v>28</v>
      </c>
      <c r="G3353" s="238">
        <f>MROUND(H3353*L3353*I3353/K3353,0.00000001)</f>
        <v>7.9737000000000004E-4</v>
      </c>
      <c r="H3353" s="158">
        <f>$H$3062</f>
        <v>1</v>
      </c>
      <c r="I3353" s="159">
        <f t="shared" ref="I3353:I3354" si="715">I3352</f>
        <v>9.0899999999999995E-2</v>
      </c>
      <c r="J3353" s="160"/>
      <c r="K3353" s="161">
        <f t="shared" ref="K3353:K3354" si="716">K3352</f>
        <v>114</v>
      </c>
      <c r="L3353" s="250">
        <v>1</v>
      </c>
      <c r="M3353" s="163" t="str">
        <f>CONCATENATE(H3353," ",F3353,"*",I3353,"/",K3353,"чел/час")</f>
        <v>1 шт*0,0909/114чел/час</v>
      </c>
      <c r="N3353" s="278">
        <f>$N$3062</f>
        <v>40000</v>
      </c>
      <c r="O3353" s="280">
        <f>MROUND(N3353*G3353,0.000001)</f>
        <v>31.8948</v>
      </c>
      <c r="P3353" s="166"/>
      <c r="Q3353" s="166">
        <f t="shared" si="714"/>
        <v>3636.0072</v>
      </c>
      <c r="R3353" s="71"/>
    </row>
    <row r="3354" spans="1:18" s="61" customFormat="1" x14ac:dyDescent="0.25">
      <c r="A3354" s="358"/>
      <c r="B3354" s="361"/>
      <c r="C3354" s="366"/>
      <c r="D3354" s="156" t="s">
        <v>111</v>
      </c>
      <c r="E3354" s="156" t="s">
        <v>28</v>
      </c>
      <c r="F3354" s="156" t="s">
        <v>28</v>
      </c>
      <c r="G3354" s="238">
        <f>MROUND(H3354*L3354*I3354/K3354,0.00000001)</f>
        <v>2.3921100000000002E-3</v>
      </c>
      <c r="H3354" s="158">
        <f>$H$3063</f>
        <v>3</v>
      </c>
      <c r="I3354" s="159">
        <f t="shared" si="715"/>
        <v>9.0899999999999995E-2</v>
      </c>
      <c r="J3354" s="160"/>
      <c r="K3354" s="161">
        <f t="shared" si="716"/>
        <v>114</v>
      </c>
      <c r="L3354" s="250">
        <v>1</v>
      </c>
      <c r="M3354" s="163" t="str">
        <f>CONCATENATE(H3354," ",F3354,"*",I3354,"/",K3354,"чел/час")</f>
        <v>3 шт*0,0909/114чел/час</v>
      </c>
      <c r="N3354" s="278">
        <f>$N$3063</f>
        <v>50000</v>
      </c>
      <c r="O3354" s="280">
        <f>MROUND(N3354*G3354,0.000001)</f>
        <v>119.60549999999999</v>
      </c>
      <c r="P3354" s="166"/>
      <c r="Q3354" s="166">
        <f t="shared" si="714"/>
        <v>13635.026999999998</v>
      </c>
      <c r="R3354" s="71"/>
    </row>
    <row r="3355" spans="1:18" s="61" customFormat="1" x14ac:dyDescent="0.25">
      <c r="A3355" s="358"/>
      <c r="B3355" s="361"/>
      <c r="C3355" s="367"/>
      <c r="D3355" s="156" t="s">
        <v>438</v>
      </c>
      <c r="E3355" s="156" t="s">
        <v>28</v>
      </c>
      <c r="F3355" s="156" t="s">
        <v>28</v>
      </c>
      <c r="G3355" s="238">
        <f>MROUND(H3355*L3355*I3355/K3355,0.00000001)</f>
        <v>1.5947400000000001E-3</v>
      </c>
      <c r="H3355" s="158">
        <f>$H$3064</f>
        <v>2</v>
      </c>
      <c r="I3355" s="159">
        <f>I3349</f>
        <v>9.0899999999999995E-2</v>
      </c>
      <c r="J3355" s="160"/>
      <c r="K3355" s="161">
        <f>K3349</f>
        <v>114</v>
      </c>
      <c r="L3355" s="250">
        <v>1</v>
      </c>
      <c r="M3355" s="163" t="str">
        <f>CONCATENATE(H3355," ",F3355,"*",I3355,"/",K3355,"чел/час")</f>
        <v>2 шт*0,0909/114чел/час</v>
      </c>
      <c r="N3355" s="278">
        <f>$N$3064</f>
        <v>55000</v>
      </c>
      <c r="O3355" s="280">
        <f>MROUND(N3355*G3355,0.000001)</f>
        <v>87.710700000000003</v>
      </c>
      <c r="P3355" s="166"/>
      <c r="Q3355" s="166">
        <f t="shared" si="714"/>
        <v>9999.0198</v>
      </c>
      <c r="R3355" s="71"/>
    </row>
    <row r="3356" spans="1:18" s="62" customFormat="1" x14ac:dyDescent="0.25">
      <c r="A3356" s="358"/>
      <c r="B3356" s="361"/>
      <c r="C3356" s="245" t="s">
        <v>299</v>
      </c>
      <c r="D3356" s="240"/>
      <c r="E3356" s="240"/>
      <c r="F3356" s="240"/>
      <c r="G3356" s="227"/>
      <c r="H3356" s="241"/>
      <c r="I3356" s="206"/>
      <c r="J3356" s="228"/>
      <c r="K3356" s="207"/>
      <c r="L3356" s="257"/>
      <c r="M3356" s="209"/>
      <c r="N3356" s="281"/>
      <c r="O3356" s="279">
        <f>SUM(O3351:O3355)</f>
        <v>264.72684000000004</v>
      </c>
      <c r="P3356" s="267"/>
      <c r="Q3356" s="166"/>
      <c r="R3356" s="71"/>
    </row>
    <row r="3357" spans="1:18" s="61" customFormat="1" ht="110.25" x14ac:dyDescent="0.25">
      <c r="A3357" s="358"/>
      <c r="B3357" s="361"/>
      <c r="C3357" s="221" t="s">
        <v>82</v>
      </c>
      <c r="D3357" s="156" t="s">
        <v>46</v>
      </c>
      <c r="E3357" s="156" t="s">
        <v>54</v>
      </c>
      <c r="F3357" s="156" t="s">
        <v>285</v>
      </c>
      <c r="G3357" s="238">
        <f t="shared" si="711"/>
        <v>2.0332889999999999</v>
      </c>
      <c r="H3357" s="242">
        <f>H3066</f>
        <v>231.81818181818178</v>
      </c>
      <c r="I3357" s="159">
        <f>I3349</f>
        <v>9.0899999999999995E-2</v>
      </c>
      <c r="J3357" s="160"/>
      <c r="K3357" s="161">
        <f>K3349</f>
        <v>114</v>
      </c>
      <c r="L3357" s="250">
        <v>11</v>
      </c>
      <c r="M3357" s="163" t="str">
        <f>CONCATENATE(H3357," ",F3357,"*",L3357,"автобус","*",I3357,"/",K3357,"чел/час")</f>
        <v>231,818181818182 л бензина АИ 92 (12,5л/день(зимой)*20дней*7мес+10л/день(летом)*20дней*4мес)*11автобус*0,0909/114чел/час</v>
      </c>
      <c r="N3357" s="278">
        <f>N3066</f>
        <v>54.500000000000007</v>
      </c>
      <c r="O3357" s="280">
        <f>MROUND(N3357*G3357,0.000001)</f>
        <v>110.814251</v>
      </c>
      <c r="P3357" s="166"/>
      <c r="Q3357" s="166">
        <f>O3357*K3357</f>
        <v>12632.824613999999</v>
      </c>
      <c r="R3357" s="71"/>
    </row>
    <row r="3358" spans="1:18" s="62" customFormat="1" x14ac:dyDescent="0.25">
      <c r="A3358" s="358"/>
      <c r="B3358" s="361"/>
      <c r="C3358" s="218" t="s">
        <v>300</v>
      </c>
      <c r="D3358" s="240"/>
      <c r="E3358" s="240"/>
      <c r="F3358" s="240"/>
      <c r="G3358" s="227"/>
      <c r="H3358" s="241"/>
      <c r="I3358" s="206"/>
      <c r="J3358" s="228"/>
      <c r="K3358" s="207"/>
      <c r="L3358" s="257"/>
      <c r="M3358" s="209"/>
      <c r="N3358" s="281"/>
      <c r="O3358" s="279">
        <f>O3357</f>
        <v>110.814251</v>
      </c>
      <c r="P3358" s="267"/>
      <c r="Q3358" s="166"/>
      <c r="R3358" s="71"/>
    </row>
    <row r="3359" spans="1:18" s="61" customFormat="1" ht="47.25" x14ac:dyDescent="0.25">
      <c r="A3359" s="358"/>
      <c r="B3359" s="361"/>
      <c r="C3359" s="365" t="s">
        <v>118</v>
      </c>
      <c r="D3359" s="156" t="s">
        <v>47</v>
      </c>
      <c r="E3359" s="156" t="s">
        <v>28</v>
      </c>
      <c r="F3359" s="156" t="s">
        <v>239</v>
      </c>
      <c r="G3359" s="238">
        <f>MROUND(H3359*L3359*I3359/K3359,0.000001)</f>
        <v>0</v>
      </c>
      <c r="H3359" s="158">
        <f>H3068</f>
        <v>0</v>
      </c>
      <c r="I3359" s="159">
        <f>I3357</f>
        <v>9.0899999999999995E-2</v>
      </c>
      <c r="J3359" s="160"/>
      <c r="K3359" s="161">
        <f>K3357</f>
        <v>114</v>
      </c>
      <c r="L3359" s="250">
        <v>1</v>
      </c>
      <c r="M3359" s="163"/>
      <c r="N3359" s="278">
        <f>N3068</f>
        <v>0</v>
      </c>
      <c r="O3359" s="280">
        <f>MROUND(N3359*G3359,0.000001)</f>
        <v>0</v>
      </c>
      <c r="P3359" s="166"/>
      <c r="Q3359" s="166">
        <f t="shared" ref="Q3359:Q3391" si="717">O3359*K3359</f>
        <v>0</v>
      </c>
      <c r="R3359" s="71"/>
    </row>
    <row r="3360" spans="1:18" s="61" customFormat="1" ht="47.25" x14ac:dyDescent="0.25">
      <c r="A3360" s="358"/>
      <c r="B3360" s="361"/>
      <c r="C3360" s="367"/>
      <c r="D3360" s="255" t="s">
        <v>113</v>
      </c>
      <c r="E3360" s="156" t="s">
        <v>28</v>
      </c>
      <c r="F3360" s="156" t="s">
        <v>240</v>
      </c>
      <c r="G3360" s="238">
        <f>MROUND(H3360*L3360*I3360/K3360,0.000001)</f>
        <v>1.5946999999999999E-2</v>
      </c>
      <c r="H3360" s="158">
        <f>H3069</f>
        <v>20</v>
      </c>
      <c r="I3360" s="159">
        <f>I3359</f>
        <v>9.0899999999999995E-2</v>
      </c>
      <c r="J3360" s="160"/>
      <c r="K3360" s="161">
        <f>K3359</f>
        <v>114</v>
      </c>
      <c r="L3360" s="250">
        <v>1</v>
      </c>
      <c r="M3360" s="163" t="str">
        <f>CONCATENATE(H3360," ",F3360,"*",I3360,"/",K3360,"чел/час")</f>
        <v>20 светильников (потребность учреждений)*0,0909/114чел/час</v>
      </c>
      <c r="N3360" s="278">
        <f>N3069</f>
        <v>106.27500000000001</v>
      </c>
      <c r="O3360" s="280">
        <f>MROUND(N3360*G3360,0.000001)</f>
        <v>1.6947669999999999</v>
      </c>
      <c r="P3360" s="166"/>
      <c r="Q3360" s="166">
        <f t="shared" si="717"/>
        <v>193.20343799999998</v>
      </c>
      <c r="R3360" s="71"/>
    </row>
    <row r="3361" spans="1:22" s="62" customFormat="1" x14ac:dyDescent="0.25">
      <c r="A3361" s="359"/>
      <c r="B3361" s="362"/>
      <c r="C3361" s="218" t="s">
        <v>301</v>
      </c>
      <c r="D3361" s="256"/>
      <c r="E3361" s="240"/>
      <c r="F3361" s="240"/>
      <c r="G3361" s="227"/>
      <c r="H3361" s="241"/>
      <c r="I3361" s="206"/>
      <c r="J3361" s="228"/>
      <c r="K3361" s="207"/>
      <c r="L3361" s="257"/>
      <c r="M3361" s="209"/>
      <c r="N3361" s="281"/>
      <c r="O3361" s="279">
        <f>O3359+O3360</f>
        <v>1.6947669999999999</v>
      </c>
      <c r="P3361" s="267"/>
      <c r="Q3361" s="166"/>
      <c r="R3361" s="71"/>
    </row>
    <row r="3362" spans="1:22" s="61" customFormat="1" x14ac:dyDescent="0.25">
      <c r="A3362" s="348" t="str">
        <f>школы!$B$44</f>
        <v>Организация отдыха детей и молодежи</v>
      </c>
      <c r="B3362" s="349" t="str">
        <f>школы!$A$44</f>
        <v>920700О.99.0.АЗ22АА01001</v>
      </c>
      <c r="C3362" s="194"/>
      <c r="D3362" s="350" t="s">
        <v>15</v>
      </c>
      <c r="E3362" s="350"/>
      <c r="F3362" s="350"/>
      <c r="G3362" s="350"/>
      <c r="H3362" s="159"/>
      <c r="I3362" s="159"/>
      <c r="J3362" s="159"/>
      <c r="K3362" s="159"/>
      <c r="L3362" s="202"/>
      <c r="M3362" s="212"/>
      <c r="N3362" s="278"/>
      <c r="O3362" s="279">
        <f>O3363+O3368</f>
        <v>2055.1031809999999</v>
      </c>
      <c r="P3362" s="166"/>
      <c r="Q3362" s="167">
        <f t="shared" si="717"/>
        <v>0</v>
      </c>
      <c r="R3362" s="71"/>
    </row>
    <row r="3363" spans="1:22" s="61" customFormat="1" x14ac:dyDescent="0.25">
      <c r="A3363" s="348"/>
      <c r="B3363" s="349"/>
      <c r="C3363" s="194"/>
      <c r="D3363" s="350" t="s">
        <v>62</v>
      </c>
      <c r="E3363" s="350"/>
      <c r="F3363" s="350"/>
      <c r="G3363" s="350"/>
      <c r="H3363" s="159"/>
      <c r="I3363" s="159"/>
      <c r="J3363" s="159"/>
      <c r="K3363" s="159"/>
      <c r="L3363" s="202"/>
      <c r="M3363" s="212"/>
      <c r="N3363" s="278"/>
      <c r="O3363" s="279">
        <f>O3364+O3366</f>
        <v>155.40182299999998</v>
      </c>
      <c r="P3363" s="166"/>
      <c r="Q3363" s="167">
        <f t="shared" si="717"/>
        <v>0</v>
      </c>
      <c r="R3363" s="71"/>
    </row>
    <row r="3364" spans="1:22" s="61" customFormat="1" x14ac:dyDescent="0.25">
      <c r="A3364" s="348"/>
      <c r="B3364" s="349"/>
      <c r="C3364" s="194">
        <v>211</v>
      </c>
      <c r="D3364" s="194" t="s">
        <v>86</v>
      </c>
      <c r="E3364" s="194" t="s">
        <v>272</v>
      </c>
      <c r="F3364" s="194"/>
      <c r="G3364" s="311">
        <f>90/K3364</f>
        <v>1.5177065767284991E-2</v>
      </c>
      <c r="H3364" s="159">
        <v>2.4</v>
      </c>
      <c r="I3364" s="159"/>
      <c r="J3364" s="159"/>
      <c r="K3364" s="161">
        <f>школы!G44</f>
        <v>5930</v>
      </c>
      <c r="L3364" s="202">
        <v>24</v>
      </c>
      <c r="M3364" s="312" t="s">
        <v>442</v>
      </c>
      <c r="N3364" s="278">
        <f>Лист1!Q4</f>
        <v>7864.25</v>
      </c>
      <c r="O3364" s="280">
        <f>MROUND(N3364*G3364,0.000001)</f>
        <v>119.35623899999999</v>
      </c>
      <c r="P3364" s="166"/>
      <c r="Q3364" s="167">
        <f t="shared" si="717"/>
        <v>707782.49726999993</v>
      </c>
      <c r="R3364" s="71"/>
      <c r="T3364" s="71"/>
    </row>
    <row r="3365" spans="1:22" s="62" customFormat="1" x14ac:dyDescent="0.25">
      <c r="A3365" s="348"/>
      <c r="B3365" s="349"/>
      <c r="C3365" s="203" t="s">
        <v>288</v>
      </c>
      <c r="D3365" s="203"/>
      <c r="E3365" s="203"/>
      <c r="F3365" s="203"/>
      <c r="G3365" s="313"/>
      <c r="H3365" s="206"/>
      <c r="I3365" s="206"/>
      <c r="J3365" s="206"/>
      <c r="K3365" s="207"/>
      <c r="L3365" s="208"/>
      <c r="M3365" s="314"/>
      <c r="N3365" s="281"/>
      <c r="O3365" s="279">
        <f>O3364</f>
        <v>119.35623899999999</v>
      </c>
      <c r="P3365" s="267"/>
      <c r="Q3365" s="167"/>
      <c r="R3365" s="71"/>
      <c r="T3365" s="72"/>
    </row>
    <row r="3366" spans="1:22" s="61" customFormat="1" x14ac:dyDescent="0.25">
      <c r="A3366" s="348"/>
      <c r="B3366" s="349"/>
      <c r="C3366" s="194">
        <v>213</v>
      </c>
      <c r="D3366" s="194" t="s">
        <v>87</v>
      </c>
      <c r="E3366" s="194" t="s">
        <v>88</v>
      </c>
      <c r="F3366" s="194"/>
      <c r="G3366" s="189">
        <v>30.2</v>
      </c>
      <c r="H3366" s="159"/>
      <c r="I3366" s="159"/>
      <c r="J3366" s="159"/>
      <c r="K3366" s="161">
        <f>K3364</f>
        <v>5930</v>
      </c>
      <c r="L3366" s="202"/>
      <c r="M3366" s="212"/>
      <c r="N3366" s="278"/>
      <c r="O3366" s="280">
        <f>MROUND(O3364*0.302,0.000001)</f>
        <v>36.045583999999998</v>
      </c>
      <c r="P3366" s="166"/>
      <c r="Q3366" s="167">
        <f t="shared" si="717"/>
        <v>213750.31311999998</v>
      </c>
      <c r="R3366" s="71"/>
      <c r="S3366" s="71"/>
    </row>
    <row r="3367" spans="1:22" s="62" customFormat="1" x14ac:dyDescent="0.25">
      <c r="A3367" s="348"/>
      <c r="B3367" s="349"/>
      <c r="C3367" s="203" t="s">
        <v>289</v>
      </c>
      <c r="D3367" s="203"/>
      <c r="E3367" s="203"/>
      <c r="F3367" s="203"/>
      <c r="G3367" s="219"/>
      <c r="H3367" s="206"/>
      <c r="I3367" s="206"/>
      <c r="J3367" s="206"/>
      <c r="K3367" s="207"/>
      <c r="L3367" s="208"/>
      <c r="M3367" s="315"/>
      <c r="N3367" s="281"/>
      <c r="O3367" s="279">
        <f>O3366</f>
        <v>36.045583999999998</v>
      </c>
      <c r="P3367" s="267"/>
      <c r="Q3367" s="167"/>
      <c r="R3367" s="71"/>
    </row>
    <row r="3368" spans="1:22" s="99" customFormat="1" x14ac:dyDescent="0.25">
      <c r="A3368" s="348"/>
      <c r="B3368" s="349"/>
      <c r="C3368" s="316"/>
      <c r="D3368" s="351" t="s">
        <v>63</v>
      </c>
      <c r="E3368" s="351"/>
      <c r="F3368" s="351"/>
      <c r="G3368" s="351"/>
      <c r="H3368" s="270"/>
      <c r="I3368" s="270"/>
      <c r="J3368" s="270"/>
      <c r="K3368" s="270"/>
      <c r="L3368" s="317"/>
      <c r="M3368" s="318"/>
      <c r="N3368" s="164"/>
      <c r="O3368" s="294">
        <f>O3371+O3372+O3373+O3374+O3375</f>
        <v>1899.701358</v>
      </c>
      <c r="P3368" s="274"/>
      <c r="Q3368" s="167">
        <f t="shared" si="717"/>
        <v>0</v>
      </c>
      <c r="R3368" s="71"/>
    </row>
    <row r="3369" spans="1:22" s="99" customFormat="1" x14ac:dyDescent="0.25">
      <c r="A3369" s="348"/>
      <c r="B3369" s="349"/>
      <c r="C3369" s="352">
        <v>226</v>
      </c>
      <c r="D3369" s="181" t="s">
        <v>273</v>
      </c>
      <c r="E3369" s="316" t="s">
        <v>274</v>
      </c>
      <c r="F3369" s="316"/>
      <c r="G3369" s="319">
        <f>MROUND(H3369/K3369*L3369,0.0000001)</f>
        <v>1</v>
      </c>
      <c r="H3369" s="320">
        <f>Лист1!O130</f>
        <v>5930</v>
      </c>
      <c r="I3369" s="270"/>
      <c r="J3369" s="270"/>
      <c r="K3369" s="271">
        <f>K3364</f>
        <v>5930</v>
      </c>
      <c r="L3369" s="317">
        <v>1</v>
      </c>
      <c r="M3369" s="163" t="s">
        <v>443</v>
      </c>
      <c r="N3369" s="164">
        <f>Лист1!Q130</f>
        <v>1156.1589713322091</v>
      </c>
      <c r="O3369" s="321">
        <f>MROUND(N3369*G3369,0.000001)</f>
        <v>1156.1589709999998</v>
      </c>
      <c r="P3369" s="274"/>
      <c r="Q3369" s="167">
        <f t="shared" si="717"/>
        <v>6856022.6980299987</v>
      </c>
      <c r="R3369" s="71"/>
    </row>
    <row r="3370" spans="1:22" s="99" customFormat="1" ht="31.5" x14ac:dyDescent="0.25">
      <c r="A3370" s="348"/>
      <c r="B3370" s="349"/>
      <c r="C3370" s="353"/>
      <c r="D3370" s="181" t="s">
        <v>275</v>
      </c>
      <c r="E3370" s="316" t="s">
        <v>88</v>
      </c>
      <c r="F3370" s="316"/>
      <c r="G3370" s="248">
        <v>50</v>
      </c>
      <c r="H3370" s="270"/>
      <c r="I3370" s="270"/>
      <c r="J3370" s="270"/>
      <c r="K3370" s="271">
        <f>K3364</f>
        <v>5930</v>
      </c>
      <c r="L3370" s="317">
        <v>1</v>
      </c>
      <c r="M3370" s="322">
        <v>0.5</v>
      </c>
      <c r="N3370" s="164"/>
      <c r="O3370" s="321">
        <f>MROUND(O3369*0.5,0.000001)</f>
        <v>578.07948599999997</v>
      </c>
      <c r="P3370" s="274"/>
      <c r="Q3370" s="167">
        <f t="shared" si="717"/>
        <v>3428011.3519799998</v>
      </c>
      <c r="R3370" s="71"/>
      <c r="V3370" s="100"/>
    </row>
    <row r="3371" spans="1:22" s="92" customFormat="1" x14ac:dyDescent="0.25">
      <c r="A3371" s="348"/>
      <c r="B3371" s="349"/>
      <c r="C3371" s="323" t="s">
        <v>329</v>
      </c>
      <c r="D3371" s="253"/>
      <c r="E3371" s="261"/>
      <c r="F3371" s="261"/>
      <c r="G3371" s="324"/>
      <c r="H3371" s="262"/>
      <c r="I3371" s="262"/>
      <c r="J3371" s="262"/>
      <c r="K3371" s="263"/>
      <c r="L3371" s="264"/>
      <c r="M3371" s="325"/>
      <c r="N3371" s="210"/>
      <c r="O3371" s="294">
        <f>O3369+O3370</f>
        <v>1734.2384569999999</v>
      </c>
      <c r="P3371" s="295"/>
      <c r="Q3371" s="167"/>
      <c r="R3371" s="71"/>
    </row>
    <row r="3372" spans="1:22" s="99" customFormat="1" ht="47.25" x14ac:dyDescent="0.25">
      <c r="A3372" s="348"/>
      <c r="B3372" s="349"/>
      <c r="C3372" s="326">
        <v>227</v>
      </c>
      <c r="D3372" s="181" t="s">
        <v>276</v>
      </c>
      <c r="E3372" s="181" t="s">
        <v>277</v>
      </c>
      <c r="F3372" s="181"/>
      <c r="G3372" s="319">
        <f>MROUND(H3372/K3372*L3372,0.000001)</f>
        <v>1</v>
      </c>
      <c r="H3372" s="271">
        <f>K3372</f>
        <v>5930</v>
      </c>
      <c r="I3372" s="270"/>
      <c r="J3372" s="270"/>
      <c r="K3372" s="271">
        <f>K3364</f>
        <v>5930</v>
      </c>
      <c r="L3372" s="317">
        <v>1</v>
      </c>
      <c r="M3372" s="322" t="s">
        <v>278</v>
      </c>
      <c r="N3372" s="164">
        <f>Лист1!Q132</f>
        <v>60</v>
      </c>
      <c r="O3372" s="321">
        <f>MROUND(N3372*G3372,0.000001)</f>
        <v>60</v>
      </c>
      <c r="P3372" s="274"/>
      <c r="Q3372" s="167">
        <f t="shared" si="717"/>
        <v>355800</v>
      </c>
      <c r="R3372" s="71"/>
    </row>
    <row r="3373" spans="1:22" s="99" customFormat="1" ht="31.5" x14ac:dyDescent="0.25">
      <c r="A3373" s="348"/>
      <c r="B3373" s="349"/>
      <c r="C3373" s="326" t="s">
        <v>118</v>
      </c>
      <c r="D3373" s="181" t="s">
        <v>279</v>
      </c>
      <c r="E3373" s="181" t="s">
        <v>280</v>
      </c>
      <c r="F3373" s="181"/>
      <c r="G3373" s="319">
        <f>MROUND(H3373/K3373*L3373,0.000001)</f>
        <v>1</v>
      </c>
      <c r="H3373" s="271">
        <f>K3373</f>
        <v>5930</v>
      </c>
      <c r="I3373" s="270"/>
      <c r="J3373" s="270"/>
      <c r="K3373" s="271">
        <f>K3364</f>
        <v>5930</v>
      </c>
      <c r="L3373" s="317">
        <v>1</v>
      </c>
      <c r="M3373" s="322" t="s">
        <v>281</v>
      </c>
      <c r="N3373" s="164">
        <f>Лист1!Q133</f>
        <v>47.613827993254638</v>
      </c>
      <c r="O3373" s="321">
        <f>MROUND(N3373*G3373,0.000001)</f>
        <v>47.613827999999998</v>
      </c>
      <c r="P3373" s="274"/>
      <c r="Q3373" s="167">
        <f t="shared" si="717"/>
        <v>282350.00004000001</v>
      </c>
      <c r="R3373" s="71"/>
    </row>
    <row r="3374" spans="1:22" s="99" customFormat="1" ht="63" x14ac:dyDescent="0.25">
      <c r="A3374" s="348"/>
      <c r="B3374" s="349"/>
      <c r="C3374" s="326" t="s">
        <v>360</v>
      </c>
      <c r="D3374" s="181" t="s">
        <v>282</v>
      </c>
      <c r="E3374" s="181" t="s">
        <v>283</v>
      </c>
      <c r="F3374" s="181"/>
      <c r="G3374" s="319">
        <f>MROUND(H3374/K3374*L3374,0.000001)</f>
        <v>1</v>
      </c>
      <c r="H3374" s="271">
        <f>K3374</f>
        <v>5930</v>
      </c>
      <c r="I3374" s="270"/>
      <c r="J3374" s="270"/>
      <c r="K3374" s="271">
        <f>K3369</f>
        <v>5930</v>
      </c>
      <c r="L3374" s="317">
        <v>1</v>
      </c>
      <c r="M3374" s="322" t="s">
        <v>284</v>
      </c>
      <c r="N3374" s="164">
        <f>Лист1!Q134</f>
        <v>47.613827993254638</v>
      </c>
      <c r="O3374" s="321">
        <f>MROUND(N3374*G3374,0.000001)</f>
        <v>47.613827999999998</v>
      </c>
      <c r="P3374" s="274"/>
      <c r="Q3374" s="167">
        <f t="shared" si="717"/>
        <v>282350.00004000001</v>
      </c>
      <c r="R3374" s="71"/>
    </row>
    <row r="3375" spans="1:22" s="99" customFormat="1" ht="31.5" x14ac:dyDescent="0.25">
      <c r="A3375" s="348"/>
      <c r="B3375" s="349"/>
      <c r="C3375" s="326" t="s">
        <v>359</v>
      </c>
      <c r="D3375" s="181" t="s">
        <v>351</v>
      </c>
      <c r="E3375" s="181" t="s">
        <v>354</v>
      </c>
      <c r="F3375" s="181"/>
      <c r="G3375" s="319">
        <f>MROUND(H3375/K3375*L3375,0.000001)</f>
        <v>1</v>
      </c>
      <c r="H3375" s="271">
        <f>K3375</f>
        <v>5930</v>
      </c>
      <c r="I3375" s="270"/>
      <c r="J3375" s="270"/>
      <c r="K3375" s="271">
        <f>K3364</f>
        <v>5930</v>
      </c>
      <c r="L3375" s="317">
        <v>1</v>
      </c>
      <c r="M3375" s="322" t="s">
        <v>353</v>
      </c>
      <c r="N3375" s="164">
        <f>Лист1!Q135</f>
        <v>10.235244519392918</v>
      </c>
      <c r="O3375" s="321">
        <f>MROUND(N3375*G3375,0.000001)</f>
        <v>10.235244999999999</v>
      </c>
      <c r="P3375" s="274"/>
      <c r="Q3375" s="167">
        <f>O3375*K3375</f>
        <v>60695.002849999997</v>
      </c>
      <c r="R3375" s="71"/>
      <c r="S3375" s="100"/>
      <c r="T3375" s="100"/>
    </row>
    <row r="3376" spans="1:22" s="99" customFormat="1" x14ac:dyDescent="0.25">
      <c r="A3376" s="348"/>
      <c r="B3376" s="349"/>
      <c r="C3376" s="316"/>
      <c r="D3376" s="354" t="s">
        <v>64</v>
      </c>
      <c r="E3376" s="354"/>
      <c r="F3376" s="354"/>
      <c r="G3376" s="354"/>
      <c r="H3376" s="270"/>
      <c r="I3376" s="270"/>
      <c r="J3376" s="270"/>
      <c r="K3376" s="270"/>
      <c r="L3376" s="317"/>
      <c r="M3376" s="318"/>
      <c r="N3376" s="164"/>
      <c r="O3376" s="321"/>
      <c r="P3376" s="274"/>
      <c r="Q3376" s="166">
        <f t="shared" si="717"/>
        <v>0</v>
      </c>
      <c r="R3376" s="100"/>
    </row>
    <row r="3377" spans="1:20" s="99" customFormat="1" x14ac:dyDescent="0.25">
      <c r="A3377" s="348"/>
      <c r="B3377" s="349"/>
      <c r="C3377" s="316"/>
      <c r="D3377" s="316"/>
      <c r="E3377" s="316"/>
      <c r="F3377" s="316"/>
      <c r="G3377" s="269"/>
      <c r="H3377" s="270"/>
      <c r="I3377" s="270"/>
      <c r="J3377" s="270"/>
      <c r="K3377" s="270"/>
      <c r="L3377" s="317"/>
      <c r="M3377" s="318"/>
      <c r="N3377" s="164"/>
      <c r="O3377" s="321"/>
      <c r="P3377" s="274"/>
      <c r="Q3377" s="166">
        <f t="shared" si="717"/>
        <v>0</v>
      </c>
    </row>
    <row r="3378" spans="1:20" s="61" customFormat="1" x14ac:dyDescent="0.25">
      <c r="A3378" s="348"/>
      <c r="B3378" s="349"/>
      <c r="C3378" s="194"/>
      <c r="D3378" s="355" t="s">
        <v>5</v>
      </c>
      <c r="E3378" s="355"/>
      <c r="F3378" s="355"/>
      <c r="G3378" s="355"/>
      <c r="H3378" s="159"/>
      <c r="I3378" s="159"/>
      <c r="J3378" s="159"/>
      <c r="K3378" s="159"/>
      <c r="L3378" s="202"/>
      <c r="M3378" s="212"/>
      <c r="N3378" s="278"/>
      <c r="O3378" s="280"/>
      <c r="P3378" s="166"/>
      <c r="Q3378" s="166">
        <f t="shared" si="717"/>
        <v>0</v>
      </c>
    </row>
    <row r="3379" spans="1:20" s="61" customFormat="1" x14ac:dyDescent="0.25">
      <c r="A3379" s="348"/>
      <c r="B3379" s="349"/>
      <c r="C3379" s="221" t="s">
        <v>70</v>
      </c>
      <c r="D3379" s="355" t="s">
        <v>6</v>
      </c>
      <c r="E3379" s="355"/>
      <c r="F3379" s="355"/>
      <c r="G3379" s="355"/>
      <c r="H3379" s="189"/>
      <c r="I3379" s="189"/>
      <c r="J3379" s="189"/>
      <c r="K3379" s="189"/>
      <c r="L3379" s="190"/>
      <c r="M3379" s="212"/>
      <c r="N3379" s="278"/>
      <c r="O3379" s="280"/>
      <c r="P3379" s="166"/>
      <c r="Q3379" s="166">
        <f t="shared" si="717"/>
        <v>0</v>
      </c>
    </row>
    <row r="3380" spans="1:20" s="61" customFormat="1" x14ac:dyDescent="0.25">
      <c r="A3380" s="348"/>
      <c r="B3380" s="349"/>
      <c r="C3380" s="221"/>
      <c r="D3380" s="156"/>
      <c r="E3380" s="156"/>
      <c r="F3380" s="156"/>
      <c r="G3380" s="311"/>
      <c r="H3380" s="327"/>
      <c r="I3380" s="159"/>
      <c r="J3380" s="159"/>
      <c r="K3380" s="159"/>
      <c r="L3380" s="202"/>
      <c r="M3380" s="156"/>
      <c r="N3380" s="278"/>
      <c r="O3380" s="280"/>
      <c r="P3380" s="166"/>
      <c r="Q3380" s="166">
        <f t="shared" si="717"/>
        <v>0</v>
      </c>
    </row>
    <row r="3381" spans="1:20" s="61" customFormat="1" x14ac:dyDescent="0.25">
      <c r="A3381" s="348"/>
      <c r="B3381" s="349"/>
      <c r="C3381" s="221"/>
      <c r="D3381" s="356" t="s">
        <v>14</v>
      </c>
      <c r="E3381" s="356"/>
      <c r="F3381" s="356"/>
      <c r="G3381" s="356"/>
      <c r="H3381" s="188"/>
      <c r="I3381" s="188"/>
      <c r="J3381" s="188"/>
      <c r="K3381" s="188"/>
      <c r="L3381" s="328"/>
      <c r="M3381" s="329"/>
      <c r="N3381" s="278"/>
      <c r="O3381" s="280"/>
      <c r="P3381" s="166"/>
      <c r="Q3381" s="166">
        <f t="shared" si="717"/>
        <v>0</v>
      </c>
    </row>
    <row r="3382" spans="1:20" s="61" customFormat="1" x14ac:dyDescent="0.25">
      <c r="A3382" s="348"/>
      <c r="B3382" s="349"/>
      <c r="C3382" s="221"/>
      <c r="D3382" s="231"/>
      <c r="E3382" s="231"/>
      <c r="F3382" s="231"/>
      <c r="G3382" s="188"/>
      <c r="H3382" s="188"/>
      <c r="I3382" s="188"/>
      <c r="J3382" s="188"/>
      <c r="K3382" s="188"/>
      <c r="L3382" s="328"/>
      <c r="M3382" s="329"/>
      <c r="N3382" s="278"/>
      <c r="O3382" s="280"/>
      <c r="P3382" s="166"/>
      <c r="Q3382" s="166">
        <f t="shared" si="717"/>
        <v>0</v>
      </c>
    </row>
    <row r="3383" spans="1:20" s="61" customFormat="1" x14ac:dyDescent="0.25">
      <c r="A3383" s="348"/>
      <c r="B3383" s="349"/>
      <c r="C3383" s="221"/>
      <c r="D3383" s="350" t="s">
        <v>65</v>
      </c>
      <c r="E3383" s="350"/>
      <c r="F3383" s="350"/>
      <c r="G3383" s="350"/>
      <c r="H3383" s="159"/>
      <c r="I3383" s="159"/>
      <c r="J3383" s="159"/>
      <c r="K3383" s="159"/>
      <c r="L3383" s="202"/>
      <c r="M3383" s="329"/>
      <c r="N3383" s="278"/>
      <c r="O3383" s="280"/>
      <c r="P3383" s="166"/>
      <c r="Q3383" s="166">
        <f t="shared" si="717"/>
        <v>0</v>
      </c>
    </row>
    <row r="3384" spans="1:20" s="61" customFormat="1" x14ac:dyDescent="0.25">
      <c r="A3384" s="348"/>
      <c r="B3384" s="349"/>
      <c r="C3384" s="221"/>
      <c r="D3384" s="194"/>
      <c r="E3384" s="194"/>
      <c r="F3384" s="194"/>
      <c r="G3384" s="189"/>
      <c r="H3384" s="159"/>
      <c r="I3384" s="159"/>
      <c r="J3384" s="159"/>
      <c r="K3384" s="159"/>
      <c r="L3384" s="202"/>
      <c r="M3384" s="329"/>
      <c r="N3384" s="278"/>
      <c r="O3384" s="280"/>
      <c r="P3384" s="166"/>
      <c r="Q3384" s="166">
        <f t="shared" si="717"/>
        <v>0</v>
      </c>
    </row>
    <row r="3385" spans="1:20" s="61" customFormat="1" x14ac:dyDescent="0.25">
      <c r="A3385" s="348"/>
      <c r="B3385" s="349"/>
      <c r="C3385" s="221"/>
      <c r="D3385" s="355" t="s">
        <v>66</v>
      </c>
      <c r="E3385" s="355"/>
      <c r="F3385" s="355"/>
      <c r="G3385" s="355"/>
      <c r="H3385" s="159"/>
      <c r="I3385" s="159"/>
      <c r="J3385" s="159"/>
      <c r="K3385" s="159"/>
      <c r="L3385" s="202"/>
      <c r="M3385" s="329"/>
      <c r="N3385" s="278"/>
      <c r="O3385" s="280"/>
      <c r="P3385" s="166"/>
      <c r="Q3385" s="166">
        <f t="shared" si="717"/>
        <v>0</v>
      </c>
    </row>
    <row r="3386" spans="1:20" s="61" customFormat="1" x14ac:dyDescent="0.25">
      <c r="A3386" s="348"/>
      <c r="B3386" s="349"/>
      <c r="C3386" s="221"/>
      <c r="D3386" s="194"/>
      <c r="E3386" s="194"/>
      <c r="F3386" s="194"/>
      <c r="G3386" s="189"/>
      <c r="H3386" s="159"/>
      <c r="I3386" s="159"/>
      <c r="J3386" s="159"/>
      <c r="K3386" s="159"/>
      <c r="L3386" s="202"/>
      <c r="M3386" s="329"/>
      <c r="N3386" s="278"/>
      <c r="O3386" s="280"/>
      <c r="P3386" s="166"/>
      <c r="Q3386" s="166">
        <f t="shared" si="717"/>
        <v>0</v>
      </c>
    </row>
    <row r="3387" spans="1:20" s="61" customFormat="1" x14ac:dyDescent="0.25">
      <c r="A3387" s="348"/>
      <c r="B3387" s="349"/>
      <c r="C3387" s="221"/>
      <c r="D3387" s="355" t="s">
        <v>67</v>
      </c>
      <c r="E3387" s="355"/>
      <c r="F3387" s="355"/>
      <c r="G3387" s="355"/>
      <c r="H3387" s="159"/>
      <c r="I3387" s="159"/>
      <c r="J3387" s="159"/>
      <c r="K3387" s="159"/>
      <c r="L3387" s="202"/>
      <c r="M3387" s="329"/>
      <c r="N3387" s="278"/>
      <c r="O3387" s="280"/>
      <c r="P3387" s="166"/>
      <c r="Q3387" s="166">
        <f t="shared" si="717"/>
        <v>0</v>
      </c>
    </row>
    <row r="3388" spans="1:20" s="61" customFormat="1" x14ac:dyDescent="0.25">
      <c r="A3388" s="348"/>
      <c r="B3388" s="349"/>
      <c r="C3388" s="221"/>
      <c r="D3388" s="194"/>
      <c r="E3388" s="194"/>
      <c r="F3388" s="194"/>
      <c r="G3388" s="189"/>
      <c r="H3388" s="159"/>
      <c r="I3388" s="159"/>
      <c r="J3388" s="159"/>
      <c r="K3388" s="159"/>
      <c r="L3388" s="202"/>
      <c r="M3388" s="329"/>
      <c r="N3388" s="278"/>
      <c r="O3388" s="280"/>
      <c r="P3388" s="166"/>
      <c r="Q3388" s="166">
        <f t="shared" si="717"/>
        <v>0</v>
      </c>
    </row>
    <row r="3389" spans="1:20" s="61" customFormat="1" x14ac:dyDescent="0.25">
      <c r="A3389" s="348"/>
      <c r="B3389" s="349"/>
      <c r="C3389" s="221"/>
      <c r="D3389" s="350" t="s">
        <v>68</v>
      </c>
      <c r="E3389" s="350"/>
      <c r="F3389" s="350"/>
      <c r="G3389" s="350"/>
      <c r="H3389" s="159"/>
      <c r="I3389" s="159"/>
      <c r="J3389" s="159"/>
      <c r="K3389" s="159"/>
      <c r="L3389" s="202"/>
      <c r="M3389" s="329"/>
      <c r="N3389" s="278"/>
      <c r="O3389" s="280"/>
      <c r="P3389" s="166"/>
      <c r="Q3389" s="166">
        <f t="shared" si="717"/>
        <v>0</v>
      </c>
    </row>
    <row r="3390" spans="1:20" s="61" customFormat="1" x14ac:dyDescent="0.25">
      <c r="A3390" s="348"/>
      <c r="B3390" s="349"/>
      <c r="C3390" s="221"/>
      <c r="D3390" s="156"/>
      <c r="E3390" s="156"/>
      <c r="F3390" s="156"/>
      <c r="G3390" s="188"/>
      <c r="H3390" s="159"/>
      <c r="I3390" s="159"/>
      <c r="J3390" s="159"/>
      <c r="K3390" s="159"/>
      <c r="L3390" s="202"/>
      <c r="M3390" s="329"/>
      <c r="N3390" s="278"/>
      <c r="O3390" s="280"/>
      <c r="P3390" s="166"/>
      <c r="Q3390" s="166">
        <f t="shared" si="717"/>
        <v>0</v>
      </c>
    </row>
    <row r="3391" spans="1:20" s="61" customFormat="1" x14ac:dyDescent="0.25">
      <c r="A3391" s="348"/>
      <c r="B3391" s="349"/>
      <c r="C3391" s="221"/>
      <c r="D3391" s="355" t="s">
        <v>69</v>
      </c>
      <c r="E3391" s="355"/>
      <c r="F3391" s="355"/>
      <c r="G3391" s="355"/>
      <c r="H3391" s="189"/>
      <c r="I3391" s="189"/>
      <c r="J3391" s="189"/>
      <c r="K3391" s="189"/>
      <c r="L3391" s="190"/>
      <c r="M3391" s="329"/>
      <c r="N3391" s="278"/>
      <c r="O3391" s="280"/>
      <c r="P3391" s="166"/>
      <c r="Q3391" s="166">
        <f t="shared" si="717"/>
        <v>0</v>
      </c>
    </row>
    <row r="3392" spans="1:20" s="61" customFormat="1" x14ac:dyDescent="0.25">
      <c r="B3392" s="166"/>
      <c r="C3392" s="330"/>
      <c r="D3392" s="331"/>
      <c r="E3392" s="332"/>
      <c r="F3392" s="332"/>
      <c r="G3392" s="333"/>
      <c r="H3392" s="334"/>
      <c r="I3392" s="335"/>
      <c r="J3392" s="335"/>
      <c r="K3392" s="335"/>
      <c r="L3392" s="335"/>
      <c r="M3392" s="335"/>
      <c r="N3392" s="336"/>
      <c r="O3392" s="332"/>
      <c r="P3392" s="166"/>
      <c r="Q3392" s="167">
        <f>SUBTOTAL(9,Q10:Q3391)</f>
        <v>1426381540.2584007</v>
      </c>
      <c r="R3392" s="71">
        <f>Лист1!F136-Лист1!F128</f>
        <v>258640891.26999998</v>
      </c>
      <c r="S3392" s="71"/>
      <c r="T3392" s="71"/>
    </row>
    <row r="3393" spans="1:18" s="61" customFormat="1" x14ac:dyDescent="0.25">
      <c r="B3393" s="166"/>
      <c r="C3393" s="330"/>
      <c r="D3393" s="331"/>
      <c r="E3393" s="332"/>
      <c r="F3393" s="332"/>
      <c r="G3393" s="333"/>
      <c r="H3393" s="335"/>
      <c r="I3393" s="335"/>
      <c r="J3393" s="335"/>
      <c r="K3393" s="335"/>
      <c r="L3393" s="335"/>
      <c r="M3393" s="335"/>
      <c r="N3393" s="332"/>
      <c r="O3393" s="332"/>
      <c r="P3393" s="166"/>
      <c r="Q3393" s="166"/>
      <c r="R3393" s="71"/>
    </row>
    <row r="3394" spans="1:18" x14ac:dyDescent="0.25">
      <c r="M3394" s="335"/>
    </row>
    <row r="3395" spans="1:18" s="166" customFormat="1" ht="18.75" x14ac:dyDescent="0.3">
      <c r="A3395" s="176" t="s">
        <v>375</v>
      </c>
      <c r="B3395" s="176"/>
      <c r="C3395" s="177"/>
      <c r="D3395" s="178"/>
      <c r="E3395" s="178"/>
      <c r="F3395" s="178"/>
      <c r="G3395" s="179"/>
      <c r="H3395" s="178"/>
      <c r="I3395" s="178"/>
      <c r="J3395" s="178"/>
      <c r="K3395" s="178"/>
      <c r="L3395" s="178"/>
      <c r="M3395" s="178"/>
      <c r="N3395" s="174"/>
      <c r="O3395" s="174"/>
    </row>
    <row r="3396" spans="1:18" s="61" customFormat="1" ht="63" x14ac:dyDescent="0.25">
      <c r="A3396" s="97" t="s">
        <v>0</v>
      </c>
      <c r="B3396" s="180" t="s">
        <v>369</v>
      </c>
      <c r="C3396" s="181" t="s">
        <v>71</v>
      </c>
      <c r="D3396" s="182" t="s">
        <v>1</v>
      </c>
      <c r="E3396" s="182" t="s">
        <v>2</v>
      </c>
      <c r="F3396" s="182"/>
      <c r="G3396" s="183" t="s">
        <v>3</v>
      </c>
      <c r="H3396" s="182" t="s">
        <v>170</v>
      </c>
      <c r="I3396" s="182" t="s">
        <v>171</v>
      </c>
      <c r="J3396" s="182"/>
      <c r="K3396" s="182" t="s">
        <v>172</v>
      </c>
      <c r="L3396" s="184" t="s">
        <v>174</v>
      </c>
      <c r="M3396" s="182" t="s">
        <v>16</v>
      </c>
      <c r="N3396" s="185" t="s">
        <v>286</v>
      </c>
      <c r="O3396" s="183" t="s">
        <v>287</v>
      </c>
      <c r="P3396" s="166"/>
      <c r="Q3396" s="166"/>
    </row>
    <row r="3397" spans="1:18" s="114" customFormat="1" x14ac:dyDescent="0.25">
      <c r="A3397" s="98" t="s">
        <v>4</v>
      </c>
      <c r="B3397" s="186">
        <v>2</v>
      </c>
      <c r="C3397" s="187" t="s">
        <v>173</v>
      </c>
      <c r="D3397" s="188">
        <v>3</v>
      </c>
      <c r="E3397" s="189">
        <v>4</v>
      </c>
      <c r="F3397" s="189" t="s">
        <v>173</v>
      </c>
      <c r="G3397" s="189">
        <v>5</v>
      </c>
      <c r="H3397" s="189" t="s">
        <v>173</v>
      </c>
      <c r="I3397" s="189" t="s">
        <v>173</v>
      </c>
      <c r="J3397" s="189" t="s">
        <v>173</v>
      </c>
      <c r="K3397" s="189" t="s">
        <v>173</v>
      </c>
      <c r="L3397" s="190" t="s">
        <v>173</v>
      </c>
      <c r="M3397" s="189">
        <v>6</v>
      </c>
      <c r="N3397" s="191" t="s">
        <v>173</v>
      </c>
      <c r="O3397" s="192" t="s">
        <v>173</v>
      </c>
      <c r="P3397" s="193"/>
      <c r="Q3397" s="193"/>
    </row>
    <row r="3398" spans="1:18" s="61" customFormat="1" x14ac:dyDescent="0.25">
      <c r="A3398" s="357" t="str">
        <f>CONCATENATE(школы!$B$6,", ",школы!$C$6,", ",школы!$D$6)</f>
        <v>Реализация основных общеобразовательных программ начального общего образования, адаптированная образовательная программа, дети-инвалиды</v>
      </c>
      <c r="B3398" s="360" t="str">
        <f>школы!$A$6</f>
        <v>801012О.99.0.БА81АБ44001</v>
      </c>
      <c r="C3398" s="194"/>
      <c r="D3398" s="363" t="s">
        <v>15</v>
      </c>
      <c r="E3398" s="363"/>
      <c r="F3398" s="363"/>
      <c r="G3398" s="363"/>
      <c r="H3398" s="195"/>
      <c r="I3398" s="195"/>
      <c r="J3398" s="195"/>
      <c r="K3398" s="195"/>
      <c r="L3398" s="196"/>
      <c r="M3398" s="197"/>
      <c r="N3398" s="164"/>
      <c r="O3398" s="198">
        <f>O3399+O3404+O3406</f>
        <v>6152.2974015179998</v>
      </c>
      <c r="P3398" s="166"/>
      <c r="Q3398" s="166"/>
    </row>
    <row r="3399" spans="1:18" s="61" customFormat="1" x14ac:dyDescent="0.25">
      <c r="A3399" s="358"/>
      <c r="B3399" s="361"/>
      <c r="C3399" s="194"/>
      <c r="D3399" s="350" t="s">
        <v>62</v>
      </c>
      <c r="E3399" s="350"/>
      <c r="F3399" s="350"/>
      <c r="G3399" s="350"/>
      <c r="H3399" s="195"/>
      <c r="I3399" s="195"/>
      <c r="J3399" s="195"/>
      <c r="K3399" s="195"/>
      <c r="L3399" s="196"/>
      <c r="M3399" s="197"/>
      <c r="N3399" s="164"/>
      <c r="O3399" s="165">
        <f>O3401+O3403</f>
        <v>6152.2974015179998</v>
      </c>
      <c r="P3399" s="166"/>
      <c r="Q3399" s="166"/>
    </row>
    <row r="3400" spans="1:18" s="61" customFormat="1" x14ac:dyDescent="0.25">
      <c r="A3400" s="358"/>
      <c r="B3400" s="361"/>
      <c r="C3400" s="194">
        <v>211</v>
      </c>
      <c r="D3400" s="194" t="s">
        <v>86</v>
      </c>
      <c r="E3400" s="199" t="s">
        <v>95</v>
      </c>
      <c r="F3400" s="199" t="s">
        <v>95</v>
      </c>
      <c r="G3400" s="200">
        <f>MROUND(H3400*L3400*I3400/K3400,0.0000000001)</f>
        <v>0.3667654394</v>
      </c>
      <c r="H3400" s="201">
        <f>Лист1!C144</f>
        <v>921.8</v>
      </c>
      <c r="I3400" s="159">
        <f>школы!$K$6</f>
        <v>3.5477600000000001E-3</v>
      </c>
      <c r="J3400" s="159"/>
      <c r="K3400" s="161">
        <f>школы!$G$6</f>
        <v>107</v>
      </c>
      <c r="L3400" s="202">
        <v>12</v>
      </c>
      <c r="M3400" s="163" t="str">
        <f>CONCATENATE(H3400," ",F3400," ","в мес.","*",L3400,"мес.","*",I3400,"/",K3400,"чел.")</f>
        <v>921,8 шт.ед в мес.*12мес.*0,00354776/107чел.</v>
      </c>
      <c r="N3400" s="164">
        <f>Лист1!E144</f>
        <v>12883.620739314385</v>
      </c>
      <c r="O3400" s="165">
        <f>MROUND(G3400*N3400,0.000000001)</f>
        <v>4725.2668215180001</v>
      </c>
      <c r="P3400" s="166"/>
      <c r="Q3400" s="166">
        <f t="shared" ref="Q3400:Q3401" si="718">O3400*K3400</f>
        <v>505603.54990242602</v>
      </c>
      <c r="R3400" s="71"/>
    </row>
    <row r="3401" spans="1:18" s="61" customFormat="1" x14ac:dyDescent="0.25">
      <c r="A3401" s="358"/>
      <c r="B3401" s="361"/>
      <c r="C3401" s="203" t="s">
        <v>288</v>
      </c>
      <c r="D3401" s="203"/>
      <c r="E3401" s="204"/>
      <c r="F3401" s="204"/>
      <c r="G3401" s="205"/>
      <c r="H3401" s="206"/>
      <c r="I3401" s="206"/>
      <c r="J3401" s="206"/>
      <c r="K3401" s="207"/>
      <c r="L3401" s="208"/>
      <c r="M3401" s="209"/>
      <c r="N3401" s="210">
        <f>N3400</f>
        <v>12883.620739314385</v>
      </c>
      <c r="O3401" s="198">
        <f>O3400</f>
        <v>4725.2668215180001</v>
      </c>
      <c r="P3401" s="166"/>
      <c r="Q3401" s="166">
        <f t="shared" si="718"/>
        <v>0</v>
      </c>
      <c r="R3401" s="71"/>
    </row>
    <row r="3402" spans="1:18" s="61" customFormat="1" x14ac:dyDescent="0.25">
      <c r="A3402" s="358"/>
      <c r="B3402" s="361"/>
      <c r="C3402" s="194">
        <v>213</v>
      </c>
      <c r="D3402" s="194" t="s">
        <v>87</v>
      </c>
      <c r="E3402" s="194" t="s">
        <v>88</v>
      </c>
      <c r="F3402" s="194"/>
      <c r="G3402" s="211">
        <v>30.2</v>
      </c>
      <c r="H3402" s="159"/>
      <c r="I3402" s="159"/>
      <c r="J3402" s="159"/>
      <c r="K3402" s="161">
        <f>K3400</f>
        <v>107</v>
      </c>
      <c r="L3402" s="202"/>
      <c r="M3402" s="212"/>
      <c r="N3402" s="164"/>
      <c r="O3402" s="165">
        <f>MROUND(O3400*0.302,0.000001)</f>
        <v>1427.0305799999999</v>
      </c>
      <c r="P3402" s="166"/>
      <c r="Q3402" s="166">
        <f>O3402*K3402</f>
        <v>152692.27205999999</v>
      </c>
      <c r="R3402" s="71"/>
    </row>
    <row r="3403" spans="1:18" s="61" customFormat="1" x14ac:dyDescent="0.25">
      <c r="A3403" s="358"/>
      <c r="B3403" s="361"/>
      <c r="C3403" s="203" t="s">
        <v>289</v>
      </c>
      <c r="D3403" s="203"/>
      <c r="E3403" s="203"/>
      <c r="F3403" s="203"/>
      <c r="G3403" s="213"/>
      <c r="H3403" s="214"/>
      <c r="I3403" s="206"/>
      <c r="J3403" s="214"/>
      <c r="K3403" s="207"/>
      <c r="L3403" s="215"/>
      <c r="M3403" s="216"/>
      <c r="N3403" s="210"/>
      <c r="O3403" s="198">
        <f>O3402</f>
        <v>1427.0305799999999</v>
      </c>
      <c r="P3403" s="166"/>
      <c r="Q3403" s="166"/>
      <c r="R3403" s="71"/>
    </row>
    <row r="3404" spans="1:18" s="61" customFormat="1" ht="112.5" customHeight="1" x14ac:dyDescent="0.25">
      <c r="A3404" s="358"/>
      <c r="B3404" s="361"/>
      <c r="C3404" s="194"/>
      <c r="D3404" s="356" t="s">
        <v>63</v>
      </c>
      <c r="E3404" s="356"/>
      <c r="F3404" s="356"/>
      <c r="G3404" s="356"/>
      <c r="H3404" s="195"/>
      <c r="I3404" s="159"/>
      <c r="J3404" s="195"/>
      <c r="K3404" s="161"/>
      <c r="L3404" s="196"/>
      <c r="M3404" s="197"/>
      <c r="N3404" s="164"/>
      <c r="O3404" s="165"/>
      <c r="P3404" s="166"/>
      <c r="Q3404" s="166"/>
      <c r="R3404" s="71"/>
    </row>
    <row r="3405" spans="1:18" s="61" customFormat="1" x14ac:dyDescent="0.25">
      <c r="A3405" s="358"/>
      <c r="B3405" s="361"/>
      <c r="C3405" s="194"/>
      <c r="D3405" s="194"/>
      <c r="E3405" s="194"/>
      <c r="F3405" s="194"/>
      <c r="G3405" s="217"/>
      <c r="H3405" s="195"/>
      <c r="I3405" s="159"/>
      <c r="J3405" s="195"/>
      <c r="K3405" s="161"/>
      <c r="L3405" s="196"/>
      <c r="M3405" s="197"/>
      <c r="N3405" s="164"/>
      <c r="O3405" s="165"/>
      <c r="P3405" s="166"/>
      <c r="Q3405" s="166"/>
      <c r="R3405" s="71"/>
    </row>
    <row r="3406" spans="1:18" s="61" customFormat="1" ht="124.5" customHeight="1" x14ac:dyDescent="0.25">
      <c r="A3406" s="358"/>
      <c r="B3406" s="361"/>
      <c r="C3406" s="194"/>
      <c r="D3406" s="350" t="s">
        <v>370</v>
      </c>
      <c r="E3406" s="350"/>
      <c r="F3406" s="350"/>
      <c r="G3406" s="350"/>
      <c r="H3406" s="195"/>
      <c r="I3406" s="159"/>
      <c r="J3406" s="195"/>
      <c r="K3406" s="161"/>
      <c r="L3406" s="196"/>
      <c r="M3406" s="197"/>
      <c r="N3406" s="164"/>
      <c r="O3406" s="165"/>
      <c r="P3406" s="166"/>
      <c r="Q3406" s="166"/>
      <c r="R3406" s="71"/>
    </row>
    <row r="3407" spans="1:18" s="61" customFormat="1" x14ac:dyDescent="0.25">
      <c r="A3407" s="358"/>
      <c r="B3407" s="361"/>
      <c r="C3407" s="194"/>
      <c r="D3407" s="194"/>
      <c r="E3407" s="194"/>
      <c r="F3407" s="194"/>
      <c r="G3407" s="217"/>
      <c r="H3407" s="195"/>
      <c r="I3407" s="159"/>
      <c r="J3407" s="195"/>
      <c r="K3407" s="161"/>
      <c r="L3407" s="196"/>
      <c r="M3407" s="197"/>
      <c r="N3407" s="164"/>
      <c r="O3407" s="165"/>
      <c r="P3407" s="166"/>
      <c r="Q3407" s="166"/>
      <c r="R3407" s="71"/>
    </row>
    <row r="3408" spans="1:18" s="61" customFormat="1" ht="21" customHeight="1" x14ac:dyDescent="0.25">
      <c r="A3408" s="358"/>
      <c r="B3408" s="361"/>
      <c r="C3408" s="194"/>
      <c r="D3408" s="355" t="s">
        <v>5</v>
      </c>
      <c r="E3408" s="355"/>
      <c r="F3408" s="355"/>
      <c r="G3408" s="355"/>
      <c r="H3408" s="195"/>
      <c r="I3408" s="159"/>
      <c r="J3408" s="195"/>
      <c r="K3408" s="161"/>
      <c r="L3408" s="196"/>
      <c r="M3408" s="197"/>
      <c r="N3408" s="164"/>
      <c r="O3408" s="198">
        <f>O3409+O3419+O3430+O3432+O3434+O3436+O3438</f>
        <v>13062.371400925802</v>
      </c>
      <c r="P3408" s="166"/>
      <c r="Q3408" s="166"/>
      <c r="R3408" s="71"/>
    </row>
    <row r="3409" spans="1:18" s="61" customFormat="1" x14ac:dyDescent="0.25">
      <c r="A3409" s="358"/>
      <c r="B3409" s="361"/>
      <c r="C3409" s="218" t="s">
        <v>70</v>
      </c>
      <c r="D3409" s="380" t="s">
        <v>6</v>
      </c>
      <c r="E3409" s="380"/>
      <c r="F3409" s="380"/>
      <c r="G3409" s="380"/>
      <c r="H3409" s="219"/>
      <c r="I3409" s="206"/>
      <c r="J3409" s="219"/>
      <c r="K3409" s="207"/>
      <c r="L3409" s="220"/>
      <c r="M3409" s="216"/>
      <c r="N3409" s="210"/>
      <c r="O3409" s="198">
        <f>O3418</f>
        <v>5999.9600522699993</v>
      </c>
      <c r="P3409" s="166"/>
      <c r="Q3409" s="166"/>
      <c r="R3409" s="71"/>
    </row>
    <row r="3410" spans="1:18" s="61" customFormat="1" ht="31.5" x14ac:dyDescent="0.25">
      <c r="A3410" s="358"/>
      <c r="B3410" s="361"/>
      <c r="C3410" s="221" t="s">
        <v>72</v>
      </c>
      <c r="D3410" s="222" t="s">
        <v>7</v>
      </c>
      <c r="E3410" s="223" t="s">
        <v>8</v>
      </c>
      <c r="F3410" s="223" t="s">
        <v>8</v>
      </c>
      <c r="G3410" s="157">
        <f>MROUND(H3410*L3410*I3410/K3410,0.00000000001)</f>
        <v>109.85195954990999</v>
      </c>
      <c r="H3410" s="160">
        <f>Лист1!C152*1000</f>
        <v>3313121.4264326878</v>
      </c>
      <c r="I3410" s="159">
        <f>I3400</f>
        <v>3.5477600000000001E-3</v>
      </c>
      <c r="J3410" s="160"/>
      <c r="K3410" s="161">
        <f>K3400</f>
        <v>107</v>
      </c>
      <c r="L3410" s="162">
        <v>1</v>
      </c>
      <c r="M3410" s="163" t="str">
        <f t="shared" ref="M3410:M3415" si="719">CONCATENATE(H3410," ",F3410,"(лимиты выделенные УЖКХ) ","*",I3410,"/",K3410,"чел.")</f>
        <v>3313121,42643269 кВт час.(лимиты выделенные УЖКХ) *0,00354776/107чел.</v>
      </c>
      <c r="N3410" s="164">
        <f>Лист1!E152</f>
        <v>10.897694685122204</v>
      </c>
      <c r="O3410" s="165">
        <f>MROUND(G3410*N3410,0.000001)</f>
        <v>1197.133116</v>
      </c>
      <c r="P3410" s="166"/>
      <c r="Q3410" s="166">
        <f t="shared" ref="Q3410:Q3417" si="720">O3410*K3410</f>
        <v>128093.243412</v>
      </c>
      <c r="R3410" s="71"/>
    </row>
    <row r="3411" spans="1:18" s="61" customFormat="1" ht="31.5" x14ac:dyDescent="0.25">
      <c r="A3411" s="358"/>
      <c r="B3411" s="361"/>
      <c r="C3411" s="221" t="s">
        <v>73</v>
      </c>
      <c r="D3411" s="222" t="s">
        <v>9</v>
      </c>
      <c r="E3411" s="223" t="s">
        <v>10</v>
      </c>
      <c r="F3411" s="223" t="s">
        <v>10</v>
      </c>
      <c r="G3411" s="157">
        <f t="shared" ref="G3411:G3417" si="721">MROUND(H3411*L3411*I3411/K3411,0.00000000001)</f>
        <v>1.0576101340799999</v>
      </c>
      <c r="H3411" s="160">
        <f>Лист1!C153</f>
        <v>31897.39</v>
      </c>
      <c r="I3411" s="159">
        <f t="shared" ref="I3411:I3417" si="722">I3410</f>
        <v>3.5477600000000001E-3</v>
      </c>
      <c r="J3411" s="160"/>
      <c r="K3411" s="161">
        <f t="shared" ref="K3411:K3417" si="723">K3410</f>
        <v>107</v>
      </c>
      <c r="L3411" s="162">
        <v>1</v>
      </c>
      <c r="M3411" s="163" t="str">
        <f t="shared" si="719"/>
        <v>31897,39 Гкал(лимиты выделенные УЖКХ) *0,00354776/107чел.</v>
      </c>
      <c r="N3411" s="164">
        <f>Лист1!E153</f>
        <v>2976.2517908205036</v>
      </c>
      <c r="O3411" s="165">
        <f>MROUND(G3411*N3411,0.000001)</f>
        <v>3147.7140559999998</v>
      </c>
      <c r="P3411" s="166"/>
      <c r="Q3411" s="166">
        <f t="shared" si="720"/>
        <v>336805.40399199998</v>
      </c>
      <c r="R3411" s="71"/>
    </row>
    <row r="3412" spans="1:18" s="61" customFormat="1" ht="31.5" x14ac:dyDescent="0.25">
      <c r="A3412" s="358"/>
      <c r="B3412" s="361"/>
      <c r="C3412" s="364" t="s">
        <v>74</v>
      </c>
      <c r="D3412" s="222" t="s">
        <v>12</v>
      </c>
      <c r="E3412" s="222" t="s">
        <v>11</v>
      </c>
      <c r="F3412" s="222" t="s">
        <v>11</v>
      </c>
      <c r="G3412" s="157">
        <f t="shared" si="721"/>
        <v>6.12486513196</v>
      </c>
      <c r="H3412" s="224">
        <f>Лист1!C154</f>
        <v>184725.17</v>
      </c>
      <c r="I3412" s="159">
        <f t="shared" si="722"/>
        <v>3.5477600000000001E-3</v>
      </c>
      <c r="J3412" s="160"/>
      <c r="K3412" s="161">
        <f t="shared" si="723"/>
        <v>107</v>
      </c>
      <c r="L3412" s="162">
        <v>1</v>
      </c>
      <c r="M3412" s="163" t="str">
        <f t="shared" si="719"/>
        <v>184725,17 м3(лимиты выделенные УЖКХ) *0,00354776/107чел.</v>
      </c>
      <c r="N3412" s="164">
        <f>Лист1!E154</f>
        <v>54.214180016724306</v>
      </c>
      <c r="O3412" s="165">
        <f>MROUND(G3412*N3412,0.000001)</f>
        <v>332.05454099999997</v>
      </c>
      <c r="P3412" s="166"/>
      <c r="Q3412" s="166">
        <f t="shared" si="720"/>
        <v>35529.835886999994</v>
      </c>
      <c r="R3412" s="71"/>
    </row>
    <row r="3413" spans="1:18" s="61" customFormat="1" ht="47.25" x14ac:dyDescent="0.25">
      <c r="A3413" s="358"/>
      <c r="B3413" s="361"/>
      <c r="C3413" s="364"/>
      <c r="D3413" s="222" t="s">
        <v>17</v>
      </c>
      <c r="E3413" s="222" t="s">
        <v>11</v>
      </c>
      <c r="F3413" s="222" t="s">
        <v>11</v>
      </c>
      <c r="G3413" s="157">
        <f t="shared" si="721"/>
        <v>6.12486513196</v>
      </c>
      <c r="H3413" s="160">
        <f>Лист1!C155</f>
        <v>184725.17</v>
      </c>
      <c r="I3413" s="159">
        <f t="shared" si="722"/>
        <v>3.5477600000000001E-3</v>
      </c>
      <c r="J3413" s="160"/>
      <c r="K3413" s="161">
        <f t="shared" si="723"/>
        <v>107</v>
      </c>
      <c r="L3413" s="162">
        <v>1</v>
      </c>
      <c r="M3413" s="163" t="str">
        <f t="shared" si="719"/>
        <v>184725,17 м3(лимиты выделенные УЖКХ) *0,00354776/107чел.</v>
      </c>
      <c r="N3413" s="164">
        <f>Лист1!E155</f>
        <v>82.384170780821918</v>
      </c>
      <c r="O3413" s="165">
        <f>MROUND(G3413*N3413,0.000001)</f>
        <v>504.59193499999998</v>
      </c>
      <c r="P3413" s="166"/>
      <c r="Q3413" s="166">
        <f t="shared" si="720"/>
        <v>53991.337045</v>
      </c>
      <c r="R3413" s="71"/>
    </row>
    <row r="3414" spans="1:18" s="61" customFormat="1" ht="31.5" x14ac:dyDescent="0.25">
      <c r="A3414" s="358"/>
      <c r="B3414" s="361"/>
      <c r="C3414" s="364"/>
      <c r="D3414" s="222" t="s">
        <v>13</v>
      </c>
      <c r="E3414" s="222" t="s">
        <v>11</v>
      </c>
      <c r="F3414" s="222" t="s">
        <v>11</v>
      </c>
      <c r="G3414" s="157">
        <f t="shared" si="721"/>
        <v>6.12486513196</v>
      </c>
      <c r="H3414" s="160">
        <f>Лист1!C156</f>
        <v>184725.17</v>
      </c>
      <c r="I3414" s="159">
        <f t="shared" si="722"/>
        <v>3.5477600000000001E-3</v>
      </c>
      <c r="J3414" s="160"/>
      <c r="K3414" s="161">
        <f t="shared" si="723"/>
        <v>107</v>
      </c>
      <c r="L3414" s="225">
        <v>1</v>
      </c>
      <c r="M3414" s="163" t="str">
        <f t="shared" si="719"/>
        <v>184725,17 м3(лимиты выделенные УЖКХ) *0,00354776/107чел.</v>
      </c>
      <c r="N3414" s="164">
        <f>Лист1!E156</f>
        <v>112.36110334722464</v>
      </c>
      <c r="O3414" s="165">
        <f>MROUND(G3414*N3414,0.00000001)</f>
        <v>688.19660408000004</v>
      </c>
      <c r="P3414" s="166"/>
      <c r="Q3414" s="166">
        <f t="shared" si="720"/>
        <v>73637.036636560006</v>
      </c>
      <c r="R3414" s="71"/>
    </row>
    <row r="3415" spans="1:18" s="61" customFormat="1" ht="31.5" x14ac:dyDescent="0.25">
      <c r="A3415" s="358"/>
      <c r="B3415" s="361"/>
      <c r="C3415" s="221" t="s">
        <v>75</v>
      </c>
      <c r="D3415" s="222" t="s">
        <v>18</v>
      </c>
      <c r="E3415" s="222" t="s">
        <v>48</v>
      </c>
      <c r="F3415" s="222" t="s">
        <v>48</v>
      </c>
      <c r="G3415" s="157">
        <f t="shared" si="721"/>
        <v>0.46046609136</v>
      </c>
      <c r="H3415" s="160">
        <f>Лист1!C157</f>
        <v>13887.6</v>
      </c>
      <c r="I3415" s="159">
        <f t="shared" si="722"/>
        <v>3.5477600000000001E-3</v>
      </c>
      <c r="J3415" s="160"/>
      <c r="K3415" s="161">
        <f t="shared" si="723"/>
        <v>107</v>
      </c>
      <c r="L3415" s="162">
        <v>1</v>
      </c>
      <c r="M3415" s="163" t="str">
        <f t="shared" si="719"/>
        <v>13887,6 тыс. м3(лимиты выделенные УЖКХ) *0,00354776/107чел.</v>
      </c>
      <c r="N3415" s="164">
        <f>Лист1!E157</f>
        <v>30.576235634666901</v>
      </c>
      <c r="O3415" s="165">
        <f>MROUND(G3415*N3415,0.000001)</f>
        <v>14.079319999999999</v>
      </c>
      <c r="P3415" s="166"/>
      <c r="Q3415" s="166">
        <f t="shared" si="720"/>
        <v>1506.4872399999999</v>
      </c>
      <c r="R3415" s="71"/>
    </row>
    <row r="3416" spans="1:18" s="61" customFormat="1" x14ac:dyDescent="0.25">
      <c r="A3416" s="358"/>
      <c r="B3416" s="361"/>
      <c r="C3416" s="364" t="s">
        <v>216</v>
      </c>
      <c r="D3416" s="222" t="s">
        <v>23</v>
      </c>
      <c r="E3416" s="222" t="s">
        <v>11</v>
      </c>
      <c r="F3416" s="222" t="s">
        <v>11</v>
      </c>
      <c r="G3416" s="157">
        <f t="shared" si="721"/>
        <v>0.11169276866</v>
      </c>
      <c r="H3416" s="160">
        <f>Лист1!C158</f>
        <v>3368.6400000000003</v>
      </c>
      <c r="I3416" s="159">
        <f t="shared" si="722"/>
        <v>3.5477600000000001E-3</v>
      </c>
      <c r="J3416" s="160"/>
      <c r="K3416" s="161">
        <f t="shared" si="723"/>
        <v>107</v>
      </c>
      <c r="L3416" s="162">
        <f>L3415</f>
        <v>1</v>
      </c>
      <c r="M3416" s="163" t="str">
        <f>CONCATENATE(H3416," ",F3416," ","*",I3416,"/",K3416,"чел.")</f>
        <v>3368,64 м3 *0,00354776/107чел.</v>
      </c>
      <c r="N3416" s="164">
        <f>Лист1!E158</f>
        <v>776.35552626579261</v>
      </c>
      <c r="O3416" s="165">
        <f>MROUND(G3416*N3416,0.00000001)</f>
        <v>86.713298190000003</v>
      </c>
      <c r="P3416" s="166"/>
      <c r="Q3416" s="166">
        <f t="shared" si="720"/>
        <v>9278.3229063300005</v>
      </c>
      <c r="R3416" s="71"/>
    </row>
    <row r="3417" spans="1:18" s="61" customFormat="1" ht="47.25" x14ac:dyDescent="0.25">
      <c r="A3417" s="358"/>
      <c r="B3417" s="361"/>
      <c r="C3417" s="364"/>
      <c r="D3417" s="222" t="s">
        <v>24</v>
      </c>
      <c r="E3417" s="222" t="s">
        <v>25</v>
      </c>
      <c r="F3417" s="222" t="s">
        <v>217</v>
      </c>
      <c r="G3417" s="157">
        <f t="shared" si="721"/>
        <v>4.8740254199999998E-3</v>
      </c>
      <c r="H3417" s="160">
        <f>Лист1!C159</f>
        <v>147</v>
      </c>
      <c r="I3417" s="159">
        <f t="shared" si="722"/>
        <v>3.5477600000000001E-3</v>
      </c>
      <c r="J3417" s="160"/>
      <c r="K3417" s="161">
        <f t="shared" si="723"/>
        <v>107</v>
      </c>
      <c r="L3417" s="162">
        <f>L3416</f>
        <v>1</v>
      </c>
      <c r="M3417" s="163" t="str">
        <f>CONCATENATE(H3417," ",F3417,"(потребность из расчета 4 контейнера для уборки территории весной и осенью на 1 учреждение)","*",I3417,"/",K3417,"чел.")</f>
        <v>147 контейнера(потребность из расчета 4 контейнера для уборки территории весной и осенью на 1 учреждение)*0,00354776/107чел.</v>
      </c>
      <c r="N3417" s="164">
        <f>Лист1!E159</f>
        <v>6047.8105442176911</v>
      </c>
      <c r="O3417" s="165">
        <f>MROUND(G3417*N3417,0.000001)</f>
        <v>29.477181999999999</v>
      </c>
      <c r="P3417" s="166"/>
      <c r="Q3417" s="166">
        <f t="shared" si="720"/>
        <v>3154.0584739999999</v>
      </c>
      <c r="R3417" s="71"/>
    </row>
    <row r="3418" spans="1:18" s="61" customFormat="1" x14ac:dyDescent="0.25">
      <c r="A3418" s="358"/>
      <c r="B3418" s="361"/>
      <c r="C3418" s="218" t="s">
        <v>290</v>
      </c>
      <c r="D3418" s="226"/>
      <c r="E3418" s="226"/>
      <c r="F3418" s="226"/>
      <c r="G3418" s="227"/>
      <c r="H3418" s="228"/>
      <c r="I3418" s="206"/>
      <c r="J3418" s="228"/>
      <c r="K3418" s="207"/>
      <c r="L3418" s="229"/>
      <c r="M3418" s="209"/>
      <c r="N3418" s="210"/>
      <c r="O3418" s="198">
        <f>SUM(O3410:O3417)</f>
        <v>5999.9600522699993</v>
      </c>
      <c r="P3418" s="166"/>
      <c r="Q3418" s="166"/>
      <c r="R3418" s="71"/>
    </row>
    <row r="3419" spans="1:18" s="61" customFormat="1" ht="50.25" customHeight="1" x14ac:dyDescent="0.25">
      <c r="A3419" s="358"/>
      <c r="B3419" s="361"/>
      <c r="C3419" s="221"/>
      <c r="D3419" s="356" t="s">
        <v>371</v>
      </c>
      <c r="E3419" s="356"/>
      <c r="F3419" s="356"/>
      <c r="G3419" s="356"/>
      <c r="H3419" s="188"/>
      <c r="I3419" s="159"/>
      <c r="J3419" s="188"/>
      <c r="K3419" s="161"/>
      <c r="L3419" s="162"/>
      <c r="M3419" s="230"/>
      <c r="N3419" s="164"/>
      <c r="O3419" s="198">
        <f>O3427+O3428+O3423</f>
        <v>6277.7533620558006</v>
      </c>
      <c r="P3419" s="166"/>
      <c r="Q3419" s="166"/>
      <c r="R3419" s="71"/>
    </row>
    <row r="3420" spans="1:18" s="61" customFormat="1" x14ac:dyDescent="0.25">
      <c r="A3420" s="358"/>
      <c r="B3420" s="361"/>
      <c r="C3420" s="221" t="s">
        <v>379</v>
      </c>
      <c r="D3420" s="231" t="s">
        <v>49</v>
      </c>
      <c r="E3420" s="231" t="s">
        <v>22</v>
      </c>
      <c r="F3420" s="231" t="s">
        <v>22</v>
      </c>
      <c r="G3420" s="157">
        <f>MROUND(H3420*L3420*I3420/K3420,0.000000001)</f>
        <v>0</v>
      </c>
      <c r="H3420" s="160"/>
      <c r="I3420" s="159">
        <f>I3417</f>
        <v>3.5477600000000001E-3</v>
      </c>
      <c r="J3420" s="160"/>
      <c r="K3420" s="161">
        <f>K3417</f>
        <v>107</v>
      </c>
      <c r="L3420" s="162"/>
      <c r="M3420" s="163"/>
      <c r="N3420" s="164"/>
      <c r="O3420" s="165">
        <f>MROUND(G3420*N3420,0.00000001)</f>
        <v>0</v>
      </c>
      <c r="P3420" s="166"/>
      <c r="Q3420" s="166">
        <f t="shared" ref="Q3420:Q3422" si="724">O3420*K3420</f>
        <v>0</v>
      </c>
      <c r="R3420" s="71"/>
    </row>
    <row r="3421" spans="1:18" s="61" customFormat="1" x14ac:dyDescent="0.25">
      <c r="A3421" s="358"/>
      <c r="B3421" s="361"/>
      <c r="C3421" s="221" t="s">
        <v>379</v>
      </c>
      <c r="D3421" s="231" t="s">
        <v>49</v>
      </c>
      <c r="E3421" s="231" t="s">
        <v>28</v>
      </c>
      <c r="F3421" s="231" t="s">
        <v>28</v>
      </c>
      <c r="G3421" s="157">
        <f>MROUND(H3421*L3421*I3421/K3421,0.000000001)</f>
        <v>0</v>
      </c>
      <c r="H3421" s="160"/>
      <c r="I3421" s="159">
        <f>I3417</f>
        <v>3.5477600000000001E-3</v>
      </c>
      <c r="J3421" s="160"/>
      <c r="K3421" s="161">
        <f>K3417</f>
        <v>107</v>
      </c>
      <c r="L3421" s="162">
        <v>1</v>
      </c>
      <c r="M3421" s="163"/>
      <c r="N3421" s="164"/>
      <c r="O3421" s="165">
        <f>MROUND(G3421*N3421,0.00000001)</f>
        <v>0</v>
      </c>
      <c r="P3421" s="166"/>
      <c r="Q3421" s="166">
        <f t="shared" si="724"/>
        <v>0</v>
      </c>
      <c r="R3421" s="71"/>
    </row>
    <row r="3422" spans="1:18" s="61" customFormat="1" x14ac:dyDescent="0.25">
      <c r="A3422" s="358"/>
      <c r="B3422" s="361"/>
      <c r="C3422" s="221" t="s">
        <v>379</v>
      </c>
      <c r="D3422" s="231" t="s">
        <v>49</v>
      </c>
      <c r="E3422" s="231" t="s">
        <v>101</v>
      </c>
      <c r="F3422" s="231" t="s">
        <v>101</v>
      </c>
      <c r="G3422" s="157">
        <f>MROUND(H3422*L3422*I3422/K3422,0.000000001)</f>
        <v>0</v>
      </c>
      <c r="H3422" s="160"/>
      <c r="I3422" s="159">
        <f>I3421</f>
        <v>3.5477600000000001E-3</v>
      </c>
      <c r="J3422" s="160"/>
      <c r="K3422" s="161">
        <f>K3420</f>
        <v>107</v>
      </c>
      <c r="L3422" s="162"/>
      <c r="M3422" s="163"/>
      <c r="N3422" s="164"/>
      <c r="O3422" s="165">
        <f>MROUND(G3422*N3422,0.00000001)</f>
        <v>0</v>
      </c>
      <c r="P3422" s="166"/>
      <c r="Q3422" s="166">
        <f t="shared" si="724"/>
        <v>0</v>
      </c>
      <c r="R3422" s="71"/>
    </row>
    <row r="3423" spans="1:18" s="61" customFormat="1" x14ac:dyDescent="0.25">
      <c r="A3423" s="358"/>
      <c r="B3423" s="361"/>
      <c r="C3423" s="218" t="s">
        <v>380</v>
      </c>
      <c r="D3423" s="232"/>
      <c r="E3423" s="232"/>
      <c r="F3423" s="232"/>
      <c r="G3423" s="227"/>
      <c r="H3423" s="228"/>
      <c r="I3423" s="206"/>
      <c r="J3423" s="228"/>
      <c r="K3423" s="207"/>
      <c r="L3423" s="229"/>
      <c r="M3423" s="209"/>
      <c r="N3423" s="210"/>
      <c r="O3423" s="198">
        <f>SUM(O3420:O3422)</f>
        <v>0</v>
      </c>
      <c r="P3423" s="166"/>
      <c r="Q3423" s="166"/>
      <c r="R3423" s="71"/>
    </row>
    <row r="3424" spans="1:18" s="61" customFormat="1" x14ac:dyDescent="0.25">
      <c r="A3424" s="358"/>
      <c r="B3424" s="361"/>
      <c r="C3424" s="221" t="s">
        <v>76</v>
      </c>
      <c r="D3424" s="231" t="s">
        <v>49</v>
      </c>
      <c r="E3424" s="231" t="s">
        <v>22</v>
      </c>
      <c r="F3424" s="231" t="s">
        <v>22</v>
      </c>
      <c r="G3424" s="157">
        <f>MROUND(H3424*L3424*I3424/K3424,0.00000000000001)</f>
        <v>40.58470231087103</v>
      </c>
      <c r="H3424" s="160">
        <f>Лист1!C163</f>
        <v>1224029.57</v>
      </c>
      <c r="I3424" s="159">
        <f>I3421</f>
        <v>3.5477600000000001E-3</v>
      </c>
      <c r="J3424" s="160"/>
      <c r="K3424" s="161">
        <f>K3421</f>
        <v>107</v>
      </c>
      <c r="L3424" s="162">
        <v>1</v>
      </c>
      <c r="M3424" s="163" t="str">
        <f>CONCATENATE(H3424," ",F3424,"*",I3424,"/",K3424,"чел.")</f>
        <v>1224029,57 м2*0,00354776/107чел.</v>
      </c>
      <c r="N3424" s="164">
        <f>Лист1!E163</f>
        <v>37.50494361014497</v>
      </c>
      <c r="O3424" s="165">
        <f>MROUND(G3424*N3424,0.0000000001)</f>
        <v>1522.1269716037</v>
      </c>
      <c r="P3424" s="166"/>
      <c r="Q3424" s="166">
        <f t="shared" ref="Q3424:Q3426" si="725">O3424*K3424</f>
        <v>162867.58596159591</v>
      </c>
      <c r="R3424" s="71"/>
    </row>
    <row r="3425" spans="1:18" s="61" customFormat="1" x14ac:dyDescent="0.25">
      <c r="A3425" s="358"/>
      <c r="B3425" s="361"/>
      <c r="C3425" s="221"/>
      <c r="D3425" s="231" t="s">
        <v>49</v>
      </c>
      <c r="E3425" s="231" t="s">
        <v>28</v>
      </c>
      <c r="F3425" s="231" t="s">
        <v>28</v>
      </c>
      <c r="G3425" s="157">
        <f>MROUND(H3425*L3425*I3425/K3425,0.000000000001)</f>
        <v>3.6671238879E-2</v>
      </c>
      <c r="H3425" s="160">
        <f>Лист1!C165</f>
        <v>1106</v>
      </c>
      <c r="I3425" s="159">
        <f>I3424</f>
        <v>3.5477600000000001E-3</v>
      </c>
      <c r="J3425" s="160"/>
      <c r="K3425" s="161">
        <f>K3424</f>
        <v>107</v>
      </c>
      <c r="L3425" s="162">
        <v>1</v>
      </c>
      <c r="M3425" s="163" t="str">
        <f>CONCATENATE(H3425," ",F3425,"*",I3425,"/",K3425,"чел.")</f>
        <v>1106 шт*0,00354776/107чел.</v>
      </c>
      <c r="N3425" s="164">
        <f>Лист1!E165</f>
        <v>86192.676311030737</v>
      </c>
      <c r="O3425" s="165">
        <f>MROUND(G3425*N3425,0.0000000001)</f>
        <v>3160.7922226221003</v>
      </c>
      <c r="P3425" s="166"/>
      <c r="Q3425" s="166">
        <f t="shared" si="725"/>
        <v>338204.76782056474</v>
      </c>
      <c r="R3425" s="71"/>
    </row>
    <row r="3426" spans="1:18" s="61" customFormat="1" x14ac:dyDescent="0.25">
      <c r="A3426" s="358"/>
      <c r="B3426" s="361"/>
      <c r="C3426" s="221"/>
      <c r="D3426" s="231" t="s">
        <v>49</v>
      </c>
      <c r="E3426" s="231" t="s">
        <v>101</v>
      </c>
      <c r="F3426" s="231" t="s">
        <v>101</v>
      </c>
      <c r="G3426" s="157">
        <f>MROUND(H3426*L3426*I3426/K3426,0.000000001)</f>
        <v>1.2158538240000001</v>
      </c>
      <c r="H3426" s="160">
        <f>Лист1!C164</f>
        <v>36670</v>
      </c>
      <c r="I3426" s="159">
        <f>I3425</f>
        <v>3.5477600000000001E-3</v>
      </c>
      <c r="J3426" s="160"/>
      <c r="K3426" s="161">
        <f>K3425</f>
        <v>107</v>
      </c>
      <c r="L3426" s="162">
        <v>1</v>
      </c>
      <c r="M3426" s="163" t="str">
        <f>CONCATENATE(H3426," ",F3426,"*",I3426,"/",K3426,"чел.")</f>
        <v>36670 погон.м.*0,00354776/107чел.</v>
      </c>
      <c r="N3426" s="164">
        <f>Лист1!E164</f>
        <v>1311.6989364603219</v>
      </c>
      <c r="O3426" s="165">
        <f>MROUND(G3426*N3426,0.00000001)</f>
        <v>1594.8341678300001</v>
      </c>
      <c r="P3426" s="166"/>
      <c r="Q3426" s="166">
        <f t="shared" si="725"/>
        <v>170647.25595781</v>
      </c>
      <c r="R3426" s="71"/>
    </row>
    <row r="3427" spans="1:18" s="61" customFormat="1" x14ac:dyDescent="0.25">
      <c r="A3427" s="358"/>
      <c r="B3427" s="361"/>
      <c r="C3427" s="218" t="s">
        <v>291</v>
      </c>
      <c r="D3427" s="232"/>
      <c r="E3427" s="232"/>
      <c r="F3427" s="232"/>
      <c r="G3427" s="227"/>
      <c r="H3427" s="228"/>
      <c r="I3427" s="206"/>
      <c r="J3427" s="228"/>
      <c r="K3427" s="207"/>
      <c r="L3427" s="229"/>
      <c r="M3427" s="209"/>
      <c r="N3427" s="210"/>
      <c r="O3427" s="198">
        <f>SUM(O3424:O3426)</f>
        <v>6277.7533620558006</v>
      </c>
      <c r="P3427" s="166"/>
      <c r="Q3427" s="166"/>
      <c r="R3427" s="71"/>
    </row>
    <row r="3428" spans="1:18" s="61" customFormat="1" x14ac:dyDescent="0.25">
      <c r="A3428" s="358"/>
      <c r="B3428" s="361"/>
      <c r="C3428" s="221" t="s">
        <v>77</v>
      </c>
      <c r="D3428" s="231"/>
      <c r="E3428" s="231"/>
      <c r="F3428" s="231"/>
      <c r="G3428" s="233">
        <f>MROUND(H3428*L3428*I3428/K3428,0.00000000001)</f>
        <v>0</v>
      </c>
      <c r="H3428" s="160"/>
      <c r="I3428" s="159">
        <f>I3426</f>
        <v>3.5477600000000001E-3</v>
      </c>
      <c r="J3428" s="160"/>
      <c r="K3428" s="161">
        <f>K3426</f>
        <v>107</v>
      </c>
      <c r="L3428" s="162"/>
      <c r="M3428" s="163"/>
      <c r="N3428" s="164"/>
      <c r="O3428" s="165">
        <f>MROUND(G3428*N3428,0.000000001)</f>
        <v>0</v>
      </c>
      <c r="P3428" s="166"/>
      <c r="Q3428" s="166">
        <f t="shared" ref="Q3428" si="726">O3428*K3428</f>
        <v>0</v>
      </c>
      <c r="R3428" s="71"/>
    </row>
    <row r="3429" spans="1:18" s="61" customFormat="1" x14ac:dyDescent="0.25">
      <c r="A3429" s="358"/>
      <c r="B3429" s="361"/>
      <c r="C3429" s="218" t="s">
        <v>292</v>
      </c>
      <c r="D3429" s="232"/>
      <c r="E3429" s="232"/>
      <c r="F3429" s="232"/>
      <c r="G3429" s="227"/>
      <c r="H3429" s="228"/>
      <c r="I3429" s="206"/>
      <c r="J3429" s="228"/>
      <c r="K3429" s="207"/>
      <c r="L3429" s="229"/>
      <c r="M3429" s="209"/>
      <c r="N3429" s="210"/>
      <c r="O3429" s="198">
        <f>O3428</f>
        <v>0</v>
      </c>
      <c r="P3429" s="166"/>
      <c r="Q3429" s="166"/>
      <c r="R3429" s="71"/>
    </row>
    <row r="3430" spans="1:18" s="61" customFormat="1" ht="51" customHeight="1" x14ac:dyDescent="0.25">
      <c r="A3430" s="358"/>
      <c r="B3430" s="361"/>
      <c r="C3430" s="221"/>
      <c r="D3430" s="350" t="s">
        <v>372</v>
      </c>
      <c r="E3430" s="350"/>
      <c r="F3430" s="350"/>
      <c r="G3430" s="350"/>
      <c r="H3430" s="195"/>
      <c r="I3430" s="159"/>
      <c r="J3430" s="195"/>
      <c r="K3430" s="161"/>
      <c r="L3430" s="234"/>
      <c r="M3430" s="230"/>
      <c r="N3430" s="164"/>
      <c r="O3430" s="165">
        <f t="shared" ref="O3430:O3431" si="727">MROUND(G3430*N3430,0.000001)</f>
        <v>0</v>
      </c>
      <c r="P3430" s="166"/>
      <c r="Q3430" s="166"/>
      <c r="R3430" s="71"/>
    </row>
    <row r="3431" spans="1:18" s="61" customFormat="1" x14ac:dyDescent="0.25">
      <c r="A3431" s="358"/>
      <c r="B3431" s="361"/>
      <c r="C3431" s="221"/>
      <c r="D3431" s="194"/>
      <c r="E3431" s="194"/>
      <c r="F3431" s="194"/>
      <c r="G3431" s="217"/>
      <c r="H3431" s="195"/>
      <c r="I3431" s="159"/>
      <c r="J3431" s="195"/>
      <c r="K3431" s="161"/>
      <c r="L3431" s="234"/>
      <c r="M3431" s="230"/>
      <c r="N3431" s="164"/>
      <c r="O3431" s="165">
        <f t="shared" si="727"/>
        <v>0</v>
      </c>
      <c r="P3431" s="166"/>
      <c r="Q3431" s="166"/>
      <c r="R3431" s="71"/>
    </row>
    <row r="3432" spans="1:18" s="61" customFormat="1" x14ac:dyDescent="0.25">
      <c r="A3432" s="358"/>
      <c r="B3432" s="361"/>
      <c r="C3432" s="218" t="s">
        <v>357</v>
      </c>
      <c r="D3432" s="377" t="s">
        <v>66</v>
      </c>
      <c r="E3432" s="377"/>
      <c r="F3432" s="377"/>
      <c r="G3432" s="377"/>
      <c r="H3432" s="195"/>
      <c r="I3432" s="159"/>
      <c r="J3432" s="195"/>
      <c r="K3432" s="161"/>
      <c r="L3432" s="234"/>
      <c r="M3432" s="230"/>
      <c r="N3432" s="164"/>
      <c r="O3432" s="198">
        <f>O3433</f>
        <v>18.818686</v>
      </c>
      <c r="P3432" s="166"/>
      <c r="Q3432" s="166"/>
      <c r="R3432" s="71"/>
    </row>
    <row r="3433" spans="1:18" s="61" customFormat="1" ht="47.25" x14ac:dyDescent="0.25">
      <c r="A3433" s="358"/>
      <c r="B3433" s="361"/>
      <c r="C3433" s="221"/>
      <c r="D3433" s="222" t="s">
        <v>374</v>
      </c>
      <c r="E3433" s="194" t="s">
        <v>28</v>
      </c>
      <c r="F3433" s="194" t="s">
        <v>28</v>
      </c>
      <c r="G3433" s="217">
        <f>MROUND(H3433*L3433*I3433/K3433,0.000000001)</f>
        <v>4.7745560000000001E-3</v>
      </c>
      <c r="H3433" s="201">
        <f>Лист1!C150</f>
        <v>36</v>
      </c>
      <c r="I3433" s="159">
        <f>I3428</f>
        <v>3.5477600000000001E-3</v>
      </c>
      <c r="J3433" s="195"/>
      <c r="K3433" s="161">
        <f>K3428</f>
        <v>107</v>
      </c>
      <c r="L3433" s="235">
        <v>4</v>
      </c>
      <c r="M3433" s="163" t="str">
        <f>CONCATENATE(H3433," ",F3433,"*",I3433,"/",K3433,"чел.")</f>
        <v>36 шт*0,00354776/107чел.</v>
      </c>
      <c r="N3433" s="164">
        <f>Лист1!E150</f>
        <v>3941.4525000000012</v>
      </c>
      <c r="O3433" s="165">
        <f t="shared" ref="O3433:O3437" si="728">MROUND(G3433*N3433,0.000001)</f>
        <v>18.818686</v>
      </c>
      <c r="P3433" s="166"/>
      <c r="Q3433" s="166">
        <f t="shared" ref="Q3433" si="729">O3433*K3433</f>
        <v>2013.5994020000001</v>
      </c>
      <c r="R3433" s="71"/>
    </row>
    <row r="3434" spans="1:18" s="61" customFormat="1" x14ac:dyDescent="0.25">
      <c r="A3434" s="358"/>
      <c r="B3434" s="361"/>
      <c r="C3434" s="221"/>
      <c r="D3434" s="368" t="s">
        <v>67</v>
      </c>
      <c r="E3434" s="368"/>
      <c r="F3434" s="368"/>
      <c r="G3434" s="368"/>
      <c r="H3434" s="195"/>
      <c r="I3434" s="159"/>
      <c r="J3434" s="195"/>
      <c r="K3434" s="161"/>
      <c r="L3434" s="234"/>
      <c r="M3434" s="230"/>
      <c r="N3434" s="164"/>
      <c r="O3434" s="165">
        <f t="shared" si="728"/>
        <v>0</v>
      </c>
      <c r="P3434" s="166"/>
      <c r="Q3434" s="166"/>
      <c r="R3434" s="71"/>
    </row>
    <row r="3435" spans="1:18" s="61" customFormat="1" x14ac:dyDescent="0.25">
      <c r="A3435" s="358"/>
      <c r="B3435" s="361"/>
      <c r="C3435" s="221"/>
      <c r="D3435" s="194"/>
      <c r="E3435" s="194"/>
      <c r="F3435" s="194"/>
      <c r="G3435" s="217"/>
      <c r="H3435" s="195"/>
      <c r="I3435" s="159"/>
      <c r="J3435" s="195"/>
      <c r="K3435" s="161"/>
      <c r="L3435" s="234"/>
      <c r="M3435" s="230"/>
      <c r="N3435" s="164"/>
      <c r="O3435" s="165">
        <f t="shared" si="728"/>
        <v>0</v>
      </c>
      <c r="P3435" s="166"/>
      <c r="Q3435" s="166"/>
      <c r="R3435" s="71"/>
    </row>
    <row r="3436" spans="1:18" s="61" customFormat="1" x14ac:dyDescent="0.25">
      <c r="A3436" s="358"/>
      <c r="B3436" s="361"/>
      <c r="C3436" s="221"/>
      <c r="D3436" s="350" t="s">
        <v>68</v>
      </c>
      <c r="E3436" s="350"/>
      <c r="F3436" s="350"/>
      <c r="G3436" s="350"/>
      <c r="H3436" s="195"/>
      <c r="I3436" s="159"/>
      <c r="J3436" s="195"/>
      <c r="K3436" s="161"/>
      <c r="L3436" s="234"/>
      <c r="M3436" s="230"/>
      <c r="N3436" s="164"/>
      <c r="O3436" s="165">
        <f t="shared" si="728"/>
        <v>0</v>
      </c>
      <c r="P3436" s="166"/>
      <c r="Q3436" s="166"/>
      <c r="R3436" s="71"/>
    </row>
    <row r="3437" spans="1:18" s="61" customFormat="1" x14ac:dyDescent="0.25">
      <c r="A3437" s="358"/>
      <c r="B3437" s="361"/>
      <c r="C3437" s="221"/>
      <c r="D3437" s="156"/>
      <c r="E3437" s="156"/>
      <c r="F3437" s="156"/>
      <c r="G3437" s="236"/>
      <c r="H3437" s="195"/>
      <c r="I3437" s="159"/>
      <c r="J3437" s="195"/>
      <c r="K3437" s="161"/>
      <c r="L3437" s="234"/>
      <c r="M3437" s="230"/>
      <c r="N3437" s="164"/>
      <c r="O3437" s="165">
        <f t="shared" si="728"/>
        <v>0</v>
      </c>
      <c r="P3437" s="166"/>
      <c r="Q3437" s="166"/>
      <c r="R3437" s="71"/>
    </row>
    <row r="3438" spans="1:18" s="61" customFormat="1" x14ac:dyDescent="0.25">
      <c r="A3438" s="358"/>
      <c r="B3438" s="361"/>
      <c r="C3438" s="221"/>
      <c r="D3438" s="368" t="s">
        <v>69</v>
      </c>
      <c r="E3438" s="368"/>
      <c r="F3438" s="368"/>
      <c r="G3438" s="368"/>
      <c r="H3438" s="187"/>
      <c r="I3438" s="159"/>
      <c r="J3438" s="187"/>
      <c r="K3438" s="161"/>
      <c r="L3438" s="237"/>
      <c r="M3438" s="230"/>
      <c r="N3438" s="164"/>
      <c r="O3438" s="198">
        <f>O3440+O3447+O3464+O3466+O3481+O3483+O3485+O3510+O3512+O3517+O3514</f>
        <v>765.8393006</v>
      </c>
      <c r="P3438" s="166"/>
      <c r="Q3438" s="166"/>
      <c r="R3438" s="71"/>
    </row>
    <row r="3439" spans="1:18" s="61" customFormat="1" x14ac:dyDescent="0.25">
      <c r="A3439" s="358"/>
      <c r="B3439" s="361"/>
      <c r="C3439" s="221">
        <v>224</v>
      </c>
      <c r="D3439" s="156" t="s">
        <v>21</v>
      </c>
      <c r="E3439" s="156" t="s">
        <v>22</v>
      </c>
      <c r="F3439" s="156" t="s">
        <v>22</v>
      </c>
      <c r="G3439" s="238">
        <f>MROUND(H3439*L3439*I3439/K3439,0.000000001)</f>
        <v>0</v>
      </c>
      <c r="H3439" s="158"/>
      <c r="I3439" s="159">
        <f>I3433</f>
        <v>3.5477600000000001E-3</v>
      </c>
      <c r="J3439" s="160"/>
      <c r="K3439" s="161">
        <f>K3433</f>
        <v>107</v>
      </c>
      <c r="L3439" s="162"/>
      <c r="M3439" s="163"/>
      <c r="N3439" s="164"/>
      <c r="O3439" s="165">
        <f>MROUND(G3439*N3439,0.000000001)</f>
        <v>0</v>
      </c>
      <c r="P3439" s="166"/>
      <c r="Q3439" s="166">
        <f t="shared" ref="Q3439" si="730">O3439*K3439</f>
        <v>0</v>
      </c>
      <c r="R3439" s="71"/>
    </row>
    <row r="3440" spans="1:18" s="61" customFormat="1" x14ac:dyDescent="0.25">
      <c r="A3440" s="358"/>
      <c r="B3440" s="361"/>
      <c r="C3440" s="239" t="s">
        <v>293</v>
      </c>
      <c r="D3440" s="240"/>
      <c r="E3440" s="240"/>
      <c r="F3440" s="240"/>
      <c r="G3440" s="227"/>
      <c r="H3440" s="241"/>
      <c r="I3440" s="206"/>
      <c r="J3440" s="228"/>
      <c r="K3440" s="207"/>
      <c r="L3440" s="229"/>
      <c r="M3440" s="209"/>
      <c r="N3440" s="210"/>
      <c r="O3440" s="198">
        <f>SUM(O3439)</f>
        <v>0</v>
      </c>
      <c r="P3440" s="166"/>
      <c r="Q3440" s="166"/>
      <c r="R3440" s="71"/>
    </row>
    <row r="3441" spans="1:41" s="61" customFormat="1" ht="31.5" x14ac:dyDescent="0.25">
      <c r="A3441" s="358"/>
      <c r="B3441" s="361"/>
      <c r="C3441" s="364" t="s">
        <v>78</v>
      </c>
      <c r="D3441" s="156" t="s">
        <v>26</v>
      </c>
      <c r="E3441" s="156" t="s">
        <v>22</v>
      </c>
      <c r="F3441" s="156" t="s">
        <v>22</v>
      </c>
      <c r="G3441" s="238">
        <f>MROUND(H3441*L3441*I3441/K3441,0.000001)</f>
        <v>10.28121</v>
      </c>
      <c r="H3441" s="158">
        <f>Лист1!C167</f>
        <v>25840</v>
      </c>
      <c r="I3441" s="159">
        <f>I3439</f>
        <v>3.5477600000000001E-3</v>
      </c>
      <c r="J3441" s="160"/>
      <c r="K3441" s="161">
        <f>K3439</f>
        <v>107</v>
      </c>
      <c r="L3441" s="162">
        <v>12</v>
      </c>
      <c r="M3441" s="163" t="str">
        <f>CONCATENATE(H3441," ",F3441,"(обрабатываемая площадь в мес.)","*",L3441,"мес.","*",I3441,"/",K3441,"чел.")</f>
        <v>25840 м2(обрабатываемая площадь в мес.)*12мес.*0,00354776/107чел.</v>
      </c>
      <c r="N3441" s="164">
        <f>Лист1!E167</f>
        <v>1.208548374613003</v>
      </c>
      <c r="O3441" s="165">
        <f t="shared" ref="O3441:O3446" si="731">MROUND(G3441*N3441,0.000001)</f>
        <v>12.42534</v>
      </c>
      <c r="P3441" s="166"/>
      <c r="Q3441" s="166">
        <f t="shared" ref="Q3441:Q3446" si="732">O3441*K3441</f>
        <v>1329.5113799999999</v>
      </c>
      <c r="R3441" s="71"/>
    </row>
    <row r="3442" spans="1:41" s="61" customFormat="1" ht="31.5" x14ac:dyDescent="0.25">
      <c r="A3442" s="358"/>
      <c r="B3442" s="361"/>
      <c r="C3442" s="364"/>
      <c r="D3442" s="156" t="s">
        <v>96</v>
      </c>
      <c r="E3442" s="156" t="s">
        <v>22</v>
      </c>
      <c r="F3442" s="156" t="s">
        <v>22</v>
      </c>
      <c r="G3442" s="238">
        <f>MROUND(H3442*L3442*I3442/K3442,0.000001)</f>
        <v>5.3216399999999995</v>
      </c>
      <c r="H3442" s="158">
        <f>Лист1!C168</f>
        <v>13375</v>
      </c>
      <c r="I3442" s="159">
        <f>I3441</f>
        <v>3.5477600000000001E-3</v>
      </c>
      <c r="J3442" s="160"/>
      <c r="K3442" s="161">
        <f>K3441</f>
        <v>107</v>
      </c>
      <c r="L3442" s="162">
        <v>12</v>
      </c>
      <c r="M3442" s="163" t="str">
        <f>CONCATENATE(H3442," ",F3442,"(обрабатываемая площадь в мес.)","*",L3442,"мес.","*",I3442,"/",K3442,"чел.")</f>
        <v>13375 м2(обрабатываемая площадь в мес.)*12мес.*0,00354776/107чел.</v>
      </c>
      <c r="N3442" s="164">
        <f>Лист1!E168</f>
        <v>1.93823800623053</v>
      </c>
      <c r="O3442" s="165">
        <f t="shared" si="731"/>
        <v>10.314605</v>
      </c>
      <c r="P3442" s="166"/>
      <c r="Q3442" s="166">
        <f t="shared" si="732"/>
        <v>1103.6627350000001</v>
      </c>
      <c r="R3442" s="71"/>
    </row>
    <row r="3443" spans="1:41" s="135" customFormat="1" ht="31.5" x14ac:dyDescent="0.25">
      <c r="A3443" s="358"/>
      <c r="B3443" s="361"/>
      <c r="C3443" s="364"/>
      <c r="D3443" s="156" t="s">
        <v>385</v>
      </c>
      <c r="E3443" s="156" t="s">
        <v>22</v>
      </c>
      <c r="F3443" s="156" t="s">
        <v>22</v>
      </c>
      <c r="G3443" s="238">
        <f>MROUND(H3443*L3443*I3443/K3443,0.000001)</f>
        <v>10.643279999999999</v>
      </c>
      <c r="H3443" s="242">
        <f>Лист1!C169</f>
        <v>13375</v>
      </c>
      <c r="I3443" s="159">
        <f>I3442</f>
        <v>3.5477600000000001E-3</v>
      </c>
      <c r="J3443" s="160"/>
      <c r="K3443" s="161">
        <f>K3442</f>
        <v>107</v>
      </c>
      <c r="L3443" s="162">
        <v>24</v>
      </c>
      <c r="M3443" s="163" t="str">
        <f>CONCATENATE(H3443," ",F3443,"(обрабатываемая площадь в год)","*",L3443," раза в год.","*",I3443,"/",K3443,"чел.")</f>
        <v>13375 м2(обрабатываемая площадь в год)*24 раза в год.*0,00354776/107чел.</v>
      </c>
      <c r="N3443" s="164">
        <f>Лист1!E169</f>
        <v>2.3942939563862917</v>
      </c>
      <c r="O3443" s="165">
        <f t="shared" si="731"/>
        <v>25.483141</v>
      </c>
      <c r="P3443" s="166"/>
      <c r="Q3443" s="166">
        <f t="shared" si="732"/>
        <v>2726.6960869999998</v>
      </c>
      <c r="R3443" s="71"/>
      <c r="S3443" s="61"/>
      <c r="T3443" s="61"/>
      <c r="U3443" s="61"/>
      <c r="V3443" s="61"/>
      <c r="W3443" s="61"/>
      <c r="X3443" s="61"/>
      <c r="Y3443" s="61"/>
      <c r="Z3443" s="61"/>
      <c r="AA3443" s="61"/>
      <c r="AB3443" s="61"/>
      <c r="AC3443" s="61"/>
      <c r="AD3443" s="61"/>
      <c r="AE3443" s="61"/>
      <c r="AF3443" s="61"/>
      <c r="AG3443" s="61"/>
      <c r="AH3443" s="61"/>
      <c r="AI3443" s="61"/>
      <c r="AJ3443" s="61"/>
      <c r="AK3443" s="61"/>
      <c r="AL3443" s="61"/>
      <c r="AM3443" s="61"/>
      <c r="AN3443" s="61"/>
      <c r="AO3443" s="61"/>
    </row>
    <row r="3444" spans="1:41" s="135" customFormat="1" ht="31.5" x14ac:dyDescent="0.25">
      <c r="A3444" s="358"/>
      <c r="B3444" s="361"/>
      <c r="C3444" s="364"/>
      <c r="D3444" s="156" t="s">
        <v>394</v>
      </c>
      <c r="E3444" s="156" t="s">
        <v>22</v>
      </c>
      <c r="F3444" s="156" t="s">
        <v>22</v>
      </c>
      <c r="G3444" s="238">
        <f>MROUND(H3444*L3444*I3444/K3444,0.000001)</f>
        <v>10.28121</v>
      </c>
      <c r="H3444" s="243">
        <f>Лист1!C170</f>
        <v>25840</v>
      </c>
      <c r="I3444" s="159">
        <f>I3443</f>
        <v>3.5477600000000001E-3</v>
      </c>
      <c r="J3444" s="160"/>
      <c r="K3444" s="161">
        <f>K3443</f>
        <v>107</v>
      </c>
      <c r="L3444" s="162">
        <v>12</v>
      </c>
      <c r="M3444" s="163" t="str">
        <f>CONCATENATE(H3444," ",F3444,"(обрабатываемая площадь в мес.)","*",L3444,"мес.","*",I3444,"/",K3444,"чел.")</f>
        <v>25840 м2(обрабатываемая площадь в мес.)*12мес.*0,00354776/107чел.</v>
      </c>
      <c r="N3444" s="164">
        <f>Лист1!E170</f>
        <v>0.57007004643962855</v>
      </c>
      <c r="O3444" s="165">
        <f t="shared" si="731"/>
        <v>5.8610099999999994</v>
      </c>
      <c r="P3444" s="166"/>
      <c r="Q3444" s="166">
        <f t="shared" si="732"/>
        <v>627.12806999999998</v>
      </c>
      <c r="R3444" s="71"/>
      <c r="S3444" s="61"/>
      <c r="T3444" s="61"/>
      <c r="U3444" s="61"/>
      <c r="V3444" s="61"/>
      <c r="W3444" s="61"/>
      <c r="X3444" s="61"/>
      <c r="Y3444" s="61"/>
      <c r="Z3444" s="61"/>
      <c r="AA3444" s="61"/>
      <c r="AB3444" s="61"/>
      <c r="AC3444" s="61"/>
      <c r="AD3444" s="61"/>
      <c r="AE3444" s="61"/>
      <c r="AF3444" s="61"/>
      <c r="AG3444" s="61"/>
      <c r="AH3444" s="61"/>
      <c r="AI3444" s="61"/>
      <c r="AJ3444" s="61"/>
      <c r="AK3444" s="61"/>
      <c r="AL3444" s="61"/>
      <c r="AM3444" s="61"/>
      <c r="AN3444" s="61"/>
      <c r="AO3444" s="61"/>
    </row>
    <row r="3445" spans="1:41" s="135" customFormat="1" ht="31.5" x14ac:dyDescent="0.25">
      <c r="A3445" s="358"/>
      <c r="B3445" s="361"/>
      <c r="C3445" s="364"/>
      <c r="D3445" s="156" t="s">
        <v>395</v>
      </c>
      <c r="E3445" s="156" t="s">
        <v>98</v>
      </c>
      <c r="F3445" s="156" t="s">
        <v>98</v>
      </c>
      <c r="G3445" s="238">
        <f>MROUND(H3445*L3445*I3445/K3445,0.00000001)</f>
        <v>6.2799000000000004E-4</v>
      </c>
      <c r="H3445" s="242">
        <f>Лист1!C172</f>
        <v>18.939999999999998</v>
      </c>
      <c r="I3445" s="159">
        <f>I3444</f>
        <v>3.5477600000000001E-3</v>
      </c>
      <c r="J3445" s="160"/>
      <c r="K3445" s="161">
        <f>K3441</f>
        <v>107</v>
      </c>
      <c r="L3445" s="162">
        <v>1</v>
      </c>
      <c r="M3445" s="163" t="str">
        <f>CONCATENATE(H3445," ",F3445,"(обрабатываемая площадь в год)","*",L3445," раз в год","*",I3445,"/",K3445,"чел.")</f>
        <v>18,94 Га(обрабатываемая площадь в год)*1 раз в год*0,00354776/107чел.</v>
      </c>
      <c r="N3445" s="164">
        <f>Лист1!E172</f>
        <v>570.07761351636793</v>
      </c>
      <c r="O3445" s="165">
        <f t="shared" si="731"/>
        <v>0.35800299999999996</v>
      </c>
      <c r="P3445" s="166"/>
      <c r="Q3445" s="166">
        <f t="shared" si="732"/>
        <v>38.306320999999997</v>
      </c>
      <c r="R3445" s="71"/>
      <c r="S3445" s="61"/>
      <c r="T3445" s="61"/>
      <c r="U3445" s="61"/>
      <c r="V3445" s="61"/>
      <c r="W3445" s="61"/>
      <c r="X3445" s="61"/>
      <c r="Y3445" s="61"/>
      <c r="Z3445" s="61"/>
      <c r="AA3445" s="61"/>
      <c r="AB3445" s="61"/>
      <c r="AC3445" s="61"/>
      <c r="AD3445" s="61"/>
      <c r="AE3445" s="61"/>
      <c r="AF3445" s="61"/>
      <c r="AG3445" s="61"/>
      <c r="AH3445" s="61"/>
      <c r="AI3445" s="61"/>
      <c r="AJ3445" s="61"/>
      <c r="AK3445" s="61"/>
      <c r="AL3445" s="61"/>
      <c r="AM3445" s="61"/>
      <c r="AN3445" s="61"/>
      <c r="AO3445" s="61"/>
    </row>
    <row r="3446" spans="1:41" s="61" customFormat="1" ht="31.5" x14ac:dyDescent="0.25">
      <c r="A3446" s="358"/>
      <c r="B3446" s="361"/>
      <c r="C3446" s="364"/>
      <c r="D3446" s="156" t="s">
        <v>97</v>
      </c>
      <c r="E3446" s="156" t="s">
        <v>98</v>
      </c>
      <c r="F3446" s="156" t="s">
        <v>98</v>
      </c>
      <c r="G3446" s="238">
        <f>MROUND(H3446*L3446*I3446/K3446,0.0000000001)</f>
        <v>6.279867E-4</v>
      </c>
      <c r="H3446" s="242">
        <f>Лист1!C171</f>
        <v>18.939999999999998</v>
      </c>
      <c r="I3446" s="244">
        <f>I3442</f>
        <v>3.5477600000000001E-3</v>
      </c>
      <c r="J3446" s="160"/>
      <c r="K3446" s="161">
        <f>K3442</f>
        <v>107</v>
      </c>
      <c r="L3446" s="162">
        <v>1</v>
      </c>
      <c r="M3446" s="163" t="str">
        <f>CONCATENATE(H3446," ",F3446,"(обрабатываемая площадь в год)","*",L3446," раз в год","*",I3446,"/",K3446,"чел.")</f>
        <v>18,94 Га(обрабатываемая площадь в год)*1 раз в год*0,00354776/107чел.</v>
      </c>
      <c r="N3446" s="164">
        <f>Лист1!E171</f>
        <v>3102.4186906018999</v>
      </c>
      <c r="O3446" s="165">
        <f t="shared" si="731"/>
        <v>1.948278</v>
      </c>
      <c r="P3446" s="166"/>
      <c r="Q3446" s="166">
        <f t="shared" si="732"/>
        <v>208.465746</v>
      </c>
      <c r="R3446" s="71"/>
    </row>
    <row r="3447" spans="1:41" s="61" customFormat="1" x14ac:dyDescent="0.25">
      <c r="A3447" s="358"/>
      <c r="B3447" s="361"/>
      <c r="C3447" s="245" t="s">
        <v>294</v>
      </c>
      <c r="D3447" s="240"/>
      <c r="E3447" s="240"/>
      <c r="F3447" s="240"/>
      <c r="G3447" s="227"/>
      <c r="H3447" s="241"/>
      <c r="I3447" s="206"/>
      <c r="J3447" s="228"/>
      <c r="K3447" s="207"/>
      <c r="L3447" s="229"/>
      <c r="M3447" s="209"/>
      <c r="N3447" s="210"/>
      <c r="O3447" s="198">
        <f>SUM(O3441:O3446)</f>
        <v>56.390376999999994</v>
      </c>
      <c r="P3447" s="166"/>
      <c r="Q3447" s="166"/>
      <c r="R3447" s="71"/>
    </row>
    <row r="3448" spans="1:41" s="61" customFormat="1" ht="63" x14ac:dyDescent="0.25">
      <c r="A3448" s="358"/>
      <c r="B3448" s="361"/>
      <c r="C3448" s="365" t="s">
        <v>77</v>
      </c>
      <c r="D3448" s="156" t="s">
        <v>29</v>
      </c>
      <c r="E3448" s="156" t="s">
        <v>58</v>
      </c>
      <c r="F3448" s="156" t="s">
        <v>218</v>
      </c>
      <c r="G3448" s="157">
        <f>MROUND(H3448*L3448*I3448/K3448,0.000000001)</f>
        <v>1.9893980000000003E-3</v>
      </c>
      <c r="H3448" s="158">
        <v>15</v>
      </c>
      <c r="I3448" s="159">
        <f>I3446</f>
        <v>3.5477600000000001E-3</v>
      </c>
      <c r="J3448" s="160"/>
      <c r="K3448" s="161">
        <f>K3446</f>
        <v>107</v>
      </c>
      <c r="L3448" s="162">
        <v>4</v>
      </c>
      <c r="M3448" s="163" t="str">
        <f>CONCATENATE(H3448," ",F3448,"*",L3448," раза в год","*",I3448,"/",K3448,"чел.")</f>
        <v>15 установок*4 раза в год*0,00354776/107чел.</v>
      </c>
      <c r="N3448" s="164">
        <f>Лист1!E174</f>
        <v>2264.8651666666669</v>
      </c>
      <c r="O3448" s="165">
        <f>MROUND(G3448*N3448,0.000001)</f>
        <v>4.5057179999999999</v>
      </c>
      <c r="P3448" s="166"/>
      <c r="Q3448" s="166">
        <f t="shared" ref="Q3448:Q3463" si="733">O3448*K3448</f>
        <v>482.11182600000001</v>
      </c>
      <c r="R3448" s="71"/>
    </row>
    <row r="3449" spans="1:41" s="61" customFormat="1" ht="47.25" x14ac:dyDescent="0.25">
      <c r="A3449" s="358"/>
      <c r="B3449" s="361"/>
      <c r="C3449" s="366"/>
      <c r="D3449" s="156" t="s">
        <v>30</v>
      </c>
      <c r="E3449" s="156" t="s">
        <v>58</v>
      </c>
      <c r="F3449" s="156" t="s">
        <v>218</v>
      </c>
      <c r="G3449" s="157">
        <f>MROUND(H3449*L3449*I3449/K3449,0.000000001)</f>
        <v>9.9469900000000015E-4</v>
      </c>
      <c r="H3449" s="158">
        <v>15</v>
      </c>
      <c r="I3449" s="159">
        <f t="shared" ref="I3449:I3457" si="734">I3448</f>
        <v>3.5477600000000001E-3</v>
      </c>
      <c r="J3449" s="160"/>
      <c r="K3449" s="161">
        <f t="shared" ref="K3449:K3457" si="735">K3448</f>
        <v>107</v>
      </c>
      <c r="L3449" s="162">
        <v>2</v>
      </c>
      <c r="M3449" s="163" t="str">
        <f>CONCATENATE(H3449," ",F3449,"*",L3449,"полуг.","*",I3449,"/",K3449,"чел.")</f>
        <v>15 установок*2полуг.*0,00354776/107чел.</v>
      </c>
      <c r="N3449" s="164">
        <f>Лист1!E175</f>
        <v>4529.7303333333339</v>
      </c>
      <c r="O3449" s="165">
        <f>MROUND(G3449*N3449,0.000001)</f>
        <v>4.5057179999999999</v>
      </c>
      <c r="P3449" s="166"/>
      <c r="Q3449" s="166">
        <f t="shared" si="733"/>
        <v>482.11182600000001</v>
      </c>
      <c r="R3449" s="71"/>
    </row>
    <row r="3450" spans="1:41" s="61" customFormat="1" ht="31.5" x14ac:dyDescent="0.25">
      <c r="A3450" s="358"/>
      <c r="B3450" s="361"/>
      <c r="C3450" s="366"/>
      <c r="D3450" s="156" t="s">
        <v>397</v>
      </c>
      <c r="E3450" s="156" t="s">
        <v>433</v>
      </c>
      <c r="F3450" s="156" t="s">
        <v>433</v>
      </c>
      <c r="G3450" s="157">
        <f>MROUND(H3450*L3450*I3450/K3450,0.000000001)</f>
        <v>9.9469910000000005E-3</v>
      </c>
      <c r="H3450" s="158">
        <f>Лист1!C176</f>
        <v>300</v>
      </c>
      <c r="I3450" s="159">
        <f t="shared" si="734"/>
        <v>3.5477600000000001E-3</v>
      </c>
      <c r="J3450" s="160"/>
      <c r="K3450" s="161">
        <f t="shared" si="735"/>
        <v>107</v>
      </c>
      <c r="L3450" s="162">
        <v>1</v>
      </c>
      <c r="M3450" s="163" t="str">
        <f>CONCATENATE(H3450," ",F3450,"(обрабатываемая площадь в год)","*",L3450," раз в год","*",I3450,"/",K3450,"чел.")</f>
        <v>300 м2.(обрабатываемая площадь в год)*1 раз в год*0,00354776/107чел.</v>
      </c>
      <c r="N3450" s="164">
        <f>Лист1!E176</f>
        <v>300</v>
      </c>
      <c r="O3450" s="165">
        <f>MROUND(G3450*N3450,0.000001)</f>
        <v>2.9840969999999998</v>
      </c>
      <c r="P3450" s="166"/>
      <c r="Q3450" s="166">
        <f t="shared" si="733"/>
        <v>319.29837899999995</v>
      </c>
      <c r="R3450" s="71"/>
    </row>
    <row r="3451" spans="1:41" s="61" customFormat="1" ht="47.25" x14ac:dyDescent="0.25">
      <c r="A3451" s="358"/>
      <c r="B3451" s="361"/>
      <c r="C3451" s="366"/>
      <c r="D3451" s="156" t="s">
        <v>32</v>
      </c>
      <c r="E3451" s="156" t="s">
        <v>55</v>
      </c>
      <c r="F3451" s="156" t="s">
        <v>219</v>
      </c>
      <c r="G3451" s="157">
        <f>MROUND(H3451*L3451*I3451/K3451,0.000000001)</f>
        <v>4.7745560000000001E-3</v>
      </c>
      <c r="H3451" s="158">
        <f>Лист1!C177</f>
        <v>36</v>
      </c>
      <c r="I3451" s="159">
        <f t="shared" si="734"/>
        <v>3.5477600000000001E-3</v>
      </c>
      <c r="J3451" s="160"/>
      <c r="K3451" s="161">
        <f t="shared" si="735"/>
        <v>107</v>
      </c>
      <c r="L3451" s="162">
        <v>4</v>
      </c>
      <c r="M3451" s="163" t="str">
        <f>CONCATENATE(H3451," ",F3451,"*",L3451,"кв.","*",I3451,"/",K3451,"чел.")</f>
        <v>36 системы*4кв.*0,00354776/107чел.</v>
      </c>
      <c r="N3451" s="164">
        <f>Лист1!E177</f>
        <v>7243.0565277777823</v>
      </c>
      <c r="O3451" s="165">
        <f>MROUND(G3451*N3451,0.000001)</f>
        <v>34.582378999999996</v>
      </c>
      <c r="P3451" s="166"/>
      <c r="Q3451" s="166">
        <f t="shared" si="733"/>
        <v>3700.3145529999997</v>
      </c>
      <c r="R3451" s="71"/>
    </row>
    <row r="3452" spans="1:41" s="61" customFormat="1" ht="63" x14ac:dyDescent="0.25">
      <c r="A3452" s="358"/>
      <c r="B3452" s="361"/>
      <c r="C3452" s="366"/>
      <c r="D3452" s="156" t="s">
        <v>33</v>
      </c>
      <c r="E3452" s="156" t="s">
        <v>56</v>
      </c>
      <c r="F3452" s="156" t="s">
        <v>220</v>
      </c>
      <c r="G3452" s="157">
        <f>MROUND(H3452*L3452*I3452/K3452,0.000000001)</f>
        <v>1.193639E-3</v>
      </c>
      <c r="H3452" s="158">
        <f>Лист1!C179</f>
        <v>36</v>
      </c>
      <c r="I3452" s="159">
        <f t="shared" si="734"/>
        <v>3.5477600000000001E-3</v>
      </c>
      <c r="J3452" s="160"/>
      <c r="K3452" s="161">
        <f t="shared" si="735"/>
        <v>107</v>
      </c>
      <c r="L3452" s="162">
        <v>1</v>
      </c>
      <c r="M3452" s="163" t="str">
        <f>CONCATENATE(H3452," ",F3452,"*",L3452," раз в год","*",I3452,"/",K3452,"чел.")</f>
        <v>36 дымоходов*1 раз в год*0,00354776/107чел.</v>
      </c>
      <c r="N3452" s="164">
        <f>Лист1!E179</f>
        <v>7030.863333333331</v>
      </c>
      <c r="O3452" s="165">
        <f>MROUND(G3452*N3452,0.000001)</f>
        <v>8.3923129999999997</v>
      </c>
      <c r="P3452" s="166"/>
      <c r="Q3452" s="166">
        <f t="shared" si="733"/>
        <v>897.97749099999999</v>
      </c>
      <c r="R3452" s="71"/>
    </row>
    <row r="3453" spans="1:41" s="61" customFormat="1" x14ac:dyDescent="0.25">
      <c r="A3453" s="358"/>
      <c r="B3453" s="361"/>
      <c r="C3453" s="366"/>
      <c r="D3453" s="194" t="s">
        <v>398</v>
      </c>
      <c r="E3453" s="156" t="s">
        <v>60</v>
      </c>
      <c r="F3453" s="156" t="s">
        <v>60</v>
      </c>
      <c r="G3453" s="266">
        <f t="shared" ref="G3453" si="736">MROUND(H3453*L3453*I3453/K3453,0.00000001)</f>
        <v>1.16048E-3</v>
      </c>
      <c r="H3453" s="246">
        <f>Лист1!C40</f>
        <v>35</v>
      </c>
      <c r="I3453" s="159">
        <f t="shared" si="734"/>
        <v>3.5477600000000001E-3</v>
      </c>
      <c r="J3453" s="160"/>
      <c r="K3453" s="161">
        <f t="shared" si="735"/>
        <v>107</v>
      </c>
      <c r="L3453" s="162">
        <v>1</v>
      </c>
      <c r="M3453" s="163" t="str">
        <f>CONCATENATE(H3453," ",F3453,"*",I3453,"/",K3453,"чел.")</f>
        <v>35 шт.*0,00354776/107чел.</v>
      </c>
      <c r="N3453" s="164">
        <f>Лист1!E180</f>
        <v>12173.433428571419</v>
      </c>
      <c r="O3453" s="165">
        <f t="shared" ref="O3453:O3454" si="737">MROUND(G3453*N3453,0.000001)</f>
        <v>14.127025999999999</v>
      </c>
      <c r="P3453" s="166"/>
      <c r="Q3453" s="166">
        <f t="shared" si="733"/>
        <v>1511.591782</v>
      </c>
      <c r="R3453" s="71"/>
    </row>
    <row r="3454" spans="1:41" s="61" customFormat="1" ht="47.25" x14ac:dyDescent="0.25">
      <c r="A3454" s="358"/>
      <c r="B3454" s="361"/>
      <c r="C3454" s="366"/>
      <c r="D3454" s="156" t="s">
        <v>401</v>
      </c>
      <c r="E3454" s="156" t="s">
        <v>60</v>
      </c>
      <c r="F3454" s="156" t="s">
        <v>402</v>
      </c>
      <c r="G3454" s="157">
        <f t="shared" ref="G3454" si="738">MROUND(H3454*L3454*I3454/K3454,0.000000001)</f>
        <v>2.320964E-3</v>
      </c>
      <c r="H3454" s="246">
        <f>Лист1!C181</f>
        <v>35</v>
      </c>
      <c r="I3454" s="159">
        <f t="shared" si="734"/>
        <v>3.5477600000000001E-3</v>
      </c>
      <c r="J3454" s="160"/>
      <c r="K3454" s="161">
        <f t="shared" si="735"/>
        <v>107</v>
      </c>
      <c r="L3454" s="162">
        <v>2</v>
      </c>
      <c r="M3454" s="163" t="str">
        <f>CONCATENATE(H3454," ",F3454,"*",L3454," раз в год","*",I3454,"/",K3454,"чел.")</f>
        <v>35 противопожарных водопроводов*2 раз в год*0,00354776/107чел.</v>
      </c>
      <c r="N3454" s="164">
        <f>Лист1!E181</f>
        <v>5700.7000000000025</v>
      </c>
      <c r="O3454" s="165">
        <f t="shared" si="737"/>
        <v>13.231119</v>
      </c>
      <c r="P3454" s="166"/>
      <c r="Q3454" s="166">
        <f t="shared" si="733"/>
        <v>1415.7297329999999</v>
      </c>
      <c r="R3454" s="71"/>
    </row>
    <row r="3455" spans="1:41" s="61" customFormat="1" ht="31.5" x14ac:dyDescent="0.25">
      <c r="A3455" s="358"/>
      <c r="B3455" s="361"/>
      <c r="C3455" s="366"/>
      <c r="D3455" s="156" t="s">
        <v>221</v>
      </c>
      <c r="E3455" s="156" t="s">
        <v>60</v>
      </c>
      <c r="F3455" s="156" t="s">
        <v>60</v>
      </c>
      <c r="G3455" s="157">
        <f>MROUND(H3455*L3455*I3455/K3455,0.00000000001)</f>
        <v>7.1618332699999992E-3</v>
      </c>
      <c r="H3455" s="158">
        <f>Лист1!C182</f>
        <v>18</v>
      </c>
      <c r="I3455" s="159">
        <f t="shared" si="734"/>
        <v>3.5477600000000001E-3</v>
      </c>
      <c r="J3455" s="160"/>
      <c r="K3455" s="161">
        <f t="shared" si="735"/>
        <v>107</v>
      </c>
      <c r="L3455" s="247">
        <v>12</v>
      </c>
      <c r="M3455" s="163" t="str">
        <f>CONCATENATE(H3455," ",F3455,"*",L3455,"мес.","*",I3455,"/",K3455,"чел.")</f>
        <v>18 шт.*12мес.*0,00354776/107чел.</v>
      </c>
      <c r="N3455" s="164">
        <f>Лист1!E182</f>
        <v>6577.3408796296308</v>
      </c>
      <c r="O3455" s="165">
        <f>MROUND(G3455*N3455,0.000001)</f>
        <v>47.105818999999997</v>
      </c>
      <c r="P3455" s="166"/>
      <c r="Q3455" s="166">
        <f t="shared" si="733"/>
        <v>5040.3226329999998</v>
      </c>
      <c r="R3455" s="71"/>
    </row>
    <row r="3456" spans="1:41" s="61" customFormat="1" ht="47.25" x14ac:dyDescent="0.25">
      <c r="A3456" s="358"/>
      <c r="B3456" s="361"/>
      <c r="C3456" s="366"/>
      <c r="D3456" s="156" t="s">
        <v>34</v>
      </c>
      <c r="E3456" s="156" t="s">
        <v>59</v>
      </c>
      <c r="F3456" s="156" t="s">
        <v>28</v>
      </c>
      <c r="G3456" s="157">
        <f>MROUND(H3456*L3456*I3456/K3456,0.000000000001)</f>
        <v>6.6313271000000002E-5</v>
      </c>
      <c r="H3456" s="158">
        <f>Лист1!C183</f>
        <v>2</v>
      </c>
      <c r="I3456" s="159">
        <f t="shared" si="734"/>
        <v>3.5477600000000001E-3</v>
      </c>
      <c r="J3456" s="160"/>
      <c r="K3456" s="161">
        <f t="shared" si="735"/>
        <v>107</v>
      </c>
      <c r="L3456" s="162">
        <v>1</v>
      </c>
      <c r="M3456" s="163" t="str">
        <f>CONCATENATE(H3456," ",F3456,"*",I3456,"/",K3456,"чел.")</f>
        <v>2 шт*0,00354776/107чел.</v>
      </c>
      <c r="N3456" s="164">
        <f>Лист1!E183</f>
        <v>7845</v>
      </c>
      <c r="O3456" s="165">
        <f t="shared" ref="O3456" si="739">MROUND(G3456*N3456,0.000001)</f>
        <v>0.52022800000000002</v>
      </c>
      <c r="P3456" s="166"/>
      <c r="Q3456" s="166">
        <f t="shared" si="733"/>
        <v>55.664396000000004</v>
      </c>
      <c r="R3456" s="71"/>
    </row>
    <row r="3457" spans="1:18" s="61" customFormat="1" ht="47.25" x14ac:dyDescent="0.25">
      <c r="A3457" s="358"/>
      <c r="B3457" s="361"/>
      <c r="C3457" s="366"/>
      <c r="D3457" s="156" t="s">
        <v>222</v>
      </c>
      <c r="E3457" s="156" t="s">
        <v>60</v>
      </c>
      <c r="F3457" s="156" t="s">
        <v>60</v>
      </c>
      <c r="G3457" s="157">
        <f t="shared" ref="G3457:G3463" si="740">MROUND(H3457*L3457*I3457/K3457,0.000000001)</f>
        <v>1.6578300000000002E-4</v>
      </c>
      <c r="H3457" s="248">
        <f>Лист1!C184</f>
        <v>5</v>
      </c>
      <c r="I3457" s="159">
        <f t="shared" si="734"/>
        <v>3.5477600000000001E-3</v>
      </c>
      <c r="J3457" s="160"/>
      <c r="K3457" s="161">
        <f t="shared" si="735"/>
        <v>107</v>
      </c>
      <c r="L3457" s="162">
        <v>1</v>
      </c>
      <c r="M3457" s="163" t="str">
        <f>CONCATENATE(H3457," ",F3457,"*",I3457,"/",K3457,"чел.")</f>
        <v>5 шт.*0,00354776/107чел.</v>
      </c>
      <c r="N3457" s="164">
        <f>Лист1!E184</f>
        <v>43857.106</v>
      </c>
      <c r="O3457" s="165">
        <f>MROUND(G3457*N3457,0.00000001)</f>
        <v>7.2707626000000003</v>
      </c>
      <c r="P3457" s="166"/>
      <c r="Q3457" s="166">
        <f t="shared" si="733"/>
        <v>777.97159820000002</v>
      </c>
      <c r="R3457" s="71"/>
    </row>
    <row r="3458" spans="1:18" s="61" customFormat="1" ht="31.5" x14ac:dyDescent="0.25">
      <c r="A3458" s="358"/>
      <c r="B3458" s="361"/>
      <c r="C3458" s="366"/>
      <c r="D3458" s="156" t="s">
        <v>35</v>
      </c>
      <c r="E3458" s="156" t="s">
        <v>102</v>
      </c>
      <c r="F3458" s="156" t="s">
        <v>223</v>
      </c>
      <c r="G3458" s="157">
        <f t="shared" si="740"/>
        <v>1.160482E-3</v>
      </c>
      <c r="H3458" s="158">
        <f>Лист1!C185</f>
        <v>35</v>
      </c>
      <c r="I3458" s="159">
        <f>I3456</f>
        <v>3.5477600000000001E-3</v>
      </c>
      <c r="J3458" s="160"/>
      <c r="K3458" s="161">
        <f>K3456</f>
        <v>107</v>
      </c>
      <c r="L3458" s="162">
        <v>1</v>
      </c>
      <c r="M3458" s="163" t="str">
        <f>CONCATENATE(H3458," ",F3458,"*",I3458,"/",K3458,"чел.")</f>
        <v>35 замеров*0,00354776/107чел.</v>
      </c>
      <c r="N3458" s="164">
        <f>Лист1!E185</f>
        <v>26428.571428571428</v>
      </c>
      <c r="O3458" s="165">
        <f t="shared" ref="O3458" si="741">MROUND(G3458*N3458,0.000001)</f>
        <v>30.669881</v>
      </c>
      <c r="P3458" s="166"/>
      <c r="Q3458" s="166">
        <f t="shared" si="733"/>
        <v>3281.677267</v>
      </c>
      <c r="R3458" s="71"/>
    </row>
    <row r="3459" spans="1:18" s="61" customFormat="1" ht="47.25" x14ac:dyDescent="0.25">
      <c r="A3459" s="358"/>
      <c r="B3459" s="361"/>
      <c r="C3459" s="366"/>
      <c r="D3459" s="156" t="s">
        <v>399</v>
      </c>
      <c r="E3459" s="156" t="s">
        <v>60</v>
      </c>
      <c r="F3459" s="156" t="s">
        <v>60</v>
      </c>
      <c r="G3459" s="157">
        <f t="shared" si="740"/>
        <v>1.1604822000000001E-2</v>
      </c>
      <c r="H3459" s="158">
        <f>Лист1!C186</f>
        <v>35</v>
      </c>
      <c r="I3459" s="159">
        <f>I3458</f>
        <v>3.5477600000000001E-3</v>
      </c>
      <c r="J3459" s="160"/>
      <c r="K3459" s="161">
        <f>K3458</f>
        <v>107</v>
      </c>
      <c r="L3459" s="162">
        <v>10</v>
      </c>
      <c r="M3459" s="163" t="str">
        <f>CONCATENATE(H3459," ",F3459,"*",L3459,"мес.","*",I3459,"/",K3459,"чел.")</f>
        <v>35 шт.*10мес.*0,00354776/107чел.</v>
      </c>
      <c r="N3459" s="164">
        <f>Лист1!E186</f>
        <v>3250.866542857143</v>
      </c>
      <c r="O3459" s="165">
        <f>MROUND(G3459*N3459,0.000001)</f>
        <v>37.725727999999997</v>
      </c>
      <c r="P3459" s="166"/>
      <c r="Q3459" s="166">
        <f t="shared" si="733"/>
        <v>4036.6528959999996</v>
      </c>
      <c r="R3459" s="71"/>
    </row>
    <row r="3460" spans="1:18" s="61" customFormat="1" ht="47.25" x14ac:dyDescent="0.25">
      <c r="A3460" s="358"/>
      <c r="B3460" s="361"/>
      <c r="C3460" s="366"/>
      <c r="D3460" s="156" t="s">
        <v>36</v>
      </c>
      <c r="E3460" s="156" t="s">
        <v>31</v>
      </c>
      <c r="F3460" s="156" t="s">
        <v>224</v>
      </c>
      <c r="G3460" s="157">
        <f t="shared" si="740"/>
        <v>1.4323667000000002E-2</v>
      </c>
      <c r="H3460" s="158">
        <f>Лист1!C187</f>
        <v>36</v>
      </c>
      <c r="I3460" s="159">
        <f>I3459</f>
        <v>3.5477600000000001E-3</v>
      </c>
      <c r="J3460" s="160"/>
      <c r="K3460" s="161">
        <f>K3459</f>
        <v>107</v>
      </c>
      <c r="L3460" s="162">
        <v>12</v>
      </c>
      <c r="M3460" s="163" t="str">
        <f>CONCATENATE(H3460," ",F3460,"*",L3460,"мес.","*",I3460,"/",K3460,"чел.")</f>
        <v>36 устройств*12мес.*0,00354776/107чел.</v>
      </c>
      <c r="N3460" s="164">
        <f>Лист1!E187</f>
        <v>2508.3083101851839</v>
      </c>
      <c r="O3460" s="165">
        <f t="shared" ref="O3460" si="742">MROUND(G3460*N3460,0.000001)</f>
        <v>35.928173000000001</v>
      </c>
      <c r="P3460" s="166"/>
      <c r="Q3460" s="166">
        <f t="shared" si="733"/>
        <v>3844.314511</v>
      </c>
      <c r="R3460" s="71"/>
    </row>
    <row r="3461" spans="1:18" s="61" customFormat="1" ht="31.5" x14ac:dyDescent="0.25">
      <c r="A3461" s="358"/>
      <c r="B3461" s="361"/>
      <c r="C3461" s="366"/>
      <c r="D3461" s="156" t="s">
        <v>99</v>
      </c>
      <c r="E3461" s="156" t="s">
        <v>103</v>
      </c>
      <c r="F3461" s="156" t="s">
        <v>225</v>
      </c>
      <c r="G3461" s="157">
        <f t="shared" si="740"/>
        <v>8.2891590000000008E-3</v>
      </c>
      <c r="H3461" s="158">
        <f>Лист1!C188</f>
        <v>250</v>
      </c>
      <c r="I3461" s="159">
        <f>I3460</f>
        <v>3.5477600000000001E-3</v>
      </c>
      <c r="J3461" s="160"/>
      <c r="K3461" s="161">
        <f>K3460</f>
        <v>107</v>
      </c>
      <c r="L3461" s="162">
        <v>1</v>
      </c>
      <c r="M3461" s="163" t="str">
        <f>CONCATENATE(H3461," ",F3461,"*",I3461,"/",K3461,"чел.")</f>
        <v>250 ед.*0,00354776/107чел.</v>
      </c>
      <c r="N3461" s="164">
        <f>Лист1!E188</f>
        <v>15000</v>
      </c>
      <c r="O3461" s="165">
        <f>MROUND(G3461*N3461,0.000001)</f>
        <v>124.337385</v>
      </c>
      <c r="P3461" s="166"/>
      <c r="Q3461" s="166">
        <f t="shared" si="733"/>
        <v>13304.100194999999</v>
      </c>
      <c r="R3461" s="71"/>
    </row>
    <row r="3462" spans="1:18" s="61" customFormat="1" x14ac:dyDescent="0.25">
      <c r="A3462" s="358"/>
      <c r="B3462" s="361"/>
      <c r="C3462" s="366"/>
      <c r="D3462" s="156" t="s">
        <v>27</v>
      </c>
      <c r="E3462" s="156" t="s">
        <v>28</v>
      </c>
      <c r="F3462" s="156" t="s">
        <v>28</v>
      </c>
      <c r="G3462" s="157">
        <f t="shared" si="740"/>
        <v>0.12052437000000001</v>
      </c>
      <c r="H3462" s="160">
        <f>Лист1!C189</f>
        <v>3635</v>
      </c>
      <c r="I3462" s="159">
        <f>I3461</f>
        <v>3.5477600000000001E-3</v>
      </c>
      <c r="J3462" s="160"/>
      <c r="K3462" s="161">
        <f>K3461</f>
        <v>107</v>
      </c>
      <c r="L3462" s="162">
        <v>1</v>
      </c>
      <c r="M3462" s="163" t="str">
        <f>CONCATENATE(H3462," ",F3462,"*",I3462,"/",K3462,"чел.")</f>
        <v>3635 шт*0,00354776/107чел.</v>
      </c>
      <c r="N3462" s="164">
        <f>Лист1!E189</f>
        <v>418.4</v>
      </c>
      <c r="O3462" s="165">
        <f t="shared" ref="O3462:O3463" si="743">MROUND(G3462*N3462,0.000001)</f>
        <v>50.427395999999995</v>
      </c>
      <c r="P3462" s="166"/>
      <c r="Q3462" s="166">
        <f t="shared" si="733"/>
        <v>5395.7313719999993</v>
      </c>
      <c r="R3462" s="71"/>
    </row>
    <row r="3463" spans="1:18" s="61" customFormat="1" ht="31.5" x14ac:dyDescent="0.25">
      <c r="A3463" s="358"/>
      <c r="B3463" s="361"/>
      <c r="C3463" s="367"/>
      <c r="D3463" s="156" t="s">
        <v>104</v>
      </c>
      <c r="E3463" s="156" t="s">
        <v>105</v>
      </c>
      <c r="F3463" s="156" t="s">
        <v>226</v>
      </c>
      <c r="G3463" s="157">
        <f t="shared" si="740"/>
        <v>1.193639E-3</v>
      </c>
      <c r="H3463" s="160">
        <f>Лист1!C190</f>
        <v>36</v>
      </c>
      <c r="I3463" s="159">
        <f>I3462</f>
        <v>3.5477600000000001E-3</v>
      </c>
      <c r="J3463" s="160"/>
      <c r="K3463" s="161">
        <f>K3462</f>
        <v>107</v>
      </c>
      <c r="L3463" s="162">
        <v>1</v>
      </c>
      <c r="M3463" s="163" t="str">
        <f>CONCATENATE(H3463," ",F3463,"*",I3463,"/",K3463,"чел.")</f>
        <v>36 отключений*0,00354776/107чел.</v>
      </c>
      <c r="N3463" s="164">
        <f>Лист1!E190</f>
        <v>10261.260000000004</v>
      </c>
      <c r="O3463" s="165">
        <f t="shared" si="743"/>
        <v>12.248239999999999</v>
      </c>
      <c r="P3463" s="166"/>
      <c r="Q3463" s="166">
        <f t="shared" si="733"/>
        <v>1310.5616799999998</v>
      </c>
      <c r="R3463" s="71"/>
    </row>
    <row r="3464" spans="1:18" s="61" customFormat="1" x14ac:dyDescent="0.25">
      <c r="A3464" s="358"/>
      <c r="B3464" s="361"/>
      <c r="C3464" s="249" t="s">
        <v>292</v>
      </c>
      <c r="D3464" s="240"/>
      <c r="E3464" s="240"/>
      <c r="F3464" s="240"/>
      <c r="G3464" s="227"/>
      <c r="H3464" s="228"/>
      <c r="I3464" s="206"/>
      <c r="J3464" s="228"/>
      <c r="K3464" s="207"/>
      <c r="L3464" s="229"/>
      <c r="M3464" s="209"/>
      <c r="N3464" s="210"/>
      <c r="O3464" s="198">
        <f>SUM(O3448:O3463)</f>
        <v>428.56198260000002</v>
      </c>
      <c r="P3464" s="166"/>
      <c r="Q3464" s="166"/>
      <c r="R3464" s="71"/>
    </row>
    <row r="3465" spans="1:18" s="61" customFormat="1" ht="31.5" x14ac:dyDescent="0.25">
      <c r="A3465" s="358"/>
      <c r="B3465" s="361"/>
      <c r="C3465" s="221" t="s">
        <v>79</v>
      </c>
      <c r="D3465" s="156" t="s">
        <v>37</v>
      </c>
      <c r="E3465" s="156" t="s">
        <v>61</v>
      </c>
      <c r="F3465" s="156" t="s">
        <v>227</v>
      </c>
      <c r="G3465" s="157">
        <f>MROUND(H3465*L3465*I3465/K3465,0.000000001)</f>
        <v>1.3262700000000002E-4</v>
      </c>
      <c r="H3465" s="158">
        <f>Лист1!C192</f>
        <v>4</v>
      </c>
      <c r="I3465" s="159">
        <f>I3463</f>
        <v>3.5477600000000001E-3</v>
      </c>
      <c r="J3465" s="160"/>
      <c r="K3465" s="161">
        <f>K3463</f>
        <v>107</v>
      </c>
      <c r="L3465" s="162">
        <v>1</v>
      </c>
      <c r="M3465" s="163" t="str">
        <f>CONCATENATE(H3465," ",F3465,"*",I3465,"/",K3465,"чел.")</f>
        <v>4 автобуса*0,00354776/107чел.</v>
      </c>
      <c r="N3465" s="164">
        <f>Лист1!E192</f>
        <v>36442.65</v>
      </c>
      <c r="O3465" s="165">
        <f>MROUND(G3465*N3465,0.000001)</f>
        <v>4.8332790000000001</v>
      </c>
      <c r="P3465" s="166"/>
      <c r="Q3465" s="166">
        <f t="shared" ref="Q3465" si="744">O3465*K3465</f>
        <v>517.16085299999997</v>
      </c>
      <c r="R3465" s="71"/>
    </row>
    <row r="3466" spans="1:18" s="61" customFormat="1" x14ac:dyDescent="0.25">
      <c r="A3466" s="358"/>
      <c r="B3466" s="361"/>
      <c r="C3466" s="218" t="s">
        <v>295</v>
      </c>
      <c r="D3466" s="240"/>
      <c r="E3466" s="240"/>
      <c r="F3466" s="240"/>
      <c r="G3466" s="227"/>
      <c r="H3466" s="241"/>
      <c r="I3466" s="206"/>
      <c r="J3466" s="228"/>
      <c r="K3466" s="207"/>
      <c r="L3466" s="229"/>
      <c r="M3466" s="209"/>
      <c r="N3466" s="210"/>
      <c r="O3466" s="198">
        <f>SUM(O3465)</f>
        <v>4.8332790000000001</v>
      </c>
      <c r="P3466" s="166"/>
      <c r="Q3466" s="166"/>
      <c r="R3466" s="71"/>
    </row>
    <row r="3467" spans="1:18" s="61" customFormat="1" ht="15.6" customHeight="1" x14ac:dyDescent="0.25">
      <c r="A3467" s="358"/>
      <c r="B3467" s="361"/>
      <c r="C3467" s="365" t="s">
        <v>80</v>
      </c>
      <c r="D3467" s="156" t="s">
        <v>38</v>
      </c>
      <c r="E3467" s="156" t="s">
        <v>57</v>
      </c>
      <c r="F3467" s="156" t="s">
        <v>228</v>
      </c>
      <c r="G3467" s="157">
        <f>MROUND(H3467*L3467*I3467/K3467,0.0000000001)</f>
        <v>1.43236665E-2</v>
      </c>
      <c r="H3467" s="158">
        <f>Лист1!C195</f>
        <v>36</v>
      </c>
      <c r="I3467" s="159">
        <f>I3465</f>
        <v>3.5477600000000001E-3</v>
      </c>
      <c r="J3467" s="160"/>
      <c r="K3467" s="161">
        <f>K3465</f>
        <v>107</v>
      </c>
      <c r="L3467" s="162">
        <v>12</v>
      </c>
      <c r="M3467" s="163" t="str">
        <f>CONCATENATE(H3467," ",F3467,"*",L3467,"мес.","*",I3467,"/",K3467,"чел.")</f>
        <v>36 зданий*12мес.*0,00354776/107чел.</v>
      </c>
      <c r="N3467" s="164">
        <f>Лист1!E195</f>
        <v>4910.5833101851858</v>
      </c>
      <c r="O3467" s="165">
        <f>MROUND(G3467*N3467,0.000001)</f>
        <v>70.337558000000001</v>
      </c>
      <c r="P3467" s="166"/>
      <c r="Q3467" s="166">
        <f t="shared" ref="Q3467:Q3480" si="745">O3467*K3467</f>
        <v>7526.1187060000002</v>
      </c>
      <c r="R3467" s="71"/>
    </row>
    <row r="3468" spans="1:18" s="61" customFormat="1" ht="46.9" customHeight="1" x14ac:dyDescent="0.25">
      <c r="A3468" s="358"/>
      <c r="B3468" s="361"/>
      <c r="C3468" s="366"/>
      <c r="D3468" s="156" t="s">
        <v>229</v>
      </c>
      <c r="E3468" s="156" t="s">
        <v>60</v>
      </c>
      <c r="F3468" s="156" t="s">
        <v>60</v>
      </c>
      <c r="G3468" s="157">
        <f>MROUND(H3468*L3468*I3468/K3468,0.000001)</f>
        <v>7.9377000000000003E-2</v>
      </c>
      <c r="H3468" s="158">
        <f>Лист1!C200</f>
        <v>2394</v>
      </c>
      <c r="I3468" s="159">
        <f>I3467</f>
        <v>3.5477600000000001E-3</v>
      </c>
      <c r="J3468" s="160"/>
      <c r="K3468" s="161">
        <f>K3467</f>
        <v>107</v>
      </c>
      <c r="L3468" s="162">
        <v>1</v>
      </c>
      <c r="M3468" s="163" t="str">
        <f t="shared" ref="M3468" si="746">CONCATENATE(H3468," ",F3468,"*",I3468,"/",K3468,"чел.")</f>
        <v>2394 шт.*0,00354776/107чел.</v>
      </c>
      <c r="N3468" s="164">
        <f>Лист1!E200</f>
        <v>171.02101921470341</v>
      </c>
      <c r="O3468" s="165">
        <f>MROUND(G3468*N3468,0.000001)</f>
        <v>13.575135</v>
      </c>
      <c r="P3468" s="166"/>
      <c r="Q3468" s="166">
        <f t="shared" si="745"/>
        <v>1452.5394449999999</v>
      </c>
      <c r="R3468" s="71"/>
    </row>
    <row r="3469" spans="1:18" s="61" customFormat="1" ht="46.9" customHeight="1" x14ac:dyDescent="0.25">
      <c r="A3469" s="358"/>
      <c r="B3469" s="361"/>
      <c r="C3469" s="366"/>
      <c r="D3469" s="156" t="s">
        <v>405</v>
      </c>
      <c r="E3469" s="156" t="s">
        <v>60</v>
      </c>
      <c r="F3469" s="156" t="s">
        <v>406</v>
      </c>
      <c r="G3469" s="157">
        <f>MROUND(H3469*L3469*I3469/K3469,0.00000001)</f>
        <v>1.1936399999999999E-3</v>
      </c>
      <c r="H3469" s="158">
        <f>Лист1!C201</f>
        <v>36</v>
      </c>
      <c r="I3469" s="159">
        <f>I3468</f>
        <v>3.5477600000000001E-3</v>
      </c>
      <c r="J3469" s="160"/>
      <c r="K3469" s="161">
        <f>K3468</f>
        <v>107</v>
      </c>
      <c r="L3469" s="162">
        <v>1</v>
      </c>
      <c r="M3469" s="163" t="str">
        <f>CONCATENATE(H3469," ",F3469,"*",I3469,"/",K3469,"чел.")</f>
        <v>36 лицензий*0,00354776/107чел.</v>
      </c>
      <c r="N3469" s="164">
        <f>Лист1!E201</f>
        <v>12541.539999999994</v>
      </c>
      <c r="O3469" s="165">
        <f t="shared" ref="O3469:O3478" si="747">MROUND(G3469*N3469,0.000001)</f>
        <v>14.970084</v>
      </c>
      <c r="P3469" s="166"/>
      <c r="Q3469" s="166">
        <f t="shared" si="745"/>
        <v>1601.798988</v>
      </c>
      <c r="R3469" s="71"/>
    </row>
    <row r="3470" spans="1:18" s="61" customFormat="1" ht="62.45" customHeight="1" x14ac:dyDescent="0.25">
      <c r="A3470" s="358"/>
      <c r="B3470" s="361"/>
      <c r="C3470" s="366"/>
      <c r="D3470" s="156" t="s">
        <v>39</v>
      </c>
      <c r="E3470" s="156" t="s">
        <v>20</v>
      </c>
      <c r="F3470" s="156" t="s">
        <v>234</v>
      </c>
      <c r="G3470" s="157">
        <f>MROUND(H3470*L3470*I3470/K3470,0.00000001)</f>
        <v>3.9124800000000003E-3</v>
      </c>
      <c r="H3470" s="158">
        <f>Лист1!C202</f>
        <v>118</v>
      </c>
      <c r="I3470" s="159">
        <f>I3468</f>
        <v>3.5477600000000001E-3</v>
      </c>
      <c r="J3470" s="160"/>
      <c r="K3470" s="161">
        <f>K3468</f>
        <v>107</v>
      </c>
      <c r="L3470" s="162">
        <v>1</v>
      </c>
      <c r="M3470" s="163" t="str">
        <f t="shared" ref="M3470:M3473" si="748">CONCATENATE(H3470," ",F3470,"*",I3470,"/",K3470,"чел.")</f>
        <v>118 чел(заявленная потребность руководителями учреждений)*0,00354776/107чел.</v>
      </c>
      <c r="N3470" s="164">
        <f>Лист1!E202</f>
        <v>798.09796610169519</v>
      </c>
      <c r="O3470" s="165">
        <f t="shared" si="747"/>
        <v>3.1225419999999997</v>
      </c>
      <c r="P3470" s="166"/>
      <c r="Q3470" s="166">
        <f t="shared" si="745"/>
        <v>334.11199399999998</v>
      </c>
      <c r="R3470" s="71"/>
    </row>
    <row r="3471" spans="1:18" s="61" customFormat="1" ht="62.45" customHeight="1" x14ac:dyDescent="0.25">
      <c r="A3471" s="358"/>
      <c r="B3471" s="361"/>
      <c r="C3471" s="366"/>
      <c r="D3471" s="156" t="s">
        <v>40</v>
      </c>
      <c r="E3471" s="156" t="s">
        <v>20</v>
      </c>
      <c r="F3471" s="156" t="s">
        <v>234</v>
      </c>
      <c r="G3471" s="157">
        <f>MROUND(H3471*L3471*I3471/K3471,0.000000001)</f>
        <v>3.1830370000000001E-3</v>
      </c>
      <c r="H3471" s="158">
        <f>Лист1!C203</f>
        <v>96</v>
      </c>
      <c r="I3471" s="159">
        <f t="shared" ref="I3471:I3478" si="749">I3470</f>
        <v>3.5477600000000001E-3</v>
      </c>
      <c r="J3471" s="160"/>
      <c r="K3471" s="161">
        <f t="shared" ref="K3471:K3478" si="750">K3470</f>
        <v>107</v>
      </c>
      <c r="L3471" s="162">
        <v>1</v>
      </c>
      <c r="M3471" s="163" t="str">
        <f t="shared" si="748"/>
        <v>96 чел(заявленная потребность руководителями учреждений)*0,00354776/107чел.</v>
      </c>
      <c r="N3471" s="164">
        <f>Лист1!E203</f>
        <v>1710.2100000000007</v>
      </c>
      <c r="O3471" s="165">
        <f t="shared" si="747"/>
        <v>5.4436619999999998</v>
      </c>
      <c r="P3471" s="166"/>
      <c r="Q3471" s="166">
        <f t="shared" si="745"/>
        <v>582.47183399999994</v>
      </c>
      <c r="R3471" s="71"/>
    </row>
    <row r="3472" spans="1:18" s="61" customFormat="1" ht="62.45" customHeight="1" x14ac:dyDescent="0.25">
      <c r="A3472" s="358"/>
      <c r="B3472" s="361"/>
      <c r="C3472" s="366"/>
      <c r="D3472" s="156" t="s">
        <v>100</v>
      </c>
      <c r="E3472" s="156" t="s">
        <v>20</v>
      </c>
      <c r="F3472" s="156" t="s">
        <v>234</v>
      </c>
      <c r="G3472" s="157">
        <f>MROUND(H3472*L3472*I3472/K3472,0.000000001)</f>
        <v>2.685687E-3</v>
      </c>
      <c r="H3472" s="158">
        <f>Лист1!C204</f>
        <v>81</v>
      </c>
      <c r="I3472" s="159">
        <f t="shared" si="749"/>
        <v>3.5477600000000001E-3</v>
      </c>
      <c r="J3472" s="160"/>
      <c r="K3472" s="161">
        <f t="shared" si="750"/>
        <v>107</v>
      </c>
      <c r="L3472" s="162">
        <v>1</v>
      </c>
      <c r="M3472" s="163" t="str">
        <f t="shared" si="748"/>
        <v>81 чел(заявленная потребность руководителями учреждений)*0,00354776/107чел.</v>
      </c>
      <c r="N3472" s="164">
        <f>Лист1!E204</f>
        <v>3648.448148148148</v>
      </c>
      <c r="O3472" s="165">
        <f t="shared" si="747"/>
        <v>9.798589999999999</v>
      </c>
      <c r="P3472" s="166"/>
      <c r="Q3472" s="166">
        <f t="shared" si="745"/>
        <v>1048.44913</v>
      </c>
      <c r="R3472" s="71"/>
    </row>
    <row r="3473" spans="1:18" s="61" customFormat="1" ht="109.15" customHeight="1" x14ac:dyDescent="0.25">
      <c r="A3473" s="358"/>
      <c r="B3473" s="361"/>
      <c r="C3473" s="366"/>
      <c r="D3473" s="156" t="s">
        <v>235</v>
      </c>
      <c r="E3473" s="156" t="s">
        <v>50</v>
      </c>
      <c r="F3473" s="156" t="s">
        <v>230</v>
      </c>
      <c r="G3473" s="157">
        <f>MROUND(H3473*L3473*I3473/K3473,0.00000001)</f>
        <v>1.1936399999999999E-3</v>
      </c>
      <c r="H3473" s="158">
        <f>Лист1!C205</f>
        <v>36</v>
      </c>
      <c r="I3473" s="159">
        <f t="shared" si="749"/>
        <v>3.5477600000000001E-3</v>
      </c>
      <c r="J3473" s="160"/>
      <c r="K3473" s="161">
        <f t="shared" si="750"/>
        <v>107</v>
      </c>
      <c r="L3473" s="162">
        <v>1</v>
      </c>
      <c r="M3473" s="163" t="str">
        <f t="shared" si="748"/>
        <v>36 отчетов*0,00354776/107чел.</v>
      </c>
      <c r="N3473" s="164">
        <f>Лист1!E205</f>
        <v>6840.8399999999974</v>
      </c>
      <c r="O3473" s="165">
        <f t="shared" si="747"/>
        <v>8.1654999999999998</v>
      </c>
      <c r="P3473" s="166"/>
      <c r="Q3473" s="166">
        <f t="shared" si="745"/>
        <v>873.70849999999996</v>
      </c>
      <c r="R3473" s="71"/>
    </row>
    <row r="3474" spans="1:18" s="61" customFormat="1" ht="62.45" customHeight="1" x14ac:dyDescent="0.25">
      <c r="A3474" s="358"/>
      <c r="B3474" s="361"/>
      <c r="C3474" s="366"/>
      <c r="D3474" s="156" t="s">
        <v>42</v>
      </c>
      <c r="E3474" s="156" t="s">
        <v>51</v>
      </c>
      <c r="F3474" s="156" t="s">
        <v>407</v>
      </c>
      <c r="G3474" s="157">
        <f>MROUND(H3474*L3474*I3474/K3474,0.000001)</f>
        <v>6.764E-3</v>
      </c>
      <c r="H3474" s="158">
        <f>Лист1!C209</f>
        <v>204</v>
      </c>
      <c r="I3474" s="159">
        <f t="shared" si="749"/>
        <v>3.5477600000000001E-3</v>
      </c>
      <c r="J3474" s="160"/>
      <c r="K3474" s="161">
        <f t="shared" si="750"/>
        <v>107</v>
      </c>
      <c r="L3474" s="162">
        <v>1</v>
      </c>
      <c r="M3474" s="163" t="str">
        <f>CONCATENATE( H3474," ",F3474,"*",I3474,"/",K3474,"чел.")</f>
        <v>204 ед (заявленная потребность руководителями учреждений)*0,00354776/107чел.</v>
      </c>
      <c r="N3474" s="164">
        <f>Лист1!E209</f>
        <v>1140.1400000000001</v>
      </c>
      <c r="O3474" s="165">
        <f t="shared" si="747"/>
        <v>7.7119070000000001</v>
      </c>
      <c r="P3474" s="166"/>
      <c r="Q3474" s="166">
        <f t="shared" si="745"/>
        <v>825.17404899999997</v>
      </c>
      <c r="R3474" s="71"/>
    </row>
    <row r="3475" spans="1:18" s="61" customFormat="1" ht="31.15" customHeight="1" x14ac:dyDescent="0.25">
      <c r="A3475" s="358"/>
      <c r="B3475" s="361"/>
      <c r="C3475" s="366"/>
      <c r="D3475" s="156" t="s">
        <v>43</v>
      </c>
      <c r="E3475" s="156" t="s">
        <v>52</v>
      </c>
      <c r="F3475" s="156" t="s">
        <v>231</v>
      </c>
      <c r="G3475" s="157">
        <f>MROUND(H3475*L3475*I3475/K3475,0.000000001)</f>
        <v>1.193639E-3</v>
      </c>
      <c r="H3475" s="158">
        <f>Лист1!C210</f>
        <v>36</v>
      </c>
      <c r="I3475" s="159">
        <f t="shared" si="749"/>
        <v>3.5477600000000001E-3</v>
      </c>
      <c r="J3475" s="160"/>
      <c r="K3475" s="161">
        <f t="shared" si="750"/>
        <v>107</v>
      </c>
      <c r="L3475" s="162">
        <v>1</v>
      </c>
      <c r="M3475" s="163" t="str">
        <f t="shared" ref="M3475" si="751">CONCATENATE(H3475," ",F3475,"*",I3475,"/",K3475,"чел.")</f>
        <v>36 ЭЦП*0,00354776/107чел.</v>
      </c>
      <c r="N3475" s="164">
        <f>Лист1!E210</f>
        <v>8099.5499999999947</v>
      </c>
      <c r="O3475" s="165">
        <f t="shared" si="747"/>
        <v>9.6679389999999987</v>
      </c>
      <c r="P3475" s="166"/>
      <c r="Q3475" s="166">
        <f t="shared" si="745"/>
        <v>1034.4694729999999</v>
      </c>
      <c r="R3475" s="71"/>
    </row>
    <row r="3476" spans="1:18" s="61" customFormat="1" ht="46.9" customHeight="1" x14ac:dyDescent="0.25">
      <c r="A3476" s="358"/>
      <c r="B3476" s="361"/>
      <c r="C3476" s="366"/>
      <c r="D3476" s="156" t="s">
        <v>44</v>
      </c>
      <c r="E3476" s="156" t="s">
        <v>85</v>
      </c>
      <c r="F3476" s="156" t="s">
        <v>232</v>
      </c>
      <c r="G3476" s="157">
        <f>MROUND(H3476*L3476*I3476/K3476,0.000001)</f>
        <v>4.0318E-2</v>
      </c>
      <c r="H3476" s="158">
        <f>Лист1!C211</f>
        <v>1216</v>
      </c>
      <c r="I3476" s="159">
        <f t="shared" si="749"/>
        <v>3.5477600000000001E-3</v>
      </c>
      <c r="J3476" s="160"/>
      <c r="K3476" s="161">
        <f t="shared" si="750"/>
        <v>107</v>
      </c>
      <c r="L3476" s="162">
        <v>1</v>
      </c>
      <c r="M3476" s="163" t="str">
        <f>CONCATENATE(H3476," ",F3476,"*",L3476,"мес.","*",I3476,"/",K3476,"чел.")</f>
        <v>1216 мед.осмотров в мес.*1мес.*0,00354776/107чел.</v>
      </c>
      <c r="N3476" s="164">
        <f>Лист1!E211</f>
        <v>59.287277960526318</v>
      </c>
      <c r="O3476" s="165">
        <f t="shared" si="747"/>
        <v>2.3903439999999998</v>
      </c>
      <c r="P3476" s="166"/>
      <c r="Q3476" s="166">
        <f t="shared" si="745"/>
        <v>255.76680799999997</v>
      </c>
      <c r="R3476" s="71"/>
    </row>
    <row r="3477" spans="1:18" s="61" customFormat="1" ht="62.45" customHeight="1" x14ac:dyDescent="0.25">
      <c r="A3477" s="358"/>
      <c r="B3477" s="361"/>
      <c r="C3477" s="366"/>
      <c r="D3477" s="156" t="s">
        <v>45</v>
      </c>
      <c r="E3477" s="156" t="s">
        <v>53</v>
      </c>
      <c r="F3477" s="156" t="s">
        <v>233</v>
      </c>
      <c r="G3477" s="157">
        <f>MROUND(H3477*L3477*I3477/K3477,0.000000001)</f>
        <v>1.591519E-3</v>
      </c>
      <c r="H3477" s="158">
        <f>Лист1!C213</f>
        <v>4</v>
      </c>
      <c r="I3477" s="159">
        <f t="shared" si="749"/>
        <v>3.5477600000000001E-3</v>
      </c>
      <c r="J3477" s="160"/>
      <c r="K3477" s="161">
        <f t="shared" si="750"/>
        <v>107</v>
      </c>
      <c r="L3477" s="162">
        <v>12</v>
      </c>
      <c r="M3477" s="163" t="str">
        <f>CONCATENATE(H3477," ",F3477,"*",L3477,"мес.","*",I3477,"/",K3477,"чел.")</f>
        <v>4  машины, оборудованных системой ГЛОНАСС*12мес.*0,00354776/107чел.</v>
      </c>
      <c r="N3477" s="164">
        <f>Лист1!E213</f>
        <v>921.23312500000009</v>
      </c>
      <c r="O3477" s="165">
        <f t="shared" si="747"/>
        <v>1.4661599999999999</v>
      </c>
      <c r="P3477" s="166"/>
      <c r="Q3477" s="166">
        <f t="shared" si="745"/>
        <v>156.87912</v>
      </c>
      <c r="R3477" s="71"/>
    </row>
    <row r="3478" spans="1:18" s="61" customFormat="1" ht="15.6" customHeight="1" x14ac:dyDescent="0.25">
      <c r="A3478" s="358"/>
      <c r="B3478" s="361"/>
      <c r="C3478" s="366"/>
      <c r="D3478" s="156" t="s">
        <v>408</v>
      </c>
      <c r="E3478" s="156" t="s">
        <v>20</v>
      </c>
      <c r="F3478" s="156" t="s">
        <v>20</v>
      </c>
      <c r="G3478" s="157">
        <f>MROUND(H3478*L3478*I3478/K3478,0.00000001)</f>
        <v>5.626681E-2</v>
      </c>
      <c r="H3478" s="158">
        <f>Лист1!C214</f>
        <v>1697</v>
      </c>
      <c r="I3478" s="159">
        <f t="shared" si="749"/>
        <v>3.5477600000000001E-3</v>
      </c>
      <c r="J3478" s="160"/>
      <c r="K3478" s="161">
        <f t="shared" si="750"/>
        <v>107</v>
      </c>
      <c r="L3478" s="250">
        <v>1</v>
      </c>
      <c r="M3478" s="163" t="str">
        <f>CONCATENATE(H3478," ",F3478,"*",L3478," раз в год","*",I3478,"/",K3478,"чел.")</f>
        <v>1697 чел.*1 раз в год*0,00354776/107чел.</v>
      </c>
      <c r="N3478" s="164">
        <f>Лист1!E214</f>
        <v>570.06999999999994</v>
      </c>
      <c r="O3478" s="165">
        <f t="shared" si="747"/>
        <v>32.07602</v>
      </c>
      <c r="P3478" s="166"/>
      <c r="Q3478" s="166">
        <f t="shared" si="745"/>
        <v>3432.1341400000001</v>
      </c>
      <c r="R3478" s="71"/>
    </row>
    <row r="3479" spans="1:18" s="153" customFormat="1" ht="31.5" x14ac:dyDescent="0.25">
      <c r="A3479" s="379"/>
      <c r="B3479" s="361"/>
      <c r="C3479" s="364"/>
      <c r="D3479" s="156" t="s">
        <v>106</v>
      </c>
      <c r="E3479" s="156" t="s">
        <v>107</v>
      </c>
      <c r="F3479" s="156"/>
      <c r="G3479" s="157">
        <f>MROUND(H3479*L3479*I3479/K3479,0.000000001)</f>
        <v>0</v>
      </c>
      <c r="H3479" s="158"/>
      <c r="I3479" s="159">
        <f>I3477</f>
        <v>3.5477600000000001E-3</v>
      </c>
      <c r="J3479" s="160"/>
      <c r="K3479" s="161">
        <f>K3477</f>
        <v>107</v>
      </c>
      <c r="L3479" s="162"/>
      <c r="M3479" s="163"/>
      <c r="N3479" s="164">
        <f>Лист1!E3398+0.00006</f>
        <v>6.0000000000000002E-5</v>
      </c>
      <c r="O3479" s="165">
        <f>MROUND(G3479*N3479,0.000000001)</f>
        <v>0</v>
      </c>
      <c r="P3479" s="166"/>
      <c r="Q3479" s="166">
        <f t="shared" si="745"/>
        <v>0</v>
      </c>
      <c r="R3479" s="154"/>
    </row>
    <row r="3480" spans="1:18" s="61" customFormat="1" ht="15.6" customHeight="1" x14ac:dyDescent="0.25">
      <c r="A3480" s="358"/>
      <c r="B3480" s="361"/>
      <c r="C3480" s="367"/>
      <c r="D3480" s="156" t="s">
        <v>373</v>
      </c>
      <c r="E3480" s="156" t="s">
        <v>28</v>
      </c>
      <c r="F3480" s="156" t="s">
        <v>28</v>
      </c>
      <c r="G3480" s="157">
        <f>MROUND(H3480*L3480*I3480/K3480,0.000000001)</f>
        <v>1.193639E-3</v>
      </c>
      <c r="H3480" s="158">
        <f>Лист1!C56</f>
        <v>36</v>
      </c>
      <c r="I3480" s="159">
        <f>I3478</f>
        <v>3.5477600000000001E-3</v>
      </c>
      <c r="J3480" s="160"/>
      <c r="K3480" s="161">
        <f>K3478</f>
        <v>107</v>
      </c>
      <c r="L3480" s="162">
        <v>1</v>
      </c>
      <c r="M3480" s="163" t="str">
        <f>CONCATENATE(H3480," ",F3480,"*",L3480,"мес.","*",I3480,"/",K3480,"чел.")</f>
        <v>36 шт*1мес.*0,00354776/107чел.</v>
      </c>
      <c r="N3480" s="164">
        <f>Лист1!E196</f>
        <v>24000</v>
      </c>
      <c r="O3480" s="165">
        <f>MROUND(G3480*N3480,0.000000001)</f>
        <v>28.647336000000003</v>
      </c>
      <c r="P3480" s="166"/>
      <c r="Q3480" s="166">
        <f t="shared" si="745"/>
        <v>3065.2649520000004</v>
      </c>
      <c r="R3480" s="71"/>
    </row>
    <row r="3481" spans="1:18" s="61" customFormat="1" x14ac:dyDescent="0.25">
      <c r="A3481" s="358"/>
      <c r="B3481" s="361"/>
      <c r="C3481" s="245" t="s">
        <v>296</v>
      </c>
      <c r="D3481" s="240"/>
      <c r="E3481" s="240"/>
      <c r="F3481" s="240"/>
      <c r="G3481" s="251"/>
      <c r="H3481" s="241"/>
      <c r="I3481" s="206"/>
      <c r="J3481" s="228"/>
      <c r="K3481" s="207"/>
      <c r="L3481" s="229"/>
      <c r="M3481" s="209"/>
      <c r="N3481" s="210"/>
      <c r="O3481" s="198">
        <f>SUM(O3467:O3480)</f>
        <v>207.37277699999999</v>
      </c>
      <c r="P3481" s="166"/>
      <c r="Q3481" s="166"/>
      <c r="R3481" s="71"/>
    </row>
    <row r="3482" spans="1:18" s="61" customFormat="1" ht="31.5" x14ac:dyDescent="0.25">
      <c r="A3482" s="358"/>
      <c r="B3482" s="361"/>
      <c r="C3482" s="252" t="s">
        <v>237</v>
      </c>
      <c r="D3482" s="156" t="s">
        <v>41</v>
      </c>
      <c r="E3482" s="156" t="s">
        <v>61</v>
      </c>
      <c r="F3482" s="156" t="s">
        <v>227</v>
      </c>
      <c r="G3482" s="157">
        <f>MROUND(H3482*L3482*I3482/K3482,0.000000001)</f>
        <v>1.3262700000000002E-4</v>
      </c>
      <c r="H3482" s="158">
        <f>Лист1!C215</f>
        <v>4</v>
      </c>
      <c r="I3482" s="159">
        <f>I3479</f>
        <v>3.5477600000000001E-3</v>
      </c>
      <c r="J3482" s="160"/>
      <c r="K3482" s="161">
        <f>K3479</f>
        <v>107</v>
      </c>
      <c r="L3482" s="162">
        <v>1</v>
      </c>
      <c r="M3482" s="163" t="str">
        <f>CONCATENATE(H3482," ",F3482,"*",I3482,"/",K3482,"чел.")</f>
        <v>4 автобуса*0,00354776/107чел.</v>
      </c>
      <c r="N3482" s="164">
        <f>Лист1!E215</f>
        <v>26907.305</v>
      </c>
      <c r="O3482" s="165">
        <f>MROUND(G3482*N3482,0.000001)</f>
        <v>3.568635</v>
      </c>
      <c r="P3482" s="166"/>
      <c r="Q3482" s="166">
        <f t="shared" ref="Q3482" si="752">O3482*K3482</f>
        <v>381.84394500000002</v>
      </c>
      <c r="R3482" s="71"/>
    </row>
    <row r="3483" spans="1:18" s="61" customFormat="1" x14ac:dyDescent="0.25">
      <c r="A3483" s="358"/>
      <c r="B3483" s="361"/>
      <c r="C3483" s="245" t="s">
        <v>297</v>
      </c>
      <c r="D3483" s="240"/>
      <c r="E3483" s="240"/>
      <c r="F3483" s="240"/>
      <c r="G3483" s="251"/>
      <c r="H3483" s="241"/>
      <c r="I3483" s="206"/>
      <c r="J3483" s="228"/>
      <c r="K3483" s="207"/>
      <c r="L3483" s="229"/>
      <c r="M3483" s="209"/>
      <c r="N3483" s="210"/>
      <c r="O3483" s="198">
        <f>SUM(O3482)</f>
        <v>3.568635</v>
      </c>
      <c r="P3483" s="166"/>
      <c r="Q3483" s="166"/>
      <c r="R3483" s="71"/>
    </row>
    <row r="3484" spans="1:18" s="61" customFormat="1" ht="78.75" x14ac:dyDescent="0.25">
      <c r="A3484" s="358"/>
      <c r="B3484" s="361"/>
      <c r="C3484" s="221" t="s">
        <v>236</v>
      </c>
      <c r="D3484" s="156" t="s">
        <v>19</v>
      </c>
      <c r="E3484" s="181" t="s">
        <v>20</v>
      </c>
      <c r="F3484" s="181" t="s">
        <v>238</v>
      </c>
      <c r="G3484" s="157">
        <f>MROUND(H3484*L3484*I3484/K3484,0.000001)</f>
        <v>0</v>
      </c>
      <c r="H3484" s="158"/>
      <c r="I3484" s="159">
        <f>I3479</f>
        <v>3.5477600000000001E-3</v>
      </c>
      <c r="J3484" s="160"/>
      <c r="K3484" s="161">
        <f>K3479</f>
        <v>107</v>
      </c>
      <c r="L3484" s="162"/>
      <c r="M3484" s="163"/>
      <c r="N3484" s="164"/>
      <c r="O3484" s="165">
        <f>MROUND(G3484*N3484,0.000001)</f>
        <v>0</v>
      </c>
      <c r="P3484" s="166"/>
      <c r="Q3484" s="166">
        <f t="shared" ref="Q3484" si="753">O3484*K3484</f>
        <v>0</v>
      </c>
      <c r="R3484" s="71"/>
    </row>
    <row r="3485" spans="1:18" s="61" customFormat="1" x14ac:dyDescent="0.25">
      <c r="A3485" s="358"/>
      <c r="B3485" s="361"/>
      <c r="C3485" s="245" t="s">
        <v>298</v>
      </c>
      <c r="D3485" s="240"/>
      <c r="E3485" s="253"/>
      <c r="F3485" s="253"/>
      <c r="G3485" s="251"/>
      <c r="H3485" s="241"/>
      <c r="I3485" s="206"/>
      <c r="J3485" s="228"/>
      <c r="K3485" s="207"/>
      <c r="L3485" s="229"/>
      <c r="M3485" s="209"/>
      <c r="N3485" s="210"/>
      <c r="O3485" s="198">
        <f>SUM(O3484)</f>
        <v>0</v>
      </c>
      <c r="P3485" s="166"/>
      <c r="Q3485" s="166"/>
      <c r="R3485" s="71"/>
    </row>
    <row r="3486" spans="1:18" s="61" customFormat="1" ht="30" x14ac:dyDescent="0.25">
      <c r="A3486" s="358"/>
      <c r="B3486" s="361"/>
      <c r="C3486" s="365" t="s">
        <v>81</v>
      </c>
      <c r="D3486" s="254" t="s">
        <v>410</v>
      </c>
      <c r="E3486" s="156" t="s">
        <v>28</v>
      </c>
      <c r="F3486" s="156" t="s">
        <v>28</v>
      </c>
      <c r="G3486" s="157">
        <f>MROUND(H3486*L3486*I3486/K3486,0.0000000001)</f>
        <v>0</v>
      </c>
      <c r="H3486" s="158"/>
      <c r="I3486" s="159">
        <f>I3479</f>
        <v>3.5477600000000001E-3</v>
      </c>
      <c r="J3486" s="160"/>
      <c r="K3486" s="161">
        <f>K3479</f>
        <v>107</v>
      </c>
      <c r="L3486" s="162">
        <v>1</v>
      </c>
      <c r="M3486" s="163"/>
      <c r="N3486" s="164"/>
      <c r="O3486" s="165">
        <f>MROUND(G3486*N3486,0.000001)</f>
        <v>0</v>
      </c>
      <c r="P3486" s="166"/>
      <c r="Q3486" s="166">
        <f t="shared" ref="Q3486:Q3509" si="754">O3486*K3486</f>
        <v>0</v>
      </c>
      <c r="R3486" s="71"/>
    </row>
    <row r="3487" spans="1:18" s="61" customFormat="1" x14ac:dyDescent="0.25">
      <c r="A3487" s="358"/>
      <c r="B3487" s="361"/>
      <c r="C3487" s="366"/>
      <c r="D3487" s="254" t="s">
        <v>325</v>
      </c>
      <c r="E3487" s="156" t="s">
        <v>28</v>
      </c>
      <c r="F3487" s="156" t="s">
        <v>28</v>
      </c>
      <c r="G3487" s="238">
        <f>MROUND(H3487*L3487*I3487/K3487,0.00000001)</f>
        <v>0</v>
      </c>
      <c r="H3487" s="158"/>
      <c r="I3487" s="159">
        <f>I3486</f>
        <v>3.5477600000000001E-3</v>
      </c>
      <c r="J3487" s="160"/>
      <c r="K3487" s="161">
        <f>K3486</f>
        <v>107</v>
      </c>
      <c r="L3487" s="162">
        <v>1</v>
      </c>
      <c r="M3487" s="163"/>
      <c r="N3487" s="164"/>
      <c r="O3487" s="165">
        <f>MROUND(G3487*N3487,0.000001)</f>
        <v>0</v>
      </c>
      <c r="P3487" s="166"/>
      <c r="Q3487" s="166">
        <f t="shared" si="754"/>
        <v>0</v>
      </c>
      <c r="R3487" s="71"/>
    </row>
    <row r="3488" spans="1:18" s="61" customFormat="1" ht="30" x14ac:dyDescent="0.25">
      <c r="A3488" s="358"/>
      <c r="B3488" s="361"/>
      <c r="C3488" s="366"/>
      <c r="D3488" s="254" t="s">
        <v>411</v>
      </c>
      <c r="E3488" s="156" t="s">
        <v>28</v>
      </c>
      <c r="F3488" s="156" t="s">
        <v>28</v>
      </c>
      <c r="G3488" s="157">
        <f>MROUND(H3488*L3488*I3488/K3488,0.00000001)</f>
        <v>0</v>
      </c>
      <c r="H3488" s="158"/>
      <c r="I3488" s="159">
        <f>I3486</f>
        <v>3.5477600000000001E-3</v>
      </c>
      <c r="J3488" s="160"/>
      <c r="K3488" s="161">
        <f>K3486</f>
        <v>107</v>
      </c>
      <c r="L3488" s="162">
        <v>1</v>
      </c>
      <c r="M3488" s="163"/>
      <c r="N3488" s="164"/>
      <c r="O3488" s="165">
        <f t="shared" ref="O3488:O3509" si="755">MROUND(G3488*N3488,0.000001)</f>
        <v>0</v>
      </c>
      <c r="P3488" s="166"/>
      <c r="Q3488" s="166">
        <f t="shared" si="754"/>
        <v>0</v>
      </c>
      <c r="R3488" s="71"/>
    </row>
    <row r="3489" spans="1:18" s="61" customFormat="1" x14ac:dyDescent="0.25">
      <c r="A3489" s="358"/>
      <c r="B3489" s="361"/>
      <c r="C3489" s="366"/>
      <c r="D3489" s="255" t="s">
        <v>412</v>
      </c>
      <c r="E3489" s="156" t="s">
        <v>28</v>
      </c>
      <c r="F3489" s="156" t="s">
        <v>28</v>
      </c>
      <c r="G3489" s="157">
        <f>MROUND(H3489*L3489*I3489/K3489,0.00000001)</f>
        <v>0</v>
      </c>
      <c r="H3489" s="158"/>
      <c r="I3489" s="159">
        <f>I3488</f>
        <v>3.5477600000000001E-3</v>
      </c>
      <c r="J3489" s="160"/>
      <c r="K3489" s="161">
        <f>K3488</f>
        <v>107</v>
      </c>
      <c r="L3489" s="162">
        <v>1</v>
      </c>
      <c r="M3489" s="163"/>
      <c r="N3489" s="164"/>
      <c r="O3489" s="165">
        <f t="shared" si="755"/>
        <v>0</v>
      </c>
      <c r="P3489" s="166"/>
      <c r="Q3489" s="166">
        <f t="shared" si="754"/>
        <v>0</v>
      </c>
      <c r="R3489" s="71"/>
    </row>
    <row r="3490" spans="1:18" s="61" customFormat="1" ht="31.5" x14ac:dyDescent="0.25">
      <c r="A3490" s="358"/>
      <c r="B3490" s="361"/>
      <c r="C3490" s="366"/>
      <c r="D3490" s="255" t="s">
        <v>413</v>
      </c>
      <c r="E3490" s="156" t="s">
        <v>28</v>
      </c>
      <c r="F3490" s="156" t="s">
        <v>28</v>
      </c>
      <c r="G3490" s="157">
        <f>MROUND(H3490*L3490*I3490/K3490,0.0000000001)</f>
        <v>0</v>
      </c>
      <c r="H3490" s="158"/>
      <c r="I3490" s="159">
        <f>I3489</f>
        <v>3.5477600000000001E-3</v>
      </c>
      <c r="J3490" s="160"/>
      <c r="K3490" s="161">
        <f>K3489</f>
        <v>107</v>
      </c>
      <c r="L3490" s="162">
        <v>1</v>
      </c>
      <c r="M3490" s="163"/>
      <c r="N3490" s="164"/>
      <c r="O3490" s="165">
        <f t="shared" si="755"/>
        <v>0</v>
      </c>
      <c r="P3490" s="166"/>
      <c r="Q3490" s="166">
        <f t="shared" si="754"/>
        <v>0</v>
      </c>
      <c r="R3490" s="71"/>
    </row>
    <row r="3491" spans="1:18" s="61" customFormat="1" x14ac:dyDescent="0.25">
      <c r="A3491" s="358"/>
      <c r="B3491" s="361"/>
      <c r="C3491" s="366"/>
      <c r="D3491" s="254" t="s">
        <v>109</v>
      </c>
      <c r="E3491" s="156" t="s">
        <v>28</v>
      </c>
      <c r="F3491" s="156" t="s">
        <v>28</v>
      </c>
      <c r="G3491" s="157">
        <f>MROUND(H3491*L3491*I3491/K3491,0.0000000001)</f>
        <v>0</v>
      </c>
      <c r="H3491" s="158"/>
      <c r="I3491" s="159">
        <f>I3490</f>
        <v>3.5477600000000001E-3</v>
      </c>
      <c r="J3491" s="160"/>
      <c r="K3491" s="161">
        <f>K3490</f>
        <v>107</v>
      </c>
      <c r="L3491" s="162">
        <v>1</v>
      </c>
      <c r="M3491" s="163"/>
      <c r="N3491" s="164"/>
      <c r="O3491" s="165">
        <f t="shared" si="755"/>
        <v>0</v>
      </c>
      <c r="P3491" s="166"/>
      <c r="Q3491" s="166">
        <f t="shared" si="754"/>
        <v>0</v>
      </c>
      <c r="R3491" s="71"/>
    </row>
    <row r="3492" spans="1:18" s="61" customFormat="1" x14ac:dyDescent="0.25">
      <c r="A3492" s="358"/>
      <c r="B3492" s="361"/>
      <c r="C3492" s="366"/>
      <c r="D3492" s="254" t="s">
        <v>414</v>
      </c>
      <c r="E3492" s="156" t="s">
        <v>28</v>
      </c>
      <c r="F3492" s="156" t="s">
        <v>28</v>
      </c>
      <c r="G3492" s="157">
        <f>MROUND(H3492*L3492*I3492/K3492,0.0000000001)</f>
        <v>0</v>
      </c>
      <c r="H3492" s="158"/>
      <c r="I3492" s="159">
        <f>I3490</f>
        <v>3.5477600000000001E-3</v>
      </c>
      <c r="J3492" s="160"/>
      <c r="K3492" s="161">
        <f>K3490</f>
        <v>107</v>
      </c>
      <c r="L3492" s="162">
        <v>1</v>
      </c>
      <c r="M3492" s="163"/>
      <c r="N3492" s="164"/>
      <c r="O3492" s="165">
        <f t="shared" si="755"/>
        <v>0</v>
      </c>
      <c r="P3492" s="166"/>
      <c r="Q3492" s="166">
        <f t="shared" si="754"/>
        <v>0</v>
      </c>
      <c r="R3492" s="71"/>
    </row>
    <row r="3493" spans="1:18" s="61" customFormat="1" x14ac:dyDescent="0.25">
      <c r="A3493" s="358"/>
      <c r="B3493" s="361"/>
      <c r="C3493" s="366"/>
      <c r="D3493" s="254" t="s">
        <v>415</v>
      </c>
      <c r="E3493" s="156" t="s">
        <v>28</v>
      </c>
      <c r="F3493" s="156" t="s">
        <v>28</v>
      </c>
      <c r="G3493" s="157">
        <f>MROUND(H3493*L3493*I3493/K3493,0.00000001)</f>
        <v>0</v>
      </c>
      <c r="H3493" s="158"/>
      <c r="I3493" s="159">
        <f t="shared" ref="I3493:I3502" si="756">I3491</f>
        <v>3.5477600000000001E-3</v>
      </c>
      <c r="J3493" s="160"/>
      <c r="K3493" s="161">
        <f t="shared" ref="K3493:K3502" si="757">K3491</f>
        <v>107</v>
      </c>
      <c r="L3493" s="162">
        <v>1</v>
      </c>
      <c r="M3493" s="163"/>
      <c r="N3493" s="164"/>
      <c r="O3493" s="165">
        <f t="shared" si="755"/>
        <v>0</v>
      </c>
      <c r="P3493" s="166"/>
      <c r="Q3493" s="166">
        <f t="shared" si="754"/>
        <v>0</v>
      </c>
      <c r="R3493" s="71"/>
    </row>
    <row r="3494" spans="1:18" s="61" customFormat="1" x14ac:dyDescent="0.25">
      <c r="A3494" s="358"/>
      <c r="B3494" s="361"/>
      <c r="C3494" s="366"/>
      <c r="D3494" s="254" t="s">
        <v>416</v>
      </c>
      <c r="E3494" s="156" t="s">
        <v>28</v>
      </c>
      <c r="F3494" s="156" t="s">
        <v>28</v>
      </c>
      <c r="G3494" s="157">
        <f>MROUND(H3494*L3494*I3494/K3494,0.000000001)</f>
        <v>0</v>
      </c>
      <c r="H3494" s="246"/>
      <c r="I3494" s="159">
        <f t="shared" si="756"/>
        <v>3.5477600000000001E-3</v>
      </c>
      <c r="J3494" s="160"/>
      <c r="K3494" s="161">
        <f t="shared" si="757"/>
        <v>107</v>
      </c>
      <c r="L3494" s="162">
        <v>1</v>
      </c>
      <c r="M3494" s="163"/>
      <c r="N3494" s="164"/>
      <c r="O3494" s="165">
        <f t="shared" si="755"/>
        <v>0</v>
      </c>
      <c r="P3494" s="166"/>
      <c r="Q3494" s="166">
        <f t="shared" si="754"/>
        <v>0</v>
      </c>
      <c r="R3494" s="71"/>
    </row>
    <row r="3495" spans="1:18" s="61" customFormat="1" x14ac:dyDescent="0.25">
      <c r="A3495" s="358"/>
      <c r="B3495" s="361"/>
      <c r="C3495" s="366"/>
      <c r="D3495" s="254" t="s">
        <v>417</v>
      </c>
      <c r="E3495" s="156" t="s">
        <v>28</v>
      </c>
      <c r="F3495" s="156" t="s">
        <v>28</v>
      </c>
      <c r="G3495" s="157">
        <f>MROUND(H3495*L3495*I3495/K3495,0.00000001)</f>
        <v>0</v>
      </c>
      <c r="H3495" s="158"/>
      <c r="I3495" s="159">
        <f t="shared" si="756"/>
        <v>3.5477600000000001E-3</v>
      </c>
      <c r="J3495" s="160"/>
      <c r="K3495" s="161">
        <f t="shared" si="757"/>
        <v>107</v>
      </c>
      <c r="L3495" s="162">
        <v>1</v>
      </c>
      <c r="M3495" s="163"/>
      <c r="N3495" s="164"/>
      <c r="O3495" s="165">
        <f t="shared" si="755"/>
        <v>0</v>
      </c>
      <c r="P3495" s="166"/>
      <c r="Q3495" s="166">
        <f t="shared" si="754"/>
        <v>0</v>
      </c>
      <c r="R3495" s="71"/>
    </row>
    <row r="3496" spans="1:18" s="61" customFormat="1" ht="30" x14ac:dyDescent="0.25">
      <c r="A3496" s="358"/>
      <c r="B3496" s="361"/>
      <c r="C3496" s="366"/>
      <c r="D3496" s="254" t="s">
        <v>418</v>
      </c>
      <c r="E3496" s="156" t="s">
        <v>28</v>
      </c>
      <c r="F3496" s="156" t="s">
        <v>28</v>
      </c>
      <c r="G3496" s="157">
        <f>MROUND(H3496*L3496*I3496/K3496,0.00000001)</f>
        <v>0</v>
      </c>
      <c r="H3496" s="158"/>
      <c r="I3496" s="159">
        <f t="shared" si="756"/>
        <v>3.5477600000000001E-3</v>
      </c>
      <c r="J3496" s="160"/>
      <c r="K3496" s="161">
        <f t="shared" si="757"/>
        <v>107</v>
      </c>
      <c r="L3496" s="162">
        <v>1</v>
      </c>
      <c r="M3496" s="163"/>
      <c r="N3496" s="164"/>
      <c r="O3496" s="165">
        <f t="shared" si="755"/>
        <v>0</v>
      </c>
      <c r="P3496" s="166"/>
      <c r="Q3496" s="166">
        <f t="shared" si="754"/>
        <v>0</v>
      </c>
      <c r="R3496" s="71"/>
    </row>
    <row r="3497" spans="1:18" s="61" customFormat="1" x14ac:dyDescent="0.25">
      <c r="A3497" s="358"/>
      <c r="B3497" s="361"/>
      <c r="C3497" s="366"/>
      <c r="D3497" s="254" t="s">
        <v>324</v>
      </c>
      <c r="E3497" s="156" t="s">
        <v>28</v>
      </c>
      <c r="F3497" s="156" t="s">
        <v>28</v>
      </c>
      <c r="G3497" s="157">
        <f>MROUND(H3497*L3497*I3497/K3497,0.000000001)</f>
        <v>0</v>
      </c>
      <c r="H3497" s="158"/>
      <c r="I3497" s="159">
        <f t="shared" si="756"/>
        <v>3.5477600000000001E-3</v>
      </c>
      <c r="J3497" s="160"/>
      <c r="K3497" s="161">
        <f t="shared" si="757"/>
        <v>107</v>
      </c>
      <c r="L3497" s="162">
        <v>1</v>
      </c>
      <c r="M3497" s="163"/>
      <c r="N3497" s="164"/>
      <c r="O3497" s="165">
        <f t="shared" si="755"/>
        <v>0</v>
      </c>
      <c r="P3497" s="166"/>
      <c r="Q3497" s="166">
        <f t="shared" si="754"/>
        <v>0</v>
      </c>
      <c r="R3497" s="71"/>
    </row>
    <row r="3498" spans="1:18" s="61" customFormat="1" x14ac:dyDescent="0.25">
      <c r="A3498" s="358"/>
      <c r="B3498" s="361"/>
      <c r="C3498" s="366"/>
      <c r="D3498" s="254" t="s">
        <v>419</v>
      </c>
      <c r="E3498" s="156" t="s">
        <v>28</v>
      </c>
      <c r="F3498" s="156" t="s">
        <v>28</v>
      </c>
      <c r="G3498" s="157">
        <f>MROUND(H3498*L3498*I3498/K3498,0.000000001)</f>
        <v>0</v>
      </c>
      <c r="H3498" s="246"/>
      <c r="I3498" s="159">
        <f t="shared" si="756"/>
        <v>3.5477600000000001E-3</v>
      </c>
      <c r="J3498" s="160"/>
      <c r="K3498" s="161">
        <f t="shared" si="757"/>
        <v>107</v>
      </c>
      <c r="L3498" s="162">
        <v>1</v>
      </c>
      <c r="M3498" s="163"/>
      <c r="N3498" s="164"/>
      <c r="O3498" s="165">
        <f t="shared" si="755"/>
        <v>0</v>
      </c>
      <c r="P3498" s="166"/>
      <c r="Q3498" s="166">
        <f t="shared" si="754"/>
        <v>0</v>
      </c>
      <c r="R3498" s="71"/>
    </row>
    <row r="3499" spans="1:18" s="61" customFormat="1" x14ac:dyDescent="0.25">
      <c r="A3499" s="358"/>
      <c r="B3499" s="361"/>
      <c r="C3499" s="366"/>
      <c r="D3499" s="254" t="s">
        <v>420</v>
      </c>
      <c r="E3499" s="156" t="s">
        <v>28</v>
      </c>
      <c r="F3499" s="156" t="s">
        <v>28</v>
      </c>
      <c r="G3499" s="157">
        <f>MROUND(H3499*L3499*I3499/K3499,0.000000001)</f>
        <v>0</v>
      </c>
      <c r="H3499" s="158"/>
      <c r="I3499" s="159">
        <f t="shared" si="756"/>
        <v>3.5477600000000001E-3</v>
      </c>
      <c r="J3499" s="160"/>
      <c r="K3499" s="161">
        <f t="shared" si="757"/>
        <v>107</v>
      </c>
      <c r="L3499" s="162">
        <v>1</v>
      </c>
      <c r="M3499" s="163"/>
      <c r="N3499" s="164"/>
      <c r="O3499" s="165">
        <f t="shared" si="755"/>
        <v>0</v>
      </c>
      <c r="P3499" s="166"/>
      <c r="Q3499" s="166">
        <f t="shared" si="754"/>
        <v>0</v>
      </c>
      <c r="R3499" s="71"/>
    </row>
    <row r="3500" spans="1:18" s="61" customFormat="1" x14ac:dyDescent="0.25">
      <c r="A3500" s="358"/>
      <c r="B3500" s="361"/>
      <c r="C3500" s="366"/>
      <c r="D3500" s="254" t="s">
        <v>421</v>
      </c>
      <c r="E3500" s="156" t="s">
        <v>28</v>
      </c>
      <c r="F3500" s="156" t="s">
        <v>28</v>
      </c>
      <c r="G3500" s="157">
        <f>MROUND(H3500*L3500*I3500/K3500,0.00000001)</f>
        <v>0</v>
      </c>
      <c r="H3500" s="158"/>
      <c r="I3500" s="159">
        <f t="shared" si="756"/>
        <v>3.5477600000000001E-3</v>
      </c>
      <c r="J3500" s="160"/>
      <c r="K3500" s="161">
        <f t="shared" si="757"/>
        <v>107</v>
      </c>
      <c r="L3500" s="162">
        <v>1</v>
      </c>
      <c r="M3500" s="163"/>
      <c r="N3500" s="164"/>
      <c r="O3500" s="165">
        <f t="shared" si="755"/>
        <v>0</v>
      </c>
      <c r="P3500" s="166"/>
      <c r="Q3500" s="166">
        <f t="shared" si="754"/>
        <v>0</v>
      </c>
      <c r="R3500" s="71"/>
    </row>
    <row r="3501" spans="1:18" s="61" customFormat="1" ht="30" x14ac:dyDescent="0.25">
      <c r="A3501" s="358"/>
      <c r="B3501" s="361"/>
      <c r="C3501" s="366"/>
      <c r="D3501" s="254" t="s">
        <v>422</v>
      </c>
      <c r="E3501" s="156" t="s">
        <v>28</v>
      </c>
      <c r="F3501" s="156" t="s">
        <v>28</v>
      </c>
      <c r="G3501" s="157">
        <f>MROUND(H3501*L3501*I3501/K3501,0.00000001)</f>
        <v>0</v>
      </c>
      <c r="H3501" s="158"/>
      <c r="I3501" s="159">
        <f t="shared" si="756"/>
        <v>3.5477600000000001E-3</v>
      </c>
      <c r="J3501" s="160"/>
      <c r="K3501" s="161">
        <f t="shared" si="757"/>
        <v>107</v>
      </c>
      <c r="L3501" s="162">
        <v>1</v>
      </c>
      <c r="M3501" s="163"/>
      <c r="N3501" s="164"/>
      <c r="O3501" s="165">
        <f t="shared" si="755"/>
        <v>0</v>
      </c>
      <c r="P3501" s="166"/>
      <c r="Q3501" s="166">
        <f t="shared" si="754"/>
        <v>0</v>
      </c>
      <c r="R3501" s="71"/>
    </row>
    <row r="3502" spans="1:18" s="61" customFormat="1" x14ac:dyDescent="0.25">
      <c r="A3502" s="358"/>
      <c r="B3502" s="361"/>
      <c r="C3502" s="366"/>
      <c r="D3502" s="254" t="s">
        <v>423</v>
      </c>
      <c r="E3502" s="156" t="s">
        <v>28</v>
      </c>
      <c r="F3502" s="156" t="s">
        <v>28</v>
      </c>
      <c r="G3502" s="157">
        <f>MROUND(H3502*L3502*I3502/K3502,0.000000001)</f>
        <v>0</v>
      </c>
      <c r="H3502" s="158"/>
      <c r="I3502" s="159">
        <f t="shared" si="756"/>
        <v>3.5477600000000001E-3</v>
      </c>
      <c r="J3502" s="160"/>
      <c r="K3502" s="161">
        <f t="shared" si="757"/>
        <v>107</v>
      </c>
      <c r="L3502" s="162">
        <v>1</v>
      </c>
      <c r="M3502" s="163"/>
      <c r="N3502" s="164"/>
      <c r="O3502" s="165">
        <f t="shared" si="755"/>
        <v>0</v>
      </c>
      <c r="P3502" s="166"/>
      <c r="Q3502" s="166">
        <f t="shared" si="754"/>
        <v>0</v>
      </c>
      <c r="R3502" s="71"/>
    </row>
    <row r="3503" spans="1:18" s="61" customFormat="1" x14ac:dyDescent="0.25">
      <c r="A3503" s="358"/>
      <c r="B3503" s="361"/>
      <c r="C3503" s="366"/>
      <c r="D3503" s="254" t="s">
        <v>424</v>
      </c>
      <c r="E3503" s="156" t="s">
        <v>28</v>
      </c>
      <c r="F3503" s="156" t="s">
        <v>28</v>
      </c>
      <c r="G3503" s="157">
        <f t="shared" ref="G3503:G3509" si="758">MROUND(H3503*L3503*I3503/K3503,0.00000001)</f>
        <v>0</v>
      </c>
      <c r="H3503" s="158"/>
      <c r="I3503" s="159">
        <f>I3492</f>
        <v>3.5477600000000001E-3</v>
      </c>
      <c r="J3503" s="160"/>
      <c r="K3503" s="161">
        <f>K3492</f>
        <v>107</v>
      </c>
      <c r="L3503" s="162">
        <v>1</v>
      </c>
      <c r="M3503" s="163"/>
      <c r="N3503" s="164"/>
      <c r="O3503" s="165">
        <f t="shared" si="755"/>
        <v>0</v>
      </c>
      <c r="P3503" s="166"/>
      <c r="Q3503" s="166">
        <f t="shared" si="754"/>
        <v>0</v>
      </c>
      <c r="R3503" s="71"/>
    </row>
    <row r="3504" spans="1:18" s="61" customFormat="1" x14ac:dyDescent="0.25">
      <c r="A3504" s="358"/>
      <c r="B3504" s="361"/>
      <c r="C3504" s="366"/>
      <c r="D3504" s="254" t="s">
        <v>425</v>
      </c>
      <c r="E3504" s="156" t="s">
        <v>28</v>
      </c>
      <c r="F3504" s="156" t="s">
        <v>28</v>
      </c>
      <c r="G3504" s="157">
        <f t="shared" si="758"/>
        <v>0</v>
      </c>
      <c r="H3504" s="158"/>
      <c r="I3504" s="159">
        <f t="shared" ref="I3504:I3509" si="759">I3503</f>
        <v>3.5477600000000001E-3</v>
      </c>
      <c r="J3504" s="160"/>
      <c r="K3504" s="161">
        <f t="shared" ref="K3504:K3509" si="760">K3503</f>
        <v>107</v>
      </c>
      <c r="L3504" s="162">
        <v>1</v>
      </c>
      <c r="M3504" s="163"/>
      <c r="N3504" s="164"/>
      <c r="O3504" s="165">
        <f t="shared" si="755"/>
        <v>0</v>
      </c>
      <c r="P3504" s="166"/>
      <c r="Q3504" s="166">
        <f t="shared" si="754"/>
        <v>0</v>
      </c>
      <c r="R3504" s="71"/>
    </row>
    <row r="3505" spans="1:19" s="61" customFormat="1" x14ac:dyDescent="0.25">
      <c r="A3505" s="358"/>
      <c r="B3505" s="361"/>
      <c r="C3505" s="366"/>
      <c r="D3505" s="254" t="s">
        <v>108</v>
      </c>
      <c r="E3505" s="156" t="s">
        <v>28</v>
      </c>
      <c r="F3505" s="156" t="s">
        <v>28</v>
      </c>
      <c r="G3505" s="157">
        <f t="shared" si="758"/>
        <v>0</v>
      </c>
      <c r="H3505" s="158"/>
      <c r="I3505" s="159">
        <f t="shared" si="759"/>
        <v>3.5477600000000001E-3</v>
      </c>
      <c r="J3505" s="160"/>
      <c r="K3505" s="161">
        <f t="shared" si="760"/>
        <v>107</v>
      </c>
      <c r="L3505" s="162">
        <v>1</v>
      </c>
      <c r="M3505" s="163"/>
      <c r="N3505" s="164"/>
      <c r="O3505" s="165">
        <f t="shared" si="755"/>
        <v>0</v>
      </c>
      <c r="P3505" s="166"/>
      <c r="Q3505" s="166">
        <f t="shared" si="754"/>
        <v>0</v>
      </c>
      <c r="R3505" s="71"/>
    </row>
    <row r="3506" spans="1:19" s="61" customFormat="1" x14ac:dyDescent="0.25">
      <c r="A3506" s="358"/>
      <c r="B3506" s="361"/>
      <c r="C3506" s="366"/>
      <c r="D3506" s="254" t="s">
        <v>426</v>
      </c>
      <c r="E3506" s="156" t="s">
        <v>28</v>
      </c>
      <c r="F3506" s="156" t="s">
        <v>28</v>
      </c>
      <c r="G3506" s="157">
        <f t="shared" si="758"/>
        <v>0</v>
      </c>
      <c r="H3506" s="158"/>
      <c r="I3506" s="159">
        <f t="shared" si="759"/>
        <v>3.5477600000000001E-3</v>
      </c>
      <c r="J3506" s="160"/>
      <c r="K3506" s="161">
        <f t="shared" si="760"/>
        <v>107</v>
      </c>
      <c r="L3506" s="162">
        <v>1</v>
      </c>
      <c r="M3506" s="163"/>
      <c r="N3506" s="164"/>
      <c r="O3506" s="165">
        <f t="shared" si="755"/>
        <v>0</v>
      </c>
      <c r="P3506" s="166"/>
      <c r="Q3506" s="166">
        <f t="shared" si="754"/>
        <v>0</v>
      </c>
      <c r="R3506" s="71"/>
    </row>
    <row r="3507" spans="1:19" s="61" customFormat="1" x14ac:dyDescent="0.25">
      <c r="A3507" s="358"/>
      <c r="B3507" s="361"/>
      <c r="C3507" s="366"/>
      <c r="D3507" s="254" t="s">
        <v>427</v>
      </c>
      <c r="E3507" s="156" t="s">
        <v>28</v>
      </c>
      <c r="F3507" s="156" t="s">
        <v>28</v>
      </c>
      <c r="G3507" s="157">
        <f t="shared" si="758"/>
        <v>0</v>
      </c>
      <c r="H3507" s="158"/>
      <c r="I3507" s="159">
        <f t="shared" si="759"/>
        <v>3.5477600000000001E-3</v>
      </c>
      <c r="J3507" s="160"/>
      <c r="K3507" s="161">
        <f t="shared" si="760"/>
        <v>107</v>
      </c>
      <c r="L3507" s="162">
        <v>1</v>
      </c>
      <c r="M3507" s="163"/>
      <c r="N3507" s="164"/>
      <c r="O3507" s="165">
        <f t="shared" si="755"/>
        <v>0</v>
      </c>
      <c r="P3507" s="166"/>
      <c r="Q3507" s="166">
        <f t="shared" si="754"/>
        <v>0</v>
      </c>
      <c r="R3507" s="71"/>
    </row>
    <row r="3508" spans="1:19" s="61" customFormat="1" x14ac:dyDescent="0.25">
      <c r="A3508" s="358"/>
      <c r="B3508" s="361"/>
      <c r="C3508" s="366"/>
      <c r="D3508" s="254" t="s">
        <v>428</v>
      </c>
      <c r="E3508" s="156" t="s">
        <v>28</v>
      </c>
      <c r="F3508" s="156" t="s">
        <v>28</v>
      </c>
      <c r="G3508" s="157">
        <f t="shared" si="758"/>
        <v>0</v>
      </c>
      <c r="H3508" s="158"/>
      <c r="I3508" s="159">
        <f t="shared" si="759"/>
        <v>3.5477600000000001E-3</v>
      </c>
      <c r="J3508" s="160"/>
      <c r="K3508" s="161">
        <f t="shared" si="760"/>
        <v>107</v>
      </c>
      <c r="L3508" s="162">
        <v>1</v>
      </c>
      <c r="M3508" s="163"/>
      <c r="N3508" s="164"/>
      <c r="O3508" s="165">
        <f t="shared" si="755"/>
        <v>0</v>
      </c>
      <c r="P3508" s="166"/>
      <c r="Q3508" s="166">
        <f t="shared" si="754"/>
        <v>0</v>
      </c>
      <c r="R3508" s="71"/>
    </row>
    <row r="3509" spans="1:19" s="61" customFormat="1" x14ac:dyDescent="0.25">
      <c r="A3509" s="358"/>
      <c r="B3509" s="361"/>
      <c r="C3509" s="366"/>
      <c r="D3509" s="255" t="s">
        <v>429</v>
      </c>
      <c r="E3509" s="156" t="s">
        <v>28</v>
      </c>
      <c r="F3509" s="156" t="s">
        <v>28</v>
      </c>
      <c r="G3509" s="157">
        <f t="shared" si="758"/>
        <v>0</v>
      </c>
      <c r="H3509" s="158"/>
      <c r="I3509" s="159">
        <f t="shared" si="759"/>
        <v>3.5477600000000001E-3</v>
      </c>
      <c r="J3509" s="160"/>
      <c r="K3509" s="161">
        <f t="shared" si="760"/>
        <v>107</v>
      </c>
      <c r="L3509" s="162">
        <v>1</v>
      </c>
      <c r="M3509" s="163"/>
      <c r="N3509" s="164"/>
      <c r="O3509" s="165">
        <f t="shared" si="755"/>
        <v>0</v>
      </c>
      <c r="P3509" s="166"/>
      <c r="Q3509" s="166">
        <f t="shared" si="754"/>
        <v>0</v>
      </c>
      <c r="R3509" s="71"/>
    </row>
    <row r="3510" spans="1:19" s="61" customFormat="1" x14ac:dyDescent="0.25">
      <c r="A3510" s="358"/>
      <c r="B3510" s="361"/>
      <c r="C3510" s="249" t="s">
        <v>299</v>
      </c>
      <c r="D3510" s="256"/>
      <c r="E3510" s="240"/>
      <c r="F3510" s="240"/>
      <c r="G3510" s="251"/>
      <c r="H3510" s="241"/>
      <c r="I3510" s="206"/>
      <c r="J3510" s="228"/>
      <c r="K3510" s="207"/>
      <c r="L3510" s="229"/>
      <c r="M3510" s="209"/>
      <c r="N3510" s="210"/>
      <c r="O3510" s="198">
        <f>SUM(O3486:O3509)</f>
        <v>0</v>
      </c>
      <c r="P3510" s="166"/>
      <c r="Q3510" s="166"/>
      <c r="R3510" s="71"/>
    </row>
    <row r="3511" spans="1:19" s="61" customFormat="1" ht="110.25" x14ac:dyDescent="0.25">
      <c r="A3511" s="358"/>
      <c r="B3511" s="361"/>
      <c r="C3511" s="221" t="s">
        <v>82</v>
      </c>
      <c r="D3511" s="156" t="s">
        <v>46</v>
      </c>
      <c r="E3511" s="156" t="s">
        <v>54</v>
      </c>
      <c r="F3511" s="156" t="s">
        <v>285</v>
      </c>
      <c r="G3511" s="157">
        <f>MROUND(H3511*L3511*I3511/K3511,0.000001)</f>
        <v>0.375002</v>
      </c>
      <c r="H3511" s="243">
        <f>Лист1!C264</f>
        <v>1028.181818181818</v>
      </c>
      <c r="I3511" s="159">
        <f>I3509</f>
        <v>3.5477600000000001E-3</v>
      </c>
      <c r="J3511" s="160"/>
      <c r="K3511" s="161">
        <f>K3509</f>
        <v>107</v>
      </c>
      <c r="L3511" s="162">
        <v>11</v>
      </c>
      <c r="M3511" s="163" t="str">
        <f>CONCATENATE(H3511," ",F3511,"*",L3511,"автобуса","*",I3511,"/",K3511,"чел.")</f>
        <v>1028,18181818182 л бензина АИ 92 (12,5л/день(зимой)*20дней*7мес+10л/день(летом)*20дней*4мес)*11автобуса*0,00354776/107чел.</v>
      </c>
      <c r="N3511" s="164">
        <f>Лист1!E264</f>
        <v>57.007000000000005</v>
      </c>
      <c r="O3511" s="165">
        <f>MROUND(G3511*N3511,0.000001)</f>
        <v>21.377738999999998</v>
      </c>
      <c r="P3511" s="166"/>
      <c r="Q3511" s="166">
        <f>O3511*K3511</f>
        <v>2287.4180729999998</v>
      </c>
      <c r="R3511" s="71"/>
    </row>
    <row r="3512" spans="1:19" s="61" customFormat="1" x14ac:dyDescent="0.25">
      <c r="A3512" s="358"/>
      <c r="B3512" s="361"/>
      <c r="C3512" s="218" t="s">
        <v>300</v>
      </c>
      <c r="D3512" s="240"/>
      <c r="E3512" s="240"/>
      <c r="F3512" s="240"/>
      <c r="G3512" s="251"/>
      <c r="H3512" s="241"/>
      <c r="I3512" s="206"/>
      <c r="J3512" s="228"/>
      <c r="K3512" s="207"/>
      <c r="L3512" s="229"/>
      <c r="M3512" s="209"/>
      <c r="N3512" s="210"/>
      <c r="O3512" s="198">
        <f>SUM(O3511)</f>
        <v>21.377738999999998</v>
      </c>
      <c r="P3512" s="166"/>
      <c r="Q3512" s="166"/>
      <c r="R3512" s="71"/>
    </row>
    <row r="3513" spans="1:19" s="61" customFormat="1" ht="47.25" x14ac:dyDescent="0.25">
      <c r="A3513" s="358"/>
      <c r="B3513" s="361"/>
      <c r="C3513" s="221" t="s">
        <v>434</v>
      </c>
      <c r="D3513" s="156" t="s">
        <v>436</v>
      </c>
      <c r="E3513" s="156" t="s">
        <v>28</v>
      </c>
      <c r="F3513" s="156" t="s">
        <v>437</v>
      </c>
      <c r="G3513" s="157">
        <f>MROUND(H3513*L3513*I3513/K3513,0.000001)</f>
        <v>9.6150000000000003E-3</v>
      </c>
      <c r="H3513" s="242">
        <f>Лист1!C263</f>
        <v>290</v>
      </c>
      <c r="I3513" s="159">
        <f>I3511</f>
        <v>3.5477600000000001E-3</v>
      </c>
      <c r="J3513" s="160"/>
      <c r="K3513" s="161">
        <f>K3511</f>
        <v>107</v>
      </c>
      <c r="L3513" s="162">
        <v>1</v>
      </c>
      <c r="M3513" s="163" t="str">
        <f>CONCATENATE(H3513," ",F3513,"*",I3513,"/",K3513,"чел.")</f>
        <v>290 огнетушителей (потребность учреждений) *0,00354776/107чел.</v>
      </c>
      <c r="N3513" s="164">
        <f>Лист1!E263</f>
        <v>2000</v>
      </c>
      <c r="O3513" s="165">
        <f>MROUND(G3513*N3513,0.000001)</f>
        <v>19.23</v>
      </c>
      <c r="P3513" s="166"/>
      <c r="Q3513" s="166">
        <f t="shared" ref="Q3513" si="761">O3513*K3513</f>
        <v>2057.61</v>
      </c>
      <c r="R3513" s="71"/>
    </row>
    <row r="3514" spans="1:19" s="61" customFormat="1" x14ac:dyDescent="0.25">
      <c r="A3514" s="358"/>
      <c r="B3514" s="361"/>
      <c r="C3514" s="218" t="s">
        <v>435</v>
      </c>
      <c r="D3514" s="240"/>
      <c r="E3514" s="240"/>
      <c r="F3514" s="240"/>
      <c r="G3514" s="251"/>
      <c r="H3514" s="241"/>
      <c r="I3514" s="206"/>
      <c r="J3514" s="228"/>
      <c r="K3514" s="207"/>
      <c r="L3514" s="229"/>
      <c r="M3514" s="209"/>
      <c r="N3514" s="210"/>
      <c r="O3514" s="198">
        <f>SUM(O3513)</f>
        <v>19.23</v>
      </c>
      <c r="P3514" s="166"/>
      <c r="Q3514" s="166"/>
      <c r="R3514" s="71"/>
    </row>
    <row r="3515" spans="1:19" s="61" customFormat="1" ht="47.25" x14ac:dyDescent="0.25">
      <c r="A3515" s="358"/>
      <c r="B3515" s="361"/>
      <c r="C3515" s="364" t="s">
        <v>118</v>
      </c>
      <c r="D3515" s="156" t="s">
        <v>47</v>
      </c>
      <c r="E3515" s="156" t="s">
        <v>28</v>
      </c>
      <c r="F3515" s="156" t="s">
        <v>239</v>
      </c>
      <c r="G3515" s="157">
        <f>MROUND(H3515*L3515*I3515/K3515,0.00000001)</f>
        <v>4.7745599999999997E-3</v>
      </c>
      <c r="H3515" s="158">
        <f>Лист1!C266</f>
        <v>144</v>
      </c>
      <c r="I3515" s="159">
        <f>I3511</f>
        <v>3.5477600000000001E-3</v>
      </c>
      <c r="J3515" s="160"/>
      <c r="K3515" s="161">
        <f>K3511</f>
        <v>107</v>
      </c>
      <c r="L3515" s="162">
        <v>1</v>
      </c>
      <c r="M3515" s="163" t="str">
        <f>CONCATENATE(H3515," ",F3515,"*",I3515,"/",K3515,"чел.")</f>
        <v>144 манометров (потребность учреждений) *0,00354776/107чел.</v>
      </c>
      <c r="N3515" s="164">
        <f>Лист1!E266</f>
        <v>720.50416666666672</v>
      </c>
      <c r="O3515" s="165">
        <f>MROUND(G3515*N3515,0.000001)</f>
        <v>3.4400899999999996</v>
      </c>
      <c r="P3515" s="166"/>
      <c r="Q3515" s="166">
        <f t="shared" ref="Q3515:Q3516" si="762">O3515*K3515</f>
        <v>368.08962999999994</v>
      </c>
      <c r="R3515" s="71"/>
    </row>
    <row r="3516" spans="1:19" s="61" customFormat="1" ht="47.25" x14ac:dyDescent="0.25">
      <c r="A3516" s="358"/>
      <c r="B3516" s="361"/>
      <c r="C3516" s="364"/>
      <c r="D3516" s="255" t="s">
        <v>113</v>
      </c>
      <c r="E3516" s="156" t="s">
        <v>28</v>
      </c>
      <c r="F3516" s="156" t="s">
        <v>240</v>
      </c>
      <c r="G3516" s="157">
        <f>MROUND(H3516*L3516*I3516/K3516,0.00000001)</f>
        <v>0.18949017000000001</v>
      </c>
      <c r="H3516" s="158">
        <f>Лист1!C267</f>
        <v>5715</v>
      </c>
      <c r="I3516" s="159">
        <f>I3515</f>
        <v>3.5477600000000001E-3</v>
      </c>
      <c r="J3516" s="160"/>
      <c r="K3516" s="161">
        <f>K3515</f>
        <v>107</v>
      </c>
      <c r="L3516" s="162">
        <v>1</v>
      </c>
      <c r="M3516" s="163" t="str">
        <f>CONCATENATE(H3516," ",F3516,"*",I3516,"/",K3516,"чел.")</f>
        <v>5715 светильников (потребность учреждений)*0,00354776/107чел.</v>
      </c>
      <c r="N3516" s="164">
        <f>Лист1!E267</f>
        <v>111.16365879265086</v>
      </c>
      <c r="O3516" s="165">
        <f>MROUND(G3516*N3516,0.000001)</f>
        <v>21.064420999999999</v>
      </c>
      <c r="P3516" s="166"/>
      <c r="Q3516" s="166">
        <f t="shared" si="762"/>
        <v>2253.893047</v>
      </c>
      <c r="R3516" s="71"/>
    </row>
    <row r="3517" spans="1:19" s="61" customFormat="1" x14ac:dyDescent="0.25">
      <c r="A3517" s="359"/>
      <c r="B3517" s="362"/>
      <c r="C3517" s="218" t="s">
        <v>301</v>
      </c>
      <c r="D3517" s="256"/>
      <c r="E3517" s="240"/>
      <c r="F3517" s="240"/>
      <c r="G3517" s="227"/>
      <c r="H3517" s="241"/>
      <c r="I3517" s="206"/>
      <c r="J3517" s="228"/>
      <c r="K3517" s="207"/>
      <c r="L3517" s="257"/>
      <c r="M3517" s="209"/>
      <c r="N3517" s="210"/>
      <c r="O3517" s="198">
        <f>SUM(O3515:O3516)</f>
        <v>24.504511000000001</v>
      </c>
      <c r="P3517" s="166"/>
      <c r="Q3517" s="166"/>
      <c r="R3517" s="71"/>
    </row>
    <row r="3518" spans="1:19" s="61" customFormat="1" x14ac:dyDescent="0.25">
      <c r="A3518" s="357" t="str">
        <f>CONCATENATE(школы!$B$7,", ",школы!$C$7,", ",школы!$D$7)</f>
        <v>Реализация основных общеобразовательных программ начального общего образования, адаптированная образовательная программа, обучающиеся с ограниченными возможностями здоровья (ОВЗ)</v>
      </c>
      <c r="B3518" s="360" t="str">
        <f>школы!$A$7</f>
        <v>801012О.99.0.БА81АА00001</v>
      </c>
      <c r="C3518" s="194"/>
      <c r="D3518" s="363" t="s">
        <v>15</v>
      </c>
      <c r="E3518" s="363"/>
      <c r="F3518" s="363"/>
      <c r="G3518" s="363"/>
      <c r="H3518" s="195"/>
      <c r="I3518" s="195"/>
      <c r="J3518" s="195"/>
      <c r="K3518" s="195"/>
      <c r="L3518" s="196"/>
      <c r="M3518" s="197"/>
      <c r="N3518" s="164"/>
      <c r="O3518" s="198">
        <f>O3519+O3524+O3526</f>
        <v>6152.3001572960002</v>
      </c>
      <c r="P3518" s="166"/>
      <c r="Q3518" s="166"/>
      <c r="R3518" s="71"/>
    </row>
    <row r="3519" spans="1:19" s="61" customFormat="1" x14ac:dyDescent="0.25">
      <c r="A3519" s="358"/>
      <c r="B3519" s="361"/>
      <c r="C3519" s="194"/>
      <c r="D3519" s="350" t="s">
        <v>62</v>
      </c>
      <c r="E3519" s="350"/>
      <c r="F3519" s="350"/>
      <c r="G3519" s="350"/>
      <c r="H3519" s="195"/>
      <c r="I3519" s="195"/>
      <c r="J3519" s="195"/>
      <c r="K3519" s="195"/>
      <c r="L3519" s="196"/>
      <c r="M3519" s="197"/>
      <c r="N3519" s="164"/>
      <c r="O3519" s="165">
        <f>O3521+O3523</f>
        <v>6152.3001572960002</v>
      </c>
      <c r="P3519" s="166"/>
      <c r="Q3519" s="166"/>
      <c r="R3519" s="71"/>
      <c r="S3519" s="121"/>
    </row>
    <row r="3520" spans="1:19" s="61" customFormat="1" x14ac:dyDescent="0.25">
      <c r="A3520" s="358"/>
      <c r="B3520" s="361"/>
      <c r="C3520" s="194">
        <v>211</v>
      </c>
      <c r="D3520" s="194" t="s">
        <v>86</v>
      </c>
      <c r="E3520" s="199" t="s">
        <v>95</v>
      </c>
      <c r="F3520" s="199" t="s">
        <v>95</v>
      </c>
      <c r="G3520" s="258">
        <f>MROUND(H3520*L3520*I3520/K3520,0.0000000001)</f>
        <v>0.3667656037</v>
      </c>
      <c r="H3520" s="201">
        <f>H3400</f>
        <v>921.8</v>
      </c>
      <c r="I3520" s="159">
        <f>школы!$K$7</f>
        <v>1.356107E-2</v>
      </c>
      <c r="J3520" s="159"/>
      <c r="K3520" s="161">
        <f>школы!$G$7</f>
        <v>409</v>
      </c>
      <c r="L3520" s="202">
        <v>12</v>
      </c>
      <c r="M3520" s="163" t="str">
        <f>CONCATENATE(H3520," ",F3520," ","в мес.","*",L3520,"мес.","*",I3520,"/",K3520,"чел.")</f>
        <v>921,8 шт.ед в мес.*12мес.*0,01356107/409чел.</v>
      </c>
      <c r="N3520" s="164">
        <f>N3400</f>
        <v>12883.620739314385</v>
      </c>
      <c r="O3520" s="165">
        <f>MROUND(G3520*N3520,0.000000001)</f>
        <v>4725.2689382960007</v>
      </c>
      <c r="P3520" s="166"/>
      <c r="Q3520" s="166">
        <f t="shared" ref="Q3520" si="763">O3520*K3520</f>
        <v>1932634.9957630644</v>
      </c>
      <c r="R3520" s="71"/>
    </row>
    <row r="3521" spans="1:18" s="61" customFormat="1" x14ac:dyDescent="0.25">
      <c r="A3521" s="358"/>
      <c r="B3521" s="361"/>
      <c r="C3521" s="203" t="s">
        <v>288</v>
      </c>
      <c r="D3521" s="203"/>
      <c r="E3521" s="204"/>
      <c r="F3521" s="204"/>
      <c r="G3521" s="259"/>
      <c r="H3521" s="206"/>
      <c r="I3521" s="206"/>
      <c r="J3521" s="206"/>
      <c r="K3521" s="207"/>
      <c r="L3521" s="208"/>
      <c r="M3521" s="209"/>
      <c r="N3521" s="210">
        <f>N3520</f>
        <v>12883.620739314385</v>
      </c>
      <c r="O3521" s="198">
        <f>O3520</f>
        <v>4725.2689382960007</v>
      </c>
      <c r="P3521" s="166"/>
      <c r="Q3521" s="166"/>
      <c r="R3521" s="71"/>
    </row>
    <row r="3522" spans="1:18" s="61" customFormat="1" x14ac:dyDescent="0.25">
      <c r="A3522" s="358"/>
      <c r="B3522" s="361"/>
      <c r="C3522" s="194">
        <v>213</v>
      </c>
      <c r="D3522" s="194" t="s">
        <v>87</v>
      </c>
      <c r="E3522" s="194" t="s">
        <v>88</v>
      </c>
      <c r="F3522" s="194"/>
      <c r="G3522" s="260">
        <v>30.2</v>
      </c>
      <c r="H3522" s="159"/>
      <c r="I3522" s="159"/>
      <c r="J3522" s="159"/>
      <c r="K3522" s="161">
        <f>K3520</f>
        <v>409</v>
      </c>
      <c r="L3522" s="202"/>
      <c r="M3522" s="212"/>
      <c r="N3522" s="164"/>
      <c r="O3522" s="165">
        <f>MROUND(O3520*0.302,0.000001)</f>
        <v>1427.031219</v>
      </c>
      <c r="P3522" s="166"/>
      <c r="Q3522" s="166">
        <f>O3522*K3522</f>
        <v>583655.76857099996</v>
      </c>
      <c r="R3522" s="71"/>
    </row>
    <row r="3523" spans="1:18" s="61" customFormat="1" x14ac:dyDescent="0.25">
      <c r="A3523" s="358"/>
      <c r="B3523" s="361"/>
      <c r="C3523" s="261" t="s">
        <v>289</v>
      </c>
      <c r="D3523" s="261"/>
      <c r="E3523" s="261"/>
      <c r="F3523" s="261"/>
      <c r="G3523" s="227"/>
      <c r="H3523" s="262"/>
      <c r="I3523" s="262"/>
      <c r="J3523" s="262"/>
      <c r="K3523" s="263"/>
      <c r="L3523" s="264"/>
      <c r="M3523" s="265"/>
      <c r="N3523" s="210"/>
      <c r="O3523" s="198">
        <f>O3522</f>
        <v>1427.031219</v>
      </c>
      <c r="P3523" s="166"/>
      <c r="Q3523" s="166"/>
      <c r="R3523" s="71"/>
    </row>
    <row r="3524" spans="1:18" s="61" customFormat="1" x14ac:dyDescent="0.25">
      <c r="A3524" s="358"/>
      <c r="B3524" s="361"/>
      <c r="C3524" s="194"/>
      <c r="D3524" s="356" t="s">
        <v>63</v>
      </c>
      <c r="E3524" s="356"/>
      <c r="F3524" s="356"/>
      <c r="G3524" s="356"/>
      <c r="H3524" s="195"/>
      <c r="I3524" s="159"/>
      <c r="J3524" s="195"/>
      <c r="K3524" s="161"/>
      <c r="L3524" s="196"/>
      <c r="M3524" s="197"/>
      <c r="N3524" s="164"/>
      <c r="O3524" s="165"/>
      <c r="P3524" s="166"/>
      <c r="Q3524" s="166"/>
      <c r="R3524" s="71"/>
    </row>
    <row r="3525" spans="1:18" s="61" customFormat="1" x14ac:dyDescent="0.25">
      <c r="A3525" s="358"/>
      <c r="B3525" s="361"/>
      <c r="C3525" s="194"/>
      <c r="D3525" s="194"/>
      <c r="E3525" s="194"/>
      <c r="F3525" s="194"/>
      <c r="G3525" s="217"/>
      <c r="H3525" s="195"/>
      <c r="I3525" s="159"/>
      <c r="J3525" s="195"/>
      <c r="K3525" s="161"/>
      <c r="L3525" s="196"/>
      <c r="M3525" s="197"/>
      <c r="N3525" s="164"/>
      <c r="O3525" s="165"/>
      <c r="P3525" s="166"/>
      <c r="Q3525" s="166"/>
      <c r="R3525" s="71"/>
    </row>
    <row r="3526" spans="1:18" s="61" customFormat="1" x14ac:dyDescent="0.25">
      <c r="A3526" s="358"/>
      <c r="B3526" s="361"/>
      <c r="C3526" s="194"/>
      <c r="D3526" s="350" t="s">
        <v>64</v>
      </c>
      <c r="E3526" s="350"/>
      <c r="F3526" s="350"/>
      <c r="G3526" s="350"/>
      <c r="H3526" s="195"/>
      <c r="I3526" s="159"/>
      <c r="J3526" s="195"/>
      <c r="K3526" s="161"/>
      <c r="L3526" s="196"/>
      <c r="M3526" s="197"/>
      <c r="N3526" s="164"/>
      <c r="O3526" s="165"/>
      <c r="P3526" s="166"/>
      <c r="Q3526" s="166"/>
      <c r="R3526" s="71"/>
    </row>
    <row r="3527" spans="1:18" s="61" customFormat="1" x14ac:dyDescent="0.25">
      <c r="A3527" s="358"/>
      <c r="B3527" s="361"/>
      <c r="C3527" s="194"/>
      <c r="D3527" s="194"/>
      <c r="E3527" s="194"/>
      <c r="F3527" s="194"/>
      <c r="G3527" s="217"/>
      <c r="H3527" s="195"/>
      <c r="I3527" s="159"/>
      <c r="J3527" s="195"/>
      <c r="K3527" s="161"/>
      <c r="L3527" s="196"/>
      <c r="M3527" s="197"/>
      <c r="N3527" s="164"/>
      <c r="O3527" s="165"/>
      <c r="P3527" s="166"/>
      <c r="Q3527" s="166"/>
      <c r="R3527" s="71"/>
    </row>
    <row r="3528" spans="1:18" s="61" customFormat="1" x14ac:dyDescent="0.25">
      <c r="A3528" s="358"/>
      <c r="B3528" s="361"/>
      <c r="C3528" s="194"/>
      <c r="D3528" s="355" t="s">
        <v>5</v>
      </c>
      <c r="E3528" s="355"/>
      <c r="F3528" s="355"/>
      <c r="G3528" s="355"/>
      <c r="H3528" s="195"/>
      <c r="I3528" s="159"/>
      <c r="J3528" s="195"/>
      <c r="K3528" s="161"/>
      <c r="L3528" s="196"/>
      <c r="M3528" s="197"/>
      <c r="N3528" s="164"/>
      <c r="O3528" s="198">
        <f>O3529+O3539+O3550+O3552+O3554+O3556+O3558</f>
        <v>13062.361239089598</v>
      </c>
      <c r="P3528" s="166"/>
      <c r="Q3528" s="166"/>
      <c r="R3528" s="71"/>
    </row>
    <row r="3529" spans="1:18" s="61" customFormat="1" x14ac:dyDescent="0.25">
      <c r="A3529" s="358"/>
      <c r="B3529" s="361"/>
      <c r="C3529" s="218" t="s">
        <v>70</v>
      </c>
      <c r="D3529" s="355" t="s">
        <v>6</v>
      </c>
      <c r="E3529" s="355"/>
      <c r="F3529" s="355"/>
      <c r="G3529" s="355"/>
      <c r="H3529" s="219"/>
      <c r="I3529" s="206"/>
      <c r="J3529" s="219"/>
      <c r="K3529" s="207"/>
      <c r="L3529" s="220"/>
      <c r="M3529" s="216"/>
      <c r="N3529" s="210"/>
      <c r="O3529" s="198">
        <f>O3538</f>
        <v>5999.9627403899995</v>
      </c>
      <c r="P3529" s="166"/>
      <c r="Q3529" s="166"/>
      <c r="R3529" s="71"/>
    </row>
    <row r="3530" spans="1:18" s="61" customFormat="1" ht="31.5" x14ac:dyDescent="0.25">
      <c r="A3530" s="358"/>
      <c r="B3530" s="361"/>
      <c r="C3530" s="221" t="s">
        <v>72</v>
      </c>
      <c r="D3530" s="222" t="s">
        <v>7</v>
      </c>
      <c r="E3530" s="223" t="s">
        <v>8</v>
      </c>
      <c r="F3530" s="223" t="s">
        <v>8</v>
      </c>
      <c r="G3530" s="266">
        <f>MROUND(H3530*L3530*I3530/K3530,0.00000000001)</f>
        <v>109.85200875880999</v>
      </c>
      <c r="H3530" s="160">
        <f t="shared" ref="H3530:H3537" si="764">H3410</f>
        <v>3313121.4264326878</v>
      </c>
      <c r="I3530" s="159">
        <f>I3520</f>
        <v>1.356107E-2</v>
      </c>
      <c r="J3530" s="160"/>
      <c r="K3530" s="161">
        <f>K3520</f>
        <v>409</v>
      </c>
      <c r="L3530" s="250">
        <v>1</v>
      </c>
      <c r="M3530" s="163" t="str">
        <f t="shared" ref="M3530:M3535" si="765">CONCATENATE(H3530," ",F3530,"(лимиты выделенные УЖКХ) ","*",I3530,"/",K3530,"чел.")</f>
        <v>3313121,42643269 кВт час.(лимиты выделенные УЖКХ) *0,01356107/409чел.</v>
      </c>
      <c r="N3530" s="164">
        <f t="shared" ref="N3530:N3537" si="766">N3410</f>
        <v>10.897694685122204</v>
      </c>
      <c r="O3530" s="165">
        <f t="shared" ref="O3530:O3533" si="767">MROUND(G3530*N3530,0.000001)</f>
        <v>1197.133652</v>
      </c>
      <c r="P3530" s="166"/>
      <c r="Q3530" s="166">
        <f t="shared" ref="Q3530:Q3537" si="768">O3530*K3530</f>
        <v>489627.66366799996</v>
      </c>
      <c r="R3530" s="71"/>
    </row>
    <row r="3531" spans="1:18" s="61" customFormat="1" ht="31.5" x14ac:dyDescent="0.25">
      <c r="A3531" s="358"/>
      <c r="B3531" s="361"/>
      <c r="C3531" s="221" t="s">
        <v>73</v>
      </c>
      <c r="D3531" s="222" t="s">
        <v>9</v>
      </c>
      <c r="E3531" s="223" t="s">
        <v>10</v>
      </c>
      <c r="F3531" s="223" t="s">
        <v>10</v>
      </c>
      <c r="G3531" s="266">
        <f t="shared" ref="G3531:G3537" si="769">MROUND(H3531*L3531*I3531/K3531,0.00000000001)</f>
        <v>1.0576106078399998</v>
      </c>
      <c r="H3531" s="160">
        <f t="shared" si="764"/>
        <v>31897.39</v>
      </c>
      <c r="I3531" s="159">
        <f t="shared" ref="I3531:I3537" si="770">I3530</f>
        <v>1.356107E-2</v>
      </c>
      <c r="J3531" s="160"/>
      <c r="K3531" s="161">
        <f t="shared" ref="K3531" si="771">K3530</f>
        <v>409</v>
      </c>
      <c r="L3531" s="250">
        <v>1</v>
      </c>
      <c r="M3531" s="163" t="str">
        <f t="shared" si="765"/>
        <v>31897,39 Гкал(лимиты выделенные УЖКХ) *0,01356107/409чел.</v>
      </c>
      <c r="N3531" s="164">
        <f t="shared" si="766"/>
        <v>2976.2517908205036</v>
      </c>
      <c r="O3531" s="165">
        <f t="shared" si="767"/>
        <v>3147.7154659999997</v>
      </c>
      <c r="P3531" s="166"/>
      <c r="Q3531" s="166">
        <f t="shared" si="768"/>
        <v>1287415.6255939999</v>
      </c>
      <c r="R3531" s="71"/>
    </row>
    <row r="3532" spans="1:18" s="61" customFormat="1" ht="31.5" x14ac:dyDescent="0.25">
      <c r="A3532" s="358"/>
      <c r="B3532" s="361"/>
      <c r="C3532" s="364" t="s">
        <v>74</v>
      </c>
      <c r="D3532" s="222" t="s">
        <v>12</v>
      </c>
      <c r="E3532" s="222" t="s">
        <v>11</v>
      </c>
      <c r="F3532" s="222" t="s">
        <v>11</v>
      </c>
      <c r="G3532" s="266">
        <f t="shared" si="769"/>
        <v>6.1248678756299997</v>
      </c>
      <c r="H3532" s="224">
        <f t="shared" si="764"/>
        <v>184725.17</v>
      </c>
      <c r="I3532" s="159">
        <f t="shared" si="770"/>
        <v>1.356107E-2</v>
      </c>
      <c r="J3532" s="160"/>
      <c r="K3532" s="161">
        <f t="shared" ref="K3532" si="772">K3531</f>
        <v>409</v>
      </c>
      <c r="L3532" s="250">
        <v>1</v>
      </c>
      <c r="M3532" s="163" t="str">
        <f t="shared" si="765"/>
        <v>184725,17 м3(лимиты выделенные УЖКХ) *0,01356107/409чел.</v>
      </c>
      <c r="N3532" s="164">
        <f t="shared" si="766"/>
        <v>54.214180016724306</v>
      </c>
      <c r="O3532" s="165">
        <f t="shared" si="767"/>
        <v>332.05468999999999</v>
      </c>
      <c r="P3532" s="166"/>
      <c r="Q3532" s="166">
        <f t="shared" si="768"/>
        <v>135810.36820999999</v>
      </c>
      <c r="R3532" s="71"/>
    </row>
    <row r="3533" spans="1:18" s="61" customFormat="1" ht="47.25" x14ac:dyDescent="0.25">
      <c r="A3533" s="358"/>
      <c r="B3533" s="361"/>
      <c r="C3533" s="364"/>
      <c r="D3533" s="222" t="s">
        <v>17</v>
      </c>
      <c r="E3533" s="222" t="s">
        <v>11</v>
      </c>
      <c r="F3533" s="222" t="s">
        <v>11</v>
      </c>
      <c r="G3533" s="266">
        <f t="shared" si="769"/>
        <v>6.1248678756299997</v>
      </c>
      <c r="H3533" s="160">
        <f t="shared" si="764"/>
        <v>184725.17</v>
      </c>
      <c r="I3533" s="159">
        <f t="shared" si="770"/>
        <v>1.356107E-2</v>
      </c>
      <c r="J3533" s="160"/>
      <c r="K3533" s="161">
        <f t="shared" ref="K3533" si="773">K3532</f>
        <v>409</v>
      </c>
      <c r="L3533" s="162">
        <f>$L$25</f>
        <v>1</v>
      </c>
      <c r="M3533" s="163" t="str">
        <f t="shared" si="765"/>
        <v>184725,17 м3(лимиты выделенные УЖКХ) *0,01356107/409чел.</v>
      </c>
      <c r="N3533" s="164">
        <f t="shared" si="766"/>
        <v>82.384170780821918</v>
      </c>
      <c r="O3533" s="165">
        <f t="shared" si="767"/>
        <v>504.59216099999998</v>
      </c>
      <c r="P3533" s="166"/>
      <c r="Q3533" s="166">
        <f t="shared" si="768"/>
        <v>206378.193849</v>
      </c>
      <c r="R3533" s="71"/>
    </row>
    <row r="3534" spans="1:18" s="61" customFormat="1" ht="31.5" x14ac:dyDescent="0.25">
      <c r="A3534" s="358"/>
      <c r="B3534" s="361"/>
      <c r="C3534" s="364"/>
      <c r="D3534" s="222" t="s">
        <v>13</v>
      </c>
      <c r="E3534" s="222" t="s">
        <v>11</v>
      </c>
      <c r="F3534" s="222" t="s">
        <v>11</v>
      </c>
      <c r="G3534" s="266">
        <f t="shared" si="769"/>
        <v>6.1248678756299997</v>
      </c>
      <c r="H3534" s="160">
        <f t="shared" si="764"/>
        <v>184725.17</v>
      </c>
      <c r="I3534" s="159">
        <f t="shared" si="770"/>
        <v>1.356107E-2</v>
      </c>
      <c r="J3534" s="160"/>
      <c r="K3534" s="161">
        <f t="shared" ref="K3534" si="774">K3533</f>
        <v>409</v>
      </c>
      <c r="L3534" s="225">
        <v>1</v>
      </c>
      <c r="M3534" s="163" t="str">
        <f t="shared" si="765"/>
        <v>184725,17 м3(лимиты выделенные УЖКХ) *0,01356107/409чел.</v>
      </c>
      <c r="N3534" s="164">
        <f t="shared" si="766"/>
        <v>112.36110334722464</v>
      </c>
      <c r="O3534" s="165">
        <f>MROUND(G3534*N3534,0.00000001)</f>
        <v>688.19691236000006</v>
      </c>
      <c r="P3534" s="166"/>
      <c r="Q3534" s="166">
        <f t="shared" si="768"/>
        <v>281472.53715524002</v>
      </c>
      <c r="R3534" s="71"/>
    </row>
    <row r="3535" spans="1:18" s="61" customFormat="1" ht="31.5" x14ac:dyDescent="0.25">
      <c r="A3535" s="358"/>
      <c r="B3535" s="361"/>
      <c r="C3535" s="221" t="s">
        <v>75</v>
      </c>
      <c r="D3535" s="222" t="s">
        <v>18</v>
      </c>
      <c r="E3535" s="222" t="s">
        <v>48</v>
      </c>
      <c r="F3535" s="222" t="s">
        <v>48</v>
      </c>
      <c r="G3535" s="266">
        <f t="shared" si="769"/>
        <v>0.46046629762999997</v>
      </c>
      <c r="H3535" s="160">
        <f t="shared" si="764"/>
        <v>13887.6</v>
      </c>
      <c r="I3535" s="159">
        <f t="shared" si="770"/>
        <v>1.356107E-2</v>
      </c>
      <c r="J3535" s="160"/>
      <c r="K3535" s="161">
        <f t="shared" ref="K3535" si="775">K3534</f>
        <v>409</v>
      </c>
      <c r="L3535" s="250">
        <v>1</v>
      </c>
      <c r="M3535" s="163" t="str">
        <f t="shared" si="765"/>
        <v>13887,6 тыс. м3(лимиты выделенные УЖКХ) *0,01356107/409чел.</v>
      </c>
      <c r="N3535" s="164">
        <f t="shared" si="766"/>
        <v>30.576235634666901</v>
      </c>
      <c r="O3535" s="165">
        <f t="shared" ref="O3535" si="776">MROUND(G3535*N3535,0.000001)</f>
        <v>14.079326</v>
      </c>
      <c r="P3535" s="166"/>
      <c r="Q3535" s="166">
        <f t="shared" si="768"/>
        <v>5758.4443339999998</v>
      </c>
      <c r="R3535" s="71"/>
    </row>
    <row r="3536" spans="1:18" s="61" customFormat="1" x14ac:dyDescent="0.25">
      <c r="A3536" s="358"/>
      <c r="B3536" s="361"/>
      <c r="C3536" s="364" t="s">
        <v>216</v>
      </c>
      <c r="D3536" s="222" t="s">
        <v>23</v>
      </c>
      <c r="E3536" s="222" t="s">
        <v>11</v>
      </c>
      <c r="F3536" s="222" t="s">
        <v>11</v>
      </c>
      <c r="G3536" s="266">
        <f t="shared" si="769"/>
        <v>0.11169281868999999</v>
      </c>
      <c r="H3536" s="160">
        <f t="shared" si="764"/>
        <v>3368.6400000000003</v>
      </c>
      <c r="I3536" s="159">
        <f t="shared" si="770"/>
        <v>1.356107E-2</v>
      </c>
      <c r="J3536" s="160"/>
      <c r="K3536" s="161">
        <f t="shared" ref="K3536:L3536" si="777">K3535</f>
        <v>409</v>
      </c>
      <c r="L3536" s="162">
        <f t="shared" si="777"/>
        <v>1</v>
      </c>
      <c r="M3536" s="163" t="str">
        <f>CONCATENATE(H3536," ",F3536," ","*",I3536,"/",K3536,"чел.")</f>
        <v>3368,64 м3 *0,01356107/409чел.</v>
      </c>
      <c r="N3536" s="164">
        <f t="shared" si="766"/>
        <v>776.35552626579261</v>
      </c>
      <c r="O3536" s="165">
        <f>MROUND(G3536*N3536,0.00000001)</f>
        <v>86.713337030000005</v>
      </c>
      <c r="P3536" s="166"/>
      <c r="Q3536" s="166">
        <f t="shared" si="768"/>
        <v>35465.754845269999</v>
      </c>
      <c r="R3536" s="71"/>
    </row>
    <row r="3537" spans="1:18" s="61" customFormat="1" ht="47.25" x14ac:dyDescent="0.25">
      <c r="A3537" s="358"/>
      <c r="B3537" s="361"/>
      <c r="C3537" s="364"/>
      <c r="D3537" s="222" t="s">
        <v>24</v>
      </c>
      <c r="E3537" s="222" t="s">
        <v>25</v>
      </c>
      <c r="F3537" s="222" t="s">
        <v>217</v>
      </c>
      <c r="G3537" s="266">
        <f t="shared" si="769"/>
        <v>4.8740275999999997E-3</v>
      </c>
      <c r="H3537" s="160">
        <f t="shared" si="764"/>
        <v>147</v>
      </c>
      <c r="I3537" s="159">
        <f t="shared" si="770"/>
        <v>1.356107E-2</v>
      </c>
      <c r="J3537" s="160"/>
      <c r="K3537" s="161">
        <f t="shared" ref="K3537:L3537" si="778">K3536</f>
        <v>409</v>
      </c>
      <c r="L3537" s="250">
        <f t="shared" si="778"/>
        <v>1</v>
      </c>
      <c r="M3537" s="163" t="str">
        <f>CONCATENATE(H3537," ",F3537,"(потребность из расчета 4 контейнера для уборки территории весной и осенью на 1 учреждение)","*",I3537,"/",K3537,"чел.")</f>
        <v>147 контейнера(потребность из расчета 4 контейнера для уборки территории весной и осенью на 1 учреждение)*0,01356107/409чел.</v>
      </c>
      <c r="N3537" s="164">
        <f t="shared" si="766"/>
        <v>6047.8105442176911</v>
      </c>
      <c r="O3537" s="165">
        <f t="shared" ref="O3537" si="779">MROUND(G3537*N3537,0.000001)</f>
        <v>29.477195999999999</v>
      </c>
      <c r="P3537" s="166"/>
      <c r="Q3537" s="166">
        <f t="shared" si="768"/>
        <v>12056.173164</v>
      </c>
      <c r="R3537" s="71"/>
    </row>
    <row r="3538" spans="1:18" s="61" customFormat="1" x14ac:dyDescent="0.25">
      <c r="A3538" s="358"/>
      <c r="B3538" s="361"/>
      <c r="C3538" s="218" t="s">
        <v>290</v>
      </c>
      <c r="D3538" s="226"/>
      <c r="E3538" s="226"/>
      <c r="F3538" s="226"/>
      <c r="G3538" s="227"/>
      <c r="H3538" s="228"/>
      <c r="I3538" s="206"/>
      <c r="J3538" s="228"/>
      <c r="K3538" s="207"/>
      <c r="L3538" s="257"/>
      <c r="M3538" s="209"/>
      <c r="N3538" s="210"/>
      <c r="O3538" s="198">
        <f>SUM(O3530:O3537)</f>
        <v>5999.9627403899995</v>
      </c>
      <c r="P3538" s="166"/>
      <c r="Q3538" s="166"/>
      <c r="R3538" s="71"/>
    </row>
    <row r="3539" spans="1:18" s="61" customFormat="1" x14ac:dyDescent="0.25">
      <c r="A3539" s="358"/>
      <c r="B3539" s="361"/>
      <c r="C3539" s="221"/>
      <c r="D3539" s="356" t="s">
        <v>14</v>
      </c>
      <c r="E3539" s="356"/>
      <c r="F3539" s="356"/>
      <c r="G3539" s="356"/>
      <c r="H3539" s="188"/>
      <c r="I3539" s="159"/>
      <c r="J3539" s="188"/>
      <c r="K3539" s="161"/>
      <c r="L3539" s="250"/>
      <c r="M3539" s="230"/>
      <c r="N3539" s="164"/>
      <c r="O3539" s="198">
        <f>O3547+O3548+O3543</f>
        <v>6277.7561746695992</v>
      </c>
      <c r="P3539" s="166"/>
      <c r="Q3539" s="166"/>
      <c r="R3539" s="71"/>
    </row>
    <row r="3540" spans="1:18" s="61" customFormat="1" x14ac:dyDescent="0.25">
      <c r="A3540" s="358"/>
      <c r="B3540" s="361"/>
      <c r="C3540" s="221" t="s">
        <v>379</v>
      </c>
      <c r="D3540" s="231" t="s">
        <v>49</v>
      </c>
      <c r="E3540" s="231" t="s">
        <v>22</v>
      </c>
      <c r="F3540" s="231" t="s">
        <v>22</v>
      </c>
      <c r="G3540" s="157"/>
      <c r="H3540" s="160"/>
      <c r="I3540" s="159">
        <f>I3535</f>
        <v>1.356107E-2</v>
      </c>
      <c r="J3540" s="160"/>
      <c r="K3540" s="161">
        <f>K3535</f>
        <v>409</v>
      </c>
      <c r="L3540" s="250"/>
      <c r="M3540" s="163"/>
      <c r="N3540" s="164"/>
      <c r="O3540" s="165">
        <f>MROUND(G3540*N3540,0.00000001)</f>
        <v>0</v>
      </c>
      <c r="P3540" s="166"/>
      <c r="Q3540" s="166">
        <f t="shared" ref="Q3540:Q3542" si="780">O3540*K3540</f>
        <v>0</v>
      </c>
      <c r="R3540" s="71"/>
    </row>
    <row r="3541" spans="1:18" s="61" customFormat="1" x14ac:dyDescent="0.25">
      <c r="A3541" s="358"/>
      <c r="B3541" s="361"/>
      <c r="C3541" s="221" t="s">
        <v>379</v>
      </c>
      <c r="D3541" s="231" t="s">
        <v>49</v>
      </c>
      <c r="E3541" s="231" t="s">
        <v>28</v>
      </c>
      <c r="F3541" s="231" t="s">
        <v>28</v>
      </c>
      <c r="G3541" s="157">
        <f>MROUND(H3541*L3541*I3541/K3541,0.00000000000001)</f>
        <v>0</v>
      </c>
      <c r="H3541" s="160"/>
      <c r="I3541" s="159">
        <f>I3540</f>
        <v>1.356107E-2</v>
      </c>
      <c r="J3541" s="160"/>
      <c r="K3541" s="161">
        <f>K3540</f>
        <v>409</v>
      </c>
      <c r="L3541" s="250">
        <v>1</v>
      </c>
      <c r="M3541" s="163"/>
      <c r="N3541" s="164"/>
      <c r="O3541" s="165">
        <f>MROUND(G3541*N3541,0.00000001)</f>
        <v>0</v>
      </c>
      <c r="P3541" s="166"/>
      <c r="Q3541" s="166">
        <f t="shared" si="780"/>
        <v>0</v>
      </c>
      <c r="R3541" s="71"/>
    </row>
    <row r="3542" spans="1:18" s="61" customFormat="1" x14ac:dyDescent="0.25">
      <c r="A3542" s="358"/>
      <c r="B3542" s="361"/>
      <c r="C3542" s="221" t="s">
        <v>379</v>
      </c>
      <c r="D3542" s="231" t="s">
        <v>49</v>
      </c>
      <c r="E3542" s="231" t="s">
        <v>101</v>
      </c>
      <c r="F3542" s="231" t="s">
        <v>101</v>
      </c>
      <c r="G3542" s="157"/>
      <c r="H3542" s="160"/>
      <c r="I3542" s="159">
        <f>I3541</f>
        <v>1.356107E-2</v>
      </c>
      <c r="J3542" s="160"/>
      <c r="K3542" s="161">
        <f>K3541</f>
        <v>409</v>
      </c>
      <c r="L3542" s="250"/>
      <c r="M3542" s="163"/>
      <c r="N3542" s="164"/>
      <c r="O3542" s="165">
        <f>MROUND(G3542*N3542,0.00000001)</f>
        <v>0</v>
      </c>
      <c r="P3542" s="166"/>
      <c r="Q3542" s="166">
        <f t="shared" si="780"/>
        <v>0</v>
      </c>
      <c r="R3542" s="71"/>
    </row>
    <row r="3543" spans="1:18" s="61" customFormat="1" x14ac:dyDescent="0.25">
      <c r="A3543" s="358"/>
      <c r="B3543" s="361"/>
      <c r="C3543" s="218" t="s">
        <v>381</v>
      </c>
      <c r="D3543" s="232"/>
      <c r="E3543" s="232"/>
      <c r="F3543" s="232"/>
      <c r="G3543" s="227"/>
      <c r="H3543" s="228"/>
      <c r="I3543" s="206"/>
      <c r="J3543" s="228"/>
      <c r="K3543" s="207"/>
      <c r="L3543" s="257"/>
      <c r="M3543" s="209"/>
      <c r="N3543" s="210"/>
      <c r="O3543" s="198">
        <f>SUM(O3540:O3542)</f>
        <v>0</v>
      </c>
      <c r="P3543" s="166"/>
      <c r="Q3543" s="166"/>
      <c r="R3543" s="71"/>
    </row>
    <row r="3544" spans="1:18" s="61" customFormat="1" x14ac:dyDescent="0.25">
      <c r="A3544" s="358"/>
      <c r="B3544" s="361"/>
      <c r="C3544" s="221" t="s">
        <v>76</v>
      </c>
      <c r="D3544" s="231" t="s">
        <v>49</v>
      </c>
      <c r="E3544" s="231" t="s">
        <v>22</v>
      </c>
      <c r="F3544" s="231" t="s">
        <v>22</v>
      </c>
      <c r="G3544" s="157">
        <f>MROUND(H3544*L3544*I3544/K3544,0.00000000000001)</f>
        <v>40.584720491051101</v>
      </c>
      <c r="H3544" s="160">
        <f>H3424</f>
        <v>1224029.57</v>
      </c>
      <c r="I3544" s="159">
        <f>I3542</f>
        <v>1.356107E-2</v>
      </c>
      <c r="J3544" s="160"/>
      <c r="K3544" s="161">
        <f>K3542</f>
        <v>409</v>
      </c>
      <c r="L3544" s="250">
        <v>1</v>
      </c>
      <c r="M3544" s="163" t="str">
        <f>CONCATENATE(H3544," ",F3544,"*",I3544,"/",K3544,"чел.")</f>
        <v>1224029,57 м2*0,01356107/409чел.</v>
      </c>
      <c r="N3544" s="164">
        <f>N3424</f>
        <v>37.50494361014497</v>
      </c>
      <c r="O3544" s="165">
        <f>MROUND(G3544*N3544,0.00000000001)</f>
        <v>1522.12765345037</v>
      </c>
      <c r="P3544" s="166"/>
      <c r="Q3544" s="166">
        <f t="shared" ref="Q3544:Q3546" si="781">O3544*K3544</f>
        <v>622550.21026120137</v>
      </c>
      <c r="R3544" s="71"/>
    </row>
    <row r="3545" spans="1:18" s="61" customFormat="1" x14ac:dyDescent="0.25">
      <c r="A3545" s="358"/>
      <c r="B3545" s="361"/>
      <c r="C3545" s="221"/>
      <c r="D3545" s="231" t="s">
        <v>49</v>
      </c>
      <c r="E3545" s="231" t="s">
        <v>28</v>
      </c>
      <c r="F3545" s="231" t="s">
        <v>28</v>
      </c>
      <c r="G3545" s="157">
        <f>MROUND(H3545*L3545*I3545/K3545,0.000000000001)</f>
        <v>3.6671255305999996E-2</v>
      </c>
      <c r="H3545" s="160">
        <f>H3425</f>
        <v>1106</v>
      </c>
      <c r="I3545" s="159">
        <f>I3544</f>
        <v>1.356107E-2</v>
      </c>
      <c r="J3545" s="160"/>
      <c r="K3545" s="161">
        <f>K3544</f>
        <v>409</v>
      </c>
      <c r="L3545" s="250">
        <v>1</v>
      </c>
      <c r="M3545" s="163" t="str">
        <f>CONCATENATE(H3545," ",F3545,"*",I3545,"/",K3545,"чел.")</f>
        <v>1106 шт*0,01356107/409чел.</v>
      </c>
      <c r="N3545" s="164">
        <f>N3425</f>
        <v>86192.676311030737</v>
      </c>
      <c r="O3545" s="165">
        <f>MROUND(G3545*N3545,0.00000000001)</f>
        <v>3160.7936385092298</v>
      </c>
      <c r="P3545" s="166"/>
      <c r="Q3545" s="166">
        <f t="shared" si="781"/>
        <v>1292764.5981502749</v>
      </c>
      <c r="R3545" s="71"/>
    </row>
    <row r="3546" spans="1:18" s="61" customFormat="1" x14ac:dyDescent="0.25">
      <c r="A3546" s="358"/>
      <c r="B3546" s="361"/>
      <c r="C3546" s="221"/>
      <c r="D3546" s="231" t="s">
        <v>49</v>
      </c>
      <c r="E3546" s="231" t="s">
        <v>101</v>
      </c>
      <c r="F3546" s="231" t="s">
        <v>101</v>
      </c>
      <c r="G3546" s="157">
        <f>MROUND(H3546*L3546*I3546/K3546,0.000000001)</f>
        <v>1.2158543690000001</v>
      </c>
      <c r="H3546" s="160">
        <f>H3426</f>
        <v>36670</v>
      </c>
      <c r="I3546" s="159">
        <f>I3545</f>
        <v>1.356107E-2</v>
      </c>
      <c r="J3546" s="160"/>
      <c r="K3546" s="161">
        <f>K3545</f>
        <v>409</v>
      </c>
      <c r="L3546" s="250">
        <v>1</v>
      </c>
      <c r="M3546" s="163" t="str">
        <f>CONCATENATE(H3546," ",F3546,"*",I3546,"/",K3546,"чел.")</f>
        <v>36670 погон.м.*0,01356107/409чел.</v>
      </c>
      <c r="N3546" s="164">
        <f>N3426</f>
        <v>1311.6989364603219</v>
      </c>
      <c r="O3546" s="165">
        <f>MROUND(G3546*N3546,0.00000001)</f>
        <v>1594.8348827100001</v>
      </c>
      <c r="P3546" s="166"/>
      <c r="Q3546" s="166">
        <f t="shared" si="781"/>
        <v>652287.46702839003</v>
      </c>
      <c r="R3546" s="71"/>
    </row>
    <row r="3547" spans="1:18" s="61" customFormat="1" x14ac:dyDescent="0.25">
      <c r="A3547" s="358"/>
      <c r="B3547" s="361"/>
      <c r="C3547" s="218" t="s">
        <v>302</v>
      </c>
      <c r="D3547" s="232"/>
      <c r="E3547" s="232"/>
      <c r="F3547" s="232"/>
      <c r="G3547" s="227"/>
      <c r="H3547" s="228"/>
      <c r="I3547" s="206"/>
      <c r="J3547" s="228"/>
      <c r="K3547" s="207"/>
      <c r="L3547" s="257"/>
      <c r="M3547" s="209"/>
      <c r="N3547" s="210"/>
      <c r="O3547" s="198">
        <f>SUM(O3544:O3546)</f>
        <v>6277.7561746695992</v>
      </c>
      <c r="P3547" s="166"/>
      <c r="Q3547" s="166"/>
      <c r="R3547" s="71"/>
    </row>
    <row r="3548" spans="1:18" s="61" customFormat="1" x14ac:dyDescent="0.25">
      <c r="A3548" s="358"/>
      <c r="B3548" s="361"/>
      <c r="C3548" s="221" t="s">
        <v>77</v>
      </c>
      <c r="D3548" s="231"/>
      <c r="E3548" s="231"/>
      <c r="F3548" s="231"/>
      <c r="G3548" s="157">
        <f>MROUND(H3548*L3548*I3548/K3548,0.00000000001)</f>
        <v>0</v>
      </c>
      <c r="H3548" s="160">
        <f>H3428</f>
        <v>0</v>
      </c>
      <c r="I3548" s="159">
        <f>I3546</f>
        <v>1.356107E-2</v>
      </c>
      <c r="J3548" s="160"/>
      <c r="K3548" s="161">
        <f>K3546</f>
        <v>409</v>
      </c>
      <c r="L3548" s="250"/>
      <c r="M3548" s="163"/>
      <c r="N3548" s="164">
        <f>N3428</f>
        <v>0</v>
      </c>
      <c r="O3548" s="165">
        <f>MROUND(G3548*N3548,0.000000001)</f>
        <v>0</v>
      </c>
      <c r="P3548" s="166"/>
      <c r="Q3548" s="166">
        <f t="shared" ref="Q3548" si="782">O3548*K3548</f>
        <v>0</v>
      </c>
      <c r="R3548" s="71"/>
    </row>
    <row r="3549" spans="1:18" s="62" customFormat="1" x14ac:dyDescent="0.25">
      <c r="A3549" s="358"/>
      <c r="B3549" s="361"/>
      <c r="C3549" s="218" t="s">
        <v>292</v>
      </c>
      <c r="D3549" s="232"/>
      <c r="E3549" s="232"/>
      <c r="F3549" s="232"/>
      <c r="G3549" s="227"/>
      <c r="H3549" s="228"/>
      <c r="I3549" s="206"/>
      <c r="J3549" s="228"/>
      <c r="K3549" s="207"/>
      <c r="L3549" s="257"/>
      <c r="M3549" s="209"/>
      <c r="N3549" s="210"/>
      <c r="O3549" s="198">
        <f>O3548</f>
        <v>0</v>
      </c>
      <c r="P3549" s="267"/>
      <c r="Q3549" s="166"/>
      <c r="R3549" s="71"/>
    </row>
    <row r="3550" spans="1:18" s="61" customFormat="1" x14ac:dyDescent="0.25">
      <c r="A3550" s="358"/>
      <c r="B3550" s="361"/>
      <c r="C3550" s="221"/>
      <c r="D3550" s="350" t="s">
        <v>65</v>
      </c>
      <c r="E3550" s="350"/>
      <c r="F3550" s="350"/>
      <c r="G3550" s="350"/>
      <c r="H3550" s="195"/>
      <c r="I3550" s="159"/>
      <c r="J3550" s="195"/>
      <c r="K3550" s="161"/>
      <c r="L3550" s="196"/>
      <c r="M3550" s="230"/>
      <c r="N3550" s="164"/>
      <c r="O3550" s="165">
        <f t="shared" ref="O3550:O3551" si="783">MROUND(G3550*N3550,0.000001)</f>
        <v>0</v>
      </c>
      <c r="P3550" s="166"/>
      <c r="Q3550" s="166"/>
      <c r="R3550" s="71"/>
    </row>
    <row r="3551" spans="1:18" s="61" customFormat="1" x14ac:dyDescent="0.25">
      <c r="A3551" s="358"/>
      <c r="B3551" s="361"/>
      <c r="C3551" s="221"/>
      <c r="D3551" s="194"/>
      <c r="E3551" s="194"/>
      <c r="F3551" s="194"/>
      <c r="G3551" s="217"/>
      <c r="H3551" s="195"/>
      <c r="I3551" s="159"/>
      <c r="J3551" s="195"/>
      <c r="K3551" s="161"/>
      <c r="L3551" s="196"/>
      <c r="M3551" s="230"/>
      <c r="N3551" s="164"/>
      <c r="O3551" s="165">
        <f t="shared" si="783"/>
        <v>0</v>
      </c>
      <c r="P3551" s="166"/>
      <c r="Q3551" s="166"/>
      <c r="R3551" s="71"/>
    </row>
    <row r="3552" spans="1:18" s="61" customFormat="1" x14ac:dyDescent="0.25">
      <c r="A3552" s="358"/>
      <c r="B3552" s="361"/>
      <c r="C3552" s="218" t="s">
        <v>357</v>
      </c>
      <c r="D3552" s="377" t="s">
        <v>66</v>
      </c>
      <c r="E3552" s="377"/>
      <c r="F3552" s="377"/>
      <c r="G3552" s="377"/>
      <c r="H3552" s="195"/>
      <c r="I3552" s="159"/>
      <c r="J3552" s="195"/>
      <c r="K3552" s="161"/>
      <c r="L3552" s="234"/>
      <c r="M3552" s="230"/>
      <c r="N3552" s="164"/>
      <c r="O3552" s="198">
        <f>O3553</f>
        <v>18.818694000000001</v>
      </c>
      <c r="P3552" s="166"/>
      <c r="Q3552" s="166"/>
      <c r="R3552" s="71"/>
    </row>
    <row r="3553" spans="1:41" s="61" customFormat="1" ht="47.25" x14ac:dyDescent="0.25">
      <c r="A3553" s="358"/>
      <c r="B3553" s="361"/>
      <c r="C3553" s="221"/>
      <c r="D3553" s="222" t="s">
        <v>374</v>
      </c>
      <c r="E3553" s="194" t="s">
        <v>28</v>
      </c>
      <c r="F3553" s="194" t="s">
        <v>28</v>
      </c>
      <c r="G3553" s="217">
        <f>MROUND(H3553*L3553*I3553/K3553,0.000000001)</f>
        <v>4.7745579999999999E-3</v>
      </c>
      <c r="H3553" s="201">
        <f>H3433</f>
        <v>36</v>
      </c>
      <c r="I3553" s="159">
        <f>I3548</f>
        <v>1.356107E-2</v>
      </c>
      <c r="J3553" s="195"/>
      <c r="K3553" s="161">
        <f>K3548</f>
        <v>409</v>
      </c>
      <c r="L3553" s="235">
        <f>L3433</f>
        <v>4</v>
      </c>
      <c r="M3553" s="163" t="str">
        <f>CONCATENATE(H3553," ",F3553,"*",I3553,"/",K3553,"чел.")</f>
        <v>36 шт*0,01356107/409чел.</v>
      </c>
      <c r="N3553" s="164">
        <f>N3433</f>
        <v>3941.4525000000012</v>
      </c>
      <c r="O3553" s="165">
        <f>MROUND(G3553*N3553,0.000001)</f>
        <v>18.818694000000001</v>
      </c>
      <c r="P3553" s="166"/>
      <c r="Q3553" s="166">
        <f t="shared" ref="Q3553" si="784">O3553*K3553</f>
        <v>7696.8458460000002</v>
      </c>
      <c r="R3553" s="71"/>
    </row>
    <row r="3554" spans="1:41" s="61" customFormat="1" x14ac:dyDescent="0.25">
      <c r="A3554" s="358"/>
      <c r="B3554" s="361"/>
      <c r="C3554" s="221"/>
      <c r="D3554" s="368" t="s">
        <v>67</v>
      </c>
      <c r="E3554" s="368"/>
      <c r="F3554" s="368"/>
      <c r="G3554" s="368"/>
      <c r="H3554" s="195"/>
      <c r="I3554" s="159"/>
      <c r="J3554" s="195"/>
      <c r="K3554" s="161"/>
      <c r="L3554" s="196"/>
      <c r="M3554" s="230"/>
      <c r="N3554" s="164"/>
      <c r="O3554" s="165">
        <f t="shared" ref="O3554:O3557" si="785">MROUND(G3554*N3554,0.000001)</f>
        <v>0</v>
      </c>
      <c r="P3554" s="166"/>
      <c r="Q3554" s="166"/>
      <c r="R3554" s="71"/>
    </row>
    <row r="3555" spans="1:41" s="61" customFormat="1" x14ac:dyDescent="0.25">
      <c r="A3555" s="358"/>
      <c r="B3555" s="361"/>
      <c r="C3555" s="221"/>
      <c r="D3555" s="194"/>
      <c r="E3555" s="194"/>
      <c r="F3555" s="194"/>
      <c r="G3555" s="217"/>
      <c r="H3555" s="195"/>
      <c r="I3555" s="159"/>
      <c r="J3555" s="195"/>
      <c r="K3555" s="161"/>
      <c r="L3555" s="196"/>
      <c r="M3555" s="230"/>
      <c r="N3555" s="164"/>
      <c r="O3555" s="165">
        <f t="shared" si="785"/>
        <v>0</v>
      </c>
      <c r="P3555" s="166"/>
      <c r="Q3555" s="166"/>
      <c r="R3555" s="71"/>
    </row>
    <row r="3556" spans="1:41" s="61" customFormat="1" x14ac:dyDescent="0.25">
      <c r="A3556" s="358"/>
      <c r="B3556" s="361"/>
      <c r="C3556" s="221"/>
      <c r="D3556" s="350" t="s">
        <v>68</v>
      </c>
      <c r="E3556" s="350"/>
      <c r="F3556" s="350"/>
      <c r="G3556" s="350"/>
      <c r="H3556" s="195"/>
      <c r="I3556" s="159"/>
      <c r="J3556" s="195"/>
      <c r="K3556" s="161"/>
      <c r="L3556" s="196"/>
      <c r="M3556" s="230"/>
      <c r="N3556" s="164"/>
      <c r="O3556" s="165">
        <f t="shared" si="785"/>
        <v>0</v>
      </c>
      <c r="P3556" s="166"/>
      <c r="Q3556" s="166"/>
      <c r="R3556" s="71"/>
    </row>
    <row r="3557" spans="1:41" s="61" customFormat="1" x14ac:dyDescent="0.25">
      <c r="A3557" s="358"/>
      <c r="B3557" s="361"/>
      <c r="C3557" s="221"/>
      <c r="D3557" s="156"/>
      <c r="E3557" s="156"/>
      <c r="F3557" s="156"/>
      <c r="G3557" s="236"/>
      <c r="H3557" s="195"/>
      <c r="I3557" s="159"/>
      <c r="J3557" s="195"/>
      <c r="K3557" s="161"/>
      <c r="L3557" s="196"/>
      <c r="M3557" s="230"/>
      <c r="N3557" s="164"/>
      <c r="O3557" s="165">
        <f t="shared" si="785"/>
        <v>0</v>
      </c>
      <c r="P3557" s="166"/>
      <c r="Q3557" s="166"/>
      <c r="R3557" s="71"/>
    </row>
    <row r="3558" spans="1:41" s="99" customFormat="1" x14ac:dyDescent="0.25">
      <c r="A3558" s="358"/>
      <c r="B3558" s="361"/>
      <c r="C3558" s="268"/>
      <c r="D3558" s="378" t="s">
        <v>69</v>
      </c>
      <c r="E3558" s="378"/>
      <c r="F3558" s="378"/>
      <c r="G3558" s="378"/>
      <c r="H3558" s="269"/>
      <c r="I3558" s="270"/>
      <c r="J3558" s="269"/>
      <c r="K3558" s="271"/>
      <c r="L3558" s="272"/>
      <c r="M3558" s="273"/>
      <c r="N3558" s="164"/>
      <c r="O3558" s="198">
        <f>O3560+O3567+O3584+O3586+O3601+O3603+O3605+O3630+O3632+O3637+O3634</f>
        <v>765.82363002999989</v>
      </c>
      <c r="P3558" s="274"/>
      <c r="Q3558" s="166"/>
      <c r="R3558" s="71"/>
    </row>
    <row r="3559" spans="1:41" s="61" customFormat="1" x14ac:dyDescent="0.25">
      <c r="A3559" s="358"/>
      <c r="B3559" s="361"/>
      <c r="C3559" s="221">
        <v>224</v>
      </c>
      <c r="D3559" s="156" t="s">
        <v>21</v>
      </c>
      <c r="E3559" s="156" t="s">
        <v>22</v>
      </c>
      <c r="F3559" s="156" t="s">
        <v>22</v>
      </c>
      <c r="G3559" s="266">
        <f>MROUND(H3559*L3559*I3559/K3559,0.000001)</f>
        <v>0</v>
      </c>
      <c r="H3559" s="158"/>
      <c r="I3559" s="159">
        <f>I3553</f>
        <v>1.356107E-2</v>
      </c>
      <c r="J3559" s="160"/>
      <c r="K3559" s="161">
        <f>K3553</f>
        <v>409</v>
      </c>
      <c r="L3559" s="250"/>
      <c r="M3559" s="163"/>
      <c r="N3559" s="164"/>
      <c r="O3559" s="165">
        <f>MROUND(G3559*N3559,0.000001)</f>
        <v>0</v>
      </c>
      <c r="P3559" s="166"/>
      <c r="Q3559" s="166">
        <f t="shared" ref="Q3559" si="786">O3559*K3559</f>
        <v>0</v>
      </c>
      <c r="R3559" s="71"/>
    </row>
    <row r="3560" spans="1:41" s="61" customFormat="1" x14ac:dyDescent="0.25">
      <c r="A3560" s="358"/>
      <c r="B3560" s="361"/>
      <c r="C3560" s="218" t="s">
        <v>293</v>
      </c>
      <c r="D3560" s="240"/>
      <c r="E3560" s="240"/>
      <c r="F3560" s="240"/>
      <c r="G3560" s="227"/>
      <c r="H3560" s="241"/>
      <c r="I3560" s="206"/>
      <c r="J3560" s="228"/>
      <c r="K3560" s="207"/>
      <c r="L3560" s="257"/>
      <c r="M3560" s="209"/>
      <c r="N3560" s="210"/>
      <c r="O3560" s="198">
        <f>SUM(O3559)</f>
        <v>0</v>
      </c>
      <c r="P3560" s="166"/>
      <c r="Q3560" s="166"/>
      <c r="R3560" s="71"/>
    </row>
    <row r="3561" spans="1:41" s="61" customFormat="1" ht="31.5" x14ac:dyDescent="0.25">
      <c r="A3561" s="358"/>
      <c r="B3561" s="361"/>
      <c r="C3561" s="364" t="s">
        <v>78</v>
      </c>
      <c r="D3561" s="156" t="s">
        <v>26</v>
      </c>
      <c r="E3561" s="156" t="s">
        <v>22</v>
      </c>
      <c r="F3561" s="156" t="s">
        <v>22</v>
      </c>
      <c r="G3561" s="266">
        <f>MROUND(H3561*L3561*I3561/K3561,0.000001)</f>
        <v>10.281214</v>
      </c>
      <c r="H3561" s="158">
        <f>H3441</f>
        <v>25840</v>
      </c>
      <c r="I3561" s="159">
        <f>I3559</f>
        <v>1.356107E-2</v>
      </c>
      <c r="J3561" s="160"/>
      <c r="K3561" s="161">
        <f>K3559</f>
        <v>409</v>
      </c>
      <c r="L3561" s="250">
        <v>12</v>
      </c>
      <c r="M3561" s="163" t="str">
        <f>CONCATENATE(H3561," ",F3561,"(обрабатываемая площадь в мес.)","*",L3561,"мес.","*",I3561,"/",K3561,"чел.")</f>
        <v>25840 м2(обрабатываемая площадь в мес.)*12мес.*0,01356107/409чел.</v>
      </c>
      <c r="N3561" s="164">
        <f>N3441</f>
        <v>1.208548374613003</v>
      </c>
      <c r="O3561" s="165">
        <f t="shared" ref="O3561:O3566" si="787">MROUND(G3561*N3561,0.000001)</f>
        <v>12.425343999999999</v>
      </c>
      <c r="P3561" s="166"/>
      <c r="Q3561" s="166">
        <f t="shared" ref="Q3561:Q3566" si="788">O3561*K3561</f>
        <v>5081.9656959999993</v>
      </c>
      <c r="R3561" s="71"/>
    </row>
    <row r="3562" spans="1:41" s="61" customFormat="1" ht="31.5" x14ac:dyDescent="0.25">
      <c r="A3562" s="358"/>
      <c r="B3562" s="361"/>
      <c r="C3562" s="364"/>
      <c r="D3562" s="156" t="s">
        <v>96</v>
      </c>
      <c r="E3562" s="156" t="s">
        <v>22</v>
      </c>
      <c r="F3562" s="156" t="s">
        <v>22</v>
      </c>
      <c r="G3562" s="266">
        <f>MROUND(H3562*L3562*I3562/K3562,0.000001)</f>
        <v>5.3216419999999998</v>
      </c>
      <c r="H3562" s="158">
        <f>H3442</f>
        <v>13375</v>
      </c>
      <c r="I3562" s="159">
        <f>I3561</f>
        <v>1.356107E-2</v>
      </c>
      <c r="J3562" s="160"/>
      <c r="K3562" s="161">
        <f>K3561</f>
        <v>409</v>
      </c>
      <c r="L3562" s="250">
        <v>12</v>
      </c>
      <c r="M3562" s="163" t="str">
        <f>CONCATENATE(H3562," ",F3562,"(обрабатываемая площадь в мес.)","*",L3562,"мес.","*",I3562,"/",K3562,"чел.")</f>
        <v>13375 м2(обрабатываемая площадь в мес.)*12мес.*0,01356107/409чел.</v>
      </c>
      <c r="N3562" s="164">
        <f>N3442</f>
        <v>1.93823800623053</v>
      </c>
      <c r="O3562" s="165">
        <f t="shared" si="787"/>
        <v>10.314608999999999</v>
      </c>
      <c r="P3562" s="166"/>
      <c r="Q3562" s="166">
        <f t="shared" si="788"/>
        <v>4218.6750809999994</v>
      </c>
      <c r="R3562" s="71"/>
    </row>
    <row r="3563" spans="1:41" s="135" customFormat="1" ht="31.5" x14ac:dyDescent="0.25">
      <c r="A3563" s="358"/>
      <c r="B3563" s="361"/>
      <c r="C3563" s="364"/>
      <c r="D3563" s="156" t="s">
        <v>385</v>
      </c>
      <c r="E3563" s="156" t="s">
        <v>22</v>
      </c>
      <c r="F3563" s="156" t="s">
        <v>22</v>
      </c>
      <c r="G3563" s="238">
        <f>MROUND(H3563*L3563*I3563/K3563,0.000001)</f>
        <v>10.643284999999999</v>
      </c>
      <c r="H3563" s="242">
        <f>$H$55</f>
        <v>13375</v>
      </c>
      <c r="I3563" s="159">
        <f>I3562</f>
        <v>1.356107E-2</v>
      </c>
      <c r="J3563" s="160"/>
      <c r="K3563" s="161">
        <f>K3562</f>
        <v>409</v>
      </c>
      <c r="L3563" s="162">
        <v>24</v>
      </c>
      <c r="M3563" s="163" t="str">
        <f>CONCATENATE(H3563," ",F3563,"(обрабатываемая площадь в год)","*",L3563," раза в год.","*",I3563,"/",K3563,"чел.")</f>
        <v>13375 м2(обрабатываемая площадь в год)*24 раза в год.*0,01356107/409чел.</v>
      </c>
      <c r="N3563" s="164">
        <f>$N$3443</f>
        <v>2.3942939563862917</v>
      </c>
      <c r="O3563" s="165">
        <f t="shared" si="787"/>
        <v>25.483152999999998</v>
      </c>
      <c r="P3563" s="166"/>
      <c r="Q3563" s="166">
        <f t="shared" si="788"/>
        <v>10422.609576999999</v>
      </c>
      <c r="R3563" s="71"/>
      <c r="S3563" s="61"/>
      <c r="T3563" s="61"/>
      <c r="U3563" s="61"/>
      <c r="V3563" s="61"/>
      <c r="W3563" s="61"/>
      <c r="X3563" s="61"/>
      <c r="Y3563" s="61"/>
      <c r="Z3563" s="61"/>
      <c r="AA3563" s="61"/>
      <c r="AB3563" s="61"/>
      <c r="AC3563" s="61"/>
      <c r="AD3563" s="61"/>
      <c r="AE3563" s="61"/>
      <c r="AF3563" s="61"/>
      <c r="AG3563" s="61"/>
      <c r="AH3563" s="61"/>
      <c r="AI3563" s="61"/>
      <c r="AJ3563" s="61"/>
      <c r="AK3563" s="61"/>
      <c r="AL3563" s="61"/>
      <c r="AM3563" s="61"/>
      <c r="AN3563" s="61"/>
      <c r="AO3563" s="61"/>
    </row>
    <row r="3564" spans="1:41" s="135" customFormat="1" ht="31.5" x14ac:dyDescent="0.25">
      <c r="A3564" s="358"/>
      <c r="B3564" s="361"/>
      <c r="C3564" s="364"/>
      <c r="D3564" s="156" t="s">
        <v>394</v>
      </c>
      <c r="E3564" s="156" t="s">
        <v>22</v>
      </c>
      <c r="F3564" s="156" t="s">
        <v>22</v>
      </c>
      <c r="G3564" s="238">
        <f>MROUND(H3564*L3564*I3564/K3564,0.000001)</f>
        <v>10.281214</v>
      </c>
      <c r="H3564" s="243">
        <f>$H$56</f>
        <v>25840</v>
      </c>
      <c r="I3564" s="159">
        <f>I3563</f>
        <v>1.356107E-2</v>
      </c>
      <c r="J3564" s="160"/>
      <c r="K3564" s="161">
        <f>K3563</f>
        <v>409</v>
      </c>
      <c r="L3564" s="162">
        <v>12</v>
      </c>
      <c r="M3564" s="163" t="str">
        <f>CONCATENATE(H3564," ",F3564,"(обрабатываемая площадь в мес.)","*",L3564,"мес.","*",I3564,"/",K3564,"чел.")</f>
        <v>25840 м2(обрабатываемая площадь в мес.)*12мес.*0,01356107/409чел.</v>
      </c>
      <c r="N3564" s="164">
        <f>$N$3444</f>
        <v>0.57007004643962855</v>
      </c>
      <c r="O3564" s="165">
        <f t="shared" si="787"/>
        <v>5.8610119999999997</v>
      </c>
      <c r="P3564" s="166"/>
      <c r="Q3564" s="166">
        <f t="shared" si="788"/>
        <v>2397.1539079999998</v>
      </c>
      <c r="R3564" s="71"/>
      <c r="S3564" s="61"/>
      <c r="T3564" s="61"/>
      <c r="U3564" s="61"/>
      <c r="V3564" s="61"/>
      <c r="W3564" s="61"/>
      <c r="X3564" s="61"/>
      <c r="Y3564" s="61"/>
      <c r="Z3564" s="61"/>
      <c r="AA3564" s="61"/>
      <c r="AB3564" s="61"/>
      <c r="AC3564" s="61"/>
      <c r="AD3564" s="61"/>
      <c r="AE3564" s="61"/>
      <c r="AF3564" s="61"/>
      <c r="AG3564" s="61"/>
      <c r="AH3564" s="61"/>
      <c r="AI3564" s="61"/>
      <c r="AJ3564" s="61"/>
      <c r="AK3564" s="61"/>
      <c r="AL3564" s="61"/>
      <c r="AM3564" s="61"/>
      <c r="AN3564" s="61"/>
      <c r="AO3564" s="61"/>
    </row>
    <row r="3565" spans="1:41" s="135" customFormat="1" ht="31.5" x14ac:dyDescent="0.25">
      <c r="A3565" s="358"/>
      <c r="B3565" s="361"/>
      <c r="C3565" s="364"/>
      <c r="D3565" s="156" t="s">
        <v>395</v>
      </c>
      <c r="E3565" s="156" t="s">
        <v>98</v>
      </c>
      <c r="F3565" s="156" t="s">
        <v>98</v>
      </c>
      <c r="G3565" s="238">
        <f>MROUND(H3565*L3565*I3565/K3565,0.000000001)</f>
        <v>6.2798699999999999E-4</v>
      </c>
      <c r="H3565" s="242">
        <f>$H$57</f>
        <v>18.939999999999998</v>
      </c>
      <c r="I3565" s="159">
        <f>I3564</f>
        <v>1.356107E-2</v>
      </c>
      <c r="J3565" s="160"/>
      <c r="K3565" s="161">
        <f>K3564</f>
        <v>409</v>
      </c>
      <c r="L3565" s="162">
        <v>1</v>
      </c>
      <c r="M3565" s="163" t="str">
        <f>CONCATENATE(H3565," ",F3565,"(обрабатываемая площадь в год)","*",L3565," раз в год","*",I3565,"/",K3565,"чел.")</f>
        <v>18,94 Га(обрабатываемая площадь в год)*1 раз в год*0,01356107/409чел.</v>
      </c>
      <c r="N3565" s="164">
        <f>$N$57</f>
        <v>545</v>
      </c>
      <c r="O3565" s="165">
        <f t="shared" si="787"/>
        <v>0.34225299999999997</v>
      </c>
      <c r="P3565" s="166"/>
      <c r="Q3565" s="166">
        <f t="shared" si="788"/>
        <v>139.98147699999998</v>
      </c>
      <c r="R3565" s="71"/>
      <c r="S3565" s="61"/>
      <c r="T3565" s="61"/>
      <c r="U3565" s="61"/>
      <c r="V3565" s="61"/>
      <c r="W3565" s="61"/>
      <c r="X3565" s="61"/>
      <c r="Y3565" s="61"/>
      <c r="Z3565" s="61"/>
      <c r="AA3565" s="61"/>
      <c r="AB3565" s="61"/>
      <c r="AC3565" s="61"/>
      <c r="AD3565" s="61"/>
      <c r="AE3565" s="61"/>
      <c r="AF3565" s="61"/>
      <c r="AG3565" s="61"/>
      <c r="AH3565" s="61"/>
      <c r="AI3565" s="61"/>
      <c r="AJ3565" s="61"/>
      <c r="AK3565" s="61"/>
      <c r="AL3565" s="61"/>
      <c r="AM3565" s="61"/>
      <c r="AN3565" s="61"/>
      <c r="AO3565" s="61"/>
    </row>
    <row r="3566" spans="1:41" s="61" customFormat="1" ht="31.5" x14ac:dyDescent="0.25">
      <c r="A3566" s="358"/>
      <c r="B3566" s="361"/>
      <c r="C3566" s="364"/>
      <c r="D3566" s="156" t="s">
        <v>97</v>
      </c>
      <c r="E3566" s="156" t="s">
        <v>98</v>
      </c>
      <c r="F3566" s="156" t="s">
        <v>98</v>
      </c>
      <c r="G3566" s="266">
        <f>MROUND(H3566*L3566*I3566/K3566,0.0000000001)</f>
        <v>6.2798699999999999E-4</v>
      </c>
      <c r="H3566" s="242">
        <f>H3446</f>
        <v>18.939999999999998</v>
      </c>
      <c r="I3566" s="244">
        <f>I3562</f>
        <v>1.356107E-2</v>
      </c>
      <c r="J3566" s="160"/>
      <c r="K3566" s="161">
        <f>K3562</f>
        <v>409</v>
      </c>
      <c r="L3566" s="250">
        <v>1</v>
      </c>
      <c r="M3566" s="163" t="str">
        <f>CONCATENATE(H3566," ",F3566,"(обрабатываемая площадь в мес.)","*",L3566,"мес.","*",I3566,"/",K3566,"чел.")</f>
        <v>18,94 Га(обрабатываемая площадь в мес.)*1мес.*0,01356107/409чел.</v>
      </c>
      <c r="N3566" s="164">
        <f>N3446</f>
        <v>3102.4186906018999</v>
      </c>
      <c r="O3566" s="165">
        <f t="shared" si="787"/>
        <v>1.9482789999999999</v>
      </c>
      <c r="P3566" s="166"/>
      <c r="Q3566" s="166">
        <f t="shared" si="788"/>
        <v>796.84611099999995</v>
      </c>
      <c r="R3566" s="71"/>
    </row>
    <row r="3567" spans="1:41" s="61" customFormat="1" x14ac:dyDescent="0.25">
      <c r="A3567" s="358"/>
      <c r="B3567" s="361"/>
      <c r="C3567" s="245" t="s">
        <v>303</v>
      </c>
      <c r="D3567" s="156"/>
      <c r="E3567" s="156"/>
      <c r="F3567" s="156"/>
      <c r="G3567" s="238"/>
      <c r="H3567" s="158"/>
      <c r="I3567" s="159"/>
      <c r="J3567" s="160"/>
      <c r="K3567" s="161"/>
      <c r="L3567" s="250"/>
      <c r="M3567" s="163"/>
      <c r="N3567" s="210"/>
      <c r="O3567" s="198">
        <f>SUM(O3561:O3566)</f>
        <v>56.374650000000003</v>
      </c>
      <c r="P3567" s="166"/>
      <c r="Q3567" s="166"/>
      <c r="R3567" s="71"/>
    </row>
    <row r="3568" spans="1:41" s="61" customFormat="1" ht="63" x14ac:dyDescent="0.25">
      <c r="A3568" s="358"/>
      <c r="B3568" s="361"/>
      <c r="C3568" s="365" t="s">
        <v>77</v>
      </c>
      <c r="D3568" s="156" t="s">
        <v>29</v>
      </c>
      <c r="E3568" s="156" t="s">
        <v>58</v>
      </c>
      <c r="F3568" s="156" t="s">
        <v>218</v>
      </c>
      <c r="G3568" s="266">
        <f>MROUND(H3568*L3568*I3568/K3568,0.00000001)</f>
        <v>1.9894000000000001E-3</v>
      </c>
      <c r="H3568" s="158">
        <v>15</v>
      </c>
      <c r="I3568" s="159">
        <f>I3566</f>
        <v>1.356107E-2</v>
      </c>
      <c r="J3568" s="160"/>
      <c r="K3568" s="161">
        <f>K3566</f>
        <v>409</v>
      </c>
      <c r="L3568" s="162">
        <v>4</v>
      </c>
      <c r="M3568" s="163" t="str">
        <f>CONCATENATE(H3568," ",F3568,"*",L3568," раза в год","*",I3568,"/",K3568,"чел.")</f>
        <v>15 установок*4 раза в год*0,01356107/409чел.</v>
      </c>
      <c r="N3568" s="164">
        <f t="shared" ref="N3568:N3583" si="789">N3448</f>
        <v>2264.8651666666669</v>
      </c>
      <c r="O3568" s="165">
        <f t="shared" ref="O3568:O3576" si="790">MROUND(G3568*N3568,0.000001)</f>
        <v>4.5057229999999997</v>
      </c>
      <c r="P3568" s="166"/>
      <c r="Q3568" s="166">
        <f t="shared" ref="Q3568:Q3583" si="791">O3568*K3568</f>
        <v>1842.8407069999998</v>
      </c>
      <c r="R3568" s="71"/>
    </row>
    <row r="3569" spans="1:18" s="61" customFormat="1" ht="47.25" x14ac:dyDescent="0.25">
      <c r="A3569" s="358"/>
      <c r="B3569" s="361"/>
      <c r="C3569" s="366"/>
      <c r="D3569" s="156" t="s">
        <v>30</v>
      </c>
      <c r="E3569" s="156" t="s">
        <v>58</v>
      </c>
      <c r="F3569" s="156" t="s">
        <v>218</v>
      </c>
      <c r="G3569" s="266">
        <f t="shared" ref="G3569:G3574" si="792">MROUND(H3569*L3569*I3569/K3569,0.00000001)</f>
        <v>9.9470000000000005E-4</v>
      </c>
      <c r="H3569" s="158">
        <v>15</v>
      </c>
      <c r="I3569" s="159">
        <f>I3568</f>
        <v>1.356107E-2</v>
      </c>
      <c r="J3569" s="160"/>
      <c r="K3569" s="161">
        <f>K3568</f>
        <v>409</v>
      </c>
      <c r="L3569" s="250">
        <v>2</v>
      </c>
      <c r="M3569" s="163" t="str">
        <f>CONCATENATE(H3569," ",F3569,"*",L3569,"полуг.","*",I3569,"/",K3569,"чел.")</f>
        <v>15 установок*2полуг.*0,01356107/409чел.</v>
      </c>
      <c r="N3569" s="164">
        <f t="shared" si="789"/>
        <v>4529.7303333333339</v>
      </c>
      <c r="O3569" s="165">
        <f t="shared" si="790"/>
        <v>4.5057229999999997</v>
      </c>
      <c r="P3569" s="166"/>
      <c r="Q3569" s="166">
        <f t="shared" si="791"/>
        <v>1842.8407069999998</v>
      </c>
      <c r="R3569" s="71"/>
    </row>
    <row r="3570" spans="1:18" s="61" customFormat="1" ht="31.5" x14ac:dyDescent="0.25">
      <c r="A3570" s="358"/>
      <c r="B3570" s="361"/>
      <c r="C3570" s="366"/>
      <c r="D3570" s="156" t="s">
        <v>397</v>
      </c>
      <c r="E3570" s="156" t="s">
        <v>433</v>
      </c>
      <c r="F3570" s="156" t="s">
        <v>433</v>
      </c>
      <c r="G3570" s="266">
        <f t="shared" si="792"/>
        <v>9.947000000000001E-3</v>
      </c>
      <c r="H3570" s="158">
        <f>H3450</f>
        <v>300</v>
      </c>
      <c r="I3570" s="159">
        <f>I3569</f>
        <v>1.356107E-2</v>
      </c>
      <c r="J3570" s="160"/>
      <c r="K3570" s="161">
        <f>K3569</f>
        <v>409</v>
      </c>
      <c r="L3570" s="162">
        <v>1</v>
      </c>
      <c r="M3570" s="163" t="str">
        <f>CONCATENATE(H3570," ",F3570,"(обрабатываемая площадь в год)","*",L3570," раз в год","*",I3570,"/",K3570,"чел.")</f>
        <v>300 м2.(обрабатываемая площадь в год)*1 раз в год*0,01356107/409чел.</v>
      </c>
      <c r="N3570" s="164">
        <f t="shared" si="789"/>
        <v>300</v>
      </c>
      <c r="O3570" s="165">
        <f t="shared" si="790"/>
        <v>2.9840999999999998</v>
      </c>
      <c r="P3570" s="166"/>
      <c r="Q3570" s="166">
        <f t="shared" si="791"/>
        <v>1220.4968999999999</v>
      </c>
      <c r="R3570" s="71"/>
    </row>
    <row r="3571" spans="1:18" s="61" customFormat="1" ht="47.25" x14ac:dyDescent="0.25">
      <c r="A3571" s="358"/>
      <c r="B3571" s="361"/>
      <c r="C3571" s="366"/>
      <c r="D3571" s="156" t="s">
        <v>32</v>
      </c>
      <c r="E3571" s="156" t="s">
        <v>55</v>
      </c>
      <c r="F3571" s="156" t="s">
        <v>219</v>
      </c>
      <c r="G3571" s="266">
        <f t="shared" si="792"/>
        <v>4.7745599999999997E-3</v>
      </c>
      <c r="H3571" s="158">
        <f>H3451</f>
        <v>36</v>
      </c>
      <c r="I3571" s="159">
        <f>I3570</f>
        <v>1.356107E-2</v>
      </c>
      <c r="J3571" s="160"/>
      <c r="K3571" s="161">
        <f>K3570</f>
        <v>409</v>
      </c>
      <c r="L3571" s="250">
        <v>4</v>
      </c>
      <c r="M3571" s="163" t="str">
        <f>CONCATENATE(H3571," ",F3571,"*",L3571,"кв.","*",I3571,"/",K3571,"чел.")</f>
        <v>36 системы*4кв.*0,01356107/409чел.</v>
      </c>
      <c r="N3571" s="164">
        <f t="shared" si="789"/>
        <v>7243.0565277777823</v>
      </c>
      <c r="O3571" s="165">
        <f t="shared" si="790"/>
        <v>34.582408000000001</v>
      </c>
      <c r="P3571" s="166"/>
      <c r="Q3571" s="166">
        <f t="shared" si="791"/>
        <v>14144.204872</v>
      </c>
      <c r="R3571" s="71"/>
    </row>
    <row r="3572" spans="1:18" s="61" customFormat="1" ht="63" x14ac:dyDescent="0.25">
      <c r="A3572" s="358"/>
      <c r="B3572" s="361"/>
      <c r="C3572" s="366"/>
      <c r="D3572" s="156" t="s">
        <v>33</v>
      </c>
      <c r="E3572" s="156" t="s">
        <v>56</v>
      </c>
      <c r="F3572" s="156" t="s">
        <v>220</v>
      </c>
      <c r="G3572" s="266">
        <f t="shared" si="792"/>
        <v>1.1936399999999999E-3</v>
      </c>
      <c r="H3572" s="158">
        <f>$H$64</f>
        <v>36</v>
      </c>
      <c r="I3572" s="159">
        <f t="shared" ref="I3572:I3583" si="793">I3571</f>
        <v>1.356107E-2</v>
      </c>
      <c r="J3572" s="160"/>
      <c r="K3572" s="161">
        <f t="shared" ref="K3572:K3583" si="794">K3571</f>
        <v>409</v>
      </c>
      <c r="L3572" s="162">
        <v>1</v>
      </c>
      <c r="M3572" s="163" t="str">
        <f>CONCATENATE(H3572," ",F3572,"*",L3572," раз в год","*",I3572,"/",K3572,"чел.")</f>
        <v>36 дымоходов*1 раз в год*0,01356107/409чел.</v>
      </c>
      <c r="N3572" s="164">
        <f t="shared" si="789"/>
        <v>7030.863333333331</v>
      </c>
      <c r="O3572" s="165">
        <f t="shared" si="790"/>
        <v>8.3923199999999998</v>
      </c>
      <c r="P3572" s="166"/>
      <c r="Q3572" s="166">
        <f t="shared" si="791"/>
        <v>3432.4588800000001</v>
      </c>
      <c r="R3572" s="71"/>
    </row>
    <row r="3573" spans="1:18" s="61" customFormat="1" x14ac:dyDescent="0.25">
      <c r="A3573" s="358"/>
      <c r="B3573" s="361"/>
      <c r="C3573" s="366"/>
      <c r="D3573" s="194" t="s">
        <v>398</v>
      </c>
      <c r="E3573" s="156" t="s">
        <v>60</v>
      </c>
      <c r="F3573" s="156" t="s">
        <v>60</v>
      </c>
      <c r="G3573" s="266">
        <f t="shared" si="792"/>
        <v>1.16048E-3</v>
      </c>
      <c r="H3573" s="246">
        <f t="shared" ref="H3573:H3583" si="795">H3453</f>
        <v>35</v>
      </c>
      <c r="I3573" s="159">
        <f t="shared" si="793"/>
        <v>1.356107E-2</v>
      </c>
      <c r="J3573" s="160"/>
      <c r="K3573" s="161">
        <f t="shared" si="794"/>
        <v>409</v>
      </c>
      <c r="L3573" s="250">
        <v>1</v>
      </c>
      <c r="M3573" s="163" t="str">
        <f>CONCATENATE(H3573," ",F3573,"*",I3573,"/",K3573,"чел.")</f>
        <v>35 шт.*0,01356107/409чел.</v>
      </c>
      <c r="N3573" s="164">
        <f t="shared" si="789"/>
        <v>12173.433428571419</v>
      </c>
      <c r="O3573" s="165">
        <f t="shared" si="790"/>
        <v>14.127025999999999</v>
      </c>
      <c r="P3573" s="166"/>
      <c r="Q3573" s="166">
        <f t="shared" si="791"/>
        <v>5777.9536339999995</v>
      </c>
      <c r="R3573" s="71"/>
    </row>
    <row r="3574" spans="1:18" s="61" customFormat="1" ht="47.25" x14ac:dyDescent="0.25">
      <c r="A3574" s="358"/>
      <c r="B3574" s="361"/>
      <c r="C3574" s="366"/>
      <c r="D3574" s="156" t="s">
        <v>401</v>
      </c>
      <c r="E3574" s="156" t="s">
        <v>60</v>
      </c>
      <c r="F3574" s="156" t="s">
        <v>402</v>
      </c>
      <c r="G3574" s="266">
        <f t="shared" si="792"/>
        <v>2.3209699999999999E-3</v>
      </c>
      <c r="H3574" s="246">
        <f t="shared" si="795"/>
        <v>35</v>
      </c>
      <c r="I3574" s="159">
        <f t="shared" si="793"/>
        <v>1.356107E-2</v>
      </c>
      <c r="J3574" s="160"/>
      <c r="K3574" s="161">
        <f t="shared" si="794"/>
        <v>409</v>
      </c>
      <c r="L3574" s="162">
        <v>2</v>
      </c>
      <c r="M3574" s="163" t="str">
        <f>CONCATENATE(H3574," ",F3574,"*",L3574," раз в год","*",I3574,"/",K3574,"чел.")</f>
        <v>35 противопожарных водопроводов*2 раз в год*0,01356107/409чел.</v>
      </c>
      <c r="N3574" s="164">
        <f t="shared" si="789"/>
        <v>5700.7000000000025</v>
      </c>
      <c r="O3574" s="165">
        <f t="shared" si="790"/>
        <v>13.231154</v>
      </c>
      <c r="P3574" s="166"/>
      <c r="Q3574" s="166">
        <f t="shared" si="791"/>
        <v>5411.5419860000002</v>
      </c>
      <c r="R3574" s="71"/>
    </row>
    <row r="3575" spans="1:18" s="61" customFormat="1" ht="31.5" x14ac:dyDescent="0.25">
      <c r="A3575" s="358"/>
      <c r="B3575" s="361"/>
      <c r="C3575" s="366"/>
      <c r="D3575" s="156" t="s">
        <v>221</v>
      </c>
      <c r="E3575" s="156" t="s">
        <v>60</v>
      </c>
      <c r="F3575" s="156" t="s">
        <v>60</v>
      </c>
      <c r="G3575" s="266">
        <f>MROUND(H3575*L3575*I3575/K3575,0.0000000001)</f>
        <v>7.1618365000000002E-3</v>
      </c>
      <c r="H3575" s="158">
        <f t="shared" si="795"/>
        <v>18</v>
      </c>
      <c r="I3575" s="159">
        <f t="shared" si="793"/>
        <v>1.356107E-2</v>
      </c>
      <c r="J3575" s="160"/>
      <c r="K3575" s="161">
        <f t="shared" si="794"/>
        <v>409</v>
      </c>
      <c r="L3575" s="250">
        <v>12</v>
      </c>
      <c r="M3575" s="163" t="str">
        <f>CONCATENATE(H3575," ",F3575,"*",L3575,"мес.","*",I3575,"/",K3575,"чел.")</f>
        <v>18 шт.*12мес.*0,01356107/409чел.</v>
      </c>
      <c r="N3575" s="164">
        <f t="shared" si="789"/>
        <v>6577.3408796296308</v>
      </c>
      <c r="O3575" s="165">
        <f t="shared" si="790"/>
        <v>47.105840000000001</v>
      </c>
      <c r="P3575" s="166"/>
      <c r="Q3575" s="166">
        <f t="shared" si="791"/>
        <v>19266.288560000001</v>
      </c>
      <c r="R3575" s="71"/>
    </row>
    <row r="3576" spans="1:18" s="61" customFormat="1" ht="47.25" x14ac:dyDescent="0.25">
      <c r="A3576" s="358"/>
      <c r="B3576" s="361"/>
      <c r="C3576" s="366"/>
      <c r="D3576" s="156" t="s">
        <v>34</v>
      </c>
      <c r="E3576" s="156" t="s">
        <v>59</v>
      </c>
      <c r="F3576" s="156" t="s">
        <v>28</v>
      </c>
      <c r="G3576" s="266">
        <f>MROUND(H3576*L3576*I3576/K3576,0.00000000001)</f>
        <v>6.6313299999999994E-5</v>
      </c>
      <c r="H3576" s="158">
        <f t="shared" si="795"/>
        <v>2</v>
      </c>
      <c r="I3576" s="159">
        <f t="shared" si="793"/>
        <v>1.356107E-2</v>
      </c>
      <c r="J3576" s="160"/>
      <c r="K3576" s="161">
        <f t="shared" si="794"/>
        <v>409</v>
      </c>
      <c r="L3576" s="250">
        <v>1</v>
      </c>
      <c r="M3576" s="163" t="str">
        <f>CONCATENATE(H3576," ",F3576,"*",I3576,"/",K3576,"чел.")</f>
        <v>2 шт*0,01356107/409чел.</v>
      </c>
      <c r="N3576" s="164">
        <f t="shared" si="789"/>
        <v>7845</v>
      </c>
      <c r="O3576" s="165">
        <f t="shared" si="790"/>
        <v>0.52022800000000002</v>
      </c>
      <c r="P3576" s="166"/>
      <c r="Q3576" s="166">
        <f t="shared" si="791"/>
        <v>212.77325200000001</v>
      </c>
      <c r="R3576" s="71"/>
    </row>
    <row r="3577" spans="1:18" s="61" customFormat="1" ht="47.25" x14ac:dyDescent="0.25">
      <c r="A3577" s="358"/>
      <c r="B3577" s="361"/>
      <c r="C3577" s="366"/>
      <c r="D3577" s="156" t="s">
        <v>222</v>
      </c>
      <c r="E3577" s="156" t="s">
        <v>60</v>
      </c>
      <c r="F3577" s="156" t="s">
        <v>60</v>
      </c>
      <c r="G3577" s="266">
        <f t="shared" ref="G3577:G3583" si="796">MROUND(H3577*L3577*I3577/K3577,0.00000001)</f>
        <v>1.6578E-4</v>
      </c>
      <c r="H3577" s="248">
        <f t="shared" si="795"/>
        <v>5</v>
      </c>
      <c r="I3577" s="159">
        <f t="shared" si="793"/>
        <v>1.356107E-2</v>
      </c>
      <c r="J3577" s="160"/>
      <c r="K3577" s="161">
        <f t="shared" si="794"/>
        <v>409</v>
      </c>
      <c r="L3577" s="250">
        <v>1</v>
      </c>
      <c r="M3577" s="163" t="str">
        <f>CONCATENATE(H3577," ",F3577,"*",I3577,"/",K3577,"чел.")</f>
        <v>5 шт.*0,01356107/409чел.</v>
      </c>
      <c r="N3577" s="164">
        <f t="shared" si="789"/>
        <v>43857.106</v>
      </c>
      <c r="O3577" s="165">
        <f>MROUND(G3577*N3577,0.00000001)</f>
        <v>7.2706310300000005</v>
      </c>
      <c r="P3577" s="166"/>
      <c r="Q3577" s="166">
        <f t="shared" si="791"/>
        <v>2973.6880912700003</v>
      </c>
      <c r="R3577" s="71"/>
    </row>
    <row r="3578" spans="1:18" s="61" customFormat="1" ht="31.5" x14ac:dyDescent="0.25">
      <c r="A3578" s="358"/>
      <c r="B3578" s="361"/>
      <c r="C3578" s="366"/>
      <c r="D3578" s="156" t="s">
        <v>35</v>
      </c>
      <c r="E3578" s="156" t="s">
        <v>102</v>
      </c>
      <c r="F3578" s="156" t="s">
        <v>223</v>
      </c>
      <c r="G3578" s="266">
        <f t="shared" si="796"/>
        <v>1.16048E-3</v>
      </c>
      <c r="H3578" s="158">
        <f t="shared" si="795"/>
        <v>35</v>
      </c>
      <c r="I3578" s="159">
        <f t="shared" si="793"/>
        <v>1.356107E-2</v>
      </c>
      <c r="J3578" s="160"/>
      <c r="K3578" s="161">
        <f t="shared" si="794"/>
        <v>409</v>
      </c>
      <c r="L3578" s="250">
        <v>1</v>
      </c>
      <c r="M3578" s="163" t="str">
        <f>CONCATENATE(H3578," ",F3578,"*",I3578,"/",K3578,"чел.")</f>
        <v>35 замеров*0,01356107/409чел.</v>
      </c>
      <c r="N3578" s="164">
        <f t="shared" si="789"/>
        <v>26428.571428571428</v>
      </c>
      <c r="O3578" s="165">
        <f t="shared" ref="O3578:O3583" si="797">MROUND(G3578*N3578,0.000001)</f>
        <v>30.669829</v>
      </c>
      <c r="P3578" s="166"/>
      <c r="Q3578" s="166">
        <f t="shared" si="791"/>
        <v>12543.960061</v>
      </c>
      <c r="R3578" s="71"/>
    </row>
    <row r="3579" spans="1:18" s="61" customFormat="1" ht="47.25" x14ac:dyDescent="0.25">
      <c r="A3579" s="358"/>
      <c r="B3579" s="361"/>
      <c r="C3579" s="366"/>
      <c r="D3579" s="156" t="s">
        <v>399</v>
      </c>
      <c r="E3579" s="156" t="s">
        <v>60</v>
      </c>
      <c r="F3579" s="156" t="s">
        <v>60</v>
      </c>
      <c r="G3579" s="266">
        <f t="shared" si="796"/>
        <v>1.160483E-2</v>
      </c>
      <c r="H3579" s="158">
        <f t="shared" si="795"/>
        <v>35</v>
      </c>
      <c r="I3579" s="159">
        <f t="shared" si="793"/>
        <v>1.356107E-2</v>
      </c>
      <c r="J3579" s="160"/>
      <c r="K3579" s="161">
        <f t="shared" si="794"/>
        <v>409</v>
      </c>
      <c r="L3579" s="250">
        <v>10</v>
      </c>
      <c r="M3579" s="163" t="str">
        <f>CONCATENATE(H3579," ",F3579,"*",L3579,"мес.","*",I3579,"/",K3579,"чел.")</f>
        <v>35 шт.*10мес.*0,01356107/409чел.</v>
      </c>
      <c r="N3579" s="164">
        <f t="shared" si="789"/>
        <v>3250.866542857143</v>
      </c>
      <c r="O3579" s="165">
        <f t="shared" si="797"/>
        <v>37.725753999999995</v>
      </c>
      <c r="P3579" s="166"/>
      <c r="Q3579" s="166">
        <f t="shared" si="791"/>
        <v>15429.833385999998</v>
      </c>
      <c r="R3579" s="71"/>
    </row>
    <row r="3580" spans="1:18" s="61" customFormat="1" ht="47.25" x14ac:dyDescent="0.25">
      <c r="A3580" s="358"/>
      <c r="B3580" s="361"/>
      <c r="C3580" s="366"/>
      <c r="D3580" s="156" t="s">
        <v>36</v>
      </c>
      <c r="E3580" s="156" t="s">
        <v>31</v>
      </c>
      <c r="F3580" s="156" t="s">
        <v>224</v>
      </c>
      <c r="G3580" s="266">
        <f t="shared" si="796"/>
        <v>1.432367E-2</v>
      </c>
      <c r="H3580" s="158">
        <f t="shared" si="795"/>
        <v>36</v>
      </c>
      <c r="I3580" s="159">
        <f t="shared" si="793"/>
        <v>1.356107E-2</v>
      </c>
      <c r="J3580" s="160"/>
      <c r="K3580" s="161">
        <f t="shared" si="794"/>
        <v>409</v>
      </c>
      <c r="L3580" s="250">
        <v>12</v>
      </c>
      <c r="M3580" s="163" t="str">
        <f>CONCATENATE(H3580," ",F3580,"*",L3580,"мес.","*",I3580,"/",K3580,"чел.")</f>
        <v>36 устройств*12мес.*0,01356107/409чел.</v>
      </c>
      <c r="N3580" s="164">
        <f t="shared" si="789"/>
        <v>2508.3083101851839</v>
      </c>
      <c r="O3580" s="165">
        <f t="shared" si="797"/>
        <v>35.928179999999998</v>
      </c>
      <c r="P3580" s="166"/>
      <c r="Q3580" s="166">
        <f t="shared" si="791"/>
        <v>14694.625619999999</v>
      </c>
      <c r="R3580" s="71"/>
    </row>
    <row r="3581" spans="1:18" s="61" customFormat="1" ht="31.5" x14ac:dyDescent="0.25">
      <c r="A3581" s="358"/>
      <c r="B3581" s="361"/>
      <c r="C3581" s="366"/>
      <c r="D3581" s="156" t="s">
        <v>99</v>
      </c>
      <c r="E3581" s="156" t="s">
        <v>103</v>
      </c>
      <c r="F3581" s="156" t="s">
        <v>225</v>
      </c>
      <c r="G3581" s="266">
        <f t="shared" si="796"/>
        <v>8.2891600000000003E-3</v>
      </c>
      <c r="H3581" s="158">
        <f t="shared" si="795"/>
        <v>250</v>
      </c>
      <c r="I3581" s="159">
        <f t="shared" si="793"/>
        <v>1.356107E-2</v>
      </c>
      <c r="J3581" s="160"/>
      <c r="K3581" s="161">
        <f t="shared" si="794"/>
        <v>409</v>
      </c>
      <c r="L3581" s="250">
        <v>1</v>
      </c>
      <c r="M3581" s="163" t="str">
        <f>CONCATENATE(H3581," ",F3581,"*",I3581,"/",K3581,"чел.")</f>
        <v>250 ед.*0,01356107/409чел.</v>
      </c>
      <c r="N3581" s="164">
        <f t="shared" si="789"/>
        <v>15000</v>
      </c>
      <c r="O3581" s="165">
        <f t="shared" si="797"/>
        <v>124.33739999999999</v>
      </c>
      <c r="P3581" s="166"/>
      <c r="Q3581" s="166">
        <f t="shared" si="791"/>
        <v>50853.996599999999</v>
      </c>
      <c r="R3581" s="71"/>
    </row>
    <row r="3582" spans="1:18" s="61" customFormat="1" x14ac:dyDescent="0.25">
      <c r="A3582" s="358"/>
      <c r="B3582" s="361"/>
      <c r="C3582" s="366"/>
      <c r="D3582" s="156" t="s">
        <v>27</v>
      </c>
      <c r="E3582" s="156" t="s">
        <v>28</v>
      </c>
      <c r="F3582" s="156" t="s">
        <v>28</v>
      </c>
      <c r="G3582" s="266">
        <f t="shared" si="796"/>
        <v>0.12052442000000001</v>
      </c>
      <c r="H3582" s="160">
        <f t="shared" si="795"/>
        <v>3635</v>
      </c>
      <c r="I3582" s="159">
        <f t="shared" si="793"/>
        <v>1.356107E-2</v>
      </c>
      <c r="J3582" s="160"/>
      <c r="K3582" s="161">
        <f t="shared" si="794"/>
        <v>409</v>
      </c>
      <c r="L3582" s="250">
        <v>1</v>
      </c>
      <c r="M3582" s="163" t="str">
        <f>CONCATENATE(H3582," ",F3582,"*",I3582,"/",K3582,"чел.")</f>
        <v>3635 шт*0,01356107/409чел.</v>
      </c>
      <c r="N3582" s="164">
        <f t="shared" si="789"/>
        <v>418.4</v>
      </c>
      <c r="O3582" s="165">
        <f t="shared" si="797"/>
        <v>50.427416999999998</v>
      </c>
      <c r="P3582" s="166"/>
      <c r="Q3582" s="166">
        <f t="shared" si="791"/>
        <v>20624.813553</v>
      </c>
      <c r="R3582" s="71"/>
    </row>
    <row r="3583" spans="1:18" s="61" customFormat="1" ht="31.5" x14ac:dyDescent="0.25">
      <c r="A3583" s="358"/>
      <c r="B3583" s="361"/>
      <c r="C3583" s="367"/>
      <c r="D3583" s="156" t="s">
        <v>104</v>
      </c>
      <c r="E3583" s="156" t="s">
        <v>105</v>
      </c>
      <c r="F3583" s="156" t="s">
        <v>226</v>
      </c>
      <c r="G3583" s="266">
        <f t="shared" si="796"/>
        <v>1.1936399999999999E-3</v>
      </c>
      <c r="H3583" s="160">
        <f t="shared" si="795"/>
        <v>36</v>
      </c>
      <c r="I3583" s="159">
        <f t="shared" si="793"/>
        <v>1.356107E-2</v>
      </c>
      <c r="J3583" s="160"/>
      <c r="K3583" s="161">
        <f t="shared" si="794"/>
        <v>409</v>
      </c>
      <c r="L3583" s="250">
        <v>1</v>
      </c>
      <c r="M3583" s="163" t="str">
        <f>CONCATENATE(H3583," ",F3583,"*",I3583,"/",K3583,"чел.")</f>
        <v>36 отключений*0,01356107/409чел.</v>
      </c>
      <c r="N3583" s="164">
        <f t="shared" si="789"/>
        <v>10261.260000000004</v>
      </c>
      <c r="O3583" s="165">
        <f t="shared" si="797"/>
        <v>12.248249999999999</v>
      </c>
      <c r="P3583" s="166"/>
      <c r="Q3583" s="166">
        <f t="shared" si="791"/>
        <v>5009.5342499999997</v>
      </c>
      <c r="R3583" s="71"/>
    </row>
    <row r="3584" spans="1:18" s="61" customFormat="1" x14ac:dyDescent="0.25">
      <c r="A3584" s="358"/>
      <c r="B3584" s="361"/>
      <c r="C3584" s="249" t="s">
        <v>304</v>
      </c>
      <c r="D3584" s="240"/>
      <c r="E3584" s="240"/>
      <c r="F3584" s="240"/>
      <c r="G3584" s="227"/>
      <c r="H3584" s="228"/>
      <c r="I3584" s="206"/>
      <c r="J3584" s="228"/>
      <c r="K3584" s="207"/>
      <c r="L3584" s="257"/>
      <c r="M3584" s="209"/>
      <c r="N3584" s="210"/>
      <c r="O3584" s="198">
        <f>SUM(O3568:O3583)</f>
        <v>428.56198302999996</v>
      </c>
      <c r="P3584" s="166"/>
      <c r="Q3584" s="166"/>
      <c r="R3584" s="71"/>
    </row>
    <row r="3585" spans="1:18" s="61" customFormat="1" ht="31.5" x14ac:dyDescent="0.25">
      <c r="A3585" s="358"/>
      <c r="B3585" s="361"/>
      <c r="C3585" s="221" t="s">
        <v>79</v>
      </c>
      <c r="D3585" s="156" t="s">
        <v>37</v>
      </c>
      <c r="E3585" s="156" t="s">
        <v>61</v>
      </c>
      <c r="F3585" s="156" t="s">
        <v>227</v>
      </c>
      <c r="G3585" s="266">
        <f>MROUND(H3585*L3585*I3585/K3585,0.000000001)</f>
        <v>1.3262700000000002E-4</v>
      </c>
      <c r="H3585" s="158">
        <f>H3465</f>
        <v>4</v>
      </c>
      <c r="I3585" s="159">
        <f>I3583</f>
        <v>1.356107E-2</v>
      </c>
      <c r="J3585" s="160"/>
      <c r="K3585" s="161">
        <f>K3583</f>
        <v>409</v>
      </c>
      <c r="L3585" s="250">
        <v>1</v>
      </c>
      <c r="M3585" s="163" t="str">
        <f>CONCATENATE(H3585," ",F3585,"*",I3585,"/",K3585,"чел.")</f>
        <v>4 автобуса*0,01356107/409чел.</v>
      </c>
      <c r="N3585" s="164">
        <f>N3465</f>
        <v>36442.65</v>
      </c>
      <c r="O3585" s="165">
        <f>MROUND(G3585*N3585,0.000001)</f>
        <v>4.8332790000000001</v>
      </c>
      <c r="P3585" s="166"/>
      <c r="Q3585" s="166">
        <f t="shared" ref="Q3585" si="798">O3585*K3585</f>
        <v>1976.811111</v>
      </c>
      <c r="R3585" s="71"/>
    </row>
    <row r="3586" spans="1:18" s="61" customFormat="1" x14ac:dyDescent="0.25">
      <c r="A3586" s="358"/>
      <c r="B3586" s="361"/>
      <c r="C3586" s="218" t="s">
        <v>305</v>
      </c>
      <c r="D3586" s="240"/>
      <c r="E3586" s="240"/>
      <c r="F3586" s="240"/>
      <c r="G3586" s="227"/>
      <c r="H3586" s="241"/>
      <c r="I3586" s="206"/>
      <c r="J3586" s="228"/>
      <c r="K3586" s="207"/>
      <c r="L3586" s="257"/>
      <c r="M3586" s="209"/>
      <c r="N3586" s="210"/>
      <c r="O3586" s="198">
        <f>SUM(O3585)</f>
        <v>4.8332790000000001</v>
      </c>
      <c r="P3586" s="166"/>
      <c r="Q3586" s="166"/>
      <c r="R3586" s="71"/>
    </row>
    <row r="3587" spans="1:18" s="61" customFormat="1" ht="15.6" customHeight="1" x14ac:dyDescent="0.25">
      <c r="A3587" s="358"/>
      <c r="B3587" s="361"/>
      <c r="C3587" s="365" t="s">
        <v>80</v>
      </c>
      <c r="D3587" s="156" t="s">
        <v>38</v>
      </c>
      <c r="E3587" s="156" t="s">
        <v>57</v>
      </c>
      <c r="F3587" s="156" t="s">
        <v>228</v>
      </c>
      <c r="G3587" s="266">
        <f>MROUND(H3587*L3587*I3587/K3587,0.0000000001)</f>
        <v>1.4323673E-2</v>
      </c>
      <c r="H3587" s="158">
        <f t="shared" ref="H3587:H3600" si="799">H3467</f>
        <v>36</v>
      </c>
      <c r="I3587" s="159">
        <f>I3585</f>
        <v>1.356107E-2</v>
      </c>
      <c r="J3587" s="160"/>
      <c r="K3587" s="161">
        <f>K3585</f>
        <v>409</v>
      </c>
      <c r="L3587" s="250">
        <v>12</v>
      </c>
      <c r="M3587" s="163" t="str">
        <f>CONCATENATE(H3587," ",F3587,"*",L3587,"мес.","*",I3587,"/",K3587,"чел.")</f>
        <v>36 зданий*12мес.*0,01356107/409чел.</v>
      </c>
      <c r="N3587" s="164">
        <f t="shared" ref="N3587:N3600" si="800">N3467</f>
        <v>4910.5833101851858</v>
      </c>
      <c r="O3587" s="165">
        <f>MROUND(G3587*N3587,0.000001)</f>
        <v>70.337589999999992</v>
      </c>
      <c r="P3587" s="166"/>
      <c r="Q3587" s="166">
        <f t="shared" ref="Q3587:Q3600" si="801">O3587*K3587</f>
        <v>28768.074309999996</v>
      </c>
      <c r="R3587" s="71"/>
    </row>
    <row r="3588" spans="1:18" s="61" customFormat="1" ht="46.9" customHeight="1" x14ac:dyDescent="0.25">
      <c r="A3588" s="358"/>
      <c r="B3588" s="361"/>
      <c r="C3588" s="366"/>
      <c r="D3588" s="156" t="s">
        <v>229</v>
      </c>
      <c r="E3588" s="156" t="s">
        <v>60</v>
      </c>
      <c r="F3588" s="156" t="s">
        <v>60</v>
      </c>
      <c r="G3588" s="266">
        <f>MROUND(H3588*L3588*I3588/K3588,0.000001)</f>
        <v>7.9377000000000003E-2</v>
      </c>
      <c r="H3588" s="158">
        <f t="shared" si="799"/>
        <v>2394</v>
      </c>
      <c r="I3588" s="159">
        <f>I3587</f>
        <v>1.356107E-2</v>
      </c>
      <c r="J3588" s="160"/>
      <c r="K3588" s="161">
        <f>K3587</f>
        <v>409</v>
      </c>
      <c r="L3588" s="250">
        <v>1</v>
      </c>
      <c r="M3588" s="163" t="str">
        <f t="shared" ref="M3588:M3595" si="802">CONCATENATE(H3588," ",F3588,"*",I3588,"/",K3588,"чел.")</f>
        <v>2394 шт.*0,01356107/409чел.</v>
      </c>
      <c r="N3588" s="164">
        <f t="shared" si="800"/>
        <v>171.02101921470341</v>
      </c>
      <c r="O3588" s="165">
        <f>MROUND(G3588*N3588,0.000001)</f>
        <v>13.575135</v>
      </c>
      <c r="P3588" s="166"/>
      <c r="Q3588" s="166">
        <f t="shared" si="801"/>
        <v>5552.2302149999996</v>
      </c>
      <c r="R3588" s="71"/>
    </row>
    <row r="3589" spans="1:18" s="61" customFormat="1" ht="46.9" customHeight="1" x14ac:dyDescent="0.25">
      <c r="A3589" s="358"/>
      <c r="B3589" s="361"/>
      <c r="C3589" s="366"/>
      <c r="D3589" s="156" t="s">
        <v>405</v>
      </c>
      <c r="E3589" s="156" t="s">
        <v>60</v>
      </c>
      <c r="F3589" s="156" t="s">
        <v>406</v>
      </c>
      <c r="G3589" s="266">
        <f>MROUND(H3589*L3589*I3589/K3589,0.00000001)</f>
        <v>1.1936399999999999E-3</v>
      </c>
      <c r="H3589" s="158">
        <f t="shared" si="799"/>
        <v>36</v>
      </c>
      <c r="I3589" s="159">
        <f>I3588</f>
        <v>1.356107E-2</v>
      </c>
      <c r="J3589" s="160"/>
      <c r="K3589" s="161">
        <f>K3588</f>
        <v>409</v>
      </c>
      <c r="L3589" s="250">
        <v>1</v>
      </c>
      <c r="M3589" s="163" t="str">
        <f t="shared" si="802"/>
        <v>36 лицензий*0,01356107/409чел.</v>
      </c>
      <c r="N3589" s="164">
        <f t="shared" si="800"/>
        <v>12541.539999999994</v>
      </c>
      <c r="O3589" s="165">
        <f t="shared" ref="O3589:O3598" si="803">MROUND(G3589*N3589,0.000001)</f>
        <v>14.970084</v>
      </c>
      <c r="P3589" s="166"/>
      <c r="Q3589" s="166">
        <f t="shared" si="801"/>
        <v>6122.7643559999997</v>
      </c>
      <c r="R3589" s="71"/>
    </row>
    <row r="3590" spans="1:18" s="61" customFormat="1" ht="62.45" customHeight="1" x14ac:dyDescent="0.25">
      <c r="A3590" s="358"/>
      <c r="B3590" s="361"/>
      <c r="C3590" s="366"/>
      <c r="D3590" s="156" t="s">
        <v>39</v>
      </c>
      <c r="E3590" s="156" t="s">
        <v>20</v>
      </c>
      <c r="F3590" s="156" t="s">
        <v>234</v>
      </c>
      <c r="G3590" s="266">
        <f>MROUND(H3590*L3590*I3590/K3590,0.00000001)</f>
        <v>3.9124800000000003E-3</v>
      </c>
      <c r="H3590" s="158">
        <f t="shared" si="799"/>
        <v>118</v>
      </c>
      <c r="I3590" s="159">
        <f>I3588</f>
        <v>1.356107E-2</v>
      </c>
      <c r="J3590" s="160"/>
      <c r="K3590" s="161">
        <f>K3588</f>
        <v>409</v>
      </c>
      <c r="L3590" s="250">
        <v>1</v>
      </c>
      <c r="M3590" s="163" t="str">
        <f t="shared" si="802"/>
        <v>118 чел(заявленная потребность руководителями учреждений)*0,01356107/409чел.</v>
      </c>
      <c r="N3590" s="164">
        <f t="shared" si="800"/>
        <v>798.09796610169519</v>
      </c>
      <c r="O3590" s="165">
        <f t="shared" si="803"/>
        <v>3.1225419999999997</v>
      </c>
      <c r="P3590" s="166"/>
      <c r="Q3590" s="166">
        <f t="shared" si="801"/>
        <v>1277.1196779999998</v>
      </c>
      <c r="R3590" s="71"/>
    </row>
    <row r="3591" spans="1:18" s="61" customFormat="1" ht="62.45" customHeight="1" x14ac:dyDescent="0.25">
      <c r="A3591" s="358"/>
      <c r="B3591" s="361"/>
      <c r="C3591" s="366"/>
      <c r="D3591" s="156" t="s">
        <v>40</v>
      </c>
      <c r="E3591" s="156" t="s">
        <v>20</v>
      </c>
      <c r="F3591" s="156" t="s">
        <v>234</v>
      </c>
      <c r="G3591" s="266">
        <f>MROUND(H3591*L3591*I3591/K3591,0.000000001)</f>
        <v>3.183038E-3</v>
      </c>
      <c r="H3591" s="158">
        <f t="shared" si="799"/>
        <v>96</v>
      </c>
      <c r="I3591" s="159">
        <f t="shared" ref="I3591:I3598" si="804">I3590</f>
        <v>1.356107E-2</v>
      </c>
      <c r="J3591" s="160"/>
      <c r="K3591" s="161">
        <f t="shared" ref="K3591:K3598" si="805">K3590</f>
        <v>409</v>
      </c>
      <c r="L3591" s="250">
        <v>1</v>
      </c>
      <c r="M3591" s="163" t="str">
        <f t="shared" si="802"/>
        <v>96 чел(заявленная потребность руководителями учреждений)*0,01356107/409чел.</v>
      </c>
      <c r="N3591" s="164">
        <f t="shared" si="800"/>
        <v>1710.2100000000007</v>
      </c>
      <c r="O3591" s="165">
        <f t="shared" si="803"/>
        <v>5.4436629999999999</v>
      </c>
      <c r="P3591" s="166"/>
      <c r="Q3591" s="166">
        <f t="shared" si="801"/>
        <v>2226.4581669999998</v>
      </c>
      <c r="R3591" s="71"/>
    </row>
    <row r="3592" spans="1:18" s="61" customFormat="1" ht="62.45" customHeight="1" x14ac:dyDescent="0.25">
      <c r="A3592" s="358"/>
      <c r="B3592" s="361"/>
      <c r="C3592" s="366"/>
      <c r="D3592" s="156" t="s">
        <v>100</v>
      </c>
      <c r="E3592" s="156" t="s">
        <v>20</v>
      </c>
      <c r="F3592" s="156" t="s">
        <v>234</v>
      </c>
      <c r="G3592" s="266">
        <f>MROUND(H3592*L3592*I3592/K3592,0.0000000001)</f>
        <v>2.6856887000000001E-3</v>
      </c>
      <c r="H3592" s="158">
        <f t="shared" si="799"/>
        <v>81</v>
      </c>
      <c r="I3592" s="159">
        <f t="shared" si="804"/>
        <v>1.356107E-2</v>
      </c>
      <c r="J3592" s="160"/>
      <c r="K3592" s="161">
        <f t="shared" si="805"/>
        <v>409</v>
      </c>
      <c r="L3592" s="250">
        <v>1</v>
      </c>
      <c r="M3592" s="163" t="str">
        <f t="shared" si="802"/>
        <v>81 чел(заявленная потребность руководителями учреждений)*0,01356107/409чел.</v>
      </c>
      <c r="N3592" s="164">
        <f t="shared" si="800"/>
        <v>3648.448148148148</v>
      </c>
      <c r="O3592" s="165">
        <f t="shared" si="803"/>
        <v>9.7985959999999999</v>
      </c>
      <c r="P3592" s="166"/>
      <c r="Q3592" s="166">
        <f t="shared" si="801"/>
        <v>4007.6257639999999</v>
      </c>
      <c r="R3592" s="71"/>
    </row>
    <row r="3593" spans="1:18" s="61" customFormat="1" ht="109.15" customHeight="1" x14ac:dyDescent="0.25">
      <c r="A3593" s="358"/>
      <c r="B3593" s="361"/>
      <c r="C3593" s="366"/>
      <c r="D3593" s="156" t="s">
        <v>235</v>
      </c>
      <c r="E3593" s="156" t="s">
        <v>50</v>
      </c>
      <c r="F3593" s="156" t="s">
        <v>230</v>
      </c>
      <c r="G3593" s="266">
        <f>MROUND(H3593*L3593*I3593/K3593,0.00000001)</f>
        <v>1.1936399999999999E-3</v>
      </c>
      <c r="H3593" s="158">
        <f t="shared" si="799"/>
        <v>36</v>
      </c>
      <c r="I3593" s="159">
        <f t="shared" si="804"/>
        <v>1.356107E-2</v>
      </c>
      <c r="J3593" s="160"/>
      <c r="K3593" s="161">
        <f t="shared" si="805"/>
        <v>409</v>
      </c>
      <c r="L3593" s="250">
        <v>1</v>
      </c>
      <c r="M3593" s="163" t="str">
        <f t="shared" si="802"/>
        <v>36 отчетов*0,01356107/409чел.</v>
      </c>
      <c r="N3593" s="164">
        <f t="shared" si="800"/>
        <v>6840.8399999999974</v>
      </c>
      <c r="O3593" s="165">
        <f t="shared" si="803"/>
        <v>8.1654999999999998</v>
      </c>
      <c r="P3593" s="166"/>
      <c r="Q3593" s="166">
        <f t="shared" si="801"/>
        <v>3339.6895</v>
      </c>
      <c r="R3593" s="71"/>
    </row>
    <row r="3594" spans="1:18" s="61" customFormat="1" ht="62.45" customHeight="1" x14ac:dyDescent="0.25">
      <c r="A3594" s="358"/>
      <c r="B3594" s="361"/>
      <c r="C3594" s="366"/>
      <c r="D3594" s="156" t="s">
        <v>42</v>
      </c>
      <c r="E3594" s="156" t="s">
        <v>51</v>
      </c>
      <c r="F3594" s="156" t="s">
        <v>407</v>
      </c>
      <c r="G3594" s="266">
        <f t="shared" ref="G3594:G3596" si="806">MROUND(H3594*L3594*I3594/K3594,0.00000001)</f>
        <v>6.7639600000000003E-3</v>
      </c>
      <c r="H3594" s="158">
        <f t="shared" si="799"/>
        <v>204</v>
      </c>
      <c r="I3594" s="159">
        <f t="shared" si="804"/>
        <v>1.356107E-2</v>
      </c>
      <c r="J3594" s="160"/>
      <c r="K3594" s="161">
        <f t="shared" si="805"/>
        <v>409</v>
      </c>
      <c r="L3594" s="250">
        <v>1</v>
      </c>
      <c r="M3594" s="163" t="str">
        <f t="shared" si="802"/>
        <v>204 ед (заявленная потребность руководителями учреждений)*0,01356107/409чел.</v>
      </c>
      <c r="N3594" s="164">
        <f t="shared" si="800"/>
        <v>1140.1400000000001</v>
      </c>
      <c r="O3594" s="165">
        <f t="shared" si="803"/>
        <v>7.7118609999999999</v>
      </c>
      <c r="P3594" s="166"/>
      <c r="Q3594" s="166">
        <f t="shared" si="801"/>
        <v>3154.1511489999998</v>
      </c>
      <c r="R3594" s="71"/>
    </row>
    <row r="3595" spans="1:18" s="61" customFormat="1" ht="31.15" customHeight="1" x14ac:dyDescent="0.25">
      <c r="A3595" s="358"/>
      <c r="B3595" s="361"/>
      <c r="C3595" s="366"/>
      <c r="D3595" s="156" t="s">
        <v>43</v>
      </c>
      <c r="E3595" s="156" t="s">
        <v>52</v>
      </c>
      <c r="F3595" s="156" t="s">
        <v>231</v>
      </c>
      <c r="G3595" s="266">
        <f t="shared" si="806"/>
        <v>1.1936399999999999E-3</v>
      </c>
      <c r="H3595" s="158">
        <f t="shared" si="799"/>
        <v>36</v>
      </c>
      <c r="I3595" s="159">
        <f t="shared" si="804"/>
        <v>1.356107E-2</v>
      </c>
      <c r="J3595" s="160"/>
      <c r="K3595" s="161">
        <f t="shared" si="805"/>
        <v>409</v>
      </c>
      <c r="L3595" s="250">
        <v>1</v>
      </c>
      <c r="M3595" s="163" t="str">
        <f t="shared" si="802"/>
        <v>36 ЭЦП*0,01356107/409чел.</v>
      </c>
      <c r="N3595" s="164">
        <f t="shared" si="800"/>
        <v>8099.5499999999947</v>
      </c>
      <c r="O3595" s="165">
        <f t="shared" si="803"/>
        <v>9.6679469999999998</v>
      </c>
      <c r="P3595" s="166"/>
      <c r="Q3595" s="166">
        <f t="shared" si="801"/>
        <v>3954.1903229999998</v>
      </c>
      <c r="R3595" s="71"/>
    </row>
    <row r="3596" spans="1:18" s="61" customFormat="1" ht="46.9" customHeight="1" x14ac:dyDescent="0.25">
      <c r="A3596" s="358"/>
      <c r="B3596" s="361"/>
      <c r="C3596" s="366"/>
      <c r="D3596" s="156" t="s">
        <v>44</v>
      </c>
      <c r="E3596" s="156" t="s">
        <v>85</v>
      </c>
      <c r="F3596" s="156" t="s">
        <v>232</v>
      </c>
      <c r="G3596" s="266">
        <f t="shared" si="806"/>
        <v>4.0318489999999998E-2</v>
      </c>
      <c r="H3596" s="158">
        <f t="shared" si="799"/>
        <v>1216</v>
      </c>
      <c r="I3596" s="159">
        <f t="shared" si="804"/>
        <v>1.356107E-2</v>
      </c>
      <c r="J3596" s="160"/>
      <c r="K3596" s="161">
        <f t="shared" si="805"/>
        <v>409</v>
      </c>
      <c r="L3596" s="250">
        <v>1</v>
      </c>
      <c r="M3596" s="163" t="str">
        <f>CONCATENATE(H3596," ",F3596,"*",L3596,"мес.","*",I3596,"/",K3596,"чел.")</f>
        <v>1216 мед.осмотров в мес.*1мес.*0,01356107/409чел.</v>
      </c>
      <c r="N3596" s="164">
        <f t="shared" si="800"/>
        <v>59.287277960526318</v>
      </c>
      <c r="O3596" s="165">
        <f t="shared" si="803"/>
        <v>2.390374</v>
      </c>
      <c r="P3596" s="166"/>
      <c r="Q3596" s="166">
        <f t="shared" si="801"/>
        <v>977.66296599999998</v>
      </c>
      <c r="R3596" s="71"/>
    </row>
    <row r="3597" spans="1:18" s="61" customFormat="1" ht="62.45" customHeight="1" x14ac:dyDescent="0.25">
      <c r="A3597" s="358"/>
      <c r="B3597" s="361"/>
      <c r="C3597" s="366"/>
      <c r="D3597" s="156" t="s">
        <v>45</v>
      </c>
      <c r="E3597" s="156" t="s">
        <v>53</v>
      </c>
      <c r="F3597" s="156" t="s">
        <v>233</v>
      </c>
      <c r="G3597" s="266">
        <f>MROUND(H3597*L3597*I3597/K3597,0.0000000001)</f>
        <v>1.5915192000000001E-3</v>
      </c>
      <c r="H3597" s="158">
        <f t="shared" si="799"/>
        <v>4</v>
      </c>
      <c r="I3597" s="159">
        <f t="shared" si="804"/>
        <v>1.356107E-2</v>
      </c>
      <c r="J3597" s="160"/>
      <c r="K3597" s="161">
        <f t="shared" si="805"/>
        <v>409</v>
      </c>
      <c r="L3597" s="250">
        <v>12</v>
      </c>
      <c r="M3597" s="163" t="str">
        <f>CONCATENATE(H3597," ",F3597,"*",L3597,"мес.","*",I3597,"/",K3597,"чел.")</f>
        <v>4  машины, оборудованных системой ГЛОНАСС*12мес.*0,01356107/409чел.</v>
      </c>
      <c r="N3597" s="164">
        <f t="shared" si="800"/>
        <v>921.23312500000009</v>
      </c>
      <c r="O3597" s="165">
        <f t="shared" si="803"/>
        <v>1.4661599999999999</v>
      </c>
      <c r="P3597" s="166"/>
      <c r="Q3597" s="166">
        <f t="shared" si="801"/>
        <v>599.65944000000002</v>
      </c>
      <c r="R3597" s="71"/>
    </row>
    <row r="3598" spans="1:18" s="61" customFormat="1" ht="15.6" customHeight="1" x14ac:dyDescent="0.25">
      <c r="A3598" s="358"/>
      <c r="B3598" s="361"/>
      <c r="C3598" s="366"/>
      <c r="D3598" s="156" t="s">
        <v>408</v>
      </c>
      <c r="E3598" s="156" t="s">
        <v>20</v>
      </c>
      <c r="F3598" s="156" t="s">
        <v>20</v>
      </c>
      <c r="G3598" s="266">
        <f>MROUND(H3598*L3598*I3598/K3598,0.0000000001)</f>
        <v>5.6266835700000004E-2</v>
      </c>
      <c r="H3598" s="158">
        <f t="shared" si="799"/>
        <v>1697</v>
      </c>
      <c r="I3598" s="159">
        <f t="shared" si="804"/>
        <v>1.356107E-2</v>
      </c>
      <c r="J3598" s="160"/>
      <c r="K3598" s="161">
        <f t="shared" si="805"/>
        <v>409</v>
      </c>
      <c r="L3598" s="250">
        <v>1</v>
      </c>
      <c r="M3598" s="163" t="str">
        <f>CONCATENATE(H3598," ",F3598,"*",L3598," раз в год","*",I3598,"/",K3598,"чел.")</f>
        <v>1697 чел.*1 раз в год*0,01356107/409чел.</v>
      </c>
      <c r="N3598" s="164">
        <f t="shared" si="800"/>
        <v>570.06999999999994</v>
      </c>
      <c r="O3598" s="165">
        <f t="shared" si="803"/>
        <v>32.076034999999997</v>
      </c>
      <c r="P3598" s="166"/>
      <c r="Q3598" s="166">
        <f t="shared" si="801"/>
        <v>13119.098314999999</v>
      </c>
      <c r="R3598" s="71"/>
    </row>
    <row r="3599" spans="1:18" s="61" customFormat="1" ht="31.5" x14ac:dyDescent="0.25">
      <c r="A3599" s="358"/>
      <c r="B3599" s="361"/>
      <c r="C3599" s="364"/>
      <c r="D3599" s="156" t="s">
        <v>106</v>
      </c>
      <c r="E3599" s="156" t="s">
        <v>107</v>
      </c>
      <c r="F3599" s="156"/>
      <c r="G3599" s="266">
        <f t="shared" ref="G3599" si="807">MROUND(H3599*L3599*I3599/K3599,0.00000001)</f>
        <v>0</v>
      </c>
      <c r="H3599" s="158">
        <f t="shared" si="799"/>
        <v>0</v>
      </c>
      <c r="I3599" s="159">
        <f>I3597</f>
        <v>1.356107E-2</v>
      </c>
      <c r="J3599" s="160"/>
      <c r="K3599" s="161">
        <f>K3597</f>
        <v>409</v>
      </c>
      <c r="L3599" s="250">
        <f>L3479</f>
        <v>0</v>
      </c>
      <c r="M3599" s="163"/>
      <c r="N3599" s="164">
        <f t="shared" si="800"/>
        <v>6.0000000000000002E-5</v>
      </c>
      <c r="O3599" s="165">
        <f>MROUND(G3599*N3599,0.000000001)</f>
        <v>0</v>
      </c>
      <c r="P3599" s="166"/>
      <c r="Q3599" s="166">
        <f t="shared" si="801"/>
        <v>0</v>
      </c>
      <c r="R3599" s="71"/>
    </row>
    <row r="3600" spans="1:18" s="61" customFormat="1" ht="15.6" customHeight="1" x14ac:dyDescent="0.25">
      <c r="A3600" s="358"/>
      <c r="B3600" s="361"/>
      <c r="C3600" s="367"/>
      <c r="D3600" s="156" t="s">
        <v>373</v>
      </c>
      <c r="E3600" s="156" t="s">
        <v>28</v>
      </c>
      <c r="F3600" s="156" t="s">
        <v>28</v>
      </c>
      <c r="G3600" s="157">
        <f>MROUND(H3600*L3600*I3600/K3600,0.000000001)</f>
        <v>1.193639E-3</v>
      </c>
      <c r="H3600" s="158">
        <f t="shared" si="799"/>
        <v>36</v>
      </c>
      <c r="I3600" s="159">
        <f>I3598</f>
        <v>1.356107E-2</v>
      </c>
      <c r="J3600" s="160"/>
      <c r="K3600" s="161">
        <f>K3598</f>
        <v>409</v>
      </c>
      <c r="L3600" s="162">
        <v>1</v>
      </c>
      <c r="M3600" s="163" t="str">
        <f>CONCATENATE(H3600," ",F3600,"*",L3600,"мес.","*",I3600,"/",K3600,"чел.")</f>
        <v>36 шт*1мес.*0,01356107/409чел.</v>
      </c>
      <c r="N3600" s="164">
        <f t="shared" si="800"/>
        <v>24000</v>
      </c>
      <c r="O3600" s="165">
        <f>MROUND(G3600*N3600,0.000000001)</f>
        <v>28.647336000000003</v>
      </c>
      <c r="P3600" s="166"/>
      <c r="Q3600" s="166">
        <f t="shared" si="801"/>
        <v>11716.760424000002</v>
      </c>
      <c r="R3600" s="71"/>
    </row>
    <row r="3601" spans="1:18" s="61" customFormat="1" x14ac:dyDescent="0.25">
      <c r="A3601" s="358"/>
      <c r="B3601" s="361"/>
      <c r="C3601" s="245" t="s">
        <v>306</v>
      </c>
      <c r="D3601" s="240"/>
      <c r="E3601" s="240"/>
      <c r="F3601" s="240"/>
      <c r="G3601" s="227"/>
      <c r="H3601" s="241"/>
      <c r="I3601" s="206"/>
      <c r="J3601" s="228"/>
      <c r="K3601" s="207"/>
      <c r="L3601" s="257"/>
      <c r="M3601" s="209"/>
      <c r="N3601" s="210"/>
      <c r="O3601" s="198">
        <f>SUM(O3587:O3600)</f>
        <v>207.37282299999998</v>
      </c>
      <c r="P3601" s="166"/>
      <c r="Q3601" s="166"/>
      <c r="R3601" s="71"/>
    </row>
    <row r="3602" spans="1:18" s="61" customFormat="1" ht="31.5" x14ac:dyDescent="0.25">
      <c r="A3602" s="358"/>
      <c r="B3602" s="361"/>
      <c r="C3602" s="252" t="s">
        <v>237</v>
      </c>
      <c r="D3602" s="156" t="s">
        <v>41</v>
      </c>
      <c r="E3602" s="156" t="s">
        <v>61</v>
      </c>
      <c r="F3602" s="156" t="s">
        <v>227</v>
      </c>
      <c r="G3602" s="266">
        <f>MROUND(H3602*L3602*I3602/K3602,0.000000001)</f>
        <v>1.3262700000000002E-4</v>
      </c>
      <c r="H3602" s="158">
        <f>H3482</f>
        <v>4</v>
      </c>
      <c r="I3602" s="159">
        <f>I3599</f>
        <v>1.356107E-2</v>
      </c>
      <c r="J3602" s="160"/>
      <c r="K3602" s="161">
        <f>K3599</f>
        <v>409</v>
      </c>
      <c r="L3602" s="250">
        <v>1</v>
      </c>
      <c r="M3602" s="163" t="str">
        <f>CONCATENATE(H3602," ",F3602,"*",I3602,"/",K3602,"чел.")</f>
        <v>4 автобуса*0,01356107/409чел.</v>
      </c>
      <c r="N3602" s="164">
        <f>N3482</f>
        <v>26907.305</v>
      </c>
      <c r="O3602" s="165">
        <f>MROUND(G3602*N3602,0.000001)</f>
        <v>3.568635</v>
      </c>
      <c r="P3602" s="166"/>
      <c r="Q3602" s="166">
        <f t="shared" ref="Q3602" si="808">O3602*K3602</f>
        <v>1459.571715</v>
      </c>
      <c r="R3602" s="71"/>
    </row>
    <row r="3603" spans="1:18" s="61" customFormat="1" x14ac:dyDescent="0.25">
      <c r="A3603" s="358"/>
      <c r="B3603" s="361"/>
      <c r="C3603" s="245" t="s">
        <v>307</v>
      </c>
      <c r="D3603" s="240"/>
      <c r="E3603" s="240"/>
      <c r="F3603" s="240"/>
      <c r="G3603" s="227"/>
      <c r="H3603" s="241"/>
      <c r="I3603" s="206"/>
      <c r="J3603" s="228"/>
      <c r="K3603" s="207"/>
      <c r="L3603" s="257"/>
      <c r="M3603" s="209"/>
      <c r="N3603" s="210"/>
      <c r="O3603" s="198">
        <f>SUM(O3602)</f>
        <v>3.568635</v>
      </c>
      <c r="P3603" s="166"/>
      <c r="Q3603" s="166"/>
      <c r="R3603" s="71"/>
    </row>
    <row r="3604" spans="1:18" s="61" customFormat="1" ht="78.75" x14ac:dyDescent="0.25">
      <c r="A3604" s="358"/>
      <c r="B3604" s="361"/>
      <c r="C3604" s="221" t="s">
        <v>236</v>
      </c>
      <c r="D3604" s="156" t="s">
        <v>19</v>
      </c>
      <c r="E3604" s="181" t="s">
        <v>20</v>
      </c>
      <c r="F3604" s="181" t="s">
        <v>238</v>
      </c>
      <c r="G3604" s="266">
        <f>MROUND(H3604*L3604*I3604/K3604,0.000001)</f>
        <v>0</v>
      </c>
      <c r="H3604" s="158"/>
      <c r="I3604" s="159">
        <f>I3599</f>
        <v>1.356107E-2</v>
      </c>
      <c r="J3604" s="160"/>
      <c r="K3604" s="161">
        <f>K3599</f>
        <v>409</v>
      </c>
      <c r="L3604" s="250"/>
      <c r="M3604" s="163"/>
      <c r="N3604" s="164"/>
      <c r="O3604" s="165">
        <f>MROUND(G3604*N3604,0.000001)</f>
        <v>0</v>
      </c>
      <c r="P3604" s="166"/>
      <c r="Q3604" s="166">
        <f t="shared" ref="Q3604" si="809">O3604*K3604</f>
        <v>0</v>
      </c>
      <c r="R3604" s="71"/>
    </row>
    <row r="3605" spans="1:18" s="61" customFormat="1" x14ac:dyDescent="0.25">
      <c r="A3605" s="358"/>
      <c r="B3605" s="361"/>
      <c r="C3605" s="245" t="s">
        <v>308</v>
      </c>
      <c r="D3605" s="240"/>
      <c r="E3605" s="253"/>
      <c r="F3605" s="253"/>
      <c r="G3605" s="227"/>
      <c r="H3605" s="241"/>
      <c r="I3605" s="206"/>
      <c r="J3605" s="228"/>
      <c r="K3605" s="207"/>
      <c r="L3605" s="257"/>
      <c r="M3605" s="209"/>
      <c r="N3605" s="210"/>
      <c r="O3605" s="198">
        <f>SUM(O3604)</f>
        <v>0</v>
      </c>
      <c r="P3605" s="166"/>
      <c r="Q3605" s="166"/>
      <c r="R3605" s="71"/>
    </row>
    <row r="3606" spans="1:18" s="61" customFormat="1" ht="30" x14ac:dyDescent="0.25">
      <c r="A3606" s="358"/>
      <c r="B3606" s="361"/>
      <c r="C3606" s="365" t="s">
        <v>81</v>
      </c>
      <c r="D3606" s="254" t="s">
        <v>410</v>
      </c>
      <c r="E3606" s="156" t="s">
        <v>28</v>
      </c>
      <c r="F3606" s="156" t="s">
        <v>28</v>
      </c>
      <c r="G3606" s="157">
        <f>MROUND(H3606*L3606*I3606/K3606,0.0000000001)</f>
        <v>0</v>
      </c>
      <c r="H3606" s="158"/>
      <c r="I3606" s="159">
        <f>I3599</f>
        <v>1.356107E-2</v>
      </c>
      <c r="J3606" s="160"/>
      <c r="K3606" s="161">
        <f>K3599</f>
        <v>409</v>
      </c>
      <c r="L3606" s="250">
        <v>1</v>
      </c>
      <c r="M3606" s="163"/>
      <c r="N3606" s="164"/>
      <c r="O3606" s="165">
        <f>MROUND(G3606*N3606,0.000001)</f>
        <v>0</v>
      </c>
      <c r="P3606" s="166"/>
      <c r="Q3606" s="166">
        <f t="shared" ref="Q3606" si="810">O3606*K3606</f>
        <v>0</v>
      </c>
      <c r="R3606" s="71"/>
    </row>
    <row r="3607" spans="1:18" s="61" customFormat="1" x14ac:dyDescent="0.25">
      <c r="A3607" s="358"/>
      <c r="B3607" s="361"/>
      <c r="C3607" s="366"/>
      <c r="D3607" s="254" t="s">
        <v>325</v>
      </c>
      <c r="E3607" s="156" t="s">
        <v>28</v>
      </c>
      <c r="F3607" s="156" t="s">
        <v>28</v>
      </c>
      <c r="G3607" s="157">
        <f>MROUND(H3607*L3607*I3607/K3607,0.0000000001)</f>
        <v>0</v>
      </c>
      <c r="H3607" s="158"/>
      <c r="I3607" s="159">
        <f>I3606</f>
        <v>1.356107E-2</v>
      </c>
      <c r="J3607" s="160"/>
      <c r="K3607" s="161">
        <f>K3606</f>
        <v>409</v>
      </c>
      <c r="L3607" s="250">
        <v>1</v>
      </c>
      <c r="M3607" s="163"/>
      <c r="N3607" s="164"/>
      <c r="O3607" s="165">
        <f>MROUND(G3607*N3607,0.000001)</f>
        <v>0</v>
      </c>
      <c r="P3607" s="166"/>
      <c r="Q3607" s="166">
        <f>O3607*K3607</f>
        <v>0</v>
      </c>
      <c r="R3607" s="71"/>
    </row>
    <row r="3608" spans="1:18" s="61" customFormat="1" ht="30" x14ac:dyDescent="0.25">
      <c r="A3608" s="358"/>
      <c r="B3608" s="361"/>
      <c r="C3608" s="366"/>
      <c r="D3608" s="254" t="s">
        <v>411</v>
      </c>
      <c r="E3608" s="156" t="s">
        <v>28</v>
      </c>
      <c r="F3608" s="156" t="s">
        <v>28</v>
      </c>
      <c r="G3608" s="157">
        <f t="shared" ref="G3608:G3629" si="811">MROUND(H3608*L3608*I3608/K3608,0.0000000001)</f>
        <v>0</v>
      </c>
      <c r="H3608" s="158"/>
      <c r="I3608" s="159">
        <f>I3606</f>
        <v>1.356107E-2</v>
      </c>
      <c r="J3608" s="160"/>
      <c r="K3608" s="161">
        <f>K3606</f>
        <v>409</v>
      </c>
      <c r="L3608" s="250">
        <v>1</v>
      </c>
      <c r="M3608" s="163"/>
      <c r="N3608" s="164"/>
      <c r="O3608" s="165">
        <f t="shared" ref="O3608:O3629" si="812">MROUND(G3608*N3608,0.000001)</f>
        <v>0</v>
      </c>
      <c r="P3608" s="166"/>
      <c r="Q3608" s="166">
        <f t="shared" ref="Q3608:Q3629" si="813">O3608*K3608</f>
        <v>0</v>
      </c>
      <c r="R3608" s="71"/>
    </row>
    <row r="3609" spans="1:18" s="61" customFormat="1" x14ac:dyDescent="0.25">
      <c r="A3609" s="358"/>
      <c r="B3609" s="361"/>
      <c r="C3609" s="366"/>
      <c r="D3609" s="255" t="s">
        <v>412</v>
      </c>
      <c r="E3609" s="156" t="s">
        <v>28</v>
      </c>
      <c r="F3609" s="156" t="s">
        <v>28</v>
      </c>
      <c r="G3609" s="157">
        <f t="shared" si="811"/>
        <v>0</v>
      </c>
      <c r="H3609" s="158"/>
      <c r="I3609" s="159">
        <f>I3608</f>
        <v>1.356107E-2</v>
      </c>
      <c r="J3609" s="160"/>
      <c r="K3609" s="161">
        <f>K3608</f>
        <v>409</v>
      </c>
      <c r="L3609" s="250">
        <v>1</v>
      </c>
      <c r="M3609" s="163"/>
      <c r="N3609" s="164"/>
      <c r="O3609" s="165">
        <f t="shared" si="812"/>
        <v>0</v>
      </c>
      <c r="P3609" s="166"/>
      <c r="Q3609" s="166">
        <f t="shared" si="813"/>
        <v>0</v>
      </c>
      <c r="R3609" s="71"/>
    </row>
    <row r="3610" spans="1:18" s="61" customFormat="1" ht="31.5" x14ac:dyDescent="0.25">
      <c r="A3610" s="358"/>
      <c r="B3610" s="361"/>
      <c r="C3610" s="366"/>
      <c r="D3610" s="255" t="s">
        <v>413</v>
      </c>
      <c r="E3610" s="156" t="s">
        <v>28</v>
      </c>
      <c r="F3610" s="156" t="s">
        <v>28</v>
      </c>
      <c r="G3610" s="157">
        <f t="shared" si="811"/>
        <v>0</v>
      </c>
      <c r="H3610" s="158"/>
      <c r="I3610" s="159">
        <f>I3609</f>
        <v>1.356107E-2</v>
      </c>
      <c r="J3610" s="160"/>
      <c r="K3610" s="161">
        <f>K3609</f>
        <v>409</v>
      </c>
      <c r="L3610" s="250">
        <v>1</v>
      </c>
      <c r="M3610" s="163"/>
      <c r="N3610" s="164"/>
      <c r="O3610" s="165">
        <f t="shared" si="812"/>
        <v>0</v>
      </c>
      <c r="P3610" s="166"/>
      <c r="Q3610" s="166">
        <f t="shared" si="813"/>
        <v>0</v>
      </c>
      <c r="R3610" s="71"/>
    </row>
    <row r="3611" spans="1:18" s="61" customFormat="1" x14ac:dyDescent="0.25">
      <c r="A3611" s="358"/>
      <c r="B3611" s="361"/>
      <c r="C3611" s="366"/>
      <c r="D3611" s="254" t="s">
        <v>109</v>
      </c>
      <c r="E3611" s="156" t="s">
        <v>28</v>
      </c>
      <c r="F3611" s="156" t="s">
        <v>28</v>
      </c>
      <c r="G3611" s="157">
        <f t="shared" si="811"/>
        <v>0</v>
      </c>
      <c r="H3611" s="158"/>
      <c r="I3611" s="159">
        <f>I3610</f>
        <v>1.356107E-2</v>
      </c>
      <c r="J3611" s="160"/>
      <c r="K3611" s="161">
        <f>K3610</f>
        <v>409</v>
      </c>
      <c r="L3611" s="250">
        <v>1</v>
      </c>
      <c r="M3611" s="163"/>
      <c r="N3611" s="164"/>
      <c r="O3611" s="165">
        <f t="shared" si="812"/>
        <v>0</v>
      </c>
      <c r="P3611" s="166"/>
      <c r="Q3611" s="166">
        <f t="shared" si="813"/>
        <v>0</v>
      </c>
      <c r="R3611" s="71"/>
    </row>
    <row r="3612" spans="1:18" s="61" customFormat="1" x14ac:dyDescent="0.25">
      <c r="A3612" s="358"/>
      <c r="B3612" s="361"/>
      <c r="C3612" s="366"/>
      <c r="D3612" s="254" t="s">
        <v>414</v>
      </c>
      <c r="E3612" s="156" t="s">
        <v>28</v>
      </c>
      <c r="F3612" s="156" t="s">
        <v>28</v>
      </c>
      <c r="G3612" s="157">
        <f t="shared" si="811"/>
        <v>0</v>
      </c>
      <c r="H3612" s="158"/>
      <c r="I3612" s="159">
        <f>I3610</f>
        <v>1.356107E-2</v>
      </c>
      <c r="J3612" s="160"/>
      <c r="K3612" s="161">
        <f>K3610</f>
        <v>409</v>
      </c>
      <c r="L3612" s="250">
        <v>1</v>
      </c>
      <c r="M3612" s="163"/>
      <c r="N3612" s="164"/>
      <c r="O3612" s="165">
        <f t="shared" si="812"/>
        <v>0</v>
      </c>
      <c r="P3612" s="166"/>
      <c r="Q3612" s="166">
        <f t="shared" si="813"/>
        <v>0</v>
      </c>
      <c r="R3612" s="71"/>
    </row>
    <row r="3613" spans="1:18" s="61" customFormat="1" x14ac:dyDescent="0.25">
      <c r="A3613" s="358"/>
      <c r="B3613" s="361"/>
      <c r="C3613" s="366"/>
      <c r="D3613" s="254" t="s">
        <v>415</v>
      </c>
      <c r="E3613" s="156" t="s">
        <v>28</v>
      </c>
      <c r="F3613" s="156" t="s">
        <v>28</v>
      </c>
      <c r="G3613" s="157">
        <f t="shared" si="811"/>
        <v>0</v>
      </c>
      <c r="H3613" s="158"/>
      <c r="I3613" s="159">
        <f t="shared" ref="I3613:I3622" si="814">I3611</f>
        <v>1.356107E-2</v>
      </c>
      <c r="J3613" s="160"/>
      <c r="K3613" s="161">
        <f t="shared" ref="K3613:K3622" si="815">K3611</f>
        <v>409</v>
      </c>
      <c r="L3613" s="250">
        <v>1</v>
      </c>
      <c r="M3613" s="163"/>
      <c r="N3613" s="164"/>
      <c r="O3613" s="165">
        <f t="shared" si="812"/>
        <v>0</v>
      </c>
      <c r="P3613" s="166"/>
      <c r="Q3613" s="166">
        <f t="shared" si="813"/>
        <v>0</v>
      </c>
      <c r="R3613" s="71"/>
    </row>
    <row r="3614" spans="1:18" s="61" customFormat="1" x14ac:dyDescent="0.25">
      <c r="A3614" s="358"/>
      <c r="B3614" s="361"/>
      <c r="C3614" s="366"/>
      <c r="D3614" s="254" t="s">
        <v>416</v>
      </c>
      <c r="E3614" s="156" t="s">
        <v>28</v>
      </c>
      <c r="F3614" s="156" t="s">
        <v>28</v>
      </c>
      <c r="G3614" s="157">
        <f t="shared" si="811"/>
        <v>0</v>
      </c>
      <c r="H3614" s="246"/>
      <c r="I3614" s="159">
        <f t="shared" si="814"/>
        <v>1.356107E-2</v>
      </c>
      <c r="J3614" s="160"/>
      <c r="K3614" s="161">
        <f t="shared" si="815"/>
        <v>409</v>
      </c>
      <c r="L3614" s="250">
        <v>1</v>
      </c>
      <c r="M3614" s="163"/>
      <c r="N3614" s="164"/>
      <c r="O3614" s="165">
        <f t="shared" si="812"/>
        <v>0</v>
      </c>
      <c r="P3614" s="166"/>
      <c r="Q3614" s="166">
        <f t="shared" si="813"/>
        <v>0</v>
      </c>
      <c r="R3614" s="71"/>
    </row>
    <row r="3615" spans="1:18" s="61" customFormat="1" x14ac:dyDescent="0.25">
      <c r="A3615" s="358"/>
      <c r="B3615" s="361"/>
      <c r="C3615" s="366"/>
      <c r="D3615" s="254" t="s">
        <v>417</v>
      </c>
      <c r="E3615" s="156" t="s">
        <v>28</v>
      </c>
      <c r="F3615" s="156" t="s">
        <v>28</v>
      </c>
      <c r="G3615" s="157">
        <f t="shared" si="811"/>
        <v>0</v>
      </c>
      <c r="H3615" s="158"/>
      <c r="I3615" s="159">
        <f t="shared" si="814"/>
        <v>1.356107E-2</v>
      </c>
      <c r="J3615" s="160"/>
      <c r="K3615" s="161">
        <f t="shared" si="815"/>
        <v>409</v>
      </c>
      <c r="L3615" s="250">
        <v>1</v>
      </c>
      <c r="M3615" s="163"/>
      <c r="N3615" s="164"/>
      <c r="O3615" s="165">
        <f t="shared" si="812"/>
        <v>0</v>
      </c>
      <c r="P3615" s="166"/>
      <c r="Q3615" s="166">
        <f t="shared" si="813"/>
        <v>0</v>
      </c>
      <c r="R3615" s="71"/>
    </row>
    <row r="3616" spans="1:18" s="61" customFormat="1" ht="30" x14ac:dyDescent="0.25">
      <c r="A3616" s="358"/>
      <c r="B3616" s="361"/>
      <c r="C3616" s="366"/>
      <c r="D3616" s="254" t="s">
        <v>418</v>
      </c>
      <c r="E3616" s="156" t="s">
        <v>28</v>
      </c>
      <c r="F3616" s="156" t="s">
        <v>28</v>
      </c>
      <c r="G3616" s="157">
        <f t="shared" si="811"/>
        <v>0</v>
      </c>
      <c r="H3616" s="158"/>
      <c r="I3616" s="159">
        <f t="shared" si="814"/>
        <v>1.356107E-2</v>
      </c>
      <c r="J3616" s="160"/>
      <c r="K3616" s="161">
        <f t="shared" si="815"/>
        <v>409</v>
      </c>
      <c r="L3616" s="250">
        <v>1</v>
      </c>
      <c r="M3616" s="163"/>
      <c r="N3616" s="164"/>
      <c r="O3616" s="165">
        <f t="shared" si="812"/>
        <v>0</v>
      </c>
      <c r="P3616" s="166"/>
      <c r="Q3616" s="166">
        <f t="shared" si="813"/>
        <v>0</v>
      </c>
      <c r="R3616" s="71"/>
    </row>
    <row r="3617" spans="1:18" s="61" customFormat="1" x14ac:dyDescent="0.25">
      <c r="A3617" s="358"/>
      <c r="B3617" s="361"/>
      <c r="C3617" s="366"/>
      <c r="D3617" s="254" t="s">
        <v>324</v>
      </c>
      <c r="E3617" s="156" t="s">
        <v>28</v>
      </c>
      <c r="F3617" s="156" t="s">
        <v>28</v>
      </c>
      <c r="G3617" s="157">
        <f t="shared" si="811"/>
        <v>0</v>
      </c>
      <c r="H3617" s="158"/>
      <c r="I3617" s="159">
        <f t="shared" si="814"/>
        <v>1.356107E-2</v>
      </c>
      <c r="J3617" s="160"/>
      <c r="K3617" s="161">
        <f t="shared" si="815"/>
        <v>409</v>
      </c>
      <c r="L3617" s="250">
        <v>1</v>
      </c>
      <c r="M3617" s="163"/>
      <c r="N3617" s="164"/>
      <c r="O3617" s="165">
        <f t="shared" si="812"/>
        <v>0</v>
      </c>
      <c r="P3617" s="166"/>
      <c r="Q3617" s="166">
        <f t="shared" si="813"/>
        <v>0</v>
      </c>
      <c r="R3617" s="71"/>
    </row>
    <row r="3618" spans="1:18" s="61" customFormat="1" x14ac:dyDescent="0.25">
      <c r="A3618" s="358"/>
      <c r="B3618" s="361"/>
      <c r="C3618" s="366"/>
      <c r="D3618" s="254" t="s">
        <v>419</v>
      </c>
      <c r="E3618" s="156" t="s">
        <v>28</v>
      </c>
      <c r="F3618" s="156" t="s">
        <v>28</v>
      </c>
      <c r="G3618" s="157">
        <f t="shared" si="811"/>
        <v>0</v>
      </c>
      <c r="H3618" s="246"/>
      <c r="I3618" s="159">
        <f t="shared" si="814"/>
        <v>1.356107E-2</v>
      </c>
      <c r="J3618" s="160"/>
      <c r="K3618" s="161">
        <f t="shared" si="815"/>
        <v>409</v>
      </c>
      <c r="L3618" s="250">
        <v>1</v>
      </c>
      <c r="M3618" s="163"/>
      <c r="N3618" s="164"/>
      <c r="O3618" s="165">
        <f t="shared" si="812"/>
        <v>0</v>
      </c>
      <c r="P3618" s="166"/>
      <c r="Q3618" s="166">
        <f t="shared" si="813"/>
        <v>0</v>
      </c>
      <c r="R3618" s="71"/>
    </row>
    <row r="3619" spans="1:18" s="61" customFormat="1" x14ac:dyDescent="0.25">
      <c r="A3619" s="358"/>
      <c r="B3619" s="361"/>
      <c r="C3619" s="366"/>
      <c r="D3619" s="254" t="s">
        <v>420</v>
      </c>
      <c r="E3619" s="156" t="s">
        <v>28</v>
      </c>
      <c r="F3619" s="156" t="s">
        <v>28</v>
      </c>
      <c r="G3619" s="157">
        <f t="shared" si="811"/>
        <v>0</v>
      </c>
      <c r="H3619" s="158"/>
      <c r="I3619" s="159">
        <f t="shared" si="814"/>
        <v>1.356107E-2</v>
      </c>
      <c r="J3619" s="160"/>
      <c r="K3619" s="161">
        <f t="shared" si="815"/>
        <v>409</v>
      </c>
      <c r="L3619" s="250">
        <v>1</v>
      </c>
      <c r="M3619" s="163"/>
      <c r="N3619" s="164"/>
      <c r="O3619" s="165">
        <f t="shared" si="812"/>
        <v>0</v>
      </c>
      <c r="P3619" s="166"/>
      <c r="Q3619" s="166">
        <f t="shared" si="813"/>
        <v>0</v>
      </c>
      <c r="R3619" s="71"/>
    </row>
    <row r="3620" spans="1:18" s="61" customFormat="1" x14ac:dyDescent="0.25">
      <c r="A3620" s="358"/>
      <c r="B3620" s="361"/>
      <c r="C3620" s="366"/>
      <c r="D3620" s="254" t="s">
        <v>421</v>
      </c>
      <c r="E3620" s="156" t="s">
        <v>28</v>
      </c>
      <c r="F3620" s="156" t="s">
        <v>28</v>
      </c>
      <c r="G3620" s="157">
        <f t="shared" si="811"/>
        <v>0</v>
      </c>
      <c r="H3620" s="158"/>
      <c r="I3620" s="159">
        <f t="shared" si="814"/>
        <v>1.356107E-2</v>
      </c>
      <c r="J3620" s="160"/>
      <c r="K3620" s="161">
        <f t="shared" si="815"/>
        <v>409</v>
      </c>
      <c r="L3620" s="250">
        <v>1</v>
      </c>
      <c r="M3620" s="163"/>
      <c r="N3620" s="164"/>
      <c r="O3620" s="165">
        <f t="shared" si="812"/>
        <v>0</v>
      </c>
      <c r="P3620" s="166"/>
      <c r="Q3620" s="166">
        <f t="shared" si="813"/>
        <v>0</v>
      </c>
      <c r="R3620" s="71"/>
    </row>
    <row r="3621" spans="1:18" s="61" customFormat="1" ht="30" x14ac:dyDescent="0.25">
      <c r="A3621" s="358"/>
      <c r="B3621" s="361"/>
      <c r="C3621" s="366"/>
      <c r="D3621" s="254" t="s">
        <v>422</v>
      </c>
      <c r="E3621" s="156" t="s">
        <v>28</v>
      </c>
      <c r="F3621" s="156" t="s">
        <v>28</v>
      </c>
      <c r="G3621" s="157">
        <f t="shared" si="811"/>
        <v>0</v>
      </c>
      <c r="H3621" s="158"/>
      <c r="I3621" s="159">
        <f t="shared" si="814"/>
        <v>1.356107E-2</v>
      </c>
      <c r="J3621" s="160"/>
      <c r="K3621" s="161">
        <f t="shared" si="815"/>
        <v>409</v>
      </c>
      <c r="L3621" s="250">
        <v>1</v>
      </c>
      <c r="M3621" s="163"/>
      <c r="N3621" s="164"/>
      <c r="O3621" s="165">
        <f t="shared" si="812"/>
        <v>0</v>
      </c>
      <c r="P3621" s="166"/>
      <c r="Q3621" s="166">
        <f t="shared" si="813"/>
        <v>0</v>
      </c>
      <c r="R3621" s="71"/>
    </row>
    <row r="3622" spans="1:18" s="61" customFormat="1" x14ac:dyDescent="0.25">
      <c r="A3622" s="358"/>
      <c r="B3622" s="361"/>
      <c r="C3622" s="366"/>
      <c r="D3622" s="254" t="s">
        <v>423</v>
      </c>
      <c r="E3622" s="156" t="s">
        <v>28</v>
      </c>
      <c r="F3622" s="156" t="s">
        <v>28</v>
      </c>
      <c r="G3622" s="157">
        <f t="shared" si="811"/>
        <v>0</v>
      </c>
      <c r="H3622" s="158"/>
      <c r="I3622" s="159">
        <f t="shared" si="814"/>
        <v>1.356107E-2</v>
      </c>
      <c r="J3622" s="160"/>
      <c r="K3622" s="161">
        <f t="shared" si="815"/>
        <v>409</v>
      </c>
      <c r="L3622" s="250">
        <v>1</v>
      </c>
      <c r="M3622" s="163"/>
      <c r="N3622" s="164"/>
      <c r="O3622" s="165">
        <f t="shared" si="812"/>
        <v>0</v>
      </c>
      <c r="P3622" s="166"/>
      <c r="Q3622" s="166">
        <f t="shared" si="813"/>
        <v>0</v>
      </c>
      <c r="R3622" s="71"/>
    </row>
    <row r="3623" spans="1:18" s="61" customFormat="1" x14ac:dyDescent="0.25">
      <c r="A3623" s="358"/>
      <c r="B3623" s="361"/>
      <c r="C3623" s="366"/>
      <c r="D3623" s="254" t="s">
        <v>424</v>
      </c>
      <c r="E3623" s="156" t="s">
        <v>28</v>
      </c>
      <c r="F3623" s="156" t="s">
        <v>28</v>
      </c>
      <c r="G3623" s="157">
        <f t="shared" si="811"/>
        <v>0</v>
      </c>
      <c r="H3623" s="158"/>
      <c r="I3623" s="159">
        <f>I3612</f>
        <v>1.356107E-2</v>
      </c>
      <c r="J3623" s="160"/>
      <c r="K3623" s="161">
        <f>K3612</f>
        <v>409</v>
      </c>
      <c r="L3623" s="250">
        <v>1</v>
      </c>
      <c r="M3623" s="163"/>
      <c r="N3623" s="164"/>
      <c r="O3623" s="165">
        <f t="shared" si="812"/>
        <v>0</v>
      </c>
      <c r="P3623" s="166"/>
      <c r="Q3623" s="166">
        <f t="shared" si="813"/>
        <v>0</v>
      </c>
      <c r="R3623" s="71"/>
    </row>
    <row r="3624" spans="1:18" s="61" customFormat="1" x14ac:dyDescent="0.25">
      <c r="A3624" s="358"/>
      <c r="B3624" s="361"/>
      <c r="C3624" s="366"/>
      <c r="D3624" s="254" t="s">
        <v>425</v>
      </c>
      <c r="E3624" s="156" t="s">
        <v>28</v>
      </c>
      <c r="F3624" s="156" t="s">
        <v>28</v>
      </c>
      <c r="G3624" s="157">
        <f t="shared" si="811"/>
        <v>0</v>
      </c>
      <c r="H3624" s="158"/>
      <c r="I3624" s="159">
        <f t="shared" ref="I3624:I3629" si="816">I3623</f>
        <v>1.356107E-2</v>
      </c>
      <c r="J3624" s="160"/>
      <c r="K3624" s="161">
        <f t="shared" ref="K3624:K3629" si="817">K3623</f>
        <v>409</v>
      </c>
      <c r="L3624" s="250">
        <v>1</v>
      </c>
      <c r="M3624" s="163"/>
      <c r="N3624" s="164"/>
      <c r="O3624" s="165">
        <f t="shared" si="812"/>
        <v>0</v>
      </c>
      <c r="P3624" s="166"/>
      <c r="Q3624" s="166">
        <f t="shared" si="813"/>
        <v>0</v>
      </c>
      <c r="R3624" s="71"/>
    </row>
    <row r="3625" spans="1:18" s="61" customFormat="1" x14ac:dyDescent="0.25">
      <c r="A3625" s="358"/>
      <c r="B3625" s="361"/>
      <c r="C3625" s="366"/>
      <c r="D3625" s="254" t="s">
        <v>108</v>
      </c>
      <c r="E3625" s="156" t="s">
        <v>28</v>
      </c>
      <c r="F3625" s="156" t="s">
        <v>28</v>
      </c>
      <c r="G3625" s="157">
        <f t="shared" si="811"/>
        <v>0</v>
      </c>
      <c r="H3625" s="158"/>
      <c r="I3625" s="159">
        <f t="shared" si="816"/>
        <v>1.356107E-2</v>
      </c>
      <c r="J3625" s="160"/>
      <c r="K3625" s="161">
        <f t="shared" si="817"/>
        <v>409</v>
      </c>
      <c r="L3625" s="250">
        <v>1</v>
      </c>
      <c r="M3625" s="163"/>
      <c r="N3625" s="164"/>
      <c r="O3625" s="165">
        <f t="shared" si="812"/>
        <v>0</v>
      </c>
      <c r="P3625" s="166"/>
      <c r="Q3625" s="166">
        <f t="shared" si="813"/>
        <v>0</v>
      </c>
      <c r="R3625" s="71"/>
    </row>
    <row r="3626" spans="1:18" s="61" customFormat="1" x14ac:dyDescent="0.25">
      <c r="A3626" s="358"/>
      <c r="B3626" s="361"/>
      <c r="C3626" s="366"/>
      <c r="D3626" s="254" t="s">
        <v>426</v>
      </c>
      <c r="E3626" s="156" t="s">
        <v>28</v>
      </c>
      <c r="F3626" s="156" t="s">
        <v>28</v>
      </c>
      <c r="G3626" s="157">
        <f t="shared" si="811"/>
        <v>0</v>
      </c>
      <c r="H3626" s="158"/>
      <c r="I3626" s="159">
        <f t="shared" si="816"/>
        <v>1.356107E-2</v>
      </c>
      <c r="J3626" s="160"/>
      <c r="K3626" s="161">
        <f t="shared" si="817"/>
        <v>409</v>
      </c>
      <c r="L3626" s="250">
        <v>1</v>
      </c>
      <c r="M3626" s="163"/>
      <c r="N3626" s="164"/>
      <c r="O3626" s="165">
        <f t="shared" si="812"/>
        <v>0</v>
      </c>
      <c r="P3626" s="166"/>
      <c r="Q3626" s="166">
        <f t="shared" si="813"/>
        <v>0</v>
      </c>
      <c r="R3626" s="71"/>
    </row>
    <row r="3627" spans="1:18" s="61" customFormat="1" x14ac:dyDescent="0.25">
      <c r="A3627" s="358"/>
      <c r="B3627" s="361"/>
      <c r="C3627" s="366"/>
      <c r="D3627" s="254" t="s">
        <v>427</v>
      </c>
      <c r="E3627" s="156" t="s">
        <v>28</v>
      </c>
      <c r="F3627" s="156" t="s">
        <v>28</v>
      </c>
      <c r="G3627" s="157">
        <f t="shared" si="811"/>
        <v>0</v>
      </c>
      <c r="H3627" s="158"/>
      <c r="I3627" s="159">
        <f t="shared" si="816"/>
        <v>1.356107E-2</v>
      </c>
      <c r="J3627" s="160"/>
      <c r="K3627" s="161">
        <f t="shared" si="817"/>
        <v>409</v>
      </c>
      <c r="L3627" s="250">
        <v>1</v>
      </c>
      <c r="M3627" s="163"/>
      <c r="N3627" s="164"/>
      <c r="O3627" s="165">
        <f t="shared" si="812"/>
        <v>0</v>
      </c>
      <c r="P3627" s="166"/>
      <c r="Q3627" s="166">
        <f t="shared" si="813"/>
        <v>0</v>
      </c>
      <c r="R3627" s="71"/>
    </row>
    <row r="3628" spans="1:18" s="61" customFormat="1" x14ac:dyDescent="0.25">
      <c r="A3628" s="358"/>
      <c r="B3628" s="361"/>
      <c r="C3628" s="366"/>
      <c r="D3628" s="254" t="s">
        <v>428</v>
      </c>
      <c r="E3628" s="156" t="s">
        <v>28</v>
      </c>
      <c r="F3628" s="156" t="s">
        <v>28</v>
      </c>
      <c r="G3628" s="157">
        <f t="shared" si="811"/>
        <v>0</v>
      </c>
      <c r="H3628" s="158"/>
      <c r="I3628" s="159">
        <f t="shared" si="816"/>
        <v>1.356107E-2</v>
      </c>
      <c r="J3628" s="160"/>
      <c r="K3628" s="161">
        <f t="shared" si="817"/>
        <v>409</v>
      </c>
      <c r="L3628" s="250">
        <v>1</v>
      </c>
      <c r="M3628" s="163"/>
      <c r="N3628" s="164"/>
      <c r="O3628" s="165">
        <f t="shared" si="812"/>
        <v>0</v>
      </c>
      <c r="P3628" s="166"/>
      <c r="Q3628" s="166">
        <f t="shared" si="813"/>
        <v>0</v>
      </c>
      <c r="R3628" s="71"/>
    </row>
    <row r="3629" spans="1:18" s="61" customFormat="1" x14ac:dyDescent="0.25">
      <c r="A3629" s="358"/>
      <c r="B3629" s="361"/>
      <c r="C3629" s="366"/>
      <c r="D3629" s="255" t="s">
        <v>429</v>
      </c>
      <c r="E3629" s="156" t="s">
        <v>28</v>
      </c>
      <c r="F3629" s="156" t="s">
        <v>28</v>
      </c>
      <c r="G3629" s="157">
        <f t="shared" si="811"/>
        <v>0</v>
      </c>
      <c r="H3629" s="158"/>
      <c r="I3629" s="159">
        <f t="shared" si="816"/>
        <v>1.356107E-2</v>
      </c>
      <c r="J3629" s="160"/>
      <c r="K3629" s="161">
        <f t="shared" si="817"/>
        <v>409</v>
      </c>
      <c r="L3629" s="250">
        <v>1</v>
      </c>
      <c r="M3629" s="163"/>
      <c r="N3629" s="164"/>
      <c r="O3629" s="165">
        <f t="shared" si="812"/>
        <v>0</v>
      </c>
      <c r="P3629" s="166"/>
      <c r="Q3629" s="166">
        <f t="shared" si="813"/>
        <v>0</v>
      </c>
      <c r="R3629" s="71"/>
    </row>
    <row r="3630" spans="1:18" s="61" customFormat="1" x14ac:dyDescent="0.25">
      <c r="A3630" s="358"/>
      <c r="B3630" s="361"/>
      <c r="C3630" s="249" t="s">
        <v>299</v>
      </c>
      <c r="D3630" s="256"/>
      <c r="E3630" s="240"/>
      <c r="F3630" s="240"/>
      <c r="G3630" s="227"/>
      <c r="H3630" s="241"/>
      <c r="I3630" s="206"/>
      <c r="J3630" s="228"/>
      <c r="K3630" s="207"/>
      <c r="L3630" s="257"/>
      <c r="M3630" s="209"/>
      <c r="N3630" s="210"/>
      <c r="O3630" s="198">
        <f>SUM(O3606:O3629)</f>
        <v>0</v>
      </c>
      <c r="P3630" s="166"/>
      <c r="Q3630" s="166"/>
      <c r="R3630" s="71"/>
    </row>
    <row r="3631" spans="1:18" s="61" customFormat="1" ht="110.25" x14ac:dyDescent="0.25">
      <c r="A3631" s="358"/>
      <c r="B3631" s="361"/>
      <c r="C3631" s="221" t="s">
        <v>82</v>
      </c>
      <c r="D3631" s="156" t="s">
        <v>46</v>
      </c>
      <c r="E3631" s="156" t="s">
        <v>54</v>
      </c>
      <c r="F3631" s="156" t="s">
        <v>285</v>
      </c>
      <c r="G3631" s="238">
        <f>MROUND(H3631*L3631*I3631/K3631,0.000001)</f>
        <v>0.375002</v>
      </c>
      <c r="H3631" s="242">
        <f>H3511</f>
        <v>1028.181818181818</v>
      </c>
      <c r="I3631" s="159">
        <f>I3629</f>
        <v>1.356107E-2</v>
      </c>
      <c r="J3631" s="160"/>
      <c r="K3631" s="161">
        <f>K3629</f>
        <v>409</v>
      </c>
      <c r="L3631" s="225">
        <f>L3511</f>
        <v>11</v>
      </c>
      <c r="M3631" s="163" t="str">
        <f>CONCATENATE(H3631," ",F3631,"*",L3631,"автобуса","*",I3631,"/",K3631,"чел.")</f>
        <v>1028,18181818182 л бензина АИ 92 (12,5л/день(зимой)*20дней*7мес+10л/день(летом)*20дней*4мес)*11автобуса*0,01356107/409чел.</v>
      </c>
      <c r="N3631" s="164">
        <f>N3511</f>
        <v>57.007000000000005</v>
      </c>
      <c r="O3631" s="165">
        <f>MROUND(G3631*N3631,0.000001)</f>
        <v>21.377738999999998</v>
      </c>
      <c r="P3631" s="166"/>
      <c r="Q3631" s="166">
        <f t="shared" ref="Q3631" si="818">O3631*K3631</f>
        <v>8743.4952509999985</v>
      </c>
      <c r="R3631" s="71"/>
    </row>
    <row r="3632" spans="1:18" s="61" customFormat="1" x14ac:dyDescent="0.25">
      <c r="A3632" s="358"/>
      <c r="B3632" s="361"/>
      <c r="C3632" s="218" t="s">
        <v>309</v>
      </c>
      <c r="D3632" s="240"/>
      <c r="E3632" s="240"/>
      <c r="F3632" s="240"/>
      <c r="G3632" s="227"/>
      <c r="H3632" s="241"/>
      <c r="I3632" s="206"/>
      <c r="J3632" s="228"/>
      <c r="K3632" s="207"/>
      <c r="L3632" s="257"/>
      <c r="M3632" s="209"/>
      <c r="N3632" s="210"/>
      <c r="O3632" s="198">
        <f>SUM(O3631)</f>
        <v>21.377738999999998</v>
      </c>
      <c r="P3632" s="166"/>
      <c r="Q3632" s="166"/>
      <c r="R3632" s="71"/>
    </row>
    <row r="3633" spans="1:19" s="61" customFormat="1" ht="47.25" x14ac:dyDescent="0.25">
      <c r="A3633" s="358"/>
      <c r="B3633" s="361"/>
      <c r="C3633" s="221" t="s">
        <v>434</v>
      </c>
      <c r="D3633" s="156" t="s">
        <v>436</v>
      </c>
      <c r="E3633" s="156" t="s">
        <v>28</v>
      </c>
      <c r="F3633" s="156" t="s">
        <v>437</v>
      </c>
      <c r="G3633" s="157">
        <f>MROUND(H3633*L3633*I3633/K3633,0.000001)</f>
        <v>9.6150000000000003E-3</v>
      </c>
      <c r="H3633" s="242">
        <f>$H$125</f>
        <v>290</v>
      </c>
      <c r="I3633" s="159">
        <f>I3631</f>
        <v>1.356107E-2</v>
      </c>
      <c r="J3633" s="160"/>
      <c r="K3633" s="161">
        <f>K3631</f>
        <v>409</v>
      </c>
      <c r="L3633" s="162">
        <v>1</v>
      </c>
      <c r="M3633" s="163" t="str">
        <f>CONCATENATE(H3633," ",F3633,"*",I3633,"/",K3633,"чел.")</f>
        <v>290 огнетушителей (потребность учреждений) *0,01356107/409чел.</v>
      </c>
      <c r="N3633" s="164">
        <f>$N$125</f>
        <v>2000</v>
      </c>
      <c r="O3633" s="165">
        <f>MROUND(G3633*N3633,0.000001)</f>
        <v>19.23</v>
      </c>
      <c r="P3633" s="166"/>
      <c r="Q3633" s="166">
        <f t="shared" ref="Q3633" si="819">O3633*K3633</f>
        <v>7865.0700000000006</v>
      </c>
      <c r="R3633" s="71"/>
    </row>
    <row r="3634" spans="1:19" s="61" customFormat="1" x14ac:dyDescent="0.25">
      <c r="A3634" s="358"/>
      <c r="B3634" s="361"/>
      <c r="C3634" s="218" t="s">
        <v>435</v>
      </c>
      <c r="D3634" s="240"/>
      <c r="E3634" s="240"/>
      <c r="F3634" s="240"/>
      <c r="G3634" s="251"/>
      <c r="H3634" s="241"/>
      <c r="I3634" s="206"/>
      <c r="J3634" s="228"/>
      <c r="K3634" s="207"/>
      <c r="L3634" s="229"/>
      <c r="M3634" s="209"/>
      <c r="N3634" s="210"/>
      <c r="O3634" s="198">
        <f>SUM(O3633)</f>
        <v>19.23</v>
      </c>
      <c r="P3634" s="166"/>
      <c r="Q3634" s="166"/>
      <c r="R3634" s="71"/>
    </row>
    <row r="3635" spans="1:19" s="61" customFormat="1" ht="47.25" x14ac:dyDescent="0.25">
      <c r="A3635" s="358"/>
      <c r="B3635" s="361"/>
      <c r="C3635" s="364" t="s">
        <v>118</v>
      </c>
      <c r="D3635" s="156" t="s">
        <v>47</v>
      </c>
      <c r="E3635" s="156" t="s">
        <v>28</v>
      </c>
      <c r="F3635" s="156" t="s">
        <v>239</v>
      </c>
      <c r="G3635" s="266">
        <f>MROUND(H3635*L3635*I3635/K3635,0.00000001)</f>
        <v>4.7745599999999997E-3</v>
      </c>
      <c r="H3635" s="158">
        <f>H3515</f>
        <v>144</v>
      </c>
      <c r="I3635" s="159">
        <f>I3631</f>
        <v>1.356107E-2</v>
      </c>
      <c r="J3635" s="160"/>
      <c r="K3635" s="161">
        <f>K3631</f>
        <v>409</v>
      </c>
      <c r="L3635" s="250">
        <v>1</v>
      </c>
      <c r="M3635" s="163" t="str">
        <f>CONCATENATE(H3635," ",F3635,"*",I3635,"/",K3635,"чел.")</f>
        <v>144 манометров (потребность учреждений) *0,01356107/409чел.</v>
      </c>
      <c r="N3635" s="164">
        <f>N3515</f>
        <v>720.50416666666672</v>
      </c>
      <c r="O3635" s="165">
        <f>MROUND(G3635*N3635,0.000001)</f>
        <v>3.4400899999999996</v>
      </c>
      <c r="P3635" s="166"/>
      <c r="Q3635" s="166">
        <f t="shared" ref="Q3635:Q3636" si="820">O3635*K3635</f>
        <v>1406.9968099999999</v>
      </c>
      <c r="R3635" s="71"/>
    </row>
    <row r="3636" spans="1:19" s="61" customFormat="1" ht="47.25" x14ac:dyDescent="0.25">
      <c r="A3636" s="358"/>
      <c r="B3636" s="361"/>
      <c r="C3636" s="364"/>
      <c r="D3636" s="255" t="s">
        <v>113</v>
      </c>
      <c r="E3636" s="156" t="s">
        <v>28</v>
      </c>
      <c r="F3636" s="156" t="s">
        <v>240</v>
      </c>
      <c r="G3636" s="266">
        <f>MROUND(H3636*L3636*I3636/K3636,0.00000001)</f>
        <v>0.18949025999999999</v>
      </c>
      <c r="H3636" s="158">
        <f>H3516</f>
        <v>5715</v>
      </c>
      <c r="I3636" s="159">
        <f>I3635</f>
        <v>1.356107E-2</v>
      </c>
      <c r="J3636" s="160"/>
      <c r="K3636" s="161">
        <f>K3635</f>
        <v>409</v>
      </c>
      <c r="L3636" s="250">
        <v>1</v>
      </c>
      <c r="M3636" s="163" t="str">
        <f>CONCATENATE(H3636," ",F3636,"*",I3636,"/",K3636,"чел.")</f>
        <v>5715 светильников (потребность учреждений)*0,01356107/409чел.</v>
      </c>
      <c r="N3636" s="164">
        <f>N3516</f>
        <v>111.16365879265086</v>
      </c>
      <c r="O3636" s="165">
        <f>MROUND(G3636*N3636,0.000001)</f>
        <v>21.064430999999999</v>
      </c>
      <c r="P3636" s="166"/>
      <c r="Q3636" s="166">
        <f t="shared" si="820"/>
        <v>8615.3522789999988</v>
      </c>
      <c r="R3636" s="71"/>
    </row>
    <row r="3637" spans="1:19" s="61" customFormat="1" x14ac:dyDescent="0.25">
      <c r="A3637" s="359"/>
      <c r="B3637" s="362"/>
      <c r="C3637" s="218" t="s">
        <v>310</v>
      </c>
      <c r="D3637" s="256"/>
      <c r="E3637" s="240"/>
      <c r="F3637" s="240"/>
      <c r="G3637" s="227"/>
      <c r="H3637" s="241"/>
      <c r="I3637" s="206"/>
      <c r="J3637" s="228"/>
      <c r="K3637" s="207"/>
      <c r="L3637" s="257"/>
      <c r="M3637" s="209"/>
      <c r="N3637" s="210"/>
      <c r="O3637" s="198">
        <f>SUM(O3635:O3636)</f>
        <v>24.504520999999997</v>
      </c>
      <c r="P3637" s="166"/>
      <c r="Q3637" s="166"/>
      <c r="R3637" s="71"/>
    </row>
    <row r="3638" spans="1:19" s="61" customFormat="1" x14ac:dyDescent="0.25">
      <c r="A3638" s="357" t="str">
        <f>CONCATENATE(школы!$B$8,", ",школы!$C$8,", ",школы!$D$8)</f>
        <v>Реализация основных общеобразовательных программ начального общего образования, , дети-инвалиды</v>
      </c>
      <c r="B3638" s="360" t="str">
        <f>школы!$A$8</f>
        <v>801012О.99.0.БА81АЩ48001</v>
      </c>
      <c r="C3638" s="194"/>
      <c r="D3638" s="363" t="s">
        <v>15</v>
      </c>
      <c r="E3638" s="363"/>
      <c r="F3638" s="363"/>
      <c r="G3638" s="363"/>
      <c r="H3638" s="195"/>
      <c r="I3638" s="195"/>
      <c r="J3638" s="195"/>
      <c r="K3638" s="195"/>
      <c r="L3638" s="196"/>
      <c r="M3638" s="197"/>
      <c r="N3638" s="164"/>
      <c r="O3638" s="198">
        <f>O3639+O3644+O3646</f>
        <v>6152.2921376370005</v>
      </c>
      <c r="P3638" s="166"/>
      <c r="Q3638" s="166"/>
      <c r="R3638" s="71"/>
    </row>
    <row r="3639" spans="1:19" s="61" customFormat="1" x14ac:dyDescent="0.25">
      <c r="A3639" s="358"/>
      <c r="B3639" s="361"/>
      <c r="C3639" s="194"/>
      <c r="D3639" s="350" t="s">
        <v>62</v>
      </c>
      <c r="E3639" s="350"/>
      <c r="F3639" s="350"/>
      <c r="G3639" s="350"/>
      <c r="H3639" s="195"/>
      <c r="I3639" s="195"/>
      <c r="J3639" s="195"/>
      <c r="K3639" s="195"/>
      <c r="L3639" s="196"/>
      <c r="M3639" s="197"/>
      <c r="N3639" s="164"/>
      <c r="O3639" s="165">
        <f>O3641+O3643</f>
        <v>6152.2921376370005</v>
      </c>
      <c r="P3639" s="166"/>
      <c r="Q3639" s="166"/>
      <c r="R3639" s="71"/>
    </row>
    <row r="3640" spans="1:19" s="61" customFormat="1" x14ac:dyDescent="0.25">
      <c r="A3640" s="358"/>
      <c r="B3640" s="361"/>
      <c r="C3640" s="194">
        <v>211</v>
      </c>
      <c r="D3640" s="194" t="s">
        <v>86</v>
      </c>
      <c r="E3640" s="199" t="s">
        <v>95</v>
      </c>
      <c r="F3640" s="199" t="s">
        <v>95</v>
      </c>
      <c r="G3640" s="275">
        <f>MROUND(H3640*L3640*I3640/K3640,0.0000000001)</f>
        <v>0.36676512560000002</v>
      </c>
      <c r="H3640" s="201">
        <f>H3400</f>
        <v>921.8</v>
      </c>
      <c r="I3640" s="159">
        <f>школы!$K$8</f>
        <v>1.85677E-3</v>
      </c>
      <c r="J3640" s="159"/>
      <c r="K3640" s="161">
        <f>школы!$G$8</f>
        <v>56</v>
      </c>
      <c r="L3640" s="202">
        <v>12</v>
      </c>
      <c r="M3640" s="163" t="str">
        <f>CONCATENATE(H3640," ",F3640," ","в мес.","*",L3640,"мес.","*",I3640,"/",K3640,"чел.")</f>
        <v>921,8 шт.ед в мес.*12мес.*0,00185677/56чел.</v>
      </c>
      <c r="N3640" s="164">
        <f>N3400</f>
        <v>12883.620739314385</v>
      </c>
      <c r="O3640" s="165">
        <f>MROUND(G3640*N3640,0.000000001)</f>
        <v>4725.2627786370003</v>
      </c>
      <c r="P3640" s="166"/>
      <c r="Q3640" s="166">
        <f t="shared" ref="Q3640" si="821">O3640*K3640</f>
        <v>264614.71560367203</v>
      </c>
      <c r="R3640" s="71"/>
      <c r="S3640" s="121"/>
    </row>
    <row r="3641" spans="1:19" s="61" customFormat="1" x14ac:dyDescent="0.25">
      <c r="A3641" s="358"/>
      <c r="B3641" s="361"/>
      <c r="C3641" s="203" t="s">
        <v>288</v>
      </c>
      <c r="D3641" s="203"/>
      <c r="E3641" s="204"/>
      <c r="F3641" s="204"/>
      <c r="G3641" s="205"/>
      <c r="H3641" s="206"/>
      <c r="I3641" s="206"/>
      <c r="J3641" s="206"/>
      <c r="K3641" s="207"/>
      <c r="L3641" s="208"/>
      <c r="M3641" s="209"/>
      <c r="N3641" s="210">
        <f>N3640</f>
        <v>12883.620739314385</v>
      </c>
      <c r="O3641" s="198">
        <f>O3640</f>
        <v>4725.2627786370003</v>
      </c>
      <c r="P3641" s="166"/>
      <c r="Q3641" s="166"/>
      <c r="R3641" s="71"/>
    </row>
    <row r="3642" spans="1:19" s="61" customFormat="1" x14ac:dyDescent="0.25">
      <c r="A3642" s="358"/>
      <c r="B3642" s="361"/>
      <c r="C3642" s="194">
        <v>213</v>
      </c>
      <c r="D3642" s="194" t="s">
        <v>87</v>
      </c>
      <c r="E3642" s="194" t="s">
        <v>88</v>
      </c>
      <c r="F3642" s="194"/>
      <c r="G3642" s="211">
        <v>30.2</v>
      </c>
      <c r="H3642" s="159"/>
      <c r="I3642" s="159"/>
      <c r="J3642" s="159"/>
      <c r="K3642" s="161">
        <f>K3640</f>
        <v>56</v>
      </c>
      <c r="L3642" s="202"/>
      <c r="M3642" s="212"/>
      <c r="N3642" s="164"/>
      <c r="O3642" s="165">
        <f>MROUND(O3640*0.302,0.000001)</f>
        <v>1427.0293589999999</v>
      </c>
      <c r="P3642" s="166"/>
      <c r="Q3642" s="166">
        <f>O3642*K3642</f>
        <v>79913.644103999992</v>
      </c>
      <c r="R3642" s="71"/>
    </row>
    <row r="3643" spans="1:19" s="61" customFormat="1" x14ac:dyDescent="0.25">
      <c r="A3643" s="358"/>
      <c r="B3643" s="361"/>
      <c r="C3643" s="203" t="s">
        <v>289</v>
      </c>
      <c r="D3643" s="203"/>
      <c r="E3643" s="203"/>
      <c r="F3643" s="203"/>
      <c r="G3643" s="213"/>
      <c r="H3643" s="214"/>
      <c r="I3643" s="206"/>
      <c r="J3643" s="214"/>
      <c r="K3643" s="207"/>
      <c r="L3643" s="215"/>
      <c r="M3643" s="216"/>
      <c r="N3643" s="210"/>
      <c r="O3643" s="198">
        <f>O3642</f>
        <v>1427.0293589999999</v>
      </c>
      <c r="P3643" s="166"/>
      <c r="Q3643" s="166"/>
      <c r="R3643" s="71"/>
    </row>
    <row r="3644" spans="1:19" s="61" customFormat="1" x14ac:dyDescent="0.25">
      <c r="A3644" s="358"/>
      <c r="B3644" s="361"/>
      <c r="C3644" s="194"/>
      <c r="D3644" s="356" t="s">
        <v>63</v>
      </c>
      <c r="E3644" s="356"/>
      <c r="F3644" s="356"/>
      <c r="G3644" s="356"/>
      <c r="H3644" s="195"/>
      <c r="I3644" s="159"/>
      <c r="J3644" s="195"/>
      <c r="K3644" s="161"/>
      <c r="L3644" s="196"/>
      <c r="M3644" s="197"/>
      <c r="N3644" s="164"/>
      <c r="O3644" s="165"/>
      <c r="P3644" s="166"/>
      <c r="Q3644" s="166"/>
      <c r="R3644" s="71"/>
    </row>
    <row r="3645" spans="1:19" s="61" customFormat="1" x14ac:dyDescent="0.25">
      <c r="A3645" s="358"/>
      <c r="B3645" s="361"/>
      <c r="C3645" s="194"/>
      <c r="D3645" s="194"/>
      <c r="E3645" s="194"/>
      <c r="F3645" s="194"/>
      <c r="G3645" s="217"/>
      <c r="H3645" s="195"/>
      <c r="I3645" s="159"/>
      <c r="J3645" s="195"/>
      <c r="K3645" s="161"/>
      <c r="L3645" s="196"/>
      <c r="M3645" s="197"/>
      <c r="N3645" s="164"/>
      <c r="O3645" s="165"/>
      <c r="P3645" s="166"/>
      <c r="Q3645" s="166"/>
      <c r="R3645" s="71"/>
    </row>
    <row r="3646" spans="1:19" s="61" customFormat="1" x14ac:dyDescent="0.25">
      <c r="A3646" s="358"/>
      <c r="B3646" s="361"/>
      <c r="C3646" s="194"/>
      <c r="D3646" s="350" t="s">
        <v>64</v>
      </c>
      <c r="E3646" s="350"/>
      <c r="F3646" s="350"/>
      <c r="G3646" s="350"/>
      <c r="H3646" s="195"/>
      <c r="I3646" s="159"/>
      <c r="J3646" s="195"/>
      <c r="K3646" s="161"/>
      <c r="L3646" s="196"/>
      <c r="M3646" s="197"/>
      <c r="N3646" s="164"/>
      <c r="O3646" s="165"/>
      <c r="P3646" s="166"/>
      <c r="Q3646" s="166"/>
      <c r="R3646" s="71"/>
    </row>
    <row r="3647" spans="1:19" s="61" customFormat="1" x14ac:dyDescent="0.25">
      <c r="A3647" s="358"/>
      <c r="B3647" s="361"/>
      <c r="C3647" s="194"/>
      <c r="D3647" s="194"/>
      <c r="E3647" s="194"/>
      <c r="F3647" s="194"/>
      <c r="G3647" s="217"/>
      <c r="H3647" s="195"/>
      <c r="I3647" s="159"/>
      <c r="J3647" s="195"/>
      <c r="K3647" s="161"/>
      <c r="L3647" s="196"/>
      <c r="M3647" s="197"/>
      <c r="N3647" s="164"/>
      <c r="O3647" s="165"/>
      <c r="P3647" s="166"/>
      <c r="Q3647" s="166"/>
      <c r="R3647" s="71"/>
    </row>
    <row r="3648" spans="1:19" s="61" customFormat="1" x14ac:dyDescent="0.25">
      <c r="A3648" s="358"/>
      <c r="B3648" s="361"/>
      <c r="C3648" s="194"/>
      <c r="D3648" s="355" t="s">
        <v>5</v>
      </c>
      <c r="E3648" s="355"/>
      <c r="F3648" s="355"/>
      <c r="G3648" s="355"/>
      <c r="H3648" s="195"/>
      <c r="I3648" s="159"/>
      <c r="J3648" s="195"/>
      <c r="K3648" s="161"/>
      <c r="L3648" s="196"/>
      <c r="M3648" s="197"/>
      <c r="N3648" s="164"/>
      <c r="O3648" s="198">
        <f>O3649+O3659+O3670+O3672+O3674+O3676+O3678</f>
        <v>13062.344668376427</v>
      </c>
      <c r="P3648" s="166"/>
      <c r="Q3648" s="166"/>
      <c r="R3648" s="71"/>
    </row>
    <row r="3649" spans="1:18" s="61" customFormat="1" x14ac:dyDescent="0.25">
      <c r="A3649" s="358"/>
      <c r="B3649" s="361"/>
      <c r="C3649" s="218" t="s">
        <v>70</v>
      </c>
      <c r="D3649" s="355" t="s">
        <v>6</v>
      </c>
      <c r="E3649" s="355"/>
      <c r="F3649" s="355"/>
      <c r="G3649" s="355"/>
      <c r="H3649" s="189"/>
      <c r="I3649" s="159"/>
      <c r="J3649" s="189"/>
      <c r="K3649" s="161"/>
      <c r="L3649" s="190"/>
      <c r="M3649" s="197"/>
      <c r="N3649" s="210"/>
      <c r="O3649" s="198">
        <f>O3658</f>
        <v>5999.9549171999997</v>
      </c>
      <c r="P3649" s="166"/>
      <c r="Q3649" s="166"/>
      <c r="R3649" s="71"/>
    </row>
    <row r="3650" spans="1:18" s="61" customFormat="1" ht="31.5" x14ac:dyDescent="0.25">
      <c r="A3650" s="358"/>
      <c r="B3650" s="361"/>
      <c r="C3650" s="221" t="s">
        <v>72</v>
      </c>
      <c r="D3650" s="222" t="s">
        <v>7</v>
      </c>
      <c r="E3650" s="223" t="s">
        <v>8</v>
      </c>
      <c r="F3650" s="223" t="s">
        <v>8</v>
      </c>
      <c r="G3650" s="238">
        <f>MROUND(H3650*L3650*I3650/K3650,0.00000000001)</f>
        <v>109.85186555281</v>
      </c>
      <c r="H3650" s="160">
        <f t="shared" ref="H3650:H3657" si="822">H3410</f>
        <v>3313121.4264326878</v>
      </c>
      <c r="I3650" s="159">
        <f>I3640</f>
        <v>1.85677E-3</v>
      </c>
      <c r="J3650" s="160"/>
      <c r="K3650" s="161">
        <f>K3640</f>
        <v>56</v>
      </c>
      <c r="L3650" s="250">
        <v>1</v>
      </c>
      <c r="M3650" s="163" t="str">
        <f>CONCATENATE(H3650," ",F3650,"(лимиты выделенные УЖКХ) ","*",I3650,"/",K3650,"чел.")</f>
        <v>3313121,42643269 кВт час.(лимиты выделенные УЖКХ) *0,00185677/56чел.</v>
      </c>
      <c r="N3650" s="164">
        <f t="shared" ref="N3650:N3657" si="823">N3410</f>
        <v>10.897694685122204</v>
      </c>
      <c r="O3650" s="165">
        <f t="shared" ref="O3650:O3653" si="824">MROUND(G3650*N3650,0.000001)</f>
        <v>1197.1320909999999</v>
      </c>
      <c r="P3650" s="166"/>
      <c r="Q3650" s="166">
        <f t="shared" ref="Q3650:Q3657" si="825">O3650*K3650</f>
        <v>67039.397096000001</v>
      </c>
      <c r="R3650" s="71"/>
    </row>
    <row r="3651" spans="1:18" s="61" customFormat="1" ht="31.5" x14ac:dyDescent="0.25">
      <c r="A3651" s="358"/>
      <c r="B3651" s="361"/>
      <c r="C3651" s="221" t="s">
        <v>73</v>
      </c>
      <c r="D3651" s="222" t="s">
        <v>9</v>
      </c>
      <c r="E3651" s="223" t="s">
        <v>10</v>
      </c>
      <c r="F3651" s="223" t="s">
        <v>10</v>
      </c>
      <c r="G3651" s="238">
        <f>MROUND(H3651*L3651*I3651/K3651,0.00000000001)</f>
        <v>1.0576092291099999</v>
      </c>
      <c r="H3651" s="160">
        <f t="shared" si="822"/>
        <v>31897.39</v>
      </c>
      <c r="I3651" s="159">
        <f t="shared" ref="I3651:I3714" si="826">I3650</f>
        <v>1.85677E-3</v>
      </c>
      <c r="J3651" s="160"/>
      <c r="K3651" s="161">
        <f t="shared" ref="K3651:K3657" si="827">K3650</f>
        <v>56</v>
      </c>
      <c r="L3651" s="250">
        <v>1</v>
      </c>
      <c r="M3651" s="163" t="str">
        <f>CONCATENATE(H3651," ",F3651,"(лимиты выделенные УЖКХ) ","*",I3651,"/",K3651,"чел.")</f>
        <v>31897,39 Гкал(лимиты выделенные УЖКХ) *0,00185677/56чел.</v>
      </c>
      <c r="N3651" s="164">
        <f t="shared" si="823"/>
        <v>2976.2517908205036</v>
      </c>
      <c r="O3651" s="165">
        <f t="shared" si="824"/>
        <v>3147.711362</v>
      </c>
      <c r="P3651" s="166"/>
      <c r="Q3651" s="166">
        <f t="shared" si="825"/>
        <v>176271.83627199999</v>
      </c>
      <c r="R3651" s="71"/>
    </row>
    <row r="3652" spans="1:18" s="61" customFormat="1" ht="31.5" x14ac:dyDescent="0.25">
      <c r="A3652" s="358"/>
      <c r="B3652" s="361"/>
      <c r="C3652" s="364" t="s">
        <v>74</v>
      </c>
      <c r="D3652" s="222" t="s">
        <v>12</v>
      </c>
      <c r="E3652" s="222" t="s">
        <v>11</v>
      </c>
      <c r="F3652" s="222" t="s">
        <v>11</v>
      </c>
      <c r="G3652" s="238">
        <f>MROUND(H3652*L3652*I3652/K3652,0.00000000001)</f>
        <v>6.1248598910899998</v>
      </c>
      <c r="H3652" s="224">
        <f t="shared" si="822"/>
        <v>184725.17</v>
      </c>
      <c r="I3652" s="159">
        <f t="shared" si="826"/>
        <v>1.85677E-3</v>
      </c>
      <c r="J3652" s="160"/>
      <c r="K3652" s="161">
        <f t="shared" si="827"/>
        <v>56</v>
      </c>
      <c r="L3652" s="250">
        <v>1</v>
      </c>
      <c r="M3652" s="163" t="str">
        <f>CONCATENATE(H3652," ",F3652,"(лимиты выделенные УЖКХ) ","*",I3652,"/",K3652,"чел.")</f>
        <v>184725,17 м3(лимиты выделенные УЖКХ) *0,00185677/56чел.</v>
      </c>
      <c r="N3652" s="164">
        <f t="shared" si="823"/>
        <v>54.214180016724306</v>
      </c>
      <c r="O3652" s="165">
        <f t="shared" si="824"/>
        <v>332.05425700000001</v>
      </c>
      <c r="P3652" s="166"/>
      <c r="Q3652" s="166">
        <f t="shared" si="825"/>
        <v>18595.038392000002</v>
      </c>
      <c r="R3652" s="71"/>
    </row>
    <row r="3653" spans="1:18" s="61" customFormat="1" ht="47.25" x14ac:dyDescent="0.25">
      <c r="A3653" s="358"/>
      <c r="B3653" s="361"/>
      <c r="C3653" s="364"/>
      <c r="D3653" s="222" t="s">
        <v>17</v>
      </c>
      <c r="E3653" s="222" t="s">
        <v>11</v>
      </c>
      <c r="F3653" s="222" t="s">
        <v>11</v>
      </c>
      <c r="G3653" s="238">
        <f>MROUND(H3653*L3653*I3653/K3653,0.00000000001)</f>
        <v>6.1248598910899998</v>
      </c>
      <c r="H3653" s="160">
        <f t="shared" si="822"/>
        <v>184725.17</v>
      </c>
      <c r="I3653" s="159">
        <f t="shared" si="826"/>
        <v>1.85677E-3</v>
      </c>
      <c r="J3653" s="160"/>
      <c r="K3653" s="161">
        <f t="shared" si="827"/>
        <v>56</v>
      </c>
      <c r="L3653" s="162">
        <f>$L$25</f>
        <v>1</v>
      </c>
      <c r="M3653" s="181" t="s">
        <v>119</v>
      </c>
      <c r="N3653" s="164">
        <f t="shared" si="823"/>
        <v>82.384170780821918</v>
      </c>
      <c r="O3653" s="165">
        <f t="shared" si="824"/>
        <v>504.59150299999999</v>
      </c>
      <c r="P3653" s="166"/>
      <c r="Q3653" s="166">
        <f t="shared" si="825"/>
        <v>28257.124167999998</v>
      </c>
      <c r="R3653" s="71"/>
    </row>
    <row r="3654" spans="1:18" s="61" customFormat="1" ht="31.5" x14ac:dyDescent="0.25">
      <c r="A3654" s="358"/>
      <c r="B3654" s="361"/>
      <c r="C3654" s="364"/>
      <c r="D3654" s="222" t="s">
        <v>13</v>
      </c>
      <c r="E3654" s="222" t="s">
        <v>11</v>
      </c>
      <c r="F3654" s="222" t="s">
        <v>11</v>
      </c>
      <c r="G3654" s="238">
        <f>MROUND(H3654*L3654*I3654/K3654,0.00000000001)</f>
        <v>6.1248598910899998</v>
      </c>
      <c r="H3654" s="160">
        <f t="shared" si="822"/>
        <v>184725.17</v>
      </c>
      <c r="I3654" s="159">
        <f t="shared" si="826"/>
        <v>1.85677E-3</v>
      </c>
      <c r="J3654" s="160"/>
      <c r="K3654" s="161">
        <f t="shared" si="827"/>
        <v>56</v>
      </c>
      <c r="L3654" s="225">
        <v>1</v>
      </c>
      <c r="M3654" s="163" t="str">
        <f>CONCATENATE(H3654," ",F3654,"(лимиты выделенные УЖКХ) ","*",I3654,"/",K3654,"чел.")</f>
        <v>184725,17 м3(лимиты выделенные УЖКХ) *0,00185677/56чел.</v>
      </c>
      <c r="N3654" s="164">
        <f t="shared" si="823"/>
        <v>112.36110334722464</v>
      </c>
      <c r="O3654" s="165">
        <f>MROUND(G3654*N3654,0.00000001)</f>
        <v>688.19601521000004</v>
      </c>
      <c r="P3654" s="166"/>
      <c r="Q3654" s="166">
        <f t="shared" si="825"/>
        <v>38538.976851760002</v>
      </c>
      <c r="R3654" s="71"/>
    </row>
    <row r="3655" spans="1:18" s="61" customFormat="1" ht="31.5" x14ac:dyDescent="0.25">
      <c r="A3655" s="358"/>
      <c r="B3655" s="361"/>
      <c r="C3655" s="221" t="s">
        <v>75</v>
      </c>
      <c r="D3655" s="222" t="s">
        <v>18</v>
      </c>
      <c r="E3655" s="222" t="s">
        <v>48</v>
      </c>
      <c r="F3655" s="222" t="s">
        <v>48</v>
      </c>
      <c r="G3655" s="238">
        <f>MROUND(H3655*L3655*I3655/K3655,0.0000000001)</f>
        <v>0.46046569740000004</v>
      </c>
      <c r="H3655" s="160">
        <f t="shared" si="822"/>
        <v>13887.6</v>
      </c>
      <c r="I3655" s="159">
        <f t="shared" si="826"/>
        <v>1.85677E-3</v>
      </c>
      <c r="J3655" s="160"/>
      <c r="K3655" s="161">
        <f t="shared" si="827"/>
        <v>56</v>
      </c>
      <c r="L3655" s="250">
        <v>1</v>
      </c>
      <c r="M3655" s="163" t="str">
        <f>CONCATENATE(H3655," ",F3655,"(лимиты выделенные УЖКХ) ","*",I3655,"/",K3655,"чел.")</f>
        <v>13887,6 тыс. м3(лимиты выделенные УЖКХ) *0,00185677/56чел.</v>
      </c>
      <c r="N3655" s="164">
        <f t="shared" si="823"/>
        <v>30.576235634666901</v>
      </c>
      <c r="O3655" s="165">
        <f t="shared" ref="O3655" si="828">MROUND(G3655*N3655,0.000001)</f>
        <v>14.079307999999999</v>
      </c>
      <c r="P3655" s="166"/>
      <c r="Q3655" s="166">
        <f t="shared" si="825"/>
        <v>788.44124799999997</v>
      </c>
      <c r="R3655" s="71"/>
    </row>
    <row r="3656" spans="1:18" s="61" customFormat="1" x14ac:dyDescent="0.25">
      <c r="A3656" s="358"/>
      <c r="B3656" s="361"/>
      <c r="C3656" s="364" t="s">
        <v>216</v>
      </c>
      <c r="D3656" s="222" t="s">
        <v>23</v>
      </c>
      <c r="E3656" s="222" t="s">
        <v>11</v>
      </c>
      <c r="F3656" s="222" t="s">
        <v>11</v>
      </c>
      <c r="G3656" s="238">
        <f>MROUND(H3656*L3656*I3656/K3656,0.000000000001)</f>
        <v>0.11169267308599999</v>
      </c>
      <c r="H3656" s="160">
        <f t="shared" si="822"/>
        <v>3368.6400000000003</v>
      </c>
      <c r="I3656" s="159">
        <f t="shared" si="826"/>
        <v>1.85677E-3</v>
      </c>
      <c r="J3656" s="160"/>
      <c r="K3656" s="161">
        <f t="shared" si="827"/>
        <v>56</v>
      </c>
      <c r="L3656" s="162">
        <f>L3655</f>
        <v>1</v>
      </c>
      <c r="M3656" s="163" t="str">
        <f>CONCATENATE(H3656," ",F3656," ","*",I3656,"/",K3656,"чел.")</f>
        <v>3368,64 м3 *0,00185677/56чел.</v>
      </c>
      <c r="N3656" s="164">
        <f t="shared" si="823"/>
        <v>776.35552626579261</v>
      </c>
      <c r="O3656" s="165">
        <f>MROUND(G3656*N3656,0.00000001)</f>
        <v>86.713223990000003</v>
      </c>
      <c r="P3656" s="166"/>
      <c r="Q3656" s="166">
        <f t="shared" si="825"/>
        <v>4855.9405434400005</v>
      </c>
      <c r="R3656" s="71"/>
    </row>
    <row r="3657" spans="1:18" s="61" customFormat="1" ht="47.25" x14ac:dyDescent="0.25">
      <c r="A3657" s="358"/>
      <c r="B3657" s="361"/>
      <c r="C3657" s="364"/>
      <c r="D3657" s="222" t="s">
        <v>24</v>
      </c>
      <c r="E3657" s="222" t="s">
        <v>25</v>
      </c>
      <c r="F3657" s="222" t="s">
        <v>217</v>
      </c>
      <c r="G3657" s="238">
        <f>MROUND(H3657*L3657*I3657/K3657,0.000000000001)</f>
        <v>4.87402125E-3</v>
      </c>
      <c r="H3657" s="160">
        <f t="shared" si="822"/>
        <v>147</v>
      </c>
      <c r="I3657" s="159">
        <f t="shared" si="826"/>
        <v>1.85677E-3</v>
      </c>
      <c r="J3657" s="160"/>
      <c r="K3657" s="161">
        <f t="shared" si="827"/>
        <v>56</v>
      </c>
      <c r="L3657" s="250">
        <f>L3656</f>
        <v>1</v>
      </c>
      <c r="M3657" s="163" t="str">
        <f>CONCATENATE(H3657," ",F3657,"(потребность из расчета 4 контейнера для уборки территории весной и осенью на 1 учреждение)","*",I3657,"/",K3657,"чел.")</f>
        <v>147 контейнера(потребность из расчета 4 контейнера для уборки территории весной и осенью на 1 учреждение)*0,00185677/56чел.</v>
      </c>
      <c r="N3657" s="164">
        <f t="shared" si="823"/>
        <v>6047.8105442176911</v>
      </c>
      <c r="O3657" s="165">
        <f t="shared" ref="O3657" si="829">MROUND(G3657*N3657,0.000001)</f>
        <v>29.477156999999998</v>
      </c>
      <c r="P3657" s="166"/>
      <c r="Q3657" s="166">
        <f t="shared" si="825"/>
        <v>1650.7207919999998</v>
      </c>
      <c r="R3657" s="71"/>
    </row>
    <row r="3658" spans="1:18" s="61" customFormat="1" x14ac:dyDescent="0.25">
      <c r="A3658" s="358"/>
      <c r="B3658" s="361"/>
      <c r="C3658" s="218" t="s">
        <v>290</v>
      </c>
      <c r="D3658" s="226"/>
      <c r="E3658" s="226"/>
      <c r="F3658" s="226"/>
      <c r="G3658" s="227"/>
      <c r="H3658" s="228"/>
      <c r="I3658" s="206"/>
      <c r="J3658" s="228"/>
      <c r="K3658" s="207"/>
      <c r="L3658" s="257"/>
      <c r="M3658" s="209"/>
      <c r="N3658" s="210"/>
      <c r="O3658" s="198">
        <f>SUM(O3650:O3657)</f>
        <v>5999.9549171999997</v>
      </c>
      <c r="P3658" s="166"/>
      <c r="Q3658" s="166"/>
      <c r="R3658" s="71"/>
    </row>
    <row r="3659" spans="1:18" s="61" customFormat="1" x14ac:dyDescent="0.25">
      <c r="A3659" s="358"/>
      <c r="B3659" s="361"/>
      <c r="C3659" s="221"/>
      <c r="D3659" s="356" t="s">
        <v>14</v>
      </c>
      <c r="E3659" s="356"/>
      <c r="F3659" s="356"/>
      <c r="G3659" s="356"/>
      <c r="H3659" s="188"/>
      <c r="I3659" s="159"/>
      <c r="J3659" s="188"/>
      <c r="K3659" s="161"/>
      <c r="L3659" s="250"/>
      <c r="M3659" s="230"/>
      <c r="N3659" s="164"/>
      <c r="O3659" s="198">
        <f>O3667+O3668+O3663</f>
        <v>6277.7479908164296</v>
      </c>
      <c r="P3659" s="166"/>
      <c r="Q3659" s="166"/>
      <c r="R3659" s="71"/>
    </row>
    <row r="3660" spans="1:18" s="61" customFormat="1" x14ac:dyDescent="0.25">
      <c r="A3660" s="358"/>
      <c r="B3660" s="361"/>
      <c r="C3660" s="221" t="s">
        <v>379</v>
      </c>
      <c r="D3660" s="231" t="s">
        <v>49</v>
      </c>
      <c r="E3660" s="231" t="s">
        <v>22</v>
      </c>
      <c r="F3660" s="231" t="s">
        <v>22</v>
      </c>
      <c r="G3660" s="238">
        <f>MROUND(H3660*L3660*I3660/K3660,0.000000001)</f>
        <v>0</v>
      </c>
      <c r="H3660" s="160"/>
      <c r="I3660" s="159">
        <f>I3655</f>
        <v>1.85677E-3</v>
      </c>
      <c r="J3660" s="160"/>
      <c r="K3660" s="161">
        <f>K3655</f>
        <v>56</v>
      </c>
      <c r="L3660" s="250"/>
      <c r="M3660" s="163"/>
      <c r="N3660" s="164"/>
      <c r="O3660" s="165">
        <f>MROUND(G3660*N3660,0.00000001)</f>
        <v>0</v>
      </c>
      <c r="P3660" s="166"/>
      <c r="Q3660" s="166">
        <f t="shared" ref="Q3660:Q3662" si="830">O3660*K3660</f>
        <v>0</v>
      </c>
      <c r="R3660" s="71"/>
    </row>
    <row r="3661" spans="1:18" s="61" customFormat="1" x14ac:dyDescent="0.25">
      <c r="A3661" s="358"/>
      <c r="B3661" s="361"/>
      <c r="C3661" s="221" t="s">
        <v>379</v>
      </c>
      <c r="D3661" s="231" t="s">
        <v>49</v>
      </c>
      <c r="E3661" s="231" t="s">
        <v>28</v>
      </c>
      <c r="F3661" s="231" t="s">
        <v>28</v>
      </c>
      <c r="G3661" s="238">
        <f>MROUND(H3661*L3661*I3661/K3661,0.0000000000001)</f>
        <v>0</v>
      </c>
      <c r="H3661" s="160"/>
      <c r="I3661" s="159">
        <f t="shared" si="826"/>
        <v>1.85677E-3</v>
      </c>
      <c r="J3661" s="160"/>
      <c r="K3661" s="161">
        <f>K3660</f>
        <v>56</v>
      </c>
      <c r="L3661" s="250">
        <v>1</v>
      </c>
      <c r="M3661" s="163"/>
      <c r="N3661" s="164"/>
      <c r="O3661" s="165">
        <f>MROUND(G3661*N3661,0.00000001)</f>
        <v>0</v>
      </c>
      <c r="P3661" s="166"/>
      <c r="Q3661" s="166">
        <f t="shared" si="830"/>
        <v>0</v>
      </c>
      <c r="R3661" s="71"/>
    </row>
    <row r="3662" spans="1:18" s="61" customFormat="1" x14ac:dyDescent="0.25">
      <c r="A3662" s="358"/>
      <c r="B3662" s="361"/>
      <c r="C3662" s="221" t="s">
        <v>379</v>
      </c>
      <c r="D3662" s="231" t="s">
        <v>49</v>
      </c>
      <c r="E3662" s="231" t="s">
        <v>101</v>
      </c>
      <c r="F3662" s="231" t="s">
        <v>101</v>
      </c>
      <c r="G3662" s="238">
        <f>MROUND(H3662*L3662*I3662/K3662,0.000000001)</f>
        <v>0</v>
      </c>
      <c r="H3662" s="160"/>
      <c r="I3662" s="159">
        <f t="shared" si="826"/>
        <v>1.85677E-3</v>
      </c>
      <c r="J3662" s="160"/>
      <c r="K3662" s="161">
        <f>K3661</f>
        <v>56</v>
      </c>
      <c r="L3662" s="250"/>
      <c r="M3662" s="163"/>
      <c r="N3662" s="164"/>
      <c r="O3662" s="165">
        <f>MROUND(G3662*N3662,0.00000001)</f>
        <v>0</v>
      </c>
      <c r="P3662" s="166"/>
      <c r="Q3662" s="166">
        <f t="shared" si="830"/>
        <v>0</v>
      </c>
      <c r="R3662" s="71"/>
    </row>
    <row r="3663" spans="1:18" s="61" customFormat="1" x14ac:dyDescent="0.25">
      <c r="A3663" s="358"/>
      <c r="B3663" s="361"/>
      <c r="C3663" s="218" t="s">
        <v>381</v>
      </c>
      <c r="D3663" s="232"/>
      <c r="E3663" s="232"/>
      <c r="F3663" s="232"/>
      <c r="G3663" s="227"/>
      <c r="H3663" s="228"/>
      <c r="I3663" s="206"/>
      <c r="J3663" s="228"/>
      <c r="K3663" s="207"/>
      <c r="L3663" s="257"/>
      <c r="M3663" s="209"/>
      <c r="N3663" s="210"/>
      <c r="O3663" s="198">
        <f>SUM(O3660:O3662)</f>
        <v>0</v>
      </c>
      <c r="P3663" s="166"/>
      <c r="Q3663" s="166"/>
      <c r="R3663" s="71"/>
    </row>
    <row r="3664" spans="1:18" s="61" customFormat="1" x14ac:dyDescent="0.25">
      <c r="A3664" s="358"/>
      <c r="B3664" s="361"/>
      <c r="C3664" s="221" t="s">
        <v>76</v>
      </c>
      <c r="D3664" s="231" t="s">
        <v>49</v>
      </c>
      <c r="E3664" s="231" t="s">
        <v>22</v>
      </c>
      <c r="F3664" s="231" t="s">
        <v>22</v>
      </c>
      <c r="G3664" s="238">
        <f>MROUND(H3664*L3664*I3664/K3664,0.000000000000001)</f>
        <v>40.584667583730365</v>
      </c>
      <c r="H3664" s="160">
        <f>H3424</f>
        <v>1224029.57</v>
      </c>
      <c r="I3664" s="159">
        <f>I3662</f>
        <v>1.85677E-3</v>
      </c>
      <c r="J3664" s="160"/>
      <c r="K3664" s="161">
        <f>K3662</f>
        <v>56</v>
      </c>
      <c r="L3664" s="250">
        <v>1</v>
      </c>
      <c r="M3664" s="163" t="str">
        <f>CONCATENATE(H3664," ",F3664,"*",I3664,"/",K3664,"чел.")</f>
        <v>1224029,57 м2*0,00185677/56чел.</v>
      </c>
      <c r="N3664" s="164">
        <f>N3424</f>
        <v>37.50494361014497</v>
      </c>
      <c r="O3664" s="165">
        <f>MROUND(G3664*N3664,0.00000000001)</f>
        <v>1522.12566916429</v>
      </c>
      <c r="P3664" s="166"/>
      <c r="Q3664" s="166">
        <f t="shared" ref="Q3664:Q3666" si="831">O3664*K3664</f>
        <v>85239.037473200238</v>
      </c>
      <c r="R3664" s="71"/>
    </row>
    <row r="3665" spans="1:18" s="61" customFormat="1" x14ac:dyDescent="0.25">
      <c r="A3665" s="358"/>
      <c r="B3665" s="361"/>
      <c r="C3665" s="221"/>
      <c r="D3665" s="231" t="s">
        <v>49</v>
      </c>
      <c r="E3665" s="231" t="s">
        <v>28</v>
      </c>
      <c r="F3665" s="231" t="s">
        <v>28</v>
      </c>
      <c r="G3665" s="238">
        <f>MROUND(H3665*L3665*I3665/K3665,0.000000000001)</f>
        <v>3.6671207499999997E-2</v>
      </c>
      <c r="H3665" s="160">
        <f>H3425</f>
        <v>1106</v>
      </c>
      <c r="I3665" s="159">
        <f t="shared" si="826"/>
        <v>1.85677E-3</v>
      </c>
      <c r="J3665" s="160"/>
      <c r="K3665" s="161">
        <f>K3664</f>
        <v>56</v>
      </c>
      <c r="L3665" s="250">
        <v>1</v>
      </c>
      <c r="M3665" s="163" t="str">
        <f>CONCATENATE(H3665," ",F3665,"*",I3665,"/",K3665,"чел.")</f>
        <v>1106 шт*0,00185677/56чел.</v>
      </c>
      <c r="N3665" s="164">
        <f>N3425</f>
        <v>86192.676311030737</v>
      </c>
      <c r="O3665" s="165">
        <f>MROUND(G3665*N3665,0.00000000001)</f>
        <v>3160.7895179821398</v>
      </c>
      <c r="P3665" s="166"/>
      <c r="Q3665" s="166">
        <f t="shared" si="831"/>
        <v>177004.21300699984</v>
      </c>
      <c r="R3665" s="71"/>
    </row>
    <row r="3666" spans="1:18" s="61" customFormat="1" x14ac:dyDescent="0.25">
      <c r="A3666" s="358"/>
      <c r="B3666" s="361"/>
      <c r="C3666" s="221"/>
      <c r="D3666" s="231" t="s">
        <v>49</v>
      </c>
      <c r="E3666" s="231" t="s">
        <v>101</v>
      </c>
      <c r="F3666" s="231" t="s">
        <v>101</v>
      </c>
      <c r="G3666" s="238">
        <f>MROUND(H3666*L3666*I3666/K3666,0.000000001)</f>
        <v>1.2158527840000002</v>
      </c>
      <c r="H3666" s="160">
        <f>H3426</f>
        <v>36670</v>
      </c>
      <c r="I3666" s="159">
        <f t="shared" si="826"/>
        <v>1.85677E-3</v>
      </c>
      <c r="J3666" s="160"/>
      <c r="K3666" s="161">
        <f>K3665</f>
        <v>56</v>
      </c>
      <c r="L3666" s="250">
        <v>1</v>
      </c>
      <c r="M3666" s="163" t="str">
        <f>CONCATENATE(H3666," ",F3666,"*",I3666,"/",K3666,"чел.")</f>
        <v>36670 погон.м.*0,00185677/56чел.</v>
      </c>
      <c r="N3666" s="164">
        <f>N3426</f>
        <v>1311.6989364603219</v>
      </c>
      <c r="O3666" s="165">
        <f>MROUND(G3666*N3666,0.00000001)</f>
        <v>1594.83280367</v>
      </c>
      <c r="P3666" s="166"/>
      <c r="Q3666" s="166">
        <f t="shared" si="831"/>
        <v>89310.637005519995</v>
      </c>
      <c r="R3666" s="71"/>
    </row>
    <row r="3667" spans="1:18" s="61" customFormat="1" x14ac:dyDescent="0.25">
      <c r="A3667" s="358"/>
      <c r="B3667" s="361"/>
      <c r="C3667" s="218" t="s">
        <v>302</v>
      </c>
      <c r="D3667" s="232"/>
      <c r="E3667" s="232"/>
      <c r="F3667" s="232"/>
      <c r="G3667" s="227"/>
      <c r="H3667" s="228"/>
      <c r="I3667" s="206"/>
      <c r="J3667" s="228"/>
      <c r="K3667" s="207"/>
      <c r="L3667" s="257"/>
      <c r="M3667" s="209"/>
      <c r="N3667" s="210"/>
      <c r="O3667" s="198">
        <f>SUM(O3664:O3666)</f>
        <v>6277.7479908164296</v>
      </c>
      <c r="P3667" s="166"/>
      <c r="Q3667" s="166"/>
      <c r="R3667" s="71"/>
    </row>
    <row r="3668" spans="1:18" s="61" customFormat="1" x14ac:dyDescent="0.25">
      <c r="A3668" s="358"/>
      <c r="B3668" s="361"/>
      <c r="C3668" s="221" t="s">
        <v>77</v>
      </c>
      <c r="D3668" s="231"/>
      <c r="E3668" s="231"/>
      <c r="F3668" s="231"/>
      <c r="G3668" s="238">
        <f>MROUND(H3668*L3668*I3668/K3668,0.00000000001)</f>
        <v>0</v>
      </c>
      <c r="H3668" s="160">
        <f>H3428</f>
        <v>0</v>
      </c>
      <c r="I3668" s="159">
        <f>I3666</f>
        <v>1.85677E-3</v>
      </c>
      <c r="J3668" s="160"/>
      <c r="K3668" s="161">
        <f>K3666</f>
        <v>56</v>
      </c>
      <c r="L3668" s="250"/>
      <c r="M3668" s="163"/>
      <c r="N3668" s="164">
        <f>N3428</f>
        <v>0</v>
      </c>
      <c r="O3668" s="165">
        <f>MROUND(G3668*N3668,0.000000001)</f>
        <v>0</v>
      </c>
      <c r="P3668" s="166"/>
      <c r="Q3668" s="166">
        <f t="shared" ref="Q3668" si="832">O3668*K3668</f>
        <v>0</v>
      </c>
      <c r="R3668" s="71"/>
    </row>
    <row r="3669" spans="1:18" s="61" customFormat="1" x14ac:dyDescent="0.25">
      <c r="A3669" s="358"/>
      <c r="B3669" s="361"/>
      <c r="C3669" s="218" t="s">
        <v>304</v>
      </c>
      <c r="D3669" s="232"/>
      <c r="E3669" s="232"/>
      <c r="F3669" s="232"/>
      <c r="G3669" s="227"/>
      <c r="H3669" s="228"/>
      <c r="I3669" s="206"/>
      <c r="J3669" s="228"/>
      <c r="K3669" s="207"/>
      <c r="L3669" s="257"/>
      <c r="M3669" s="209"/>
      <c r="N3669" s="210"/>
      <c r="O3669" s="198">
        <f>O3668</f>
        <v>0</v>
      </c>
      <c r="P3669" s="166"/>
      <c r="Q3669" s="166"/>
      <c r="R3669" s="71"/>
    </row>
    <row r="3670" spans="1:18" s="61" customFormat="1" x14ac:dyDescent="0.25">
      <c r="A3670" s="358"/>
      <c r="B3670" s="361"/>
      <c r="C3670" s="221"/>
      <c r="D3670" s="350" t="s">
        <v>65</v>
      </c>
      <c r="E3670" s="350"/>
      <c r="F3670" s="350"/>
      <c r="G3670" s="350"/>
      <c r="H3670" s="195"/>
      <c r="I3670" s="159"/>
      <c r="J3670" s="195"/>
      <c r="K3670" s="161"/>
      <c r="L3670" s="196"/>
      <c r="M3670" s="230"/>
      <c r="N3670" s="164"/>
      <c r="O3670" s="165">
        <f t="shared" ref="O3670:O3671" si="833">MROUND(G3670*N3670,0.000001)</f>
        <v>0</v>
      </c>
      <c r="P3670" s="166"/>
      <c r="Q3670" s="166"/>
      <c r="R3670" s="71"/>
    </row>
    <row r="3671" spans="1:18" s="61" customFormat="1" x14ac:dyDescent="0.25">
      <c r="A3671" s="358"/>
      <c r="B3671" s="361"/>
      <c r="C3671" s="221"/>
      <c r="D3671" s="194"/>
      <c r="E3671" s="194"/>
      <c r="F3671" s="194"/>
      <c r="G3671" s="217"/>
      <c r="H3671" s="195"/>
      <c r="I3671" s="159"/>
      <c r="J3671" s="195"/>
      <c r="K3671" s="161"/>
      <c r="L3671" s="196"/>
      <c r="M3671" s="230"/>
      <c r="N3671" s="164"/>
      <c r="O3671" s="165">
        <f t="shared" si="833"/>
        <v>0</v>
      </c>
      <c r="P3671" s="166"/>
      <c r="Q3671" s="166"/>
      <c r="R3671" s="71"/>
    </row>
    <row r="3672" spans="1:18" s="61" customFormat="1" x14ac:dyDescent="0.25">
      <c r="A3672" s="358"/>
      <c r="B3672" s="361"/>
      <c r="C3672" s="221" t="s">
        <v>357</v>
      </c>
      <c r="D3672" s="368" t="s">
        <v>66</v>
      </c>
      <c r="E3672" s="368"/>
      <c r="F3672" s="368"/>
      <c r="G3672" s="368"/>
      <c r="H3672" s="195"/>
      <c r="I3672" s="159"/>
      <c r="J3672" s="195"/>
      <c r="K3672" s="161"/>
      <c r="L3672" s="234"/>
      <c r="M3672" s="230"/>
      <c r="N3672" s="164"/>
      <c r="O3672" s="198">
        <f>O3673</f>
        <v>18.818666</v>
      </c>
      <c r="P3672" s="166"/>
      <c r="Q3672" s="166"/>
      <c r="R3672" s="71"/>
    </row>
    <row r="3673" spans="1:18" s="61" customFormat="1" ht="47.25" x14ac:dyDescent="0.25">
      <c r="A3673" s="358"/>
      <c r="B3673" s="361"/>
      <c r="C3673" s="221"/>
      <c r="D3673" s="222" t="s">
        <v>374</v>
      </c>
      <c r="E3673" s="194" t="s">
        <v>28</v>
      </c>
      <c r="F3673" s="194" t="s">
        <v>28</v>
      </c>
      <c r="G3673" s="217">
        <f>MROUND(H3673*L3673*I3673/K3673,0.000000001)</f>
        <v>4.7745510000000001E-3</v>
      </c>
      <c r="H3673" s="201">
        <f>H3433</f>
        <v>36</v>
      </c>
      <c r="I3673" s="159">
        <f>I3668</f>
        <v>1.85677E-3</v>
      </c>
      <c r="J3673" s="195"/>
      <c r="K3673" s="161">
        <f>K3668</f>
        <v>56</v>
      </c>
      <c r="L3673" s="235">
        <f>L3433</f>
        <v>4</v>
      </c>
      <c r="M3673" s="163" t="str">
        <f>CONCATENATE(H3673," ",F3673,"*",I3673,"/",K3673,"чел.")</f>
        <v>36 шт*0,00185677/56чел.</v>
      </c>
      <c r="N3673" s="164">
        <f>N3433</f>
        <v>3941.4525000000012</v>
      </c>
      <c r="O3673" s="165">
        <f>MROUND(G3673*N3673,0.000001)</f>
        <v>18.818666</v>
      </c>
      <c r="P3673" s="166"/>
      <c r="Q3673" s="166">
        <f t="shared" ref="Q3673" si="834">O3673*K3673</f>
        <v>1053.845296</v>
      </c>
      <c r="R3673" s="71"/>
    </row>
    <row r="3674" spans="1:18" s="61" customFormat="1" x14ac:dyDescent="0.25">
      <c r="A3674" s="358"/>
      <c r="B3674" s="361"/>
      <c r="C3674" s="221"/>
      <c r="D3674" s="368" t="s">
        <v>67</v>
      </c>
      <c r="E3674" s="368"/>
      <c r="F3674" s="368"/>
      <c r="G3674" s="368"/>
      <c r="H3674" s="195"/>
      <c r="I3674" s="159"/>
      <c r="J3674" s="195"/>
      <c r="K3674" s="161"/>
      <c r="L3674" s="196"/>
      <c r="M3674" s="230"/>
      <c r="N3674" s="164"/>
      <c r="O3674" s="165">
        <f t="shared" ref="O3674:O3677" si="835">MROUND(G3674*N3674,0.000001)</f>
        <v>0</v>
      </c>
      <c r="P3674" s="166"/>
      <c r="Q3674" s="166"/>
      <c r="R3674" s="71"/>
    </row>
    <row r="3675" spans="1:18" s="61" customFormat="1" x14ac:dyDescent="0.25">
      <c r="A3675" s="358"/>
      <c r="B3675" s="361"/>
      <c r="C3675" s="221"/>
      <c r="D3675" s="194"/>
      <c r="E3675" s="194"/>
      <c r="F3675" s="194"/>
      <c r="G3675" s="217"/>
      <c r="H3675" s="195"/>
      <c r="I3675" s="159"/>
      <c r="J3675" s="195"/>
      <c r="K3675" s="161"/>
      <c r="L3675" s="196"/>
      <c r="M3675" s="230"/>
      <c r="N3675" s="164"/>
      <c r="O3675" s="165">
        <f t="shared" si="835"/>
        <v>0</v>
      </c>
      <c r="P3675" s="166"/>
      <c r="Q3675" s="166"/>
      <c r="R3675" s="71"/>
    </row>
    <row r="3676" spans="1:18" s="61" customFormat="1" x14ac:dyDescent="0.25">
      <c r="A3676" s="358"/>
      <c r="B3676" s="361"/>
      <c r="C3676" s="221"/>
      <c r="D3676" s="350" t="s">
        <v>68</v>
      </c>
      <c r="E3676" s="350"/>
      <c r="F3676" s="350"/>
      <c r="G3676" s="350"/>
      <c r="H3676" s="195"/>
      <c r="I3676" s="159"/>
      <c r="J3676" s="195"/>
      <c r="K3676" s="161"/>
      <c r="L3676" s="196"/>
      <c r="M3676" s="230"/>
      <c r="N3676" s="164"/>
      <c r="O3676" s="165">
        <f t="shared" si="835"/>
        <v>0</v>
      </c>
      <c r="P3676" s="166"/>
      <c r="Q3676" s="166"/>
      <c r="R3676" s="71"/>
    </row>
    <row r="3677" spans="1:18" s="61" customFormat="1" x14ac:dyDescent="0.25">
      <c r="A3677" s="358"/>
      <c r="B3677" s="361"/>
      <c r="C3677" s="221"/>
      <c r="D3677" s="156"/>
      <c r="E3677" s="156"/>
      <c r="F3677" s="156"/>
      <c r="G3677" s="236"/>
      <c r="H3677" s="195"/>
      <c r="I3677" s="159"/>
      <c r="J3677" s="195"/>
      <c r="K3677" s="161"/>
      <c r="L3677" s="196"/>
      <c r="M3677" s="230"/>
      <c r="N3677" s="164"/>
      <c r="O3677" s="165">
        <f t="shared" si="835"/>
        <v>0</v>
      </c>
      <c r="P3677" s="166"/>
      <c r="Q3677" s="166"/>
      <c r="R3677" s="71"/>
    </row>
    <row r="3678" spans="1:18" s="61" customFormat="1" x14ac:dyDescent="0.25">
      <c r="A3678" s="358"/>
      <c r="B3678" s="361"/>
      <c r="C3678" s="221"/>
      <c r="D3678" s="368" t="s">
        <v>69</v>
      </c>
      <c r="E3678" s="368"/>
      <c r="F3678" s="368"/>
      <c r="G3678" s="368"/>
      <c r="H3678" s="187"/>
      <c r="I3678" s="159"/>
      <c r="J3678" s="187"/>
      <c r="K3678" s="161"/>
      <c r="L3678" s="276"/>
      <c r="M3678" s="230"/>
      <c r="N3678" s="164"/>
      <c r="O3678" s="198">
        <f>O3680+O3687+O3704+O3706+O3721+O3723+O3725+O3750+O3752+O3757+O3754</f>
        <v>765.82309436000003</v>
      </c>
      <c r="P3678" s="166"/>
      <c r="Q3678" s="166"/>
      <c r="R3678" s="71"/>
    </row>
    <row r="3679" spans="1:18" s="61" customFormat="1" x14ac:dyDescent="0.25">
      <c r="A3679" s="358"/>
      <c r="B3679" s="361"/>
      <c r="C3679" s="221">
        <v>224</v>
      </c>
      <c r="D3679" s="156" t="s">
        <v>21</v>
      </c>
      <c r="E3679" s="156" t="s">
        <v>22</v>
      </c>
      <c r="F3679" s="156" t="s">
        <v>22</v>
      </c>
      <c r="G3679" s="238">
        <f>MROUND(H3679*L3679*I3679/K3679,0.000000001)</f>
        <v>0</v>
      </c>
      <c r="H3679" s="158"/>
      <c r="I3679" s="159">
        <f>I3673</f>
        <v>1.85677E-3</v>
      </c>
      <c r="J3679" s="160"/>
      <c r="K3679" s="161">
        <f>K3673</f>
        <v>56</v>
      </c>
      <c r="L3679" s="250"/>
      <c r="M3679" s="163"/>
      <c r="N3679" s="164"/>
      <c r="O3679" s="165">
        <f>MROUND(G3679*N3679,0.000001)</f>
        <v>0</v>
      </c>
      <c r="P3679" s="166"/>
      <c r="Q3679" s="166">
        <f t="shared" ref="Q3679" si="836">O3679*K3679</f>
        <v>0</v>
      </c>
      <c r="R3679" s="71"/>
    </row>
    <row r="3680" spans="1:18" s="61" customFormat="1" x14ac:dyDescent="0.25">
      <c r="A3680" s="358"/>
      <c r="B3680" s="361"/>
      <c r="C3680" s="218" t="s">
        <v>293</v>
      </c>
      <c r="D3680" s="240"/>
      <c r="E3680" s="240"/>
      <c r="F3680" s="240"/>
      <c r="G3680" s="227"/>
      <c r="H3680" s="241"/>
      <c r="I3680" s="206"/>
      <c r="J3680" s="228"/>
      <c r="K3680" s="207"/>
      <c r="L3680" s="257"/>
      <c r="M3680" s="209"/>
      <c r="N3680" s="210"/>
      <c r="O3680" s="198">
        <f>SUM(O3679)</f>
        <v>0</v>
      </c>
      <c r="P3680" s="166"/>
      <c r="Q3680" s="166"/>
      <c r="R3680" s="71"/>
    </row>
    <row r="3681" spans="1:41" s="61" customFormat="1" ht="31.5" x14ac:dyDescent="0.25">
      <c r="A3681" s="358"/>
      <c r="B3681" s="361"/>
      <c r="C3681" s="364" t="s">
        <v>78</v>
      </c>
      <c r="D3681" s="156" t="s">
        <v>26</v>
      </c>
      <c r="E3681" s="156" t="s">
        <v>22</v>
      </c>
      <c r="F3681" s="156" t="s">
        <v>22</v>
      </c>
      <c r="G3681" s="238">
        <f>MROUND(H3681*L3681*I3681/K3681,0.000001)</f>
        <v>10.281200999999999</v>
      </c>
      <c r="H3681" s="158">
        <f>H3441</f>
        <v>25840</v>
      </c>
      <c r="I3681" s="159">
        <f>I3679</f>
        <v>1.85677E-3</v>
      </c>
      <c r="J3681" s="160"/>
      <c r="K3681" s="161">
        <f>K3679</f>
        <v>56</v>
      </c>
      <c r="L3681" s="250">
        <v>12</v>
      </c>
      <c r="M3681" s="163" t="str">
        <f>CONCATENATE(H3681," ",F3681,"(обрабатываемая площадь в мес.)","*",L3681,"мес.","*",I3681,"/",K3681,"чел.")</f>
        <v>25840 м2(обрабатываемая площадь в мес.)*12мес.*0,00185677/56чел.</v>
      </c>
      <c r="N3681" s="164">
        <f>N3441</f>
        <v>1.208548374613003</v>
      </c>
      <c r="O3681" s="165">
        <f t="shared" ref="O3681:O3686" si="837">MROUND(G3681*N3681,0.000001)</f>
        <v>12.425329</v>
      </c>
      <c r="P3681" s="166"/>
      <c r="Q3681" s="166">
        <f t="shared" ref="Q3681:Q3686" si="838">O3681*K3681</f>
        <v>695.81842399999994</v>
      </c>
      <c r="R3681" s="71"/>
    </row>
    <row r="3682" spans="1:41" s="61" customFormat="1" ht="31.5" x14ac:dyDescent="0.25">
      <c r="A3682" s="358"/>
      <c r="B3682" s="361"/>
      <c r="C3682" s="364"/>
      <c r="D3682" s="156" t="s">
        <v>96</v>
      </c>
      <c r="E3682" s="156" t="s">
        <v>22</v>
      </c>
      <c r="F3682" s="156" t="s">
        <v>22</v>
      </c>
      <c r="G3682" s="238">
        <f>MROUND(H3682*L3682*I3682/K3682,0.000001)</f>
        <v>5.3216349999999997</v>
      </c>
      <c r="H3682" s="158">
        <f>H3442</f>
        <v>13375</v>
      </c>
      <c r="I3682" s="159">
        <f t="shared" si="826"/>
        <v>1.85677E-3</v>
      </c>
      <c r="J3682" s="160"/>
      <c r="K3682" s="161">
        <f>K3681</f>
        <v>56</v>
      </c>
      <c r="L3682" s="250">
        <v>12</v>
      </c>
      <c r="M3682" s="163" t="str">
        <f>CONCATENATE(H3682," ",F3682,"(обрабатываемая площадь в мес.)","*",L3682,"мес.","*",I3682,"/",K3682,"чел.")</f>
        <v>13375 м2(обрабатываемая площадь в мес.)*12мес.*0,00185677/56чел.</v>
      </c>
      <c r="N3682" s="164">
        <f>N3442</f>
        <v>1.93823800623053</v>
      </c>
      <c r="O3682" s="165">
        <f t="shared" si="837"/>
        <v>10.314594999999999</v>
      </c>
      <c r="P3682" s="166"/>
      <c r="Q3682" s="166">
        <f t="shared" si="838"/>
        <v>577.61731999999995</v>
      </c>
      <c r="R3682" s="71"/>
    </row>
    <row r="3683" spans="1:41" s="135" customFormat="1" ht="31.5" x14ac:dyDescent="0.25">
      <c r="A3683" s="358"/>
      <c r="B3683" s="361"/>
      <c r="C3683" s="364"/>
      <c r="D3683" s="156" t="s">
        <v>385</v>
      </c>
      <c r="E3683" s="156" t="s">
        <v>22</v>
      </c>
      <c r="F3683" s="156" t="s">
        <v>22</v>
      </c>
      <c r="G3683" s="238">
        <f>MROUND(H3683*L3683*I3683/K3683,0.000001)</f>
        <v>10.643271</v>
      </c>
      <c r="H3683" s="242">
        <f>$H$55</f>
        <v>13375</v>
      </c>
      <c r="I3683" s="159">
        <f t="shared" si="826"/>
        <v>1.85677E-3</v>
      </c>
      <c r="J3683" s="160"/>
      <c r="K3683" s="161">
        <f>K3682</f>
        <v>56</v>
      </c>
      <c r="L3683" s="162">
        <v>24</v>
      </c>
      <c r="M3683" s="163" t="str">
        <f>CONCATENATE(H3683," ",F3683,"(обрабатываемая площадь в год)","*",L3683," раза в год.","*",I3683,"/",K3683,"чел.")</f>
        <v>13375 м2(обрабатываемая площадь в год)*24 раза в год.*0,00185677/56чел.</v>
      </c>
      <c r="N3683" s="164">
        <f>$N$3443</f>
        <v>2.3942939563862917</v>
      </c>
      <c r="O3683" s="165">
        <f t="shared" si="837"/>
        <v>25.483118999999999</v>
      </c>
      <c r="P3683" s="166"/>
      <c r="Q3683" s="166">
        <f t="shared" si="838"/>
        <v>1427.054664</v>
      </c>
      <c r="R3683" s="71"/>
      <c r="S3683" s="61"/>
      <c r="T3683" s="61"/>
      <c r="U3683" s="61"/>
      <c r="V3683" s="61"/>
      <c r="W3683" s="61"/>
      <c r="X3683" s="61"/>
      <c r="Y3683" s="61"/>
      <c r="Z3683" s="61"/>
      <c r="AA3683" s="61"/>
      <c r="AB3683" s="61"/>
      <c r="AC3683" s="61"/>
      <c r="AD3683" s="61"/>
      <c r="AE3683" s="61"/>
      <c r="AF3683" s="61"/>
      <c r="AG3683" s="61"/>
      <c r="AH3683" s="61"/>
      <c r="AI3683" s="61"/>
      <c r="AJ3683" s="61"/>
      <c r="AK3683" s="61"/>
      <c r="AL3683" s="61"/>
      <c r="AM3683" s="61"/>
      <c r="AN3683" s="61"/>
      <c r="AO3683" s="61"/>
    </row>
    <row r="3684" spans="1:41" s="135" customFormat="1" ht="31.5" x14ac:dyDescent="0.25">
      <c r="A3684" s="358"/>
      <c r="B3684" s="361"/>
      <c r="C3684" s="364"/>
      <c r="D3684" s="156" t="s">
        <v>394</v>
      </c>
      <c r="E3684" s="156" t="s">
        <v>22</v>
      </c>
      <c r="F3684" s="156" t="s">
        <v>22</v>
      </c>
      <c r="G3684" s="238">
        <f>MROUND(H3684*L3684*I3684/K3684,0.000001)</f>
        <v>10.281200999999999</v>
      </c>
      <c r="H3684" s="243">
        <f>$H$56</f>
        <v>25840</v>
      </c>
      <c r="I3684" s="159">
        <f t="shared" si="826"/>
        <v>1.85677E-3</v>
      </c>
      <c r="J3684" s="160"/>
      <c r="K3684" s="161">
        <f>K3683</f>
        <v>56</v>
      </c>
      <c r="L3684" s="162">
        <v>12</v>
      </c>
      <c r="M3684" s="163" t="str">
        <f>CONCATENATE(H3684," ",F3684,"(обрабатываемая площадь в мес.)","*",L3684,"мес.","*",I3684,"/",K3684,"чел.")</f>
        <v>25840 м2(обрабатываемая площадь в мес.)*12мес.*0,00185677/56чел.</v>
      </c>
      <c r="N3684" s="164">
        <f>$N$3444</f>
        <v>0.57007004643962855</v>
      </c>
      <c r="O3684" s="165">
        <f t="shared" si="837"/>
        <v>5.8610049999999996</v>
      </c>
      <c r="P3684" s="166"/>
      <c r="Q3684" s="166">
        <f t="shared" si="838"/>
        <v>328.21627999999998</v>
      </c>
      <c r="R3684" s="71"/>
      <c r="S3684" s="61"/>
      <c r="T3684" s="61"/>
      <c r="U3684" s="61"/>
      <c r="V3684" s="61"/>
      <c r="W3684" s="61"/>
      <c r="X3684" s="61"/>
      <c r="Y3684" s="61"/>
      <c r="Z3684" s="61"/>
      <c r="AA3684" s="61"/>
      <c r="AB3684" s="61"/>
      <c r="AC3684" s="61"/>
      <c r="AD3684" s="61"/>
      <c r="AE3684" s="61"/>
      <c r="AF3684" s="61"/>
      <c r="AG3684" s="61"/>
      <c r="AH3684" s="61"/>
      <c r="AI3684" s="61"/>
      <c r="AJ3684" s="61"/>
      <c r="AK3684" s="61"/>
      <c r="AL3684" s="61"/>
      <c r="AM3684" s="61"/>
      <c r="AN3684" s="61"/>
      <c r="AO3684" s="61"/>
    </row>
    <row r="3685" spans="1:41" s="135" customFormat="1" ht="31.5" x14ac:dyDescent="0.25">
      <c r="A3685" s="358"/>
      <c r="B3685" s="361"/>
      <c r="C3685" s="364"/>
      <c r="D3685" s="156" t="s">
        <v>395</v>
      </c>
      <c r="E3685" s="156" t="s">
        <v>98</v>
      </c>
      <c r="F3685" s="156" t="s">
        <v>98</v>
      </c>
      <c r="G3685" s="238">
        <f>MROUND(H3685*L3685*I3685/K3685,0.000000001)</f>
        <v>6.2798600000000008E-4</v>
      </c>
      <c r="H3685" s="242">
        <f>$H$57</f>
        <v>18.939999999999998</v>
      </c>
      <c r="I3685" s="159">
        <f t="shared" si="826"/>
        <v>1.85677E-3</v>
      </c>
      <c r="J3685" s="160"/>
      <c r="K3685" s="161">
        <f>K3681</f>
        <v>56</v>
      </c>
      <c r="L3685" s="162">
        <v>1</v>
      </c>
      <c r="M3685" s="163" t="str">
        <f>CONCATENATE(H3685," ",F3685,"(обрабатываемая площадь в год)","*",L3685," раз в год","*",I3685,"/",K3685,"чел.")</f>
        <v>18,94 Га(обрабатываемая площадь в год)*1 раз в год*0,00185677/56чел.</v>
      </c>
      <c r="N3685" s="164">
        <f>$N$57</f>
        <v>545</v>
      </c>
      <c r="O3685" s="165">
        <f t="shared" si="837"/>
        <v>0.342252</v>
      </c>
      <c r="P3685" s="166"/>
      <c r="Q3685" s="166">
        <f t="shared" si="838"/>
        <v>19.166111999999998</v>
      </c>
      <c r="R3685" s="71"/>
      <c r="S3685" s="61"/>
      <c r="T3685" s="61"/>
      <c r="U3685" s="61"/>
      <c r="V3685" s="61"/>
      <c r="W3685" s="61"/>
      <c r="X3685" s="61"/>
      <c r="Y3685" s="61"/>
      <c r="Z3685" s="61"/>
      <c r="AA3685" s="61"/>
      <c r="AB3685" s="61"/>
      <c r="AC3685" s="61"/>
      <c r="AD3685" s="61"/>
      <c r="AE3685" s="61"/>
      <c r="AF3685" s="61"/>
      <c r="AG3685" s="61"/>
      <c r="AH3685" s="61"/>
      <c r="AI3685" s="61"/>
      <c r="AJ3685" s="61"/>
      <c r="AK3685" s="61"/>
      <c r="AL3685" s="61"/>
      <c r="AM3685" s="61"/>
      <c r="AN3685" s="61"/>
      <c r="AO3685" s="61"/>
    </row>
    <row r="3686" spans="1:41" s="61" customFormat="1" ht="31.5" x14ac:dyDescent="0.25">
      <c r="A3686" s="358"/>
      <c r="B3686" s="361"/>
      <c r="C3686" s="364"/>
      <c r="D3686" s="156" t="s">
        <v>97</v>
      </c>
      <c r="E3686" s="156" t="s">
        <v>98</v>
      </c>
      <c r="F3686" s="156" t="s">
        <v>98</v>
      </c>
      <c r="G3686" s="238">
        <f>MROUND(H3686*L3686*I3686/K3686,0.0000000001)</f>
        <v>6.2798610000000001E-4</v>
      </c>
      <c r="H3686" s="242">
        <f>H3446</f>
        <v>18.939999999999998</v>
      </c>
      <c r="I3686" s="244">
        <f>I3682</f>
        <v>1.85677E-3</v>
      </c>
      <c r="J3686" s="160"/>
      <c r="K3686" s="161">
        <f>K3682</f>
        <v>56</v>
      </c>
      <c r="L3686" s="250">
        <v>1</v>
      </c>
      <c r="M3686" s="163" t="str">
        <f>CONCATENATE(H3686," ",F3686,"(обрабатываемая площадь в мес.)","*",L3686,"мес.","*",I3686,"/",K3686,"чел.")</f>
        <v>18,94 Га(обрабатываемая площадь в мес.)*1мес.*0,00185677/56чел.</v>
      </c>
      <c r="N3686" s="164">
        <f>N3446</f>
        <v>3102.4186906018999</v>
      </c>
      <c r="O3686" s="165">
        <f t="shared" si="837"/>
        <v>1.9482759999999999</v>
      </c>
      <c r="P3686" s="166"/>
      <c r="Q3686" s="166">
        <f t="shared" si="838"/>
        <v>109.10345599999999</v>
      </c>
      <c r="R3686" s="71"/>
    </row>
    <row r="3687" spans="1:41" s="61" customFormat="1" x14ac:dyDescent="0.25">
      <c r="A3687" s="358"/>
      <c r="B3687" s="361"/>
      <c r="C3687" s="245" t="s">
        <v>303</v>
      </c>
      <c r="D3687" s="240"/>
      <c r="E3687" s="240"/>
      <c r="F3687" s="240"/>
      <c r="G3687" s="227"/>
      <c r="H3687" s="241"/>
      <c r="I3687" s="206"/>
      <c r="J3687" s="228"/>
      <c r="K3687" s="207"/>
      <c r="L3687" s="257"/>
      <c r="M3687" s="209"/>
      <c r="N3687" s="210"/>
      <c r="O3687" s="198">
        <f>SUM(O3681:O3686)</f>
        <v>56.374575999999998</v>
      </c>
      <c r="P3687" s="166"/>
      <c r="Q3687" s="166"/>
      <c r="R3687" s="71"/>
    </row>
    <row r="3688" spans="1:41" s="61" customFormat="1" ht="63" x14ac:dyDescent="0.25">
      <c r="A3688" s="358"/>
      <c r="B3688" s="361"/>
      <c r="C3688" s="365" t="s">
        <v>77</v>
      </c>
      <c r="D3688" s="156" t="s">
        <v>29</v>
      </c>
      <c r="E3688" s="156" t="s">
        <v>58</v>
      </c>
      <c r="F3688" s="156" t="s">
        <v>218</v>
      </c>
      <c r="G3688" s="238">
        <f>MROUND(H3688*L3688*I3688/K3688,0.00000001)</f>
        <v>1.9894000000000001E-3</v>
      </c>
      <c r="H3688" s="158">
        <v>15</v>
      </c>
      <c r="I3688" s="159">
        <f>I3686</f>
        <v>1.85677E-3</v>
      </c>
      <c r="J3688" s="160"/>
      <c r="K3688" s="161">
        <f>K3686</f>
        <v>56</v>
      </c>
      <c r="L3688" s="162">
        <v>4</v>
      </c>
      <c r="M3688" s="163" t="str">
        <f>CONCATENATE(H3688," ",F3688,"*",L3688," раза в год","*",I3688,"/",K3688,"чел.")</f>
        <v>15 установок*4 раза в год*0,00185677/56чел.</v>
      </c>
      <c r="N3688" s="164">
        <f t="shared" ref="N3688:N3701" si="839">N3448</f>
        <v>2264.8651666666669</v>
      </c>
      <c r="O3688" s="165">
        <f t="shared" ref="O3688:O3696" si="840">MROUND(G3688*N3688,0.000001)</f>
        <v>4.5057229999999997</v>
      </c>
      <c r="P3688" s="166"/>
      <c r="Q3688" s="166">
        <f t="shared" ref="Q3688:Q3703" si="841">O3688*K3688</f>
        <v>252.32048799999998</v>
      </c>
      <c r="R3688" s="71"/>
    </row>
    <row r="3689" spans="1:41" s="61" customFormat="1" ht="47.25" x14ac:dyDescent="0.25">
      <c r="A3689" s="358"/>
      <c r="B3689" s="361"/>
      <c r="C3689" s="366"/>
      <c r="D3689" s="156" t="s">
        <v>30</v>
      </c>
      <c r="E3689" s="156" t="s">
        <v>58</v>
      </c>
      <c r="F3689" s="156" t="s">
        <v>218</v>
      </c>
      <c r="G3689" s="238">
        <f>MROUND(H3689*L3689*I3689/K3689,0.00000001)</f>
        <v>9.9470000000000005E-4</v>
      </c>
      <c r="H3689" s="158">
        <v>15</v>
      </c>
      <c r="I3689" s="159">
        <f t="shared" si="826"/>
        <v>1.85677E-3</v>
      </c>
      <c r="J3689" s="160"/>
      <c r="K3689" s="161">
        <f t="shared" ref="K3689:K3697" si="842">K3688</f>
        <v>56</v>
      </c>
      <c r="L3689" s="250">
        <v>2</v>
      </c>
      <c r="M3689" s="163" t="str">
        <f>CONCATENATE(H3689," ",F3689,"*",L3689,"полуг.","*",I3689,"/",K3689,"чел.")</f>
        <v>15 установок*2полуг.*0,00185677/56чел.</v>
      </c>
      <c r="N3689" s="164">
        <f t="shared" si="839"/>
        <v>4529.7303333333339</v>
      </c>
      <c r="O3689" s="165">
        <f t="shared" si="840"/>
        <v>4.5057229999999997</v>
      </c>
      <c r="P3689" s="166"/>
      <c r="Q3689" s="166">
        <f t="shared" si="841"/>
        <v>252.32048799999998</v>
      </c>
      <c r="R3689" s="71"/>
    </row>
    <row r="3690" spans="1:41" s="61" customFormat="1" ht="31.5" x14ac:dyDescent="0.25">
      <c r="A3690" s="358"/>
      <c r="B3690" s="361"/>
      <c r="C3690" s="366"/>
      <c r="D3690" s="156" t="s">
        <v>397</v>
      </c>
      <c r="E3690" s="156" t="s">
        <v>433</v>
      </c>
      <c r="F3690" s="156" t="s">
        <v>433</v>
      </c>
      <c r="G3690" s="238">
        <f>MROUND(H3690*L3690*I3690/K3690,0.000001)</f>
        <v>9.9469999999999992E-3</v>
      </c>
      <c r="H3690" s="158">
        <f>H3450</f>
        <v>300</v>
      </c>
      <c r="I3690" s="159">
        <f t="shared" si="826"/>
        <v>1.85677E-3</v>
      </c>
      <c r="J3690" s="160"/>
      <c r="K3690" s="161">
        <f t="shared" si="842"/>
        <v>56</v>
      </c>
      <c r="L3690" s="162">
        <v>1</v>
      </c>
      <c r="M3690" s="163" t="str">
        <f>CONCATENATE(H3690," ",F3690,"(обрабатываемая площадь в год)","*",L3690," раз в год","*",I3690,"/",K3690,"чел.")</f>
        <v>300 м2.(обрабатываемая площадь в год)*1 раз в год*0,00185677/56чел.</v>
      </c>
      <c r="N3690" s="164">
        <f t="shared" si="839"/>
        <v>300</v>
      </c>
      <c r="O3690" s="165">
        <f t="shared" si="840"/>
        <v>2.9840999999999998</v>
      </c>
      <c r="P3690" s="166"/>
      <c r="Q3690" s="166">
        <f t="shared" si="841"/>
        <v>167.1096</v>
      </c>
      <c r="R3690" s="71"/>
    </row>
    <row r="3691" spans="1:41" s="61" customFormat="1" ht="47.25" x14ac:dyDescent="0.25">
      <c r="A3691" s="358"/>
      <c r="B3691" s="361"/>
      <c r="C3691" s="366"/>
      <c r="D3691" s="156" t="s">
        <v>32</v>
      </c>
      <c r="E3691" s="156" t="s">
        <v>55</v>
      </c>
      <c r="F3691" s="156" t="s">
        <v>219</v>
      </c>
      <c r="G3691" s="238">
        <f>MROUND(H3691*L3691*I3691/K3691,0.000000001)</f>
        <v>4.7745510000000001E-3</v>
      </c>
      <c r="H3691" s="158">
        <f>H3451</f>
        <v>36</v>
      </c>
      <c r="I3691" s="159">
        <f t="shared" si="826"/>
        <v>1.85677E-3</v>
      </c>
      <c r="J3691" s="160"/>
      <c r="K3691" s="161">
        <f t="shared" si="842"/>
        <v>56</v>
      </c>
      <c r="L3691" s="250">
        <v>4</v>
      </c>
      <c r="M3691" s="163" t="str">
        <f>CONCATENATE(H3691," ",F3691,"*",L3691,"кв.","*",I3691,"/",K3691,"чел.")</f>
        <v>36 системы*4кв.*0,00185677/56чел.</v>
      </c>
      <c r="N3691" s="164">
        <f t="shared" si="839"/>
        <v>7243.0565277777823</v>
      </c>
      <c r="O3691" s="165">
        <f t="shared" si="840"/>
        <v>34.582343000000002</v>
      </c>
      <c r="P3691" s="166"/>
      <c r="Q3691" s="166">
        <f t="shared" si="841"/>
        <v>1936.611208</v>
      </c>
      <c r="R3691" s="71"/>
    </row>
    <row r="3692" spans="1:41" s="61" customFormat="1" ht="63" x14ac:dyDescent="0.25">
      <c r="A3692" s="358"/>
      <c r="B3692" s="361"/>
      <c r="C3692" s="366"/>
      <c r="D3692" s="156" t="s">
        <v>33</v>
      </c>
      <c r="E3692" s="156" t="s">
        <v>56</v>
      </c>
      <c r="F3692" s="156" t="s">
        <v>220</v>
      </c>
      <c r="G3692" s="238">
        <f>MROUND(H3692*L3692*I3692/K3692,0.000000001)</f>
        <v>1.1936380000000001E-3</v>
      </c>
      <c r="H3692" s="158">
        <f>$H$64</f>
        <v>36</v>
      </c>
      <c r="I3692" s="159">
        <f>I3691</f>
        <v>1.85677E-3</v>
      </c>
      <c r="J3692" s="160"/>
      <c r="K3692" s="161">
        <f t="shared" si="842"/>
        <v>56</v>
      </c>
      <c r="L3692" s="162">
        <v>1</v>
      </c>
      <c r="M3692" s="163" t="str">
        <f>CONCATENATE(H3692," ",F3692,"*",L3692," раз в год","*",I3692,"/",K3692,"чел.")</f>
        <v>36 дымоходов*1 раз в год*0,00185677/56чел.</v>
      </c>
      <c r="N3692" s="164">
        <f t="shared" si="839"/>
        <v>7030.863333333331</v>
      </c>
      <c r="O3692" s="165">
        <f t="shared" si="840"/>
        <v>8.3923059999999996</v>
      </c>
      <c r="P3692" s="166"/>
      <c r="Q3692" s="166">
        <f t="shared" si="841"/>
        <v>469.96913599999999</v>
      </c>
      <c r="R3692" s="71"/>
    </row>
    <row r="3693" spans="1:41" s="61" customFormat="1" x14ac:dyDescent="0.25">
      <c r="A3693" s="358"/>
      <c r="B3693" s="361"/>
      <c r="C3693" s="366"/>
      <c r="D3693" s="194" t="s">
        <v>398</v>
      </c>
      <c r="E3693" s="156" t="s">
        <v>60</v>
      </c>
      <c r="F3693" s="156" t="s">
        <v>60</v>
      </c>
      <c r="G3693" s="238">
        <f>MROUND(H3693*L3693*I3693/K3693,0.000000001)</f>
        <v>1.1604810000000001E-3</v>
      </c>
      <c r="H3693" s="246">
        <f t="shared" ref="H3693:H3703" si="843">H3453</f>
        <v>35</v>
      </c>
      <c r="I3693" s="159">
        <f t="shared" si="826"/>
        <v>1.85677E-3</v>
      </c>
      <c r="J3693" s="160"/>
      <c r="K3693" s="161">
        <f t="shared" si="842"/>
        <v>56</v>
      </c>
      <c r="L3693" s="250">
        <v>1</v>
      </c>
      <c r="M3693" s="163" t="str">
        <f>CONCATENATE(H3693," ",F3693,"*",I3693,"/",K3693,"чел.")</f>
        <v>35 шт.*0,00185677/56чел.</v>
      </c>
      <c r="N3693" s="164">
        <f t="shared" si="839"/>
        <v>12173.433428571419</v>
      </c>
      <c r="O3693" s="165">
        <f t="shared" si="840"/>
        <v>14.127037999999999</v>
      </c>
      <c r="P3693" s="166"/>
      <c r="Q3693" s="166">
        <f t="shared" si="841"/>
        <v>791.11412799999994</v>
      </c>
      <c r="R3693" s="71"/>
    </row>
    <row r="3694" spans="1:41" s="61" customFormat="1" ht="47.25" x14ac:dyDescent="0.25">
      <c r="A3694" s="358"/>
      <c r="B3694" s="361"/>
      <c r="C3694" s="366"/>
      <c r="D3694" s="156" t="s">
        <v>401</v>
      </c>
      <c r="E3694" s="156" t="s">
        <v>60</v>
      </c>
      <c r="F3694" s="156" t="s">
        <v>402</v>
      </c>
      <c r="G3694" s="238">
        <f>MROUND(H3694*L3694*I3694/K3694,0.000001)</f>
        <v>2.3209999999999997E-3</v>
      </c>
      <c r="H3694" s="246">
        <f t="shared" si="843"/>
        <v>35</v>
      </c>
      <c r="I3694" s="159">
        <f t="shared" si="826"/>
        <v>1.85677E-3</v>
      </c>
      <c r="J3694" s="160"/>
      <c r="K3694" s="161">
        <f t="shared" si="842"/>
        <v>56</v>
      </c>
      <c r="L3694" s="162">
        <v>2</v>
      </c>
      <c r="M3694" s="163" t="str">
        <f>CONCATENATE(H3694," ",F3694,"*",L3694," раз в год","*",I3694,"/",K3694,"чел.")</f>
        <v>35 противопожарных водопроводов*2 раз в год*0,00185677/56чел.</v>
      </c>
      <c r="N3694" s="164">
        <f t="shared" si="839"/>
        <v>5700.7000000000025</v>
      </c>
      <c r="O3694" s="165">
        <f t="shared" si="840"/>
        <v>13.231325</v>
      </c>
      <c r="P3694" s="166"/>
      <c r="Q3694" s="166">
        <f t="shared" si="841"/>
        <v>740.95420000000001</v>
      </c>
      <c r="R3694" s="71"/>
    </row>
    <row r="3695" spans="1:41" s="61" customFormat="1" ht="31.5" x14ac:dyDescent="0.25">
      <c r="A3695" s="358"/>
      <c r="B3695" s="361"/>
      <c r="C3695" s="366"/>
      <c r="D3695" s="156" t="s">
        <v>221</v>
      </c>
      <c r="E3695" s="156" t="s">
        <v>60</v>
      </c>
      <c r="F3695" s="156" t="s">
        <v>60</v>
      </c>
      <c r="G3695" s="238">
        <f>MROUND(H3695*L3695*I3695/K3695,0.00000001)</f>
        <v>7.1618300000000001E-3</v>
      </c>
      <c r="H3695" s="158">
        <f t="shared" si="843"/>
        <v>18</v>
      </c>
      <c r="I3695" s="159">
        <f t="shared" si="826"/>
        <v>1.85677E-3</v>
      </c>
      <c r="J3695" s="160"/>
      <c r="K3695" s="161">
        <f t="shared" si="842"/>
        <v>56</v>
      </c>
      <c r="L3695" s="250">
        <v>12</v>
      </c>
      <c r="M3695" s="163" t="str">
        <f>CONCATENATE(H3695," ",F3695,"*",L3695,"мес.","*",I3695,"/",K3695,"чел.")</f>
        <v>18 шт.*12мес.*0,00185677/56чел.</v>
      </c>
      <c r="N3695" s="164">
        <f t="shared" si="839"/>
        <v>6577.3408796296308</v>
      </c>
      <c r="O3695" s="165">
        <f t="shared" si="840"/>
        <v>47.105796999999995</v>
      </c>
      <c r="P3695" s="166"/>
      <c r="Q3695" s="166">
        <f t="shared" si="841"/>
        <v>2637.9246319999997</v>
      </c>
      <c r="R3695" s="71"/>
    </row>
    <row r="3696" spans="1:41" s="61" customFormat="1" ht="47.25" x14ac:dyDescent="0.25">
      <c r="A3696" s="358"/>
      <c r="B3696" s="361"/>
      <c r="C3696" s="366"/>
      <c r="D3696" s="156" t="s">
        <v>34</v>
      </c>
      <c r="E3696" s="156" t="s">
        <v>59</v>
      </c>
      <c r="F3696" s="156" t="s">
        <v>28</v>
      </c>
      <c r="G3696" s="238">
        <f>MROUND(H3696*L3696*I3696/K3696,0.0000000001)</f>
        <v>6.6313200000000001E-5</v>
      </c>
      <c r="H3696" s="158">
        <f t="shared" si="843"/>
        <v>2</v>
      </c>
      <c r="I3696" s="159">
        <f t="shared" si="826"/>
        <v>1.85677E-3</v>
      </c>
      <c r="J3696" s="160"/>
      <c r="K3696" s="161">
        <f t="shared" si="842"/>
        <v>56</v>
      </c>
      <c r="L3696" s="250">
        <v>1</v>
      </c>
      <c r="M3696" s="163" t="str">
        <f>CONCATENATE(H3696," ",F3696,"*",I3696,"/",K3696,"чел.")</f>
        <v>2 шт*0,00185677/56чел.</v>
      </c>
      <c r="N3696" s="164">
        <f t="shared" si="839"/>
        <v>7845</v>
      </c>
      <c r="O3696" s="165">
        <f t="shared" si="840"/>
        <v>0.52022699999999999</v>
      </c>
      <c r="P3696" s="166"/>
      <c r="Q3696" s="166">
        <f t="shared" si="841"/>
        <v>29.132711999999998</v>
      </c>
      <c r="R3696" s="71"/>
    </row>
    <row r="3697" spans="1:18" s="61" customFormat="1" ht="47.25" x14ac:dyDescent="0.25">
      <c r="A3697" s="358"/>
      <c r="B3697" s="361"/>
      <c r="C3697" s="366"/>
      <c r="D3697" s="156" t="s">
        <v>222</v>
      </c>
      <c r="E3697" s="156" t="s">
        <v>60</v>
      </c>
      <c r="F3697" s="156" t="s">
        <v>60</v>
      </c>
      <c r="G3697" s="238">
        <f>MROUND(H3697*L3697*I3697/K3697,0.00000000001)</f>
        <v>1.6578304E-4</v>
      </c>
      <c r="H3697" s="248">
        <f t="shared" si="843"/>
        <v>5</v>
      </c>
      <c r="I3697" s="159">
        <f t="shared" si="826"/>
        <v>1.85677E-3</v>
      </c>
      <c r="J3697" s="160"/>
      <c r="K3697" s="161">
        <f t="shared" si="842"/>
        <v>56</v>
      </c>
      <c r="L3697" s="250">
        <v>1</v>
      </c>
      <c r="M3697" s="163" t="str">
        <f>CONCATENATE(H3697," ",F3697,"*",I3697,"/",K3697,"чел.")</f>
        <v>5 шт.*0,00185677/56чел.</v>
      </c>
      <c r="N3697" s="164">
        <f t="shared" si="839"/>
        <v>43857.106</v>
      </c>
      <c r="O3697" s="165">
        <f>MROUND(G3697*N3697,0.00000001)</f>
        <v>7.2707643600000003</v>
      </c>
      <c r="P3697" s="166"/>
      <c r="Q3697" s="166">
        <f t="shared" si="841"/>
        <v>407.16280416000001</v>
      </c>
      <c r="R3697" s="71"/>
    </row>
    <row r="3698" spans="1:18" s="61" customFormat="1" ht="31.5" x14ac:dyDescent="0.25">
      <c r="A3698" s="358"/>
      <c r="B3698" s="361"/>
      <c r="C3698" s="366"/>
      <c r="D3698" s="156" t="s">
        <v>35</v>
      </c>
      <c r="E3698" s="156" t="s">
        <v>102</v>
      </c>
      <c r="F3698" s="156" t="s">
        <v>223</v>
      </c>
      <c r="G3698" s="238">
        <f>MROUND(H3698*L3698*I3698/K3698,0.00000001)</f>
        <v>1.16048E-3</v>
      </c>
      <c r="H3698" s="158">
        <f t="shared" si="843"/>
        <v>35</v>
      </c>
      <c r="I3698" s="159">
        <f>I3696</f>
        <v>1.85677E-3</v>
      </c>
      <c r="J3698" s="160"/>
      <c r="K3698" s="161">
        <f>K3696</f>
        <v>56</v>
      </c>
      <c r="L3698" s="250">
        <v>1</v>
      </c>
      <c r="M3698" s="163" t="str">
        <f>CONCATENATE(H3698," ",F3698,"*",I3698,"/",K3698,"чел.")</f>
        <v>35 замеров*0,00185677/56чел.</v>
      </c>
      <c r="N3698" s="164">
        <f t="shared" si="839"/>
        <v>26428.571428571428</v>
      </c>
      <c r="O3698" s="165">
        <f t="shared" ref="O3698:O3703" si="844">MROUND(G3698*N3698,0.000001)</f>
        <v>30.669829</v>
      </c>
      <c r="P3698" s="166"/>
      <c r="Q3698" s="166">
        <f t="shared" si="841"/>
        <v>1717.5104240000001</v>
      </c>
      <c r="R3698" s="71"/>
    </row>
    <row r="3699" spans="1:18" s="61" customFormat="1" ht="47.25" x14ac:dyDescent="0.25">
      <c r="A3699" s="358"/>
      <c r="B3699" s="361"/>
      <c r="C3699" s="366"/>
      <c r="D3699" s="156" t="s">
        <v>399</v>
      </c>
      <c r="E3699" s="156" t="s">
        <v>60</v>
      </c>
      <c r="F3699" s="156" t="s">
        <v>60</v>
      </c>
      <c r="G3699" s="238">
        <f>MROUND(H3699*L3699*I3699/K3699,0.000000001)</f>
        <v>1.1604813E-2</v>
      </c>
      <c r="H3699" s="158">
        <f t="shared" si="843"/>
        <v>35</v>
      </c>
      <c r="I3699" s="159">
        <f t="shared" si="826"/>
        <v>1.85677E-3</v>
      </c>
      <c r="J3699" s="160"/>
      <c r="K3699" s="161">
        <f>K3698</f>
        <v>56</v>
      </c>
      <c r="L3699" s="250">
        <v>10</v>
      </c>
      <c r="M3699" s="163" t="str">
        <f>CONCATENATE(H3699," ",F3699,"*",L3699,"мес.","*",I3699,"/",K3699,"чел.")</f>
        <v>35 шт.*10мес.*0,00185677/56чел.</v>
      </c>
      <c r="N3699" s="164">
        <f t="shared" si="839"/>
        <v>3250.866542857143</v>
      </c>
      <c r="O3699" s="165">
        <f t="shared" si="844"/>
        <v>37.725698000000001</v>
      </c>
      <c r="P3699" s="166"/>
      <c r="Q3699" s="166">
        <f t="shared" si="841"/>
        <v>2112.6390879999999</v>
      </c>
      <c r="R3699" s="71"/>
    </row>
    <row r="3700" spans="1:18" s="61" customFormat="1" ht="47.25" x14ac:dyDescent="0.25">
      <c r="A3700" s="358"/>
      <c r="B3700" s="361"/>
      <c r="C3700" s="366"/>
      <c r="D3700" s="156" t="s">
        <v>36</v>
      </c>
      <c r="E3700" s="156" t="s">
        <v>31</v>
      </c>
      <c r="F3700" s="156" t="s">
        <v>224</v>
      </c>
      <c r="G3700" s="238">
        <f>MROUND(H3700*L3700*I3700/K3700,0.00000001)</f>
        <v>1.432365E-2</v>
      </c>
      <c r="H3700" s="158">
        <f t="shared" si="843"/>
        <v>36</v>
      </c>
      <c r="I3700" s="159">
        <f t="shared" si="826"/>
        <v>1.85677E-3</v>
      </c>
      <c r="J3700" s="160"/>
      <c r="K3700" s="161">
        <f>K3699</f>
        <v>56</v>
      </c>
      <c r="L3700" s="250">
        <v>12</v>
      </c>
      <c r="M3700" s="163" t="str">
        <f>CONCATENATE(H3700," ",F3700,"*",L3700,"мес.","*",I3700,"/",K3700,"чел.")</f>
        <v>36 устройств*12мес.*0,00185677/56чел.</v>
      </c>
      <c r="N3700" s="164">
        <f t="shared" si="839"/>
        <v>2508.3083101851839</v>
      </c>
      <c r="O3700" s="165">
        <f t="shared" si="844"/>
        <v>35.928129999999996</v>
      </c>
      <c r="P3700" s="166"/>
      <c r="Q3700" s="166">
        <f t="shared" si="841"/>
        <v>2011.9752799999997</v>
      </c>
      <c r="R3700" s="71"/>
    </row>
    <row r="3701" spans="1:18" s="61" customFormat="1" ht="31.5" x14ac:dyDescent="0.25">
      <c r="A3701" s="358"/>
      <c r="B3701" s="361"/>
      <c r="C3701" s="366"/>
      <c r="D3701" s="156" t="s">
        <v>99</v>
      </c>
      <c r="E3701" s="156" t="s">
        <v>103</v>
      </c>
      <c r="F3701" s="156" t="s">
        <v>225</v>
      </c>
      <c r="G3701" s="238">
        <f>MROUND(H3701*L3701*I3701/K3701,0.00000001)</f>
        <v>8.2891500000000003E-3</v>
      </c>
      <c r="H3701" s="158">
        <f t="shared" si="843"/>
        <v>250</v>
      </c>
      <c r="I3701" s="159">
        <f t="shared" si="826"/>
        <v>1.85677E-3</v>
      </c>
      <c r="J3701" s="160"/>
      <c r="K3701" s="161">
        <f>K3700</f>
        <v>56</v>
      </c>
      <c r="L3701" s="250">
        <v>1</v>
      </c>
      <c r="M3701" s="163" t="str">
        <f>CONCATENATE(H3701," ",F3701,"*",I3701,"/",K3701,"чел.")</f>
        <v>250 ед.*0,00185677/56чел.</v>
      </c>
      <c r="N3701" s="164">
        <f t="shared" si="839"/>
        <v>15000</v>
      </c>
      <c r="O3701" s="165">
        <f t="shared" si="844"/>
        <v>124.33725</v>
      </c>
      <c r="P3701" s="166"/>
      <c r="Q3701" s="166">
        <f t="shared" si="841"/>
        <v>6962.8859999999995</v>
      </c>
      <c r="R3701" s="71"/>
    </row>
    <row r="3702" spans="1:18" s="61" customFormat="1" x14ac:dyDescent="0.25">
      <c r="A3702" s="358"/>
      <c r="B3702" s="361"/>
      <c r="C3702" s="366"/>
      <c r="D3702" s="156" t="s">
        <v>27</v>
      </c>
      <c r="E3702" s="156" t="s">
        <v>28</v>
      </c>
      <c r="F3702" s="156" t="s">
        <v>28</v>
      </c>
      <c r="G3702" s="238">
        <f>MROUND(H3702*L3702*I3702/K3702,0.000000001)</f>
        <v>0.120524267</v>
      </c>
      <c r="H3702" s="160">
        <f t="shared" si="843"/>
        <v>3635</v>
      </c>
      <c r="I3702" s="159">
        <f t="shared" si="826"/>
        <v>1.85677E-3</v>
      </c>
      <c r="J3702" s="160"/>
      <c r="K3702" s="161">
        <f>K3701</f>
        <v>56</v>
      </c>
      <c r="L3702" s="250">
        <v>1</v>
      </c>
      <c r="M3702" s="163" t="str">
        <f>CONCATENATE(H3702," ",F3702,"*",I3702,"/",K3702,"чел.")</f>
        <v>3635 шт*0,00185677/56чел.</v>
      </c>
      <c r="N3702" s="164">
        <f>N3582</f>
        <v>418.4</v>
      </c>
      <c r="O3702" s="165">
        <f t="shared" si="844"/>
        <v>50.427352999999997</v>
      </c>
      <c r="P3702" s="166"/>
      <c r="Q3702" s="166">
        <f t="shared" si="841"/>
        <v>2823.9317679999999</v>
      </c>
      <c r="R3702" s="71"/>
    </row>
    <row r="3703" spans="1:18" s="61" customFormat="1" ht="31.5" x14ac:dyDescent="0.25">
      <c r="A3703" s="358"/>
      <c r="B3703" s="361"/>
      <c r="C3703" s="367"/>
      <c r="D3703" s="156" t="s">
        <v>104</v>
      </c>
      <c r="E3703" s="156" t="s">
        <v>105</v>
      </c>
      <c r="F3703" s="156" t="s">
        <v>226</v>
      </c>
      <c r="G3703" s="238">
        <f>MROUND(H3703*L3703*I3703/K3703,0.00000001)</f>
        <v>1.1936399999999999E-3</v>
      </c>
      <c r="H3703" s="160">
        <f t="shared" si="843"/>
        <v>36</v>
      </c>
      <c r="I3703" s="159">
        <f t="shared" si="826"/>
        <v>1.85677E-3</v>
      </c>
      <c r="J3703" s="160"/>
      <c r="K3703" s="161">
        <f>K3702</f>
        <v>56</v>
      </c>
      <c r="L3703" s="250">
        <v>1</v>
      </c>
      <c r="M3703" s="163" t="str">
        <f>CONCATENATE(H3703," ",F3703,"*",I3703,"/",K3703,"чел.")</f>
        <v>36 отключений*0,00185677/56чел.</v>
      </c>
      <c r="N3703" s="164">
        <f>N3463</f>
        <v>10261.260000000004</v>
      </c>
      <c r="O3703" s="165">
        <f t="shared" si="844"/>
        <v>12.248249999999999</v>
      </c>
      <c r="P3703" s="166"/>
      <c r="Q3703" s="166">
        <f t="shared" si="841"/>
        <v>685.90199999999993</v>
      </c>
      <c r="R3703" s="71"/>
    </row>
    <row r="3704" spans="1:18" s="61" customFormat="1" x14ac:dyDescent="0.25">
      <c r="A3704" s="358"/>
      <c r="B3704" s="361"/>
      <c r="C3704" s="249" t="s">
        <v>304</v>
      </c>
      <c r="D3704" s="240"/>
      <c r="E3704" s="240"/>
      <c r="F3704" s="240"/>
      <c r="G3704" s="227"/>
      <c r="H3704" s="228"/>
      <c r="I3704" s="206"/>
      <c r="J3704" s="228"/>
      <c r="K3704" s="207"/>
      <c r="L3704" s="257"/>
      <c r="M3704" s="209"/>
      <c r="N3704" s="210"/>
      <c r="O3704" s="198">
        <f>SUM(O3688:O3703)</f>
        <v>428.56185635999992</v>
      </c>
      <c r="P3704" s="166"/>
      <c r="Q3704" s="166"/>
      <c r="R3704" s="71"/>
    </row>
    <row r="3705" spans="1:18" s="61" customFormat="1" ht="31.5" x14ac:dyDescent="0.25">
      <c r="A3705" s="358"/>
      <c r="B3705" s="361"/>
      <c r="C3705" s="221" t="s">
        <v>79</v>
      </c>
      <c r="D3705" s="156" t="s">
        <v>37</v>
      </c>
      <c r="E3705" s="156" t="s">
        <v>61</v>
      </c>
      <c r="F3705" s="156" t="s">
        <v>227</v>
      </c>
      <c r="G3705" s="238">
        <f>MROUND(H3705*L3705*I3705/K3705,0.000000001)</f>
        <v>1.32626E-4</v>
      </c>
      <c r="H3705" s="158">
        <f>H3465</f>
        <v>4</v>
      </c>
      <c r="I3705" s="159">
        <f>I3703</f>
        <v>1.85677E-3</v>
      </c>
      <c r="J3705" s="160"/>
      <c r="K3705" s="161">
        <f>K3703</f>
        <v>56</v>
      </c>
      <c r="L3705" s="250">
        <v>1</v>
      </c>
      <c r="M3705" s="163" t="str">
        <f>CONCATENATE(H3705," ",F3705,"*",I3705,"/",K3705,"чел.")</f>
        <v>4 автобуса*0,00185677/56чел.</v>
      </c>
      <c r="N3705" s="164">
        <f>N3465</f>
        <v>36442.65</v>
      </c>
      <c r="O3705" s="165">
        <f>MROUND(G3705*N3705,0.000001)</f>
        <v>4.8332429999999995</v>
      </c>
      <c r="P3705" s="166"/>
      <c r="Q3705" s="166">
        <f t="shared" ref="Q3705" si="845">O3705*K3705</f>
        <v>270.661608</v>
      </c>
      <c r="R3705" s="71"/>
    </row>
    <row r="3706" spans="1:18" s="61" customFormat="1" x14ac:dyDescent="0.25">
      <c r="A3706" s="358"/>
      <c r="B3706" s="361"/>
      <c r="C3706" s="218" t="s">
        <v>305</v>
      </c>
      <c r="D3706" s="240"/>
      <c r="E3706" s="240"/>
      <c r="F3706" s="240"/>
      <c r="G3706" s="227"/>
      <c r="H3706" s="241"/>
      <c r="I3706" s="206"/>
      <c r="J3706" s="228"/>
      <c r="K3706" s="207"/>
      <c r="L3706" s="257"/>
      <c r="M3706" s="209"/>
      <c r="N3706" s="210"/>
      <c r="O3706" s="198">
        <f>SUM(O3705)</f>
        <v>4.8332429999999995</v>
      </c>
      <c r="P3706" s="166"/>
      <c r="Q3706" s="166"/>
      <c r="R3706" s="71"/>
    </row>
    <row r="3707" spans="1:18" s="61" customFormat="1" x14ac:dyDescent="0.25">
      <c r="A3707" s="358"/>
      <c r="B3707" s="361"/>
      <c r="C3707" s="364" t="s">
        <v>80</v>
      </c>
      <c r="D3707" s="156" t="s">
        <v>38</v>
      </c>
      <c r="E3707" s="156" t="s">
        <v>57</v>
      </c>
      <c r="F3707" s="156" t="s">
        <v>228</v>
      </c>
      <c r="G3707" s="238">
        <f>MROUND(H3707*L3707*I3707/K3707,0.0000000001)</f>
        <v>1.43236543E-2</v>
      </c>
      <c r="H3707" s="158">
        <f t="shared" ref="H3707:H3718" si="846">H3467</f>
        <v>36</v>
      </c>
      <c r="I3707" s="159">
        <f>I3705</f>
        <v>1.85677E-3</v>
      </c>
      <c r="J3707" s="160"/>
      <c r="K3707" s="161">
        <f>K3705</f>
        <v>56</v>
      </c>
      <c r="L3707" s="250">
        <v>12</v>
      </c>
      <c r="M3707" s="163" t="str">
        <f>CONCATENATE(H3707," ",F3707,"*",L3707,"мес.","*",I3707,"/",K3707,"чел.")</f>
        <v>36 зданий*12мес.*0,00185677/56чел.</v>
      </c>
      <c r="N3707" s="164">
        <f t="shared" ref="N3707:N3718" si="847">N3467</f>
        <v>4910.5833101851858</v>
      </c>
      <c r="O3707" s="165">
        <f>MROUND(G3707*N3707,0.000001)</f>
        <v>70.337497999999997</v>
      </c>
      <c r="P3707" s="166"/>
      <c r="Q3707" s="166">
        <f t="shared" ref="Q3707:Q3720" si="848">O3707*K3707</f>
        <v>3938.8998879999999</v>
      </c>
      <c r="R3707" s="71"/>
    </row>
    <row r="3708" spans="1:18" s="61" customFormat="1" ht="47.25" x14ac:dyDescent="0.25">
      <c r="A3708" s="358"/>
      <c r="B3708" s="361"/>
      <c r="C3708" s="364"/>
      <c r="D3708" s="156" t="s">
        <v>229</v>
      </c>
      <c r="E3708" s="156" t="s">
        <v>60</v>
      </c>
      <c r="F3708" s="156" t="s">
        <v>60</v>
      </c>
      <c r="G3708" s="238">
        <f>MROUND(H3708*L3708*I3708/K3708,0.000001)</f>
        <v>7.9377000000000003E-2</v>
      </c>
      <c r="H3708" s="158">
        <f t="shared" si="846"/>
        <v>2394</v>
      </c>
      <c r="I3708" s="159">
        <f t="shared" si="826"/>
        <v>1.85677E-3</v>
      </c>
      <c r="J3708" s="160"/>
      <c r="K3708" s="161">
        <f>K3707</f>
        <v>56</v>
      </c>
      <c r="L3708" s="250">
        <v>1</v>
      </c>
      <c r="M3708" s="163" t="str">
        <f t="shared" ref="M3708:M3715" si="849">CONCATENATE(H3708," ",F3708,"*",I3708,"/",K3708,"чел.")</f>
        <v>2394 шт.*0,00185677/56чел.</v>
      </c>
      <c r="N3708" s="164">
        <f t="shared" si="847"/>
        <v>171.02101921470341</v>
      </c>
      <c r="O3708" s="165">
        <f>MROUND(G3708*N3708,0.000001)</f>
        <v>13.575135</v>
      </c>
      <c r="P3708" s="166"/>
      <c r="Q3708" s="166">
        <f t="shared" si="848"/>
        <v>760.20755999999994</v>
      </c>
      <c r="R3708" s="71"/>
    </row>
    <row r="3709" spans="1:18" s="61" customFormat="1" ht="47.25" x14ac:dyDescent="0.25">
      <c r="A3709" s="358"/>
      <c r="B3709" s="361"/>
      <c r="C3709" s="364"/>
      <c r="D3709" s="156" t="s">
        <v>405</v>
      </c>
      <c r="E3709" s="156" t="s">
        <v>60</v>
      </c>
      <c r="F3709" s="156" t="s">
        <v>406</v>
      </c>
      <c r="G3709" s="238">
        <f>MROUND(H3709*L3709*I3709/K3709,0.00000001)</f>
        <v>1.1936399999999999E-3</v>
      </c>
      <c r="H3709" s="158">
        <f t="shared" si="846"/>
        <v>36</v>
      </c>
      <c r="I3709" s="159">
        <f t="shared" si="826"/>
        <v>1.85677E-3</v>
      </c>
      <c r="J3709" s="160"/>
      <c r="K3709" s="161">
        <f>K3708</f>
        <v>56</v>
      </c>
      <c r="L3709" s="250">
        <v>1</v>
      </c>
      <c r="M3709" s="163" t="str">
        <f t="shared" si="849"/>
        <v>36 лицензий*0,00185677/56чел.</v>
      </c>
      <c r="N3709" s="164">
        <f t="shared" si="847"/>
        <v>12541.539999999994</v>
      </c>
      <c r="O3709" s="165">
        <f t="shared" ref="O3709:O3718" si="850">MROUND(G3709*N3709,0.000001)</f>
        <v>14.970084</v>
      </c>
      <c r="P3709" s="166"/>
      <c r="Q3709" s="166">
        <f t="shared" si="848"/>
        <v>838.324704</v>
      </c>
      <c r="R3709" s="71"/>
    </row>
    <row r="3710" spans="1:18" s="61" customFormat="1" ht="63" x14ac:dyDescent="0.25">
      <c r="A3710" s="358"/>
      <c r="B3710" s="361"/>
      <c r="C3710" s="364"/>
      <c r="D3710" s="156" t="s">
        <v>39</v>
      </c>
      <c r="E3710" s="156" t="s">
        <v>20</v>
      </c>
      <c r="F3710" s="156" t="s">
        <v>234</v>
      </c>
      <c r="G3710" s="238">
        <f>MROUND(H3710*L3710*I3710/K3710,0.000000001)</f>
        <v>3.9124800000000003E-3</v>
      </c>
      <c r="H3710" s="158">
        <f t="shared" si="846"/>
        <v>118</v>
      </c>
      <c r="I3710" s="159">
        <f>I3708</f>
        <v>1.85677E-3</v>
      </c>
      <c r="J3710" s="160"/>
      <c r="K3710" s="161">
        <f>K3708</f>
        <v>56</v>
      </c>
      <c r="L3710" s="250">
        <v>1</v>
      </c>
      <c r="M3710" s="163" t="str">
        <f t="shared" si="849"/>
        <v>118 чел(заявленная потребность руководителями учреждений)*0,00185677/56чел.</v>
      </c>
      <c r="N3710" s="164">
        <f t="shared" si="847"/>
        <v>798.09796610169519</v>
      </c>
      <c r="O3710" s="165">
        <f t="shared" si="850"/>
        <v>3.1225419999999997</v>
      </c>
      <c r="P3710" s="166"/>
      <c r="Q3710" s="166">
        <f t="shared" si="848"/>
        <v>174.86235199999999</v>
      </c>
      <c r="R3710" s="71"/>
    </row>
    <row r="3711" spans="1:18" s="61" customFormat="1" ht="63" x14ac:dyDescent="0.25">
      <c r="A3711" s="358"/>
      <c r="B3711" s="361"/>
      <c r="C3711" s="364"/>
      <c r="D3711" s="156" t="s">
        <v>40</v>
      </c>
      <c r="E3711" s="156" t="s">
        <v>20</v>
      </c>
      <c r="F3711" s="156" t="s">
        <v>234</v>
      </c>
      <c r="G3711" s="238">
        <f>MROUND(H3711*L3711*I3711/K3711,0.000000001)</f>
        <v>3.1830340000000004E-3</v>
      </c>
      <c r="H3711" s="158">
        <f t="shared" si="846"/>
        <v>96</v>
      </c>
      <c r="I3711" s="159">
        <f t="shared" si="826"/>
        <v>1.85677E-3</v>
      </c>
      <c r="J3711" s="160"/>
      <c r="K3711" s="161">
        <f t="shared" ref="K3711:K3718" si="851">K3710</f>
        <v>56</v>
      </c>
      <c r="L3711" s="250">
        <v>1</v>
      </c>
      <c r="M3711" s="163" t="str">
        <f t="shared" si="849"/>
        <v>96 чел(заявленная потребность руководителями учреждений)*0,00185677/56чел.</v>
      </c>
      <c r="N3711" s="164">
        <f t="shared" si="847"/>
        <v>1710.2100000000007</v>
      </c>
      <c r="O3711" s="165">
        <f t="shared" si="850"/>
        <v>5.443657</v>
      </c>
      <c r="P3711" s="166"/>
      <c r="Q3711" s="166">
        <f t="shared" si="848"/>
        <v>304.84479199999998</v>
      </c>
      <c r="R3711" s="71"/>
    </row>
    <row r="3712" spans="1:18" s="61" customFormat="1" ht="63" x14ac:dyDescent="0.25">
      <c r="A3712" s="358"/>
      <c r="B3712" s="361"/>
      <c r="C3712" s="364"/>
      <c r="D3712" s="156" t="s">
        <v>100</v>
      </c>
      <c r="E3712" s="156" t="s">
        <v>20</v>
      </c>
      <c r="F3712" s="156" t="s">
        <v>234</v>
      </c>
      <c r="G3712" s="238">
        <f>MROUND(H3712*L3712*I3712/K3712,0.000000001)</f>
        <v>2.6856850000000002E-3</v>
      </c>
      <c r="H3712" s="158">
        <f t="shared" si="846"/>
        <v>81</v>
      </c>
      <c r="I3712" s="159">
        <f t="shared" si="826"/>
        <v>1.85677E-3</v>
      </c>
      <c r="J3712" s="160"/>
      <c r="K3712" s="161">
        <f t="shared" si="851"/>
        <v>56</v>
      </c>
      <c r="L3712" s="250">
        <v>1</v>
      </c>
      <c r="M3712" s="163" t="str">
        <f t="shared" si="849"/>
        <v>81 чел(заявленная потребность руководителями учреждений)*0,00185677/56чел.</v>
      </c>
      <c r="N3712" s="164">
        <f t="shared" si="847"/>
        <v>3648.448148148148</v>
      </c>
      <c r="O3712" s="165">
        <f t="shared" si="850"/>
        <v>9.7985819999999997</v>
      </c>
      <c r="P3712" s="166"/>
      <c r="Q3712" s="166">
        <f t="shared" si="848"/>
        <v>548.72059200000001</v>
      </c>
      <c r="R3712" s="71"/>
    </row>
    <row r="3713" spans="1:18" s="61" customFormat="1" ht="110.25" x14ac:dyDescent="0.25">
      <c r="A3713" s="358"/>
      <c r="B3713" s="361"/>
      <c r="C3713" s="364"/>
      <c r="D3713" s="156" t="s">
        <v>235</v>
      </c>
      <c r="E3713" s="156" t="s">
        <v>50</v>
      </c>
      <c r="F3713" s="156" t="s">
        <v>230</v>
      </c>
      <c r="G3713" s="238">
        <f>MROUND(H3713*L3713*I3713/K3713,0.00000001)</f>
        <v>1.1936399999999999E-3</v>
      </c>
      <c r="H3713" s="158">
        <f t="shared" si="846"/>
        <v>36</v>
      </c>
      <c r="I3713" s="159">
        <f t="shared" si="826"/>
        <v>1.85677E-3</v>
      </c>
      <c r="J3713" s="160"/>
      <c r="K3713" s="161">
        <f t="shared" si="851"/>
        <v>56</v>
      </c>
      <c r="L3713" s="250">
        <v>1</v>
      </c>
      <c r="M3713" s="163" t="str">
        <f t="shared" si="849"/>
        <v>36 отчетов*0,00185677/56чел.</v>
      </c>
      <c r="N3713" s="164">
        <f t="shared" si="847"/>
        <v>6840.8399999999974</v>
      </c>
      <c r="O3713" s="165">
        <f t="shared" si="850"/>
        <v>8.1654999999999998</v>
      </c>
      <c r="P3713" s="166"/>
      <c r="Q3713" s="166">
        <f t="shared" si="848"/>
        <v>457.26799999999997</v>
      </c>
      <c r="R3713" s="71"/>
    </row>
    <row r="3714" spans="1:18" s="61" customFormat="1" ht="63" x14ac:dyDescent="0.25">
      <c r="A3714" s="358"/>
      <c r="B3714" s="361"/>
      <c r="C3714" s="364"/>
      <c r="D3714" s="156" t="s">
        <v>42</v>
      </c>
      <c r="E3714" s="156" t="s">
        <v>51</v>
      </c>
      <c r="F3714" s="156" t="s">
        <v>407</v>
      </c>
      <c r="G3714" s="238">
        <f>MROUND(H3714*L3714*I3714/K3714,0.000001)</f>
        <v>6.764E-3</v>
      </c>
      <c r="H3714" s="158">
        <f t="shared" si="846"/>
        <v>204</v>
      </c>
      <c r="I3714" s="159">
        <f t="shared" si="826"/>
        <v>1.85677E-3</v>
      </c>
      <c r="J3714" s="160"/>
      <c r="K3714" s="161">
        <f t="shared" si="851"/>
        <v>56</v>
      </c>
      <c r="L3714" s="250">
        <v>1</v>
      </c>
      <c r="M3714" s="163" t="str">
        <f t="shared" si="849"/>
        <v>204 ед (заявленная потребность руководителями учреждений)*0,00185677/56чел.</v>
      </c>
      <c r="N3714" s="164">
        <f t="shared" si="847"/>
        <v>1140.1400000000001</v>
      </c>
      <c r="O3714" s="165">
        <f t="shared" si="850"/>
        <v>7.7119070000000001</v>
      </c>
      <c r="P3714" s="166"/>
      <c r="Q3714" s="166">
        <f t="shared" si="848"/>
        <v>431.86679200000003</v>
      </c>
      <c r="R3714" s="71"/>
    </row>
    <row r="3715" spans="1:18" s="61" customFormat="1" ht="31.5" x14ac:dyDescent="0.25">
      <c r="A3715" s="358"/>
      <c r="B3715" s="361"/>
      <c r="C3715" s="364"/>
      <c r="D3715" s="156" t="s">
        <v>43</v>
      </c>
      <c r="E3715" s="156" t="s">
        <v>52</v>
      </c>
      <c r="F3715" s="156" t="s">
        <v>231</v>
      </c>
      <c r="G3715" s="238">
        <f>MROUND(H3715*L3715*I3715/K3715,0.000000001)</f>
        <v>1.1936380000000001E-3</v>
      </c>
      <c r="H3715" s="158">
        <f t="shared" si="846"/>
        <v>36</v>
      </c>
      <c r="I3715" s="159">
        <f t="shared" ref="I3715:I3718" si="852">I3714</f>
        <v>1.85677E-3</v>
      </c>
      <c r="J3715" s="160"/>
      <c r="K3715" s="161">
        <f t="shared" si="851"/>
        <v>56</v>
      </c>
      <c r="L3715" s="250">
        <v>1</v>
      </c>
      <c r="M3715" s="163" t="str">
        <f t="shared" si="849"/>
        <v>36 ЭЦП*0,00185677/56чел.</v>
      </c>
      <c r="N3715" s="164">
        <f t="shared" si="847"/>
        <v>8099.5499999999947</v>
      </c>
      <c r="O3715" s="165">
        <f t="shared" si="850"/>
        <v>9.6679309999999994</v>
      </c>
      <c r="P3715" s="166"/>
      <c r="Q3715" s="166">
        <f t="shared" si="848"/>
        <v>541.40413599999999</v>
      </c>
      <c r="R3715" s="71"/>
    </row>
    <row r="3716" spans="1:18" s="61" customFormat="1" ht="47.25" x14ac:dyDescent="0.25">
      <c r="A3716" s="358"/>
      <c r="B3716" s="361"/>
      <c r="C3716" s="364"/>
      <c r="D3716" s="156" t="s">
        <v>44</v>
      </c>
      <c r="E3716" s="156" t="s">
        <v>85</v>
      </c>
      <c r="F3716" s="156" t="s">
        <v>232</v>
      </c>
      <c r="G3716" s="238">
        <f>MROUND(H3716*L3716*I3716/K3716,0.000001)</f>
        <v>4.0318E-2</v>
      </c>
      <c r="H3716" s="158">
        <f t="shared" si="846"/>
        <v>1216</v>
      </c>
      <c r="I3716" s="159">
        <f t="shared" si="852"/>
        <v>1.85677E-3</v>
      </c>
      <c r="J3716" s="160"/>
      <c r="K3716" s="161">
        <f t="shared" si="851"/>
        <v>56</v>
      </c>
      <c r="L3716" s="250">
        <v>1</v>
      </c>
      <c r="M3716" s="163" t="str">
        <f>CONCATENATE(H3716," ",F3716,"*",L3716,"мес.","*",I3716,"/",K3716,"чел.")</f>
        <v>1216 мед.осмотров в мес.*1мес.*0,00185677/56чел.</v>
      </c>
      <c r="N3716" s="164">
        <f t="shared" si="847"/>
        <v>59.287277960526318</v>
      </c>
      <c r="O3716" s="165">
        <f t="shared" si="850"/>
        <v>2.3903439999999998</v>
      </c>
      <c r="P3716" s="166"/>
      <c r="Q3716" s="166">
        <f t="shared" si="848"/>
        <v>133.859264</v>
      </c>
      <c r="R3716" s="71"/>
    </row>
    <row r="3717" spans="1:18" s="61" customFormat="1" ht="63" x14ac:dyDescent="0.25">
      <c r="A3717" s="358"/>
      <c r="B3717" s="361"/>
      <c r="C3717" s="364"/>
      <c r="D3717" s="156" t="s">
        <v>45</v>
      </c>
      <c r="E3717" s="156" t="s">
        <v>53</v>
      </c>
      <c r="F3717" s="156" t="s">
        <v>233</v>
      </c>
      <c r="G3717" s="238">
        <f>MROUND(H3717*L3717*I3717/K3717,0.000000001)</f>
        <v>1.5915170000000002E-3</v>
      </c>
      <c r="H3717" s="158">
        <f t="shared" si="846"/>
        <v>4</v>
      </c>
      <c r="I3717" s="159">
        <f t="shared" si="852"/>
        <v>1.85677E-3</v>
      </c>
      <c r="J3717" s="160"/>
      <c r="K3717" s="161">
        <f t="shared" si="851"/>
        <v>56</v>
      </c>
      <c r="L3717" s="250">
        <v>12</v>
      </c>
      <c r="M3717" s="163" t="str">
        <f>CONCATENATE(H3717," ",F3717,"*",L3717,"мес.","*",I3717,"/",K3717,"чел.")</f>
        <v>4  машины, оборудованных системой ГЛОНАСС*12мес.*0,00185677/56чел.</v>
      </c>
      <c r="N3717" s="164">
        <f t="shared" si="847"/>
        <v>921.23312500000009</v>
      </c>
      <c r="O3717" s="165">
        <f t="shared" si="850"/>
        <v>1.4661579999999999</v>
      </c>
      <c r="P3717" s="166"/>
      <c r="Q3717" s="166">
        <f t="shared" si="848"/>
        <v>82.10484799999999</v>
      </c>
      <c r="R3717" s="71"/>
    </row>
    <row r="3718" spans="1:18" s="61" customFormat="1" ht="31.5" x14ac:dyDescent="0.25">
      <c r="A3718" s="358"/>
      <c r="B3718" s="361"/>
      <c r="C3718" s="364"/>
      <c r="D3718" s="156" t="s">
        <v>408</v>
      </c>
      <c r="E3718" s="156" t="s">
        <v>20</v>
      </c>
      <c r="F3718" s="156" t="s">
        <v>20</v>
      </c>
      <c r="G3718" s="238">
        <f>MROUND(H3718*L3718*I3718/K3718,0.000000001)</f>
        <v>5.6266762000000005E-2</v>
      </c>
      <c r="H3718" s="158">
        <f t="shared" si="846"/>
        <v>1697</v>
      </c>
      <c r="I3718" s="159">
        <f t="shared" si="852"/>
        <v>1.85677E-3</v>
      </c>
      <c r="J3718" s="160"/>
      <c r="K3718" s="161">
        <f t="shared" si="851"/>
        <v>56</v>
      </c>
      <c r="L3718" s="250">
        <v>1</v>
      </c>
      <c r="M3718" s="163" t="str">
        <f>CONCATENATE(H3718," ",F3718,"*",L3718," раз в год","*",I3718,"/",K3718,"чел.")</f>
        <v>1697 чел.*1 раз в год*0,00185677/56чел.</v>
      </c>
      <c r="N3718" s="164">
        <f t="shared" si="847"/>
        <v>570.06999999999994</v>
      </c>
      <c r="O3718" s="165">
        <f t="shared" si="850"/>
        <v>32.075992999999997</v>
      </c>
      <c r="P3718" s="166"/>
      <c r="Q3718" s="166">
        <f t="shared" si="848"/>
        <v>1796.2556079999999</v>
      </c>
      <c r="R3718" s="71"/>
    </row>
    <row r="3719" spans="1:18" s="61" customFormat="1" x14ac:dyDescent="0.25">
      <c r="A3719" s="358"/>
      <c r="B3719" s="361"/>
      <c r="C3719" s="364"/>
      <c r="D3719" s="156" t="s">
        <v>373</v>
      </c>
      <c r="E3719" s="156" t="s">
        <v>28</v>
      </c>
      <c r="F3719" s="156" t="s">
        <v>28</v>
      </c>
      <c r="G3719" s="157">
        <f>MROUND(H3719*L3719*I3719/K3719,0.000000001)</f>
        <v>1.1936380000000001E-3</v>
      </c>
      <c r="H3719" s="158">
        <f>H3480</f>
        <v>36</v>
      </c>
      <c r="I3719" s="159">
        <f>I3717</f>
        <v>1.85677E-3</v>
      </c>
      <c r="J3719" s="160"/>
      <c r="K3719" s="161">
        <f>K3717</f>
        <v>56</v>
      </c>
      <c r="L3719" s="162">
        <v>1</v>
      </c>
      <c r="M3719" s="163" t="str">
        <f>CONCATENATE(H3719," ",F3719,"*",L3719,"мес.","*",I3719,"/",K3719,"чел.")</f>
        <v>36 шт*1мес.*0,00185677/56чел.</v>
      </c>
      <c r="N3719" s="164">
        <f>N3480</f>
        <v>24000</v>
      </c>
      <c r="O3719" s="165">
        <f>MROUND(G3719*N3719,0.000000001)</f>
        <v>28.647312000000003</v>
      </c>
      <c r="P3719" s="166"/>
      <c r="Q3719" s="166">
        <f t="shared" si="848"/>
        <v>1604.2494720000002</v>
      </c>
      <c r="R3719" s="71"/>
    </row>
    <row r="3720" spans="1:18" s="61" customFormat="1" ht="31.5" x14ac:dyDescent="0.25">
      <c r="A3720" s="358"/>
      <c r="B3720" s="361"/>
      <c r="C3720" s="376"/>
      <c r="D3720" s="156" t="s">
        <v>106</v>
      </c>
      <c r="E3720" s="156" t="s">
        <v>107</v>
      </c>
      <c r="F3720" s="156"/>
      <c r="G3720" s="238">
        <f>MROUND(H3720*L3720*I3720/K3720,0.000000001)</f>
        <v>0</v>
      </c>
      <c r="H3720" s="158">
        <f>H3479</f>
        <v>0</v>
      </c>
      <c r="I3720" s="159">
        <f>I3717</f>
        <v>1.85677E-3</v>
      </c>
      <c r="J3720" s="160"/>
      <c r="K3720" s="161">
        <f>K3717</f>
        <v>56</v>
      </c>
      <c r="L3720" s="250">
        <f>L3479</f>
        <v>0</v>
      </c>
      <c r="M3720" s="163"/>
      <c r="N3720" s="164">
        <f>N3479</f>
        <v>6.0000000000000002E-5</v>
      </c>
      <c r="O3720" s="165">
        <f>MROUND(G3720*N3720,0.000000001)</f>
        <v>0</v>
      </c>
      <c r="P3720" s="166"/>
      <c r="Q3720" s="166">
        <f t="shared" si="848"/>
        <v>0</v>
      </c>
      <c r="R3720" s="71"/>
    </row>
    <row r="3721" spans="1:18" s="61" customFormat="1" x14ac:dyDescent="0.25">
      <c r="A3721" s="358"/>
      <c r="B3721" s="361"/>
      <c r="C3721" s="245" t="s">
        <v>296</v>
      </c>
      <c r="D3721" s="240"/>
      <c r="E3721" s="240"/>
      <c r="F3721" s="240"/>
      <c r="G3721" s="227"/>
      <c r="H3721" s="241"/>
      <c r="I3721" s="206"/>
      <c r="J3721" s="228"/>
      <c r="K3721" s="207"/>
      <c r="L3721" s="257"/>
      <c r="M3721" s="209"/>
      <c r="N3721" s="210"/>
      <c r="O3721" s="198">
        <f>SUM(O3707:O3720)</f>
        <v>207.37264299999998</v>
      </c>
      <c r="P3721" s="166"/>
      <c r="Q3721" s="166"/>
      <c r="R3721" s="71"/>
    </row>
    <row r="3722" spans="1:18" s="61" customFormat="1" ht="31.5" x14ac:dyDescent="0.25">
      <c r="A3722" s="358"/>
      <c r="B3722" s="361"/>
      <c r="C3722" s="252" t="s">
        <v>237</v>
      </c>
      <c r="D3722" s="156" t="s">
        <v>41</v>
      </c>
      <c r="E3722" s="156" t="s">
        <v>61</v>
      </c>
      <c r="F3722" s="156" t="s">
        <v>227</v>
      </c>
      <c r="G3722" s="238">
        <f>MROUND(H3722*L3722*I3722/K3722,0.000000001)</f>
        <v>1.32626E-4</v>
      </c>
      <c r="H3722" s="158">
        <f>H3482</f>
        <v>4</v>
      </c>
      <c r="I3722" s="159">
        <f>I3720</f>
        <v>1.85677E-3</v>
      </c>
      <c r="J3722" s="160"/>
      <c r="K3722" s="161">
        <f>K3720</f>
        <v>56</v>
      </c>
      <c r="L3722" s="250">
        <v>1</v>
      </c>
      <c r="M3722" s="163" t="str">
        <f>CONCATENATE(H3722," ",F3722,"*",I3722,"/",K3722,"чел.")</f>
        <v>4 автобуса*0,00185677/56чел.</v>
      </c>
      <c r="N3722" s="164">
        <f>N3482</f>
        <v>26907.305</v>
      </c>
      <c r="O3722" s="165">
        <f>MROUND(G3722*N3722,0.000001)</f>
        <v>3.5686079999999998</v>
      </c>
      <c r="P3722" s="166"/>
      <c r="Q3722" s="166">
        <f t="shared" ref="Q3722" si="853">O3722*K3722</f>
        <v>199.84204799999998</v>
      </c>
      <c r="R3722" s="71"/>
    </row>
    <row r="3723" spans="1:18" s="61" customFormat="1" x14ac:dyDescent="0.25">
      <c r="A3723" s="358"/>
      <c r="B3723" s="361"/>
      <c r="C3723" s="245" t="s">
        <v>297</v>
      </c>
      <c r="D3723" s="240"/>
      <c r="E3723" s="240"/>
      <c r="F3723" s="240"/>
      <c r="G3723" s="227"/>
      <c r="H3723" s="241"/>
      <c r="I3723" s="206"/>
      <c r="J3723" s="228"/>
      <c r="K3723" s="207"/>
      <c r="L3723" s="257"/>
      <c r="M3723" s="209"/>
      <c r="N3723" s="210"/>
      <c r="O3723" s="198">
        <f>SUM(O3722)</f>
        <v>3.5686079999999998</v>
      </c>
      <c r="P3723" s="166"/>
      <c r="Q3723" s="166"/>
      <c r="R3723" s="71"/>
    </row>
    <row r="3724" spans="1:18" s="61" customFormat="1" ht="78.75" x14ac:dyDescent="0.25">
      <c r="A3724" s="358"/>
      <c r="B3724" s="361"/>
      <c r="C3724" s="221" t="s">
        <v>236</v>
      </c>
      <c r="D3724" s="156" t="s">
        <v>19</v>
      </c>
      <c r="E3724" s="181" t="s">
        <v>20</v>
      </c>
      <c r="F3724" s="181" t="s">
        <v>238</v>
      </c>
      <c r="G3724" s="238">
        <f>MROUND(H3724*L3724*I3724/K3724,0.000001)</f>
        <v>0</v>
      </c>
      <c r="H3724" s="158"/>
      <c r="I3724" s="159">
        <f>I3720</f>
        <v>1.85677E-3</v>
      </c>
      <c r="J3724" s="160"/>
      <c r="K3724" s="161">
        <f>K3720</f>
        <v>56</v>
      </c>
      <c r="L3724" s="250"/>
      <c r="M3724" s="163"/>
      <c r="N3724" s="164"/>
      <c r="O3724" s="165">
        <f>MROUND(G3724*N3724,0.000001)</f>
        <v>0</v>
      </c>
      <c r="P3724" s="166"/>
      <c r="Q3724" s="166">
        <f t="shared" ref="Q3724" si="854">O3724*K3724</f>
        <v>0</v>
      </c>
      <c r="R3724" s="71"/>
    </row>
    <row r="3725" spans="1:18" s="61" customFormat="1" x14ac:dyDescent="0.25">
      <c r="A3725" s="358"/>
      <c r="B3725" s="361"/>
      <c r="C3725" s="245" t="s">
        <v>298</v>
      </c>
      <c r="D3725" s="240"/>
      <c r="E3725" s="253"/>
      <c r="F3725" s="253"/>
      <c r="G3725" s="227"/>
      <c r="H3725" s="241"/>
      <c r="I3725" s="206"/>
      <c r="J3725" s="228"/>
      <c r="K3725" s="207"/>
      <c r="L3725" s="257"/>
      <c r="M3725" s="209"/>
      <c r="N3725" s="210"/>
      <c r="O3725" s="198">
        <f>SUM(O3724)</f>
        <v>0</v>
      </c>
      <c r="P3725" s="166"/>
      <c r="Q3725" s="166"/>
      <c r="R3725" s="71"/>
    </row>
    <row r="3726" spans="1:18" s="61" customFormat="1" ht="30" x14ac:dyDescent="0.25">
      <c r="A3726" s="358"/>
      <c r="B3726" s="361"/>
      <c r="C3726" s="365" t="s">
        <v>81</v>
      </c>
      <c r="D3726" s="254" t="s">
        <v>410</v>
      </c>
      <c r="E3726" s="156" t="s">
        <v>28</v>
      </c>
      <c r="F3726" s="156" t="s">
        <v>28</v>
      </c>
      <c r="G3726" s="238">
        <f>MROUND(H3726*L3726*I3726/K3726,0.0000000001)</f>
        <v>0</v>
      </c>
      <c r="H3726" s="158"/>
      <c r="I3726" s="159">
        <f>I3720</f>
        <v>1.85677E-3</v>
      </c>
      <c r="J3726" s="160"/>
      <c r="K3726" s="161">
        <f>K3720</f>
        <v>56</v>
      </c>
      <c r="L3726" s="250">
        <v>1</v>
      </c>
      <c r="M3726" s="163"/>
      <c r="N3726" s="164"/>
      <c r="O3726" s="165">
        <f>MROUND(G3726*N3726,0.000001)</f>
        <v>0</v>
      </c>
      <c r="P3726" s="166"/>
      <c r="Q3726" s="166">
        <f t="shared" ref="Q3726:Q3749" si="855">O3726*K3726</f>
        <v>0</v>
      </c>
      <c r="R3726" s="71"/>
    </row>
    <row r="3727" spans="1:18" s="61" customFormat="1" x14ac:dyDescent="0.25">
      <c r="A3727" s="358"/>
      <c r="B3727" s="361"/>
      <c r="C3727" s="366"/>
      <c r="D3727" s="254" t="s">
        <v>325</v>
      </c>
      <c r="E3727" s="156" t="s">
        <v>28</v>
      </c>
      <c r="F3727" s="156" t="s">
        <v>28</v>
      </c>
      <c r="G3727" s="157">
        <f>MROUND(H3727*L3727*I3727/K3727,0.0000000001)</f>
        <v>0</v>
      </c>
      <c r="H3727" s="158"/>
      <c r="I3727" s="159">
        <f>I3726</f>
        <v>1.85677E-3</v>
      </c>
      <c r="J3727" s="160"/>
      <c r="K3727" s="161">
        <f>K3726</f>
        <v>56</v>
      </c>
      <c r="L3727" s="250">
        <v>1</v>
      </c>
      <c r="M3727" s="163"/>
      <c r="N3727" s="164"/>
      <c r="O3727" s="165">
        <f>MROUND(G3727*N3727,0.000001)</f>
        <v>0</v>
      </c>
      <c r="P3727" s="166"/>
      <c r="Q3727" s="166">
        <f t="shared" si="855"/>
        <v>0</v>
      </c>
      <c r="R3727" s="71"/>
    </row>
    <row r="3728" spans="1:18" s="61" customFormat="1" ht="30" x14ac:dyDescent="0.25">
      <c r="A3728" s="358"/>
      <c r="B3728" s="361"/>
      <c r="C3728" s="366"/>
      <c r="D3728" s="254" t="s">
        <v>411</v>
      </c>
      <c r="E3728" s="156" t="s">
        <v>28</v>
      </c>
      <c r="F3728" s="156" t="s">
        <v>28</v>
      </c>
      <c r="G3728" s="238">
        <f>MROUND(H3728*L3728*I3728/K3728,0.00000001)</f>
        <v>0</v>
      </c>
      <c r="H3728" s="158"/>
      <c r="I3728" s="159">
        <f>I3726</f>
        <v>1.85677E-3</v>
      </c>
      <c r="J3728" s="160"/>
      <c r="K3728" s="161">
        <f>K3726</f>
        <v>56</v>
      </c>
      <c r="L3728" s="250">
        <v>1</v>
      </c>
      <c r="M3728" s="163"/>
      <c r="N3728" s="164"/>
      <c r="O3728" s="165">
        <f t="shared" ref="O3728:O3749" si="856">MROUND(G3728*N3728,0.000001)</f>
        <v>0</v>
      </c>
      <c r="P3728" s="166"/>
      <c r="Q3728" s="166">
        <f t="shared" si="855"/>
        <v>0</v>
      </c>
      <c r="R3728" s="71"/>
    </row>
    <row r="3729" spans="1:18" s="61" customFormat="1" x14ac:dyDescent="0.25">
      <c r="A3729" s="358"/>
      <c r="B3729" s="361"/>
      <c r="C3729" s="366"/>
      <c r="D3729" s="255" t="s">
        <v>412</v>
      </c>
      <c r="E3729" s="156" t="s">
        <v>28</v>
      </c>
      <c r="F3729" s="156" t="s">
        <v>28</v>
      </c>
      <c r="G3729" s="238">
        <f>MROUND(H3729*L3729*I3729/K3729,0.00000001)</f>
        <v>0</v>
      </c>
      <c r="H3729" s="158"/>
      <c r="I3729" s="159">
        <f>I3728</f>
        <v>1.85677E-3</v>
      </c>
      <c r="J3729" s="160"/>
      <c r="K3729" s="161">
        <f>K3728</f>
        <v>56</v>
      </c>
      <c r="L3729" s="250">
        <v>1</v>
      </c>
      <c r="M3729" s="163"/>
      <c r="N3729" s="164"/>
      <c r="O3729" s="165">
        <f t="shared" si="856"/>
        <v>0</v>
      </c>
      <c r="P3729" s="166"/>
      <c r="Q3729" s="166">
        <f t="shared" si="855"/>
        <v>0</v>
      </c>
      <c r="R3729" s="71"/>
    </row>
    <row r="3730" spans="1:18" s="61" customFormat="1" ht="31.5" x14ac:dyDescent="0.25">
      <c r="A3730" s="358"/>
      <c r="B3730" s="361"/>
      <c r="C3730" s="366"/>
      <c r="D3730" s="255" t="s">
        <v>413</v>
      </c>
      <c r="E3730" s="156" t="s">
        <v>28</v>
      </c>
      <c r="F3730" s="156" t="s">
        <v>28</v>
      </c>
      <c r="G3730" s="238">
        <f>MROUND(H3730*L3730*I3730/K3730,0.0000000001)</f>
        <v>0</v>
      </c>
      <c r="H3730" s="158"/>
      <c r="I3730" s="159">
        <f>I3729</f>
        <v>1.85677E-3</v>
      </c>
      <c r="J3730" s="160"/>
      <c r="K3730" s="161">
        <f>K3729</f>
        <v>56</v>
      </c>
      <c r="L3730" s="250">
        <v>1</v>
      </c>
      <c r="M3730" s="163"/>
      <c r="N3730" s="164"/>
      <c r="O3730" s="165">
        <f t="shared" si="856"/>
        <v>0</v>
      </c>
      <c r="P3730" s="166"/>
      <c r="Q3730" s="166">
        <f t="shared" si="855"/>
        <v>0</v>
      </c>
      <c r="R3730" s="71"/>
    </row>
    <row r="3731" spans="1:18" s="61" customFormat="1" x14ac:dyDescent="0.25">
      <c r="A3731" s="358"/>
      <c r="B3731" s="361"/>
      <c r="C3731" s="366"/>
      <c r="D3731" s="254" t="s">
        <v>109</v>
      </c>
      <c r="E3731" s="156" t="s">
        <v>28</v>
      </c>
      <c r="F3731" s="156" t="s">
        <v>28</v>
      </c>
      <c r="G3731" s="238">
        <f>MROUND(H3731*L3731*I3731/K3731,0.0000000001)</f>
        <v>0</v>
      </c>
      <c r="H3731" s="158"/>
      <c r="I3731" s="159">
        <f>I3730</f>
        <v>1.85677E-3</v>
      </c>
      <c r="J3731" s="160"/>
      <c r="K3731" s="161">
        <f>K3730</f>
        <v>56</v>
      </c>
      <c r="L3731" s="250">
        <v>1</v>
      </c>
      <c r="M3731" s="163"/>
      <c r="N3731" s="164"/>
      <c r="O3731" s="165">
        <f t="shared" si="856"/>
        <v>0</v>
      </c>
      <c r="P3731" s="166"/>
      <c r="Q3731" s="166">
        <f t="shared" si="855"/>
        <v>0</v>
      </c>
      <c r="R3731" s="71"/>
    </row>
    <row r="3732" spans="1:18" s="61" customFormat="1" x14ac:dyDescent="0.25">
      <c r="A3732" s="358"/>
      <c r="B3732" s="361"/>
      <c r="C3732" s="366"/>
      <c r="D3732" s="254" t="s">
        <v>414</v>
      </c>
      <c r="E3732" s="156" t="s">
        <v>28</v>
      </c>
      <c r="F3732" s="156" t="s">
        <v>28</v>
      </c>
      <c r="G3732" s="238">
        <f>MROUND(H3732*L3732*I3732/K3732,0.0000000001)</f>
        <v>0</v>
      </c>
      <c r="H3732" s="158"/>
      <c r="I3732" s="159">
        <f>I3730</f>
        <v>1.85677E-3</v>
      </c>
      <c r="J3732" s="160"/>
      <c r="K3732" s="161">
        <f>K3730</f>
        <v>56</v>
      </c>
      <c r="L3732" s="250">
        <v>1</v>
      </c>
      <c r="M3732" s="163"/>
      <c r="N3732" s="164"/>
      <c r="O3732" s="165">
        <f t="shared" si="856"/>
        <v>0</v>
      </c>
      <c r="P3732" s="166"/>
      <c r="Q3732" s="166">
        <f t="shared" si="855"/>
        <v>0</v>
      </c>
      <c r="R3732" s="71"/>
    </row>
    <row r="3733" spans="1:18" s="61" customFormat="1" x14ac:dyDescent="0.25">
      <c r="A3733" s="358"/>
      <c r="B3733" s="361"/>
      <c r="C3733" s="366"/>
      <c r="D3733" s="254" t="s">
        <v>415</v>
      </c>
      <c r="E3733" s="156" t="s">
        <v>28</v>
      </c>
      <c r="F3733" s="156" t="s">
        <v>28</v>
      </c>
      <c r="G3733" s="238">
        <f>MROUND(H3733*L3733*I3733/K3733,0.00000001)</f>
        <v>0</v>
      </c>
      <c r="H3733" s="158"/>
      <c r="I3733" s="159">
        <f t="shared" ref="I3733:I3742" si="857">I3731</f>
        <v>1.85677E-3</v>
      </c>
      <c r="J3733" s="160"/>
      <c r="K3733" s="161">
        <f t="shared" ref="K3733:K3742" si="858">K3731</f>
        <v>56</v>
      </c>
      <c r="L3733" s="250">
        <v>1</v>
      </c>
      <c r="M3733" s="163"/>
      <c r="N3733" s="164"/>
      <c r="O3733" s="165">
        <f t="shared" si="856"/>
        <v>0</v>
      </c>
      <c r="P3733" s="166"/>
      <c r="Q3733" s="166">
        <f t="shared" si="855"/>
        <v>0</v>
      </c>
      <c r="R3733" s="71"/>
    </row>
    <row r="3734" spans="1:18" s="61" customFormat="1" x14ac:dyDescent="0.25">
      <c r="A3734" s="358"/>
      <c r="B3734" s="361"/>
      <c r="C3734" s="366"/>
      <c r="D3734" s="254" t="s">
        <v>416</v>
      </c>
      <c r="E3734" s="156" t="s">
        <v>28</v>
      </c>
      <c r="F3734" s="156" t="s">
        <v>28</v>
      </c>
      <c r="G3734" s="238">
        <f>MROUND(H3734*L3734*I3734/K3734,0.000000001)</f>
        <v>0</v>
      </c>
      <c r="H3734" s="246"/>
      <c r="I3734" s="159">
        <f t="shared" si="857"/>
        <v>1.85677E-3</v>
      </c>
      <c r="J3734" s="160"/>
      <c r="K3734" s="161">
        <f t="shared" si="858"/>
        <v>56</v>
      </c>
      <c r="L3734" s="250">
        <v>1</v>
      </c>
      <c r="M3734" s="163"/>
      <c r="N3734" s="164"/>
      <c r="O3734" s="165">
        <f t="shared" si="856"/>
        <v>0</v>
      </c>
      <c r="P3734" s="166"/>
      <c r="Q3734" s="166">
        <f t="shared" si="855"/>
        <v>0</v>
      </c>
      <c r="R3734" s="71"/>
    </row>
    <row r="3735" spans="1:18" s="61" customFormat="1" x14ac:dyDescent="0.25">
      <c r="A3735" s="358"/>
      <c r="B3735" s="361"/>
      <c r="C3735" s="366"/>
      <c r="D3735" s="254" t="s">
        <v>417</v>
      </c>
      <c r="E3735" s="156" t="s">
        <v>28</v>
      </c>
      <c r="F3735" s="156" t="s">
        <v>28</v>
      </c>
      <c r="G3735" s="238">
        <f>MROUND(H3735*L3735*I3735/K3735,0.00000001)</f>
        <v>0</v>
      </c>
      <c r="H3735" s="158"/>
      <c r="I3735" s="159">
        <f t="shared" si="857"/>
        <v>1.85677E-3</v>
      </c>
      <c r="J3735" s="160"/>
      <c r="K3735" s="161">
        <f t="shared" si="858"/>
        <v>56</v>
      </c>
      <c r="L3735" s="250">
        <v>1</v>
      </c>
      <c r="M3735" s="163"/>
      <c r="N3735" s="164"/>
      <c r="O3735" s="165">
        <f t="shared" si="856"/>
        <v>0</v>
      </c>
      <c r="P3735" s="166"/>
      <c r="Q3735" s="166">
        <f t="shared" si="855"/>
        <v>0</v>
      </c>
      <c r="R3735" s="71"/>
    </row>
    <row r="3736" spans="1:18" s="61" customFormat="1" ht="30" x14ac:dyDescent="0.25">
      <c r="A3736" s="358"/>
      <c r="B3736" s="361"/>
      <c r="C3736" s="366"/>
      <c r="D3736" s="254" t="s">
        <v>418</v>
      </c>
      <c r="E3736" s="156" t="s">
        <v>28</v>
      </c>
      <c r="F3736" s="156" t="s">
        <v>28</v>
      </c>
      <c r="G3736" s="238">
        <f>MROUND(H3736*L3736*I3736/K3736,0.00000001)</f>
        <v>0</v>
      </c>
      <c r="H3736" s="158"/>
      <c r="I3736" s="159">
        <f t="shared" si="857"/>
        <v>1.85677E-3</v>
      </c>
      <c r="J3736" s="160"/>
      <c r="K3736" s="161">
        <f t="shared" si="858"/>
        <v>56</v>
      </c>
      <c r="L3736" s="250">
        <v>1</v>
      </c>
      <c r="M3736" s="163"/>
      <c r="N3736" s="164"/>
      <c r="O3736" s="165">
        <f t="shared" si="856"/>
        <v>0</v>
      </c>
      <c r="P3736" s="166"/>
      <c r="Q3736" s="166">
        <f t="shared" si="855"/>
        <v>0</v>
      </c>
      <c r="R3736" s="71"/>
    </row>
    <row r="3737" spans="1:18" s="61" customFormat="1" x14ac:dyDescent="0.25">
      <c r="A3737" s="358"/>
      <c r="B3737" s="361"/>
      <c r="C3737" s="366"/>
      <c r="D3737" s="254" t="s">
        <v>324</v>
      </c>
      <c r="E3737" s="156" t="s">
        <v>28</v>
      </c>
      <c r="F3737" s="156" t="s">
        <v>28</v>
      </c>
      <c r="G3737" s="238">
        <f>MROUND(H3737*L3737*I3737/K3737,0.000000001)</f>
        <v>0</v>
      </c>
      <c r="H3737" s="158"/>
      <c r="I3737" s="159">
        <f t="shared" si="857"/>
        <v>1.85677E-3</v>
      </c>
      <c r="J3737" s="160"/>
      <c r="K3737" s="161">
        <f t="shared" si="858"/>
        <v>56</v>
      </c>
      <c r="L3737" s="250">
        <v>1</v>
      </c>
      <c r="M3737" s="163"/>
      <c r="N3737" s="164"/>
      <c r="O3737" s="165">
        <f t="shared" si="856"/>
        <v>0</v>
      </c>
      <c r="P3737" s="166"/>
      <c r="Q3737" s="166">
        <f t="shared" si="855"/>
        <v>0</v>
      </c>
      <c r="R3737" s="71"/>
    </row>
    <row r="3738" spans="1:18" s="61" customFormat="1" x14ac:dyDescent="0.25">
      <c r="A3738" s="358"/>
      <c r="B3738" s="361"/>
      <c r="C3738" s="366"/>
      <c r="D3738" s="254" t="s">
        <v>419</v>
      </c>
      <c r="E3738" s="156" t="s">
        <v>28</v>
      </c>
      <c r="F3738" s="156" t="s">
        <v>28</v>
      </c>
      <c r="G3738" s="238">
        <f>MROUND(H3738*L3738*I3738/K3738,0.000000001)</f>
        <v>0</v>
      </c>
      <c r="H3738" s="246"/>
      <c r="I3738" s="159">
        <f t="shared" si="857"/>
        <v>1.85677E-3</v>
      </c>
      <c r="J3738" s="160"/>
      <c r="K3738" s="161">
        <f t="shared" si="858"/>
        <v>56</v>
      </c>
      <c r="L3738" s="250">
        <v>1</v>
      </c>
      <c r="M3738" s="163"/>
      <c r="N3738" s="164"/>
      <c r="O3738" s="165">
        <f t="shared" si="856"/>
        <v>0</v>
      </c>
      <c r="P3738" s="166"/>
      <c r="Q3738" s="166">
        <f t="shared" si="855"/>
        <v>0</v>
      </c>
      <c r="R3738" s="71"/>
    </row>
    <row r="3739" spans="1:18" s="61" customFormat="1" x14ac:dyDescent="0.25">
      <c r="A3739" s="358"/>
      <c r="B3739" s="361"/>
      <c r="C3739" s="366"/>
      <c r="D3739" s="254" t="s">
        <v>420</v>
      </c>
      <c r="E3739" s="156" t="s">
        <v>28</v>
      </c>
      <c r="F3739" s="156" t="s">
        <v>28</v>
      </c>
      <c r="G3739" s="238">
        <f>MROUND(H3739*L3739*I3739/K3739,0.000000001)</f>
        <v>0</v>
      </c>
      <c r="H3739" s="158"/>
      <c r="I3739" s="159">
        <f t="shared" si="857"/>
        <v>1.85677E-3</v>
      </c>
      <c r="J3739" s="160"/>
      <c r="K3739" s="161">
        <f t="shared" si="858"/>
        <v>56</v>
      </c>
      <c r="L3739" s="250">
        <v>1</v>
      </c>
      <c r="M3739" s="163"/>
      <c r="N3739" s="164"/>
      <c r="O3739" s="165">
        <f t="shared" si="856"/>
        <v>0</v>
      </c>
      <c r="P3739" s="166"/>
      <c r="Q3739" s="166">
        <f t="shared" si="855"/>
        <v>0</v>
      </c>
      <c r="R3739" s="71"/>
    </row>
    <row r="3740" spans="1:18" s="61" customFormat="1" x14ac:dyDescent="0.25">
      <c r="A3740" s="358"/>
      <c r="B3740" s="361"/>
      <c r="C3740" s="366"/>
      <c r="D3740" s="254" t="s">
        <v>421</v>
      </c>
      <c r="E3740" s="156" t="s">
        <v>28</v>
      </c>
      <c r="F3740" s="156" t="s">
        <v>28</v>
      </c>
      <c r="G3740" s="238">
        <f>MROUND(H3740*L3740*I3740/K3740,0.00000001)</f>
        <v>0</v>
      </c>
      <c r="H3740" s="158"/>
      <c r="I3740" s="159">
        <f t="shared" si="857"/>
        <v>1.85677E-3</v>
      </c>
      <c r="J3740" s="160"/>
      <c r="K3740" s="161">
        <f t="shared" si="858"/>
        <v>56</v>
      </c>
      <c r="L3740" s="250">
        <v>1</v>
      </c>
      <c r="M3740" s="163"/>
      <c r="N3740" s="164"/>
      <c r="O3740" s="165">
        <f t="shared" si="856"/>
        <v>0</v>
      </c>
      <c r="P3740" s="166"/>
      <c r="Q3740" s="166">
        <f t="shared" si="855"/>
        <v>0</v>
      </c>
      <c r="R3740" s="71"/>
    </row>
    <row r="3741" spans="1:18" s="61" customFormat="1" ht="30" x14ac:dyDescent="0.25">
      <c r="A3741" s="358"/>
      <c r="B3741" s="361"/>
      <c r="C3741" s="366"/>
      <c r="D3741" s="254" t="s">
        <v>422</v>
      </c>
      <c r="E3741" s="156" t="s">
        <v>28</v>
      </c>
      <c r="F3741" s="156" t="s">
        <v>28</v>
      </c>
      <c r="G3741" s="266">
        <f>MROUND(H3741*L3741*I3741/K3741,0.00000001)</f>
        <v>0</v>
      </c>
      <c r="H3741" s="158"/>
      <c r="I3741" s="159">
        <f t="shared" si="857"/>
        <v>1.85677E-3</v>
      </c>
      <c r="J3741" s="160"/>
      <c r="K3741" s="161">
        <f t="shared" si="858"/>
        <v>56</v>
      </c>
      <c r="L3741" s="250">
        <v>1</v>
      </c>
      <c r="M3741" s="163"/>
      <c r="N3741" s="164"/>
      <c r="O3741" s="165">
        <f t="shared" si="856"/>
        <v>0</v>
      </c>
      <c r="P3741" s="166"/>
      <c r="Q3741" s="166">
        <f t="shared" si="855"/>
        <v>0</v>
      </c>
      <c r="R3741" s="71"/>
    </row>
    <row r="3742" spans="1:18" s="61" customFormat="1" x14ac:dyDescent="0.25">
      <c r="A3742" s="358"/>
      <c r="B3742" s="361"/>
      <c r="C3742" s="366"/>
      <c r="D3742" s="254" t="s">
        <v>423</v>
      </c>
      <c r="E3742" s="156" t="s">
        <v>28</v>
      </c>
      <c r="F3742" s="156" t="s">
        <v>28</v>
      </c>
      <c r="G3742" s="238">
        <f>MROUND(H3742*L3742*I3742/K3742,0.000000001)</f>
        <v>0</v>
      </c>
      <c r="H3742" s="158"/>
      <c r="I3742" s="159">
        <f t="shared" si="857"/>
        <v>1.85677E-3</v>
      </c>
      <c r="J3742" s="160"/>
      <c r="K3742" s="161">
        <f t="shared" si="858"/>
        <v>56</v>
      </c>
      <c r="L3742" s="250">
        <v>1</v>
      </c>
      <c r="M3742" s="163"/>
      <c r="N3742" s="164"/>
      <c r="O3742" s="165">
        <f t="shared" si="856"/>
        <v>0</v>
      </c>
      <c r="P3742" s="166"/>
      <c r="Q3742" s="166">
        <f t="shared" si="855"/>
        <v>0</v>
      </c>
      <c r="R3742" s="71"/>
    </row>
    <row r="3743" spans="1:18" s="61" customFormat="1" x14ac:dyDescent="0.25">
      <c r="A3743" s="358"/>
      <c r="B3743" s="361"/>
      <c r="C3743" s="366"/>
      <c r="D3743" s="254" t="s">
        <v>424</v>
      </c>
      <c r="E3743" s="156" t="s">
        <v>28</v>
      </c>
      <c r="F3743" s="156" t="s">
        <v>28</v>
      </c>
      <c r="G3743" s="238">
        <f t="shared" ref="G3743:G3749" si="859">MROUND(H3743*L3743*I3743/K3743,0.00000001)</f>
        <v>0</v>
      </c>
      <c r="H3743" s="158"/>
      <c r="I3743" s="159">
        <f>I3732</f>
        <v>1.85677E-3</v>
      </c>
      <c r="J3743" s="160"/>
      <c r="K3743" s="161">
        <f>K3732</f>
        <v>56</v>
      </c>
      <c r="L3743" s="250">
        <v>1</v>
      </c>
      <c r="M3743" s="163"/>
      <c r="N3743" s="164"/>
      <c r="O3743" s="165">
        <f t="shared" si="856"/>
        <v>0</v>
      </c>
      <c r="P3743" s="166"/>
      <c r="Q3743" s="166">
        <f t="shared" si="855"/>
        <v>0</v>
      </c>
      <c r="R3743" s="71"/>
    </row>
    <row r="3744" spans="1:18" s="61" customFormat="1" x14ac:dyDescent="0.25">
      <c r="A3744" s="358"/>
      <c r="B3744" s="361"/>
      <c r="C3744" s="366"/>
      <c r="D3744" s="254" t="s">
        <v>425</v>
      </c>
      <c r="E3744" s="156" t="s">
        <v>28</v>
      </c>
      <c r="F3744" s="156" t="s">
        <v>28</v>
      </c>
      <c r="G3744" s="277">
        <f t="shared" si="859"/>
        <v>0</v>
      </c>
      <c r="H3744" s="158"/>
      <c r="I3744" s="159">
        <f t="shared" ref="I3744:I3749" si="860">I3743</f>
        <v>1.85677E-3</v>
      </c>
      <c r="J3744" s="160"/>
      <c r="K3744" s="161">
        <f t="shared" ref="K3744:K3749" si="861">K3743</f>
        <v>56</v>
      </c>
      <c r="L3744" s="250">
        <v>1</v>
      </c>
      <c r="M3744" s="163"/>
      <c r="N3744" s="164"/>
      <c r="O3744" s="165">
        <f t="shared" si="856"/>
        <v>0</v>
      </c>
      <c r="P3744" s="166"/>
      <c r="Q3744" s="166">
        <f t="shared" si="855"/>
        <v>0</v>
      </c>
      <c r="R3744" s="71"/>
    </row>
    <row r="3745" spans="1:18" s="61" customFormat="1" x14ac:dyDescent="0.25">
      <c r="A3745" s="358"/>
      <c r="B3745" s="361"/>
      <c r="C3745" s="366"/>
      <c r="D3745" s="254" t="s">
        <v>108</v>
      </c>
      <c r="E3745" s="156" t="s">
        <v>28</v>
      </c>
      <c r="F3745" s="156" t="s">
        <v>28</v>
      </c>
      <c r="G3745" s="238">
        <f t="shared" si="859"/>
        <v>0</v>
      </c>
      <c r="H3745" s="158"/>
      <c r="I3745" s="159">
        <f t="shared" si="860"/>
        <v>1.85677E-3</v>
      </c>
      <c r="J3745" s="160"/>
      <c r="K3745" s="161">
        <f t="shared" si="861"/>
        <v>56</v>
      </c>
      <c r="L3745" s="250">
        <v>1</v>
      </c>
      <c r="M3745" s="163"/>
      <c r="N3745" s="164"/>
      <c r="O3745" s="165">
        <f t="shared" si="856"/>
        <v>0</v>
      </c>
      <c r="P3745" s="166"/>
      <c r="Q3745" s="166">
        <f t="shared" si="855"/>
        <v>0</v>
      </c>
      <c r="R3745" s="71"/>
    </row>
    <row r="3746" spans="1:18" s="61" customFormat="1" x14ac:dyDescent="0.25">
      <c r="A3746" s="358"/>
      <c r="B3746" s="361"/>
      <c r="C3746" s="366"/>
      <c r="D3746" s="254" t="s">
        <v>426</v>
      </c>
      <c r="E3746" s="156" t="s">
        <v>28</v>
      </c>
      <c r="F3746" s="156" t="s">
        <v>28</v>
      </c>
      <c r="G3746" s="238">
        <f t="shared" si="859"/>
        <v>0</v>
      </c>
      <c r="H3746" s="158"/>
      <c r="I3746" s="159">
        <f t="shared" si="860"/>
        <v>1.85677E-3</v>
      </c>
      <c r="J3746" s="160"/>
      <c r="K3746" s="161">
        <f t="shared" si="861"/>
        <v>56</v>
      </c>
      <c r="L3746" s="250">
        <v>1</v>
      </c>
      <c r="M3746" s="163"/>
      <c r="N3746" s="164"/>
      <c r="O3746" s="165">
        <f t="shared" si="856"/>
        <v>0</v>
      </c>
      <c r="P3746" s="166"/>
      <c r="Q3746" s="166">
        <f t="shared" si="855"/>
        <v>0</v>
      </c>
      <c r="R3746" s="71"/>
    </row>
    <row r="3747" spans="1:18" s="61" customFormat="1" x14ac:dyDescent="0.25">
      <c r="A3747" s="358"/>
      <c r="B3747" s="361"/>
      <c r="C3747" s="366"/>
      <c r="D3747" s="254" t="s">
        <v>427</v>
      </c>
      <c r="E3747" s="156" t="s">
        <v>28</v>
      </c>
      <c r="F3747" s="156" t="s">
        <v>28</v>
      </c>
      <c r="G3747" s="238">
        <f t="shared" si="859"/>
        <v>0</v>
      </c>
      <c r="H3747" s="158"/>
      <c r="I3747" s="159">
        <f t="shared" si="860"/>
        <v>1.85677E-3</v>
      </c>
      <c r="J3747" s="160"/>
      <c r="K3747" s="161">
        <f t="shared" si="861"/>
        <v>56</v>
      </c>
      <c r="L3747" s="250">
        <v>1</v>
      </c>
      <c r="M3747" s="163"/>
      <c r="N3747" s="164"/>
      <c r="O3747" s="165">
        <f t="shared" si="856"/>
        <v>0</v>
      </c>
      <c r="P3747" s="166"/>
      <c r="Q3747" s="166">
        <f t="shared" si="855"/>
        <v>0</v>
      </c>
      <c r="R3747" s="71"/>
    </row>
    <row r="3748" spans="1:18" s="61" customFormat="1" x14ac:dyDescent="0.25">
      <c r="A3748" s="358"/>
      <c r="B3748" s="361"/>
      <c r="C3748" s="366"/>
      <c r="D3748" s="254" t="s">
        <v>428</v>
      </c>
      <c r="E3748" s="156" t="s">
        <v>28</v>
      </c>
      <c r="F3748" s="156" t="s">
        <v>28</v>
      </c>
      <c r="G3748" s="238">
        <f t="shared" si="859"/>
        <v>0</v>
      </c>
      <c r="H3748" s="158"/>
      <c r="I3748" s="159">
        <f t="shared" si="860"/>
        <v>1.85677E-3</v>
      </c>
      <c r="J3748" s="160"/>
      <c r="K3748" s="161">
        <f t="shared" si="861"/>
        <v>56</v>
      </c>
      <c r="L3748" s="250">
        <v>1</v>
      </c>
      <c r="M3748" s="163"/>
      <c r="N3748" s="164"/>
      <c r="O3748" s="165">
        <f t="shared" si="856"/>
        <v>0</v>
      </c>
      <c r="P3748" s="166"/>
      <c r="Q3748" s="166">
        <f t="shared" si="855"/>
        <v>0</v>
      </c>
      <c r="R3748" s="71"/>
    </row>
    <row r="3749" spans="1:18" s="61" customFormat="1" x14ac:dyDescent="0.25">
      <c r="A3749" s="358"/>
      <c r="B3749" s="361"/>
      <c r="C3749" s="366"/>
      <c r="D3749" s="255" t="s">
        <v>429</v>
      </c>
      <c r="E3749" s="156" t="s">
        <v>28</v>
      </c>
      <c r="F3749" s="156" t="s">
        <v>28</v>
      </c>
      <c r="G3749" s="238">
        <f t="shared" si="859"/>
        <v>0</v>
      </c>
      <c r="H3749" s="158"/>
      <c r="I3749" s="159">
        <f t="shared" si="860"/>
        <v>1.85677E-3</v>
      </c>
      <c r="J3749" s="160"/>
      <c r="K3749" s="161">
        <f t="shared" si="861"/>
        <v>56</v>
      </c>
      <c r="L3749" s="250">
        <v>1</v>
      </c>
      <c r="M3749" s="163"/>
      <c r="N3749" s="164"/>
      <c r="O3749" s="165">
        <f t="shared" si="856"/>
        <v>0</v>
      </c>
      <c r="P3749" s="166"/>
      <c r="Q3749" s="166">
        <f t="shared" si="855"/>
        <v>0</v>
      </c>
      <c r="R3749" s="71"/>
    </row>
    <row r="3750" spans="1:18" s="61" customFormat="1" x14ac:dyDescent="0.25">
      <c r="A3750" s="358"/>
      <c r="B3750" s="361"/>
      <c r="C3750" s="249" t="s">
        <v>311</v>
      </c>
      <c r="D3750" s="256"/>
      <c r="E3750" s="240"/>
      <c r="F3750" s="240"/>
      <c r="G3750" s="227"/>
      <c r="H3750" s="241"/>
      <c r="I3750" s="206"/>
      <c r="J3750" s="228"/>
      <c r="K3750" s="207"/>
      <c r="L3750" s="257"/>
      <c r="M3750" s="209"/>
      <c r="N3750" s="210"/>
      <c r="O3750" s="198">
        <f>SUM(O3726:O3749)</f>
        <v>0</v>
      </c>
      <c r="P3750" s="166"/>
      <c r="Q3750" s="166"/>
      <c r="R3750" s="71"/>
    </row>
    <row r="3751" spans="1:18" s="61" customFormat="1" ht="110.25" x14ac:dyDescent="0.25">
      <c r="A3751" s="358"/>
      <c r="B3751" s="361"/>
      <c r="C3751" s="221" t="s">
        <v>82</v>
      </c>
      <c r="D3751" s="156" t="s">
        <v>46</v>
      </c>
      <c r="E3751" s="156" t="s">
        <v>54</v>
      </c>
      <c r="F3751" s="156" t="s">
        <v>285</v>
      </c>
      <c r="G3751" s="238">
        <f>MROUND(H3751*L3751*I3751/K3751,0.000001)</f>
        <v>0.37500099999999997</v>
      </c>
      <c r="H3751" s="242">
        <f>H3511</f>
        <v>1028.181818181818</v>
      </c>
      <c r="I3751" s="159">
        <f>I3749</f>
        <v>1.85677E-3</v>
      </c>
      <c r="J3751" s="160"/>
      <c r="K3751" s="161">
        <f>K3749</f>
        <v>56</v>
      </c>
      <c r="L3751" s="225">
        <f>L3511</f>
        <v>11</v>
      </c>
      <c r="M3751" s="163" t="str">
        <f>CONCATENATE(H3751," ",F3751,"*",L3751,"автобуса","*",I3751,"/",K3751,"чел.")</f>
        <v>1028,18181818182 л бензина АИ 92 (12,5л/день(зимой)*20дней*7мес+10л/день(летом)*20дней*4мес)*11автобуса*0,00185677/56чел.</v>
      </c>
      <c r="N3751" s="164">
        <f>N3511</f>
        <v>57.007000000000005</v>
      </c>
      <c r="O3751" s="165">
        <f>MROUND(G3751*N3751,0.000001)</f>
        <v>21.377682</v>
      </c>
      <c r="P3751" s="166"/>
      <c r="Q3751" s="166">
        <f t="shared" ref="Q3751" si="862">O3751*K3751</f>
        <v>1197.1501920000001</v>
      </c>
      <c r="R3751" s="71"/>
    </row>
    <row r="3752" spans="1:18" s="61" customFormat="1" x14ac:dyDescent="0.25">
      <c r="A3752" s="358"/>
      <c r="B3752" s="361"/>
      <c r="C3752" s="218" t="s">
        <v>309</v>
      </c>
      <c r="D3752" s="240"/>
      <c r="E3752" s="240"/>
      <c r="F3752" s="240"/>
      <c r="G3752" s="227"/>
      <c r="H3752" s="241"/>
      <c r="I3752" s="206"/>
      <c r="J3752" s="228"/>
      <c r="K3752" s="207"/>
      <c r="L3752" s="257"/>
      <c r="M3752" s="209"/>
      <c r="N3752" s="210"/>
      <c r="O3752" s="198">
        <f>SUM(O3751)</f>
        <v>21.377682</v>
      </c>
      <c r="P3752" s="166"/>
      <c r="Q3752" s="166"/>
      <c r="R3752" s="71"/>
    </row>
    <row r="3753" spans="1:18" s="61" customFormat="1" ht="47.25" x14ac:dyDescent="0.25">
      <c r="A3753" s="358"/>
      <c r="B3753" s="361"/>
      <c r="C3753" s="221" t="s">
        <v>434</v>
      </c>
      <c r="D3753" s="156" t="s">
        <v>436</v>
      </c>
      <c r="E3753" s="156" t="s">
        <v>28</v>
      </c>
      <c r="F3753" s="156" t="s">
        <v>437</v>
      </c>
      <c r="G3753" s="157">
        <f>MROUND(H3753*L3753*I3753/K3753,0.000001)</f>
        <v>9.6150000000000003E-3</v>
      </c>
      <c r="H3753" s="242">
        <f>$H$125</f>
        <v>290</v>
      </c>
      <c r="I3753" s="159">
        <f>I3751</f>
        <v>1.85677E-3</v>
      </c>
      <c r="J3753" s="160"/>
      <c r="K3753" s="161">
        <f>K3751</f>
        <v>56</v>
      </c>
      <c r="L3753" s="162">
        <v>1</v>
      </c>
      <c r="M3753" s="163" t="str">
        <f>CONCATENATE(H3753," ",F3753,"*",L3753,"автобуса","*",I3753,"/",K3753,"чел.")</f>
        <v>290 огнетушителей (потребность учреждений) *1автобуса*0,00185677/56чел.</v>
      </c>
      <c r="N3753" s="164">
        <f>$N$125</f>
        <v>2000</v>
      </c>
      <c r="O3753" s="165">
        <f>MROUND(G3753*N3753,0.000001)</f>
        <v>19.23</v>
      </c>
      <c r="P3753" s="166"/>
      <c r="Q3753" s="166">
        <f t="shared" ref="Q3753" si="863">O3753*K3753</f>
        <v>1076.8800000000001</v>
      </c>
      <c r="R3753" s="71"/>
    </row>
    <row r="3754" spans="1:18" s="61" customFormat="1" x14ac:dyDescent="0.25">
      <c r="A3754" s="358"/>
      <c r="B3754" s="361"/>
      <c r="C3754" s="218" t="s">
        <v>435</v>
      </c>
      <c r="D3754" s="240"/>
      <c r="E3754" s="240"/>
      <c r="F3754" s="240"/>
      <c r="G3754" s="251"/>
      <c r="H3754" s="241"/>
      <c r="I3754" s="206"/>
      <c r="J3754" s="228"/>
      <c r="K3754" s="207"/>
      <c r="L3754" s="229"/>
      <c r="M3754" s="209"/>
      <c r="N3754" s="210"/>
      <c r="O3754" s="198">
        <f>SUM(O3753)</f>
        <v>19.23</v>
      </c>
      <c r="P3754" s="166"/>
      <c r="Q3754" s="166"/>
      <c r="R3754" s="71"/>
    </row>
    <row r="3755" spans="1:18" s="61" customFormat="1" ht="47.25" x14ac:dyDescent="0.25">
      <c r="A3755" s="358"/>
      <c r="B3755" s="361"/>
      <c r="C3755" s="364" t="s">
        <v>118</v>
      </c>
      <c r="D3755" s="156" t="s">
        <v>47</v>
      </c>
      <c r="E3755" s="156" t="s">
        <v>28</v>
      </c>
      <c r="F3755" s="156" t="s">
        <v>239</v>
      </c>
      <c r="G3755" s="238">
        <f>MROUND(H3755*L3755*I3755/K3755,0.00000001)</f>
        <v>4.7745499999999998E-3</v>
      </c>
      <c r="H3755" s="158">
        <f>H3515</f>
        <v>144</v>
      </c>
      <c r="I3755" s="159">
        <f>I3751</f>
        <v>1.85677E-3</v>
      </c>
      <c r="J3755" s="160"/>
      <c r="K3755" s="161">
        <f>K3751</f>
        <v>56</v>
      </c>
      <c r="L3755" s="250">
        <v>1</v>
      </c>
      <c r="M3755" s="163" t="str">
        <f>CONCATENATE(H3755," ",F3755,"*",I3755,"/",K3755,"чел.")</f>
        <v>144 манометров (потребность учреждений) *0,00185677/56чел.</v>
      </c>
      <c r="N3755" s="164">
        <f>N3515</f>
        <v>720.50416666666672</v>
      </c>
      <c r="O3755" s="165">
        <f>MROUND(G3755*N3755,0.000001)</f>
        <v>3.440083</v>
      </c>
      <c r="P3755" s="166"/>
      <c r="Q3755" s="166">
        <f t="shared" ref="Q3755:Q3756" si="864">O3755*K3755</f>
        <v>192.64464799999999</v>
      </c>
      <c r="R3755" s="71"/>
    </row>
    <row r="3756" spans="1:18" s="61" customFormat="1" ht="47.25" x14ac:dyDescent="0.25">
      <c r="A3756" s="358"/>
      <c r="B3756" s="361"/>
      <c r="C3756" s="364"/>
      <c r="D3756" s="255" t="s">
        <v>113</v>
      </c>
      <c r="E3756" s="156" t="s">
        <v>28</v>
      </c>
      <c r="F3756" s="156" t="s">
        <v>240</v>
      </c>
      <c r="G3756" s="238">
        <f>MROUND(H3756*L3756*I3756/K3756,0.00000001)</f>
        <v>0.18949001000000001</v>
      </c>
      <c r="H3756" s="158">
        <f>H3516</f>
        <v>5715</v>
      </c>
      <c r="I3756" s="159">
        <f>I3755</f>
        <v>1.85677E-3</v>
      </c>
      <c r="J3756" s="160"/>
      <c r="K3756" s="161">
        <f>K3755</f>
        <v>56</v>
      </c>
      <c r="L3756" s="250">
        <v>1</v>
      </c>
      <c r="M3756" s="163" t="str">
        <f>CONCATENATE(H3756," ",F3756,"*",I3756,"/",K3756,"чел.")</f>
        <v>5715 светильников (потребность учреждений)*0,00185677/56чел.</v>
      </c>
      <c r="N3756" s="164">
        <f>N3516</f>
        <v>111.16365879265086</v>
      </c>
      <c r="O3756" s="165">
        <f>MROUND(G3756*N3756,0.000001)</f>
        <v>21.064402999999999</v>
      </c>
      <c r="P3756" s="166"/>
      <c r="Q3756" s="166">
        <f t="shared" si="864"/>
        <v>1179.6065679999999</v>
      </c>
      <c r="R3756" s="71"/>
    </row>
    <row r="3757" spans="1:18" s="61" customFormat="1" x14ac:dyDescent="0.25">
      <c r="A3757" s="359"/>
      <c r="B3757" s="362"/>
      <c r="C3757" s="218" t="s">
        <v>310</v>
      </c>
      <c r="D3757" s="256"/>
      <c r="E3757" s="240"/>
      <c r="F3757" s="240"/>
      <c r="G3757" s="227"/>
      <c r="H3757" s="241"/>
      <c r="I3757" s="206"/>
      <c r="J3757" s="228"/>
      <c r="K3757" s="207"/>
      <c r="L3757" s="257"/>
      <c r="M3757" s="209"/>
      <c r="N3757" s="210"/>
      <c r="O3757" s="198">
        <f>SUM(O3755:O3756)</f>
        <v>24.504486</v>
      </c>
      <c r="P3757" s="166"/>
      <c r="Q3757" s="166"/>
      <c r="R3757" s="71"/>
    </row>
    <row r="3758" spans="1:18" s="61" customFormat="1" x14ac:dyDescent="0.25">
      <c r="A3758" s="357" t="str">
        <f>CONCATENATE(школы!$B$9,", ",школы!$C$9,", ",школы!$D$9)</f>
        <v xml:space="preserve">Реализация основных общеобразовательных программ начального общего образования, , </v>
      </c>
      <c r="B3758" s="360" t="str">
        <f>школы!$A$9</f>
        <v>801012О.99.0.БА81АЭ92001</v>
      </c>
      <c r="C3758" s="194"/>
      <c r="D3758" s="363" t="s">
        <v>15</v>
      </c>
      <c r="E3758" s="363"/>
      <c r="F3758" s="363"/>
      <c r="G3758" s="363"/>
      <c r="H3758" s="195"/>
      <c r="I3758" s="195"/>
      <c r="J3758" s="195"/>
      <c r="K3758" s="195"/>
      <c r="L3758" s="196"/>
      <c r="M3758" s="197"/>
      <c r="N3758" s="164"/>
      <c r="O3758" s="198">
        <f>O3759+O3764+O3766</f>
        <v>6152.298676673</v>
      </c>
      <c r="P3758" s="166"/>
      <c r="Q3758" s="166"/>
      <c r="R3758" s="71"/>
    </row>
    <row r="3759" spans="1:18" s="61" customFormat="1" x14ac:dyDescent="0.25">
      <c r="A3759" s="358"/>
      <c r="B3759" s="361"/>
      <c r="C3759" s="194"/>
      <c r="D3759" s="350" t="s">
        <v>62</v>
      </c>
      <c r="E3759" s="350"/>
      <c r="F3759" s="350"/>
      <c r="G3759" s="350"/>
      <c r="H3759" s="195"/>
      <c r="I3759" s="195"/>
      <c r="J3759" s="195"/>
      <c r="K3759" s="195"/>
      <c r="L3759" s="196"/>
      <c r="M3759" s="197"/>
      <c r="N3759" s="164"/>
      <c r="O3759" s="165">
        <f>O3761+O3763</f>
        <v>6152.298676673</v>
      </c>
      <c r="P3759" s="166"/>
      <c r="Q3759" s="166"/>
      <c r="R3759" s="71"/>
    </row>
    <row r="3760" spans="1:18" s="61" customFormat="1" ht="31.5" x14ac:dyDescent="0.25">
      <c r="A3760" s="358"/>
      <c r="B3760" s="361"/>
      <c r="C3760" s="194">
        <v>211</v>
      </c>
      <c r="D3760" s="194" t="s">
        <v>86</v>
      </c>
      <c r="E3760" s="199" t="s">
        <v>95</v>
      </c>
      <c r="F3760" s="199" t="s">
        <v>95</v>
      </c>
      <c r="G3760" s="275">
        <f>MROUND(H3760*L3760*I3760/K3760,0.0000000001)</f>
        <v>0.36676551540000002</v>
      </c>
      <c r="H3760" s="201">
        <f>H3400</f>
        <v>921.8</v>
      </c>
      <c r="I3760" s="159">
        <f>школы!$K$9</f>
        <v>0.30039917999999999</v>
      </c>
      <c r="J3760" s="159"/>
      <c r="K3760" s="161">
        <f>школы!$G$9</f>
        <v>9060</v>
      </c>
      <c r="L3760" s="202">
        <v>12</v>
      </c>
      <c r="M3760" s="163" t="str">
        <f>CONCATENATE(H3760," ",F3760," ","в мес.","*",L3760,"мес.","*",I3760,"/",K3760,"чел.")</f>
        <v>921,8 шт.ед в мес.*12мес.*0,30039918/9060чел.</v>
      </c>
      <c r="N3760" s="164">
        <f>N3400</f>
        <v>12883.620739314385</v>
      </c>
      <c r="O3760" s="165">
        <f>MROUND(G3760*N3760,0.000000001)</f>
        <v>4725.2678006730002</v>
      </c>
      <c r="P3760" s="166"/>
      <c r="Q3760" s="166">
        <f t="shared" ref="Q3760" si="865">O3760*K3760</f>
        <v>42810926.274097383</v>
      </c>
      <c r="R3760" s="71"/>
    </row>
    <row r="3761" spans="1:18" s="61" customFormat="1" x14ac:dyDescent="0.25">
      <c r="A3761" s="358"/>
      <c r="B3761" s="361"/>
      <c r="C3761" s="203" t="s">
        <v>288</v>
      </c>
      <c r="D3761" s="203"/>
      <c r="E3761" s="204"/>
      <c r="F3761" s="204"/>
      <c r="G3761" s="205"/>
      <c r="H3761" s="206"/>
      <c r="I3761" s="206"/>
      <c r="J3761" s="206"/>
      <c r="K3761" s="207"/>
      <c r="L3761" s="208"/>
      <c r="M3761" s="209"/>
      <c r="N3761" s="210">
        <f>N3760</f>
        <v>12883.620739314385</v>
      </c>
      <c r="O3761" s="198">
        <f>O3760</f>
        <v>4725.2678006730002</v>
      </c>
      <c r="P3761" s="166"/>
      <c r="Q3761" s="166"/>
      <c r="R3761" s="71"/>
    </row>
    <row r="3762" spans="1:18" s="61" customFormat="1" x14ac:dyDescent="0.25">
      <c r="A3762" s="358"/>
      <c r="B3762" s="361"/>
      <c r="C3762" s="194">
        <v>213</v>
      </c>
      <c r="D3762" s="194" t="s">
        <v>87</v>
      </c>
      <c r="E3762" s="194" t="s">
        <v>88</v>
      </c>
      <c r="F3762" s="194"/>
      <c r="G3762" s="211">
        <v>30.2</v>
      </c>
      <c r="H3762" s="159"/>
      <c r="I3762" s="159"/>
      <c r="J3762" s="159"/>
      <c r="K3762" s="161">
        <f>K3760</f>
        <v>9060</v>
      </c>
      <c r="L3762" s="202"/>
      <c r="M3762" s="212"/>
      <c r="N3762" s="164"/>
      <c r="O3762" s="165">
        <f>MROUND(O3760*0.302,0.000001)</f>
        <v>1427.030876</v>
      </c>
      <c r="P3762" s="166"/>
      <c r="Q3762" s="166">
        <f>O3762*K3762</f>
        <v>12928899.73656</v>
      </c>
      <c r="R3762" s="71"/>
    </row>
    <row r="3763" spans="1:18" s="61" customFormat="1" x14ac:dyDescent="0.25">
      <c r="A3763" s="358"/>
      <c r="B3763" s="361"/>
      <c r="C3763" s="203" t="s">
        <v>289</v>
      </c>
      <c r="D3763" s="203"/>
      <c r="E3763" s="203"/>
      <c r="F3763" s="203"/>
      <c r="G3763" s="213"/>
      <c r="H3763" s="214"/>
      <c r="I3763" s="206"/>
      <c r="J3763" s="214"/>
      <c r="K3763" s="207"/>
      <c r="L3763" s="215"/>
      <c r="M3763" s="216"/>
      <c r="N3763" s="210"/>
      <c r="O3763" s="198">
        <f>O3762</f>
        <v>1427.030876</v>
      </c>
      <c r="P3763" s="166"/>
      <c r="Q3763" s="166"/>
      <c r="R3763" s="71"/>
    </row>
    <row r="3764" spans="1:18" s="61" customFormat="1" x14ac:dyDescent="0.25">
      <c r="A3764" s="358"/>
      <c r="B3764" s="361"/>
      <c r="C3764" s="194"/>
      <c r="D3764" s="356" t="s">
        <v>63</v>
      </c>
      <c r="E3764" s="356"/>
      <c r="F3764" s="356"/>
      <c r="G3764" s="356"/>
      <c r="H3764" s="195"/>
      <c r="I3764" s="159"/>
      <c r="J3764" s="195"/>
      <c r="K3764" s="161"/>
      <c r="L3764" s="196"/>
      <c r="M3764" s="197"/>
      <c r="N3764" s="164"/>
      <c r="O3764" s="165"/>
      <c r="P3764" s="166"/>
      <c r="Q3764" s="166"/>
      <c r="R3764" s="71"/>
    </row>
    <row r="3765" spans="1:18" s="61" customFormat="1" x14ac:dyDescent="0.25">
      <c r="A3765" s="358"/>
      <c r="B3765" s="361"/>
      <c r="C3765" s="194"/>
      <c r="D3765" s="194"/>
      <c r="E3765" s="194"/>
      <c r="F3765" s="194"/>
      <c r="G3765" s="217"/>
      <c r="H3765" s="195"/>
      <c r="I3765" s="159"/>
      <c r="J3765" s="195"/>
      <c r="K3765" s="161"/>
      <c r="L3765" s="196"/>
      <c r="M3765" s="197"/>
      <c r="N3765" s="164"/>
      <c r="O3765" s="165"/>
      <c r="P3765" s="166"/>
      <c r="Q3765" s="166"/>
      <c r="R3765" s="71"/>
    </row>
    <row r="3766" spans="1:18" s="61" customFormat="1" x14ac:dyDescent="0.25">
      <c r="A3766" s="358"/>
      <c r="B3766" s="361"/>
      <c r="C3766" s="194"/>
      <c r="D3766" s="350" t="s">
        <v>64</v>
      </c>
      <c r="E3766" s="350"/>
      <c r="F3766" s="350"/>
      <c r="G3766" s="350"/>
      <c r="H3766" s="195"/>
      <c r="I3766" s="159"/>
      <c r="J3766" s="195"/>
      <c r="K3766" s="161"/>
      <c r="L3766" s="196"/>
      <c r="M3766" s="197"/>
      <c r="N3766" s="164"/>
      <c r="O3766" s="165"/>
      <c r="P3766" s="166"/>
      <c r="Q3766" s="166"/>
      <c r="R3766" s="71"/>
    </row>
    <row r="3767" spans="1:18" s="61" customFormat="1" x14ac:dyDescent="0.25">
      <c r="A3767" s="358"/>
      <c r="B3767" s="361"/>
      <c r="C3767" s="194"/>
      <c r="D3767" s="194"/>
      <c r="E3767" s="194"/>
      <c r="F3767" s="194"/>
      <c r="G3767" s="217"/>
      <c r="H3767" s="195"/>
      <c r="I3767" s="159"/>
      <c r="J3767" s="195"/>
      <c r="K3767" s="161"/>
      <c r="L3767" s="196"/>
      <c r="M3767" s="197"/>
      <c r="N3767" s="164"/>
      <c r="O3767" s="165"/>
      <c r="P3767" s="166"/>
      <c r="Q3767" s="166"/>
      <c r="R3767" s="71"/>
    </row>
    <row r="3768" spans="1:18" s="61" customFormat="1" x14ac:dyDescent="0.25">
      <c r="A3768" s="358"/>
      <c r="B3768" s="361"/>
      <c r="C3768" s="194"/>
      <c r="D3768" s="355" t="s">
        <v>5</v>
      </c>
      <c r="E3768" s="355"/>
      <c r="F3768" s="355"/>
      <c r="G3768" s="355"/>
      <c r="H3768" s="195"/>
      <c r="I3768" s="159"/>
      <c r="J3768" s="195"/>
      <c r="K3768" s="161"/>
      <c r="L3768" s="196"/>
      <c r="M3768" s="197"/>
      <c r="N3768" s="164"/>
      <c r="O3768" s="198">
        <f>O3769+O3779+O3790+O3792+O3794+O3796+O3798</f>
        <v>13062.35831152402</v>
      </c>
      <c r="P3768" s="166"/>
      <c r="Q3768" s="166"/>
      <c r="R3768" s="71"/>
    </row>
    <row r="3769" spans="1:18" s="61" customFormat="1" x14ac:dyDescent="0.25">
      <c r="A3769" s="358"/>
      <c r="B3769" s="361"/>
      <c r="C3769" s="218" t="s">
        <v>70</v>
      </c>
      <c r="D3769" s="355" t="s">
        <v>6</v>
      </c>
      <c r="E3769" s="355"/>
      <c r="F3769" s="355"/>
      <c r="G3769" s="355"/>
      <c r="H3769" s="189"/>
      <c r="I3769" s="159"/>
      <c r="J3769" s="189"/>
      <c r="K3769" s="161"/>
      <c r="L3769" s="190"/>
      <c r="M3769" s="197"/>
      <c r="N3769" s="210"/>
      <c r="O3769" s="198">
        <f>O3778</f>
        <v>5999.9612958299995</v>
      </c>
      <c r="P3769" s="166"/>
      <c r="Q3769" s="166"/>
      <c r="R3769" s="71"/>
    </row>
    <row r="3770" spans="1:18" s="61" customFormat="1" ht="31.5" x14ac:dyDescent="0.25">
      <c r="A3770" s="358"/>
      <c r="B3770" s="361"/>
      <c r="C3770" s="221" t="s">
        <v>72</v>
      </c>
      <c r="D3770" s="222" t="s">
        <v>7</v>
      </c>
      <c r="E3770" s="223" t="s">
        <v>8</v>
      </c>
      <c r="F3770" s="223" t="s">
        <v>8</v>
      </c>
      <c r="G3770" s="238">
        <f>MROUND(H3770*L3770*I3770/K3770,0.00000000001)</f>
        <v>109.85198231135</v>
      </c>
      <c r="H3770" s="160">
        <f t="shared" ref="H3770:H3777" si="866">H3410</f>
        <v>3313121.4264326878</v>
      </c>
      <c r="I3770" s="159">
        <f>I3760</f>
        <v>0.30039917999999999</v>
      </c>
      <c r="J3770" s="160"/>
      <c r="K3770" s="161">
        <f>K3760</f>
        <v>9060</v>
      </c>
      <c r="L3770" s="250">
        <v>1</v>
      </c>
      <c r="M3770" s="163" t="str">
        <f t="shared" ref="M3770:M3775" si="867">CONCATENATE(H3770," ",F3770,"(лимиты выделенные УЖКХ) ","*",I3770,"/",K3770,"чел.")</f>
        <v>3313121,42643269 кВт час.(лимиты выделенные УЖКХ) *0,30039918/9060чел.</v>
      </c>
      <c r="N3770" s="164">
        <f t="shared" ref="N3770:N3777" si="868">N3410</f>
        <v>10.897694685122204</v>
      </c>
      <c r="O3770" s="165">
        <f t="shared" ref="O3770:O3773" si="869">MROUND(G3770*N3770,0.000001)</f>
        <v>1197.133364</v>
      </c>
      <c r="P3770" s="166"/>
      <c r="Q3770" s="166">
        <f t="shared" ref="Q3770:Q3777" si="870">O3770*K3770</f>
        <v>10846028.27784</v>
      </c>
      <c r="R3770" s="71"/>
    </row>
    <row r="3771" spans="1:18" s="61" customFormat="1" ht="31.5" x14ac:dyDescent="0.25">
      <c r="A3771" s="358"/>
      <c r="B3771" s="361"/>
      <c r="C3771" s="221" t="s">
        <v>73</v>
      </c>
      <c r="D3771" s="222" t="s">
        <v>9</v>
      </c>
      <c r="E3771" s="223" t="s">
        <v>10</v>
      </c>
      <c r="F3771" s="223" t="s">
        <v>10</v>
      </c>
      <c r="G3771" s="238">
        <f>MROUND(H3771*L3771*I3771/K3771,0.00000000001)</f>
        <v>1.0576103532199999</v>
      </c>
      <c r="H3771" s="160">
        <f t="shared" si="866"/>
        <v>31897.39</v>
      </c>
      <c r="I3771" s="159">
        <f t="shared" ref="I3771:I3834" si="871">I3770</f>
        <v>0.30039917999999999</v>
      </c>
      <c r="J3771" s="160"/>
      <c r="K3771" s="161">
        <f t="shared" ref="K3771:K3777" si="872">K3770</f>
        <v>9060</v>
      </c>
      <c r="L3771" s="250">
        <v>1</v>
      </c>
      <c r="M3771" s="163" t="str">
        <f t="shared" si="867"/>
        <v>31897,39 Гкал(лимиты выделенные УЖКХ) *0,30039918/9060чел.</v>
      </c>
      <c r="N3771" s="164">
        <f t="shared" si="868"/>
        <v>2976.2517908205036</v>
      </c>
      <c r="O3771" s="165">
        <f t="shared" si="869"/>
        <v>3147.714708</v>
      </c>
      <c r="P3771" s="166"/>
      <c r="Q3771" s="166">
        <f t="shared" si="870"/>
        <v>28518295.254480001</v>
      </c>
      <c r="R3771" s="71"/>
    </row>
    <row r="3772" spans="1:18" s="61" customFormat="1" ht="31.5" x14ac:dyDescent="0.25">
      <c r="A3772" s="358"/>
      <c r="B3772" s="361"/>
      <c r="C3772" s="364" t="s">
        <v>74</v>
      </c>
      <c r="D3772" s="222" t="s">
        <v>12</v>
      </c>
      <c r="E3772" s="222" t="s">
        <v>11</v>
      </c>
      <c r="F3772" s="222" t="s">
        <v>11</v>
      </c>
      <c r="G3772" s="238">
        <f>MROUND(H3772*L3772*I3772/K3772,0.00000000001)</f>
        <v>6.1248664010299994</v>
      </c>
      <c r="H3772" s="224">
        <f t="shared" si="866"/>
        <v>184725.17</v>
      </c>
      <c r="I3772" s="159">
        <f t="shared" si="871"/>
        <v>0.30039917999999999</v>
      </c>
      <c r="J3772" s="160"/>
      <c r="K3772" s="161">
        <f t="shared" si="872"/>
        <v>9060</v>
      </c>
      <c r="L3772" s="250">
        <v>1</v>
      </c>
      <c r="M3772" s="163" t="str">
        <f t="shared" si="867"/>
        <v>184725,17 м3(лимиты выделенные УЖКХ) *0,30039918/9060чел.</v>
      </c>
      <c r="N3772" s="164">
        <f t="shared" si="868"/>
        <v>54.214180016724306</v>
      </c>
      <c r="O3772" s="165">
        <f t="shared" si="869"/>
        <v>332.05460999999997</v>
      </c>
      <c r="P3772" s="166"/>
      <c r="Q3772" s="166">
        <f t="shared" si="870"/>
        <v>3008414.7665999997</v>
      </c>
      <c r="R3772" s="71"/>
    </row>
    <row r="3773" spans="1:18" s="61" customFormat="1" ht="47.25" x14ac:dyDescent="0.25">
      <c r="A3773" s="358"/>
      <c r="B3773" s="361"/>
      <c r="C3773" s="364"/>
      <c r="D3773" s="222" t="s">
        <v>17</v>
      </c>
      <c r="E3773" s="222" t="s">
        <v>11</v>
      </c>
      <c r="F3773" s="222" t="s">
        <v>11</v>
      </c>
      <c r="G3773" s="238">
        <f>MROUND(H3773*L3773*I3773/K3773,0.00000000001)</f>
        <v>6.1248664010299994</v>
      </c>
      <c r="H3773" s="160">
        <f t="shared" si="866"/>
        <v>184725.17</v>
      </c>
      <c r="I3773" s="159">
        <f t="shared" si="871"/>
        <v>0.30039917999999999</v>
      </c>
      <c r="J3773" s="160"/>
      <c r="K3773" s="161">
        <f t="shared" si="872"/>
        <v>9060</v>
      </c>
      <c r="L3773" s="162">
        <f>$L$25</f>
        <v>1</v>
      </c>
      <c r="M3773" s="163" t="str">
        <f t="shared" si="867"/>
        <v>184725,17 м3(лимиты выделенные УЖКХ) *0,30039918/9060чел.</v>
      </c>
      <c r="N3773" s="164">
        <f t="shared" si="868"/>
        <v>82.384170780821918</v>
      </c>
      <c r="O3773" s="165">
        <f t="shared" si="869"/>
        <v>504.59204</v>
      </c>
      <c r="P3773" s="166"/>
      <c r="Q3773" s="166">
        <f t="shared" si="870"/>
        <v>4571603.8823999995</v>
      </c>
      <c r="R3773" s="71"/>
    </row>
    <row r="3774" spans="1:18" s="61" customFormat="1" ht="31.5" x14ac:dyDescent="0.25">
      <c r="A3774" s="358"/>
      <c r="B3774" s="361"/>
      <c r="C3774" s="364"/>
      <c r="D3774" s="222" t="s">
        <v>13</v>
      </c>
      <c r="E3774" s="222" t="s">
        <v>11</v>
      </c>
      <c r="F3774" s="222" t="s">
        <v>11</v>
      </c>
      <c r="G3774" s="238">
        <f>MROUND(H3774*L3774*I3774/K3774,0.00000000001)</f>
        <v>6.1248664010299994</v>
      </c>
      <c r="H3774" s="160">
        <f t="shared" si="866"/>
        <v>184725.17</v>
      </c>
      <c r="I3774" s="159">
        <f t="shared" si="871"/>
        <v>0.30039917999999999</v>
      </c>
      <c r="J3774" s="160"/>
      <c r="K3774" s="161">
        <f t="shared" si="872"/>
        <v>9060</v>
      </c>
      <c r="L3774" s="162">
        <v>1</v>
      </c>
      <c r="M3774" s="163" t="str">
        <f t="shared" si="867"/>
        <v>184725,17 м3(лимиты выделенные УЖКХ) *0,30039918/9060чел.</v>
      </c>
      <c r="N3774" s="164">
        <f t="shared" si="868"/>
        <v>112.36110334722464</v>
      </c>
      <c r="O3774" s="165">
        <f>MROUND(G3774*N3774,0.00000001)</f>
        <v>688.19674667000004</v>
      </c>
      <c r="P3774" s="166"/>
      <c r="Q3774" s="166">
        <f t="shared" si="870"/>
        <v>6235062.5248302007</v>
      </c>
      <c r="R3774" s="71"/>
    </row>
    <row r="3775" spans="1:18" s="61" customFormat="1" ht="31.5" x14ac:dyDescent="0.25">
      <c r="A3775" s="358"/>
      <c r="B3775" s="361"/>
      <c r="C3775" s="221" t="s">
        <v>75</v>
      </c>
      <c r="D3775" s="222" t="s">
        <v>18</v>
      </c>
      <c r="E3775" s="222" t="s">
        <v>48</v>
      </c>
      <c r="F3775" s="222" t="s">
        <v>48</v>
      </c>
      <c r="G3775" s="238">
        <f>MROUND(H3775*L3775*I3775/K3775,0.0000000001)</f>
        <v>0.46046618680000001</v>
      </c>
      <c r="H3775" s="160">
        <f t="shared" si="866"/>
        <v>13887.6</v>
      </c>
      <c r="I3775" s="159">
        <f t="shared" si="871"/>
        <v>0.30039917999999999</v>
      </c>
      <c r="J3775" s="160"/>
      <c r="K3775" s="161">
        <f t="shared" si="872"/>
        <v>9060</v>
      </c>
      <c r="L3775" s="250">
        <v>1</v>
      </c>
      <c r="M3775" s="163" t="str">
        <f t="shared" si="867"/>
        <v>13887,6 тыс. м3(лимиты выделенные УЖКХ) *0,30039918/9060чел.</v>
      </c>
      <c r="N3775" s="164">
        <f t="shared" si="868"/>
        <v>30.576235634666901</v>
      </c>
      <c r="O3775" s="165">
        <f t="shared" ref="O3775" si="873">MROUND(G3775*N3775,0.000001)</f>
        <v>14.079322999999999</v>
      </c>
      <c r="P3775" s="166"/>
      <c r="Q3775" s="166">
        <f t="shared" si="870"/>
        <v>127558.66638</v>
      </c>
      <c r="R3775" s="71"/>
    </row>
    <row r="3776" spans="1:18" s="61" customFormat="1" x14ac:dyDescent="0.25">
      <c r="A3776" s="358"/>
      <c r="B3776" s="361"/>
      <c r="C3776" s="364" t="s">
        <v>216</v>
      </c>
      <c r="D3776" s="222" t="s">
        <v>23</v>
      </c>
      <c r="E3776" s="222" t="s">
        <v>11</v>
      </c>
      <c r="F3776" s="222" t="s">
        <v>11</v>
      </c>
      <c r="G3776" s="238">
        <f>MROUND(H3776*L3776*I3776/K3776,0.000000000001)</f>
        <v>0.111692791801</v>
      </c>
      <c r="H3776" s="160">
        <f t="shared" si="866"/>
        <v>3368.6400000000003</v>
      </c>
      <c r="I3776" s="159">
        <f t="shared" si="871"/>
        <v>0.30039917999999999</v>
      </c>
      <c r="J3776" s="160"/>
      <c r="K3776" s="161">
        <f t="shared" si="872"/>
        <v>9060</v>
      </c>
      <c r="L3776" s="162">
        <f>L3775</f>
        <v>1</v>
      </c>
      <c r="M3776" s="163" t="str">
        <f>CONCATENATE(H3776," ",F3776," ","*",I3776,"/",K3776,"чел.")</f>
        <v>3368,64 м3 *0,30039918/9060чел.</v>
      </c>
      <c r="N3776" s="164">
        <f t="shared" si="868"/>
        <v>776.35552626579261</v>
      </c>
      <c r="O3776" s="165">
        <f>MROUND(G3776*N3776,0.00000001)</f>
        <v>86.713316160000005</v>
      </c>
      <c r="P3776" s="166"/>
      <c r="Q3776" s="166">
        <f t="shared" si="870"/>
        <v>785622.64440960006</v>
      </c>
      <c r="R3776" s="71"/>
    </row>
    <row r="3777" spans="1:18" s="61" customFormat="1" ht="63" x14ac:dyDescent="0.25">
      <c r="A3777" s="358"/>
      <c r="B3777" s="361"/>
      <c r="C3777" s="364"/>
      <c r="D3777" s="222" t="s">
        <v>24</v>
      </c>
      <c r="E3777" s="222" t="s">
        <v>25</v>
      </c>
      <c r="F3777" s="222" t="s">
        <v>217</v>
      </c>
      <c r="G3777" s="238">
        <f>MROUND(H3777*L3777*I3777/K3777,0.000000000001)</f>
        <v>4.8740264300000001E-3</v>
      </c>
      <c r="H3777" s="160">
        <f t="shared" si="866"/>
        <v>147</v>
      </c>
      <c r="I3777" s="159">
        <f t="shared" si="871"/>
        <v>0.30039917999999999</v>
      </c>
      <c r="J3777" s="160"/>
      <c r="K3777" s="161">
        <f t="shared" si="872"/>
        <v>9060</v>
      </c>
      <c r="L3777" s="250">
        <f>L3776</f>
        <v>1</v>
      </c>
      <c r="M3777" s="163" t="str">
        <f>CONCATENATE(H3777," ",F3777,"(потребность из расчета 4 контейнера для уборки территории весной и осенью на 1 учреждение)","*",I3777,"/",K3777,"чел.")</f>
        <v>147 контейнера(потребность из расчета 4 контейнера для уборки территории весной и осенью на 1 учреждение)*0,30039918/9060чел.</v>
      </c>
      <c r="N3777" s="164">
        <f t="shared" si="868"/>
        <v>6047.8105442176911</v>
      </c>
      <c r="O3777" s="165">
        <f t="shared" ref="O3777" si="874">MROUND(G3777*N3777,0.000001)</f>
        <v>29.477187999999998</v>
      </c>
      <c r="P3777" s="166"/>
      <c r="Q3777" s="166">
        <f t="shared" si="870"/>
        <v>267063.32328000001</v>
      </c>
      <c r="R3777" s="71"/>
    </row>
    <row r="3778" spans="1:18" s="61" customFormat="1" x14ac:dyDescent="0.25">
      <c r="A3778" s="358"/>
      <c r="B3778" s="361"/>
      <c r="C3778" s="218" t="s">
        <v>290</v>
      </c>
      <c r="D3778" s="226"/>
      <c r="E3778" s="226"/>
      <c r="F3778" s="226"/>
      <c r="G3778" s="227"/>
      <c r="H3778" s="228"/>
      <c r="I3778" s="206"/>
      <c r="J3778" s="228"/>
      <c r="K3778" s="207"/>
      <c r="L3778" s="257"/>
      <c r="M3778" s="209"/>
      <c r="N3778" s="210"/>
      <c r="O3778" s="198">
        <f>SUM(O3770:O3777)</f>
        <v>5999.9612958299995</v>
      </c>
      <c r="P3778" s="166"/>
      <c r="Q3778" s="166"/>
      <c r="R3778" s="71"/>
    </row>
    <row r="3779" spans="1:18" s="61" customFormat="1" x14ac:dyDescent="0.25">
      <c r="A3779" s="358"/>
      <c r="B3779" s="361"/>
      <c r="C3779" s="221"/>
      <c r="D3779" s="356" t="s">
        <v>14</v>
      </c>
      <c r="E3779" s="356"/>
      <c r="F3779" s="356"/>
      <c r="G3779" s="356"/>
      <c r="H3779" s="188"/>
      <c r="I3779" s="159"/>
      <c r="J3779" s="188"/>
      <c r="K3779" s="161"/>
      <c r="L3779" s="250"/>
      <c r="M3779" s="230"/>
      <c r="N3779" s="164"/>
      <c r="O3779" s="198">
        <f>O3787+O3788+O3783</f>
        <v>6277.7546628840191</v>
      </c>
      <c r="P3779" s="166"/>
      <c r="Q3779" s="166"/>
      <c r="R3779" s="71"/>
    </row>
    <row r="3780" spans="1:18" s="61" customFormat="1" x14ac:dyDescent="0.25">
      <c r="A3780" s="358"/>
      <c r="B3780" s="361"/>
      <c r="C3780" s="221" t="s">
        <v>379</v>
      </c>
      <c r="D3780" s="231" t="s">
        <v>49</v>
      </c>
      <c r="E3780" s="231" t="s">
        <v>22</v>
      </c>
      <c r="F3780" s="231" t="s">
        <v>22</v>
      </c>
      <c r="G3780" s="238">
        <f>MROUND(H3780*L3780*I3780/K3780,0.000000001)</f>
        <v>0</v>
      </c>
      <c r="H3780" s="160"/>
      <c r="I3780" s="159">
        <f>I3775</f>
        <v>0.30039917999999999</v>
      </c>
      <c r="J3780" s="160"/>
      <c r="K3780" s="161">
        <f>K3775</f>
        <v>9060</v>
      </c>
      <c r="L3780" s="250"/>
      <c r="M3780" s="163"/>
      <c r="N3780" s="164"/>
      <c r="O3780" s="165">
        <f>MROUND(G3780*N3780,0.00000001)</f>
        <v>0</v>
      </c>
      <c r="P3780" s="166"/>
      <c r="Q3780" s="166">
        <f t="shared" ref="Q3780:Q3782" si="875">O3780*K3780</f>
        <v>0</v>
      </c>
      <c r="R3780" s="71"/>
    </row>
    <row r="3781" spans="1:18" s="61" customFormat="1" x14ac:dyDescent="0.25">
      <c r="A3781" s="358"/>
      <c r="B3781" s="361"/>
      <c r="C3781" s="221" t="s">
        <v>379</v>
      </c>
      <c r="D3781" s="231" t="s">
        <v>49</v>
      </c>
      <c r="E3781" s="231" t="s">
        <v>28</v>
      </c>
      <c r="F3781" s="231" t="s">
        <v>28</v>
      </c>
      <c r="G3781" s="238">
        <f>MROUND(H3781*L3781*I3781/K3781,0.000000000000000001)</f>
        <v>0</v>
      </c>
      <c r="H3781" s="160"/>
      <c r="I3781" s="159">
        <f t="shared" si="871"/>
        <v>0.30039917999999999</v>
      </c>
      <c r="J3781" s="160"/>
      <c r="K3781" s="161">
        <f>K3780</f>
        <v>9060</v>
      </c>
      <c r="L3781" s="250">
        <v>1</v>
      </c>
      <c r="M3781" s="163"/>
      <c r="N3781" s="164"/>
      <c r="O3781" s="165">
        <f>MROUND(G3781*N3781,0.00000001)</f>
        <v>0</v>
      </c>
      <c r="P3781" s="166"/>
      <c r="Q3781" s="166">
        <f t="shared" si="875"/>
        <v>0</v>
      </c>
      <c r="R3781" s="71"/>
    </row>
    <row r="3782" spans="1:18" s="61" customFormat="1" x14ac:dyDescent="0.25">
      <c r="A3782" s="358"/>
      <c r="B3782" s="361"/>
      <c r="C3782" s="221" t="s">
        <v>379</v>
      </c>
      <c r="D3782" s="231" t="s">
        <v>49</v>
      </c>
      <c r="E3782" s="231" t="s">
        <v>101</v>
      </c>
      <c r="F3782" s="231" t="s">
        <v>101</v>
      </c>
      <c r="G3782" s="238">
        <f>MROUND(H3782*L3782*I3782/K3782,0.000000001)</f>
        <v>0</v>
      </c>
      <c r="H3782" s="160"/>
      <c r="I3782" s="159">
        <f t="shared" si="871"/>
        <v>0.30039917999999999</v>
      </c>
      <c r="J3782" s="160"/>
      <c r="K3782" s="161">
        <f>K3781</f>
        <v>9060</v>
      </c>
      <c r="L3782" s="250"/>
      <c r="M3782" s="163"/>
      <c r="N3782" s="164"/>
      <c r="O3782" s="165">
        <f>MROUND(G3782*N3782,0.00000001)</f>
        <v>0</v>
      </c>
      <c r="P3782" s="166"/>
      <c r="Q3782" s="166">
        <f t="shared" si="875"/>
        <v>0</v>
      </c>
      <c r="R3782" s="71"/>
    </row>
    <row r="3783" spans="1:18" s="61" customFormat="1" x14ac:dyDescent="0.25">
      <c r="A3783" s="358"/>
      <c r="B3783" s="361"/>
      <c r="C3783" s="218" t="s">
        <v>381</v>
      </c>
      <c r="D3783" s="232"/>
      <c r="E3783" s="232"/>
      <c r="F3783" s="232"/>
      <c r="G3783" s="227"/>
      <c r="H3783" s="228"/>
      <c r="I3783" s="206"/>
      <c r="J3783" s="228"/>
      <c r="K3783" s="207"/>
      <c r="L3783" s="257"/>
      <c r="M3783" s="209"/>
      <c r="N3783" s="210"/>
      <c r="O3783" s="198">
        <f>SUM(O3780:O3782)</f>
        <v>0</v>
      </c>
      <c r="P3783" s="166"/>
      <c r="Q3783" s="166"/>
      <c r="R3783" s="71"/>
    </row>
    <row r="3784" spans="1:18" s="61" customFormat="1" x14ac:dyDescent="0.25">
      <c r="A3784" s="358"/>
      <c r="B3784" s="361"/>
      <c r="C3784" s="221" t="s">
        <v>76</v>
      </c>
      <c r="D3784" s="231" t="s">
        <v>49</v>
      </c>
      <c r="E3784" s="231" t="s">
        <v>22</v>
      </c>
      <c r="F3784" s="231" t="s">
        <v>22</v>
      </c>
      <c r="G3784" s="238">
        <f>MROUND(H3784*L3784*I3784/K3784,0.00000000000001)</f>
        <v>40.584710720060997</v>
      </c>
      <c r="H3784" s="160">
        <f>H3424</f>
        <v>1224029.57</v>
      </c>
      <c r="I3784" s="159">
        <f>I3782</f>
        <v>0.30039917999999999</v>
      </c>
      <c r="J3784" s="160"/>
      <c r="K3784" s="161">
        <f>K3782</f>
        <v>9060</v>
      </c>
      <c r="L3784" s="250">
        <v>1</v>
      </c>
      <c r="M3784" s="163" t="str">
        <f>CONCATENATE(H3784," ",F3784,"*",I3784,"/",K3784,"чел.")</f>
        <v>1224029,57 м2*0,30039918/9060чел.</v>
      </c>
      <c r="N3784" s="164">
        <f>N3424</f>
        <v>37.50494361014497</v>
      </c>
      <c r="O3784" s="165">
        <f>MROUND(G3784*N3784,0.00000000001)</f>
        <v>1522.1272869899299</v>
      </c>
      <c r="P3784" s="166"/>
      <c r="Q3784" s="166">
        <f t="shared" ref="Q3784:Q3786" si="876">O3784*K3784</f>
        <v>13790473.220128765</v>
      </c>
      <c r="R3784" s="71"/>
    </row>
    <row r="3785" spans="1:18" s="61" customFormat="1" x14ac:dyDescent="0.25">
      <c r="A3785" s="358"/>
      <c r="B3785" s="361"/>
      <c r="C3785" s="221"/>
      <c r="D3785" s="231" t="s">
        <v>49</v>
      </c>
      <c r="E3785" s="231" t="s">
        <v>28</v>
      </c>
      <c r="F3785" s="231" t="s">
        <v>28</v>
      </c>
      <c r="G3785" s="238">
        <f>MROUND(H3785*L3785*I3785/K3785,0.000000000001)</f>
        <v>3.6671246477E-2</v>
      </c>
      <c r="H3785" s="160">
        <f>H3425</f>
        <v>1106</v>
      </c>
      <c r="I3785" s="159">
        <f t="shared" si="871"/>
        <v>0.30039917999999999</v>
      </c>
      <c r="J3785" s="160"/>
      <c r="K3785" s="161">
        <f>K3784</f>
        <v>9060</v>
      </c>
      <c r="L3785" s="250">
        <v>1</v>
      </c>
      <c r="M3785" s="163" t="str">
        <f>CONCATENATE(H3785," ",F3785,"*",I3785,"/",K3785,"чел.")</f>
        <v>1106 шт*0,30039918/9060чел.</v>
      </c>
      <c r="N3785" s="164">
        <f>N3425</f>
        <v>86192.676311030737</v>
      </c>
      <c r="O3785" s="165">
        <f>MROUND(G3785*N3785,0.00000000001)</f>
        <v>3160.7928775140899</v>
      </c>
      <c r="P3785" s="166"/>
      <c r="Q3785" s="166">
        <f t="shared" si="876"/>
        <v>28636783.470277656</v>
      </c>
      <c r="R3785" s="71"/>
    </row>
    <row r="3786" spans="1:18" s="61" customFormat="1" x14ac:dyDescent="0.25">
      <c r="A3786" s="358"/>
      <c r="B3786" s="361"/>
      <c r="C3786" s="221"/>
      <c r="D3786" s="231" t="s">
        <v>49</v>
      </c>
      <c r="E3786" s="231" t="s">
        <v>101</v>
      </c>
      <c r="F3786" s="231" t="s">
        <v>101</v>
      </c>
      <c r="G3786" s="238">
        <f>MROUND(H3786*L3786*I3786/K3786,0.000000001)</f>
        <v>1.2158540760000001</v>
      </c>
      <c r="H3786" s="160">
        <f>H3426</f>
        <v>36670</v>
      </c>
      <c r="I3786" s="159">
        <f t="shared" si="871"/>
        <v>0.30039917999999999</v>
      </c>
      <c r="J3786" s="160"/>
      <c r="K3786" s="161">
        <f>K3785</f>
        <v>9060</v>
      </c>
      <c r="L3786" s="250">
        <v>1</v>
      </c>
      <c r="M3786" s="163" t="str">
        <f>CONCATENATE(H3786," ",F3786,"*",I3786,"/",K3786,"чел.")</f>
        <v>36670 погон.м.*0,30039918/9060чел.</v>
      </c>
      <c r="N3786" s="164">
        <f>N3426</f>
        <v>1311.6989364603219</v>
      </c>
      <c r="O3786" s="165">
        <f>MROUND(G3786*N3786,0.00000001)</f>
        <v>1594.83449838</v>
      </c>
      <c r="P3786" s="166"/>
      <c r="Q3786" s="166">
        <f t="shared" si="876"/>
        <v>14449200.5553228</v>
      </c>
      <c r="R3786" s="71"/>
    </row>
    <row r="3787" spans="1:18" s="61" customFormat="1" x14ac:dyDescent="0.25">
      <c r="A3787" s="358"/>
      <c r="B3787" s="361"/>
      <c r="C3787" s="218" t="s">
        <v>302</v>
      </c>
      <c r="D3787" s="232"/>
      <c r="E3787" s="232"/>
      <c r="F3787" s="232"/>
      <c r="G3787" s="227"/>
      <c r="H3787" s="228"/>
      <c r="I3787" s="206"/>
      <c r="J3787" s="228"/>
      <c r="K3787" s="207"/>
      <c r="L3787" s="257"/>
      <c r="M3787" s="209"/>
      <c r="N3787" s="210"/>
      <c r="O3787" s="198">
        <f>SUM(O3784:O3786)</f>
        <v>6277.7546628840191</v>
      </c>
      <c r="P3787" s="166"/>
      <c r="Q3787" s="166"/>
      <c r="R3787" s="71"/>
    </row>
    <row r="3788" spans="1:18" s="61" customFormat="1" x14ac:dyDescent="0.25">
      <c r="A3788" s="358"/>
      <c r="B3788" s="361"/>
      <c r="C3788" s="221" t="s">
        <v>77</v>
      </c>
      <c r="D3788" s="231"/>
      <c r="E3788" s="231"/>
      <c r="F3788" s="231"/>
      <c r="G3788" s="238">
        <f>MROUND(H3788*L3788*I3788/K3788,0.00000000001)</f>
        <v>0</v>
      </c>
      <c r="H3788" s="160">
        <f>H3548</f>
        <v>0</v>
      </c>
      <c r="I3788" s="159">
        <f>I3786</f>
        <v>0.30039917999999999</v>
      </c>
      <c r="J3788" s="160"/>
      <c r="K3788" s="161">
        <f>K3786</f>
        <v>9060</v>
      </c>
      <c r="L3788" s="250"/>
      <c r="M3788" s="163"/>
      <c r="N3788" s="164">
        <f>N3548</f>
        <v>0</v>
      </c>
      <c r="O3788" s="165">
        <f>MROUND(G3788*N3788,0.000000001)</f>
        <v>0</v>
      </c>
      <c r="P3788" s="166"/>
      <c r="Q3788" s="166">
        <f t="shared" ref="Q3788" si="877">O3788*K3788</f>
        <v>0</v>
      </c>
      <c r="R3788" s="71"/>
    </row>
    <row r="3789" spans="1:18" s="61" customFormat="1" x14ac:dyDescent="0.25">
      <c r="A3789" s="358"/>
      <c r="B3789" s="361"/>
      <c r="C3789" s="218" t="s">
        <v>304</v>
      </c>
      <c r="D3789" s="232"/>
      <c r="E3789" s="232"/>
      <c r="F3789" s="232"/>
      <c r="G3789" s="227"/>
      <c r="H3789" s="228"/>
      <c r="I3789" s="206"/>
      <c r="J3789" s="228"/>
      <c r="K3789" s="207"/>
      <c r="L3789" s="257"/>
      <c r="M3789" s="209"/>
      <c r="N3789" s="210"/>
      <c r="O3789" s="198">
        <f>O3788</f>
        <v>0</v>
      </c>
      <c r="P3789" s="166"/>
      <c r="Q3789" s="166"/>
      <c r="R3789" s="71"/>
    </row>
    <row r="3790" spans="1:18" s="61" customFormat="1" x14ac:dyDescent="0.25">
      <c r="A3790" s="358"/>
      <c r="B3790" s="361"/>
      <c r="C3790" s="221"/>
      <c r="D3790" s="350" t="s">
        <v>65</v>
      </c>
      <c r="E3790" s="350"/>
      <c r="F3790" s="350"/>
      <c r="G3790" s="350"/>
      <c r="H3790" s="195"/>
      <c r="I3790" s="159"/>
      <c r="J3790" s="195"/>
      <c r="K3790" s="161"/>
      <c r="L3790" s="196"/>
      <c r="M3790" s="230"/>
      <c r="N3790" s="164"/>
      <c r="O3790" s="165">
        <f t="shared" ref="O3790:O3791" si="878">MROUND(G3790*N3790,0.000001)</f>
        <v>0</v>
      </c>
      <c r="P3790" s="166"/>
      <c r="Q3790" s="166"/>
      <c r="R3790" s="71"/>
    </row>
    <row r="3791" spans="1:18" s="61" customFormat="1" x14ac:dyDescent="0.25">
      <c r="A3791" s="358"/>
      <c r="B3791" s="361"/>
      <c r="C3791" s="221"/>
      <c r="D3791" s="194"/>
      <c r="E3791" s="194"/>
      <c r="F3791" s="194"/>
      <c r="G3791" s="217"/>
      <c r="H3791" s="195"/>
      <c r="I3791" s="159"/>
      <c r="J3791" s="195"/>
      <c r="K3791" s="161"/>
      <c r="L3791" s="196"/>
      <c r="M3791" s="230"/>
      <c r="N3791" s="164"/>
      <c r="O3791" s="165">
        <f t="shared" si="878"/>
        <v>0</v>
      </c>
      <c r="P3791" s="166"/>
      <c r="Q3791" s="166"/>
      <c r="R3791" s="71"/>
    </row>
    <row r="3792" spans="1:18" s="61" customFormat="1" x14ac:dyDescent="0.25">
      <c r="A3792" s="358"/>
      <c r="B3792" s="361"/>
      <c r="C3792" s="221" t="s">
        <v>357</v>
      </c>
      <c r="D3792" s="368" t="s">
        <v>66</v>
      </c>
      <c r="E3792" s="368"/>
      <c r="F3792" s="368"/>
      <c r="G3792" s="368"/>
      <c r="H3792" s="195"/>
      <c r="I3792" s="159"/>
      <c r="J3792" s="195"/>
      <c r="K3792" s="161"/>
      <c r="L3792" s="234"/>
      <c r="M3792" s="230"/>
      <c r="N3792" s="164"/>
      <c r="O3792" s="198">
        <f>O3793</f>
        <v>18.81869</v>
      </c>
      <c r="P3792" s="166"/>
      <c r="Q3792" s="166"/>
      <c r="R3792" s="71"/>
    </row>
    <row r="3793" spans="1:41" s="61" customFormat="1" ht="47.25" x14ac:dyDescent="0.25">
      <c r="A3793" s="358"/>
      <c r="B3793" s="361"/>
      <c r="C3793" s="221"/>
      <c r="D3793" s="222" t="s">
        <v>374</v>
      </c>
      <c r="E3793" s="194" t="s">
        <v>28</v>
      </c>
      <c r="F3793" s="194" t="s">
        <v>28</v>
      </c>
      <c r="G3793" s="217">
        <f>MROUND(H3793*L3793*I3793/K3793,0.000000001)</f>
        <v>4.7745570000000005E-3</v>
      </c>
      <c r="H3793" s="201">
        <f>H3433</f>
        <v>36</v>
      </c>
      <c r="I3793" s="159">
        <f>I3788</f>
        <v>0.30039917999999999</v>
      </c>
      <c r="J3793" s="195"/>
      <c r="K3793" s="161">
        <f>K3788</f>
        <v>9060</v>
      </c>
      <c r="L3793" s="235">
        <f>L3433</f>
        <v>4</v>
      </c>
      <c r="M3793" s="163" t="str">
        <f>CONCATENATE(H3793," ",F3793,"*",I3793,"/",K3793,"чел.")</f>
        <v>36 шт*0,30039918/9060чел.</v>
      </c>
      <c r="N3793" s="164">
        <f>N3433</f>
        <v>3941.4525000000012</v>
      </c>
      <c r="O3793" s="165">
        <f>MROUND(G3793*N3793,0.000001)</f>
        <v>18.81869</v>
      </c>
      <c r="P3793" s="166"/>
      <c r="Q3793" s="166">
        <f t="shared" ref="Q3793" si="879">O3793*K3793</f>
        <v>170497.3314</v>
      </c>
      <c r="R3793" s="71"/>
    </row>
    <row r="3794" spans="1:41" s="61" customFormat="1" x14ac:dyDescent="0.25">
      <c r="A3794" s="358"/>
      <c r="B3794" s="361"/>
      <c r="C3794" s="221"/>
      <c r="D3794" s="368" t="s">
        <v>67</v>
      </c>
      <c r="E3794" s="368"/>
      <c r="F3794" s="368"/>
      <c r="G3794" s="368"/>
      <c r="H3794" s="195"/>
      <c r="I3794" s="159"/>
      <c r="J3794" s="195"/>
      <c r="K3794" s="161"/>
      <c r="L3794" s="196"/>
      <c r="M3794" s="230"/>
      <c r="N3794" s="164"/>
      <c r="O3794" s="165">
        <f t="shared" ref="O3794:O3797" si="880">MROUND(G3794*N3794,0.000001)</f>
        <v>0</v>
      </c>
      <c r="P3794" s="166"/>
      <c r="Q3794" s="166"/>
      <c r="R3794" s="71"/>
    </row>
    <row r="3795" spans="1:41" s="61" customFormat="1" x14ac:dyDescent="0.25">
      <c r="A3795" s="358"/>
      <c r="B3795" s="361"/>
      <c r="C3795" s="221"/>
      <c r="D3795" s="194"/>
      <c r="E3795" s="194"/>
      <c r="F3795" s="194"/>
      <c r="G3795" s="217"/>
      <c r="H3795" s="195"/>
      <c r="I3795" s="159"/>
      <c r="J3795" s="195"/>
      <c r="K3795" s="161"/>
      <c r="L3795" s="196"/>
      <c r="M3795" s="230"/>
      <c r="N3795" s="164"/>
      <c r="O3795" s="165">
        <f t="shared" si="880"/>
        <v>0</v>
      </c>
      <c r="P3795" s="166"/>
      <c r="Q3795" s="166"/>
      <c r="R3795" s="71"/>
    </row>
    <row r="3796" spans="1:41" s="61" customFormat="1" x14ac:dyDescent="0.25">
      <c r="A3796" s="358"/>
      <c r="B3796" s="361"/>
      <c r="C3796" s="221"/>
      <c r="D3796" s="350" t="s">
        <v>68</v>
      </c>
      <c r="E3796" s="350"/>
      <c r="F3796" s="350"/>
      <c r="G3796" s="350"/>
      <c r="H3796" s="195"/>
      <c r="I3796" s="159"/>
      <c r="J3796" s="195"/>
      <c r="K3796" s="161"/>
      <c r="L3796" s="196"/>
      <c r="M3796" s="230"/>
      <c r="N3796" s="164"/>
      <c r="O3796" s="165">
        <f t="shared" si="880"/>
        <v>0</v>
      </c>
      <c r="P3796" s="166"/>
      <c r="Q3796" s="166"/>
      <c r="R3796" s="71"/>
    </row>
    <row r="3797" spans="1:41" s="61" customFormat="1" x14ac:dyDescent="0.25">
      <c r="A3797" s="358"/>
      <c r="B3797" s="361"/>
      <c r="C3797" s="221"/>
      <c r="D3797" s="156"/>
      <c r="E3797" s="156"/>
      <c r="F3797" s="156"/>
      <c r="G3797" s="236"/>
      <c r="H3797" s="195"/>
      <c r="I3797" s="159"/>
      <c r="J3797" s="195"/>
      <c r="K3797" s="161"/>
      <c r="L3797" s="196"/>
      <c r="M3797" s="230"/>
      <c r="N3797" s="164"/>
      <c r="O3797" s="165">
        <f t="shared" si="880"/>
        <v>0</v>
      </c>
      <c r="P3797" s="166"/>
      <c r="Q3797" s="166"/>
      <c r="R3797" s="71"/>
    </row>
    <row r="3798" spans="1:41" s="61" customFormat="1" x14ac:dyDescent="0.25">
      <c r="A3798" s="358"/>
      <c r="B3798" s="361"/>
      <c r="C3798" s="221"/>
      <c r="D3798" s="368" t="s">
        <v>69</v>
      </c>
      <c r="E3798" s="368"/>
      <c r="F3798" s="368"/>
      <c r="G3798" s="368"/>
      <c r="H3798" s="187"/>
      <c r="I3798" s="159"/>
      <c r="J3798" s="187"/>
      <c r="K3798" s="161"/>
      <c r="L3798" s="276"/>
      <c r="M3798" s="230"/>
      <c r="N3798" s="164"/>
      <c r="O3798" s="198">
        <f>O3800+O3807+O3824+O3826+O3841+O3843+O3845+O3870+O3872+O3877+O3874</f>
        <v>765.82366280999986</v>
      </c>
      <c r="P3798" s="166"/>
      <c r="Q3798" s="166"/>
      <c r="R3798" s="71"/>
    </row>
    <row r="3799" spans="1:41" s="61" customFormat="1" x14ac:dyDescent="0.25">
      <c r="A3799" s="358"/>
      <c r="B3799" s="361"/>
      <c r="C3799" s="221">
        <v>224</v>
      </c>
      <c r="D3799" s="156" t="s">
        <v>21</v>
      </c>
      <c r="E3799" s="156" t="s">
        <v>22</v>
      </c>
      <c r="F3799" s="156" t="s">
        <v>22</v>
      </c>
      <c r="G3799" s="238">
        <f>MROUND(H3799*L3799*I3799/K3799,0.000001)</f>
        <v>0</v>
      </c>
      <c r="H3799" s="158"/>
      <c r="I3799" s="159">
        <f>I3793</f>
        <v>0.30039917999999999</v>
      </c>
      <c r="J3799" s="160"/>
      <c r="K3799" s="161">
        <f>K3793</f>
        <v>9060</v>
      </c>
      <c r="L3799" s="250"/>
      <c r="M3799" s="163"/>
      <c r="N3799" s="164"/>
      <c r="O3799" s="165">
        <f>MROUND(G3799*N3799,0.000001)</f>
        <v>0</v>
      </c>
      <c r="P3799" s="166"/>
      <c r="Q3799" s="166">
        <f t="shared" ref="Q3799" si="881">O3799*K3799</f>
        <v>0</v>
      </c>
      <c r="R3799" s="71"/>
    </row>
    <row r="3800" spans="1:41" s="61" customFormat="1" x14ac:dyDescent="0.25">
      <c r="A3800" s="358"/>
      <c r="B3800" s="361"/>
      <c r="C3800" s="218" t="s">
        <v>293</v>
      </c>
      <c r="D3800" s="240"/>
      <c r="E3800" s="240"/>
      <c r="F3800" s="240"/>
      <c r="G3800" s="227"/>
      <c r="H3800" s="241"/>
      <c r="I3800" s="206"/>
      <c r="J3800" s="228"/>
      <c r="K3800" s="207"/>
      <c r="L3800" s="257"/>
      <c r="M3800" s="209"/>
      <c r="N3800" s="210"/>
      <c r="O3800" s="198">
        <f>SUM(O3799)</f>
        <v>0</v>
      </c>
      <c r="P3800" s="166"/>
      <c r="Q3800" s="166"/>
      <c r="R3800" s="71"/>
    </row>
    <row r="3801" spans="1:41" s="61" customFormat="1" ht="31.5" x14ac:dyDescent="0.25">
      <c r="A3801" s="358"/>
      <c r="B3801" s="361"/>
      <c r="C3801" s="364" t="s">
        <v>78</v>
      </c>
      <c r="D3801" s="156" t="s">
        <v>26</v>
      </c>
      <c r="E3801" s="156" t="s">
        <v>22</v>
      </c>
      <c r="F3801" s="156" t="s">
        <v>22</v>
      </c>
      <c r="G3801" s="238">
        <f>MROUND(H3801*L3801*I3801/K3801,0.000001)</f>
        <v>10.281212</v>
      </c>
      <c r="H3801" s="158">
        <f>H3441</f>
        <v>25840</v>
      </c>
      <c r="I3801" s="159">
        <f>I3799</f>
        <v>0.30039917999999999</v>
      </c>
      <c r="J3801" s="160"/>
      <c r="K3801" s="161">
        <f>K3799</f>
        <v>9060</v>
      </c>
      <c r="L3801" s="250">
        <v>12</v>
      </c>
      <c r="M3801" s="163" t="str">
        <f>CONCATENATE(H3801," ",F3801,"(обрабатываемая площадь в мес.)","*",L3801,"мес.","*",I3801,"/",K3801,"чел.")</f>
        <v>25840 м2(обрабатываемая площадь в мес.)*12мес.*0,30039918/9060чел.</v>
      </c>
      <c r="N3801" s="164">
        <f>N3441</f>
        <v>1.208548374613003</v>
      </c>
      <c r="O3801" s="165">
        <f t="shared" ref="O3801:O3806" si="882">MROUND(G3801*N3801,0.000001)</f>
        <v>12.425341999999999</v>
      </c>
      <c r="P3801" s="166"/>
      <c r="Q3801" s="166">
        <f t="shared" ref="Q3801:Q3806" si="883">O3801*K3801</f>
        <v>112573.59851999999</v>
      </c>
      <c r="R3801" s="71"/>
    </row>
    <row r="3802" spans="1:41" s="61" customFormat="1" ht="31.5" x14ac:dyDescent="0.25">
      <c r="A3802" s="358"/>
      <c r="B3802" s="361"/>
      <c r="C3802" s="364"/>
      <c r="D3802" s="156" t="s">
        <v>96</v>
      </c>
      <c r="E3802" s="156" t="s">
        <v>22</v>
      </c>
      <c r="F3802" s="156" t="s">
        <v>22</v>
      </c>
      <c r="G3802" s="238">
        <f>MROUND(H3802*L3802*I3802/K3802,0.000001)</f>
        <v>5.3216409999999996</v>
      </c>
      <c r="H3802" s="158">
        <f>H3442</f>
        <v>13375</v>
      </c>
      <c r="I3802" s="159">
        <f t="shared" si="871"/>
        <v>0.30039917999999999</v>
      </c>
      <c r="J3802" s="160"/>
      <c r="K3802" s="161">
        <f>K3801</f>
        <v>9060</v>
      </c>
      <c r="L3802" s="250">
        <v>12</v>
      </c>
      <c r="M3802" s="163" t="str">
        <f>CONCATENATE(H3802," ",F3802,"(обрабатываемая площадь в мес.)","*",L3802,"мес.","*",I3802,"/",K3802,"чел.")</f>
        <v>13375 м2(обрабатываемая площадь в мес.)*12мес.*0,30039918/9060чел.</v>
      </c>
      <c r="N3802" s="164">
        <f>N3442</f>
        <v>1.93823800623053</v>
      </c>
      <c r="O3802" s="165">
        <f t="shared" si="882"/>
        <v>10.314606999999999</v>
      </c>
      <c r="P3802" s="166"/>
      <c r="Q3802" s="166">
        <f t="shared" si="883"/>
        <v>93450.339419999989</v>
      </c>
      <c r="R3802" s="71"/>
    </row>
    <row r="3803" spans="1:41" s="135" customFormat="1" ht="31.5" x14ac:dyDescent="0.25">
      <c r="A3803" s="358"/>
      <c r="B3803" s="361"/>
      <c r="C3803" s="364"/>
      <c r="D3803" s="156" t="s">
        <v>385</v>
      </c>
      <c r="E3803" s="156" t="s">
        <v>22</v>
      </c>
      <c r="F3803" s="156" t="s">
        <v>22</v>
      </c>
      <c r="G3803" s="238">
        <f>MROUND(H3803*L3803*I3803/K3803,0.000001)</f>
        <v>10.643281999999999</v>
      </c>
      <c r="H3803" s="242">
        <f>$H$55</f>
        <v>13375</v>
      </c>
      <c r="I3803" s="159">
        <f t="shared" si="871"/>
        <v>0.30039917999999999</v>
      </c>
      <c r="J3803" s="160"/>
      <c r="K3803" s="161">
        <f>K3802</f>
        <v>9060</v>
      </c>
      <c r="L3803" s="162">
        <v>24</v>
      </c>
      <c r="M3803" s="163" t="str">
        <f>CONCATENATE(H3803," ",F3803,"(обрабатываемая площадь в год)","*",L3803," раза в год.","*",I3803,"/",K3803,"чел.")</f>
        <v>13375 м2(обрабатываемая площадь в год)*24 раза в год.*0,30039918/9060чел.</v>
      </c>
      <c r="N3803" s="164">
        <f>$N$3443</f>
        <v>2.3942939563862917</v>
      </c>
      <c r="O3803" s="165">
        <f t="shared" si="882"/>
        <v>25.483145999999998</v>
      </c>
      <c r="P3803" s="166"/>
      <c r="Q3803" s="166">
        <f t="shared" si="883"/>
        <v>230877.30275999999</v>
      </c>
      <c r="R3803" s="71"/>
      <c r="S3803" s="61"/>
      <c r="T3803" s="61"/>
      <c r="U3803" s="61"/>
      <c r="V3803" s="61"/>
      <c r="W3803" s="61"/>
      <c r="X3803" s="61"/>
      <c r="Y3803" s="61"/>
      <c r="Z3803" s="61"/>
      <c r="AA3803" s="61"/>
      <c r="AB3803" s="61"/>
      <c r="AC3803" s="61"/>
      <c r="AD3803" s="61"/>
      <c r="AE3803" s="61"/>
      <c r="AF3803" s="61"/>
      <c r="AG3803" s="61"/>
      <c r="AH3803" s="61"/>
      <c r="AI3803" s="61"/>
      <c r="AJ3803" s="61"/>
      <c r="AK3803" s="61"/>
      <c r="AL3803" s="61"/>
      <c r="AM3803" s="61"/>
      <c r="AN3803" s="61"/>
      <c r="AO3803" s="61"/>
    </row>
    <row r="3804" spans="1:41" s="135" customFormat="1" ht="31.5" x14ac:dyDescent="0.25">
      <c r="A3804" s="358"/>
      <c r="B3804" s="361"/>
      <c r="C3804" s="364"/>
      <c r="D3804" s="156" t="s">
        <v>394</v>
      </c>
      <c r="E3804" s="156" t="s">
        <v>22</v>
      </c>
      <c r="F3804" s="156" t="s">
        <v>22</v>
      </c>
      <c r="G3804" s="238">
        <f>MROUND(H3804*L3804*I3804/K3804,0.000001)</f>
        <v>10.281212</v>
      </c>
      <c r="H3804" s="243">
        <f>$H$56</f>
        <v>25840</v>
      </c>
      <c r="I3804" s="159">
        <f t="shared" si="871"/>
        <v>0.30039917999999999</v>
      </c>
      <c r="J3804" s="160"/>
      <c r="K3804" s="161">
        <f>K3803</f>
        <v>9060</v>
      </c>
      <c r="L3804" s="162">
        <v>12</v>
      </c>
      <c r="M3804" s="163" t="str">
        <f>CONCATENATE(H3804," ",F3804,"(обрабатываемая площадь в мес.)","*",L3804,"мес.","*",I3804,"/",K3804,"чел.")</f>
        <v>25840 м2(обрабатываемая площадь в мес.)*12мес.*0,30039918/9060чел.</v>
      </c>
      <c r="N3804" s="164">
        <f>$N$3444</f>
        <v>0.57007004643962855</v>
      </c>
      <c r="O3804" s="165">
        <f t="shared" si="882"/>
        <v>5.8610109999999995</v>
      </c>
      <c r="P3804" s="166"/>
      <c r="Q3804" s="166">
        <f t="shared" si="883"/>
        <v>53100.759659999996</v>
      </c>
      <c r="R3804" s="71"/>
      <c r="S3804" s="61"/>
      <c r="T3804" s="61"/>
      <c r="U3804" s="61"/>
      <c r="V3804" s="61"/>
      <c r="W3804" s="61"/>
      <c r="X3804" s="61"/>
      <c r="Y3804" s="61"/>
      <c r="Z3804" s="61"/>
      <c r="AA3804" s="61"/>
      <c r="AB3804" s="61"/>
      <c r="AC3804" s="61"/>
      <c r="AD3804" s="61"/>
      <c r="AE3804" s="61"/>
      <c r="AF3804" s="61"/>
      <c r="AG3804" s="61"/>
      <c r="AH3804" s="61"/>
      <c r="AI3804" s="61"/>
      <c r="AJ3804" s="61"/>
      <c r="AK3804" s="61"/>
      <c r="AL3804" s="61"/>
      <c r="AM3804" s="61"/>
      <c r="AN3804" s="61"/>
      <c r="AO3804" s="61"/>
    </row>
    <row r="3805" spans="1:41" s="135" customFormat="1" ht="31.5" x14ac:dyDescent="0.25">
      <c r="A3805" s="358"/>
      <c r="B3805" s="361"/>
      <c r="C3805" s="364"/>
      <c r="D3805" s="156" t="s">
        <v>395</v>
      </c>
      <c r="E3805" s="156" t="s">
        <v>98</v>
      </c>
      <c r="F3805" s="156" t="s">
        <v>98</v>
      </c>
      <c r="G3805" s="238">
        <f>MROUND(H3805*L3805*I3805/K3805,0.000000001)</f>
        <v>6.2798699999999999E-4</v>
      </c>
      <c r="H3805" s="242">
        <f>$H$57</f>
        <v>18.939999999999998</v>
      </c>
      <c r="I3805" s="159">
        <f t="shared" si="871"/>
        <v>0.30039917999999999</v>
      </c>
      <c r="J3805" s="160"/>
      <c r="K3805" s="161">
        <f>K3804</f>
        <v>9060</v>
      </c>
      <c r="L3805" s="162">
        <v>1</v>
      </c>
      <c r="M3805" s="163" t="str">
        <f>CONCATENATE(H3805," ",F3805,"(обрабатываемая площадь в год)","*",L3805," раз в год","*",I3805,"/",K3805,"чел.")</f>
        <v>18,94 Га(обрабатываемая площадь в год)*1 раз в год*0,30039918/9060чел.</v>
      </c>
      <c r="N3805" s="164">
        <f>$N$57</f>
        <v>545</v>
      </c>
      <c r="O3805" s="165">
        <f t="shared" si="882"/>
        <v>0.34225299999999997</v>
      </c>
      <c r="P3805" s="166"/>
      <c r="Q3805" s="166">
        <f t="shared" si="883"/>
        <v>3100.8121799999999</v>
      </c>
      <c r="R3805" s="71"/>
      <c r="S3805" s="61"/>
      <c r="T3805" s="61"/>
      <c r="U3805" s="61"/>
      <c r="V3805" s="61"/>
      <c r="W3805" s="61"/>
      <c r="X3805" s="61"/>
      <c r="Y3805" s="61"/>
      <c r="Z3805" s="61"/>
      <c r="AA3805" s="61"/>
      <c r="AB3805" s="61"/>
      <c r="AC3805" s="61"/>
      <c r="AD3805" s="61"/>
      <c r="AE3805" s="61"/>
      <c r="AF3805" s="61"/>
      <c r="AG3805" s="61"/>
      <c r="AH3805" s="61"/>
      <c r="AI3805" s="61"/>
      <c r="AJ3805" s="61"/>
      <c r="AK3805" s="61"/>
      <c r="AL3805" s="61"/>
      <c r="AM3805" s="61"/>
      <c r="AN3805" s="61"/>
      <c r="AO3805" s="61"/>
    </row>
    <row r="3806" spans="1:41" s="61" customFormat="1" ht="31.5" x14ac:dyDescent="0.25">
      <c r="A3806" s="358"/>
      <c r="B3806" s="361"/>
      <c r="C3806" s="364"/>
      <c r="D3806" s="156" t="s">
        <v>97</v>
      </c>
      <c r="E3806" s="156" t="s">
        <v>98</v>
      </c>
      <c r="F3806" s="156" t="s">
        <v>98</v>
      </c>
      <c r="G3806" s="238">
        <f>MROUND(H3806*L3806*I3806/K3806,0.000000001)</f>
        <v>6.2798699999999999E-4</v>
      </c>
      <c r="H3806" s="242">
        <f>H3446</f>
        <v>18.939999999999998</v>
      </c>
      <c r="I3806" s="244">
        <f>I3802</f>
        <v>0.30039917999999999</v>
      </c>
      <c r="J3806" s="160"/>
      <c r="K3806" s="161">
        <f>K3802</f>
        <v>9060</v>
      </c>
      <c r="L3806" s="250">
        <v>1</v>
      </c>
      <c r="M3806" s="163" t="str">
        <f>CONCATENATE(H3806," ",F3806,"(обрабатываемая площадь в мес.)","*",L3806,"мес.","*",I3806,"/",K3806,"чел.")</f>
        <v>18,94 Га(обрабатываемая площадь в мес.)*1мес.*0,30039918/9060чел.</v>
      </c>
      <c r="N3806" s="164">
        <f>N3446</f>
        <v>3102.4186906018999</v>
      </c>
      <c r="O3806" s="165">
        <f t="shared" si="882"/>
        <v>1.9482789999999999</v>
      </c>
      <c r="P3806" s="166"/>
      <c r="Q3806" s="166">
        <f t="shared" si="883"/>
        <v>17651.407739999999</v>
      </c>
      <c r="R3806" s="71"/>
    </row>
    <row r="3807" spans="1:41" s="61" customFormat="1" x14ac:dyDescent="0.25">
      <c r="A3807" s="358"/>
      <c r="B3807" s="361"/>
      <c r="C3807" s="245" t="s">
        <v>303</v>
      </c>
      <c r="D3807" s="240"/>
      <c r="E3807" s="240"/>
      <c r="F3807" s="240"/>
      <c r="G3807" s="227"/>
      <c r="H3807" s="241"/>
      <c r="I3807" s="206"/>
      <c r="J3807" s="228"/>
      <c r="K3807" s="207"/>
      <c r="L3807" s="257"/>
      <c r="M3807" s="209"/>
      <c r="N3807" s="210"/>
      <c r="O3807" s="198">
        <f>SUM(O3801:O3806)</f>
        <v>56.37463799999999</v>
      </c>
      <c r="P3807" s="166"/>
      <c r="Q3807" s="166"/>
      <c r="R3807" s="71"/>
    </row>
    <row r="3808" spans="1:41" s="61" customFormat="1" ht="63" x14ac:dyDescent="0.25">
      <c r="A3808" s="358"/>
      <c r="B3808" s="361"/>
      <c r="C3808" s="365" t="s">
        <v>77</v>
      </c>
      <c r="D3808" s="156" t="s">
        <v>29</v>
      </c>
      <c r="E3808" s="156" t="s">
        <v>58</v>
      </c>
      <c r="F3808" s="156" t="s">
        <v>218</v>
      </c>
      <c r="G3808" s="238">
        <f>MROUND(H3808*L3808*I3808/K3808,0.00000001)</f>
        <v>1.9894000000000001E-3</v>
      </c>
      <c r="H3808" s="158">
        <v>15</v>
      </c>
      <c r="I3808" s="159">
        <f>I3806</f>
        <v>0.30039917999999999</v>
      </c>
      <c r="J3808" s="160"/>
      <c r="K3808" s="161">
        <f>K3806</f>
        <v>9060</v>
      </c>
      <c r="L3808" s="162">
        <v>4</v>
      </c>
      <c r="M3808" s="163" t="str">
        <f>CONCATENATE(H3808," ",F3808,"*",L3808," раза в год","*",I3808,"/",K3808,"чел.")</f>
        <v>15 установок*4 раза в год*0,30039918/9060чел.</v>
      </c>
      <c r="N3808" s="164">
        <f t="shared" ref="N3808:N3821" si="884">N3448</f>
        <v>2264.8651666666669</v>
      </c>
      <c r="O3808" s="165">
        <f t="shared" ref="O3808:O3816" si="885">MROUND(G3808*N3808,0.000001)</f>
        <v>4.5057229999999997</v>
      </c>
      <c r="P3808" s="166"/>
      <c r="Q3808" s="166">
        <f t="shared" ref="Q3808:Q3823" si="886">O3808*K3808</f>
        <v>40821.850379999996</v>
      </c>
      <c r="R3808" s="71"/>
    </row>
    <row r="3809" spans="1:18" s="61" customFormat="1" ht="47.25" x14ac:dyDescent="0.25">
      <c r="A3809" s="358"/>
      <c r="B3809" s="361"/>
      <c r="C3809" s="366"/>
      <c r="D3809" s="156" t="s">
        <v>30</v>
      </c>
      <c r="E3809" s="156" t="s">
        <v>58</v>
      </c>
      <c r="F3809" s="156" t="s">
        <v>218</v>
      </c>
      <c r="G3809" s="238">
        <f>MROUND(H3809*L3809*I3809/K3809,0.00000001)</f>
        <v>9.9470000000000005E-4</v>
      </c>
      <c r="H3809" s="158">
        <v>15</v>
      </c>
      <c r="I3809" s="159">
        <f t="shared" si="871"/>
        <v>0.30039917999999999</v>
      </c>
      <c r="J3809" s="160"/>
      <c r="K3809" s="161">
        <f t="shared" ref="K3809:K3817" si="887">K3808</f>
        <v>9060</v>
      </c>
      <c r="L3809" s="250">
        <v>2</v>
      </c>
      <c r="M3809" s="163" t="str">
        <f>CONCATENATE(H3809," ",F3809,"*",L3809,"полуг.","*",I3809,"/",K3809,"чел.")</f>
        <v>15 установок*2полуг.*0,30039918/9060чел.</v>
      </c>
      <c r="N3809" s="164">
        <f t="shared" si="884"/>
        <v>4529.7303333333339</v>
      </c>
      <c r="O3809" s="165">
        <f t="shared" si="885"/>
        <v>4.5057229999999997</v>
      </c>
      <c r="P3809" s="166"/>
      <c r="Q3809" s="166">
        <f t="shared" si="886"/>
        <v>40821.850379999996</v>
      </c>
      <c r="R3809" s="71"/>
    </row>
    <row r="3810" spans="1:18" s="61" customFormat="1" ht="31.5" x14ac:dyDescent="0.25">
      <c r="A3810" s="358"/>
      <c r="B3810" s="361"/>
      <c r="C3810" s="366"/>
      <c r="D3810" s="156" t="s">
        <v>397</v>
      </c>
      <c r="E3810" s="156" t="s">
        <v>433</v>
      </c>
      <c r="F3810" s="156" t="s">
        <v>433</v>
      </c>
      <c r="G3810" s="238">
        <f>MROUND(H3810*L3810*I3810/K3810,0.000001)</f>
        <v>9.9469999999999992E-3</v>
      </c>
      <c r="H3810" s="158">
        <f>H3450</f>
        <v>300</v>
      </c>
      <c r="I3810" s="159">
        <f t="shared" si="871"/>
        <v>0.30039917999999999</v>
      </c>
      <c r="J3810" s="160"/>
      <c r="K3810" s="161">
        <f t="shared" si="887"/>
        <v>9060</v>
      </c>
      <c r="L3810" s="162">
        <v>1</v>
      </c>
      <c r="M3810" s="163" t="str">
        <f>CONCATENATE(H3810," ",F3810,"(обрабатываемая площадь в год)","*",L3810," раз в год","*",I3810,"/",K3810,"чел.")</f>
        <v>300 м2.(обрабатываемая площадь в год)*1 раз в год*0,30039918/9060чел.</v>
      </c>
      <c r="N3810" s="164">
        <f t="shared" si="884"/>
        <v>300</v>
      </c>
      <c r="O3810" s="165">
        <f t="shared" si="885"/>
        <v>2.9840999999999998</v>
      </c>
      <c r="P3810" s="166"/>
      <c r="Q3810" s="166">
        <f t="shared" si="886"/>
        <v>27035.945999999996</v>
      </c>
      <c r="R3810" s="71"/>
    </row>
    <row r="3811" spans="1:18" s="61" customFormat="1" ht="47.25" x14ac:dyDescent="0.25">
      <c r="A3811" s="358"/>
      <c r="B3811" s="361"/>
      <c r="C3811" s="366"/>
      <c r="D3811" s="156" t="s">
        <v>32</v>
      </c>
      <c r="E3811" s="156" t="s">
        <v>55</v>
      </c>
      <c r="F3811" s="156" t="s">
        <v>219</v>
      </c>
      <c r="G3811" s="238">
        <f>MROUND(H3811*L3811*I3811/K3811,0.000000001)</f>
        <v>4.7745570000000005E-3</v>
      </c>
      <c r="H3811" s="158">
        <f>H3451</f>
        <v>36</v>
      </c>
      <c r="I3811" s="159">
        <f>I3810</f>
        <v>0.30039917999999999</v>
      </c>
      <c r="J3811" s="160"/>
      <c r="K3811" s="161">
        <f t="shared" si="887"/>
        <v>9060</v>
      </c>
      <c r="L3811" s="250">
        <v>4</v>
      </c>
      <c r="M3811" s="163" t="str">
        <f>CONCATENATE(H3811," ",F3811,"*",L3811,"кв.","*",I3811,"/",K3811,"чел.")</f>
        <v>36 системы*4кв.*0,30039918/9060чел.</v>
      </c>
      <c r="N3811" s="164">
        <f t="shared" si="884"/>
        <v>7243.0565277777823</v>
      </c>
      <c r="O3811" s="165">
        <f t="shared" si="885"/>
        <v>34.582386</v>
      </c>
      <c r="P3811" s="166"/>
      <c r="Q3811" s="166">
        <f t="shared" si="886"/>
        <v>313316.41716000001</v>
      </c>
      <c r="R3811" s="71"/>
    </row>
    <row r="3812" spans="1:18" s="61" customFormat="1" ht="63" x14ac:dyDescent="0.25">
      <c r="A3812" s="358"/>
      <c r="B3812" s="361"/>
      <c r="C3812" s="366"/>
      <c r="D3812" s="156" t="s">
        <v>33</v>
      </c>
      <c r="E3812" s="156" t="s">
        <v>56</v>
      </c>
      <c r="F3812" s="156" t="s">
        <v>220</v>
      </c>
      <c r="G3812" s="238">
        <f>MROUND(H3812*L3812*I3812/K3812,0.000000001)</f>
        <v>1.193639E-3</v>
      </c>
      <c r="H3812" s="158">
        <f>$H$64</f>
        <v>36</v>
      </c>
      <c r="I3812" s="159">
        <f>I3811</f>
        <v>0.30039917999999999</v>
      </c>
      <c r="J3812" s="160"/>
      <c r="K3812" s="161">
        <f t="shared" si="887"/>
        <v>9060</v>
      </c>
      <c r="L3812" s="162">
        <v>1</v>
      </c>
      <c r="M3812" s="163" t="str">
        <f>CONCATENATE(H3812," ",F3812,"*",L3812," раз в год","*",I3812,"/",K3812,"чел.")</f>
        <v>36 дымоходов*1 раз в год*0,30039918/9060чел.</v>
      </c>
      <c r="N3812" s="164">
        <f t="shared" si="884"/>
        <v>7030.863333333331</v>
      </c>
      <c r="O3812" s="165">
        <f t="shared" si="885"/>
        <v>8.3923129999999997</v>
      </c>
      <c r="P3812" s="166"/>
      <c r="Q3812" s="166">
        <f t="shared" si="886"/>
        <v>76034.355779999998</v>
      </c>
      <c r="R3812" s="71"/>
    </row>
    <row r="3813" spans="1:18" s="61" customFormat="1" x14ac:dyDescent="0.25">
      <c r="A3813" s="358"/>
      <c r="B3813" s="361"/>
      <c r="C3813" s="366"/>
      <c r="D3813" s="194" t="s">
        <v>398</v>
      </c>
      <c r="E3813" s="156" t="s">
        <v>60</v>
      </c>
      <c r="F3813" s="156" t="s">
        <v>60</v>
      </c>
      <c r="G3813" s="238">
        <f>MROUND(H3813*L3813*I3813/K3813,0.000000001)</f>
        <v>1.160482E-3</v>
      </c>
      <c r="H3813" s="246">
        <f t="shared" ref="H3813:H3823" si="888">H3453</f>
        <v>35</v>
      </c>
      <c r="I3813" s="159">
        <f t="shared" si="871"/>
        <v>0.30039917999999999</v>
      </c>
      <c r="J3813" s="160"/>
      <c r="K3813" s="161">
        <f t="shared" si="887"/>
        <v>9060</v>
      </c>
      <c r="L3813" s="250">
        <v>1</v>
      </c>
      <c r="M3813" s="163" t="str">
        <f>CONCATENATE(H3813," ",F3813,"*",I3813,"/",K3813,"чел.")</f>
        <v>35 шт.*0,30039918/9060чел.</v>
      </c>
      <c r="N3813" s="164">
        <f t="shared" si="884"/>
        <v>12173.433428571419</v>
      </c>
      <c r="O3813" s="165">
        <f t="shared" si="885"/>
        <v>14.127049999999999</v>
      </c>
      <c r="P3813" s="166"/>
      <c r="Q3813" s="166">
        <f t="shared" si="886"/>
        <v>127991.07299999999</v>
      </c>
      <c r="R3813" s="71"/>
    </row>
    <row r="3814" spans="1:18" s="61" customFormat="1" ht="47.25" x14ac:dyDescent="0.25">
      <c r="A3814" s="358"/>
      <c r="B3814" s="361"/>
      <c r="C3814" s="366"/>
      <c r="D3814" s="156" t="s">
        <v>401</v>
      </c>
      <c r="E3814" s="156" t="s">
        <v>60</v>
      </c>
      <c r="F3814" s="156" t="s">
        <v>402</v>
      </c>
      <c r="G3814" s="238">
        <f>MROUND(H3814*L3814*I3814/K3814,0.000001)</f>
        <v>2.3209999999999997E-3</v>
      </c>
      <c r="H3814" s="246">
        <f t="shared" si="888"/>
        <v>35</v>
      </c>
      <c r="I3814" s="159">
        <f t="shared" si="871"/>
        <v>0.30039917999999999</v>
      </c>
      <c r="J3814" s="160"/>
      <c r="K3814" s="161">
        <f t="shared" si="887"/>
        <v>9060</v>
      </c>
      <c r="L3814" s="162">
        <v>2</v>
      </c>
      <c r="M3814" s="163" t="str">
        <f>CONCATENATE(H3814," ",F3814,"*",L3814," раз в год","*",I3814,"/",K3814,"чел.")</f>
        <v>35 противопожарных водопроводов*2 раз в год*0,30039918/9060чел.</v>
      </c>
      <c r="N3814" s="164">
        <f t="shared" si="884"/>
        <v>5700.7000000000025</v>
      </c>
      <c r="O3814" s="165">
        <f t="shared" si="885"/>
        <v>13.231325</v>
      </c>
      <c r="P3814" s="166"/>
      <c r="Q3814" s="166">
        <f t="shared" si="886"/>
        <v>119875.8045</v>
      </c>
      <c r="R3814" s="71"/>
    </row>
    <row r="3815" spans="1:18" s="61" customFormat="1" ht="31.5" x14ac:dyDescent="0.25">
      <c r="A3815" s="358"/>
      <c r="B3815" s="361"/>
      <c r="C3815" s="366"/>
      <c r="D3815" s="156" t="s">
        <v>221</v>
      </c>
      <c r="E3815" s="156" t="s">
        <v>60</v>
      </c>
      <c r="F3815" s="156" t="s">
        <v>60</v>
      </c>
      <c r="G3815" s="238">
        <f>MROUND(H3815*L3815*I3815/K3815,0.00000001)</f>
        <v>7.1618300000000001E-3</v>
      </c>
      <c r="H3815" s="158">
        <f t="shared" si="888"/>
        <v>18</v>
      </c>
      <c r="I3815" s="159">
        <f t="shared" si="871"/>
        <v>0.30039917999999999</v>
      </c>
      <c r="J3815" s="160"/>
      <c r="K3815" s="161">
        <f t="shared" si="887"/>
        <v>9060</v>
      </c>
      <c r="L3815" s="250">
        <v>12</v>
      </c>
      <c r="M3815" s="163" t="str">
        <f>CONCATENATE(H3815," ",F3815,"*",L3815,"мес.","*",I3815,"/",K3815,"чел.")</f>
        <v>18 шт.*12мес.*0,30039918/9060чел.</v>
      </c>
      <c r="N3815" s="164">
        <f t="shared" si="884"/>
        <v>6577.3408796296308</v>
      </c>
      <c r="O3815" s="165">
        <f t="shared" si="885"/>
        <v>47.105796999999995</v>
      </c>
      <c r="P3815" s="166"/>
      <c r="Q3815" s="166">
        <f t="shared" si="886"/>
        <v>426778.52081999998</v>
      </c>
      <c r="R3815" s="71"/>
    </row>
    <row r="3816" spans="1:18" s="61" customFormat="1" ht="47.25" x14ac:dyDescent="0.25">
      <c r="A3816" s="358"/>
      <c r="B3816" s="361"/>
      <c r="C3816" s="366"/>
      <c r="D3816" s="156" t="s">
        <v>34</v>
      </c>
      <c r="E3816" s="156" t="s">
        <v>59</v>
      </c>
      <c r="F3816" s="156" t="s">
        <v>28</v>
      </c>
      <c r="G3816" s="238">
        <f>MROUND(H3816*L3816*I3816/K3816,0.000000001)</f>
        <v>6.6313E-5</v>
      </c>
      <c r="H3816" s="158">
        <f t="shared" si="888"/>
        <v>2</v>
      </c>
      <c r="I3816" s="159">
        <f t="shared" si="871"/>
        <v>0.30039917999999999</v>
      </c>
      <c r="J3816" s="160"/>
      <c r="K3816" s="161">
        <f t="shared" si="887"/>
        <v>9060</v>
      </c>
      <c r="L3816" s="250">
        <v>1</v>
      </c>
      <c r="M3816" s="163" t="str">
        <f>CONCATENATE(H3816," ",F3816,"*",I3816,"/",K3816,"чел.")</f>
        <v>2 шт*0,30039918/9060чел.</v>
      </c>
      <c r="N3816" s="164">
        <f t="shared" si="884"/>
        <v>7845</v>
      </c>
      <c r="O3816" s="165">
        <f t="shared" si="885"/>
        <v>0.52022499999999994</v>
      </c>
      <c r="P3816" s="166"/>
      <c r="Q3816" s="166">
        <f t="shared" si="886"/>
        <v>4713.2384999999995</v>
      </c>
      <c r="R3816" s="71"/>
    </row>
    <row r="3817" spans="1:18" s="61" customFormat="1" ht="47.25" x14ac:dyDescent="0.25">
      <c r="A3817" s="358"/>
      <c r="B3817" s="361"/>
      <c r="C3817" s="366"/>
      <c r="D3817" s="156" t="s">
        <v>222</v>
      </c>
      <c r="E3817" s="156" t="s">
        <v>60</v>
      </c>
      <c r="F3817" s="156" t="s">
        <v>60</v>
      </c>
      <c r="G3817" s="238">
        <f>MROUND(H3817*L3817*I3817/K3817,0.00000000001)</f>
        <v>1.6578321E-4</v>
      </c>
      <c r="H3817" s="248">
        <f t="shared" si="888"/>
        <v>5</v>
      </c>
      <c r="I3817" s="159">
        <f t="shared" si="871"/>
        <v>0.30039917999999999</v>
      </c>
      <c r="J3817" s="160"/>
      <c r="K3817" s="161">
        <f t="shared" si="887"/>
        <v>9060</v>
      </c>
      <c r="L3817" s="250">
        <v>1</v>
      </c>
      <c r="M3817" s="163" t="str">
        <f>CONCATENATE(H3817," ",F3817,"*",I3817,"/",K3817,"чел.")</f>
        <v>5 шт.*0,30039918/9060чел.</v>
      </c>
      <c r="N3817" s="164">
        <f t="shared" si="884"/>
        <v>43857.106</v>
      </c>
      <c r="O3817" s="165">
        <f>MROUND(G3817*N3817,0.00000001)</f>
        <v>7.2707718100000003</v>
      </c>
      <c r="P3817" s="166"/>
      <c r="Q3817" s="166">
        <f t="shared" si="886"/>
        <v>65873.192598599999</v>
      </c>
      <c r="R3817" s="71"/>
    </row>
    <row r="3818" spans="1:18" s="61" customFormat="1" ht="31.5" x14ac:dyDescent="0.25">
      <c r="A3818" s="358"/>
      <c r="B3818" s="361"/>
      <c r="C3818" s="366"/>
      <c r="D3818" s="156" t="s">
        <v>35</v>
      </c>
      <c r="E3818" s="156" t="s">
        <v>102</v>
      </c>
      <c r="F3818" s="156" t="s">
        <v>223</v>
      </c>
      <c r="G3818" s="238">
        <f>MROUND(H3818*L3818*I3818/K3818,0.00000001)</f>
        <v>1.16048E-3</v>
      </c>
      <c r="H3818" s="158">
        <f t="shared" si="888"/>
        <v>35</v>
      </c>
      <c r="I3818" s="159">
        <f>I3816</f>
        <v>0.30039917999999999</v>
      </c>
      <c r="J3818" s="160"/>
      <c r="K3818" s="161">
        <f>K3816</f>
        <v>9060</v>
      </c>
      <c r="L3818" s="250">
        <v>1</v>
      </c>
      <c r="M3818" s="163" t="str">
        <f>CONCATENATE(H3818," ",F3818,"*",I3818,"/",K3818,"чел.")</f>
        <v>35 замеров*0,30039918/9060чел.</v>
      </c>
      <c r="N3818" s="164">
        <f t="shared" si="884"/>
        <v>26428.571428571428</v>
      </c>
      <c r="O3818" s="165">
        <f t="shared" ref="O3818:O3823" si="889">MROUND(G3818*N3818,0.000001)</f>
        <v>30.669829</v>
      </c>
      <c r="P3818" s="166"/>
      <c r="Q3818" s="166">
        <f t="shared" si="886"/>
        <v>277868.65074000001</v>
      </c>
      <c r="R3818" s="71"/>
    </row>
    <row r="3819" spans="1:18" s="61" customFormat="1" ht="47.25" x14ac:dyDescent="0.25">
      <c r="A3819" s="358"/>
      <c r="B3819" s="361"/>
      <c r="C3819" s="366"/>
      <c r="D3819" s="156" t="s">
        <v>399</v>
      </c>
      <c r="E3819" s="156" t="s">
        <v>60</v>
      </c>
      <c r="F3819" s="156" t="s">
        <v>60</v>
      </c>
      <c r="G3819" s="238">
        <f>MROUND(H3819*L3819*I3819/K3819,0.000000001)</f>
        <v>1.1604825000000001E-2</v>
      </c>
      <c r="H3819" s="158">
        <f t="shared" si="888"/>
        <v>35</v>
      </c>
      <c r="I3819" s="159">
        <f t="shared" si="871"/>
        <v>0.30039917999999999</v>
      </c>
      <c r="J3819" s="160"/>
      <c r="K3819" s="161">
        <f>K3818</f>
        <v>9060</v>
      </c>
      <c r="L3819" s="250">
        <v>10</v>
      </c>
      <c r="M3819" s="163" t="str">
        <f>CONCATENATE(H3819," ",F3819,"*",L3819,"мес.","*",I3819,"/",K3819,"чел.")</f>
        <v>35 шт.*10мес.*0,30039918/9060чел.</v>
      </c>
      <c r="N3819" s="164">
        <f t="shared" si="884"/>
        <v>3250.866542857143</v>
      </c>
      <c r="O3819" s="165">
        <f t="shared" si="889"/>
        <v>37.725736999999995</v>
      </c>
      <c r="P3819" s="166"/>
      <c r="Q3819" s="166">
        <f t="shared" si="886"/>
        <v>341795.17721999995</v>
      </c>
      <c r="R3819" s="71"/>
    </row>
    <row r="3820" spans="1:18" s="61" customFormat="1" ht="47.25" x14ac:dyDescent="0.25">
      <c r="A3820" s="358"/>
      <c r="B3820" s="361"/>
      <c r="C3820" s="366"/>
      <c r="D3820" s="156" t="s">
        <v>36</v>
      </c>
      <c r="E3820" s="156" t="s">
        <v>31</v>
      </c>
      <c r="F3820" s="156" t="s">
        <v>224</v>
      </c>
      <c r="G3820" s="238">
        <f>MROUND(H3820*L3820*I3820/K3820,0.00000001)</f>
        <v>1.432367E-2</v>
      </c>
      <c r="H3820" s="158">
        <f t="shared" si="888"/>
        <v>36</v>
      </c>
      <c r="I3820" s="159">
        <f t="shared" si="871"/>
        <v>0.30039917999999999</v>
      </c>
      <c r="J3820" s="160"/>
      <c r="K3820" s="161">
        <f>K3819</f>
        <v>9060</v>
      </c>
      <c r="L3820" s="250">
        <v>12</v>
      </c>
      <c r="M3820" s="163" t="str">
        <f>CONCATENATE(H3820," ",F3820,"*",L3820,"мес.","*",I3820,"/",K3820,"чел.")</f>
        <v>36 устройств*12мес.*0,30039918/9060чел.</v>
      </c>
      <c r="N3820" s="164">
        <f t="shared" si="884"/>
        <v>2508.3083101851839</v>
      </c>
      <c r="O3820" s="165">
        <f t="shared" si="889"/>
        <v>35.928179999999998</v>
      </c>
      <c r="P3820" s="166"/>
      <c r="Q3820" s="166">
        <f t="shared" si="886"/>
        <v>325509.31079999998</v>
      </c>
      <c r="R3820" s="71"/>
    </row>
    <row r="3821" spans="1:18" s="61" customFormat="1" ht="31.5" x14ac:dyDescent="0.25">
      <c r="A3821" s="358"/>
      <c r="B3821" s="361"/>
      <c r="C3821" s="366"/>
      <c r="D3821" s="156" t="s">
        <v>99</v>
      </c>
      <c r="E3821" s="156" t="s">
        <v>103</v>
      </c>
      <c r="F3821" s="156" t="s">
        <v>225</v>
      </c>
      <c r="G3821" s="238">
        <f>MROUND(H3821*L3821*I3821/K3821,0.00000001)</f>
        <v>8.2891600000000003E-3</v>
      </c>
      <c r="H3821" s="158">
        <f t="shared" si="888"/>
        <v>250</v>
      </c>
      <c r="I3821" s="159">
        <f t="shared" si="871"/>
        <v>0.30039917999999999</v>
      </c>
      <c r="J3821" s="160"/>
      <c r="K3821" s="161">
        <f>K3820</f>
        <v>9060</v>
      </c>
      <c r="L3821" s="250">
        <v>1</v>
      </c>
      <c r="M3821" s="163" t="str">
        <f>CONCATENATE(H3821," ",F3821,"*",I3821,"/",K3821,"чел.")</f>
        <v>250 ед.*0,30039918/9060чел.</v>
      </c>
      <c r="N3821" s="164">
        <f t="shared" si="884"/>
        <v>15000</v>
      </c>
      <c r="O3821" s="165">
        <f t="shared" si="889"/>
        <v>124.33739999999999</v>
      </c>
      <c r="P3821" s="166"/>
      <c r="Q3821" s="166">
        <f t="shared" si="886"/>
        <v>1126496.8439999998</v>
      </c>
      <c r="R3821" s="71"/>
    </row>
    <row r="3822" spans="1:18" s="61" customFormat="1" x14ac:dyDescent="0.25">
      <c r="A3822" s="358"/>
      <c r="B3822" s="361"/>
      <c r="C3822" s="366"/>
      <c r="D3822" s="156" t="s">
        <v>27</v>
      </c>
      <c r="E3822" s="156" t="s">
        <v>28</v>
      </c>
      <c r="F3822" s="156" t="s">
        <v>28</v>
      </c>
      <c r="G3822" s="238">
        <f>MROUND(H3822*L3822*I3822/K3822,0.000001)</f>
        <v>0.12052399999999999</v>
      </c>
      <c r="H3822" s="160">
        <f t="shared" si="888"/>
        <v>3635</v>
      </c>
      <c r="I3822" s="159">
        <f t="shared" si="871"/>
        <v>0.30039917999999999</v>
      </c>
      <c r="J3822" s="160"/>
      <c r="K3822" s="161">
        <f>K3821</f>
        <v>9060</v>
      </c>
      <c r="L3822" s="250">
        <v>1</v>
      </c>
      <c r="M3822" s="163" t="str">
        <f>CONCATENATE(H3822," ",F3822,"*",I3822,"/",K3822,"чел.")</f>
        <v>3635 шт*0,30039918/9060чел.</v>
      </c>
      <c r="N3822" s="164">
        <f>N3582</f>
        <v>418.4</v>
      </c>
      <c r="O3822" s="165">
        <f t="shared" si="889"/>
        <v>50.427242</v>
      </c>
      <c r="P3822" s="166"/>
      <c r="Q3822" s="166">
        <f t="shared" si="886"/>
        <v>456870.81251999998</v>
      </c>
      <c r="R3822" s="71"/>
    </row>
    <row r="3823" spans="1:18" s="61" customFormat="1" ht="31.5" x14ac:dyDescent="0.25">
      <c r="A3823" s="358"/>
      <c r="B3823" s="361"/>
      <c r="C3823" s="367"/>
      <c r="D3823" s="156" t="s">
        <v>104</v>
      </c>
      <c r="E3823" s="156" t="s">
        <v>105</v>
      </c>
      <c r="F3823" s="156" t="s">
        <v>226</v>
      </c>
      <c r="G3823" s="238">
        <f>MROUND(H3823*L3823*I3823/K3823,0.00000001)</f>
        <v>1.1936399999999999E-3</v>
      </c>
      <c r="H3823" s="160">
        <f t="shared" si="888"/>
        <v>36</v>
      </c>
      <c r="I3823" s="159">
        <f t="shared" si="871"/>
        <v>0.30039917999999999</v>
      </c>
      <c r="J3823" s="160"/>
      <c r="K3823" s="161">
        <f>K3822</f>
        <v>9060</v>
      </c>
      <c r="L3823" s="250">
        <v>1</v>
      </c>
      <c r="M3823" s="163" t="str">
        <f>CONCATENATE(H3823," ",F3823,"*",I3823,"/",K3823,"чел.")</f>
        <v>36 отключений*0,30039918/9060чел.</v>
      </c>
      <c r="N3823" s="164">
        <f>N3463</f>
        <v>10261.260000000004</v>
      </c>
      <c r="O3823" s="165">
        <f t="shared" si="889"/>
        <v>12.248249999999999</v>
      </c>
      <c r="P3823" s="166"/>
      <c r="Q3823" s="166">
        <f t="shared" si="886"/>
        <v>110969.14499999999</v>
      </c>
      <c r="R3823" s="71"/>
    </row>
    <row r="3824" spans="1:18" s="61" customFormat="1" x14ac:dyDescent="0.25">
      <c r="A3824" s="358"/>
      <c r="B3824" s="361"/>
      <c r="C3824" s="249" t="s">
        <v>304</v>
      </c>
      <c r="D3824" s="240"/>
      <c r="E3824" s="240"/>
      <c r="F3824" s="240"/>
      <c r="G3824" s="227"/>
      <c r="H3824" s="228"/>
      <c r="I3824" s="206"/>
      <c r="J3824" s="228"/>
      <c r="K3824" s="207"/>
      <c r="L3824" s="257"/>
      <c r="M3824" s="209"/>
      <c r="N3824" s="210"/>
      <c r="O3824" s="198">
        <f>SUM(O3808:O3823)</f>
        <v>428.56205180999996</v>
      </c>
      <c r="P3824" s="166"/>
      <c r="Q3824" s="166"/>
      <c r="R3824" s="71"/>
    </row>
    <row r="3825" spans="1:18" s="61" customFormat="1" ht="31.5" x14ac:dyDescent="0.25">
      <c r="A3825" s="358"/>
      <c r="B3825" s="361"/>
      <c r="C3825" s="221" t="s">
        <v>79</v>
      </c>
      <c r="D3825" s="156" t="s">
        <v>37</v>
      </c>
      <c r="E3825" s="156" t="s">
        <v>61</v>
      </c>
      <c r="F3825" s="156" t="s">
        <v>227</v>
      </c>
      <c r="G3825" s="238">
        <f>MROUND(H3825*L3825*I3825/K3825,0.000000001)</f>
        <v>1.3262700000000002E-4</v>
      </c>
      <c r="H3825" s="158">
        <f>H3465</f>
        <v>4</v>
      </c>
      <c r="I3825" s="159">
        <f>I3823</f>
        <v>0.30039917999999999</v>
      </c>
      <c r="J3825" s="160"/>
      <c r="K3825" s="161">
        <f>K3823</f>
        <v>9060</v>
      </c>
      <c r="L3825" s="250">
        <v>1</v>
      </c>
      <c r="M3825" s="163" t="str">
        <f>CONCATENATE(H3825," ",F3825,"*",I3825,"/",K3825,"чел.")</f>
        <v>4 автобуса*0,30039918/9060чел.</v>
      </c>
      <c r="N3825" s="164">
        <f>N3465</f>
        <v>36442.65</v>
      </c>
      <c r="O3825" s="165">
        <f>MROUND(G3825*N3825,0.000001)</f>
        <v>4.8332790000000001</v>
      </c>
      <c r="P3825" s="166"/>
      <c r="Q3825" s="166">
        <f t="shared" ref="Q3825" si="890">O3825*K3825</f>
        <v>43789.507740000001</v>
      </c>
      <c r="R3825" s="71"/>
    </row>
    <row r="3826" spans="1:18" s="61" customFormat="1" x14ac:dyDescent="0.25">
      <c r="A3826" s="358"/>
      <c r="B3826" s="361"/>
      <c r="C3826" s="218" t="s">
        <v>305</v>
      </c>
      <c r="D3826" s="240"/>
      <c r="E3826" s="240"/>
      <c r="F3826" s="240"/>
      <c r="G3826" s="227"/>
      <c r="H3826" s="241"/>
      <c r="I3826" s="206"/>
      <c r="J3826" s="228"/>
      <c r="K3826" s="207"/>
      <c r="L3826" s="257"/>
      <c r="M3826" s="209"/>
      <c r="N3826" s="210"/>
      <c r="O3826" s="198">
        <f>SUM(O3825)</f>
        <v>4.8332790000000001</v>
      </c>
      <c r="P3826" s="166"/>
      <c r="Q3826" s="166"/>
      <c r="R3826" s="71"/>
    </row>
    <row r="3827" spans="1:18" s="61" customFormat="1" x14ac:dyDescent="0.25">
      <c r="A3827" s="358"/>
      <c r="B3827" s="361"/>
      <c r="C3827" s="364" t="s">
        <v>80</v>
      </c>
      <c r="D3827" s="156" t="s">
        <v>38</v>
      </c>
      <c r="E3827" s="156" t="s">
        <v>57</v>
      </c>
      <c r="F3827" s="156" t="s">
        <v>228</v>
      </c>
      <c r="G3827" s="238">
        <f>MROUND(H3827*L3827*I3827/K3827,0.0000000001)</f>
        <v>1.43236695E-2</v>
      </c>
      <c r="H3827" s="158">
        <f>H3467</f>
        <v>36</v>
      </c>
      <c r="I3827" s="159">
        <f>I3825</f>
        <v>0.30039917999999999</v>
      </c>
      <c r="J3827" s="160"/>
      <c r="K3827" s="161">
        <f>K3825</f>
        <v>9060</v>
      </c>
      <c r="L3827" s="250">
        <v>12</v>
      </c>
      <c r="M3827" s="163" t="str">
        <f>CONCATENATE(H3827," ",F3827,"*",L3827,"мес.","*",I3827,"/",K3827,"чел.")</f>
        <v>36 зданий*12мес.*0,30039918/9060чел.</v>
      </c>
      <c r="N3827" s="164">
        <f t="shared" ref="N3827:N3838" si="891">N3467</f>
        <v>4910.5833101851858</v>
      </c>
      <c r="O3827" s="165">
        <f>MROUND(G3827*N3827,0.000001)</f>
        <v>70.337571999999994</v>
      </c>
      <c r="P3827" s="166"/>
      <c r="Q3827" s="166">
        <f t="shared" ref="Q3827:Q3840" si="892">O3827*K3827</f>
        <v>637258.40231999999</v>
      </c>
      <c r="R3827" s="71"/>
    </row>
    <row r="3828" spans="1:18" s="61" customFormat="1" ht="47.25" x14ac:dyDescent="0.25">
      <c r="A3828" s="358"/>
      <c r="B3828" s="361"/>
      <c r="C3828" s="364"/>
      <c r="D3828" s="156" t="s">
        <v>229</v>
      </c>
      <c r="E3828" s="156" t="s">
        <v>60</v>
      </c>
      <c r="F3828" s="156" t="s">
        <v>60</v>
      </c>
      <c r="G3828" s="238">
        <f>MROUND(H3828*L3828*I3828/K3828,0.000001)</f>
        <v>7.9377000000000003E-2</v>
      </c>
      <c r="H3828" s="158">
        <f>H3468</f>
        <v>2394</v>
      </c>
      <c r="I3828" s="159">
        <f t="shared" si="871"/>
        <v>0.30039917999999999</v>
      </c>
      <c r="J3828" s="160"/>
      <c r="K3828" s="161">
        <f>K3827</f>
        <v>9060</v>
      </c>
      <c r="L3828" s="250">
        <v>1</v>
      </c>
      <c r="M3828" s="163" t="str">
        <f t="shared" ref="M3828:M3835" si="893">CONCATENATE(H3828," ",F3828,"*",I3828,"/",K3828,"чел.")</f>
        <v>2394 шт.*0,30039918/9060чел.</v>
      </c>
      <c r="N3828" s="164">
        <f t="shared" si="891"/>
        <v>171.02101921470341</v>
      </c>
      <c r="O3828" s="165">
        <f>MROUND(G3828*N3828,0.000001)</f>
        <v>13.575135</v>
      </c>
      <c r="P3828" s="166"/>
      <c r="Q3828" s="166">
        <f t="shared" si="892"/>
        <v>122990.72309999999</v>
      </c>
      <c r="R3828" s="71"/>
    </row>
    <row r="3829" spans="1:18" s="61" customFormat="1" ht="47.25" x14ac:dyDescent="0.25">
      <c r="A3829" s="358"/>
      <c r="B3829" s="361"/>
      <c r="C3829" s="364"/>
      <c r="D3829" s="156" t="s">
        <v>405</v>
      </c>
      <c r="E3829" s="156" t="s">
        <v>60</v>
      </c>
      <c r="F3829" s="156" t="s">
        <v>406</v>
      </c>
      <c r="G3829" s="238">
        <f>MROUND(H3829*L3829*I3829/K3829,0.00000001)</f>
        <v>1.1936399999999999E-3</v>
      </c>
      <c r="H3829" s="158">
        <f>H3709</f>
        <v>36</v>
      </c>
      <c r="I3829" s="159">
        <f t="shared" si="871"/>
        <v>0.30039917999999999</v>
      </c>
      <c r="J3829" s="160"/>
      <c r="K3829" s="161">
        <f>K3828</f>
        <v>9060</v>
      </c>
      <c r="L3829" s="250">
        <v>1</v>
      </c>
      <c r="M3829" s="163" t="str">
        <f t="shared" si="893"/>
        <v>36 лицензий*0,30039918/9060чел.</v>
      </c>
      <c r="N3829" s="164">
        <f t="shared" si="891"/>
        <v>12541.539999999994</v>
      </c>
      <c r="O3829" s="165">
        <f t="shared" ref="O3829:O3838" si="894">MROUND(G3829*N3829,0.000001)</f>
        <v>14.970084</v>
      </c>
      <c r="P3829" s="166"/>
      <c r="Q3829" s="166">
        <f t="shared" si="892"/>
        <v>135628.96103999999</v>
      </c>
      <c r="R3829" s="71"/>
    </row>
    <row r="3830" spans="1:18" s="61" customFormat="1" ht="63" x14ac:dyDescent="0.25">
      <c r="A3830" s="358"/>
      <c r="B3830" s="361"/>
      <c r="C3830" s="364"/>
      <c r="D3830" s="156" t="s">
        <v>39</v>
      </c>
      <c r="E3830" s="156" t="s">
        <v>20</v>
      </c>
      <c r="F3830" s="156" t="s">
        <v>234</v>
      </c>
      <c r="G3830" s="238">
        <f>MROUND(H3830*L3830*I3830/K3830,0.000000001)</f>
        <v>3.9124839999999999E-3</v>
      </c>
      <c r="H3830" s="158">
        <f>H3470</f>
        <v>118</v>
      </c>
      <c r="I3830" s="159">
        <f>I3828</f>
        <v>0.30039917999999999</v>
      </c>
      <c r="J3830" s="160"/>
      <c r="K3830" s="161">
        <f>K3828</f>
        <v>9060</v>
      </c>
      <c r="L3830" s="250">
        <v>1</v>
      </c>
      <c r="M3830" s="163" t="str">
        <f t="shared" si="893"/>
        <v>118 чел(заявленная потребность руководителями учреждений)*0,30039918/9060чел.</v>
      </c>
      <c r="N3830" s="164">
        <f t="shared" si="891"/>
        <v>798.09796610169519</v>
      </c>
      <c r="O3830" s="165">
        <f t="shared" si="894"/>
        <v>3.1225459999999998</v>
      </c>
      <c r="P3830" s="166"/>
      <c r="Q3830" s="166">
        <f t="shared" si="892"/>
        <v>28290.266759999999</v>
      </c>
      <c r="R3830" s="71"/>
    </row>
    <row r="3831" spans="1:18" s="61" customFormat="1" ht="63" x14ac:dyDescent="0.25">
      <c r="A3831" s="358"/>
      <c r="B3831" s="361"/>
      <c r="C3831" s="364"/>
      <c r="D3831" s="156" t="s">
        <v>40</v>
      </c>
      <c r="E3831" s="156" t="s">
        <v>20</v>
      </c>
      <c r="F3831" s="156" t="s">
        <v>234</v>
      </c>
      <c r="G3831" s="238">
        <f>MROUND(H3831*L3831*I3831/K3831,0.000000001)</f>
        <v>3.183038E-3</v>
      </c>
      <c r="H3831" s="158">
        <f>H3471</f>
        <v>96</v>
      </c>
      <c r="I3831" s="159">
        <f t="shared" si="871"/>
        <v>0.30039917999999999</v>
      </c>
      <c r="J3831" s="160"/>
      <c r="K3831" s="161">
        <f t="shared" ref="K3831:K3838" si="895">K3830</f>
        <v>9060</v>
      </c>
      <c r="L3831" s="250">
        <v>1</v>
      </c>
      <c r="M3831" s="163" t="str">
        <f t="shared" si="893"/>
        <v>96 чел(заявленная потребность руководителями учреждений)*0,30039918/9060чел.</v>
      </c>
      <c r="N3831" s="164">
        <f t="shared" si="891"/>
        <v>1710.2100000000007</v>
      </c>
      <c r="O3831" s="165">
        <f t="shared" si="894"/>
        <v>5.4436629999999999</v>
      </c>
      <c r="P3831" s="166"/>
      <c r="Q3831" s="166">
        <f t="shared" si="892"/>
        <v>49319.586779999998</v>
      </c>
      <c r="R3831" s="71"/>
    </row>
    <row r="3832" spans="1:18" s="61" customFormat="1" ht="63" x14ac:dyDescent="0.25">
      <c r="A3832" s="358"/>
      <c r="B3832" s="361"/>
      <c r="C3832" s="364"/>
      <c r="D3832" s="156" t="s">
        <v>100</v>
      </c>
      <c r="E3832" s="156" t="s">
        <v>20</v>
      </c>
      <c r="F3832" s="156" t="s">
        <v>234</v>
      </c>
      <c r="G3832" s="238">
        <f>MROUND(H3832*L3832*I3832/K3832,0.0000000001)</f>
        <v>2.6856880000000003E-3</v>
      </c>
      <c r="H3832" s="158">
        <f>H3472</f>
        <v>81</v>
      </c>
      <c r="I3832" s="159">
        <f t="shared" si="871"/>
        <v>0.30039917999999999</v>
      </c>
      <c r="J3832" s="160"/>
      <c r="K3832" s="161">
        <f t="shared" si="895"/>
        <v>9060</v>
      </c>
      <c r="L3832" s="250">
        <v>1</v>
      </c>
      <c r="M3832" s="163" t="str">
        <f t="shared" si="893"/>
        <v>81 чел(заявленная потребность руководителями учреждений)*0,30039918/9060чел.</v>
      </c>
      <c r="N3832" s="164">
        <f t="shared" si="891"/>
        <v>3648.448148148148</v>
      </c>
      <c r="O3832" s="165">
        <f t="shared" si="894"/>
        <v>9.7985930000000003</v>
      </c>
      <c r="P3832" s="166"/>
      <c r="Q3832" s="166">
        <f t="shared" si="892"/>
        <v>88775.25258</v>
      </c>
      <c r="R3832" s="71"/>
    </row>
    <row r="3833" spans="1:18" s="61" customFormat="1" ht="110.25" x14ac:dyDescent="0.25">
      <c r="A3833" s="358"/>
      <c r="B3833" s="361"/>
      <c r="C3833" s="364"/>
      <c r="D3833" s="156" t="s">
        <v>235</v>
      </c>
      <c r="E3833" s="156" t="s">
        <v>50</v>
      </c>
      <c r="F3833" s="156" t="s">
        <v>230</v>
      </c>
      <c r="G3833" s="238">
        <f>MROUND(H3833*L3833*I3833/K3833,0.00000001)</f>
        <v>1.1936399999999999E-3</v>
      </c>
      <c r="H3833" s="158">
        <f>H3593</f>
        <v>36</v>
      </c>
      <c r="I3833" s="159">
        <f t="shared" si="871"/>
        <v>0.30039917999999999</v>
      </c>
      <c r="J3833" s="160"/>
      <c r="K3833" s="161">
        <f t="shared" si="895"/>
        <v>9060</v>
      </c>
      <c r="L3833" s="250">
        <v>1</v>
      </c>
      <c r="M3833" s="163" t="str">
        <f t="shared" si="893"/>
        <v>36 отчетов*0,30039918/9060чел.</v>
      </c>
      <c r="N3833" s="164">
        <f t="shared" si="891"/>
        <v>6840.8399999999974</v>
      </c>
      <c r="O3833" s="165">
        <f t="shared" si="894"/>
        <v>8.1654999999999998</v>
      </c>
      <c r="P3833" s="166"/>
      <c r="Q3833" s="166">
        <f t="shared" si="892"/>
        <v>73979.429999999993</v>
      </c>
      <c r="R3833" s="71"/>
    </row>
    <row r="3834" spans="1:18" s="61" customFormat="1" ht="63" x14ac:dyDescent="0.25">
      <c r="A3834" s="358"/>
      <c r="B3834" s="361"/>
      <c r="C3834" s="364"/>
      <c r="D3834" s="156" t="s">
        <v>42</v>
      </c>
      <c r="E3834" s="156" t="s">
        <v>51</v>
      </c>
      <c r="F3834" s="156" t="s">
        <v>407</v>
      </c>
      <c r="G3834" s="238">
        <f>MROUND(H3834*L3834*I3834/K3834,0.000001)</f>
        <v>6.764E-3</v>
      </c>
      <c r="H3834" s="158">
        <f>H3474</f>
        <v>204</v>
      </c>
      <c r="I3834" s="159">
        <f t="shared" si="871"/>
        <v>0.30039917999999999</v>
      </c>
      <c r="J3834" s="160"/>
      <c r="K3834" s="161">
        <f t="shared" si="895"/>
        <v>9060</v>
      </c>
      <c r="L3834" s="250">
        <v>1</v>
      </c>
      <c r="M3834" s="163" t="str">
        <f t="shared" si="893"/>
        <v>204 ед (заявленная потребность руководителями учреждений)*0,30039918/9060чел.</v>
      </c>
      <c r="N3834" s="164">
        <f t="shared" si="891"/>
        <v>1140.1400000000001</v>
      </c>
      <c r="O3834" s="165">
        <f t="shared" si="894"/>
        <v>7.7119070000000001</v>
      </c>
      <c r="P3834" s="166"/>
      <c r="Q3834" s="166">
        <f t="shared" si="892"/>
        <v>69869.877420000004</v>
      </c>
      <c r="R3834" s="71"/>
    </row>
    <row r="3835" spans="1:18" s="61" customFormat="1" ht="31.5" x14ac:dyDescent="0.25">
      <c r="A3835" s="358"/>
      <c r="B3835" s="361"/>
      <c r="C3835" s="364"/>
      <c r="D3835" s="156" t="s">
        <v>43</v>
      </c>
      <c r="E3835" s="156" t="s">
        <v>52</v>
      </c>
      <c r="F3835" s="156" t="s">
        <v>231</v>
      </c>
      <c r="G3835" s="238">
        <f>MROUND(H3835*L3835*I3835/K3835,0.000000001)</f>
        <v>1.193639E-3</v>
      </c>
      <c r="H3835" s="158">
        <f>H3475</f>
        <v>36</v>
      </c>
      <c r="I3835" s="159">
        <f t="shared" ref="I3835:I3838" si="896">I3834</f>
        <v>0.30039917999999999</v>
      </c>
      <c r="J3835" s="160"/>
      <c r="K3835" s="161">
        <f t="shared" si="895"/>
        <v>9060</v>
      </c>
      <c r="L3835" s="250">
        <v>1</v>
      </c>
      <c r="M3835" s="163" t="str">
        <f t="shared" si="893"/>
        <v>36 ЭЦП*0,30039918/9060чел.</v>
      </c>
      <c r="N3835" s="164">
        <f t="shared" si="891"/>
        <v>8099.5499999999947</v>
      </c>
      <c r="O3835" s="165">
        <f t="shared" si="894"/>
        <v>9.6679389999999987</v>
      </c>
      <c r="P3835" s="166"/>
      <c r="Q3835" s="166">
        <f t="shared" si="892"/>
        <v>87591.527339999986</v>
      </c>
      <c r="R3835" s="71"/>
    </row>
    <row r="3836" spans="1:18" s="61" customFormat="1" ht="47.25" x14ac:dyDescent="0.25">
      <c r="A3836" s="358"/>
      <c r="B3836" s="361"/>
      <c r="C3836" s="364"/>
      <c r="D3836" s="156" t="s">
        <v>44</v>
      </c>
      <c r="E3836" s="156" t="s">
        <v>85</v>
      </c>
      <c r="F3836" s="156" t="s">
        <v>232</v>
      </c>
      <c r="G3836" s="238">
        <f>MROUND(H3836*L3836*I3836/K3836,0.000001)</f>
        <v>4.0318E-2</v>
      </c>
      <c r="H3836" s="158">
        <f>H3476</f>
        <v>1216</v>
      </c>
      <c r="I3836" s="159">
        <f t="shared" si="896"/>
        <v>0.30039917999999999</v>
      </c>
      <c r="J3836" s="160"/>
      <c r="K3836" s="161">
        <f t="shared" si="895"/>
        <v>9060</v>
      </c>
      <c r="L3836" s="250">
        <v>1</v>
      </c>
      <c r="M3836" s="163" t="str">
        <f>CONCATENATE(H3836," ",F3836,"*",L3836,"мес.","*",I3836,"/",K3836,"чел.")</f>
        <v>1216 мед.осмотров в мес.*1мес.*0,30039918/9060чел.</v>
      </c>
      <c r="N3836" s="164">
        <f t="shared" si="891"/>
        <v>59.287277960526318</v>
      </c>
      <c r="O3836" s="165">
        <f t="shared" si="894"/>
        <v>2.3903439999999998</v>
      </c>
      <c r="P3836" s="166"/>
      <c r="Q3836" s="166">
        <f t="shared" si="892"/>
        <v>21656.516639999998</v>
      </c>
      <c r="R3836" s="71"/>
    </row>
    <row r="3837" spans="1:18" s="61" customFormat="1" ht="63" x14ac:dyDescent="0.25">
      <c r="A3837" s="358"/>
      <c r="B3837" s="361"/>
      <c r="C3837" s="364"/>
      <c r="D3837" s="156" t="s">
        <v>45</v>
      </c>
      <c r="E3837" s="156" t="s">
        <v>53</v>
      </c>
      <c r="F3837" s="156" t="s">
        <v>233</v>
      </c>
      <c r="G3837" s="238">
        <f>MROUND(H3837*L3837*I3837/K3837,0.0000000001)</f>
        <v>1.5915188000000002E-3</v>
      </c>
      <c r="H3837" s="158">
        <f>H3477</f>
        <v>4</v>
      </c>
      <c r="I3837" s="159">
        <f t="shared" si="896"/>
        <v>0.30039917999999999</v>
      </c>
      <c r="J3837" s="160"/>
      <c r="K3837" s="161">
        <f t="shared" si="895"/>
        <v>9060</v>
      </c>
      <c r="L3837" s="250">
        <v>12</v>
      </c>
      <c r="M3837" s="163" t="str">
        <f>CONCATENATE(H3837," ",F3837,"*",L3837,"мес.","*",I3837,"/",K3837,"чел.")</f>
        <v>4  машины, оборудованных системой ГЛОНАСС*12мес.*0,30039918/9060чел.</v>
      </c>
      <c r="N3837" s="164">
        <f t="shared" si="891"/>
        <v>921.23312500000009</v>
      </c>
      <c r="O3837" s="165">
        <f t="shared" si="894"/>
        <v>1.4661599999999999</v>
      </c>
      <c r="P3837" s="166"/>
      <c r="Q3837" s="166">
        <f t="shared" si="892"/>
        <v>13283.409599999999</v>
      </c>
      <c r="R3837" s="71"/>
    </row>
    <row r="3838" spans="1:18" s="61" customFormat="1" ht="31.5" x14ac:dyDescent="0.25">
      <c r="A3838" s="358"/>
      <c r="B3838" s="361"/>
      <c r="C3838" s="364"/>
      <c r="D3838" s="156" t="s">
        <v>408</v>
      </c>
      <c r="E3838" s="156" t="s">
        <v>20</v>
      </c>
      <c r="F3838" s="156" t="s">
        <v>20</v>
      </c>
      <c r="G3838" s="238">
        <f>MROUND(H3838*L3838*I3838/K3838,0.00000001)</f>
        <v>5.6266820000000002E-2</v>
      </c>
      <c r="H3838" s="158">
        <f>H3478</f>
        <v>1697</v>
      </c>
      <c r="I3838" s="159">
        <f t="shared" si="896"/>
        <v>0.30039917999999999</v>
      </c>
      <c r="J3838" s="160"/>
      <c r="K3838" s="161">
        <f t="shared" si="895"/>
        <v>9060</v>
      </c>
      <c r="L3838" s="250">
        <v>1</v>
      </c>
      <c r="M3838" s="163" t="str">
        <f>CONCATENATE(H3838," ",F3838,"*",L3838," раз в год","*",I3838,"/",K3838,"чел.")</f>
        <v>1697 чел.*1 раз в год*0,30039918/9060чел.</v>
      </c>
      <c r="N3838" s="164">
        <f t="shared" si="891"/>
        <v>570.06999999999994</v>
      </c>
      <c r="O3838" s="165">
        <f t="shared" si="894"/>
        <v>32.076025999999999</v>
      </c>
      <c r="P3838" s="166"/>
      <c r="Q3838" s="166">
        <f t="shared" si="892"/>
        <v>290608.79556</v>
      </c>
      <c r="R3838" s="71"/>
    </row>
    <row r="3839" spans="1:18" s="61" customFormat="1" x14ac:dyDescent="0.25">
      <c r="A3839" s="358"/>
      <c r="B3839" s="361"/>
      <c r="C3839" s="364"/>
      <c r="D3839" s="156" t="s">
        <v>373</v>
      </c>
      <c r="E3839" s="156" t="s">
        <v>28</v>
      </c>
      <c r="F3839" s="156" t="s">
        <v>28</v>
      </c>
      <c r="G3839" s="157">
        <f>MROUND(H3839*L3839*I3839/K3839,0.000000001)</f>
        <v>1.193639E-3</v>
      </c>
      <c r="H3839" s="158">
        <f>H3480</f>
        <v>36</v>
      </c>
      <c r="I3839" s="159">
        <f>I3837</f>
        <v>0.30039917999999999</v>
      </c>
      <c r="J3839" s="160"/>
      <c r="K3839" s="161">
        <f>K3837</f>
        <v>9060</v>
      </c>
      <c r="L3839" s="162">
        <v>1</v>
      </c>
      <c r="M3839" s="163" t="str">
        <f>CONCATENATE(H3839," ",F3839,"*",L3839,"мес.","*",I3839,"/",K3839,"чел.")</f>
        <v>36 шт*1мес.*0,30039918/9060чел.</v>
      </c>
      <c r="N3839" s="164">
        <f>N3480</f>
        <v>24000</v>
      </c>
      <c r="O3839" s="165">
        <f>MROUND(G3839*N3839,0.000000001)</f>
        <v>28.647336000000003</v>
      </c>
      <c r="P3839" s="166"/>
      <c r="Q3839" s="166">
        <f t="shared" si="892"/>
        <v>259544.86416000003</v>
      </c>
      <c r="R3839" s="71"/>
    </row>
    <row r="3840" spans="1:18" s="61" customFormat="1" ht="31.5" x14ac:dyDescent="0.25">
      <c r="A3840" s="358"/>
      <c r="B3840" s="361"/>
      <c r="C3840" s="364"/>
      <c r="D3840" s="156" t="s">
        <v>106</v>
      </c>
      <c r="E3840" s="156" t="s">
        <v>107</v>
      </c>
      <c r="F3840" s="156"/>
      <c r="G3840" s="238">
        <f>MROUND(H3840*L3840*I3840/K3840,0.000000001)</f>
        <v>0</v>
      </c>
      <c r="H3840" s="158">
        <f>H3479</f>
        <v>0</v>
      </c>
      <c r="I3840" s="159">
        <f>I3837</f>
        <v>0.30039917999999999</v>
      </c>
      <c r="J3840" s="160"/>
      <c r="K3840" s="161">
        <f>K3837</f>
        <v>9060</v>
      </c>
      <c r="L3840" s="250">
        <f>L3479</f>
        <v>0</v>
      </c>
      <c r="M3840" s="163"/>
      <c r="N3840" s="164">
        <f>N3479</f>
        <v>6.0000000000000002E-5</v>
      </c>
      <c r="O3840" s="165">
        <f>MROUND(G3840*N3840,0.000000001)</f>
        <v>0</v>
      </c>
      <c r="P3840" s="166"/>
      <c r="Q3840" s="166">
        <f t="shared" si="892"/>
        <v>0</v>
      </c>
      <c r="R3840" s="71"/>
    </row>
    <row r="3841" spans="1:18" s="61" customFormat="1" x14ac:dyDescent="0.25">
      <c r="A3841" s="358"/>
      <c r="B3841" s="361"/>
      <c r="C3841" s="245" t="s">
        <v>296</v>
      </c>
      <c r="D3841" s="240"/>
      <c r="E3841" s="240"/>
      <c r="F3841" s="240"/>
      <c r="G3841" s="227"/>
      <c r="H3841" s="241"/>
      <c r="I3841" s="206"/>
      <c r="J3841" s="228"/>
      <c r="K3841" s="207"/>
      <c r="L3841" s="257"/>
      <c r="M3841" s="209"/>
      <c r="N3841" s="210"/>
      <c r="O3841" s="198">
        <f>SUM(O3827:O3840)</f>
        <v>207.37280499999997</v>
      </c>
      <c r="P3841" s="166"/>
      <c r="Q3841" s="166"/>
      <c r="R3841" s="71"/>
    </row>
    <row r="3842" spans="1:18" s="61" customFormat="1" ht="31.5" x14ac:dyDescent="0.25">
      <c r="A3842" s="358"/>
      <c r="B3842" s="361"/>
      <c r="C3842" s="252" t="s">
        <v>237</v>
      </c>
      <c r="D3842" s="156" t="s">
        <v>41</v>
      </c>
      <c r="E3842" s="156" t="s">
        <v>61</v>
      </c>
      <c r="F3842" s="156" t="s">
        <v>227</v>
      </c>
      <c r="G3842" s="238">
        <f>MROUND(H3842*L3842*I3842/K3842,0.000000001)</f>
        <v>1.3262700000000002E-4</v>
      </c>
      <c r="H3842" s="158">
        <f>H3482</f>
        <v>4</v>
      </c>
      <c r="I3842" s="159">
        <f>I3840</f>
        <v>0.30039917999999999</v>
      </c>
      <c r="J3842" s="160"/>
      <c r="K3842" s="161">
        <f>K3840</f>
        <v>9060</v>
      </c>
      <c r="L3842" s="250">
        <v>1</v>
      </c>
      <c r="M3842" s="163" t="str">
        <f>CONCATENATE(H3842," ",F3842,"*",I3842,"/",K3842,"чел.")</f>
        <v>4 автобуса*0,30039918/9060чел.</v>
      </c>
      <c r="N3842" s="164">
        <f>N3482</f>
        <v>26907.305</v>
      </c>
      <c r="O3842" s="165">
        <f>MROUND(G3842*N3842,0.000001)</f>
        <v>3.568635</v>
      </c>
      <c r="P3842" s="166"/>
      <c r="Q3842" s="166">
        <f t="shared" ref="Q3842" si="897">O3842*K3842</f>
        <v>32331.8331</v>
      </c>
      <c r="R3842" s="71"/>
    </row>
    <row r="3843" spans="1:18" s="61" customFormat="1" x14ac:dyDescent="0.25">
      <c r="A3843" s="358"/>
      <c r="B3843" s="361"/>
      <c r="C3843" s="245" t="s">
        <v>297</v>
      </c>
      <c r="D3843" s="240"/>
      <c r="E3843" s="240"/>
      <c r="F3843" s="240"/>
      <c r="G3843" s="227"/>
      <c r="H3843" s="241"/>
      <c r="I3843" s="206"/>
      <c r="J3843" s="228"/>
      <c r="K3843" s="207"/>
      <c r="L3843" s="257"/>
      <c r="M3843" s="209"/>
      <c r="N3843" s="210"/>
      <c r="O3843" s="198">
        <f>SUM(O3842)</f>
        <v>3.568635</v>
      </c>
      <c r="P3843" s="166"/>
      <c r="Q3843" s="166"/>
      <c r="R3843" s="71"/>
    </row>
    <row r="3844" spans="1:18" s="61" customFormat="1" ht="78.75" x14ac:dyDescent="0.25">
      <c r="A3844" s="358"/>
      <c r="B3844" s="361"/>
      <c r="C3844" s="221" t="s">
        <v>236</v>
      </c>
      <c r="D3844" s="156" t="s">
        <v>19</v>
      </c>
      <c r="E3844" s="181" t="s">
        <v>20</v>
      </c>
      <c r="F3844" s="181" t="s">
        <v>238</v>
      </c>
      <c r="G3844" s="238">
        <f>MROUND(H3844*L3844*I3844/K3844,0.000001)</f>
        <v>0</v>
      </c>
      <c r="H3844" s="158"/>
      <c r="I3844" s="159">
        <f>I3840</f>
        <v>0.30039917999999999</v>
      </c>
      <c r="J3844" s="160"/>
      <c r="K3844" s="161">
        <f>K3840</f>
        <v>9060</v>
      </c>
      <c r="L3844" s="250"/>
      <c r="M3844" s="163"/>
      <c r="N3844" s="164"/>
      <c r="O3844" s="165">
        <f>MROUND(G3844*N3844,0.000001)</f>
        <v>0</v>
      </c>
      <c r="P3844" s="166"/>
      <c r="Q3844" s="166">
        <f t="shared" ref="Q3844" si="898">O3844*K3844</f>
        <v>0</v>
      </c>
      <c r="R3844" s="71"/>
    </row>
    <row r="3845" spans="1:18" s="61" customFormat="1" x14ac:dyDescent="0.25">
      <c r="A3845" s="358"/>
      <c r="B3845" s="361"/>
      <c r="C3845" s="245" t="s">
        <v>298</v>
      </c>
      <c r="D3845" s="240"/>
      <c r="E3845" s="253"/>
      <c r="F3845" s="253"/>
      <c r="G3845" s="227"/>
      <c r="H3845" s="241"/>
      <c r="I3845" s="206"/>
      <c r="J3845" s="228"/>
      <c r="K3845" s="207"/>
      <c r="L3845" s="257"/>
      <c r="M3845" s="209"/>
      <c r="N3845" s="210"/>
      <c r="O3845" s="198">
        <f>SUM(O3844)</f>
        <v>0</v>
      </c>
      <c r="P3845" s="166"/>
      <c r="Q3845" s="166"/>
      <c r="R3845" s="71"/>
    </row>
    <row r="3846" spans="1:18" s="61" customFormat="1" ht="30" x14ac:dyDescent="0.25">
      <c r="A3846" s="358"/>
      <c r="B3846" s="361"/>
      <c r="C3846" s="365" t="s">
        <v>81</v>
      </c>
      <c r="D3846" s="254" t="s">
        <v>410</v>
      </c>
      <c r="E3846" s="156" t="s">
        <v>28</v>
      </c>
      <c r="F3846" s="156" t="s">
        <v>28</v>
      </c>
      <c r="G3846" s="238">
        <f>MROUND(H3846*L3846*I3846/K3846,0.0000000001)</f>
        <v>0</v>
      </c>
      <c r="H3846" s="158"/>
      <c r="I3846" s="159">
        <f>I3840</f>
        <v>0.30039917999999999</v>
      </c>
      <c r="J3846" s="160"/>
      <c r="K3846" s="161">
        <f>K3840</f>
        <v>9060</v>
      </c>
      <c r="L3846" s="250">
        <v>1</v>
      </c>
      <c r="M3846" s="163"/>
      <c r="N3846" s="164"/>
      <c r="O3846" s="165">
        <f>MROUND(G3846*N3846,0.000001)</f>
        <v>0</v>
      </c>
      <c r="P3846" s="166"/>
      <c r="Q3846" s="166">
        <f t="shared" ref="Q3846:Q3869" si="899">O3846*K3846</f>
        <v>0</v>
      </c>
      <c r="R3846" s="71"/>
    </row>
    <row r="3847" spans="1:18" s="61" customFormat="1" x14ac:dyDescent="0.25">
      <c r="A3847" s="358"/>
      <c r="B3847" s="361"/>
      <c r="C3847" s="366"/>
      <c r="D3847" s="254" t="s">
        <v>325</v>
      </c>
      <c r="E3847" s="156" t="s">
        <v>28</v>
      </c>
      <c r="F3847" s="156" t="s">
        <v>28</v>
      </c>
      <c r="G3847" s="157">
        <f>MROUND(H3847*L3847*I3847/K3847,0.0000000001)</f>
        <v>0</v>
      </c>
      <c r="H3847" s="158"/>
      <c r="I3847" s="159">
        <f>I3846</f>
        <v>0.30039917999999999</v>
      </c>
      <c r="J3847" s="160"/>
      <c r="K3847" s="161">
        <f>K3846</f>
        <v>9060</v>
      </c>
      <c r="L3847" s="250">
        <v>1</v>
      </c>
      <c r="M3847" s="163"/>
      <c r="N3847" s="164"/>
      <c r="O3847" s="165">
        <f>MROUND(G3847*N3847,0.000001)</f>
        <v>0</v>
      </c>
      <c r="P3847" s="166"/>
      <c r="Q3847" s="166">
        <f t="shared" si="899"/>
        <v>0</v>
      </c>
      <c r="R3847" s="71"/>
    </row>
    <row r="3848" spans="1:18" s="61" customFormat="1" ht="30" x14ac:dyDescent="0.25">
      <c r="A3848" s="358"/>
      <c r="B3848" s="361"/>
      <c r="C3848" s="366"/>
      <c r="D3848" s="254" t="s">
        <v>411</v>
      </c>
      <c r="E3848" s="156" t="s">
        <v>28</v>
      </c>
      <c r="F3848" s="156" t="s">
        <v>28</v>
      </c>
      <c r="G3848" s="238">
        <f>MROUND(H3848*L3848*I3848/K3848,0.00000001)</f>
        <v>0</v>
      </c>
      <c r="H3848" s="158"/>
      <c r="I3848" s="159">
        <f>I3846</f>
        <v>0.30039917999999999</v>
      </c>
      <c r="J3848" s="160"/>
      <c r="K3848" s="161">
        <f>K3846</f>
        <v>9060</v>
      </c>
      <c r="L3848" s="250">
        <v>1</v>
      </c>
      <c r="M3848" s="163"/>
      <c r="N3848" s="164"/>
      <c r="O3848" s="165">
        <f t="shared" ref="O3848:O3869" si="900">MROUND(G3848*N3848,0.000001)</f>
        <v>0</v>
      </c>
      <c r="P3848" s="166"/>
      <c r="Q3848" s="166">
        <f t="shared" si="899"/>
        <v>0</v>
      </c>
      <c r="R3848" s="71"/>
    </row>
    <row r="3849" spans="1:18" s="61" customFormat="1" x14ac:dyDescent="0.25">
      <c r="A3849" s="358"/>
      <c r="B3849" s="361"/>
      <c r="C3849" s="366"/>
      <c r="D3849" s="255" t="s">
        <v>412</v>
      </c>
      <c r="E3849" s="156" t="s">
        <v>28</v>
      </c>
      <c r="F3849" s="156" t="s">
        <v>28</v>
      </c>
      <c r="G3849" s="238">
        <f>MROUND(H3849*L3849*I3849/K3849,0.00000001)</f>
        <v>0</v>
      </c>
      <c r="H3849" s="158"/>
      <c r="I3849" s="159">
        <f>I3848</f>
        <v>0.30039917999999999</v>
      </c>
      <c r="J3849" s="160"/>
      <c r="K3849" s="161">
        <f>K3848</f>
        <v>9060</v>
      </c>
      <c r="L3849" s="250">
        <v>1</v>
      </c>
      <c r="M3849" s="163"/>
      <c r="N3849" s="164"/>
      <c r="O3849" s="165">
        <f t="shared" si="900"/>
        <v>0</v>
      </c>
      <c r="P3849" s="166"/>
      <c r="Q3849" s="166">
        <f t="shared" si="899"/>
        <v>0</v>
      </c>
      <c r="R3849" s="71"/>
    </row>
    <row r="3850" spans="1:18" s="61" customFormat="1" ht="31.5" x14ac:dyDescent="0.25">
      <c r="A3850" s="358"/>
      <c r="B3850" s="361"/>
      <c r="C3850" s="366"/>
      <c r="D3850" s="255" t="s">
        <v>413</v>
      </c>
      <c r="E3850" s="156" t="s">
        <v>28</v>
      </c>
      <c r="F3850" s="156" t="s">
        <v>28</v>
      </c>
      <c r="G3850" s="238">
        <f>MROUND(H3850*L3850*I3850/K3850,0.0000000001)</f>
        <v>0</v>
      </c>
      <c r="H3850" s="158"/>
      <c r="I3850" s="159">
        <f>I3849</f>
        <v>0.30039917999999999</v>
      </c>
      <c r="J3850" s="160"/>
      <c r="K3850" s="161">
        <f>K3849</f>
        <v>9060</v>
      </c>
      <c r="L3850" s="250">
        <v>1</v>
      </c>
      <c r="M3850" s="163"/>
      <c r="N3850" s="164"/>
      <c r="O3850" s="165">
        <f t="shared" si="900"/>
        <v>0</v>
      </c>
      <c r="P3850" s="166"/>
      <c r="Q3850" s="166">
        <f t="shared" si="899"/>
        <v>0</v>
      </c>
      <c r="R3850" s="71"/>
    </row>
    <row r="3851" spans="1:18" s="61" customFormat="1" x14ac:dyDescent="0.25">
      <c r="A3851" s="358"/>
      <c r="B3851" s="361"/>
      <c r="C3851" s="366"/>
      <c r="D3851" s="254" t="s">
        <v>109</v>
      </c>
      <c r="E3851" s="156" t="s">
        <v>28</v>
      </c>
      <c r="F3851" s="156" t="s">
        <v>28</v>
      </c>
      <c r="G3851" s="238">
        <f>MROUND(H3851*L3851*I3851/K3851,0.0000000001)</f>
        <v>0</v>
      </c>
      <c r="H3851" s="158"/>
      <c r="I3851" s="159">
        <f>I3850</f>
        <v>0.30039917999999999</v>
      </c>
      <c r="J3851" s="160"/>
      <c r="K3851" s="161">
        <f>K3850</f>
        <v>9060</v>
      </c>
      <c r="L3851" s="250">
        <v>1</v>
      </c>
      <c r="M3851" s="163"/>
      <c r="N3851" s="164"/>
      <c r="O3851" s="165">
        <f t="shared" si="900"/>
        <v>0</v>
      </c>
      <c r="P3851" s="166"/>
      <c r="Q3851" s="166">
        <f t="shared" si="899"/>
        <v>0</v>
      </c>
      <c r="R3851" s="71"/>
    </row>
    <row r="3852" spans="1:18" s="61" customFormat="1" x14ac:dyDescent="0.25">
      <c r="A3852" s="358"/>
      <c r="B3852" s="361"/>
      <c r="C3852" s="366"/>
      <c r="D3852" s="254" t="s">
        <v>414</v>
      </c>
      <c r="E3852" s="156" t="s">
        <v>28</v>
      </c>
      <c r="F3852" s="156" t="s">
        <v>28</v>
      </c>
      <c r="G3852" s="238">
        <f>MROUND(H3852*L3852*I3852/K3852,0.0000000001)</f>
        <v>0</v>
      </c>
      <c r="H3852" s="158"/>
      <c r="I3852" s="159">
        <f>I3850</f>
        <v>0.30039917999999999</v>
      </c>
      <c r="J3852" s="160"/>
      <c r="K3852" s="161">
        <f>K3850</f>
        <v>9060</v>
      </c>
      <c r="L3852" s="250">
        <v>1</v>
      </c>
      <c r="M3852" s="163"/>
      <c r="N3852" s="164"/>
      <c r="O3852" s="165">
        <f t="shared" si="900"/>
        <v>0</v>
      </c>
      <c r="P3852" s="166"/>
      <c r="Q3852" s="166">
        <f t="shared" si="899"/>
        <v>0</v>
      </c>
      <c r="R3852" s="71"/>
    </row>
    <row r="3853" spans="1:18" s="61" customFormat="1" x14ac:dyDescent="0.25">
      <c r="A3853" s="358"/>
      <c r="B3853" s="361"/>
      <c r="C3853" s="366"/>
      <c r="D3853" s="254" t="s">
        <v>415</v>
      </c>
      <c r="E3853" s="156" t="s">
        <v>28</v>
      </c>
      <c r="F3853" s="156" t="s">
        <v>28</v>
      </c>
      <c r="G3853" s="238">
        <f>MROUND(H3853*L3853*I3853/K3853,0.00000001)</f>
        <v>0</v>
      </c>
      <c r="H3853" s="158"/>
      <c r="I3853" s="159">
        <f t="shared" ref="I3853:I3862" si="901">I3851</f>
        <v>0.30039917999999999</v>
      </c>
      <c r="J3853" s="160"/>
      <c r="K3853" s="161">
        <f t="shared" ref="K3853:K3862" si="902">K3851</f>
        <v>9060</v>
      </c>
      <c r="L3853" s="250">
        <v>1</v>
      </c>
      <c r="M3853" s="163"/>
      <c r="N3853" s="164"/>
      <c r="O3853" s="165">
        <f t="shared" si="900"/>
        <v>0</v>
      </c>
      <c r="P3853" s="166"/>
      <c r="Q3853" s="166">
        <f t="shared" si="899"/>
        <v>0</v>
      </c>
      <c r="R3853" s="71"/>
    </row>
    <row r="3854" spans="1:18" s="61" customFormat="1" x14ac:dyDescent="0.25">
      <c r="A3854" s="358"/>
      <c r="B3854" s="361"/>
      <c r="C3854" s="366"/>
      <c r="D3854" s="254" t="s">
        <v>416</v>
      </c>
      <c r="E3854" s="156" t="s">
        <v>28</v>
      </c>
      <c r="F3854" s="156" t="s">
        <v>28</v>
      </c>
      <c r="G3854" s="238">
        <f>MROUND(H3854*L3854*I3854/K3854,0.000000001)</f>
        <v>0</v>
      </c>
      <c r="H3854" s="246"/>
      <c r="I3854" s="159">
        <f t="shared" si="901"/>
        <v>0.30039917999999999</v>
      </c>
      <c r="J3854" s="160"/>
      <c r="K3854" s="161">
        <f t="shared" si="902"/>
        <v>9060</v>
      </c>
      <c r="L3854" s="250">
        <v>1</v>
      </c>
      <c r="M3854" s="163"/>
      <c r="N3854" s="164"/>
      <c r="O3854" s="165">
        <f t="shared" si="900"/>
        <v>0</v>
      </c>
      <c r="P3854" s="166"/>
      <c r="Q3854" s="166">
        <f t="shared" si="899"/>
        <v>0</v>
      </c>
      <c r="R3854" s="71"/>
    </row>
    <row r="3855" spans="1:18" s="61" customFormat="1" x14ac:dyDescent="0.25">
      <c r="A3855" s="358"/>
      <c r="B3855" s="361"/>
      <c r="C3855" s="366"/>
      <c r="D3855" s="254" t="s">
        <v>417</v>
      </c>
      <c r="E3855" s="156" t="s">
        <v>28</v>
      </c>
      <c r="F3855" s="156" t="s">
        <v>28</v>
      </c>
      <c r="G3855" s="238">
        <f>MROUND(H3855*L3855*I3855/K3855,0.00000001)</f>
        <v>0</v>
      </c>
      <c r="H3855" s="158"/>
      <c r="I3855" s="159">
        <f t="shared" si="901"/>
        <v>0.30039917999999999</v>
      </c>
      <c r="J3855" s="160"/>
      <c r="K3855" s="161">
        <f t="shared" si="902"/>
        <v>9060</v>
      </c>
      <c r="L3855" s="250">
        <v>1</v>
      </c>
      <c r="M3855" s="163"/>
      <c r="N3855" s="164"/>
      <c r="O3855" s="165">
        <f t="shared" si="900"/>
        <v>0</v>
      </c>
      <c r="P3855" s="166"/>
      <c r="Q3855" s="166">
        <f t="shared" si="899"/>
        <v>0</v>
      </c>
      <c r="R3855" s="71"/>
    </row>
    <row r="3856" spans="1:18" s="61" customFormat="1" ht="30" x14ac:dyDescent="0.25">
      <c r="A3856" s="358"/>
      <c r="B3856" s="361"/>
      <c r="C3856" s="366"/>
      <c r="D3856" s="254" t="s">
        <v>418</v>
      </c>
      <c r="E3856" s="156" t="s">
        <v>28</v>
      </c>
      <c r="F3856" s="156" t="s">
        <v>28</v>
      </c>
      <c r="G3856" s="238">
        <f>MROUND(H3856*L3856*I3856/K3856,0.00000001)</f>
        <v>0</v>
      </c>
      <c r="H3856" s="158"/>
      <c r="I3856" s="159">
        <f t="shared" si="901"/>
        <v>0.30039917999999999</v>
      </c>
      <c r="J3856" s="160"/>
      <c r="K3856" s="161">
        <f t="shared" si="902"/>
        <v>9060</v>
      </c>
      <c r="L3856" s="250">
        <v>1</v>
      </c>
      <c r="M3856" s="163"/>
      <c r="N3856" s="164"/>
      <c r="O3856" s="165">
        <f t="shared" si="900"/>
        <v>0</v>
      </c>
      <c r="P3856" s="166"/>
      <c r="Q3856" s="166">
        <f t="shared" si="899"/>
        <v>0</v>
      </c>
      <c r="R3856" s="71"/>
    </row>
    <row r="3857" spans="1:18" s="61" customFormat="1" x14ac:dyDescent="0.25">
      <c r="A3857" s="358"/>
      <c r="B3857" s="361"/>
      <c r="C3857" s="366"/>
      <c r="D3857" s="254" t="s">
        <v>324</v>
      </c>
      <c r="E3857" s="156" t="s">
        <v>28</v>
      </c>
      <c r="F3857" s="156" t="s">
        <v>28</v>
      </c>
      <c r="G3857" s="238">
        <f>MROUND(H3857*L3857*I3857/K3857,0.000000001)</f>
        <v>0</v>
      </c>
      <c r="H3857" s="158"/>
      <c r="I3857" s="159">
        <f t="shared" si="901"/>
        <v>0.30039917999999999</v>
      </c>
      <c r="J3857" s="160"/>
      <c r="K3857" s="161">
        <f t="shared" si="902"/>
        <v>9060</v>
      </c>
      <c r="L3857" s="250">
        <v>1</v>
      </c>
      <c r="M3857" s="163"/>
      <c r="N3857" s="164"/>
      <c r="O3857" s="165">
        <f t="shared" si="900"/>
        <v>0</v>
      </c>
      <c r="P3857" s="166"/>
      <c r="Q3857" s="166">
        <f t="shared" si="899"/>
        <v>0</v>
      </c>
      <c r="R3857" s="71"/>
    </row>
    <row r="3858" spans="1:18" s="61" customFormat="1" x14ac:dyDescent="0.25">
      <c r="A3858" s="358"/>
      <c r="B3858" s="361"/>
      <c r="C3858" s="366"/>
      <c r="D3858" s="254" t="s">
        <v>419</v>
      </c>
      <c r="E3858" s="156" t="s">
        <v>28</v>
      </c>
      <c r="F3858" s="156" t="s">
        <v>28</v>
      </c>
      <c r="G3858" s="238">
        <f>MROUND(H3858*L3858*I3858/K3858,0.000000001)</f>
        <v>0</v>
      </c>
      <c r="H3858" s="246"/>
      <c r="I3858" s="159">
        <f t="shared" si="901"/>
        <v>0.30039917999999999</v>
      </c>
      <c r="J3858" s="160"/>
      <c r="K3858" s="161">
        <f t="shared" si="902"/>
        <v>9060</v>
      </c>
      <c r="L3858" s="250">
        <v>1</v>
      </c>
      <c r="M3858" s="163"/>
      <c r="N3858" s="164"/>
      <c r="O3858" s="165">
        <f t="shared" si="900"/>
        <v>0</v>
      </c>
      <c r="P3858" s="166"/>
      <c r="Q3858" s="166">
        <f t="shared" si="899"/>
        <v>0</v>
      </c>
      <c r="R3858" s="71"/>
    </row>
    <row r="3859" spans="1:18" s="61" customFormat="1" x14ac:dyDescent="0.25">
      <c r="A3859" s="358"/>
      <c r="B3859" s="361"/>
      <c r="C3859" s="366"/>
      <c r="D3859" s="254" t="s">
        <v>420</v>
      </c>
      <c r="E3859" s="156" t="s">
        <v>28</v>
      </c>
      <c r="F3859" s="156" t="s">
        <v>28</v>
      </c>
      <c r="G3859" s="238">
        <f>MROUND(H3859*L3859*I3859/K3859,0.000000001)</f>
        <v>0</v>
      </c>
      <c r="H3859" s="158"/>
      <c r="I3859" s="159">
        <f t="shared" si="901"/>
        <v>0.30039917999999999</v>
      </c>
      <c r="J3859" s="160"/>
      <c r="K3859" s="161">
        <f t="shared" si="902"/>
        <v>9060</v>
      </c>
      <c r="L3859" s="250">
        <v>1</v>
      </c>
      <c r="M3859" s="163"/>
      <c r="N3859" s="164"/>
      <c r="O3859" s="165">
        <f t="shared" si="900"/>
        <v>0</v>
      </c>
      <c r="P3859" s="166"/>
      <c r="Q3859" s="166">
        <f t="shared" si="899"/>
        <v>0</v>
      </c>
      <c r="R3859" s="71"/>
    </row>
    <row r="3860" spans="1:18" s="61" customFormat="1" x14ac:dyDescent="0.25">
      <c r="A3860" s="358"/>
      <c r="B3860" s="361"/>
      <c r="C3860" s="366"/>
      <c r="D3860" s="254" t="s">
        <v>421</v>
      </c>
      <c r="E3860" s="156" t="s">
        <v>28</v>
      </c>
      <c r="F3860" s="156" t="s">
        <v>28</v>
      </c>
      <c r="G3860" s="238">
        <f>MROUND(H3860*L3860*I3860/K3860,0.00000001)</f>
        <v>0</v>
      </c>
      <c r="H3860" s="158"/>
      <c r="I3860" s="159">
        <f t="shared" si="901"/>
        <v>0.30039917999999999</v>
      </c>
      <c r="J3860" s="160"/>
      <c r="K3860" s="161">
        <f t="shared" si="902"/>
        <v>9060</v>
      </c>
      <c r="L3860" s="250">
        <v>1</v>
      </c>
      <c r="M3860" s="163"/>
      <c r="N3860" s="164"/>
      <c r="O3860" s="165">
        <f t="shared" si="900"/>
        <v>0</v>
      </c>
      <c r="P3860" s="166"/>
      <c r="Q3860" s="166">
        <f t="shared" si="899"/>
        <v>0</v>
      </c>
      <c r="R3860" s="71"/>
    </row>
    <row r="3861" spans="1:18" s="61" customFormat="1" ht="30" x14ac:dyDescent="0.25">
      <c r="A3861" s="358"/>
      <c r="B3861" s="361"/>
      <c r="C3861" s="366"/>
      <c r="D3861" s="254" t="s">
        <v>422</v>
      </c>
      <c r="E3861" s="156" t="s">
        <v>28</v>
      </c>
      <c r="F3861" s="156" t="s">
        <v>28</v>
      </c>
      <c r="G3861" s="266">
        <f>MROUND(H3861*L3861*I3861/K3861,0.00000001)</f>
        <v>0</v>
      </c>
      <c r="H3861" s="158"/>
      <c r="I3861" s="159">
        <f t="shared" si="901"/>
        <v>0.30039917999999999</v>
      </c>
      <c r="J3861" s="160"/>
      <c r="K3861" s="161">
        <f t="shared" si="902"/>
        <v>9060</v>
      </c>
      <c r="L3861" s="250">
        <v>1</v>
      </c>
      <c r="M3861" s="163"/>
      <c r="N3861" s="164"/>
      <c r="O3861" s="165">
        <f t="shared" si="900"/>
        <v>0</v>
      </c>
      <c r="P3861" s="166"/>
      <c r="Q3861" s="166">
        <f t="shared" si="899"/>
        <v>0</v>
      </c>
      <c r="R3861" s="71"/>
    </row>
    <row r="3862" spans="1:18" s="61" customFormat="1" x14ac:dyDescent="0.25">
      <c r="A3862" s="358"/>
      <c r="B3862" s="361"/>
      <c r="C3862" s="366"/>
      <c r="D3862" s="254" t="s">
        <v>423</v>
      </c>
      <c r="E3862" s="156" t="s">
        <v>28</v>
      </c>
      <c r="F3862" s="156" t="s">
        <v>28</v>
      </c>
      <c r="G3862" s="238">
        <f>MROUND(H3862*L3862*I3862/K3862,0.000000001)</f>
        <v>0</v>
      </c>
      <c r="H3862" s="158"/>
      <c r="I3862" s="159">
        <f t="shared" si="901"/>
        <v>0.30039917999999999</v>
      </c>
      <c r="J3862" s="160"/>
      <c r="K3862" s="161">
        <f t="shared" si="902"/>
        <v>9060</v>
      </c>
      <c r="L3862" s="250">
        <v>1</v>
      </c>
      <c r="M3862" s="163"/>
      <c r="N3862" s="164"/>
      <c r="O3862" s="165">
        <f t="shared" si="900"/>
        <v>0</v>
      </c>
      <c r="P3862" s="166"/>
      <c r="Q3862" s="166">
        <f t="shared" si="899"/>
        <v>0</v>
      </c>
      <c r="R3862" s="71"/>
    </row>
    <row r="3863" spans="1:18" s="61" customFormat="1" x14ac:dyDescent="0.25">
      <c r="A3863" s="358"/>
      <c r="B3863" s="361"/>
      <c r="C3863" s="366"/>
      <c r="D3863" s="254" t="s">
        <v>424</v>
      </c>
      <c r="E3863" s="156" t="s">
        <v>28</v>
      </c>
      <c r="F3863" s="156" t="s">
        <v>28</v>
      </c>
      <c r="G3863" s="238">
        <f t="shared" ref="G3863:G3869" si="903">MROUND(H3863*L3863*I3863/K3863,0.00000001)</f>
        <v>0</v>
      </c>
      <c r="H3863" s="158"/>
      <c r="I3863" s="159">
        <f>I3852</f>
        <v>0.30039917999999999</v>
      </c>
      <c r="J3863" s="160"/>
      <c r="K3863" s="161">
        <f>K3852</f>
        <v>9060</v>
      </c>
      <c r="L3863" s="250">
        <v>1</v>
      </c>
      <c r="M3863" s="163"/>
      <c r="N3863" s="164"/>
      <c r="O3863" s="165">
        <f t="shared" si="900"/>
        <v>0</v>
      </c>
      <c r="P3863" s="166"/>
      <c r="Q3863" s="166">
        <f t="shared" si="899"/>
        <v>0</v>
      </c>
      <c r="R3863" s="71"/>
    </row>
    <row r="3864" spans="1:18" s="61" customFormat="1" x14ac:dyDescent="0.25">
      <c r="A3864" s="358"/>
      <c r="B3864" s="361"/>
      <c r="C3864" s="366"/>
      <c r="D3864" s="254" t="s">
        <v>425</v>
      </c>
      <c r="E3864" s="156" t="s">
        <v>28</v>
      </c>
      <c r="F3864" s="156" t="s">
        <v>28</v>
      </c>
      <c r="G3864" s="277">
        <f t="shared" si="903"/>
        <v>0</v>
      </c>
      <c r="H3864" s="158"/>
      <c r="I3864" s="159">
        <f t="shared" ref="I3864:I3869" si="904">I3863</f>
        <v>0.30039917999999999</v>
      </c>
      <c r="J3864" s="160"/>
      <c r="K3864" s="161">
        <f t="shared" ref="K3864:K3869" si="905">K3863</f>
        <v>9060</v>
      </c>
      <c r="L3864" s="250">
        <v>1</v>
      </c>
      <c r="M3864" s="163"/>
      <c r="N3864" s="164"/>
      <c r="O3864" s="165">
        <f t="shared" si="900"/>
        <v>0</v>
      </c>
      <c r="P3864" s="166"/>
      <c r="Q3864" s="166">
        <f t="shared" si="899"/>
        <v>0</v>
      </c>
      <c r="R3864" s="71"/>
    </row>
    <row r="3865" spans="1:18" s="61" customFormat="1" x14ac:dyDescent="0.25">
      <c r="A3865" s="358"/>
      <c r="B3865" s="361"/>
      <c r="C3865" s="366"/>
      <c r="D3865" s="254" t="s">
        <v>108</v>
      </c>
      <c r="E3865" s="156" t="s">
        <v>28</v>
      </c>
      <c r="F3865" s="156" t="s">
        <v>28</v>
      </c>
      <c r="G3865" s="238">
        <f t="shared" si="903"/>
        <v>0</v>
      </c>
      <c r="H3865" s="158"/>
      <c r="I3865" s="159">
        <f t="shared" si="904"/>
        <v>0.30039917999999999</v>
      </c>
      <c r="J3865" s="160"/>
      <c r="K3865" s="161">
        <f t="shared" si="905"/>
        <v>9060</v>
      </c>
      <c r="L3865" s="250">
        <v>1</v>
      </c>
      <c r="M3865" s="163"/>
      <c r="N3865" s="164"/>
      <c r="O3865" s="165">
        <f t="shared" si="900"/>
        <v>0</v>
      </c>
      <c r="P3865" s="166"/>
      <c r="Q3865" s="166">
        <f t="shared" si="899"/>
        <v>0</v>
      </c>
      <c r="R3865" s="71"/>
    </row>
    <row r="3866" spans="1:18" s="61" customFormat="1" x14ac:dyDescent="0.25">
      <c r="A3866" s="358"/>
      <c r="B3866" s="361"/>
      <c r="C3866" s="366"/>
      <c r="D3866" s="254" t="s">
        <v>426</v>
      </c>
      <c r="E3866" s="156" t="s">
        <v>28</v>
      </c>
      <c r="F3866" s="156" t="s">
        <v>28</v>
      </c>
      <c r="G3866" s="238">
        <f t="shared" si="903"/>
        <v>0</v>
      </c>
      <c r="H3866" s="158"/>
      <c r="I3866" s="159">
        <f t="shared" si="904"/>
        <v>0.30039917999999999</v>
      </c>
      <c r="J3866" s="160"/>
      <c r="K3866" s="161">
        <f t="shared" si="905"/>
        <v>9060</v>
      </c>
      <c r="L3866" s="250">
        <v>1</v>
      </c>
      <c r="M3866" s="163"/>
      <c r="N3866" s="164"/>
      <c r="O3866" s="165">
        <f t="shared" si="900"/>
        <v>0</v>
      </c>
      <c r="P3866" s="166"/>
      <c r="Q3866" s="166">
        <f t="shared" si="899"/>
        <v>0</v>
      </c>
      <c r="R3866" s="71"/>
    </row>
    <row r="3867" spans="1:18" s="61" customFormat="1" x14ac:dyDescent="0.25">
      <c r="A3867" s="358"/>
      <c r="B3867" s="361"/>
      <c r="C3867" s="366"/>
      <c r="D3867" s="254" t="s">
        <v>427</v>
      </c>
      <c r="E3867" s="156" t="s">
        <v>28</v>
      </c>
      <c r="F3867" s="156" t="s">
        <v>28</v>
      </c>
      <c r="G3867" s="238">
        <f t="shared" si="903"/>
        <v>0</v>
      </c>
      <c r="H3867" s="158"/>
      <c r="I3867" s="159">
        <f t="shared" si="904"/>
        <v>0.30039917999999999</v>
      </c>
      <c r="J3867" s="160"/>
      <c r="K3867" s="161">
        <f t="shared" si="905"/>
        <v>9060</v>
      </c>
      <c r="L3867" s="250">
        <v>1</v>
      </c>
      <c r="M3867" s="163"/>
      <c r="N3867" s="164"/>
      <c r="O3867" s="165">
        <f t="shared" si="900"/>
        <v>0</v>
      </c>
      <c r="P3867" s="166"/>
      <c r="Q3867" s="166">
        <f t="shared" si="899"/>
        <v>0</v>
      </c>
      <c r="R3867" s="71"/>
    </row>
    <row r="3868" spans="1:18" s="61" customFormat="1" x14ac:dyDescent="0.25">
      <c r="A3868" s="358"/>
      <c r="B3868" s="361"/>
      <c r="C3868" s="366"/>
      <c r="D3868" s="254" t="s">
        <v>428</v>
      </c>
      <c r="E3868" s="156" t="s">
        <v>28</v>
      </c>
      <c r="F3868" s="156" t="s">
        <v>28</v>
      </c>
      <c r="G3868" s="238">
        <f t="shared" si="903"/>
        <v>0</v>
      </c>
      <c r="H3868" s="158"/>
      <c r="I3868" s="159">
        <f t="shared" si="904"/>
        <v>0.30039917999999999</v>
      </c>
      <c r="J3868" s="160"/>
      <c r="K3868" s="161">
        <f t="shared" si="905"/>
        <v>9060</v>
      </c>
      <c r="L3868" s="250">
        <v>1</v>
      </c>
      <c r="M3868" s="163"/>
      <c r="N3868" s="164"/>
      <c r="O3868" s="165">
        <f t="shared" si="900"/>
        <v>0</v>
      </c>
      <c r="P3868" s="166"/>
      <c r="Q3868" s="166">
        <f t="shared" si="899"/>
        <v>0</v>
      </c>
      <c r="R3868" s="71"/>
    </row>
    <row r="3869" spans="1:18" s="61" customFormat="1" x14ac:dyDescent="0.25">
      <c r="A3869" s="358"/>
      <c r="B3869" s="361"/>
      <c r="C3869" s="366"/>
      <c r="D3869" s="255" t="s">
        <v>429</v>
      </c>
      <c r="E3869" s="156" t="s">
        <v>28</v>
      </c>
      <c r="F3869" s="156" t="s">
        <v>28</v>
      </c>
      <c r="G3869" s="238">
        <f t="shared" si="903"/>
        <v>0</v>
      </c>
      <c r="H3869" s="158"/>
      <c r="I3869" s="159">
        <f t="shared" si="904"/>
        <v>0.30039917999999999</v>
      </c>
      <c r="J3869" s="160"/>
      <c r="K3869" s="161">
        <f t="shared" si="905"/>
        <v>9060</v>
      </c>
      <c r="L3869" s="250">
        <v>1</v>
      </c>
      <c r="M3869" s="163"/>
      <c r="N3869" s="164"/>
      <c r="O3869" s="165">
        <f t="shared" si="900"/>
        <v>0</v>
      </c>
      <c r="P3869" s="166"/>
      <c r="Q3869" s="166">
        <f t="shared" si="899"/>
        <v>0</v>
      </c>
      <c r="R3869" s="71"/>
    </row>
    <row r="3870" spans="1:18" s="61" customFormat="1" x14ac:dyDescent="0.25">
      <c r="A3870" s="358"/>
      <c r="B3870" s="361"/>
      <c r="C3870" s="249" t="s">
        <v>311</v>
      </c>
      <c r="D3870" s="256"/>
      <c r="E3870" s="240"/>
      <c r="F3870" s="240"/>
      <c r="G3870" s="227"/>
      <c r="H3870" s="241"/>
      <c r="I3870" s="206"/>
      <c r="J3870" s="228"/>
      <c r="K3870" s="207"/>
      <c r="L3870" s="257"/>
      <c r="M3870" s="209"/>
      <c r="N3870" s="210"/>
      <c r="O3870" s="198">
        <f>SUM(O3846:O3869)</f>
        <v>0</v>
      </c>
      <c r="P3870" s="166"/>
      <c r="Q3870" s="166"/>
      <c r="R3870" s="71"/>
    </row>
    <row r="3871" spans="1:18" s="61" customFormat="1" ht="110.25" x14ac:dyDescent="0.25">
      <c r="A3871" s="358"/>
      <c r="B3871" s="361"/>
      <c r="C3871" s="221" t="s">
        <v>82</v>
      </c>
      <c r="D3871" s="156" t="s">
        <v>46</v>
      </c>
      <c r="E3871" s="156" t="s">
        <v>54</v>
      </c>
      <c r="F3871" s="156" t="s">
        <v>285</v>
      </c>
      <c r="G3871" s="238">
        <f>MROUND(H3871*L3871*I3871/K3871,0.000001)</f>
        <v>0.375002</v>
      </c>
      <c r="H3871" s="242">
        <f>H3511</f>
        <v>1028.181818181818</v>
      </c>
      <c r="I3871" s="159">
        <f>I3869</f>
        <v>0.30039917999999999</v>
      </c>
      <c r="J3871" s="160"/>
      <c r="K3871" s="161">
        <f>K3869</f>
        <v>9060</v>
      </c>
      <c r="L3871" s="225">
        <f>L3511</f>
        <v>11</v>
      </c>
      <c r="M3871" s="163" t="str">
        <f>CONCATENATE(H3871," ",F3871,"*",L3871,"автобуса","*",I3871,"/",K3871,"чел.")</f>
        <v>1028,18181818182 л бензина АИ 92 (12,5л/день(зимой)*20дней*7мес+10л/день(летом)*20дней*4мес)*11автобуса*0,30039918/9060чел.</v>
      </c>
      <c r="N3871" s="164">
        <f>N3511</f>
        <v>57.007000000000005</v>
      </c>
      <c r="O3871" s="165">
        <f>MROUND(G3871*N3871,0.000001)</f>
        <v>21.377738999999998</v>
      </c>
      <c r="P3871" s="166"/>
      <c r="Q3871" s="166">
        <f t="shared" ref="Q3871" si="906">O3871*K3871</f>
        <v>193682.31533999997</v>
      </c>
      <c r="R3871" s="71"/>
    </row>
    <row r="3872" spans="1:18" s="61" customFormat="1" x14ac:dyDescent="0.25">
      <c r="A3872" s="358"/>
      <c r="B3872" s="361"/>
      <c r="C3872" s="218" t="s">
        <v>309</v>
      </c>
      <c r="D3872" s="240"/>
      <c r="E3872" s="240"/>
      <c r="F3872" s="240"/>
      <c r="G3872" s="227"/>
      <c r="H3872" s="241"/>
      <c r="I3872" s="206"/>
      <c r="J3872" s="228"/>
      <c r="K3872" s="207"/>
      <c r="L3872" s="257"/>
      <c r="M3872" s="209"/>
      <c r="N3872" s="210"/>
      <c r="O3872" s="198">
        <f>SUM(O3871)</f>
        <v>21.377738999999998</v>
      </c>
      <c r="P3872" s="166"/>
      <c r="Q3872" s="166"/>
      <c r="R3872" s="71"/>
    </row>
    <row r="3873" spans="1:18" s="61" customFormat="1" ht="47.25" x14ac:dyDescent="0.25">
      <c r="A3873" s="358"/>
      <c r="B3873" s="361"/>
      <c r="C3873" s="221" t="s">
        <v>434</v>
      </c>
      <c r="D3873" s="156" t="s">
        <v>436</v>
      </c>
      <c r="E3873" s="156" t="s">
        <v>28</v>
      </c>
      <c r="F3873" s="156" t="s">
        <v>437</v>
      </c>
      <c r="G3873" s="157">
        <f>MROUND(H3873*L3873*I3873/K3873,0.000001)</f>
        <v>9.6150000000000003E-3</v>
      </c>
      <c r="H3873" s="242">
        <f>$H$125</f>
        <v>290</v>
      </c>
      <c r="I3873" s="159">
        <f>I3871</f>
        <v>0.30039917999999999</v>
      </c>
      <c r="J3873" s="160"/>
      <c r="K3873" s="161">
        <f>K3871</f>
        <v>9060</v>
      </c>
      <c r="L3873" s="162">
        <v>1</v>
      </c>
      <c r="M3873" s="163" t="str">
        <f>CONCATENATE(H3873," ",F3873,"*",L3873,"автобуса","*",I3873,"/",K3873,"чел.")</f>
        <v>290 огнетушителей (потребность учреждений) *1автобуса*0,30039918/9060чел.</v>
      </c>
      <c r="N3873" s="164">
        <f>$N$125</f>
        <v>2000</v>
      </c>
      <c r="O3873" s="165">
        <f>MROUND(G3873*N3873,0.000001)</f>
        <v>19.23</v>
      </c>
      <c r="P3873" s="166"/>
      <c r="Q3873" s="166">
        <f t="shared" ref="Q3873" si="907">O3873*K3873</f>
        <v>174223.80000000002</v>
      </c>
      <c r="R3873" s="71"/>
    </row>
    <row r="3874" spans="1:18" s="61" customFormat="1" x14ac:dyDescent="0.25">
      <c r="A3874" s="358"/>
      <c r="B3874" s="361"/>
      <c r="C3874" s="218" t="s">
        <v>435</v>
      </c>
      <c r="D3874" s="240"/>
      <c r="E3874" s="240"/>
      <c r="F3874" s="240"/>
      <c r="G3874" s="251"/>
      <c r="H3874" s="241"/>
      <c r="I3874" s="206"/>
      <c r="J3874" s="228"/>
      <c r="K3874" s="207"/>
      <c r="L3874" s="229"/>
      <c r="M3874" s="209"/>
      <c r="N3874" s="210"/>
      <c r="O3874" s="198">
        <f>SUM(O3873)</f>
        <v>19.23</v>
      </c>
      <c r="P3874" s="166"/>
      <c r="Q3874" s="166"/>
      <c r="R3874" s="71"/>
    </row>
    <row r="3875" spans="1:18" s="61" customFormat="1" ht="47.25" x14ac:dyDescent="0.25">
      <c r="A3875" s="358"/>
      <c r="B3875" s="361"/>
      <c r="C3875" s="364" t="s">
        <v>118</v>
      </c>
      <c r="D3875" s="156" t="s">
        <v>47</v>
      </c>
      <c r="E3875" s="156" t="s">
        <v>28</v>
      </c>
      <c r="F3875" s="156" t="s">
        <v>239</v>
      </c>
      <c r="G3875" s="238">
        <f>MROUND(H3875*L3875*I3875/K3875,0.00000001)</f>
        <v>4.7745599999999997E-3</v>
      </c>
      <c r="H3875" s="158">
        <f>H3515</f>
        <v>144</v>
      </c>
      <c r="I3875" s="159">
        <f>I3871</f>
        <v>0.30039917999999999</v>
      </c>
      <c r="J3875" s="160"/>
      <c r="K3875" s="161">
        <f>K3871</f>
        <v>9060</v>
      </c>
      <c r="L3875" s="250">
        <v>1</v>
      </c>
      <c r="M3875" s="163" t="str">
        <f>CONCATENATE(H3875," ",F3875,"*",I3875,"/",K3875,"чел.")</f>
        <v>144 манометров (потребность учреждений) *0,30039918/9060чел.</v>
      </c>
      <c r="N3875" s="164">
        <f>N3515</f>
        <v>720.50416666666672</v>
      </c>
      <c r="O3875" s="165">
        <f>MROUND(G3875*N3875,0.000001)</f>
        <v>3.4400899999999996</v>
      </c>
      <c r="P3875" s="166"/>
      <c r="Q3875" s="166">
        <f t="shared" ref="Q3875:Q3876" si="908">O3875*K3875</f>
        <v>31167.215399999997</v>
      </c>
      <c r="R3875" s="71"/>
    </row>
    <row r="3876" spans="1:18" s="61" customFormat="1" ht="47.25" x14ac:dyDescent="0.25">
      <c r="A3876" s="358"/>
      <c r="B3876" s="361"/>
      <c r="C3876" s="364"/>
      <c r="D3876" s="255" t="s">
        <v>113</v>
      </c>
      <c r="E3876" s="156" t="s">
        <v>28</v>
      </c>
      <c r="F3876" s="156" t="s">
        <v>240</v>
      </c>
      <c r="G3876" s="238">
        <f>MROUND(H3876*L3876*I3876/K3876,0.00000001)</f>
        <v>0.18949020999999999</v>
      </c>
      <c r="H3876" s="158">
        <f>H3516</f>
        <v>5715</v>
      </c>
      <c r="I3876" s="159">
        <f>I3875</f>
        <v>0.30039917999999999</v>
      </c>
      <c r="J3876" s="160"/>
      <c r="K3876" s="161">
        <f>K3875</f>
        <v>9060</v>
      </c>
      <c r="L3876" s="250">
        <v>1</v>
      </c>
      <c r="M3876" s="163" t="str">
        <f>CONCATENATE(H3876," ",F3876,"*",I3876,"/",K3876,"чел.")</f>
        <v>5715 светильников (потребность учреждений)*0,30039918/9060чел.</v>
      </c>
      <c r="N3876" s="164">
        <f>N3516</f>
        <v>111.16365879265086</v>
      </c>
      <c r="O3876" s="165">
        <f>MROUND(G3876*N3876,0.000001)</f>
        <v>21.064425</v>
      </c>
      <c r="P3876" s="166"/>
      <c r="Q3876" s="166">
        <f t="shared" si="908"/>
        <v>190843.6905</v>
      </c>
      <c r="R3876" s="71"/>
    </row>
    <row r="3877" spans="1:18" s="61" customFormat="1" x14ac:dyDescent="0.25">
      <c r="A3877" s="359"/>
      <c r="B3877" s="362"/>
      <c r="C3877" s="218" t="s">
        <v>310</v>
      </c>
      <c r="D3877" s="256"/>
      <c r="E3877" s="240"/>
      <c r="F3877" s="240"/>
      <c r="G3877" s="227"/>
      <c r="H3877" s="241"/>
      <c r="I3877" s="206"/>
      <c r="J3877" s="228"/>
      <c r="K3877" s="207"/>
      <c r="L3877" s="257"/>
      <c r="M3877" s="209"/>
      <c r="N3877" s="210"/>
      <c r="O3877" s="198">
        <f>SUM(O3875:O3876)</f>
        <v>24.504514999999998</v>
      </c>
      <c r="P3877" s="166"/>
      <c r="Q3877" s="166"/>
      <c r="R3877" s="71"/>
    </row>
    <row r="3878" spans="1:18" s="61" customFormat="1" x14ac:dyDescent="0.25">
      <c r="A3878" s="357" t="str">
        <f>CONCATENATE(школы!$B$10,", ",школы!$C$10,", ",школы!$D$10)</f>
        <v>Реализация основных общеобразовательных программ начального общего образования, образовательная программа, обеспечивающая углубленное изучение отдельных учебных предметов, предметных областей (профильное обучение), дети-инвалиды</v>
      </c>
      <c r="B3878" s="360" t="str">
        <f>школы!$A$10</f>
        <v>801012О.99.0.БА81АН96001</v>
      </c>
      <c r="C3878" s="194"/>
      <c r="D3878" s="363" t="s">
        <v>15</v>
      </c>
      <c r="E3878" s="363"/>
      <c r="F3878" s="363"/>
      <c r="G3878" s="363"/>
      <c r="H3878" s="195"/>
      <c r="I3878" s="195"/>
      <c r="J3878" s="195"/>
      <c r="K3878" s="195"/>
      <c r="L3878" s="196"/>
      <c r="M3878" s="197"/>
      <c r="N3878" s="164"/>
      <c r="O3878" s="198">
        <f>O3879+O3884+O3886</f>
        <v>9897.3716211280007</v>
      </c>
      <c r="P3878" s="166"/>
      <c r="Q3878" s="166"/>
      <c r="R3878" s="71"/>
    </row>
    <row r="3879" spans="1:18" s="61" customFormat="1" x14ac:dyDescent="0.25">
      <c r="A3879" s="358"/>
      <c r="B3879" s="361"/>
      <c r="C3879" s="194"/>
      <c r="D3879" s="350" t="s">
        <v>62</v>
      </c>
      <c r="E3879" s="350"/>
      <c r="F3879" s="350"/>
      <c r="G3879" s="350"/>
      <c r="H3879" s="195"/>
      <c r="I3879" s="195"/>
      <c r="J3879" s="195"/>
      <c r="K3879" s="195"/>
      <c r="L3879" s="196"/>
      <c r="M3879" s="197"/>
      <c r="N3879" s="164"/>
      <c r="O3879" s="165">
        <f>O3881+O3883</f>
        <v>9897.3716211280007</v>
      </c>
      <c r="P3879" s="166"/>
      <c r="Q3879" s="166"/>
      <c r="R3879" s="71"/>
    </row>
    <row r="3880" spans="1:18" s="61" customFormat="1" x14ac:dyDescent="0.25">
      <c r="A3880" s="358"/>
      <c r="B3880" s="361"/>
      <c r="C3880" s="194">
        <v>211</v>
      </c>
      <c r="D3880" s="194" t="s">
        <v>86</v>
      </c>
      <c r="E3880" s="199" t="s">
        <v>95</v>
      </c>
      <c r="F3880" s="199" t="s">
        <v>95</v>
      </c>
      <c r="G3880" s="275">
        <f>MROUND(H3880*L3880*I3880/K3880,0.0000000001)</f>
        <v>0.59002574400000007</v>
      </c>
      <c r="H3880" s="201">
        <f>H3400</f>
        <v>921.8</v>
      </c>
      <c r="I3880" s="159">
        <f>школы!$K$10</f>
        <v>1.6002E-4</v>
      </c>
      <c r="J3880" s="159"/>
      <c r="K3880" s="161">
        <f>школы!$G$10</f>
        <v>3</v>
      </c>
      <c r="L3880" s="202">
        <v>12</v>
      </c>
      <c r="M3880" s="163" t="str">
        <f>CONCATENATE(H3880," ",F3880," ","в мес.","*",L3880,"мес.","*",I3880,"/",K3880,"чел.")</f>
        <v>921,8 шт.ед в мес.*12мес.*0,00016002/3чел.</v>
      </c>
      <c r="N3880" s="164">
        <f>N3400</f>
        <v>12883.620739314385</v>
      </c>
      <c r="O3880" s="165">
        <f>MROUND(G3880*N3880,0.000000001)</f>
        <v>7601.6679121280004</v>
      </c>
      <c r="P3880" s="166"/>
      <c r="Q3880" s="166">
        <f t="shared" ref="Q3880" si="909">O3880*K3880</f>
        <v>22805.003736384002</v>
      </c>
      <c r="R3880" s="71"/>
    </row>
    <row r="3881" spans="1:18" s="61" customFormat="1" x14ac:dyDescent="0.25">
      <c r="A3881" s="358"/>
      <c r="B3881" s="361"/>
      <c r="C3881" s="203" t="s">
        <v>288</v>
      </c>
      <c r="D3881" s="203"/>
      <c r="E3881" s="204"/>
      <c r="F3881" s="204"/>
      <c r="G3881" s="205"/>
      <c r="H3881" s="206"/>
      <c r="I3881" s="206"/>
      <c r="J3881" s="206"/>
      <c r="K3881" s="207"/>
      <c r="L3881" s="208"/>
      <c r="M3881" s="209"/>
      <c r="N3881" s="210">
        <f>N3880</f>
        <v>12883.620739314385</v>
      </c>
      <c r="O3881" s="198">
        <f>O3880</f>
        <v>7601.6679121280004</v>
      </c>
      <c r="P3881" s="166"/>
      <c r="Q3881" s="166"/>
      <c r="R3881" s="71"/>
    </row>
    <row r="3882" spans="1:18" s="61" customFormat="1" x14ac:dyDescent="0.25">
      <c r="A3882" s="358"/>
      <c r="B3882" s="361"/>
      <c r="C3882" s="194">
        <v>213</v>
      </c>
      <c r="D3882" s="194" t="s">
        <v>87</v>
      </c>
      <c r="E3882" s="194" t="s">
        <v>88</v>
      </c>
      <c r="F3882" s="194"/>
      <c r="G3882" s="211">
        <v>30.2</v>
      </c>
      <c r="H3882" s="159"/>
      <c r="I3882" s="159"/>
      <c r="J3882" s="159"/>
      <c r="K3882" s="161">
        <f>K3880</f>
        <v>3</v>
      </c>
      <c r="L3882" s="202"/>
      <c r="M3882" s="212"/>
      <c r="N3882" s="164"/>
      <c r="O3882" s="165">
        <f>MROUND(O3880*0.302,0.000001)</f>
        <v>2295.7037089999999</v>
      </c>
      <c r="P3882" s="166"/>
      <c r="Q3882" s="166">
        <f>O3882*K3882</f>
        <v>6887.1111270000001</v>
      </c>
      <c r="R3882" s="71"/>
    </row>
    <row r="3883" spans="1:18" s="61" customFormat="1" x14ac:dyDescent="0.25">
      <c r="A3883" s="358"/>
      <c r="B3883" s="361"/>
      <c r="C3883" s="203" t="s">
        <v>289</v>
      </c>
      <c r="D3883" s="203"/>
      <c r="E3883" s="203"/>
      <c r="F3883" s="203"/>
      <c r="G3883" s="213"/>
      <c r="H3883" s="214"/>
      <c r="I3883" s="206"/>
      <c r="J3883" s="214"/>
      <c r="K3883" s="207"/>
      <c r="L3883" s="215"/>
      <c r="M3883" s="216"/>
      <c r="N3883" s="210"/>
      <c r="O3883" s="198">
        <f>O3882</f>
        <v>2295.7037089999999</v>
      </c>
      <c r="P3883" s="166"/>
      <c r="Q3883" s="166"/>
      <c r="R3883" s="71"/>
    </row>
    <row r="3884" spans="1:18" s="61" customFormat="1" x14ac:dyDescent="0.25">
      <c r="A3884" s="358"/>
      <c r="B3884" s="361"/>
      <c r="C3884" s="194"/>
      <c r="D3884" s="356" t="s">
        <v>63</v>
      </c>
      <c r="E3884" s="356"/>
      <c r="F3884" s="356"/>
      <c r="G3884" s="356"/>
      <c r="H3884" s="195"/>
      <c r="I3884" s="159"/>
      <c r="J3884" s="195"/>
      <c r="K3884" s="161"/>
      <c r="L3884" s="196"/>
      <c r="M3884" s="197"/>
      <c r="N3884" s="164"/>
      <c r="O3884" s="165"/>
      <c r="P3884" s="166"/>
      <c r="Q3884" s="166"/>
      <c r="R3884" s="71"/>
    </row>
    <row r="3885" spans="1:18" s="61" customFormat="1" x14ac:dyDescent="0.25">
      <c r="A3885" s="358"/>
      <c r="B3885" s="361"/>
      <c r="C3885" s="194"/>
      <c r="D3885" s="194"/>
      <c r="E3885" s="194"/>
      <c r="F3885" s="194"/>
      <c r="G3885" s="217"/>
      <c r="H3885" s="195"/>
      <c r="I3885" s="159"/>
      <c r="J3885" s="195"/>
      <c r="K3885" s="161"/>
      <c r="L3885" s="196"/>
      <c r="M3885" s="197"/>
      <c r="N3885" s="164"/>
      <c r="O3885" s="165"/>
      <c r="P3885" s="166"/>
      <c r="Q3885" s="166"/>
      <c r="R3885" s="71"/>
    </row>
    <row r="3886" spans="1:18" s="61" customFormat="1" x14ac:dyDescent="0.25">
      <c r="A3886" s="358"/>
      <c r="B3886" s="361"/>
      <c r="C3886" s="194"/>
      <c r="D3886" s="350" t="s">
        <v>64</v>
      </c>
      <c r="E3886" s="350"/>
      <c r="F3886" s="350"/>
      <c r="G3886" s="350"/>
      <c r="H3886" s="195"/>
      <c r="I3886" s="159"/>
      <c r="J3886" s="195"/>
      <c r="K3886" s="161"/>
      <c r="L3886" s="196"/>
      <c r="M3886" s="197"/>
      <c r="N3886" s="164"/>
      <c r="O3886" s="165"/>
      <c r="P3886" s="166"/>
      <c r="Q3886" s="166"/>
      <c r="R3886" s="71"/>
    </row>
    <row r="3887" spans="1:18" s="61" customFormat="1" x14ac:dyDescent="0.25">
      <c r="A3887" s="358"/>
      <c r="B3887" s="361"/>
      <c r="C3887" s="194"/>
      <c r="D3887" s="194"/>
      <c r="E3887" s="194"/>
      <c r="F3887" s="194"/>
      <c r="G3887" s="217"/>
      <c r="H3887" s="195"/>
      <c r="I3887" s="159"/>
      <c r="J3887" s="195"/>
      <c r="K3887" s="161"/>
      <c r="L3887" s="196"/>
      <c r="M3887" s="197"/>
      <c r="N3887" s="164"/>
      <c r="O3887" s="165"/>
      <c r="P3887" s="166"/>
      <c r="Q3887" s="166"/>
      <c r="R3887" s="71"/>
    </row>
    <row r="3888" spans="1:18" s="61" customFormat="1" x14ac:dyDescent="0.25">
      <c r="A3888" s="358"/>
      <c r="B3888" s="361"/>
      <c r="C3888" s="194"/>
      <c r="D3888" s="355" t="s">
        <v>5</v>
      </c>
      <c r="E3888" s="355"/>
      <c r="F3888" s="355"/>
      <c r="G3888" s="355"/>
      <c r="H3888" s="195"/>
      <c r="I3888" s="159"/>
      <c r="J3888" s="195"/>
      <c r="K3888" s="161"/>
      <c r="L3888" s="196"/>
      <c r="M3888" s="197"/>
      <c r="N3888" s="164"/>
      <c r="O3888" s="198">
        <f>O3889+O3899+O3910+O3912+O3914+O3916+O3918</f>
        <v>21013.776891329999</v>
      </c>
      <c r="P3888" s="166"/>
      <c r="Q3888" s="166"/>
      <c r="R3888" s="71"/>
    </row>
    <row r="3889" spans="1:18" s="61" customFormat="1" x14ac:dyDescent="0.25">
      <c r="A3889" s="358"/>
      <c r="B3889" s="361"/>
      <c r="C3889" s="218" t="s">
        <v>70</v>
      </c>
      <c r="D3889" s="355" t="s">
        <v>6</v>
      </c>
      <c r="E3889" s="355"/>
      <c r="F3889" s="355"/>
      <c r="G3889" s="355"/>
      <c r="H3889" s="189"/>
      <c r="I3889" s="159"/>
      <c r="J3889" s="189"/>
      <c r="K3889" s="161"/>
      <c r="L3889" s="190"/>
      <c r="M3889" s="197"/>
      <c r="N3889" s="210"/>
      <c r="O3889" s="198">
        <f>O3898</f>
        <v>9652.3022977599994</v>
      </c>
      <c r="P3889" s="166"/>
      <c r="Q3889" s="166"/>
      <c r="R3889" s="71"/>
    </row>
    <row r="3890" spans="1:18" s="61" customFormat="1" ht="31.5" x14ac:dyDescent="0.25">
      <c r="A3890" s="358"/>
      <c r="B3890" s="361"/>
      <c r="C3890" s="221" t="s">
        <v>72</v>
      </c>
      <c r="D3890" s="222" t="s">
        <v>7</v>
      </c>
      <c r="E3890" s="223" t="s">
        <v>8</v>
      </c>
      <c r="F3890" s="223" t="s">
        <v>8</v>
      </c>
      <c r="G3890" s="238">
        <f>MROUND(H3890*L3890*I3890/K3890,0.00000000001)</f>
        <v>176.72189688591999</v>
      </c>
      <c r="H3890" s="160">
        <f t="shared" ref="H3890:H3897" si="910">H3410</f>
        <v>3313121.4264326878</v>
      </c>
      <c r="I3890" s="159">
        <f>I3880</f>
        <v>1.6002E-4</v>
      </c>
      <c r="J3890" s="160"/>
      <c r="K3890" s="161">
        <f>K3880</f>
        <v>3</v>
      </c>
      <c r="L3890" s="250">
        <v>1</v>
      </c>
      <c r="M3890" s="163" t="str">
        <f t="shared" ref="M3890:M3895" si="911">CONCATENATE(H3890," ",F3890,"(лимиты выделенные УЖКХ) ","*",I3890,"/",K3890,"чел.")</f>
        <v>3313121,42643269 кВт час.(лимиты выделенные УЖКХ) *0,00016002/3чел.</v>
      </c>
      <c r="N3890" s="164">
        <f t="shared" ref="N3890:N3897" si="912">N3410</f>
        <v>10.897694685122204</v>
      </c>
      <c r="O3890" s="165">
        <f t="shared" ref="O3890:O3893" si="913">MROUND(G3890*N3890,0.000001)</f>
        <v>1925.8612759999999</v>
      </c>
      <c r="P3890" s="166"/>
      <c r="Q3890" s="166">
        <f t="shared" ref="Q3890:Q3897" si="914">O3890*K3890</f>
        <v>5777.5838279999998</v>
      </c>
      <c r="R3890" s="71"/>
    </row>
    <row r="3891" spans="1:18" s="61" customFormat="1" ht="31.5" x14ac:dyDescent="0.25">
      <c r="A3891" s="358"/>
      <c r="B3891" s="361"/>
      <c r="C3891" s="221" t="s">
        <v>73</v>
      </c>
      <c r="D3891" s="222" t="s">
        <v>9</v>
      </c>
      <c r="E3891" s="223" t="s">
        <v>10</v>
      </c>
      <c r="F3891" s="223" t="s">
        <v>10</v>
      </c>
      <c r="G3891" s="238">
        <f>MROUND(H3891*L3891*I3891/K3891,0.00000000001)</f>
        <v>1.7014067825999999</v>
      </c>
      <c r="H3891" s="160">
        <f t="shared" si="910"/>
        <v>31897.39</v>
      </c>
      <c r="I3891" s="159">
        <f t="shared" ref="I3891:I3954" si="915">I3890</f>
        <v>1.6002E-4</v>
      </c>
      <c r="J3891" s="160"/>
      <c r="K3891" s="161">
        <f t="shared" ref="K3891:K3897" si="916">K3890</f>
        <v>3</v>
      </c>
      <c r="L3891" s="250">
        <v>1</v>
      </c>
      <c r="M3891" s="163" t="str">
        <f t="shared" si="911"/>
        <v>31897,39 Гкал(лимиты выделенные УЖКХ) *0,00016002/3чел.</v>
      </c>
      <c r="N3891" s="164">
        <f t="shared" si="912"/>
        <v>2976.2517908205036</v>
      </c>
      <c r="O3891" s="165">
        <f t="shared" si="913"/>
        <v>5063.8149839999996</v>
      </c>
      <c r="P3891" s="166"/>
      <c r="Q3891" s="166">
        <f t="shared" si="914"/>
        <v>15191.444951999998</v>
      </c>
      <c r="R3891" s="71"/>
    </row>
    <row r="3892" spans="1:18" s="61" customFormat="1" ht="31.5" x14ac:dyDescent="0.25">
      <c r="A3892" s="358"/>
      <c r="B3892" s="361"/>
      <c r="C3892" s="364" t="s">
        <v>74</v>
      </c>
      <c r="D3892" s="222" t="s">
        <v>12</v>
      </c>
      <c r="E3892" s="222" t="s">
        <v>11</v>
      </c>
      <c r="F3892" s="222" t="s">
        <v>11</v>
      </c>
      <c r="G3892" s="238">
        <f>MROUND(H3892*L3892*I3892/K3892,0.00000000001)</f>
        <v>9.8532405677999986</v>
      </c>
      <c r="H3892" s="224">
        <f t="shared" si="910"/>
        <v>184725.17</v>
      </c>
      <c r="I3892" s="159">
        <f t="shared" si="915"/>
        <v>1.6002E-4</v>
      </c>
      <c r="J3892" s="160"/>
      <c r="K3892" s="161">
        <f t="shared" si="916"/>
        <v>3</v>
      </c>
      <c r="L3892" s="250">
        <v>1</v>
      </c>
      <c r="M3892" s="163" t="str">
        <f t="shared" si="911"/>
        <v>184725,17 м3(лимиты выделенные УЖКХ) *0,00016002/3чел.</v>
      </c>
      <c r="N3892" s="164">
        <f t="shared" si="912"/>
        <v>54.214180016724306</v>
      </c>
      <c r="O3892" s="165">
        <f t="shared" si="913"/>
        <v>534.18535799999995</v>
      </c>
      <c r="P3892" s="166"/>
      <c r="Q3892" s="166">
        <f t="shared" si="914"/>
        <v>1602.5560739999999</v>
      </c>
      <c r="R3892" s="71"/>
    </row>
    <row r="3893" spans="1:18" s="61" customFormat="1" ht="47.25" x14ac:dyDescent="0.25">
      <c r="A3893" s="358"/>
      <c r="B3893" s="361"/>
      <c r="C3893" s="364"/>
      <c r="D3893" s="222" t="s">
        <v>17</v>
      </c>
      <c r="E3893" s="222" t="s">
        <v>11</v>
      </c>
      <c r="F3893" s="222" t="s">
        <v>11</v>
      </c>
      <c r="G3893" s="238">
        <f>MROUND(H3893*L3893*I3893/K3893,0.00000000001)</f>
        <v>9.8532405677999986</v>
      </c>
      <c r="H3893" s="160">
        <f t="shared" si="910"/>
        <v>184725.17</v>
      </c>
      <c r="I3893" s="159">
        <f t="shared" si="915"/>
        <v>1.6002E-4</v>
      </c>
      <c r="J3893" s="160"/>
      <c r="K3893" s="161">
        <f t="shared" si="916"/>
        <v>3</v>
      </c>
      <c r="L3893" s="162">
        <f>$L$25</f>
        <v>1</v>
      </c>
      <c r="M3893" s="163" t="str">
        <f t="shared" si="911"/>
        <v>184725,17 м3(лимиты выделенные УЖКХ) *0,00016002/3чел.</v>
      </c>
      <c r="N3893" s="164">
        <f t="shared" si="912"/>
        <v>82.384170780821918</v>
      </c>
      <c r="O3893" s="165">
        <f t="shared" si="913"/>
        <v>811.75105399999995</v>
      </c>
      <c r="P3893" s="166"/>
      <c r="Q3893" s="166">
        <f t="shared" si="914"/>
        <v>2435.253162</v>
      </c>
      <c r="R3893" s="71"/>
    </row>
    <row r="3894" spans="1:18" s="61" customFormat="1" ht="31.5" x14ac:dyDescent="0.25">
      <c r="A3894" s="358"/>
      <c r="B3894" s="361"/>
      <c r="C3894" s="364"/>
      <c r="D3894" s="222" t="s">
        <v>13</v>
      </c>
      <c r="E3894" s="222" t="s">
        <v>11</v>
      </c>
      <c r="F3894" s="222" t="s">
        <v>11</v>
      </c>
      <c r="G3894" s="238">
        <f>MROUND(H3894*L3894*I3894/K3894,0.00000000001)</f>
        <v>9.8532405677999986</v>
      </c>
      <c r="H3894" s="160">
        <f t="shared" si="910"/>
        <v>184725.17</v>
      </c>
      <c r="I3894" s="159">
        <f t="shared" si="915"/>
        <v>1.6002E-4</v>
      </c>
      <c r="J3894" s="160"/>
      <c r="K3894" s="161">
        <f t="shared" si="916"/>
        <v>3</v>
      </c>
      <c r="L3894" s="162">
        <v>1</v>
      </c>
      <c r="M3894" s="163" t="str">
        <f t="shared" si="911"/>
        <v>184725,17 м3(лимиты выделенные УЖКХ) *0,00016002/3чел.</v>
      </c>
      <c r="N3894" s="164">
        <f t="shared" si="912"/>
        <v>112.36110334722464</v>
      </c>
      <c r="O3894" s="165">
        <f>MROUND(G3894*N3894,0.00000001)</f>
        <v>1107.1209817399999</v>
      </c>
      <c r="P3894" s="166"/>
      <c r="Q3894" s="166">
        <f t="shared" si="914"/>
        <v>3321.3629452199998</v>
      </c>
      <c r="R3894" s="71"/>
    </row>
    <row r="3895" spans="1:18" s="61" customFormat="1" ht="31.5" x14ac:dyDescent="0.25">
      <c r="A3895" s="358"/>
      <c r="B3895" s="361"/>
      <c r="C3895" s="221" t="s">
        <v>75</v>
      </c>
      <c r="D3895" s="222" t="s">
        <v>18</v>
      </c>
      <c r="E3895" s="222" t="s">
        <v>48</v>
      </c>
      <c r="F3895" s="222" t="s">
        <v>48</v>
      </c>
      <c r="G3895" s="238">
        <f>MROUND(H3895*L3895*I3895/K3895,0.0000000001)</f>
        <v>0.740764584</v>
      </c>
      <c r="H3895" s="160">
        <f t="shared" si="910"/>
        <v>13887.6</v>
      </c>
      <c r="I3895" s="159">
        <f>I3894</f>
        <v>1.6002E-4</v>
      </c>
      <c r="J3895" s="160"/>
      <c r="K3895" s="161">
        <f t="shared" si="916"/>
        <v>3</v>
      </c>
      <c r="L3895" s="250">
        <v>1</v>
      </c>
      <c r="M3895" s="163" t="str">
        <f t="shared" si="911"/>
        <v>13887,6 тыс. м3(лимиты выделенные УЖКХ) *0,00016002/3чел.</v>
      </c>
      <c r="N3895" s="164">
        <f t="shared" si="912"/>
        <v>30.576235634666901</v>
      </c>
      <c r="O3895" s="165">
        <f t="shared" ref="O3895" si="917">MROUND(G3895*N3895,0.000001)</f>
        <v>22.649791999999998</v>
      </c>
      <c r="P3895" s="166"/>
      <c r="Q3895" s="166">
        <f t="shared" si="914"/>
        <v>67.949376000000001</v>
      </c>
      <c r="R3895" s="71"/>
    </row>
    <row r="3896" spans="1:18" s="61" customFormat="1" x14ac:dyDescent="0.25">
      <c r="A3896" s="358"/>
      <c r="B3896" s="361"/>
      <c r="C3896" s="364" t="s">
        <v>216</v>
      </c>
      <c r="D3896" s="222" t="s">
        <v>23</v>
      </c>
      <c r="E3896" s="222" t="s">
        <v>11</v>
      </c>
      <c r="F3896" s="222" t="s">
        <v>11</v>
      </c>
      <c r="G3896" s="238">
        <f>MROUND(H3896*L3896*I3896/K3896,0.000000000001)</f>
        <v>0.17968325760000001</v>
      </c>
      <c r="H3896" s="160">
        <f t="shared" si="910"/>
        <v>3368.6400000000003</v>
      </c>
      <c r="I3896" s="159">
        <f t="shared" si="915"/>
        <v>1.6002E-4</v>
      </c>
      <c r="J3896" s="160"/>
      <c r="K3896" s="161">
        <f t="shared" si="916"/>
        <v>3</v>
      </c>
      <c r="L3896" s="162">
        <f>L3895</f>
        <v>1</v>
      </c>
      <c r="M3896" s="163" t="str">
        <f>CONCATENATE(H3896," ",F3896," ","*",I3896,"/",K3896,"чел.")</f>
        <v>3368,64 м3 *0,00016002/3чел.</v>
      </c>
      <c r="N3896" s="164">
        <f t="shared" si="912"/>
        <v>776.35552626579261</v>
      </c>
      <c r="O3896" s="165">
        <f>MROUND(G3896*N3896,0.00000001)</f>
        <v>139.49809002000001</v>
      </c>
      <c r="P3896" s="166"/>
      <c r="Q3896" s="166">
        <f t="shared" si="914"/>
        <v>418.49427006000002</v>
      </c>
      <c r="R3896" s="71"/>
    </row>
    <row r="3897" spans="1:18" s="61" customFormat="1" ht="47.25" x14ac:dyDescent="0.25">
      <c r="A3897" s="358"/>
      <c r="B3897" s="361"/>
      <c r="C3897" s="364"/>
      <c r="D3897" s="222" t="s">
        <v>24</v>
      </c>
      <c r="E3897" s="222" t="s">
        <v>25</v>
      </c>
      <c r="F3897" s="222" t="s">
        <v>217</v>
      </c>
      <c r="G3897" s="238">
        <f>MROUND(H3897*L3897*I3897/K3897,0.000000000001)</f>
        <v>7.8409799999999991E-3</v>
      </c>
      <c r="H3897" s="160">
        <f t="shared" si="910"/>
        <v>147</v>
      </c>
      <c r="I3897" s="159">
        <f t="shared" si="915"/>
        <v>1.6002E-4</v>
      </c>
      <c r="J3897" s="160"/>
      <c r="K3897" s="161">
        <f t="shared" si="916"/>
        <v>3</v>
      </c>
      <c r="L3897" s="250">
        <f>L3896</f>
        <v>1</v>
      </c>
      <c r="M3897" s="163" t="str">
        <f>CONCATENATE(H3897," ",F3897,"(потребность из расчета 4 контейнера для уборки территории весной и осенью на 1 учреждение)","*",I3897,"/",K3897,"чел.")</f>
        <v>147 контейнера(потребность из расчета 4 контейнера для уборки территории весной и осенью на 1 учреждение)*0,00016002/3чел.</v>
      </c>
      <c r="N3897" s="164">
        <f t="shared" si="912"/>
        <v>6047.8105442176911</v>
      </c>
      <c r="O3897" s="165">
        <f t="shared" ref="O3897" si="918">MROUND(G3897*N3897,0.000001)</f>
        <v>47.420761999999996</v>
      </c>
      <c r="P3897" s="166"/>
      <c r="Q3897" s="166">
        <f t="shared" si="914"/>
        <v>142.26228599999999</v>
      </c>
      <c r="R3897" s="71"/>
    </row>
    <row r="3898" spans="1:18" s="61" customFormat="1" x14ac:dyDescent="0.25">
      <c r="A3898" s="358"/>
      <c r="B3898" s="361"/>
      <c r="C3898" s="218" t="s">
        <v>290</v>
      </c>
      <c r="D3898" s="226"/>
      <c r="E3898" s="226"/>
      <c r="F3898" s="226"/>
      <c r="G3898" s="227"/>
      <c r="H3898" s="228"/>
      <c r="I3898" s="206"/>
      <c r="J3898" s="228"/>
      <c r="K3898" s="207"/>
      <c r="L3898" s="257"/>
      <c r="M3898" s="209"/>
      <c r="N3898" s="210"/>
      <c r="O3898" s="198">
        <f>SUM(O3890:O3897)</f>
        <v>9652.3022977599994</v>
      </c>
      <c r="P3898" s="166"/>
      <c r="Q3898" s="166"/>
      <c r="R3898" s="71"/>
    </row>
    <row r="3899" spans="1:18" s="61" customFormat="1" x14ac:dyDescent="0.25">
      <c r="A3899" s="358"/>
      <c r="B3899" s="361"/>
      <c r="C3899" s="221"/>
      <c r="D3899" s="356" t="s">
        <v>14</v>
      </c>
      <c r="E3899" s="356"/>
      <c r="F3899" s="356"/>
      <c r="G3899" s="356"/>
      <c r="H3899" s="188"/>
      <c r="I3899" s="159"/>
      <c r="J3899" s="188"/>
      <c r="K3899" s="161"/>
      <c r="L3899" s="250"/>
      <c r="M3899" s="230"/>
      <c r="N3899" s="164"/>
      <c r="O3899" s="198">
        <f>O3907+O3908+O3903</f>
        <v>10099.1961084</v>
      </c>
      <c r="P3899" s="166"/>
      <c r="Q3899" s="166"/>
      <c r="R3899" s="71"/>
    </row>
    <row r="3900" spans="1:18" s="61" customFormat="1" x14ac:dyDescent="0.25">
      <c r="A3900" s="358"/>
      <c r="B3900" s="361"/>
      <c r="C3900" s="221" t="s">
        <v>379</v>
      </c>
      <c r="D3900" s="231" t="s">
        <v>49</v>
      </c>
      <c r="E3900" s="231" t="s">
        <v>22</v>
      </c>
      <c r="F3900" s="231" t="s">
        <v>22</v>
      </c>
      <c r="G3900" s="238">
        <f>MROUND(H3900*L3900*I3900/K3900,0.000000001)</f>
        <v>0</v>
      </c>
      <c r="H3900" s="160"/>
      <c r="I3900" s="159">
        <f>I3895</f>
        <v>1.6002E-4</v>
      </c>
      <c r="J3900" s="160"/>
      <c r="K3900" s="161">
        <f>K3895</f>
        <v>3</v>
      </c>
      <c r="L3900" s="250"/>
      <c r="M3900" s="163"/>
      <c r="N3900" s="164"/>
      <c r="O3900" s="165">
        <f>MROUND(G3900*N3900,0.00000001)</f>
        <v>0</v>
      </c>
      <c r="P3900" s="166"/>
      <c r="Q3900" s="166">
        <f t="shared" ref="Q3900:Q3902" si="919">O3900*K3900</f>
        <v>0</v>
      </c>
      <c r="R3900" s="71"/>
    </row>
    <row r="3901" spans="1:18" s="61" customFormat="1" x14ac:dyDescent="0.25">
      <c r="A3901" s="358"/>
      <c r="B3901" s="361"/>
      <c r="C3901" s="221" t="s">
        <v>379</v>
      </c>
      <c r="D3901" s="231" t="s">
        <v>49</v>
      </c>
      <c r="E3901" s="231" t="s">
        <v>28</v>
      </c>
      <c r="F3901" s="231" t="s">
        <v>28</v>
      </c>
      <c r="G3901" s="238">
        <f>MROUND(H3901*L3901*I3901/K3901,0.00000000000001)</f>
        <v>0</v>
      </c>
      <c r="H3901" s="160"/>
      <c r="I3901" s="159">
        <f t="shared" si="915"/>
        <v>1.6002E-4</v>
      </c>
      <c r="J3901" s="160"/>
      <c r="K3901" s="161">
        <f>K3900</f>
        <v>3</v>
      </c>
      <c r="L3901" s="250">
        <v>1</v>
      </c>
      <c r="M3901" s="163"/>
      <c r="N3901" s="164"/>
      <c r="O3901" s="165">
        <f>MROUND(G3901*N3901,0.00000001)</f>
        <v>0</v>
      </c>
      <c r="P3901" s="166"/>
      <c r="Q3901" s="166">
        <f t="shared" si="919"/>
        <v>0</v>
      </c>
      <c r="R3901" s="71"/>
    </row>
    <row r="3902" spans="1:18" s="61" customFormat="1" x14ac:dyDescent="0.25">
      <c r="A3902" s="358"/>
      <c r="B3902" s="361"/>
      <c r="C3902" s="221" t="s">
        <v>379</v>
      </c>
      <c r="D3902" s="231" t="s">
        <v>49</v>
      </c>
      <c r="E3902" s="231" t="s">
        <v>101</v>
      </c>
      <c r="F3902" s="231" t="s">
        <v>101</v>
      </c>
      <c r="G3902" s="238">
        <f>MROUND(H3902*L3902*I3902/K3902,0.000000001)</f>
        <v>0</v>
      </c>
      <c r="H3902" s="160"/>
      <c r="I3902" s="159">
        <f t="shared" si="915"/>
        <v>1.6002E-4</v>
      </c>
      <c r="J3902" s="160"/>
      <c r="K3902" s="161">
        <f>K3901</f>
        <v>3</v>
      </c>
      <c r="L3902" s="250"/>
      <c r="M3902" s="163"/>
      <c r="N3902" s="164"/>
      <c r="O3902" s="165">
        <f>MROUND(G3902*N3902,0.00000001)</f>
        <v>0</v>
      </c>
      <c r="P3902" s="166"/>
      <c r="Q3902" s="166">
        <f t="shared" si="919"/>
        <v>0</v>
      </c>
      <c r="R3902" s="71"/>
    </row>
    <row r="3903" spans="1:18" s="61" customFormat="1" x14ac:dyDescent="0.25">
      <c r="A3903" s="358"/>
      <c r="B3903" s="361"/>
      <c r="C3903" s="218" t="s">
        <v>381</v>
      </c>
      <c r="D3903" s="232"/>
      <c r="E3903" s="232"/>
      <c r="F3903" s="232"/>
      <c r="G3903" s="227"/>
      <c r="H3903" s="228"/>
      <c r="I3903" s="206"/>
      <c r="J3903" s="228"/>
      <c r="K3903" s="207"/>
      <c r="L3903" s="257"/>
      <c r="M3903" s="209"/>
      <c r="N3903" s="210"/>
      <c r="O3903" s="198">
        <f>SUM(O3900:O3902)</f>
        <v>0</v>
      </c>
      <c r="P3903" s="166"/>
      <c r="Q3903" s="166"/>
      <c r="R3903" s="71"/>
    </row>
    <row r="3904" spans="1:18" s="61" customFormat="1" x14ac:dyDescent="0.25">
      <c r="A3904" s="358"/>
      <c r="B3904" s="361"/>
      <c r="C3904" s="221" t="s">
        <v>76</v>
      </c>
      <c r="D3904" s="231" t="s">
        <v>49</v>
      </c>
      <c r="E3904" s="231" t="s">
        <v>22</v>
      </c>
      <c r="F3904" s="231" t="s">
        <v>22</v>
      </c>
      <c r="G3904" s="238">
        <f>MROUND(H3904*L3904*I3904/K3904,0.0000000000001)</f>
        <v>65.289737263800006</v>
      </c>
      <c r="H3904" s="160">
        <f>H3424</f>
        <v>1224029.57</v>
      </c>
      <c r="I3904" s="159">
        <f>I3902</f>
        <v>1.6002E-4</v>
      </c>
      <c r="J3904" s="160"/>
      <c r="K3904" s="161">
        <f>K3902</f>
        <v>3</v>
      </c>
      <c r="L3904" s="250">
        <v>1</v>
      </c>
      <c r="M3904" s="163" t="str">
        <f>CONCATENATE(H3904," ",F3904,"*",I3904,"/",K3904,"чел.")</f>
        <v>1224029,57 м2*0,00016002/3чел.</v>
      </c>
      <c r="N3904" s="164">
        <f>N3424</f>
        <v>37.50494361014497</v>
      </c>
      <c r="O3904" s="165">
        <f>MROUND(G3904*N3904,0.00000000001)</f>
        <v>2448.6879144</v>
      </c>
      <c r="P3904" s="166"/>
      <c r="Q3904" s="166">
        <f t="shared" ref="Q3904:Q3906" si="920">O3904*K3904</f>
        <v>7346.0637432000003</v>
      </c>
      <c r="R3904" s="71"/>
    </row>
    <row r="3905" spans="1:18" s="61" customFormat="1" x14ac:dyDescent="0.25">
      <c r="A3905" s="358"/>
      <c r="B3905" s="361"/>
      <c r="C3905" s="221"/>
      <c r="D3905" s="231" t="s">
        <v>49</v>
      </c>
      <c r="E3905" s="231" t="s">
        <v>28</v>
      </c>
      <c r="F3905" s="231" t="s">
        <v>28</v>
      </c>
      <c r="G3905" s="238">
        <f>MROUND(H3905*L3905*I3905/K3905,0.0000000000001)</f>
        <v>5.8994040000000005E-2</v>
      </c>
      <c r="H3905" s="160">
        <f>H3425</f>
        <v>1106</v>
      </c>
      <c r="I3905" s="159">
        <f t="shared" si="915"/>
        <v>1.6002E-4</v>
      </c>
      <c r="J3905" s="160"/>
      <c r="K3905" s="161">
        <f>K3904</f>
        <v>3</v>
      </c>
      <c r="L3905" s="250">
        <v>1</v>
      </c>
      <c r="M3905" s="163" t="str">
        <f>CONCATENATE(H3905," ",F3905,"*",I3905,"/",K3905,"чел.")</f>
        <v>1106 шт*0,00016002/3чел.</v>
      </c>
      <c r="N3905" s="164">
        <f>N3425</f>
        <v>86192.676311030737</v>
      </c>
      <c r="O3905" s="165">
        <f>MROUND(G3905*N3905,0.00000000001)</f>
        <v>5084.8541939999996</v>
      </c>
      <c r="P3905" s="166"/>
      <c r="Q3905" s="166">
        <f t="shared" si="920"/>
        <v>15254.562581999999</v>
      </c>
      <c r="R3905" s="71"/>
    </row>
    <row r="3906" spans="1:18" s="61" customFormat="1" x14ac:dyDescent="0.25">
      <c r="A3906" s="358"/>
      <c r="B3906" s="361"/>
      <c r="C3906" s="221"/>
      <c r="D3906" s="231" t="s">
        <v>49</v>
      </c>
      <c r="E3906" s="231" t="s">
        <v>101</v>
      </c>
      <c r="F3906" s="231" t="s">
        <v>101</v>
      </c>
      <c r="G3906" s="238">
        <f>MROUND(H3906*L3906*I3906/K3906,0.000000001)</f>
        <v>1.9559778000000001</v>
      </c>
      <c r="H3906" s="160">
        <f>H3426</f>
        <v>36670</v>
      </c>
      <c r="I3906" s="159">
        <f t="shared" si="915"/>
        <v>1.6002E-4</v>
      </c>
      <c r="J3906" s="160"/>
      <c r="K3906" s="161">
        <f>K3905</f>
        <v>3</v>
      </c>
      <c r="L3906" s="250">
        <v>1</v>
      </c>
      <c r="M3906" s="163" t="str">
        <f>CONCATENATE(H3906," ",F3906,"*",I3906,"/",K3906,"чел.")</f>
        <v>36670 погон.м.*0,00016002/3чел.</v>
      </c>
      <c r="N3906" s="164">
        <f>N3426</f>
        <v>1311.6989364603219</v>
      </c>
      <c r="O3906" s="165">
        <f>MROUND(G3906*N3906,0.00000001)</f>
        <v>2565.654</v>
      </c>
      <c r="P3906" s="166"/>
      <c r="Q3906" s="166">
        <f t="shared" si="920"/>
        <v>7696.9619999999995</v>
      </c>
      <c r="R3906" s="71"/>
    </row>
    <row r="3907" spans="1:18" s="61" customFormat="1" x14ac:dyDescent="0.25">
      <c r="A3907" s="358"/>
      <c r="B3907" s="361"/>
      <c r="C3907" s="218" t="s">
        <v>302</v>
      </c>
      <c r="D3907" s="232"/>
      <c r="E3907" s="232"/>
      <c r="F3907" s="232"/>
      <c r="G3907" s="227"/>
      <c r="H3907" s="228"/>
      <c r="I3907" s="206"/>
      <c r="J3907" s="228"/>
      <c r="K3907" s="207"/>
      <c r="L3907" s="257"/>
      <c r="M3907" s="209"/>
      <c r="N3907" s="210"/>
      <c r="O3907" s="198">
        <f>SUM(O3904:O3906)</f>
        <v>10099.1961084</v>
      </c>
      <c r="P3907" s="166"/>
      <c r="Q3907" s="166"/>
      <c r="R3907" s="71"/>
    </row>
    <row r="3908" spans="1:18" s="61" customFormat="1" x14ac:dyDescent="0.25">
      <c r="A3908" s="358"/>
      <c r="B3908" s="361"/>
      <c r="C3908" s="221" t="s">
        <v>77</v>
      </c>
      <c r="D3908" s="231"/>
      <c r="E3908" s="231"/>
      <c r="F3908" s="231"/>
      <c r="G3908" s="238">
        <f>MROUND(H3908*L3908*I3908/K3908,0.00000000001)</f>
        <v>0</v>
      </c>
      <c r="H3908" s="160">
        <f>H3668</f>
        <v>0</v>
      </c>
      <c r="I3908" s="159">
        <f>I3906</f>
        <v>1.6002E-4</v>
      </c>
      <c r="J3908" s="160"/>
      <c r="K3908" s="161">
        <f>K3906</f>
        <v>3</v>
      </c>
      <c r="L3908" s="250"/>
      <c r="M3908" s="163"/>
      <c r="N3908" s="164">
        <f>N3668</f>
        <v>0</v>
      </c>
      <c r="O3908" s="165">
        <f>MROUND(G3908*N3908,0.000000001)</f>
        <v>0</v>
      </c>
      <c r="P3908" s="166"/>
      <c r="Q3908" s="166">
        <f t="shared" ref="Q3908" si="921">O3908*K3908</f>
        <v>0</v>
      </c>
      <c r="R3908" s="71"/>
    </row>
    <row r="3909" spans="1:18" s="61" customFormat="1" x14ac:dyDescent="0.25">
      <c r="A3909" s="358"/>
      <c r="B3909" s="361"/>
      <c r="C3909" s="218" t="s">
        <v>304</v>
      </c>
      <c r="D3909" s="232"/>
      <c r="E3909" s="232"/>
      <c r="F3909" s="232"/>
      <c r="G3909" s="227"/>
      <c r="H3909" s="228"/>
      <c r="I3909" s="206"/>
      <c r="J3909" s="228"/>
      <c r="K3909" s="207"/>
      <c r="L3909" s="257"/>
      <c r="M3909" s="209"/>
      <c r="N3909" s="210"/>
      <c r="O3909" s="198">
        <f>O3908</f>
        <v>0</v>
      </c>
      <c r="P3909" s="166"/>
      <c r="Q3909" s="166"/>
      <c r="R3909" s="71"/>
    </row>
    <row r="3910" spans="1:18" s="61" customFormat="1" x14ac:dyDescent="0.25">
      <c r="A3910" s="358"/>
      <c r="B3910" s="361"/>
      <c r="C3910" s="221"/>
      <c r="D3910" s="350" t="s">
        <v>65</v>
      </c>
      <c r="E3910" s="350"/>
      <c r="F3910" s="350"/>
      <c r="G3910" s="350"/>
      <c r="H3910" s="195"/>
      <c r="I3910" s="159"/>
      <c r="J3910" s="195"/>
      <c r="K3910" s="161"/>
      <c r="L3910" s="196"/>
      <c r="M3910" s="230"/>
      <c r="N3910" s="164"/>
      <c r="O3910" s="165">
        <f t="shared" ref="O3910:O3911" si="922">MROUND(G3910*N3910,0.000001)</f>
        <v>0</v>
      </c>
      <c r="P3910" s="166"/>
      <c r="Q3910" s="166"/>
      <c r="R3910" s="71"/>
    </row>
    <row r="3911" spans="1:18" s="61" customFormat="1" x14ac:dyDescent="0.25">
      <c r="A3911" s="358"/>
      <c r="B3911" s="361"/>
      <c r="C3911" s="221"/>
      <c r="D3911" s="194"/>
      <c r="E3911" s="194"/>
      <c r="F3911" s="194"/>
      <c r="G3911" s="217"/>
      <c r="H3911" s="195"/>
      <c r="I3911" s="159"/>
      <c r="J3911" s="195"/>
      <c r="K3911" s="161"/>
      <c r="L3911" s="196"/>
      <c r="M3911" s="230"/>
      <c r="N3911" s="164"/>
      <c r="O3911" s="165">
        <f t="shared" si="922"/>
        <v>0</v>
      </c>
      <c r="P3911" s="166"/>
      <c r="Q3911" s="166"/>
      <c r="R3911" s="71"/>
    </row>
    <row r="3912" spans="1:18" s="61" customFormat="1" x14ac:dyDescent="0.25">
      <c r="A3912" s="358"/>
      <c r="B3912" s="361"/>
      <c r="C3912" s="221" t="s">
        <v>357</v>
      </c>
      <c r="D3912" s="368" t="s">
        <v>66</v>
      </c>
      <c r="E3912" s="368"/>
      <c r="F3912" s="368"/>
      <c r="G3912" s="368"/>
      <c r="H3912" s="195"/>
      <c r="I3912" s="159"/>
      <c r="J3912" s="195"/>
      <c r="K3912" s="161"/>
      <c r="L3912" s="234"/>
      <c r="M3912" s="230"/>
      <c r="N3912" s="164"/>
      <c r="O3912" s="198">
        <f>O3913</f>
        <v>30.274138999999998</v>
      </c>
      <c r="P3912" s="166"/>
      <c r="Q3912" s="166"/>
      <c r="R3912" s="71"/>
    </row>
    <row r="3913" spans="1:18" s="61" customFormat="1" ht="47.25" x14ac:dyDescent="0.25">
      <c r="A3913" s="358"/>
      <c r="B3913" s="361"/>
      <c r="C3913" s="221"/>
      <c r="D3913" s="222" t="s">
        <v>374</v>
      </c>
      <c r="E3913" s="194" t="s">
        <v>28</v>
      </c>
      <c r="F3913" s="194" t="s">
        <v>28</v>
      </c>
      <c r="G3913" s="217">
        <f>MROUND(H3913*L3913*I3913/K3913,0.000000001)</f>
        <v>7.6809600000000006E-3</v>
      </c>
      <c r="H3913" s="201">
        <f>H3433</f>
        <v>36</v>
      </c>
      <c r="I3913" s="159">
        <f>I3908</f>
        <v>1.6002E-4</v>
      </c>
      <c r="J3913" s="195"/>
      <c r="K3913" s="161">
        <f>K3908</f>
        <v>3</v>
      </c>
      <c r="L3913" s="235">
        <f>L3433</f>
        <v>4</v>
      </c>
      <c r="M3913" s="163" t="str">
        <f>CONCATENATE(H3913," ",F3913,"*",I3913,"/",K3913,"чел.")</f>
        <v>36 шт*0,00016002/3чел.</v>
      </c>
      <c r="N3913" s="164">
        <f>N3433</f>
        <v>3941.4525000000012</v>
      </c>
      <c r="O3913" s="165">
        <f>MROUND(G3913*N3913,0.000001)</f>
        <v>30.274138999999998</v>
      </c>
      <c r="P3913" s="166"/>
      <c r="Q3913" s="166">
        <f t="shared" ref="Q3913" si="923">O3913*K3913</f>
        <v>90.822417000000002</v>
      </c>
      <c r="R3913" s="71"/>
    </row>
    <row r="3914" spans="1:18" s="61" customFormat="1" x14ac:dyDescent="0.25">
      <c r="A3914" s="358"/>
      <c r="B3914" s="361"/>
      <c r="C3914" s="221"/>
      <c r="D3914" s="368" t="s">
        <v>67</v>
      </c>
      <c r="E3914" s="368"/>
      <c r="F3914" s="368"/>
      <c r="G3914" s="368"/>
      <c r="H3914" s="195"/>
      <c r="I3914" s="159"/>
      <c r="J3914" s="195"/>
      <c r="K3914" s="161"/>
      <c r="L3914" s="196"/>
      <c r="M3914" s="230"/>
      <c r="N3914" s="164"/>
      <c r="O3914" s="165">
        <f t="shared" ref="O3914:O3917" si="924">MROUND(G3914*N3914,0.000001)</f>
        <v>0</v>
      </c>
      <c r="P3914" s="166"/>
      <c r="Q3914" s="166"/>
      <c r="R3914" s="71"/>
    </row>
    <row r="3915" spans="1:18" s="61" customFormat="1" x14ac:dyDescent="0.25">
      <c r="A3915" s="358"/>
      <c r="B3915" s="361"/>
      <c r="C3915" s="221"/>
      <c r="D3915" s="194"/>
      <c r="E3915" s="194"/>
      <c r="F3915" s="194"/>
      <c r="G3915" s="217"/>
      <c r="H3915" s="195"/>
      <c r="I3915" s="159"/>
      <c r="J3915" s="195"/>
      <c r="K3915" s="161"/>
      <c r="L3915" s="196"/>
      <c r="M3915" s="230"/>
      <c r="N3915" s="164"/>
      <c r="O3915" s="165">
        <f t="shared" si="924"/>
        <v>0</v>
      </c>
      <c r="P3915" s="166"/>
      <c r="Q3915" s="166"/>
      <c r="R3915" s="71"/>
    </row>
    <row r="3916" spans="1:18" s="61" customFormat="1" x14ac:dyDescent="0.25">
      <c r="A3916" s="358"/>
      <c r="B3916" s="361"/>
      <c r="C3916" s="221"/>
      <c r="D3916" s="350" t="s">
        <v>68</v>
      </c>
      <c r="E3916" s="350"/>
      <c r="F3916" s="350"/>
      <c r="G3916" s="350"/>
      <c r="H3916" s="195"/>
      <c r="I3916" s="159"/>
      <c r="J3916" s="195"/>
      <c r="K3916" s="161"/>
      <c r="L3916" s="196"/>
      <c r="M3916" s="230"/>
      <c r="N3916" s="164"/>
      <c r="O3916" s="165">
        <f t="shared" si="924"/>
        <v>0</v>
      </c>
      <c r="P3916" s="166"/>
      <c r="Q3916" s="166"/>
      <c r="R3916" s="71"/>
    </row>
    <row r="3917" spans="1:18" s="61" customFormat="1" x14ac:dyDescent="0.25">
      <c r="A3917" s="358"/>
      <c r="B3917" s="361"/>
      <c r="C3917" s="221"/>
      <c r="D3917" s="156"/>
      <c r="E3917" s="156"/>
      <c r="F3917" s="156"/>
      <c r="G3917" s="236"/>
      <c r="H3917" s="195"/>
      <c r="I3917" s="159"/>
      <c r="J3917" s="195"/>
      <c r="K3917" s="161"/>
      <c r="L3917" s="196"/>
      <c r="M3917" s="230"/>
      <c r="N3917" s="164"/>
      <c r="O3917" s="165">
        <f t="shared" si="924"/>
        <v>0</v>
      </c>
      <c r="P3917" s="166"/>
      <c r="Q3917" s="166"/>
      <c r="R3917" s="71"/>
    </row>
    <row r="3918" spans="1:18" s="61" customFormat="1" x14ac:dyDescent="0.25">
      <c r="A3918" s="358"/>
      <c r="B3918" s="361"/>
      <c r="C3918" s="221"/>
      <c r="D3918" s="368" t="s">
        <v>69</v>
      </c>
      <c r="E3918" s="368"/>
      <c r="F3918" s="368"/>
      <c r="G3918" s="368"/>
      <c r="H3918" s="187"/>
      <c r="I3918" s="159"/>
      <c r="J3918" s="187"/>
      <c r="K3918" s="161"/>
      <c r="L3918" s="276"/>
      <c r="M3918" s="230"/>
      <c r="N3918" s="164"/>
      <c r="O3918" s="198">
        <f>O3920+O3927+O3944+O3946+O3961+O3963+O3965+O3990+O3992+O3997+O3994</f>
        <v>1232.0043461700002</v>
      </c>
      <c r="P3918" s="166"/>
      <c r="Q3918" s="166"/>
      <c r="R3918" s="71"/>
    </row>
    <row r="3919" spans="1:18" s="61" customFormat="1" x14ac:dyDescent="0.25">
      <c r="A3919" s="358"/>
      <c r="B3919" s="361"/>
      <c r="C3919" s="221">
        <v>224</v>
      </c>
      <c r="D3919" s="156" t="s">
        <v>21</v>
      </c>
      <c r="E3919" s="156" t="s">
        <v>22</v>
      </c>
      <c r="F3919" s="156" t="s">
        <v>22</v>
      </c>
      <c r="G3919" s="238">
        <f>MROUND(H3919*L3919*I3919/K3919,0.000001)</f>
        <v>0</v>
      </c>
      <c r="H3919" s="158"/>
      <c r="I3919" s="159">
        <f>I3913</f>
        <v>1.6002E-4</v>
      </c>
      <c r="J3919" s="160"/>
      <c r="K3919" s="161">
        <f>K3913</f>
        <v>3</v>
      </c>
      <c r="L3919" s="250"/>
      <c r="M3919" s="163"/>
      <c r="N3919" s="164"/>
      <c r="O3919" s="165">
        <f>MROUND(G3919*N3919,0.000001)</f>
        <v>0</v>
      </c>
      <c r="P3919" s="166"/>
      <c r="Q3919" s="166">
        <f t="shared" ref="Q3919" si="925">O3919*K3919</f>
        <v>0</v>
      </c>
      <c r="R3919" s="71"/>
    </row>
    <row r="3920" spans="1:18" s="62" customFormat="1" x14ac:dyDescent="0.25">
      <c r="A3920" s="358"/>
      <c r="B3920" s="361"/>
      <c r="C3920" s="218" t="s">
        <v>293</v>
      </c>
      <c r="D3920" s="240"/>
      <c r="E3920" s="240"/>
      <c r="F3920" s="240"/>
      <c r="G3920" s="227"/>
      <c r="H3920" s="241"/>
      <c r="I3920" s="206"/>
      <c r="J3920" s="228"/>
      <c r="K3920" s="207"/>
      <c r="L3920" s="257"/>
      <c r="M3920" s="209"/>
      <c r="N3920" s="210"/>
      <c r="O3920" s="198">
        <f>SUM(O3919)</f>
        <v>0</v>
      </c>
      <c r="P3920" s="267"/>
      <c r="Q3920" s="166"/>
      <c r="R3920" s="71"/>
    </row>
    <row r="3921" spans="1:41" s="61" customFormat="1" ht="31.5" x14ac:dyDescent="0.25">
      <c r="A3921" s="358"/>
      <c r="B3921" s="361"/>
      <c r="C3921" s="364" t="s">
        <v>78</v>
      </c>
      <c r="D3921" s="156" t="s">
        <v>26</v>
      </c>
      <c r="E3921" s="156" t="s">
        <v>22</v>
      </c>
      <c r="F3921" s="156" t="s">
        <v>22</v>
      </c>
      <c r="G3921" s="238">
        <f>MROUND(H3921*L3921*I3921/K3921,0.000001)</f>
        <v>16.539666999999998</v>
      </c>
      <c r="H3921" s="158">
        <f>H3441</f>
        <v>25840</v>
      </c>
      <c r="I3921" s="159">
        <f>I3919</f>
        <v>1.6002E-4</v>
      </c>
      <c r="J3921" s="160"/>
      <c r="K3921" s="161">
        <f>K3919</f>
        <v>3</v>
      </c>
      <c r="L3921" s="250">
        <v>12</v>
      </c>
      <c r="M3921" s="163" t="str">
        <f>CONCATENATE(H3921," ",F3921,"(обрабатываемая площадь в мес.)","*",L3921,"мес.","*",I3921,"/",K3921,"чел.")</f>
        <v>25840 м2(обрабатываемая площадь в мес.)*12мес.*0,00016002/3чел.</v>
      </c>
      <c r="N3921" s="164">
        <f>N3441</f>
        <v>1.208548374613003</v>
      </c>
      <c r="O3921" s="165">
        <f t="shared" ref="O3921:O3926" si="926">MROUND(G3921*N3921,0.000001)</f>
        <v>19.988987999999999</v>
      </c>
      <c r="P3921" s="166"/>
      <c r="Q3921" s="166">
        <f t="shared" ref="Q3921:Q3926" si="927">O3921*K3921</f>
        <v>59.966963999999997</v>
      </c>
      <c r="R3921" s="71"/>
    </row>
    <row r="3922" spans="1:41" s="61" customFormat="1" ht="31.5" x14ac:dyDescent="0.25">
      <c r="A3922" s="358"/>
      <c r="B3922" s="361"/>
      <c r="C3922" s="364"/>
      <c r="D3922" s="156" t="s">
        <v>96</v>
      </c>
      <c r="E3922" s="156" t="s">
        <v>22</v>
      </c>
      <c r="F3922" s="156" t="s">
        <v>22</v>
      </c>
      <c r="G3922" s="238">
        <f>MROUND(H3922*L3922*I3922/K3922,0.000001)</f>
        <v>8.5610699999999991</v>
      </c>
      <c r="H3922" s="158">
        <f>H3442</f>
        <v>13375</v>
      </c>
      <c r="I3922" s="159">
        <f t="shared" si="915"/>
        <v>1.6002E-4</v>
      </c>
      <c r="J3922" s="160"/>
      <c r="K3922" s="161">
        <f>K3921</f>
        <v>3</v>
      </c>
      <c r="L3922" s="250">
        <v>12</v>
      </c>
      <c r="M3922" s="163" t="str">
        <f>CONCATENATE(H3922," ",F3922,"(обрабатываемая площадь в мес.)","*",L3922,"мес.","*",I3922,"/",K3922,"чел.")</f>
        <v>13375 м2(обрабатываемая площадь в мес.)*12мес.*0,00016002/3чел.</v>
      </c>
      <c r="N3922" s="164">
        <f>N3442</f>
        <v>1.93823800623053</v>
      </c>
      <c r="O3922" s="165">
        <f t="shared" si="926"/>
        <v>16.593391</v>
      </c>
      <c r="P3922" s="166"/>
      <c r="Q3922" s="166">
        <f t="shared" si="927"/>
        <v>49.780173000000005</v>
      </c>
      <c r="R3922" s="71"/>
    </row>
    <row r="3923" spans="1:41" s="135" customFormat="1" ht="31.5" x14ac:dyDescent="0.25">
      <c r="A3923" s="358"/>
      <c r="B3923" s="361"/>
      <c r="C3923" s="364"/>
      <c r="D3923" s="156" t="s">
        <v>385</v>
      </c>
      <c r="E3923" s="156" t="s">
        <v>22</v>
      </c>
      <c r="F3923" s="156" t="s">
        <v>22</v>
      </c>
      <c r="G3923" s="238">
        <f>MROUND(H3923*L3923*I3923/K3923,0.000001)</f>
        <v>17.122139999999998</v>
      </c>
      <c r="H3923" s="242">
        <f>$H$55</f>
        <v>13375</v>
      </c>
      <c r="I3923" s="159">
        <f t="shared" si="915"/>
        <v>1.6002E-4</v>
      </c>
      <c r="J3923" s="160"/>
      <c r="K3923" s="161">
        <f>K3922</f>
        <v>3</v>
      </c>
      <c r="L3923" s="162">
        <v>24</v>
      </c>
      <c r="M3923" s="163" t="str">
        <f>CONCATENATE(H3923," ",F3923,"(обрабатываемая площадь в год)","*",L3923," раза в год.","*",I3923,"/",K3923,"чел.")</f>
        <v>13375 м2(обрабатываемая площадь в год)*24 раза в год.*0,00016002/3чел.</v>
      </c>
      <c r="N3923" s="164">
        <f>$N$3443</f>
        <v>2.3942939563862917</v>
      </c>
      <c r="O3923" s="165">
        <f t="shared" si="926"/>
        <v>40.995435999999998</v>
      </c>
      <c r="P3923" s="166"/>
      <c r="Q3923" s="166">
        <f t="shared" si="927"/>
        <v>122.98630799999999</v>
      </c>
      <c r="R3923" s="71"/>
      <c r="S3923" s="61"/>
      <c r="T3923" s="61"/>
      <c r="U3923" s="61"/>
      <c r="V3923" s="61"/>
      <c r="W3923" s="61"/>
      <c r="X3923" s="61"/>
      <c r="Y3923" s="61"/>
      <c r="Z3923" s="61"/>
      <c r="AA3923" s="61"/>
      <c r="AB3923" s="61"/>
      <c r="AC3923" s="61"/>
      <c r="AD3923" s="61"/>
      <c r="AE3923" s="61"/>
      <c r="AF3923" s="61"/>
      <c r="AG3923" s="61"/>
      <c r="AH3923" s="61"/>
      <c r="AI3923" s="61"/>
      <c r="AJ3923" s="61"/>
      <c r="AK3923" s="61"/>
      <c r="AL3923" s="61"/>
      <c r="AM3923" s="61"/>
      <c r="AN3923" s="61"/>
      <c r="AO3923" s="61"/>
    </row>
    <row r="3924" spans="1:41" s="135" customFormat="1" ht="31.5" x14ac:dyDescent="0.25">
      <c r="A3924" s="358"/>
      <c r="B3924" s="361"/>
      <c r="C3924" s="364"/>
      <c r="D3924" s="156" t="s">
        <v>394</v>
      </c>
      <c r="E3924" s="156" t="s">
        <v>22</v>
      </c>
      <c r="F3924" s="156" t="s">
        <v>22</v>
      </c>
      <c r="G3924" s="238">
        <f>MROUND(H3924*L3924*I3924/K3924,0.000001)</f>
        <v>16.539666999999998</v>
      </c>
      <c r="H3924" s="243">
        <f>$H$56</f>
        <v>25840</v>
      </c>
      <c r="I3924" s="159">
        <f t="shared" si="915"/>
        <v>1.6002E-4</v>
      </c>
      <c r="J3924" s="160"/>
      <c r="K3924" s="161">
        <f>K3923</f>
        <v>3</v>
      </c>
      <c r="L3924" s="162">
        <v>12</v>
      </c>
      <c r="M3924" s="163" t="str">
        <f>CONCATENATE(H3924," ",F3924,"(обрабатываемая площадь в мес.)","*",L3924,"мес.","*",I3924,"/",K3924,"чел.")</f>
        <v>25840 м2(обрабатываемая площадь в мес.)*12мес.*0,00016002/3чел.</v>
      </c>
      <c r="N3924" s="164">
        <f>$N$3444</f>
        <v>0.57007004643962855</v>
      </c>
      <c r="O3924" s="165">
        <f t="shared" si="926"/>
        <v>9.4287689999999991</v>
      </c>
      <c r="P3924" s="166"/>
      <c r="Q3924" s="166">
        <f t="shared" si="927"/>
        <v>28.286306999999997</v>
      </c>
      <c r="R3924" s="71"/>
      <c r="S3924" s="61"/>
      <c r="T3924" s="61"/>
      <c r="U3924" s="61"/>
      <c r="V3924" s="61"/>
      <c r="W3924" s="61"/>
      <c r="X3924" s="61"/>
      <c r="Y3924" s="61"/>
      <c r="Z3924" s="61"/>
      <c r="AA3924" s="61"/>
      <c r="AB3924" s="61"/>
      <c r="AC3924" s="61"/>
      <c r="AD3924" s="61"/>
      <c r="AE3924" s="61"/>
      <c r="AF3924" s="61"/>
      <c r="AG3924" s="61"/>
      <c r="AH3924" s="61"/>
      <c r="AI3924" s="61"/>
      <c r="AJ3924" s="61"/>
      <c r="AK3924" s="61"/>
      <c r="AL3924" s="61"/>
      <c r="AM3924" s="61"/>
      <c r="AN3924" s="61"/>
      <c r="AO3924" s="61"/>
    </row>
    <row r="3925" spans="1:41" s="135" customFormat="1" ht="31.5" x14ac:dyDescent="0.25">
      <c r="A3925" s="358"/>
      <c r="B3925" s="361"/>
      <c r="C3925" s="364"/>
      <c r="D3925" s="156" t="s">
        <v>395</v>
      </c>
      <c r="E3925" s="156" t="s">
        <v>98</v>
      </c>
      <c r="F3925" s="156" t="s">
        <v>98</v>
      </c>
      <c r="G3925" s="238">
        <f>MROUND(H3925*L3925*I3925/K3925,0.0000000001)</f>
        <v>1.0102596000000001E-3</v>
      </c>
      <c r="H3925" s="242">
        <f>$H$57</f>
        <v>18.939999999999998</v>
      </c>
      <c r="I3925" s="159">
        <f t="shared" si="915"/>
        <v>1.6002E-4</v>
      </c>
      <c r="J3925" s="160"/>
      <c r="K3925" s="161">
        <f>K3924</f>
        <v>3</v>
      </c>
      <c r="L3925" s="162">
        <v>1</v>
      </c>
      <c r="M3925" s="163" t="str">
        <f>CONCATENATE(H3925," ",F3925,"(обрабатываемая площадь в год)","*",L3925," раз в год","*",I3925,"/",K3925,"чел.")</f>
        <v>18,94 Га(обрабатываемая площадь в год)*1 раз в год*0,00016002/3чел.</v>
      </c>
      <c r="N3925" s="164">
        <f>$N$57</f>
        <v>545</v>
      </c>
      <c r="O3925" s="165">
        <f t="shared" si="926"/>
        <v>0.55059099999999994</v>
      </c>
      <c r="P3925" s="166"/>
      <c r="Q3925" s="166">
        <f t="shared" si="927"/>
        <v>1.6517729999999999</v>
      </c>
      <c r="R3925" s="71"/>
      <c r="S3925" s="61"/>
      <c r="T3925" s="61"/>
      <c r="U3925" s="61"/>
      <c r="V3925" s="61"/>
      <c r="W3925" s="61"/>
      <c r="X3925" s="61"/>
      <c r="Y3925" s="61"/>
      <c r="Z3925" s="61"/>
      <c r="AA3925" s="61"/>
      <c r="AB3925" s="61"/>
      <c r="AC3925" s="61"/>
      <c r="AD3925" s="61"/>
      <c r="AE3925" s="61"/>
      <c r="AF3925" s="61"/>
      <c r="AG3925" s="61"/>
      <c r="AH3925" s="61"/>
      <c r="AI3925" s="61"/>
      <c r="AJ3925" s="61"/>
      <c r="AK3925" s="61"/>
      <c r="AL3925" s="61"/>
      <c r="AM3925" s="61"/>
      <c r="AN3925" s="61"/>
      <c r="AO3925" s="61"/>
    </row>
    <row r="3926" spans="1:41" s="61" customFormat="1" ht="31.5" x14ac:dyDescent="0.25">
      <c r="A3926" s="358"/>
      <c r="B3926" s="361"/>
      <c r="C3926" s="364"/>
      <c r="D3926" s="156" t="s">
        <v>97</v>
      </c>
      <c r="E3926" s="156" t="s">
        <v>98</v>
      </c>
      <c r="F3926" s="156" t="s">
        <v>98</v>
      </c>
      <c r="G3926" s="238">
        <f>MROUND(H3926*L3926*I3926/K3926,0.0000000001)</f>
        <v>1.0102596000000001E-3</v>
      </c>
      <c r="H3926" s="242">
        <f>H3446</f>
        <v>18.939999999999998</v>
      </c>
      <c r="I3926" s="244">
        <f>I3922</f>
        <v>1.6002E-4</v>
      </c>
      <c r="J3926" s="160"/>
      <c r="K3926" s="161">
        <f>K3922</f>
        <v>3</v>
      </c>
      <c r="L3926" s="250">
        <v>1</v>
      </c>
      <c r="M3926" s="163" t="str">
        <f>CONCATENATE(H3926," ",F3926,"(обрабатываемая площадь в мес.)","*",L3926,"мес.","*",I3926,"/",K3926,"чел.")</f>
        <v>18,94 Га(обрабатываемая площадь в мес.)*1мес.*0,00016002/3чел.</v>
      </c>
      <c r="N3926" s="164">
        <f>N3446</f>
        <v>3102.4186906018999</v>
      </c>
      <c r="O3926" s="165">
        <f t="shared" si="926"/>
        <v>3.1342479999999999</v>
      </c>
      <c r="P3926" s="166"/>
      <c r="Q3926" s="166">
        <f t="shared" si="927"/>
        <v>9.4027440000000002</v>
      </c>
      <c r="R3926" s="71"/>
    </row>
    <row r="3927" spans="1:41" s="61" customFormat="1" x14ac:dyDescent="0.25">
      <c r="A3927" s="358"/>
      <c r="B3927" s="361"/>
      <c r="C3927" s="245" t="s">
        <v>303</v>
      </c>
      <c r="D3927" s="240"/>
      <c r="E3927" s="240"/>
      <c r="F3927" s="240"/>
      <c r="G3927" s="227"/>
      <c r="H3927" s="241"/>
      <c r="I3927" s="206"/>
      <c r="J3927" s="228"/>
      <c r="K3927" s="207"/>
      <c r="L3927" s="257"/>
      <c r="M3927" s="209"/>
      <c r="N3927" s="210"/>
      <c r="O3927" s="198">
        <f>SUM(O3921:O3926)</f>
        <v>90.691423</v>
      </c>
      <c r="P3927" s="166"/>
      <c r="Q3927" s="166"/>
      <c r="R3927" s="71"/>
    </row>
    <row r="3928" spans="1:41" s="61" customFormat="1" ht="63" x14ac:dyDescent="0.25">
      <c r="A3928" s="358"/>
      <c r="B3928" s="361"/>
      <c r="C3928" s="365" t="s">
        <v>77</v>
      </c>
      <c r="D3928" s="156" t="s">
        <v>29</v>
      </c>
      <c r="E3928" s="156" t="s">
        <v>58</v>
      </c>
      <c r="F3928" s="156" t="s">
        <v>218</v>
      </c>
      <c r="G3928" s="238">
        <f>MROUND(H3928*L3928*I3928/K3928,0.00000001)</f>
        <v>3.2003999999999999E-3</v>
      </c>
      <c r="H3928" s="158">
        <v>15</v>
      </c>
      <c r="I3928" s="159">
        <f>I3926</f>
        <v>1.6002E-4</v>
      </c>
      <c r="J3928" s="160"/>
      <c r="K3928" s="161">
        <f>K3926</f>
        <v>3</v>
      </c>
      <c r="L3928" s="162">
        <v>4</v>
      </c>
      <c r="M3928" s="163" t="str">
        <f>CONCATENATE(H3928," ",F3928,"*",L3928," раза в год","*",I3928,"/",K3928,"чел.")</f>
        <v>15 установок*4 раза в год*0,00016002/3чел.</v>
      </c>
      <c r="N3928" s="164">
        <f t="shared" ref="N3928:N3941" si="928">N3448</f>
        <v>2264.8651666666669</v>
      </c>
      <c r="O3928" s="165">
        <f t="shared" ref="O3928:O3936" si="929">MROUND(G3928*N3928,0.000001)</f>
        <v>7.2484739999999999</v>
      </c>
      <c r="P3928" s="166"/>
      <c r="Q3928" s="166">
        <f t="shared" ref="Q3928:Q3943" si="930">O3928*K3928</f>
        <v>21.745421999999998</v>
      </c>
      <c r="R3928" s="71"/>
    </row>
    <row r="3929" spans="1:41" s="61" customFormat="1" ht="47.25" x14ac:dyDescent="0.25">
      <c r="A3929" s="358"/>
      <c r="B3929" s="361"/>
      <c r="C3929" s="366"/>
      <c r="D3929" s="156" t="s">
        <v>30</v>
      </c>
      <c r="E3929" s="156" t="s">
        <v>58</v>
      </c>
      <c r="F3929" s="156" t="s">
        <v>218</v>
      </c>
      <c r="G3929" s="238">
        <f>MROUND(H3929*L3929*I3929/K3929,0.00000001)</f>
        <v>1.6002E-3</v>
      </c>
      <c r="H3929" s="158">
        <v>15</v>
      </c>
      <c r="I3929" s="159">
        <f t="shared" si="915"/>
        <v>1.6002E-4</v>
      </c>
      <c r="J3929" s="160"/>
      <c r="K3929" s="161">
        <f t="shared" ref="K3929:K3937" si="931">K3928</f>
        <v>3</v>
      </c>
      <c r="L3929" s="250">
        <v>2</v>
      </c>
      <c r="M3929" s="163" t="str">
        <f>CONCATENATE(H3929," ",F3929,"*",L3929,"полуг.","*",I3929,"/",K3929,"чел.")</f>
        <v>15 установок*2полуг.*0,00016002/3чел.</v>
      </c>
      <c r="N3929" s="164">
        <f t="shared" si="928"/>
        <v>4529.7303333333339</v>
      </c>
      <c r="O3929" s="165">
        <f t="shared" si="929"/>
        <v>7.2484739999999999</v>
      </c>
      <c r="P3929" s="166"/>
      <c r="Q3929" s="166">
        <f t="shared" si="930"/>
        <v>21.745421999999998</v>
      </c>
      <c r="R3929" s="71"/>
    </row>
    <row r="3930" spans="1:41" s="61" customFormat="1" ht="31.5" x14ac:dyDescent="0.25">
      <c r="A3930" s="358"/>
      <c r="B3930" s="361"/>
      <c r="C3930" s="366"/>
      <c r="D3930" s="156" t="s">
        <v>397</v>
      </c>
      <c r="E3930" s="156" t="s">
        <v>433</v>
      </c>
      <c r="F3930" s="156" t="s">
        <v>433</v>
      </c>
      <c r="G3930" s="238">
        <f>MROUND(H3930*L3930*I3930/K3930,0.000001)</f>
        <v>1.6001999999999999E-2</v>
      </c>
      <c r="H3930" s="158">
        <f>H3450</f>
        <v>300</v>
      </c>
      <c r="I3930" s="159">
        <f t="shared" si="915"/>
        <v>1.6002E-4</v>
      </c>
      <c r="J3930" s="160"/>
      <c r="K3930" s="161">
        <f t="shared" si="931"/>
        <v>3</v>
      </c>
      <c r="L3930" s="162">
        <v>1</v>
      </c>
      <c r="M3930" s="163" t="str">
        <f>CONCATENATE(H3930," ",F3930,"(обрабатываемая площадь в год)","*",L3930," раз в год","*",I3930,"/",K3930,"чел.")</f>
        <v>300 м2.(обрабатываемая площадь в год)*1 раз в год*0,00016002/3чел.</v>
      </c>
      <c r="N3930" s="164">
        <f t="shared" si="928"/>
        <v>300</v>
      </c>
      <c r="O3930" s="165">
        <f t="shared" si="929"/>
        <v>4.8006000000000002</v>
      </c>
      <c r="P3930" s="166"/>
      <c r="Q3930" s="166">
        <f t="shared" si="930"/>
        <v>14.401800000000001</v>
      </c>
      <c r="R3930" s="71"/>
    </row>
    <row r="3931" spans="1:41" s="61" customFormat="1" ht="47.25" x14ac:dyDescent="0.25">
      <c r="A3931" s="358"/>
      <c r="B3931" s="361"/>
      <c r="C3931" s="366"/>
      <c r="D3931" s="156" t="s">
        <v>32</v>
      </c>
      <c r="E3931" s="156" t="s">
        <v>55</v>
      </c>
      <c r="F3931" s="156" t="s">
        <v>219</v>
      </c>
      <c r="G3931" s="238">
        <f>MROUND(H3931*L3931*I3931/K3931,0.000000001)</f>
        <v>7.6809600000000006E-3</v>
      </c>
      <c r="H3931" s="158">
        <f>H3451</f>
        <v>36</v>
      </c>
      <c r="I3931" s="159">
        <f>I3930</f>
        <v>1.6002E-4</v>
      </c>
      <c r="J3931" s="160"/>
      <c r="K3931" s="161">
        <f t="shared" si="931"/>
        <v>3</v>
      </c>
      <c r="L3931" s="250">
        <v>4</v>
      </c>
      <c r="M3931" s="163" t="str">
        <f>CONCATENATE(H3931," ",F3931,"*",L3931,"кв.","*",I3931,"/",K3931,"чел.")</f>
        <v>36 системы*4кв.*0,00016002/3чел.</v>
      </c>
      <c r="N3931" s="164">
        <f t="shared" si="928"/>
        <v>7243.0565277777823</v>
      </c>
      <c r="O3931" s="165">
        <f t="shared" si="929"/>
        <v>55.633626999999997</v>
      </c>
      <c r="P3931" s="166"/>
      <c r="Q3931" s="166">
        <f t="shared" si="930"/>
        <v>166.900881</v>
      </c>
      <c r="R3931" s="71"/>
    </row>
    <row r="3932" spans="1:41" s="61" customFormat="1" ht="63" x14ac:dyDescent="0.25">
      <c r="A3932" s="358"/>
      <c r="B3932" s="361"/>
      <c r="C3932" s="366"/>
      <c r="D3932" s="156" t="s">
        <v>33</v>
      </c>
      <c r="E3932" s="156" t="s">
        <v>56</v>
      </c>
      <c r="F3932" s="156" t="s">
        <v>220</v>
      </c>
      <c r="G3932" s="238">
        <f>MROUND(H3932*L3932*I3932/K3932,0.000000001)</f>
        <v>1.9202400000000001E-3</v>
      </c>
      <c r="H3932" s="158">
        <f>$H$64</f>
        <v>36</v>
      </c>
      <c r="I3932" s="159">
        <f>I3931</f>
        <v>1.6002E-4</v>
      </c>
      <c r="J3932" s="160"/>
      <c r="K3932" s="161">
        <f t="shared" si="931"/>
        <v>3</v>
      </c>
      <c r="L3932" s="162">
        <v>1</v>
      </c>
      <c r="M3932" s="163" t="str">
        <f>CONCATENATE(H3932," ",F3932,"*",L3932," раз в год","*",I3932,"/",K3932,"чел.")</f>
        <v>36 дымоходов*1 раз в год*0,00016002/3чел.</v>
      </c>
      <c r="N3932" s="164">
        <f t="shared" si="928"/>
        <v>7030.863333333331</v>
      </c>
      <c r="O3932" s="165">
        <f t="shared" si="929"/>
        <v>13.500945</v>
      </c>
      <c r="P3932" s="166"/>
      <c r="Q3932" s="166">
        <f t="shared" si="930"/>
        <v>40.502834999999997</v>
      </c>
      <c r="R3932" s="71"/>
    </row>
    <row r="3933" spans="1:41" s="61" customFormat="1" x14ac:dyDescent="0.25">
      <c r="A3933" s="358"/>
      <c r="B3933" s="361"/>
      <c r="C3933" s="366"/>
      <c r="D3933" s="194" t="s">
        <v>398</v>
      </c>
      <c r="E3933" s="156" t="s">
        <v>60</v>
      </c>
      <c r="F3933" s="156" t="s">
        <v>60</v>
      </c>
      <c r="G3933" s="238">
        <f>MROUND(H3933*L3933*I3933/K3933,0.000000001)</f>
        <v>1.8669000000000001E-3</v>
      </c>
      <c r="H3933" s="246">
        <f t="shared" ref="H3933:H3943" si="932">H3453</f>
        <v>35</v>
      </c>
      <c r="I3933" s="159">
        <f t="shared" si="915"/>
        <v>1.6002E-4</v>
      </c>
      <c r="J3933" s="160"/>
      <c r="K3933" s="161">
        <f t="shared" si="931"/>
        <v>3</v>
      </c>
      <c r="L3933" s="250">
        <v>1</v>
      </c>
      <c r="M3933" s="163" t="str">
        <f>CONCATENATE(H3933," ",F3933,"*",I3933,"/",K3933,"чел.")</f>
        <v>35 шт.*0,00016002/3чел.</v>
      </c>
      <c r="N3933" s="164">
        <f t="shared" si="928"/>
        <v>12173.433428571419</v>
      </c>
      <c r="O3933" s="165">
        <f t="shared" si="929"/>
        <v>22.726582999999998</v>
      </c>
      <c r="P3933" s="166"/>
      <c r="Q3933" s="166">
        <f t="shared" si="930"/>
        <v>68.179748999999987</v>
      </c>
      <c r="R3933" s="71"/>
    </row>
    <row r="3934" spans="1:41" s="61" customFormat="1" ht="47.25" x14ac:dyDescent="0.25">
      <c r="A3934" s="358"/>
      <c r="B3934" s="361"/>
      <c r="C3934" s="366"/>
      <c r="D3934" s="156" t="s">
        <v>401</v>
      </c>
      <c r="E3934" s="156" t="s">
        <v>60</v>
      </c>
      <c r="F3934" s="156" t="s">
        <v>402</v>
      </c>
      <c r="G3934" s="238">
        <f>MROUND(H3934*L3934*I3934/K3934,0.000001)</f>
        <v>3.7339999999999999E-3</v>
      </c>
      <c r="H3934" s="246">
        <f t="shared" si="932"/>
        <v>35</v>
      </c>
      <c r="I3934" s="159">
        <f t="shared" si="915"/>
        <v>1.6002E-4</v>
      </c>
      <c r="J3934" s="160"/>
      <c r="K3934" s="161">
        <f t="shared" si="931"/>
        <v>3</v>
      </c>
      <c r="L3934" s="162">
        <v>2</v>
      </c>
      <c r="M3934" s="163" t="str">
        <f>CONCATENATE(H3934," ",F3934,"*",L3934," раз в год","*",I3934,"/",K3934,"чел.")</f>
        <v>35 противопожарных водопроводов*2 раз в год*0,00016002/3чел.</v>
      </c>
      <c r="N3934" s="164">
        <f t="shared" si="928"/>
        <v>5700.7000000000025</v>
      </c>
      <c r="O3934" s="165">
        <f t="shared" si="929"/>
        <v>21.286414000000001</v>
      </c>
      <c r="P3934" s="166"/>
      <c r="Q3934" s="166">
        <f t="shared" si="930"/>
        <v>63.859242000000002</v>
      </c>
      <c r="R3934" s="71"/>
    </row>
    <row r="3935" spans="1:41" s="61" customFormat="1" ht="31.5" x14ac:dyDescent="0.25">
      <c r="A3935" s="358"/>
      <c r="B3935" s="361"/>
      <c r="C3935" s="366"/>
      <c r="D3935" s="156" t="s">
        <v>221</v>
      </c>
      <c r="E3935" s="156" t="s">
        <v>60</v>
      </c>
      <c r="F3935" s="156" t="s">
        <v>60</v>
      </c>
      <c r="G3935" s="238">
        <f>MROUND(H3935*L3935*I3935/K3935,0.00000001)</f>
        <v>1.1521440000000001E-2</v>
      </c>
      <c r="H3935" s="158">
        <f t="shared" si="932"/>
        <v>18</v>
      </c>
      <c r="I3935" s="159">
        <f t="shared" si="915"/>
        <v>1.6002E-4</v>
      </c>
      <c r="J3935" s="160"/>
      <c r="K3935" s="161">
        <f t="shared" si="931"/>
        <v>3</v>
      </c>
      <c r="L3935" s="250">
        <v>12</v>
      </c>
      <c r="M3935" s="163" t="str">
        <f>CONCATENATE(H3935," ",F3935,"*",L3935,"мес.","*",I3935,"/",K3935,"чел.")</f>
        <v>18 шт.*12мес.*0,00016002/3чел.</v>
      </c>
      <c r="N3935" s="164">
        <f t="shared" si="928"/>
        <v>6577.3408796296308</v>
      </c>
      <c r="O3935" s="165">
        <f t="shared" si="929"/>
        <v>75.78043799999999</v>
      </c>
      <c r="P3935" s="166"/>
      <c r="Q3935" s="166">
        <f t="shared" si="930"/>
        <v>227.34131399999995</v>
      </c>
      <c r="R3935" s="71"/>
    </row>
    <row r="3936" spans="1:41" s="61" customFormat="1" ht="47.25" x14ac:dyDescent="0.25">
      <c r="A3936" s="358"/>
      <c r="B3936" s="361"/>
      <c r="C3936" s="366"/>
      <c r="D3936" s="156" t="s">
        <v>34</v>
      </c>
      <c r="E3936" s="156" t="s">
        <v>59</v>
      </c>
      <c r="F3936" s="156" t="s">
        <v>28</v>
      </c>
      <c r="G3936" s="238">
        <f>MROUND(H3936*L3936*I3936/K3936,0.0000000001)</f>
        <v>1.0668E-4</v>
      </c>
      <c r="H3936" s="158">
        <f t="shared" si="932"/>
        <v>2</v>
      </c>
      <c r="I3936" s="159">
        <f t="shared" si="915"/>
        <v>1.6002E-4</v>
      </c>
      <c r="J3936" s="160"/>
      <c r="K3936" s="161">
        <f t="shared" si="931"/>
        <v>3</v>
      </c>
      <c r="L3936" s="250">
        <v>1</v>
      </c>
      <c r="M3936" s="163" t="str">
        <f>CONCATENATE(H3936," ",F3936,"*",I3936,"/",K3936,"чел.")</f>
        <v>2 шт*0,00016002/3чел.</v>
      </c>
      <c r="N3936" s="164">
        <f t="shared" si="928"/>
        <v>7845</v>
      </c>
      <c r="O3936" s="165">
        <f t="shared" si="929"/>
        <v>0.83690500000000001</v>
      </c>
      <c r="P3936" s="166"/>
      <c r="Q3936" s="166">
        <f t="shared" si="930"/>
        <v>2.5107150000000003</v>
      </c>
      <c r="R3936" s="71"/>
    </row>
    <row r="3937" spans="1:18" s="61" customFormat="1" ht="47.25" x14ac:dyDescent="0.25">
      <c r="A3937" s="358"/>
      <c r="B3937" s="361"/>
      <c r="C3937" s="366"/>
      <c r="D3937" s="156" t="s">
        <v>222</v>
      </c>
      <c r="E3937" s="156" t="s">
        <v>60</v>
      </c>
      <c r="F3937" s="156" t="s">
        <v>60</v>
      </c>
      <c r="G3937" s="238">
        <f>MROUND(H3937*L3937*I3937/K3937,0.00000000001)</f>
        <v>2.6669999999999998E-4</v>
      </c>
      <c r="H3937" s="248">
        <f t="shared" si="932"/>
        <v>5</v>
      </c>
      <c r="I3937" s="159">
        <f t="shared" si="915"/>
        <v>1.6002E-4</v>
      </c>
      <c r="J3937" s="160"/>
      <c r="K3937" s="161">
        <f t="shared" si="931"/>
        <v>3</v>
      </c>
      <c r="L3937" s="250">
        <v>1</v>
      </c>
      <c r="M3937" s="163" t="str">
        <f>CONCATENATE(H3937," ",F3937,"*",I3937,"/",K3937,"чел.")</f>
        <v>5 шт.*0,00016002/3чел.</v>
      </c>
      <c r="N3937" s="164">
        <f t="shared" si="928"/>
        <v>43857.106</v>
      </c>
      <c r="O3937" s="165">
        <f>MROUND(G3937*N3937,0.00000001)</f>
        <v>11.69669017</v>
      </c>
      <c r="P3937" s="166"/>
      <c r="Q3937" s="166">
        <f t="shared" si="930"/>
        <v>35.090070510000004</v>
      </c>
      <c r="R3937" s="71"/>
    </row>
    <row r="3938" spans="1:18" s="61" customFormat="1" ht="31.5" x14ac:dyDescent="0.25">
      <c r="A3938" s="358"/>
      <c r="B3938" s="361"/>
      <c r="C3938" s="366"/>
      <c r="D3938" s="156" t="s">
        <v>35</v>
      </c>
      <c r="E3938" s="156" t="s">
        <v>102</v>
      </c>
      <c r="F3938" s="156" t="s">
        <v>223</v>
      </c>
      <c r="G3938" s="238">
        <f>MROUND(H3938*L3938*I3938/K3938,0.00000001)</f>
        <v>1.8669000000000001E-3</v>
      </c>
      <c r="H3938" s="158">
        <f t="shared" si="932"/>
        <v>35</v>
      </c>
      <c r="I3938" s="159">
        <f>I3936</f>
        <v>1.6002E-4</v>
      </c>
      <c r="J3938" s="160"/>
      <c r="K3938" s="161">
        <f>K3936</f>
        <v>3</v>
      </c>
      <c r="L3938" s="250">
        <v>1</v>
      </c>
      <c r="M3938" s="163" t="str">
        <f>CONCATENATE(H3938," ",F3938,"*",I3938,"/",K3938,"чел.")</f>
        <v>35 замеров*0,00016002/3чел.</v>
      </c>
      <c r="N3938" s="164">
        <f t="shared" si="928"/>
        <v>26428.571428571428</v>
      </c>
      <c r="O3938" s="165">
        <f t="shared" ref="O3938:O3943" si="933">MROUND(G3938*N3938,0.000001)</f>
        <v>49.339500000000001</v>
      </c>
      <c r="P3938" s="166"/>
      <c r="Q3938" s="166">
        <f t="shared" si="930"/>
        <v>148.01850000000002</v>
      </c>
      <c r="R3938" s="71"/>
    </row>
    <row r="3939" spans="1:18" s="61" customFormat="1" ht="47.25" x14ac:dyDescent="0.25">
      <c r="A3939" s="358"/>
      <c r="B3939" s="361"/>
      <c r="C3939" s="366"/>
      <c r="D3939" s="156" t="s">
        <v>399</v>
      </c>
      <c r="E3939" s="156" t="s">
        <v>60</v>
      </c>
      <c r="F3939" s="156" t="s">
        <v>60</v>
      </c>
      <c r="G3939" s="238">
        <f>MROUND(H3939*L3939*I3939/K3939,0.000000001)</f>
        <v>1.8669000000000002E-2</v>
      </c>
      <c r="H3939" s="158">
        <f t="shared" si="932"/>
        <v>35</v>
      </c>
      <c r="I3939" s="159">
        <f t="shared" si="915"/>
        <v>1.6002E-4</v>
      </c>
      <c r="J3939" s="160"/>
      <c r="K3939" s="161">
        <f>K3938</f>
        <v>3</v>
      </c>
      <c r="L3939" s="250">
        <v>10</v>
      </c>
      <c r="M3939" s="163" t="str">
        <f>CONCATENATE(H3939," ",F3939,"*",L3939,"мес.","*",I3939,"/",K3939,"чел.")</f>
        <v>35 шт.*10мес.*0,00016002/3чел.</v>
      </c>
      <c r="N3939" s="164">
        <f t="shared" si="928"/>
        <v>3250.866542857143</v>
      </c>
      <c r="O3939" s="165">
        <f t="shared" si="933"/>
        <v>60.690427</v>
      </c>
      <c r="P3939" s="166"/>
      <c r="Q3939" s="166">
        <f t="shared" si="930"/>
        <v>182.071281</v>
      </c>
      <c r="R3939" s="71"/>
    </row>
    <row r="3940" spans="1:18" s="61" customFormat="1" ht="47.25" x14ac:dyDescent="0.25">
      <c r="A3940" s="358"/>
      <c r="B3940" s="361"/>
      <c r="C3940" s="366"/>
      <c r="D3940" s="156" t="s">
        <v>36</v>
      </c>
      <c r="E3940" s="156" t="s">
        <v>31</v>
      </c>
      <c r="F3940" s="156" t="s">
        <v>224</v>
      </c>
      <c r="G3940" s="238">
        <f>MROUND(H3940*L3940*I3940/K3940,0.00000001)</f>
        <v>2.3042880000000002E-2</v>
      </c>
      <c r="H3940" s="158">
        <f t="shared" si="932"/>
        <v>36</v>
      </c>
      <c r="I3940" s="159">
        <f t="shared" si="915"/>
        <v>1.6002E-4</v>
      </c>
      <c r="J3940" s="160"/>
      <c r="K3940" s="161">
        <f>K3939</f>
        <v>3</v>
      </c>
      <c r="L3940" s="250">
        <v>12</v>
      </c>
      <c r="M3940" s="163" t="str">
        <f>CONCATENATE(H3940," ",F3940,"*",L3940,"мес.","*",I3940,"/",K3940,"чел.")</f>
        <v>36 устройств*12мес.*0,00016002/3чел.</v>
      </c>
      <c r="N3940" s="164">
        <f t="shared" si="928"/>
        <v>2508.3083101851839</v>
      </c>
      <c r="O3940" s="165">
        <f t="shared" si="933"/>
        <v>57.798646999999995</v>
      </c>
      <c r="P3940" s="166"/>
      <c r="Q3940" s="166">
        <f t="shared" si="930"/>
        <v>173.39594099999999</v>
      </c>
      <c r="R3940" s="71"/>
    </row>
    <row r="3941" spans="1:18" s="61" customFormat="1" ht="31.5" x14ac:dyDescent="0.25">
      <c r="A3941" s="358"/>
      <c r="B3941" s="361"/>
      <c r="C3941" s="366"/>
      <c r="D3941" s="156" t="s">
        <v>99</v>
      </c>
      <c r="E3941" s="156" t="s">
        <v>103</v>
      </c>
      <c r="F3941" s="156" t="s">
        <v>225</v>
      </c>
      <c r="G3941" s="238">
        <f>MROUND(H3941*L3941*I3941/K3941,0.00000001)</f>
        <v>1.3335E-2</v>
      </c>
      <c r="H3941" s="158">
        <f t="shared" si="932"/>
        <v>250</v>
      </c>
      <c r="I3941" s="159">
        <f t="shared" si="915"/>
        <v>1.6002E-4</v>
      </c>
      <c r="J3941" s="160"/>
      <c r="K3941" s="161">
        <f>K3940</f>
        <v>3</v>
      </c>
      <c r="L3941" s="250">
        <v>1</v>
      </c>
      <c r="M3941" s="163" t="str">
        <f>CONCATENATE(H3941," ",F3941,"*",I3941,"/",K3941,"чел.")</f>
        <v>250 ед.*0,00016002/3чел.</v>
      </c>
      <c r="N3941" s="164">
        <f t="shared" si="928"/>
        <v>15000</v>
      </c>
      <c r="O3941" s="165">
        <f t="shared" si="933"/>
        <v>200.02499999999998</v>
      </c>
      <c r="P3941" s="166"/>
      <c r="Q3941" s="166">
        <f t="shared" si="930"/>
        <v>600.07499999999993</v>
      </c>
      <c r="R3941" s="71"/>
    </row>
    <row r="3942" spans="1:18" s="61" customFormat="1" x14ac:dyDescent="0.25">
      <c r="A3942" s="358"/>
      <c r="B3942" s="361"/>
      <c r="C3942" s="366"/>
      <c r="D3942" s="156" t="s">
        <v>27</v>
      </c>
      <c r="E3942" s="156" t="s">
        <v>28</v>
      </c>
      <c r="F3942" s="156" t="s">
        <v>28</v>
      </c>
      <c r="G3942" s="238">
        <f>MROUND(H3942*L3942*I3942/K3942,0.000000001)</f>
        <v>0.1938909</v>
      </c>
      <c r="H3942" s="160">
        <f t="shared" si="932"/>
        <v>3635</v>
      </c>
      <c r="I3942" s="159">
        <f t="shared" si="915"/>
        <v>1.6002E-4</v>
      </c>
      <c r="J3942" s="160"/>
      <c r="K3942" s="161">
        <f>K3941</f>
        <v>3</v>
      </c>
      <c r="L3942" s="250">
        <v>1</v>
      </c>
      <c r="M3942" s="163" t="str">
        <f>CONCATENATE(H3942," ",F3942,"*",I3942,"/",K3942,"чел.")</f>
        <v>3635 шт*0,00016002/3чел.</v>
      </c>
      <c r="N3942" s="164">
        <f>N3582</f>
        <v>418.4</v>
      </c>
      <c r="O3942" s="165">
        <f t="shared" si="933"/>
        <v>81.123953</v>
      </c>
      <c r="P3942" s="166"/>
      <c r="Q3942" s="166">
        <f t="shared" si="930"/>
        <v>243.371859</v>
      </c>
      <c r="R3942" s="71"/>
    </row>
    <row r="3943" spans="1:18" s="61" customFormat="1" ht="31.5" x14ac:dyDescent="0.25">
      <c r="A3943" s="358"/>
      <c r="B3943" s="361"/>
      <c r="C3943" s="367"/>
      <c r="D3943" s="156" t="s">
        <v>104</v>
      </c>
      <c r="E3943" s="156" t="s">
        <v>105</v>
      </c>
      <c r="F3943" s="156" t="s">
        <v>226</v>
      </c>
      <c r="G3943" s="238">
        <f>MROUND(H3943*L3943*I3943/K3943,0.00000001)</f>
        <v>1.9202400000000001E-3</v>
      </c>
      <c r="H3943" s="160">
        <f t="shared" si="932"/>
        <v>36</v>
      </c>
      <c r="I3943" s="159">
        <f t="shared" si="915"/>
        <v>1.6002E-4</v>
      </c>
      <c r="J3943" s="160"/>
      <c r="K3943" s="161">
        <f>K3942</f>
        <v>3</v>
      </c>
      <c r="L3943" s="250">
        <v>1</v>
      </c>
      <c r="M3943" s="163" t="str">
        <f>CONCATENATE(H3943," ",F3943,"*",I3943,"/",K3943,"чел.")</f>
        <v>36 отключений*0,00016002/3чел.</v>
      </c>
      <c r="N3943" s="164">
        <f>N3463</f>
        <v>10261.260000000004</v>
      </c>
      <c r="O3943" s="165">
        <f t="shared" si="933"/>
        <v>19.704082</v>
      </c>
      <c r="P3943" s="166"/>
      <c r="Q3943" s="166">
        <f t="shared" si="930"/>
        <v>59.112245999999999</v>
      </c>
      <c r="R3943" s="71"/>
    </row>
    <row r="3944" spans="1:18" s="61" customFormat="1" x14ac:dyDescent="0.25">
      <c r="A3944" s="358"/>
      <c r="B3944" s="361"/>
      <c r="C3944" s="249" t="s">
        <v>304</v>
      </c>
      <c r="D3944" s="240"/>
      <c r="E3944" s="240"/>
      <c r="F3944" s="240"/>
      <c r="G3944" s="227"/>
      <c r="H3944" s="228"/>
      <c r="I3944" s="206"/>
      <c r="J3944" s="228"/>
      <c r="K3944" s="207"/>
      <c r="L3944" s="257"/>
      <c r="M3944" s="209"/>
      <c r="N3944" s="210"/>
      <c r="O3944" s="198">
        <f>SUM(O3928:O3943)</f>
        <v>689.44075916999998</v>
      </c>
      <c r="P3944" s="166"/>
      <c r="Q3944" s="166"/>
      <c r="R3944" s="71"/>
    </row>
    <row r="3945" spans="1:18" s="61" customFormat="1" ht="31.5" x14ac:dyDescent="0.25">
      <c r="A3945" s="358"/>
      <c r="B3945" s="361"/>
      <c r="C3945" s="221" t="s">
        <v>79</v>
      </c>
      <c r="D3945" s="156" t="s">
        <v>37</v>
      </c>
      <c r="E3945" s="156" t="s">
        <v>61</v>
      </c>
      <c r="F3945" s="156" t="s">
        <v>227</v>
      </c>
      <c r="G3945" s="238">
        <f>MROUND(H3945*L3945*I3945/K3945,0.000000001)</f>
        <v>2.1336E-4</v>
      </c>
      <c r="H3945" s="158">
        <f>H3465</f>
        <v>4</v>
      </c>
      <c r="I3945" s="159">
        <f>I3943</f>
        <v>1.6002E-4</v>
      </c>
      <c r="J3945" s="160"/>
      <c r="K3945" s="161">
        <f>K3943</f>
        <v>3</v>
      </c>
      <c r="L3945" s="250">
        <v>1</v>
      </c>
      <c r="M3945" s="163" t="str">
        <f>CONCATENATE(H3945," ",F3945,"*",I3945,"/",K3945,"чел.")</f>
        <v>4 автобуса*0,00016002/3чел.</v>
      </c>
      <c r="N3945" s="164">
        <f>N3465</f>
        <v>36442.65</v>
      </c>
      <c r="O3945" s="165">
        <f>MROUND(G3945*N3945,0.000001)</f>
        <v>7.775404</v>
      </c>
      <c r="P3945" s="166"/>
      <c r="Q3945" s="166">
        <f t="shared" ref="Q3945" si="934">O3945*K3945</f>
        <v>23.326211999999998</v>
      </c>
      <c r="R3945" s="71"/>
    </row>
    <row r="3946" spans="1:18" s="61" customFormat="1" x14ac:dyDescent="0.25">
      <c r="A3946" s="358"/>
      <c r="B3946" s="361"/>
      <c r="C3946" s="218" t="s">
        <v>305</v>
      </c>
      <c r="D3946" s="240"/>
      <c r="E3946" s="240"/>
      <c r="F3946" s="240"/>
      <c r="G3946" s="227"/>
      <c r="H3946" s="241"/>
      <c r="I3946" s="206"/>
      <c r="J3946" s="228"/>
      <c r="K3946" s="207"/>
      <c r="L3946" s="257"/>
      <c r="M3946" s="209"/>
      <c r="N3946" s="210"/>
      <c r="O3946" s="198">
        <f>SUM(O3945)</f>
        <v>7.775404</v>
      </c>
      <c r="P3946" s="166"/>
      <c r="Q3946" s="166"/>
      <c r="R3946" s="71"/>
    </row>
    <row r="3947" spans="1:18" s="61" customFormat="1" x14ac:dyDescent="0.25">
      <c r="A3947" s="358"/>
      <c r="B3947" s="361"/>
      <c r="C3947" s="364" t="s">
        <v>80</v>
      </c>
      <c r="D3947" s="156" t="s">
        <v>38</v>
      </c>
      <c r="E3947" s="156" t="s">
        <v>57</v>
      </c>
      <c r="F3947" s="156" t="s">
        <v>228</v>
      </c>
      <c r="G3947" s="238">
        <f>MROUND(H3947*L3947*I3947/K3947,0.000000001)</f>
        <v>2.3042880000000002E-2</v>
      </c>
      <c r="H3947" s="158">
        <f>H3467</f>
        <v>36</v>
      </c>
      <c r="I3947" s="159">
        <f>I3945</f>
        <v>1.6002E-4</v>
      </c>
      <c r="J3947" s="160"/>
      <c r="K3947" s="161">
        <f>K3945</f>
        <v>3</v>
      </c>
      <c r="L3947" s="250">
        <v>12</v>
      </c>
      <c r="M3947" s="163" t="str">
        <f>CONCATENATE(H3947," ",F3947,"*",L3947,"мес.","*",I3947,"/",K3947,"чел.")</f>
        <v>36 зданий*12мес.*0,00016002/3чел.</v>
      </c>
      <c r="N3947" s="164">
        <f t="shared" ref="N3947:N3958" si="935">N3467</f>
        <v>4910.5833101851858</v>
      </c>
      <c r="O3947" s="165">
        <f>MROUND(G3947*N3947,0.000001)</f>
        <v>113.153982</v>
      </c>
      <c r="P3947" s="166"/>
      <c r="Q3947" s="166">
        <f t="shared" ref="Q3947:Q3960" si="936">O3947*K3947</f>
        <v>339.46194600000001</v>
      </c>
      <c r="R3947" s="71"/>
    </row>
    <row r="3948" spans="1:18" s="61" customFormat="1" ht="47.25" x14ac:dyDescent="0.25">
      <c r="A3948" s="358"/>
      <c r="B3948" s="361"/>
      <c r="C3948" s="364"/>
      <c r="D3948" s="156" t="s">
        <v>229</v>
      </c>
      <c r="E3948" s="156" t="s">
        <v>60</v>
      </c>
      <c r="F3948" s="156" t="s">
        <v>60</v>
      </c>
      <c r="G3948" s="238">
        <f>MROUND(H3948*L3948*I3948/K3948,0.000001)</f>
        <v>0.127696</v>
      </c>
      <c r="H3948" s="158">
        <f>H3468</f>
        <v>2394</v>
      </c>
      <c r="I3948" s="159">
        <f t="shared" si="915"/>
        <v>1.6002E-4</v>
      </c>
      <c r="J3948" s="160"/>
      <c r="K3948" s="161">
        <f>K3947</f>
        <v>3</v>
      </c>
      <c r="L3948" s="250">
        <v>1</v>
      </c>
      <c r="M3948" s="163" t="str">
        <f t="shared" ref="M3948:M3955" si="937">CONCATENATE(H3948," ",F3948,"*",I3948,"/",K3948,"чел.")</f>
        <v>2394 шт.*0,00016002/3чел.</v>
      </c>
      <c r="N3948" s="164">
        <f t="shared" si="935"/>
        <v>171.02101921470341</v>
      </c>
      <c r="O3948" s="165">
        <f>MROUND(G3948*N3948,0.000001)</f>
        <v>21.838699999999999</v>
      </c>
      <c r="P3948" s="166"/>
      <c r="Q3948" s="166">
        <f t="shared" si="936"/>
        <v>65.516099999999994</v>
      </c>
      <c r="R3948" s="71"/>
    </row>
    <row r="3949" spans="1:18" s="61" customFormat="1" ht="47.25" x14ac:dyDescent="0.25">
      <c r="A3949" s="358"/>
      <c r="B3949" s="361"/>
      <c r="C3949" s="364"/>
      <c r="D3949" s="156" t="s">
        <v>405</v>
      </c>
      <c r="E3949" s="156" t="s">
        <v>60</v>
      </c>
      <c r="F3949" s="156" t="s">
        <v>406</v>
      </c>
      <c r="G3949" s="238">
        <f>MROUND(H3949*L3949*I3949/K3949,0.00000001)</f>
        <v>1.9202400000000001E-3</v>
      </c>
      <c r="H3949" s="158">
        <f>H3709</f>
        <v>36</v>
      </c>
      <c r="I3949" s="159">
        <f t="shared" si="915"/>
        <v>1.6002E-4</v>
      </c>
      <c r="J3949" s="160"/>
      <c r="K3949" s="161">
        <f>K3948</f>
        <v>3</v>
      </c>
      <c r="L3949" s="250">
        <v>1</v>
      </c>
      <c r="M3949" s="163" t="str">
        <f t="shared" si="937"/>
        <v>36 лицензий*0,00016002/3чел.</v>
      </c>
      <c r="N3949" s="164">
        <f t="shared" si="935"/>
        <v>12541.539999999994</v>
      </c>
      <c r="O3949" s="165">
        <f t="shared" ref="O3949:O3958" si="938">MROUND(G3949*N3949,0.000001)</f>
        <v>24.082767</v>
      </c>
      <c r="P3949" s="166"/>
      <c r="Q3949" s="166">
        <f t="shared" si="936"/>
        <v>72.248300999999998</v>
      </c>
      <c r="R3949" s="71"/>
    </row>
    <row r="3950" spans="1:18" s="61" customFormat="1" ht="63" x14ac:dyDescent="0.25">
      <c r="A3950" s="358"/>
      <c r="B3950" s="361"/>
      <c r="C3950" s="364"/>
      <c r="D3950" s="156" t="s">
        <v>39</v>
      </c>
      <c r="E3950" s="156" t="s">
        <v>20</v>
      </c>
      <c r="F3950" s="156" t="s">
        <v>234</v>
      </c>
      <c r="G3950" s="238">
        <f>MROUND(H3950*L3950*I3950/K3950,0.000000001)</f>
        <v>6.2941200000000003E-3</v>
      </c>
      <c r="H3950" s="158">
        <f>H3470</f>
        <v>118</v>
      </c>
      <c r="I3950" s="159">
        <f>I3948</f>
        <v>1.6002E-4</v>
      </c>
      <c r="J3950" s="160"/>
      <c r="K3950" s="161">
        <f>K3948</f>
        <v>3</v>
      </c>
      <c r="L3950" s="250">
        <v>1</v>
      </c>
      <c r="M3950" s="163" t="str">
        <f t="shared" si="937"/>
        <v>118 чел(заявленная потребность руководителями учреждений)*0,00016002/3чел.</v>
      </c>
      <c r="N3950" s="164">
        <f t="shared" si="935"/>
        <v>798.09796610169519</v>
      </c>
      <c r="O3950" s="165">
        <f t="shared" si="938"/>
        <v>5.0233239999999997</v>
      </c>
      <c r="P3950" s="166"/>
      <c r="Q3950" s="166">
        <f t="shared" si="936"/>
        <v>15.069972</v>
      </c>
      <c r="R3950" s="71"/>
    </row>
    <row r="3951" spans="1:18" s="61" customFormat="1" ht="63" x14ac:dyDescent="0.25">
      <c r="A3951" s="358"/>
      <c r="B3951" s="361"/>
      <c r="C3951" s="364"/>
      <c r="D3951" s="156" t="s">
        <v>40</v>
      </c>
      <c r="E3951" s="156" t="s">
        <v>20</v>
      </c>
      <c r="F3951" s="156" t="s">
        <v>234</v>
      </c>
      <c r="G3951" s="238">
        <f>MROUND(H3951*L3951*I3951/K3951,0.000000001)</f>
        <v>5.1206400000000001E-3</v>
      </c>
      <c r="H3951" s="158">
        <f>H3471</f>
        <v>96</v>
      </c>
      <c r="I3951" s="159">
        <f t="shared" si="915"/>
        <v>1.6002E-4</v>
      </c>
      <c r="J3951" s="160"/>
      <c r="K3951" s="161">
        <f t="shared" ref="K3951:K3958" si="939">K3950</f>
        <v>3</v>
      </c>
      <c r="L3951" s="250">
        <v>1</v>
      </c>
      <c r="M3951" s="163" t="str">
        <f t="shared" si="937"/>
        <v>96 чел(заявленная потребность руководителями учреждений)*0,00016002/3чел.</v>
      </c>
      <c r="N3951" s="164">
        <f t="shared" si="935"/>
        <v>1710.2100000000007</v>
      </c>
      <c r="O3951" s="165">
        <f t="shared" si="938"/>
        <v>8.7573699999999999</v>
      </c>
      <c r="P3951" s="166"/>
      <c r="Q3951" s="166">
        <f t="shared" si="936"/>
        <v>26.272109999999998</v>
      </c>
      <c r="R3951" s="71"/>
    </row>
    <row r="3952" spans="1:18" s="61" customFormat="1" ht="63" x14ac:dyDescent="0.25">
      <c r="A3952" s="358"/>
      <c r="B3952" s="361"/>
      <c r="C3952" s="364"/>
      <c r="D3952" s="156" t="s">
        <v>100</v>
      </c>
      <c r="E3952" s="156" t="s">
        <v>20</v>
      </c>
      <c r="F3952" s="156" t="s">
        <v>234</v>
      </c>
      <c r="G3952" s="238">
        <f>MROUND(H3952*L3952*I3952/K3952,0.0000000001)</f>
        <v>4.3205400000000003E-3</v>
      </c>
      <c r="H3952" s="158">
        <f>H3472</f>
        <v>81</v>
      </c>
      <c r="I3952" s="159">
        <f t="shared" si="915"/>
        <v>1.6002E-4</v>
      </c>
      <c r="J3952" s="160"/>
      <c r="K3952" s="161">
        <f t="shared" si="939"/>
        <v>3</v>
      </c>
      <c r="L3952" s="250">
        <v>1</v>
      </c>
      <c r="M3952" s="163" t="str">
        <f t="shared" si="937"/>
        <v>81 чел(заявленная потребность руководителями учреждений)*0,00016002/3чел.</v>
      </c>
      <c r="N3952" s="164">
        <f t="shared" si="935"/>
        <v>3648.448148148148</v>
      </c>
      <c r="O3952" s="165">
        <f t="shared" si="938"/>
        <v>15.763266</v>
      </c>
      <c r="P3952" s="166"/>
      <c r="Q3952" s="166">
        <f t="shared" si="936"/>
        <v>47.289797999999998</v>
      </c>
      <c r="R3952" s="71"/>
    </row>
    <row r="3953" spans="1:18" s="61" customFormat="1" ht="110.25" x14ac:dyDescent="0.25">
      <c r="A3953" s="358"/>
      <c r="B3953" s="361"/>
      <c r="C3953" s="364"/>
      <c r="D3953" s="156" t="s">
        <v>235</v>
      </c>
      <c r="E3953" s="156" t="s">
        <v>50</v>
      </c>
      <c r="F3953" s="156" t="s">
        <v>230</v>
      </c>
      <c r="G3953" s="238">
        <f>MROUND(H3953*L3953*I3953/K3953,0.00000001)</f>
        <v>1.9202400000000001E-3</v>
      </c>
      <c r="H3953" s="158">
        <f>H3713</f>
        <v>36</v>
      </c>
      <c r="I3953" s="159">
        <f t="shared" si="915"/>
        <v>1.6002E-4</v>
      </c>
      <c r="J3953" s="160"/>
      <c r="K3953" s="161">
        <f t="shared" si="939"/>
        <v>3</v>
      </c>
      <c r="L3953" s="250">
        <v>1</v>
      </c>
      <c r="M3953" s="163" t="str">
        <f t="shared" si="937"/>
        <v>36 отчетов*0,00016002/3чел.</v>
      </c>
      <c r="N3953" s="164">
        <f t="shared" si="935"/>
        <v>6840.8399999999974</v>
      </c>
      <c r="O3953" s="165">
        <f t="shared" si="938"/>
        <v>13.136054999999999</v>
      </c>
      <c r="P3953" s="166"/>
      <c r="Q3953" s="166">
        <f t="shared" si="936"/>
        <v>39.408164999999997</v>
      </c>
      <c r="R3953" s="71"/>
    </row>
    <row r="3954" spans="1:18" s="61" customFormat="1" ht="63" x14ac:dyDescent="0.25">
      <c r="A3954" s="358"/>
      <c r="B3954" s="361"/>
      <c r="C3954" s="364"/>
      <c r="D3954" s="156" t="s">
        <v>42</v>
      </c>
      <c r="E3954" s="156" t="s">
        <v>51</v>
      </c>
      <c r="F3954" s="156" t="s">
        <v>407</v>
      </c>
      <c r="G3954" s="238">
        <f>MROUND(H3954*L3954*I3954/K3954,0.000001)</f>
        <v>1.0881E-2</v>
      </c>
      <c r="H3954" s="158">
        <f>H3474</f>
        <v>204</v>
      </c>
      <c r="I3954" s="159">
        <f t="shared" si="915"/>
        <v>1.6002E-4</v>
      </c>
      <c r="J3954" s="160"/>
      <c r="K3954" s="161">
        <f t="shared" si="939"/>
        <v>3</v>
      </c>
      <c r="L3954" s="250">
        <v>1</v>
      </c>
      <c r="M3954" s="163" t="str">
        <f t="shared" si="937"/>
        <v>204 ед (заявленная потребность руководителями учреждений)*0,00016002/3чел.</v>
      </c>
      <c r="N3954" s="164">
        <f t="shared" si="935"/>
        <v>1140.1400000000001</v>
      </c>
      <c r="O3954" s="165">
        <f t="shared" si="938"/>
        <v>12.405863</v>
      </c>
      <c r="P3954" s="166"/>
      <c r="Q3954" s="166">
        <f t="shared" si="936"/>
        <v>37.217589000000004</v>
      </c>
      <c r="R3954" s="71"/>
    </row>
    <row r="3955" spans="1:18" s="61" customFormat="1" ht="31.5" x14ac:dyDescent="0.25">
      <c r="A3955" s="358"/>
      <c r="B3955" s="361"/>
      <c r="C3955" s="364"/>
      <c r="D3955" s="156" t="s">
        <v>43</v>
      </c>
      <c r="E3955" s="156" t="s">
        <v>52</v>
      </c>
      <c r="F3955" s="156" t="s">
        <v>231</v>
      </c>
      <c r="G3955" s="238">
        <f>MROUND(H3955*L3955*I3955/K3955,0.000000001)</f>
        <v>1.9202400000000001E-3</v>
      </c>
      <c r="H3955" s="158">
        <f>H3475</f>
        <v>36</v>
      </c>
      <c r="I3955" s="159">
        <f t="shared" ref="I3955:I3958" si="940">I3954</f>
        <v>1.6002E-4</v>
      </c>
      <c r="J3955" s="160"/>
      <c r="K3955" s="161">
        <f t="shared" si="939"/>
        <v>3</v>
      </c>
      <c r="L3955" s="250">
        <v>1</v>
      </c>
      <c r="M3955" s="163" t="str">
        <f t="shared" si="937"/>
        <v>36 ЭЦП*0,00016002/3чел.</v>
      </c>
      <c r="N3955" s="164">
        <f t="shared" si="935"/>
        <v>8099.5499999999947</v>
      </c>
      <c r="O3955" s="165">
        <f t="shared" si="938"/>
        <v>15.55308</v>
      </c>
      <c r="P3955" s="166"/>
      <c r="Q3955" s="166">
        <f t="shared" si="936"/>
        <v>46.659239999999997</v>
      </c>
      <c r="R3955" s="71"/>
    </row>
    <row r="3956" spans="1:18" s="61" customFormat="1" ht="47.25" x14ac:dyDescent="0.25">
      <c r="A3956" s="358"/>
      <c r="B3956" s="361"/>
      <c r="C3956" s="364"/>
      <c r="D3956" s="156" t="s">
        <v>44</v>
      </c>
      <c r="E3956" s="156" t="s">
        <v>85</v>
      </c>
      <c r="F3956" s="156" t="s">
        <v>232</v>
      </c>
      <c r="G3956" s="238">
        <f>MROUND(H3956*L3956*I3956/K3956,0.000001)</f>
        <v>6.4861000000000002E-2</v>
      </c>
      <c r="H3956" s="158">
        <f>H3476</f>
        <v>1216</v>
      </c>
      <c r="I3956" s="159">
        <f t="shared" si="940"/>
        <v>1.6002E-4</v>
      </c>
      <c r="J3956" s="160"/>
      <c r="K3956" s="161">
        <f t="shared" si="939"/>
        <v>3</v>
      </c>
      <c r="L3956" s="250">
        <v>1</v>
      </c>
      <c r="M3956" s="163" t="str">
        <f>CONCATENATE(H3956," ",F3956,"*",L3956,"мес.","*",I3956,"/",K3956,"чел.")</f>
        <v>1216 мед.осмотров в мес.*1мес.*0,00016002/3чел.</v>
      </c>
      <c r="N3956" s="164">
        <f t="shared" si="935"/>
        <v>59.287277960526318</v>
      </c>
      <c r="O3956" s="165">
        <f t="shared" si="938"/>
        <v>3.8454319999999997</v>
      </c>
      <c r="P3956" s="166"/>
      <c r="Q3956" s="166">
        <f t="shared" si="936"/>
        <v>11.536296</v>
      </c>
      <c r="R3956" s="71"/>
    </row>
    <row r="3957" spans="1:18" s="61" customFormat="1" ht="63" x14ac:dyDescent="0.25">
      <c r="A3957" s="358"/>
      <c r="B3957" s="361"/>
      <c r="C3957" s="364"/>
      <c r="D3957" s="156" t="s">
        <v>45</v>
      </c>
      <c r="E3957" s="156" t="s">
        <v>53</v>
      </c>
      <c r="F3957" s="156" t="s">
        <v>233</v>
      </c>
      <c r="G3957" s="238">
        <f>MROUND(H3957*L3957*I3957/K3957,0.000000001)</f>
        <v>2.56032E-3</v>
      </c>
      <c r="H3957" s="158">
        <f>H3477</f>
        <v>4</v>
      </c>
      <c r="I3957" s="159">
        <f t="shared" si="940"/>
        <v>1.6002E-4</v>
      </c>
      <c r="J3957" s="160"/>
      <c r="K3957" s="161">
        <f t="shared" si="939"/>
        <v>3</v>
      </c>
      <c r="L3957" s="250">
        <v>12</v>
      </c>
      <c r="M3957" s="163" t="str">
        <f>CONCATENATE(H3957," ",F3957,"*",L3957,"мес.","*",I3957,"/",K3957,"чел.")</f>
        <v>4  машины, оборудованных системой ГЛОНАСС*12мес.*0,00016002/3чел.</v>
      </c>
      <c r="N3957" s="164">
        <f t="shared" si="935"/>
        <v>921.23312500000009</v>
      </c>
      <c r="O3957" s="165">
        <f t="shared" si="938"/>
        <v>2.3586519999999997</v>
      </c>
      <c r="P3957" s="166"/>
      <c r="Q3957" s="166">
        <f t="shared" si="936"/>
        <v>7.0759559999999997</v>
      </c>
      <c r="R3957" s="71"/>
    </row>
    <row r="3958" spans="1:18" s="61" customFormat="1" ht="31.5" x14ac:dyDescent="0.25">
      <c r="A3958" s="358"/>
      <c r="B3958" s="361"/>
      <c r="C3958" s="364"/>
      <c r="D3958" s="156" t="s">
        <v>408</v>
      </c>
      <c r="E3958" s="156" t="s">
        <v>20</v>
      </c>
      <c r="F3958" s="156" t="s">
        <v>20</v>
      </c>
      <c r="G3958" s="238">
        <f>MROUND(H3958*L3958*I3958/K3958,0.000000001)</f>
        <v>9.0517980000000012E-2</v>
      </c>
      <c r="H3958" s="158">
        <f>H3478</f>
        <v>1697</v>
      </c>
      <c r="I3958" s="159">
        <f t="shared" si="940"/>
        <v>1.6002E-4</v>
      </c>
      <c r="J3958" s="160"/>
      <c r="K3958" s="161">
        <f t="shared" si="939"/>
        <v>3</v>
      </c>
      <c r="L3958" s="250">
        <v>1</v>
      </c>
      <c r="M3958" s="163" t="str">
        <f>CONCATENATE(H3958," ",F3958,"*",L3958," раз в год","*",I3958,"/",K3958,"чел.")</f>
        <v>1697 чел.*1 раз в год*0,00016002/3чел.</v>
      </c>
      <c r="N3958" s="164">
        <f t="shared" si="935"/>
        <v>570.06999999999994</v>
      </c>
      <c r="O3958" s="165">
        <f t="shared" si="938"/>
        <v>51.601585</v>
      </c>
      <c r="P3958" s="166"/>
      <c r="Q3958" s="166">
        <f t="shared" si="936"/>
        <v>154.804755</v>
      </c>
      <c r="R3958" s="71"/>
    </row>
    <row r="3959" spans="1:18" s="61" customFormat="1" x14ac:dyDescent="0.25">
      <c r="A3959" s="358"/>
      <c r="B3959" s="361"/>
      <c r="C3959" s="364"/>
      <c r="D3959" s="156" t="s">
        <v>373</v>
      </c>
      <c r="E3959" s="156" t="s">
        <v>28</v>
      </c>
      <c r="F3959" s="156" t="s">
        <v>28</v>
      </c>
      <c r="G3959" s="157">
        <f>MROUND(H3959*L3959*I3959/K3959,0.000000001)</f>
        <v>1.9202400000000001E-3</v>
      </c>
      <c r="H3959" s="158">
        <f>H3480</f>
        <v>36</v>
      </c>
      <c r="I3959" s="159">
        <f>I3957</f>
        <v>1.6002E-4</v>
      </c>
      <c r="J3959" s="160"/>
      <c r="K3959" s="161">
        <f>K3957</f>
        <v>3</v>
      </c>
      <c r="L3959" s="162">
        <v>1</v>
      </c>
      <c r="M3959" s="163" t="str">
        <f>CONCATENATE(H3959," ",F3959,"*",L3959,"мес.","*",I3959,"/",K3959,"чел.")</f>
        <v>36 шт*1мес.*0,00016002/3чел.</v>
      </c>
      <c r="N3959" s="164">
        <f>N3480</f>
        <v>24000</v>
      </c>
      <c r="O3959" s="165">
        <f>MROUND(G3959*N3959,0.000000001)</f>
        <v>46.085760000000001</v>
      </c>
      <c r="P3959" s="166"/>
      <c r="Q3959" s="166">
        <f t="shared" si="936"/>
        <v>138.25728000000001</v>
      </c>
      <c r="R3959" s="71"/>
    </row>
    <row r="3960" spans="1:18" s="61" customFormat="1" ht="31.5" x14ac:dyDescent="0.25">
      <c r="A3960" s="358"/>
      <c r="B3960" s="361"/>
      <c r="C3960" s="364"/>
      <c r="D3960" s="156" t="s">
        <v>106</v>
      </c>
      <c r="E3960" s="156" t="s">
        <v>107</v>
      </c>
      <c r="F3960" s="156"/>
      <c r="G3960" s="238">
        <f>MROUND(H3960*L3960*I3960/K3960,0.000000001)</f>
        <v>0</v>
      </c>
      <c r="H3960" s="158">
        <f>H3479</f>
        <v>0</v>
      </c>
      <c r="I3960" s="159">
        <f>I3957</f>
        <v>1.6002E-4</v>
      </c>
      <c r="J3960" s="160"/>
      <c r="K3960" s="161">
        <f>K3957</f>
        <v>3</v>
      </c>
      <c r="L3960" s="250">
        <f>L3479</f>
        <v>0</v>
      </c>
      <c r="M3960" s="163"/>
      <c r="N3960" s="164">
        <f>N3479</f>
        <v>6.0000000000000002E-5</v>
      </c>
      <c r="O3960" s="165">
        <f>MROUND(G3960*N3960,0.000000001)</f>
        <v>0</v>
      </c>
      <c r="P3960" s="166"/>
      <c r="Q3960" s="166">
        <f t="shared" si="936"/>
        <v>0</v>
      </c>
      <c r="R3960" s="71"/>
    </row>
    <row r="3961" spans="1:18" s="61" customFormat="1" x14ac:dyDescent="0.25">
      <c r="A3961" s="358"/>
      <c r="B3961" s="361"/>
      <c r="C3961" s="245" t="s">
        <v>296</v>
      </c>
      <c r="D3961" s="240"/>
      <c r="E3961" s="240"/>
      <c r="F3961" s="240"/>
      <c r="G3961" s="227"/>
      <c r="H3961" s="241"/>
      <c r="I3961" s="206"/>
      <c r="J3961" s="228"/>
      <c r="K3961" s="207"/>
      <c r="L3961" s="257"/>
      <c r="M3961" s="209"/>
      <c r="N3961" s="210"/>
      <c r="O3961" s="198">
        <f>SUM(O3947:O3960)</f>
        <v>333.60583600000001</v>
      </c>
      <c r="P3961" s="166"/>
      <c r="Q3961" s="166"/>
      <c r="R3961" s="71"/>
    </row>
    <row r="3962" spans="1:18" s="61" customFormat="1" ht="31.5" x14ac:dyDescent="0.25">
      <c r="A3962" s="358"/>
      <c r="B3962" s="361"/>
      <c r="C3962" s="252" t="s">
        <v>237</v>
      </c>
      <c r="D3962" s="156" t="s">
        <v>41</v>
      </c>
      <c r="E3962" s="156" t="s">
        <v>61</v>
      </c>
      <c r="F3962" s="156" t="s">
        <v>227</v>
      </c>
      <c r="G3962" s="238">
        <f>MROUND(H3962*L3962*I3962/K3962,0.000000001)</f>
        <v>2.1336E-4</v>
      </c>
      <c r="H3962" s="158">
        <f>H3482</f>
        <v>4</v>
      </c>
      <c r="I3962" s="159">
        <f>I3960</f>
        <v>1.6002E-4</v>
      </c>
      <c r="J3962" s="160"/>
      <c r="K3962" s="161">
        <f>K3960</f>
        <v>3</v>
      </c>
      <c r="L3962" s="250">
        <v>1</v>
      </c>
      <c r="M3962" s="163" t="str">
        <f>CONCATENATE(H3962," ",F3962,"*",I3962,"/",K3962,"чел.")</f>
        <v>4 автобуса*0,00016002/3чел.</v>
      </c>
      <c r="N3962" s="164">
        <f>N3482</f>
        <v>26907.305</v>
      </c>
      <c r="O3962" s="165">
        <f>MROUND(G3962*N3962,0.000001)</f>
        <v>5.7409429999999997</v>
      </c>
      <c r="P3962" s="166"/>
      <c r="Q3962" s="166">
        <f t="shared" ref="Q3962" si="941">O3962*K3962</f>
        <v>17.222828999999997</v>
      </c>
      <c r="R3962" s="71"/>
    </row>
    <row r="3963" spans="1:18" s="61" customFormat="1" x14ac:dyDescent="0.25">
      <c r="A3963" s="358"/>
      <c r="B3963" s="361"/>
      <c r="C3963" s="245" t="s">
        <v>297</v>
      </c>
      <c r="D3963" s="240"/>
      <c r="E3963" s="240"/>
      <c r="F3963" s="240"/>
      <c r="G3963" s="227"/>
      <c r="H3963" s="241"/>
      <c r="I3963" s="206"/>
      <c r="J3963" s="228"/>
      <c r="K3963" s="207"/>
      <c r="L3963" s="257"/>
      <c r="M3963" s="209"/>
      <c r="N3963" s="210"/>
      <c r="O3963" s="198">
        <f>SUM(O3962)</f>
        <v>5.7409429999999997</v>
      </c>
      <c r="P3963" s="166"/>
      <c r="Q3963" s="166"/>
      <c r="R3963" s="71"/>
    </row>
    <row r="3964" spans="1:18" s="61" customFormat="1" ht="78.75" x14ac:dyDescent="0.25">
      <c r="A3964" s="358"/>
      <c r="B3964" s="361"/>
      <c r="C3964" s="221" t="s">
        <v>236</v>
      </c>
      <c r="D3964" s="156" t="s">
        <v>19</v>
      </c>
      <c r="E3964" s="181" t="s">
        <v>20</v>
      </c>
      <c r="F3964" s="181" t="s">
        <v>238</v>
      </c>
      <c r="G3964" s="238">
        <f>MROUND(H3964*L3964*I3964/K3964,0.000001)</f>
        <v>0</v>
      </c>
      <c r="H3964" s="158"/>
      <c r="I3964" s="159">
        <f>I3960</f>
        <v>1.6002E-4</v>
      </c>
      <c r="J3964" s="160"/>
      <c r="K3964" s="161">
        <f>K3960</f>
        <v>3</v>
      </c>
      <c r="L3964" s="250"/>
      <c r="M3964" s="163"/>
      <c r="N3964" s="164"/>
      <c r="O3964" s="165">
        <f>MROUND(G3964*N3964,0.000001)</f>
        <v>0</v>
      </c>
      <c r="P3964" s="166"/>
      <c r="Q3964" s="166">
        <f t="shared" ref="Q3964" si="942">O3964*K3964</f>
        <v>0</v>
      </c>
      <c r="R3964" s="71"/>
    </row>
    <row r="3965" spans="1:18" s="62" customFormat="1" x14ac:dyDescent="0.25">
      <c r="A3965" s="358"/>
      <c r="B3965" s="361"/>
      <c r="C3965" s="245" t="s">
        <v>298</v>
      </c>
      <c r="D3965" s="240"/>
      <c r="E3965" s="253"/>
      <c r="F3965" s="253"/>
      <c r="G3965" s="227"/>
      <c r="H3965" s="241"/>
      <c r="I3965" s="206"/>
      <c r="J3965" s="228"/>
      <c r="K3965" s="207"/>
      <c r="L3965" s="257"/>
      <c r="M3965" s="209"/>
      <c r="N3965" s="210"/>
      <c r="O3965" s="198">
        <f>SUM(O3964)</f>
        <v>0</v>
      </c>
      <c r="P3965" s="267"/>
      <c r="Q3965" s="166"/>
      <c r="R3965" s="71"/>
    </row>
    <row r="3966" spans="1:18" s="61" customFormat="1" ht="30" x14ac:dyDescent="0.25">
      <c r="A3966" s="358"/>
      <c r="B3966" s="361"/>
      <c r="C3966" s="365" t="s">
        <v>81</v>
      </c>
      <c r="D3966" s="254" t="s">
        <v>410</v>
      </c>
      <c r="E3966" s="156" t="s">
        <v>28</v>
      </c>
      <c r="F3966" s="156" t="s">
        <v>28</v>
      </c>
      <c r="G3966" s="238">
        <f>MROUND(H3966*L3966*I3966/K3966,0.0000000001)</f>
        <v>0</v>
      </c>
      <c r="H3966" s="158"/>
      <c r="I3966" s="159">
        <f>I3960</f>
        <v>1.6002E-4</v>
      </c>
      <c r="J3966" s="160"/>
      <c r="K3966" s="161">
        <f>K3960</f>
        <v>3</v>
      </c>
      <c r="L3966" s="250">
        <v>1</v>
      </c>
      <c r="M3966" s="163"/>
      <c r="N3966" s="164"/>
      <c r="O3966" s="165">
        <f>MROUND(G3966*N3966,0.000001)</f>
        <v>0</v>
      </c>
      <c r="P3966" s="166"/>
      <c r="Q3966" s="166">
        <f t="shared" ref="Q3966:Q3989" si="943">O3966*K3966</f>
        <v>0</v>
      </c>
      <c r="R3966" s="71"/>
    </row>
    <row r="3967" spans="1:18" s="61" customFormat="1" x14ac:dyDescent="0.25">
      <c r="A3967" s="358"/>
      <c r="B3967" s="361"/>
      <c r="C3967" s="366"/>
      <c r="D3967" s="254" t="s">
        <v>325</v>
      </c>
      <c r="E3967" s="156" t="s">
        <v>28</v>
      </c>
      <c r="F3967" s="156" t="s">
        <v>28</v>
      </c>
      <c r="G3967" s="157">
        <f>MROUND(H3967*L3967*I3967/K3967,0.0000000001)</f>
        <v>0</v>
      </c>
      <c r="H3967" s="158"/>
      <c r="I3967" s="159">
        <f>I3966</f>
        <v>1.6002E-4</v>
      </c>
      <c r="J3967" s="160"/>
      <c r="K3967" s="161">
        <f>K3966</f>
        <v>3</v>
      </c>
      <c r="L3967" s="250">
        <v>1</v>
      </c>
      <c r="M3967" s="163"/>
      <c r="N3967" s="164"/>
      <c r="O3967" s="165">
        <f>MROUND(G3967*N3967,0.000001)</f>
        <v>0</v>
      </c>
      <c r="P3967" s="166"/>
      <c r="Q3967" s="166">
        <f t="shared" si="943"/>
        <v>0</v>
      </c>
      <c r="R3967" s="71"/>
    </row>
    <row r="3968" spans="1:18" s="61" customFormat="1" ht="30" x14ac:dyDescent="0.25">
      <c r="A3968" s="358"/>
      <c r="B3968" s="361"/>
      <c r="C3968" s="366"/>
      <c r="D3968" s="254" t="s">
        <v>411</v>
      </c>
      <c r="E3968" s="156" t="s">
        <v>28</v>
      </c>
      <c r="F3968" s="156" t="s">
        <v>28</v>
      </c>
      <c r="G3968" s="238">
        <f>MROUND(H3968*L3968*I3968/K3968,0.00000001)</f>
        <v>0</v>
      </c>
      <c r="H3968" s="158"/>
      <c r="I3968" s="159">
        <f>I3966</f>
        <v>1.6002E-4</v>
      </c>
      <c r="J3968" s="160"/>
      <c r="K3968" s="161">
        <f>K3966</f>
        <v>3</v>
      </c>
      <c r="L3968" s="250">
        <v>1</v>
      </c>
      <c r="M3968" s="163"/>
      <c r="N3968" s="164"/>
      <c r="O3968" s="165">
        <f t="shared" ref="O3968:O3989" si="944">MROUND(G3968*N3968,0.000001)</f>
        <v>0</v>
      </c>
      <c r="P3968" s="166"/>
      <c r="Q3968" s="166">
        <f t="shared" si="943"/>
        <v>0</v>
      </c>
      <c r="R3968" s="71"/>
    </row>
    <row r="3969" spans="1:18" s="61" customFormat="1" x14ac:dyDescent="0.25">
      <c r="A3969" s="358"/>
      <c r="B3969" s="361"/>
      <c r="C3969" s="366"/>
      <c r="D3969" s="255" t="s">
        <v>412</v>
      </c>
      <c r="E3969" s="156" t="s">
        <v>28</v>
      </c>
      <c r="F3969" s="156" t="s">
        <v>28</v>
      </c>
      <c r="G3969" s="238">
        <f>MROUND(H3969*L3969*I3969/K3969,0.00000001)</f>
        <v>0</v>
      </c>
      <c r="H3969" s="158"/>
      <c r="I3969" s="159">
        <f>I3968</f>
        <v>1.6002E-4</v>
      </c>
      <c r="J3969" s="160"/>
      <c r="K3969" s="161">
        <f>K3968</f>
        <v>3</v>
      </c>
      <c r="L3969" s="250">
        <v>1</v>
      </c>
      <c r="M3969" s="163"/>
      <c r="N3969" s="164"/>
      <c r="O3969" s="165">
        <f t="shared" si="944"/>
        <v>0</v>
      </c>
      <c r="P3969" s="166"/>
      <c r="Q3969" s="166">
        <f t="shared" si="943"/>
        <v>0</v>
      </c>
      <c r="R3969" s="71"/>
    </row>
    <row r="3970" spans="1:18" s="61" customFormat="1" ht="31.5" x14ac:dyDescent="0.25">
      <c r="A3970" s="358"/>
      <c r="B3970" s="361"/>
      <c r="C3970" s="366"/>
      <c r="D3970" s="255" t="s">
        <v>413</v>
      </c>
      <c r="E3970" s="156" t="s">
        <v>28</v>
      </c>
      <c r="F3970" s="156" t="s">
        <v>28</v>
      </c>
      <c r="G3970" s="238">
        <f>MROUND(H3970*L3970*I3970/K3970,0.0000000001)</f>
        <v>0</v>
      </c>
      <c r="H3970" s="158"/>
      <c r="I3970" s="159">
        <f>I3969</f>
        <v>1.6002E-4</v>
      </c>
      <c r="J3970" s="160"/>
      <c r="K3970" s="161">
        <f>K3969</f>
        <v>3</v>
      </c>
      <c r="L3970" s="250">
        <v>1</v>
      </c>
      <c r="M3970" s="163"/>
      <c r="N3970" s="164"/>
      <c r="O3970" s="165">
        <f t="shared" si="944"/>
        <v>0</v>
      </c>
      <c r="P3970" s="166"/>
      <c r="Q3970" s="166">
        <f t="shared" si="943"/>
        <v>0</v>
      </c>
      <c r="R3970" s="71"/>
    </row>
    <row r="3971" spans="1:18" s="61" customFormat="1" x14ac:dyDescent="0.25">
      <c r="A3971" s="358"/>
      <c r="B3971" s="361"/>
      <c r="C3971" s="366"/>
      <c r="D3971" s="254" t="s">
        <v>109</v>
      </c>
      <c r="E3971" s="156" t="s">
        <v>28</v>
      </c>
      <c r="F3971" s="156" t="s">
        <v>28</v>
      </c>
      <c r="G3971" s="238">
        <f>MROUND(H3971*L3971*I3971/K3971,0.0000000001)</f>
        <v>0</v>
      </c>
      <c r="H3971" s="158"/>
      <c r="I3971" s="159">
        <f>I3970</f>
        <v>1.6002E-4</v>
      </c>
      <c r="J3971" s="160"/>
      <c r="K3971" s="161">
        <f>K3970</f>
        <v>3</v>
      </c>
      <c r="L3971" s="250">
        <v>1</v>
      </c>
      <c r="M3971" s="163"/>
      <c r="N3971" s="164"/>
      <c r="O3971" s="165">
        <f t="shared" si="944"/>
        <v>0</v>
      </c>
      <c r="P3971" s="166"/>
      <c r="Q3971" s="166">
        <f t="shared" si="943"/>
        <v>0</v>
      </c>
      <c r="R3971" s="71"/>
    </row>
    <row r="3972" spans="1:18" s="61" customFormat="1" x14ac:dyDescent="0.25">
      <c r="A3972" s="358"/>
      <c r="B3972" s="361"/>
      <c r="C3972" s="366"/>
      <c r="D3972" s="254" t="s">
        <v>414</v>
      </c>
      <c r="E3972" s="156" t="s">
        <v>28</v>
      </c>
      <c r="F3972" s="156" t="s">
        <v>28</v>
      </c>
      <c r="G3972" s="238">
        <f>MROUND(H3972*L3972*I3972/K3972,0.0000000001)</f>
        <v>0</v>
      </c>
      <c r="H3972" s="158"/>
      <c r="I3972" s="159">
        <f>I3970</f>
        <v>1.6002E-4</v>
      </c>
      <c r="J3972" s="160"/>
      <c r="K3972" s="161">
        <f>K3970</f>
        <v>3</v>
      </c>
      <c r="L3972" s="250">
        <v>1</v>
      </c>
      <c r="M3972" s="163"/>
      <c r="N3972" s="164"/>
      <c r="O3972" s="165">
        <f t="shared" si="944"/>
        <v>0</v>
      </c>
      <c r="P3972" s="166"/>
      <c r="Q3972" s="166">
        <f t="shared" si="943"/>
        <v>0</v>
      </c>
      <c r="R3972" s="71"/>
    </row>
    <row r="3973" spans="1:18" s="61" customFormat="1" x14ac:dyDescent="0.25">
      <c r="A3973" s="358"/>
      <c r="B3973" s="361"/>
      <c r="C3973" s="366"/>
      <c r="D3973" s="254" t="s">
        <v>415</v>
      </c>
      <c r="E3973" s="156" t="s">
        <v>28</v>
      </c>
      <c r="F3973" s="156" t="s">
        <v>28</v>
      </c>
      <c r="G3973" s="238">
        <f>MROUND(H3973*L3973*I3973/K3973,0.00000001)</f>
        <v>0</v>
      </c>
      <c r="H3973" s="158"/>
      <c r="I3973" s="159">
        <f t="shared" ref="I3973:I3982" si="945">I3971</f>
        <v>1.6002E-4</v>
      </c>
      <c r="J3973" s="160"/>
      <c r="K3973" s="161">
        <f t="shared" ref="K3973:K3982" si="946">K3971</f>
        <v>3</v>
      </c>
      <c r="L3973" s="250">
        <v>1</v>
      </c>
      <c r="M3973" s="163"/>
      <c r="N3973" s="164"/>
      <c r="O3973" s="165">
        <f t="shared" si="944"/>
        <v>0</v>
      </c>
      <c r="P3973" s="166"/>
      <c r="Q3973" s="166">
        <f t="shared" si="943"/>
        <v>0</v>
      </c>
      <c r="R3973" s="71"/>
    </row>
    <row r="3974" spans="1:18" s="61" customFormat="1" x14ac:dyDescent="0.25">
      <c r="A3974" s="358"/>
      <c r="B3974" s="361"/>
      <c r="C3974" s="366"/>
      <c r="D3974" s="254" t="s">
        <v>416</v>
      </c>
      <c r="E3974" s="156" t="s">
        <v>28</v>
      </c>
      <c r="F3974" s="156" t="s">
        <v>28</v>
      </c>
      <c r="G3974" s="238">
        <f>MROUND(H3974*L3974*I3974/K3974,0.000000001)</f>
        <v>0</v>
      </c>
      <c r="H3974" s="246"/>
      <c r="I3974" s="159">
        <f t="shared" si="945"/>
        <v>1.6002E-4</v>
      </c>
      <c r="J3974" s="160"/>
      <c r="K3974" s="161">
        <f t="shared" si="946"/>
        <v>3</v>
      </c>
      <c r="L3974" s="250">
        <v>1</v>
      </c>
      <c r="M3974" s="163"/>
      <c r="N3974" s="164"/>
      <c r="O3974" s="165">
        <f t="shared" si="944"/>
        <v>0</v>
      </c>
      <c r="P3974" s="166"/>
      <c r="Q3974" s="166">
        <f t="shared" si="943"/>
        <v>0</v>
      </c>
      <c r="R3974" s="71"/>
    </row>
    <row r="3975" spans="1:18" s="61" customFormat="1" x14ac:dyDescent="0.25">
      <c r="A3975" s="358"/>
      <c r="B3975" s="361"/>
      <c r="C3975" s="366"/>
      <c r="D3975" s="254" t="s">
        <v>417</v>
      </c>
      <c r="E3975" s="156" t="s">
        <v>28</v>
      </c>
      <c r="F3975" s="156" t="s">
        <v>28</v>
      </c>
      <c r="G3975" s="238">
        <f>MROUND(H3975*L3975*I3975/K3975,0.00000001)</f>
        <v>0</v>
      </c>
      <c r="H3975" s="158"/>
      <c r="I3975" s="159">
        <f t="shared" si="945"/>
        <v>1.6002E-4</v>
      </c>
      <c r="J3975" s="160"/>
      <c r="K3975" s="161">
        <f t="shared" si="946"/>
        <v>3</v>
      </c>
      <c r="L3975" s="250">
        <v>1</v>
      </c>
      <c r="M3975" s="163"/>
      <c r="N3975" s="164"/>
      <c r="O3975" s="165">
        <f t="shared" si="944"/>
        <v>0</v>
      </c>
      <c r="P3975" s="166"/>
      <c r="Q3975" s="166">
        <f t="shared" si="943"/>
        <v>0</v>
      </c>
      <c r="R3975" s="71"/>
    </row>
    <row r="3976" spans="1:18" s="61" customFormat="1" ht="30" x14ac:dyDescent="0.25">
      <c r="A3976" s="358"/>
      <c r="B3976" s="361"/>
      <c r="C3976" s="366"/>
      <c r="D3976" s="254" t="s">
        <v>418</v>
      </c>
      <c r="E3976" s="156" t="s">
        <v>28</v>
      </c>
      <c r="F3976" s="156" t="s">
        <v>28</v>
      </c>
      <c r="G3976" s="238">
        <f>MROUND(H3976*L3976*I3976/K3976,0.00000001)</f>
        <v>0</v>
      </c>
      <c r="H3976" s="158"/>
      <c r="I3976" s="159">
        <f t="shared" si="945"/>
        <v>1.6002E-4</v>
      </c>
      <c r="J3976" s="160"/>
      <c r="K3976" s="161">
        <f t="shared" si="946"/>
        <v>3</v>
      </c>
      <c r="L3976" s="250">
        <v>1</v>
      </c>
      <c r="M3976" s="163"/>
      <c r="N3976" s="164"/>
      <c r="O3976" s="165">
        <f t="shared" si="944"/>
        <v>0</v>
      </c>
      <c r="P3976" s="166"/>
      <c r="Q3976" s="166">
        <f t="shared" si="943"/>
        <v>0</v>
      </c>
      <c r="R3976" s="71"/>
    </row>
    <row r="3977" spans="1:18" s="61" customFormat="1" x14ac:dyDescent="0.25">
      <c r="A3977" s="358"/>
      <c r="B3977" s="361"/>
      <c r="C3977" s="366"/>
      <c r="D3977" s="254" t="s">
        <v>324</v>
      </c>
      <c r="E3977" s="156" t="s">
        <v>28</v>
      </c>
      <c r="F3977" s="156" t="s">
        <v>28</v>
      </c>
      <c r="G3977" s="238">
        <f>MROUND(H3977*L3977*I3977/K3977,0.000000001)</f>
        <v>0</v>
      </c>
      <c r="H3977" s="158"/>
      <c r="I3977" s="159">
        <f t="shared" si="945"/>
        <v>1.6002E-4</v>
      </c>
      <c r="J3977" s="160"/>
      <c r="K3977" s="161">
        <f t="shared" si="946"/>
        <v>3</v>
      </c>
      <c r="L3977" s="250">
        <v>1</v>
      </c>
      <c r="M3977" s="163"/>
      <c r="N3977" s="164"/>
      <c r="O3977" s="165">
        <f t="shared" si="944"/>
        <v>0</v>
      </c>
      <c r="P3977" s="166"/>
      <c r="Q3977" s="166">
        <f t="shared" si="943"/>
        <v>0</v>
      </c>
      <c r="R3977" s="71"/>
    </row>
    <row r="3978" spans="1:18" s="61" customFormat="1" x14ac:dyDescent="0.25">
      <c r="A3978" s="358"/>
      <c r="B3978" s="361"/>
      <c r="C3978" s="366"/>
      <c r="D3978" s="254" t="s">
        <v>419</v>
      </c>
      <c r="E3978" s="156" t="s">
        <v>28</v>
      </c>
      <c r="F3978" s="156" t="s">
        <v>28</v>
      </c>
      <c r="G3978" s="238">
        <f>MROUND(H3978*L3978*I3978/K3978,0.000000001)</f>
        <v>0</v>
      </c>
      <c r="H3978" s="246"/>
      <c r="I3978" s="159">
        <f t="shared" si="945"/>
        <v>1.6002E-4</v>
      </c>
      <c r="J3978" s="160"/>
      <c r="K3978" s="161">
        <f t="shared" si="946"/>
        <v>3</v>
      </c>
      <c r="L3978" s="250">
        <v>1</v>
      </c>
      <c r="M3978" s="163"/>
      <c r="N3978" s="164"/>
      <c r="O3978" s="165">
        <f t="shared" si="944"/>
        <v>0</v>
      </c>
      <c r="P3978" s="166"/>
      <c r="Q3978" s="166">
        <f t="shared" si="943"/>
        <v>0</v>
      </c>
      <c r="R3978" s="71"/>
    </row>
    <row r="3979" spans="1:18" s="61" customFormat="1" x14ac:dyDescent="0.25">
      <c r="A3979" s="358"/>
      <c r="B3979" s="361"/>
      <c r="C3979" s="366"/>
      <c r="D3979" s="254" t="s">
        <v>420</v>
      </c>
      <c r="E3979" s="156" t="s">
        <v>28</v>
      </c>
      <c r="F3979" s="156" t="s">
        <v>28</v>
      </c>
      <c r="G3979" s="238">
        <f>MROUND(H3979*L3979*I3979/K3979,0.000000001)</f>
        <v>0</v>
      </c>
      <c r="H3979" s="158"/>
      <c r="I3979" s="159">
        <f t="shared" si="945"/>
        <v>1.6002E-4</v>
      </c>
      <c r="J3979" s="160"/>
      <c r="K3979" s="161">
        <f t="shared" si="946"/>
        <v>3</v>
      </c>
      <c r="L3979" s="250">
        <v>1</v>
      </c>
      <c r="M3979" s="163"/>
      <c r="N3979" s="164"/>
      <c r="O3979" s="165">
        <f t="shared" si="944"/>
        <v>0</v>
      </c>
      <c r="P3979" s="166"/>
      <c r="Q3979" s="166">
        <f t="shared" si="943"/>
        <v>0</v>
      </c>
      <c r="R3979" s="71"/>
    </row>
    <row r="3980" spans="1:18" s="61" customFormat="1" x14ac:dyDescent="0.25">
      <c r="A3980" s="358"/>
      <c r="B3980" s="361"/>
      <c r="C3980" s="366"/>
      <c r="D3980" s="254" t="s">
        <v>421</v>
      </c>
      <c r="E3980" s="156" t="s">
        <v>28</v>
      </c>
      <c r="F3980" s="156" t="s">
        <v>28</v>
      </c>
      <c r="G3980" s="238">
        <f>MROUND(H3980*L3980*I3980/K3980,0.00000001)</f>
        <v>0</v>
      </c>
      <c r="H3980" s="158"/>
      <c r="I3980" s="159">
        <f t="shared" si="945"/>
        <v>1.6002E-4</v>
      </c>
      <c r="J3980" s="160"/>
      <c r="K3980" s="161">
        <f t="shared" si="946"/>
        <v>3</v>
      </c>
      <c r="L3980" s="250">
        <v>1</v>
      </c>
      <c r="M3980" s="163"/>
      <c r="N3980" s="164"/>
      <c r="O3980" s="165">
        <f t="shared" si="944"/>
        <v>0</v>
      </c>
      <c r="P3980" s="166"/>
      <c r="Q3980" s="166">
        <f t="shared" si="943"/>
        <v>0</v>
      </c>
      <c r="R3980" s="71"/>
    </row>
    <row r="3981" spans="1:18" s="61" customFormat="1" ht="30" x14ac:dyDescent="0.25">
      <c r="A3981" s="358"/>
      <c r="B3981" s="361"/>
      <c r="C3981" s="366"/>
      <c r="D3981" s="254" t="s">
        <v>422</v>
      </c>
      <c r="E3981" s="156" t="s">
        <v>28</v>
      </c>
      <c r="F3981" s="156" t="s">
        <v>28</v>
      </c>
      <c r="G3981" s="266">
        <f>MROUND(H3981*L3981*I3981/K3981,0.00000001)</f>
        <v>0</v>
      </c>
      <c r="H3981" s="158"/>
      <c r="I3981" s="159">
        <f t="shared" si="945"/>
        <v>1.6002E-4</v>
      </c>
      <c r="J3981" s="160"/>
      <c r="K3981" s="161">
        <f t="shared" si="946"/>
        <v>3</v>
      </c>
      <c r="L3981" s="250">
        <v>1</v>
      </c>
      <c r="M3981" s="163"/>
      <c r="N3981" s="164"/>
      <c r="O3981" s="165">
        <f t="shared" si="944"/>
        <v>0</v>
      </c>
      <c r="P3981" s="166"/>
      <c r="Q3981" s="166">
        <f t="shared" si="943"/>
        <v>0</v>
      </c>
      <c r="R3981" s="71"/>
    </row>
    <row r="3982" spans="1:18" s="61" customFormat="1" x14ac:dyDescent="0.25">
      <c r="A3982" s="358"/>
      <c r="B3982" s="361"/>
      <c r="C3982" s="366"/>
      <c r="D3982" s="254" t="s">
        <v>423</v>
      </c>
      <c r="E3982" s="156" t="s">
        <v>28</v>
      </c>
      <c r="F3982" s="156" t="s">
        <v>28</v>
      </c>
      <c r="G3982" s="238">
        <f>MROUND(H3982*L3982*I3982/K3982,0.000000001)</f>
        <v>0</v>
      </c>
      <c r="H3982" s="158"/>
      <c r="I3982" s="159">
        <f t="shared" si="945"/>
        <v>1.6002E-4</v>
      </c>
      <c r="J3982" s="160"/>
      <c r="K3982" s="161">
        <f t="shared" si="946"/>
        <v>3</v>
      </c>
      <c r="L3982" s="250">
        <v>1</v>
      </c>
      <c r="M3982" s="163"/>
      <c r="N3982" s="164"/>
      <c r="O3982" s="165">
        <f t="shared" si="944"/>
        <v>0</v>
      </c>
      <c r="P3982" s="166"/>
      <c r="Q3982" s="166">
        <f t="shared" si="943"/>
        <v>0</v>
      </c>
      <c r="R3982" s="71"/>
    </row>
    <row r="3983" spans="1:18" s="61" customFormat="1" x14ac:dyDescent="0.25">
      <c r="A3983" s="358"/>
      <c r="B3983" s="361"/>
      <c r="C3983" s="366"/>
      <c r="D3983" s="254" t="s">
        <v>424</v>
      </c>
      <c r="E3983" s="156" t="s">
        <v>28</v>
      </c>
      <c r="F3983" s="156" t="s">
        <v>28</v>
      </c>
      <c r="G3983" s="238">
        <f t="shared" ref="G3983:G3989" si="947">MROUND(H3983*L3983*I3983/K3983,0.00000001)</f>
        <v>0</v>
      </c>
      <c r="H3983" s="158"/>
      <c r="I3983" s="159">
        <f>I3972</f>
        <v>1.6002E-4</v>
      </c>
      <c r="J3983" s="160"/>
      <c r="K3983" s="161">
        <f>K3972</f>
        <v>3</v>
      </c>
      <c r="L3983" s="250">
        <v>1</v>
      </c>
      <c r="M3983" s="163"/>
      <c r="N3983" s="164"/>
      <c r="O3983" s="165">
        <f t="shared" si="944"/>
        <v>0</v>
      </c>
      <c r="P3983" s="166"/>
      <c r="Q3983" s="166">
        <f t="shared" si="943"/>
        <v>0</v>
      </c>
      <c r="R3983" s="71"/>
    </row>
    <row r="3984" spans="1:18" s="61" customFormat="1" x14ac:dyDescent="0.25">
      <c r="A3984" s="358"/>
      <c r="B3984" s="361"/>
      <c r="C3984" s="366"/>
      <c r="D3984" s="254" t="s">
        <v>425</v>
      </c>
      <c r="E3984" s="156" t="s">
        <v>28</v>
      </c>
      <c r="F3984" s="156" t="s">
        <v>28</v>
      </c>
      <c r="G3984" s="277">
        <f t="shared" si="947"/>
        <v>0</v>
      </c>
      <c r="H3984" s="158"/>
      <c r="I3984" s="159">
        <f t="shared" ref="I3984:I3989" si="948">I3983</f>
        <v>1.6002E-4</v>
      </c>
      <c r="J3984" s="160"/>
      <c r="K3984" s="161">
        <f t="shared" ref="K3984:K3989" si="949">K3983</f>
        <v>3</v>
      </c>
      <c r="L3984" s="250">
        <v>1</v>
      </c>
      <c r="M3984" s="163"/>
      <c r="N3984" s="164"/>
      <c r="O3984" s="165">
        <f t="shared" si="944"/>
        <v>0</v>
      </c>
      <c r="P3984" s="166"/>
      <c r="Q3984" s="166">
        <f t="shared" si="943"/>
        <v>0</v>
      </c>
      <c r="R3984" s="71"/>
    </row>
    <row r="3985" spans="1:18" s="61" customFormat="1" x14ac:dyDescent="0.25">
      <c r="A3985" s="358"/>
      <c r="B3985" s="361"/>
      <c r="C3985" s="366"/>
      <c r="D3985" s="254" t="s">
        <v>108</v>
      </c>
      <c r="E3985" s="156" t="s">
        <v>28</v>
      </c>
      <c r="F3985" s="156" t="s">
        <v>28</v>
      </c>
      <c r="G3985" s="238">
        <f t="shared" si="947"/>
        <v>0</v>
      </c>
      <c r="H3985" s="158"/>
      <c r="I3985" s="159">
        <f t="shared" si="948"/>
        <v>1.6002E-4</v>
      </c>
      <c r="J3985" s="160"/>
      <c r="K3985" s="161">
        <f t="shared" si="949"/>
        <v>3</v>
      </c>
      <c r="L3985" s="250">
        <v>1</v>
      </c>
      <c r="M3985" s="163"/>
      <c r="N3985" s="164"/>
      <c r="O3985" s="165">
        <f t="shared" si="944"/>
        <v>0</v>
      </c>
      <c r="P3985" s="166"/>
      <c r="Q3985" s="166">
        <f t="shared" si="943"/>
        <v>0</v>
      </c>
      <c r="R3985" s="71"/>
    </row>
    <row r="3986" spans="1:18" s="61" customFormat="1" x14ac:dyDescent="0.25">
      <c r="A3986" s="358"/>
      <c r="B3986" s="361"/>
      <c r="C3986" s="366"/>
      <c r="D3986" s="254" t="s">
        <v>426</v>
      </c>
      <c r="E3986" s="156" t="s">
        <v>28</v>
      </c>
      <c r="F3986" s="156" t="s">
        <v>28</v>
      </c>
      <c r="G3986" s="238">
        <f t="shared" si="947"/>
        <v>0</v>
      </c>
      <c r="H3986" s="158"/>
      <c r="I3986" s="159">
        <f t="shared" si="948"/>
        <v>1.6002E-4</v>
      </c>
      <c r="J3986" s="160"/>
      <c r="K3986" s="161">
        <f t="shared" si="949"/>
        <v>3</v>
      </c>
      <c r="L3986" s="250">
        <v>1</v>
      </c>
      <c r="M3986" s="163"/>
      <c r="N3986" s="164"/>
      <c r="O3986" s="165">
        <f t="shared" si="944"/>
        <v>0</v>
      </c>
      <c r="P3986" s="166"/>
      <c r="Q3986" s="166">
        <f t="shared" si="943"/>
        <v>0</v>
      </c>
      <c r="R3986" s="71"/>
    </row>
    <row r="3987" spans="1:18" s="61" customFormat="1" x14ac:dyDescent="0.25">
      <c r="A3987" s="358"/>
      <c r="B3987" s="361"/>
      <c r="C3987" s="366"/>
      <c r="D3987" s="254" t="s">
        <v>427</v>
      </c>
      <c r="E3987" s="156" t="s">
        <v>28</v>
      </c>
      <c r="F3987" s="156" t="s">
        <v>28</v>
      </c>
      <c r="G3987" s="238">
        <f t="shared" si="947"/>
        <v>0</v>
      </c>
      <c r="H3987" s="158"/>
      <c r="I3987" s="159">
        <f t="shared" si="948"/>
        <v>1.6002E-4</v>
      </c>
      <c r="J3987" s="160"/>
      <c r="K3987" s="161">
        <f t="shared" si="949"/>
        <v>3</v>
      </c>
      <c r="L3987" s="250">
        <v>1</v>
      </c>
      <c r="M3987" s="163"/>
      <c r="N3987" s="164"/>
      <c r="O3987" s="165">
        <f t="shared" si="944"/>
        <v>0</v>
      </c>
      <c r="P3987" s="166"/>
      <c r="Q3987" s="166">
        <f t="shared" si="943"/>
        <v>0</v>
      </c>
      <c r="R3987" s="71"/>
    </row>
    <row r="3988" spans="1:18" s="61" customFormat="1" x14ac:dyDescent="0.25">
      <c r="A3988" s="358"/>
      <c r="B3988" s="361"/>
      <c r="C3988" s="366"/>
      <c r="D3988" s="254" t="s">
        <v>428</v>
      </c>
      <c r="E3988" s="156" t="s">
        <v>28</v>
      </c>
      <c r="F3988" s="156" t="s">
        <v>28</v>
      </c>
      <c r="G3988" s="238">
        <f t="shared" si="947"/>
        <v>0</v>
      </c>
      <c r="H3988" s="158"/>
      <c r="I3988" s="159">
        <f t="shared" si="948"/>
        <v>1.6002E-4</v>
      </c>
      <c r="J3988" s="160"/>
      <c r="K3988" s="161">
        <f t="shared" si="949"/>
        <v>3</v>
      </c>
      <c r="L3988" s="250">
        <v>1</v>
      </c>
      <c r="M3988" s="163"/>
      <c r="N3988" s="164"/>
      <c r="O3988" s="165">
        <f t="shared" si="944"/>
        <v>0</v>
      </c>
      <c r="P3988" s="166"/>
      <c r="Q3988" s="166">
        <f t="shared" si="943"/>
        <v>0</v>
      </c>
      <c r="R3988" s="71"/>
    </row>
    <row r="3989" spans="1:18" s="61" customFormat="1" x14ac:dyDescent="0.25">
      <c r="A3989" s="358"/>
      <c r="B3989" s="361"/>
      <c r="C3989" s="366"/>
      <c r="D3989" s="255" t="s">
        <v>429</v>
      </c>
      <c r="E3989" s="156" t="s">
        <v>28</v>
      </c>
      <c r="F3989" s="156" t="s">
        <v>28</v>
      </c>
      <c r="G3989" s="238">
        <f t="shared" si="947"/>
        <v>0</v>
      </c>
      <c r="H3989" s="158"/>
      <c r="I3989" s="159">
        <f t="shared" si="948"/>
        <v>1.6002E-4</v>
      </c>
      <c r="J3989" s="160"/>
      <c r="K3989" s="161">
        <f t="shared" si="949"/>
        <v>3</v>
      </c>
      <c r="L3989" s="250">
        <v>1</v>
      </c>
      <c r="M3989" s="163"/>
      <c r="N3989" s="164"/>
      <c r="O3989" s="165">
        <f t="shared" si="944"/>
        <v>0</v>
      </c>
      <c r="P3989" s="166"/>
      <c r="Q3989" s="166">
        <f t="shared" si="943"/>
        <v>0</v>
      </c>
      <c r="R3989" s="71"/>
    </row>
    <row r="3990" spans="1:18" s="62" customFormat="1" x14ac:dyDescent="0.25">
      <c r="A3990" s="358"/>
      <c r="B3990" s="361"/>
      <c r="C3990" s="249" t="s">
        <v>311</v>
      </c>
      <c r="D3990" s="256"/>
      <c r="E3990" s="240"/>
      <c r="F3990" s="240"/>
      <c r="G3990" s="227"/>
      <c r="H3990" s="241"/>
      <c r="I3990" s="206"/>
      <c r="J3990" s="228"/>
      <c r="K3990" s="207"/>
      <c r="L3990" s="257"/>
      <c r="M3990" s="209"/>
      <c r="N3990" s="210"/>
      <c r="O3990" s="198">
        <f>SUM(O3966:O3989)</f>
        <v>0</v>
      </c>
      <c r="P3990" s="267"/>
      <c r="Q3990" s="166"/>
      <c r="R3990" s="71"/>
    </row>
    <row r="3991" spans="1:18" s="61" customFormat="1" ht="110.25" x14ac:dyDescent="0.25">
      <c r="A3991" s="358"/>
      <c r="B3991" s="361"/>
      <c r="C3991" s="221" t="s">
        <v>82</v>
      </c>
      <c r="D3991" s="156" t="s">
        <v>46</v>
      </c>
      <c r="E3991" s="156" t="s">
        <v>54</v>
      </c>
      <c r="F3991" s="156" t="s">
        <v>285</v>
      </c>
      <c r="G3991" s="238">
        <f>MROUND(H3991*L3991*I3991/K3991,0.000001)</f>
        <v>0.60327500000000001</v>
      </c>
      <c r="H3991" s="242">
        <f>H3511</f>
        <v>1028.181818181818</v>
      </c>
      <c r="I3991" s="159">
        <f>I3989</f>
        <v>1.6002E-4</v>
      </c>
      <c r="J3991" s="160"/>
      <c r="K3991" s="161">
        <f>K3989</f>
        <v>3</v>
      </c>
      <c r="L3991" s="225">
        <f>L3631</f>
        <v>11</v>
      </c>
      <c r="M3991" s="163" t="str">
        <f>CONCATENATE(H3991," ",F3991,"*",L3991,"автобуса","*",I3991,"/",K3991,"чел.")</f>
        <v>1028,18181818182 л бензина АИ 92 (12,5л/день(зимой)*20дней*7мес+10л/день(летом)*20дней*4мес)*11автобуса*0,00016002/3чел.</v>
      </c>
      <c r="N3991" s="164">
        <f>N3511</f>
        <v>57.007000000000005</v>
      </c>
      <c r="O3991" s="165">
        <f>MROUND(G3991*N3991,0.000001)</f>
        <v>34.390898</v>
      </c>
      <c r="P3991" s="166"/>
      <c r="Q3991" s="166">
        <f t="shared" ref="Q3991" si="950">O3991*K3991</f>
        <v>103.17269400000001</v>
      </c>
      <c r="R3991" s="71"/>
    </row>
    <row r="3992" spans="1:18" s="62" customFormat="1" x14ac:dyDescent="0.25">
      <c r="A3992" s="358"/>
      <c r="B3992" s="361"/>
      <c r="C3992" s="218" t="s">
        <v>309</v>
      </c>
      <c r="D3992" s="240"/>
      <c r="E3992" s="240"/>
      <c r="F3992" s="240"/>
      <c r="G3992" s="227"/>
      <c r="H3992" s="241"/>
      <c r="I3992" s="206"/>
      <c r="J3992" s="228"/>
      <c r="K3992" s="207"/>
      <c r="L3992" s="257"/>
      <c r="M3992" s="209"/>
      <c r="N3992" s="210"/>
      <c r="O3992" s="198">
        <f>SUM(O3991)</f>
        <v>34.390898</v>
      </c>
      <c r="P3992" s="267"/>
      <c r="Q3992" s="166"/>
      <c r="R3992" s="71"/>
    </row>
    <row r="3993" spans="1:18" s="61" customFormat="1" ht="47.25" x14ac:dyDescent="0.25">
      <c r="A3993" s="358"/>
      <c r="B3993" s="361"/>
      <c r="C3993" s="221" t="s">
        <v>434</v>
      </c>
      <c r="D3993" s="156" t="s">
        <v>436</v>
      </c>
      <c r="E3993" s="156" t="s">
        <v>28</v>
      </c>
      <c r="F3993" s="156" t="s">
        <v>437</v>
      </c>
      <c r="G3993" s="157">
        <f>MROUND(H3993*L3993*I3993/K3993,0.000001)</f>
        <v>1.5469E-2</v>
      </c>
      <c r="H3993" s="242">
        <f>$H$125</f>
        <v>290</v>
      </c>
      <c r="I3993" s="159">
        <f>I3991</f>
        <v>1.6002E-4</v>
      </c>
      <c r="J3993" s="160"/>
      <c r="K3993" s="161">
        <f>K3991</f>
        <v>3</v>
      </c>
      <c r="L3993" s="162">
        <v>1</v>
      </c>
      <c r="M3993" s="163" t="str">
        <f>CONCATENATE(H3993," ",F3993,"*",L3993,"автобуса","*",I3993,"/",K3993,"чел.")</f>
        <v>290 огнетушителей (потребность учреждений) *1автобуса*0,00016002/3чел.</v>
      </c>
      <c r="N3993" s="164">
        <f>$N$125</f>
        <v>2000</v>
      </c>
      <c r="O3993" s="165">
        <f>MROUND(G3993*N3993,0.000001)</f>
        <v>30.937999999999999</v>
      </c>
      <c r="P3993" s="166"/>
      <c r="Q3993" s="166">
        <f t="shared" ref="Q3993" si="951">O3993*K3993</f>
        <v>92.813999999999993</v>
      </c>
      <c r="R3993" s="71"/>
    </row>
    <row r="3994" spans="1:18" s="61" customFormat="1" x14ac:dyDescent="0.25">
      <c r="A3994" s="358"/>
      <c r="B3994" s="361"/>
      <c r="C3994" s="218" t="s">
        <v>435</v>
      </c>
      <c r="D3994" s="240"/>
      <c r="E3994" s="240"/>
      <c r="F3994" s="240"/>
      <c r="G3994" s="251"/>
      <c r="H3994" s="241"/>
      <c r="I3994" s="206"/>
      <c r="J3994" s="228"/>
      <c r="K3994" s="207"/>
      <c r="L3994" s="229"/>
      <c r="M3994" s="209"/>
      <c r="N3994" s="210"/>
      <c r="O3994" s="198">
        <f>SUM(O3993)</f>
        <v>30.937999999999999</v>
      </c>
      <c r="P3994" s="166"/>
      <c r="Q3994" s="166"/>
      <c r="R3994" s="71"/>
    </row>
    <row r="3995" spans="1:18" s="61" customFormat="1" ht="47.25" x14ac:dyDescent="0.25">
      <c r="A3995" s="358"/>
      <c r="B3995" s="361"/>
      <c r="C3995" s="364" t="s">
        <v>118</v>
      </c>
      <c r="D3995" s="156" t="s">
        <v>47</v>
      </c>
      <c r="E3995" s="156" t="s">
        <v>28</v>
      </c>
      <c r="F3995" s="156" t="s">
        <v>239</v>
      </c>
      <c r="G3995" s="238">
        <f>MROUND(H3995*L3995*I3995/K3995,0.00000001)</f>
        <v>7.6809600000000006E-3</v>
      </c>
      <c r="H3995" s="158">
        <f>H3515</f>
        <v>144</v>
      </c>
      <c r="I3995" s="159">
        <f>I3991</f>
        <v>1.6002E-4</v>
      </c>
      <c r="J3995" s="160"/>
      <c r="K3995" s="161">
        <f>K3991</f>
        <v>3</v>
      </c>
      <c r="L3995" s="250">
        <v>1</v>
      </c>
      <c r="M3995" s="163" t="str">
        <f>CONCATENATE(H3995," ",F3995,"*",I3995,"/",K3995,"чел.")</f>
        <v>144 манометров (потребность учреждений) *0,00016002/3чел.</v>
      </c>
      <c r="N3995" s="164">
        <f>N3515</f>
        <v>720.50416666666672</v>
      </c>
      <c r="O3995" s="165">
        <f>MROUND(G3995*N3995,0.000001)</f>
        <v>5.5341639999999996</v>
      </c>
      <c r="P3995" s="166"/>
      <c r="Q3995" s="166">
        <f t="shared" ref="Q3995:Q3996" si="952">O3995*K3995</f>
        <v>16.602491999999998</v>
      </c>
      <c r="R3995" s="71"/>
    </row>
    <row r="3996" spans="1:18" s="61" customFormat="1" ht="47.25" x14ac:dyDescent="0.25">
      <c r="A3996" s="358"/>
      <c r="B3996" s="361"/>
      <c r="C3996" s="364"/>
      <c r="D3996" s="255" t="s">
        <v>113</v>
      </c>
      <c r="E3996" s="156" t="s">
        <v>28</v>
      </c>
      <c r="F3996" s="156" t="s">
        <v>240</v>
      </c>
      <c r="G3996" s="238">
        <f>MROUND(H3996*L3996*I3996/K3996,0.00000001)</f>
        <v>0.3048381</v>
      </c>
      <c r="H3996" s="158">
        <f>H3516</f>
        <v>5715</v>
      </c>
      <c r="I3996" s="159">
        <f>I3995</f>
        <v>1.6002E-4</v>
      </c>
      <c r="J3996" s="160"/>
      <c r="K3996" s="161">
        <f>K3995</f>
        <v>3</v>
      </c>
      <c r="L3996" s="250">
        <v>1</v>
      </c>
      <c r="M3996" s="163" t="str">
        <f>CONCATENATE(H3996," ",F3996,"*",I3996,"/",K3996,"чел.")</f>
        <v>5715 светильников (потребность учреждений)*0,00016002/3чел.</v>
      </c>
      <c r="N3996" s="164">
        <f>N3516</f>
        <v>111.16365879265086</v>
      </c>
      <c r="O3996" s="165">
        <f>MROUND(G3996*N3996,0.000001)</f>
        <v>33.886918999999999</v>
      </c>
      <c r="P3996" s="166"/>
      <c r="Q3996" s="166">
        <f t="shared" si="952"/>
        <v>101.66075699999999</v>
      </c>
      <c r="R3996" s="71"/>
    </row>
    <row r="3997" spans="1:18" s="62" customFormat="1" x14ac:dyDescent="0.25">
      <c r="A3997" s="359"/>
      <c r="B3997" s="362"/>
      <c r="C3997" s="218" t="s">
        <v>310</v>
      </c>
      <c r="D3997" s="256"/>
      <c r="E3997" s="240"/>
      <c r="F3997" s="240"/>
      <c r="G3997" s="227"/>
      <c r="H3997" s="241"/>
      <c r="I3997" s="206"/>
      <c r="J3997" s="228"/>
      <c r="K3997" s="207"/>
      <c r="L3997" s="257"/>
      <c r="M3997" s="209"/>
      <c r="N3997" s="210"/>
      <c r="O3997" s="198">
        <f>SUM(O3995:O3996)</f>
        <v>39.421082999999996</v>
      </c>
      <c r="P3997" s="267"/>
      <c r="Q3997" s="166"/>
      <c r="R3997" s="71"/>
    </row>
    <row r="3998" spans="1:18" s="61" customFormat="1" x14ac:dyDescent="0.25">
      <c r="A3998" s="357" t="str">
        <f>CONCATENATE(школы!$B$11,", ",школы!$C$11,", ",школы!$D$11)</f>
        <v xml:space="preserve">Реализация основных общеобразовательных программ начального общего образования, образовательная программа, обеспечивающая углубленное изучение отдельных учебных предметов, предметных областей (профильное обучение), </v>
      </c>
      <c r="B3998" s="360" t="str">
        <f>школы!$A$11</f>
        <v>801012О.99.0.БА81АП40001</v>
      </c>
      <c r="C3998" s="194"/>
      <c r="D3998" s="363" t="s">
        <v>15</v>
      </c>
      <c r="E3998" s="363"/>
      <c r="F3998" s="363"/>
      <c r="G3998" s="363"/>
      <c r="H3998" s="195"/>
      <c r="I3998" s="195"/>
      <c r="J3998" s="195"/>
      <c r="K3998" s="195"/>
      <c r="L3998" s="196"/>
      <c r="M3998" s="197"/>
      <c r="N3998" s="164"/>
      <c r="O3998" s="198">
        <f>O3999+O4004+O4006</f>
        <v>9897.1760746070013</v>
      </c>
      <c r="P3998" s="166"/>
      <c r="Q3998" s="166"/>
      <c r="R3998" s="71"/>
    </row>
    <row r="3999" spans="1:18" s="61" customFormat="1" x14ac:dyDescent="0.25">
      <c r="A3999" s="358"/>
      <c r="B3999" s="361"/>
      <c r="C3999" s="194"/>
      <c r="D3999" s="350" t="s">
        <v>62</v>
      </c>
      <c r="E3999" s="350"/>
      <c r="F3999" s="350"/>
      <c r="G3999" s="350"/>
      <c r="H3999" s="195"/>
      <c r="I3999" s="195"/>
      <c r="J3999" s="195"/>
      <c r="K3999" s="195"/>
      <c r="L3999" s="196"/>
      <c r="M3999" s="197"/>
      <c r="N3999" s="164"/>
      <c r="O3999" s="165">
        <f>O4001+O4003</f>
        <v>9897.1760746070013</v>
      </c>
      <c r="P3999" s="166"/>
      <c r="Q3999" s="166"/>
      <c r="R3999" s="71"/>
    </row>
    <row r="4000" spans="1:18" s="61" customFormat="1" x14ac:dyDescent="0.25">
      <c r="A4000" s="358"/>
      <c r="B4000" s="361"/>
      <c r="C4000" s="194">
        <v>211</v>
      </c>
      <c r="D4000" s="194" t="s">
        <v>86</v>
      </c>
      <c r="E4000" s="199" t="s">
        <v>95</v>
      </c>
      <c r="F4000" s="199" t="s">
        <v>95</v>
      </c>
      <c r="G4000" s="275">
        <f>MROUND(H4000*L4000*I4000/K4000,0.0000000001)</f>
        <v>0.59001408659999999</v>
      </c>
      <c r="H4000" s="201">
        <f>H3400</f>
        <v>921.8</v>
      </c>
      <c r="I4000" s="159">
        <f>школы!$K$11</f>
        <v>2.2775730000000001E-2</v>
      </c>
      <c r="J4000" s="159"/>
      <c r="K4000" s="161">
        <f>школы!$G$11</f>
        <v>427</v>
      </c>
      <c r="L4000" s="202">
        <v>12</v>
      </c>
      <c r="M4000" s="163" t="str">
        <f>CONCATENATE(H4000," ",F4000," ","в мес.","*",L4000,"мес.","*",I4000,"/",K4000,"чел.")</f>
        <v>921,8 шт.ед в мес.*12мес.*0,02277573/427чел.</v>
      </c>
      <c r="N4000" s="164">
        <f>N3400</f>
        <v>12883.620739314385</v>
      </c>
      <c r="O4000" s="165">
        <f>MROUND(G4000*N4000,0.000000001)</f>
        <v>7601.5177226070009</v>
      </c>
      <c r="P4000" s="166"/>
      <c r="Q4000" s="166">
        <f t="shared" ref="Q4000" si="953">O4000*K4000</f>
        <v>3245848.0675531896</v>
      </c>
      <c r="R4000" s="71"/>
    </row>
    <row r="4001" spans="1:18" s="62" customFormat="1" x14ac:dyDescent="0.25">
      <c r="A4001" s="358"/>
      <c r="B4001" s="361"/>
      <c r="C4001" s="203" t="s">
        <v>288</v>
      </c>
      <c r="D4001" s="203"/>
      <c r="E4001" s="204"/>
      <c r="F4001" s="204"/>
      <c r="G4001" s="205"/>
      <c r="H4001" s="206"/>
      <c r="I4001" s="206"/>
      <c r="J4001" s="206"/>
      <c r="K4001" s="207"/>
      <c r="L4001" s="208"/>
      <c r="M4001" s="209"/>
      <c r="N4001" s="210">
        <f>N4000</f>
        <v>12883.620739314385</v>
      </c>
      <c r="O4001" s="198">
        <f>O4000</f>
        <v>7601.5177226070009</v>
      </c>
      <c r="P4001" s="267"/>
      <c r="Q4001" s="166"/>
      <c r="R4001" s="71"/>
    </row>
    <row r="4002" spans="1:18" s="61" customFormat="1" x14ac:dyDescent="0.25">
      <c r="A4002" s="358"/>
      <c r="B4002" s="361"/>
      <c r="C4002" s="194">
        <v>213</v>
      </c>
      <c r="D4002" s="194" t="s">
        <v>87</v>
      </c>
      <c r="E4002" s="194" t="s">
        <v>88</v>
      </c>
      <c r="F4002" s="194"/>
      <c r="G4002" s="211">
        <v>30.2</v>
      </c>
      <c r="H4002" s="159"/>
      <c r="I4002" s="159"/>
      <c r="J4002" s="159"/>
      <c r="K4002" s="161">
        <f>K4000</f>
        <v>427</v>
      </c>
      <c r="L4002" s="202"/>
      <c r="M4002" s="212"/>
      <c r="N4002" s="164"/>
      <c r="O4002" s="165">
        <f>MROUND(O4000*0.302,0.000001)</f>
        <v>2295.6583519999999</v>
      </c>
      <c r="P4002" s="166"/>
      <c r="Q4002" s="166">
        <f>O4002*K4002</f>
        <v>980246.11630400002</v>
      </c>
      <c r="R4002" s="71"/>
    </row>
    <row r="4003" spans="1:18" s="62" customFormat="1" x14ac:dyDescent="0.25">
      <c r="A4003" s="358"/>
      <c r="B4003" s="361"/>
      <c r="C4003" s="203" t="s">
        <v>289</v>
      </c>
      <c r="D4003" s="203"/>
      <c r="E4003" s="203"/>
      <c r="F4003" s="203"/>
      <c r="G4003" s="213"/>
      <c r="H4003" s="214"/>
      <c r="I4003" s="206"/>
      <c r="J4003" s="214"/>
      <c r="K4003" s="207"/>
      <c r="L4003" s="215"/>
      <c r="M4003" s="216"/>
      <c r="N4003" s="210"/>
      <c r="O4003" s="198">
        <f>O4002</f>
        <v>2295.6583519999999</v>
      </c>
      <c r="P4003" s="267"/>
      <c r="Q4003" s="166"/>
      <c r="R4003" s="71"/>
    </row>
    <row r="4004" spans="1:18" s="61" customFormat="1" x14ac:dyDescent="0.25">
      <c r="A4004" s="358"/>
      <c r="B4004" s="361"/>
      <c r="C4004" s="194"/>
      <c r="D4004" s="356" t="s">
        <v>63</v>
      </c>
      <c r="E4004" s="356"/>
      <c r="F4004" s="356"/>
      <c r="G4004" s="356"/>
      <c r="H4004" s="195"/>
      <c r="I4004" s="159"/>
      <c r="J4004" s="195"/>
      <c r="K4004" s="161"/>
      <c r="L4004" s="196"/>
      <c r="M4004" s="197"/>
      <c r="N4004" s="164"/>
      <c r="O4004" s="165"/>
      <c r="P4004" s="166"/>
      <c r="Q4004" s="166"/>
      <c r="R4004" s="71"/>
    </row>
    <row r="4005" spans="1:18" s="61" customFormat="1" x14ac:dyDescent="0.25">
      <c r="A4005" s="358"/>
      <c r="B4005" s="361"/>
      <c r="C4005" s="194"/>
      <c r="D4005" s="194"/>
      <c r="E4005" s="194"/>
      <c r="F4005" s="194"/>
      <c r="G4005" s="217"/>
      <c r="H4005" s="195"/>
      <c r="I4005" s="159"/>
      <c r="J4005" s="195"/>
      <c r="K4005" s="161"/>
      <c r="L4005" s="196"/>
      <c r="M4005" s="197"/>
      <c r="N4005" s="164"/>
      <c r="O4005" s="165"/>
      <c r="P4005" s="166"/>
      <c r="Q4005" s="166"/>
      <c r="R4005" s="71"/>
    </row>
    <row r="4006" spans="1:18" s="61" customFormat="1" x14ac:dyDescent="0.25">
      <c r="A4006" s="358"/>
      <c r="B4006" s="361"/>
      <c r="C4006" s="194"/>
      <c r="D4006" s="350" t="s">
        <v>64</v>
      </c>
      <c r="E4006" s="350"/>
      <c r="F4006" s="350"/>
      <c r="G4006" s="350"/>
      <c r="H4006" s="195"/>
      <c r="I4006" s="159"/>
      <c r="J4006" s="195"/>
      <c r="K4006" s="161"/>
      <c r="L4006" s="196"/>
      <c r="M4006" s="197"/>
      <c r="N4006" s="164"/>
      <c r="O4006" s="165"/>
      <c r="P4006" s="166"/>
      <c r="Q4006" s="166"/>
      <c r="R4006" s="71"/>
    </row>
    <row r="4007" spans="1:18" s="61" customFormat="1" x14ac:dyDescent="0.25">
      <c r="A4007" s="358"/>
      <c r="B4007" s="361"/>
      <c r="C4007" s="194"/>
      <c r="D4007" s="194"/>
      <c r="E4007" s="194"/>
      <c r="F4007" s="194"/>
      <c r="G4007" s="217"/>
      <c r="H4007" s="195"/>
      <c r="I4007" s="159"/>
      <c r="J4007" s="195"/>
      <c r="K4007" s="161"/>
      <c r="L4007" s="196"/>
      <c r="M4007" s="197"/>
      <c r="N4007" s="164"/>
      <c r="O4007" s="165"/>
      <c r="P4007" s="166"/>
      <c r="Q4007" s="166"/>
      <c r="R4007" s="71"/>
    </row>
    <row r="4008" spans="1:18" s="61" customFormat="1" x14ac:dyDescent="0.25">
      <c r="A4008" s="358"/>
      <c r="B4008" s="361"/>
      <c r="C4008" s="194"/>
      <c r="D4008" s="355" t="s">
        <v>5</v>
      </c>
      <c r="E4008" s="355"/>
      <c r="F4008" s="355"/>
      <c r="G4008" s="355"/>
      <c r="H4008" s="195"/>
      <c r="I4008" s="159"/>
      <c r="J4008" s="195"/>
      <c r="K4008" s="161"/>
      <c r="L4008" s="196"/>
      <c r="M4008" s="197"/>
      <c r="N4008" s="164"/>
      <c r="O4008" s="198">
        <f>O4009+O4019+O4030+O4032+O4034+O4036+O4038</f>
        <v>21013.360941676488</v>
      </c>
      <c r="P4008" s="166"/>
      <c r="Q4008" s="166"/>
      <c r="R4008" s="71"/>
    </row>
    <row r="4009" spans="1:18" s="61" customFormat="1" x14ac:dyDescent="0.25">
      <c r="A4009" s="358"/>
      <c r="B4009" s="361"/>
      <c r="C4009" s="221" t="s">
        <v>70</v>
      </c>
      <c r="D4009" s="355" t="s">
        <v>6</v>
      </c>
      <c r="E4009" s="355"/>
      <c r="F4009" s="355"/>
      <c r="G4009" s="355"/>
      <c r="H4009" s="189"/>
      <c r="I4009" s="159"/>
      <c r="J4009" s="189"/>
      <c r="K4009" s="161"/>
      <c r="L4009" s="190"/>
      <c r="M4009" s="197"/>
      <c r="N4009" s="210"/>
      <c r="O4009" s="198">
        <f>O4018</f>
        <v>9652.1115927000028</v>
      </c>
      <c r="P4009" s="166"/>
      <c r="Q4009" s="166"/>
      <c r="R4009" s="71"/>
    </row>
    <row r="4010" spans="1:18" s="61" customFormat="1" ht="31.5" x14ac:dyDescent="0.25">
      <c r="A4010" s="358"/>
      <c r="B4010" s="361"/>
      <c r="C4010" s="221" t="s">
        <v>72</v>
      </c>
      <c r="D4010" s="222" t="s">
        <v>7</v>
      </c>
      <c r="E4010" s="223" t="s">
        <v>8</v>
      </c>
      <c r="F4010" s="223" t="s">
        <v>8</v>
      </c>
      <c r="G4010" s="238">
        <f>MROUND(H4010*L4010*I4010/K4010,0.00000000001)</f>
        <v>176.71840530595998</v>
      </c>
      <c r="H4010" s="160">
        <f t="shared" ref="H4010:H4017" si="954">H3410</f>
        <v>3313121.4264326878</v>
      </c>
      <c r="I4010" s="159">
        <f>I4000</f>
        <v>2.2775730000000001E-2</v>
      </c>
      <c r="J4010" s="160"/>
      <c r="K4010" s="161">
        <f>K4000</f>
        <v>427</v>
      </c>
      <c r="L4010" s="250">
        <v>1</v>
      </c>
      <c r="M4010" s="163" t="str">
        <f t="shared" ref="M4010:M4015" si="955">CONCATENATE(H4010," ",F4010,"(лимиты выделенные УЖКХ) ","*",I4010,"/",K4010,"чел.")</f>
        <v>3313121,42643269 кВт час.(лимиты выделенные УЖКХ) *0,02277573/427чел.</v>
      </c>
      <c r="N4010" s="164">
        <f t="shared" ref="N4010:N4017" si="956">N3410</f>
        <v>10.897694685122204</v>
      </c>
      <c r="O4010" s="165">
        <f t="shared" ref="O4010:O4013" si="957">MROUND(G4010*N4010,0.000001)</f>
        <v>1925.823226</v>
      </c>
      <c r="P4010" s="166"/>
      <c r="Q4010" s="166">
        <f t="shared" ref="Q4010:Q4017" si="958">O4010*K4010</f>
        <v>822326.51750199997</v>
      </c>
      <c r="R4010" s="71"/>
    </row>
    <row r="4011" spans="1:18" s="61" customFormat="1" ht="31.5" x14ac:dyDescent="0.25">
      <c r="A4011" s="358"/>
      <c r="B4011" s="361"/>
      <c r="C4011" s="221" t="s">
        <v>73</v>
      </c>
      <c r="D4011" s="222" t="s">
        <v>9</v>
      </c>
      <c r="E4011" s="223" t="s">
        <v>10</v>
      </c>
      <c r="F4011" s="223" t="s">
        <v>10</v>
      </c>
      <c r="G4011" s="238">
        <f>MROUND(H4011*L4011*I4011/K4011,0.00000000001)</f>
        <v>1.7013731670799999</v>
      </c>
      <c r="H4011" s="160">
        <f t="shared" si="954"/>
        <v>31897.39</v>
      </c>
      <c r="I4011" s="159">
        <f t="shared" ref="I4011:I4074" si="959">I4010</f>
        <v>2.2775730000000001E-2</v>
      </c>
      <c r="J4011" s="160"/>
      <c r="K4011" s="161">
        <f t="shared" ref="K4011:K4017" si="960">K4010</f>
        <v>427</v>
      </c>
      <c r="L4011" s="250">
        <v>1</v>
      </c>
      <c r="M4011" s="163" t="str">
        <f t="shared" si="955"/>
        <v>31897,39 Гкал(лимиты выделенные УЖКХ) *0,02277573/427чел.</v>
      </c>
      <c r="N4011" s="164">
        <f t="shared" si="956"/>
        <v>2976.2517908205036</v>
      </c>
      <c r="O4011" s="165">
        <f t="shared" si="957"/>
        <v>5063.714935</v>
      </c>
      <c r="P4011" s="166"/>
      <c r="Q4011" s="166">
        <f t="shared" si="958"/>
        <v>2162206.277245</v>
      </c>
      <c r="R4011" s="71"/>
    </row>
    <row r="4012" spans="1:18" s="61" customFormat="1" ht="31.5" x14ac:dyDescent="0.25">
      <c r="A4012" s="358"/>
      <c r="B4012" s="361"/>
      <c r="C4012" s="364" t="s">
        <v>74</v>
      </c>
      <c r="D4012" s="222" t="s">
        <v>12</v>
      </c>
      <c r="E4012" s="222" t="s">
        <v>11</v>
      </c>
      <c r="F4012" s="222" t="s">
        <v>11</v>
      </c>
      <c r="G4012" s="238">
        <f>MROUND(H4012*L4012*I4012/K4012,0.00000000001)</f>
        <v>9.8530458925599991</v>
      </c>
      <c r="H4012" s="224">
        <f t="shared" si="954"/>
        <v>184725.17</v>
      </c>
      <c r="I4012" s="159">
        <f t="shared" si="959"/>
        <v>2.2775730000000001E-2</v>
      </c>
      <c r="J4012" s="160"/>
      <c r="K4012" s="161">
        <f t="shared" si="960"/>
        <v>427</v>
      </c>
      <c r="L4012" s="250">
        <v>1</v>
      </c>
      <c r="M4012" s="163" t="str">
        <f t="shared" si="955"/>
        <v>184725,17 м3(лимиты выделенные УЖКХ) *0,02277573/427чел.</v>
      </c>
      <c r="N4012" s="164">
        <f t="shared" si="956"/>
        <v>54.214180016724306</v>
      </c>
      <c r="O4012" s="165">
        <f t="shared" si="957"/>
        <v>534.17480399999999</v>
      </c>
      <c r="P4012" s="166"/>
      <c r="Q4012" s="166">
        <f t="shared" si="958"/>
        <v>228092.64130799999</v>
      </c>
      <c r="R4012" s="71"/>
    </row>
    <row r="4013" spans="1:18" s="61" customFormat="1" ht="47.25" x14ac:dyDescent="0.25">
      <c r="A4013" s="358"/>
      <c r="B4013" s="361"/>
      <c r="C4013" s="364"/>
      <c r="D4013" s="222" t="s">
        <v>17</v>
      </c>
      <c r="E4013" s="222" t="s">
        <v>11</v>
      </c>
      <c r="F4013" s="222" t="s">
        <v>11</v>
      </c>
      <c r="G4013" s="238">
        <f>MROUND(H4013*L4013*I4013/K4013,0.00000000001)</f>
        <v>9.8530458925599991</v>
      </c>
      <c r="H4013" s="160">
        <f t="shared" si="954"/>
        <v>184725.17</v>
      </c>
      <c r="I4013" s="159">
        <f t="shared" si="959"/>
        <v>2.2775730000000001E-2</v>
      </c>
      <c r="J4013" s="160"/>
      <c r="K4013" s="161">
        <f t="shared" si="960"/>
        <v>427</v>
      </c>
      <c r="L4013" s="162">
        <f>$L$25</f>
        <v>1</v>
      </c>
      <c r="M4013" s="163" t="str">
        <f t="shared" si="955"/>
        <v>184725,17 м3(лимиты выделенные УЖКХ) *0,02277573/427чел.</v>
      </c>
      <c r="N4013" s="164">
        <f t="shared" si="956"/>
        <v>82.384170780821918</v>
      </c>
      <c r="O4013" s="165">
        <f t="shared" si="957"/>
        <v>811.73501599999997</v>
      </c>
      <c r="P4013" s="166"/>
      <c r="Q4013" s="166">
        <f t="shared" si="958"/>
        <v>346610.85183200001</v>
      </c>
      <c r="R4013" s="71"/>
    </row>
    <row r="4014" spans="1:18" s="61" customFormat="1" ht="31.5" x14ac:dyDescent="0.25">
      <c r="A4014" s="358"/>
      <c r="B4014" s="361"/>
      <c r="C4014" s="364"/>
      <c r="D4014" s="222" t="s">
        <v>13</v>
      </c>
      <c r="E4014" s="222" t="s">
        <v>11</v>
      </c>
      <c r="F4014" s="222" t="s">
        <v>11</v>
      </c>
      <c r="G4014" s="238">
        <f>MROUND(H4014*L4014*I4014/K4014,0.00000000001)</f>
        <v>9.8530458925599991</v>
      </c>
      <c r="H4014" s="160">
        <f t="shared" si="954"/>
        <v>184725.17</v>
      </c>
      <c r="I4014" s="159">
        <f t="shared" si="959"/>
        <v>2.2775730000000001E-2</v>
      </c>
      <c r="J4014" s="160"/>
      <c r="K4014" s="161">
        <f t="shared" si="960"/>
        <v>427</v>
      </c>
      <c r="L4014" s="162">
        <v>1</v>
      </c>
      <c r="M4014" s="163" t="str">
        <f t="shared" si="955"/>
        <v>184725,17 м3(лимиты выделенные УЖКХ) *0,02277573/427чел.</v>
      </c>
      <c r="N4014" s="164">
        <f t="shared" si="956"/>
        <v>112.36110334722464</v>
      </c>
      <c r="O4014" s="165">
        <f>MROUND(G4014*N4014,0.00000001)</f>
        <v>1107.09910782</v>
      </c>
      <c r="P4014" s="166"/>
      <c r="Q4014" s="166">
        <f t="shared" si="958"/>
        <v>472731.31903914001</v>
      </c>
      <c r="R4014" s="71"/>
    </row>
    <row r="4015" spans="1:18" s="61" customFormat="1" ht="31.5" x14ac:dyDescent="0.25">
      <c r="A4015" s="358"/>
      <c r="B4015" s="361"/>
      <c r="C4015" s="221" t="s">
        <v>75</v>
      </c>
      <c r="D4015" s="222" t="s">
        <v>18</v>
      </c>
      <c r="E4015" s="222" t="s">
        <v>48</v>
      </c>
      <c r="F4015" s="222" t="s">
        <v>48</v>
      </c>
      <c r="G4015" s="238">
        <f>MROUND(H4015*L4015*I4015/K4015,0.0000000001)</f>
        <v>0.74074994840000008</v>
      </c>
      <c r="H4015" s="160">
        <f t="shared" si="954"/>
        <v>13887.6</v>
      </c>
      <c r="I4015" s="159">
        <f t="shared" si="959"/>
        <v>2.2775730000000001E-2</v>
      </c>
      <c r="J4015" s="160"/>
      <c r="K4015" s="161">
        <f t="shared" si="960"/>
        <v>427</v>
      </c>
      <c r="L4015" s="250">
        <v>1</v>
      </c>
      <c r="M4015" s="163" t="str">
        <f t="shared" si="955"/>
        <v>13887,6 тыс. м3(лимиты выделенные УЖКХ) *0,02277573/427чел.</v>
      </c>
      <c r="N4015" s="164">
        <f t="shared" si="956"/>
        <v>30.576235634666901</v>
      </c>
      <c r="O4015" s="165">
        <f t="shared" ref="O4015" si="961">MROUND(G4015*N4015,0.000001)</f>
        <v>22.649345</v>
      </c>
      <c r="P4015" s="166"/>
      <c r="Q4015" s="166">
        <f t="shared" si="958"/>
        <v>9671.2703149999998</v>
      </c>
      <c r="R4015" s="71"/>
    </row>
    <row r="4016" spans="1:18" s="61" customFormat="1" x14ac:dyDescent="0.25">
      <c r="A4016" s="358"/>
      <c r="B4016" s="361"/>
      <c r="C4016" s="364" t="s">
        <v>216</v>
      </c>
      <c r="D4016" s="222" t="s">
        <v>23</v>
      </c>
      <c r="E4016" s="222" t="s">
        <v>11</v>
      </c>
      <c r="F4016" s="222" t="s">
        <v>11</v>
      </c>
      <c r="G4016" s="238">
        <f>MROUND(H4016*L4016*I4016/K4016,0.000000000001)</f>
        <v>0.17967970751099999</v>
      </c>
      <c r="H4016" s="160">
        <f t="shared" si="954"/>
        <v>3368.6400000000003</v>
      </c>
      <c r="I4016" s="159">
        <f t="shared" si="959"/>
        <v>2.2775730000000001E-2</v>
      </c>
      <c r="J4016" s="160"/>
      <c r="K4016" s="161">
        <f t="shared" si="960"/>
        <v>427</v>
      </c>
      <c r="L4016" s="162">
        <f>L4015</f>
        <v>1</v>
      </c>
      <c r="M4016" s="163" t="str">
        <f>CONCATENATE(H4016," ",F4016," ","*",I4016,"/",K4016,"чел.")</f>
        <v>3368,64 м3 *0,02277573/427чел.</v>
      </c>
      <c r="N4016" s="164">
        <f t="shared" si="956"/>
        <v>776.35552626579261</v>
      </c>
      <c r="O4016" s="165">
        <f>MROUND(G4016*N4016,0.00000001)</f>
        <v>139.49533388</v>
      </c>
      <c r="P4016" s="166"/>
      <c r="Q4016" s="166">
        <f t="shared" si="958"/>
        <v>59564.507566760003</v>
      </c>
      <c r="R4016" s="71"/>
    </row>
    <row r="4017" spans="1:18" s="61" customFormat="1" ht="47.25" x14ac:dyDescent="0.25">
      <c r="A4017" s="358"/>
      <c r="B4017" s="361"/>
      <c r="C4017" s="364"/>
      <c r="D4017" s="222" t="s">
        <v>24</v>
      </c>
      <c r="E4017" s="222" t="s">
        <v>25</v>
      </c>
      <c r="F4017" s="222" t="s">
        <v>217</v>
      </c>
      <c r="G4017" s="238">
        <f>MROUND(H4017*L4017*I4017/K4017,0.000000000001)</f>
        <v>7.8408250819999997E-3</v>
      </c>
      <c r="H4017" s="160">
        <f t="shared" si="954"/>
        <v>147</v>
      </c>
      <c r="I4017" s="159">
        <f t="shared" si="959"/>
        <v>2.2775730000000001E-2</v>
      </c>
      <c r="J4017" s="160"/>
      <c r="K4017" s="161">
        <f t="shared" si="960"/>
        <v>427</v>
      </c>
      <c r="L4017" s="250">
        <f>L4016</f>
        <v>1</v>
      </c>
      <c r="M4017" s="163" t="str">
        <f>CONCATENATE(H4017," ",F4017,"(потребность из расчета 4 контейнера для уборки территории весной и осенью на 1 учреждение)","*",I4017,"/",K4017,"чел.")</f>
        <v>147 контейнера(потребность из расчета 4 контейнера для уборки территории весной и осенью на 1 учреждение)*0,02277573/427чел.</v>
      </c>
      <c r="N4017" s="164">
        <f t="shared" si="956"/>
        <v>6047.8105442176911</v>
      </c>
      <c r="O4017" s="165">
        <f t="shared" ref="O4017" si="962">MROUND(G4017*N4017,0.000001)</f>
        <v>47.419824999999996</v>
      </c>
      <c r="P4017" s="166"/>
      <c r="Q4017" s="166">
        <f t="shared" si="958"/>
        <v>20248.265274999998</v>
      </c>
      <c r="R4017" s="71"/>
    </row>
    <row r="4018" spans="1:18" s="62" customFormat="1" x14ac:dyDescent="0.25">
      <c r="A4018" s="358"/>
      <c r="B4018" s="361"/>
      <c r="C4018" s="218" t="s">
        <v>290</v>
      </c>
      <c r="D4018" s="226"/>
      <c r="E4018" s="226"/>
      <c r="F4018" s="226"/>
      <c r="G4018" s="227"/>
      <c r="H4018" s="228"/>
      <c r="I4018" s="206"/>
      <c r="J4018" s="228"/>
      <c r="K4018" s="207"/>
      <c r="L4018" s="257"/>
      <c r="M4018" s="209"/>
      <c r="N4018" s="210"/>
      <c r="O4018" s="198">
        <f>SUM(O4010:O4017)</f>
        <v>9652.1115927000028</v>
      </c>
      <c r="P4018" s="267"/>
      <c r="Q4018" s="166"/>
      <c r="R4018" s="71"/>
    </row>
    <row r="4019" spans="1:18" s="61" customFormat="1" x14ac:dyDescent="0.25">
      <c r="A4019" s="358"/>
      <c r="B4019" s="361"/>
      <c r="C4019" s="221"/>
      <c r="D4019" s="356" t="s">
        <v>14</v>
      </c>
      <c r="E4019" s="356"/>
      <c r="F4019" s="356"/>
      <c r="G4019" s="356"/>
      <c r="H4019" s="188"/>
      <c r="I4019" s="159"/>
      <c r="J4019" s="188"/>
      <c r="K4019" s="161"/>
      <c r="L4019" s="250"/>
      <c r="M4019" s="230"/>
      <c r="N4019" s="164"/>
      <c r="O4019" s="198">
        <f>O4027+O4028+O4023</f>
        <v>10098.996573936491</v>
      </c>
      <c r="P4019" s="166"/>
      <c r="Q4019" s="166"/>
      <c r="R4019" s="71"/>
    </row>
    <row r="4020" spans="1:18" s="61" customFormat="1" x14ac:dyDescent="0.25">
      <c r="A4020" s="358"/>
      <c r="B4020" s="361"/>
      <c r="C4020" s="221" t="s">
        <v>379</v>
      </c>
      <c r="D4020" s="231" t="s">
        <v>49</v>
      </c>
      <c r="E4020" s="231" t="s">
        <v>22</v>
      </c>
      <c r="F4020" s="231" t="s">
        <v>22</v>
      </c>
      <c r="G4020" s="238">
        <f>MROUND(H4020*L4020*I4020/K4020,0.000000001)</f>
        <v>0</v>
      </c>
      <c r="H4020" s="160"/>
      <c r="I4020" s="159">
        <f>I4015</f>
        <v>2.2775730000000001E-2</v>
      </c>
      <c r="J4020" s="160"/>
      <c r="K4020" s="161">
        <f>K4015</f>
        <v>427</v>
      </c>
      <c r="L4020" s="250"/>
      <c r="M4020" s="163"/>
      <c r="N4020" s="164"/>
      <c r="O4020" s="165">
        <f>MROUND(G4020*N4020,0.00000001)</f>
        <v>0</v>
      </c>
      <c r="P4020" s="166"/>
      <c r="Q4020" s="166">
        <f t="shared" ref="Q4020:Q4022" si="963">O4020*K4020</f>
        <v>0</v>
      </c>
      <c r="R4020" s="71"/>
    </row>
    <row r="4021" spans="1:18" s="61" customFormat="1" x14ac:dyDescent="0.25">
      <c r="A4021" s="358"/>
      <c r="B4021" s="361"/>
      <c r="C4021" s="221" t="s">
        <v>379</v>
      </c>
      <c r="D4021" s="231" t="s">
        <v>49</v>
      </c>
      <c r="E4021" s="231" t="s">
        <v>28</v>
      </c>
      <c r="F4021" s="231" t="s">
        <v>28</v>
      </c>
      <c r="G4021" s="238">
        <f>MROUND(H4021*L4021*I4021/K4021,0.00000000000001)</f>
        <v>0</v>
      </c>
      <c r="H4021" s="160"/>
      <c r="I4021" s="159">
        <f t="shared" si="959"/>
        <v>2.2775730000000001E-2</v>
      </c>
      <c r="J4021" s="160"/>
      <c r="K4021" s="161">
        <f>K4020</f>
        <v>427</v>
      </c>
      <c r="L4021" s="250">
        <v>1</v>
      </c>
      <c r="M4021" s="163"/>
      <c r="N4021" s="164"/>
      <c r="O4021" s="165">
        <f>MROUND(G4021*N4021,0.00000001)</f>
        <v>0</v>
      </c>
      <c r="P4021" s="166"/>
      <c r="Q4021" s="166">
        <f t="shared" si="963"/>
        <v>0</v>
      </c>
      <c r="R4021" s="71"/>
    </row>
    <row r="4022" spans="1:18" s="61" customFormat="1" x14ac:dyDescent="0.25">
      <c r="A4022" s="358"/>
      <c r="B4022" s="361"/>
      <c r="C4022" s="221" t="s">
        <v>379</v>
      </c>
      <c r="D4022" s="231" t="s">
        <v>49</v>
      </c>
      <c r="E4022" s="231" t="s">
        <v>101</v>
      </c>
      <c r="F4022" s="231" t="s">
        <v>101</v>
      </c>
      <c r="G4022" s="238">
        <f>MROUND(H4022*L4022*I4022/K4022,0.000000001)</f>
        <v>0</v>
      </c>
      <c r="H4022" s="160"/>
      <c r="I4022" s="159">
        <f t="shared" si="959"/>
        <v>2.2775730000000001E-2</v>
      </c>
      <c r="J4022" s="160"/>
      <c r="K4022" s="161">
        <f>K4021</f>
        <v>427</v>
      </c>
      <c r="L4022" s="250"/>
      <c r="M4022" s="163"/>
      <c r="N4022" s="164"/>
      <c r="O4022" s="165">
        <f>MROUND(G4022*N4022,0.00000001)</f>
        <v>0</v>
      </c>
      <c r="P4022" s="166"/>
      <c r="Q4022" s="166">
        <f t="shared" si="963"/>
        <v>0</v>
      </c>
      <c r="R4022" s="71"/>
    </row>
    <row r="4023" spans="1:18" s="62" customFormat="1" x14ac:dyDescent="0.25">
      <c r="A4023" s="358"/>
      <c r="B4023" s="361"/>
      <c r="C4023" s="218" t="s">
        <v>381</v>
      </c>
      <c r="D4023" s="232"/>
      <c r="E4023" s="232"/>
      <c r="F4023" s="232"/>
      <c r="G4023" s="227"/>
      <c r="H4023" s="228"/>
      <c r="I4023" s="206"/>
      <c r="J4023" s="228"/>
      <c r="K4023" s="207"/>
      <c r="L4023" s="257"/>
      <c r="M4023" s="209"/>
      <c r="N4023" s="210"/>
      <c r="O4023" s="198">
        <f>SUM(O4020:O4022)</f>
        <v>0</v>
      </c>
      <c r="P4023" s="267"/>
      <c r="Q4023" s="166"/>
      <c r="R4023" s="71"/>
    </row>
    <row r="4024" spans="1:18" s="61" customFormat="1" x14ac:dyDescent="0.25">
      <c r="A4024" s="358"/>
      <c r="B4024" s="361"/>
      <c r="C4024" s="221" t="s">
        <v>76</v>
      </c>
      <c r="D4024" s="231" t="s">
        <v>49</v>
      </c>
      <c r="E4024" s="231" t="s">
        <v>22</v>
      </c>
      <c r="F4024" s="231" t="s">
        <v>22</v>
      </c>
      <c r="G4024" s="238">
        <f>MROUND(H4024*L4024*I4024/K4024,0.000000000000001)</f>
        <v>65.288447302894852</v>
      </c>
      <c r="H4024" s="160">
        <f>H3424</f>
        <v>1224029.57</v>
      </c>
      <c r="I4024" s="159">
        <f>I4022</f>
        <v>2.2775730000000001E-2</v>
      </c>
      <c r="J4024" s="160"/>
      <c r="K4024" s="161">
        <f>K4022</f>
        <v>427</v>
      </c>
      <c r="L4024" s="250">
        <v>1</v>
      </c>
      <c r="M4024" s="163" t="str">
        <f>CONCATENATE(H4024," ",F4024,"*",I4024,"/",K4024,"чел.")</f>
        <v>1224029,57 м2*0,02277573/427чел.</v>
      </c>
      <c r="N4024" s="164">
        <f>N3424</f>
        <v>37.50494361014497</v>
      </c>
      <c r="O4024" s="165">
        <f>MROUND(G4024*N4024,0.00000000001)</f>
        <v>2448.6395344889897</v>
      </c>
      <c r="P4024" s="166"/>
      <c r="Q4024" s="166">
        <f t="shared" ref="Q4024:Q4026" si="964">O4024*K4024</f>
        <v>1045569.0812267986</v>
      </c>
      <c r="R4024" s="71"/>
    </row>
    <row r="4025" spans="1:18" s="61" customFormat="1" x14ac:dyDescent="0.25">
      <c r="A4025" s="358"/>
      <c r="B4025" s="361"/>
      <c r="C4025" s="221"/>
      <c r="D4025" s="231" t="s">
        <v>49</v>
      </c>
      <c r="E4025" s="231" t="s">
        <v>28</v>
      </c>
      <c r="F4025" s="231" t="s">
        <v>28</v>
      </c>
      <c r="G4025" s="238">
        <f>MROUND(H4025*L4025*I4025/K4025,0.000000000001)</f>
        <v>5.8992874426E-2</v>
      </c>
      <c r="H4025" s="160">
        <f>H3425</f>
        <v>1106</v>
      </c>
      <c r="I4025" s="159">
        <f t="shared" si="959"/>
        <v>2.2775730000000001E-2</v>
      </c>
      <c r="J4025" s="160"/>
      <c r="K4025" s="161">
        <f>K4024</f>
        <v>427</v>
      </c>
      <c r="L4025" s="250">
        <v>1</v>
      </c>
      <c r="M4025" s="163" t="str">
        <f>CONCATENATE(H4025," ",F4025,"*",I4025,"/",K4025,"чел.")</f>
        <v>1106 шт*0,02277573/427чел.</v>
      </c>
      <c r="N4025" s="164">
        <f>N3425</f>
        <v>86192.676311030737</v>
      </c>
      <c r="O4025" s="165">
        <f>MROUND(G4025*N4025,0.0000000001)</f>
        <v>5084.7537300575004</v>
      </c>
      <c r="P4025" s="166"/>
      <c r="Q4025" s="166">
        <f t="shared" si="964"/>
        <v>2171189.8427345525</v>
      </c>
      <c r="R4025" s="71"/>
    </row>
    <row r="4026" spans="1:18" s="61" customFormat="1" x14ac:dyDescent="0.25">
      <c r="A4026" s="358"/>
      <c r="B4026" s="361"/>
      <c r="C4026" s="221"/>
      <c r="D4026" s="231" t="s">
        <v>49</v>
      </c>
      <c r="E4026" s="231" t="s">
        <v>101</v>
      </c>
      <c r="F4026" s="231" t="s">
        <v>101</v>
      </c>
      <c r="G4026" s="238">
        <f>MROUND(H4026*L4026*I4026/K4026,0.000000001)</f>
        <v>1.955939155</v>
      </c>
      <c r="H4026" s="160">
        <f>H3426</f>
        <v>36670</v>
      </c>
      <c r="I4026" s="159">
        <f t="shared" si="959"/>
        <v>2.2775730000000001E-2</v>
      </c>
      <c r="J4026" s="160"/>
      <c r="K4026" s="161">
        <f>K4025</f>
        <v>427</v>
      </c>
      <c r="L4026" s="250">
        <v>1</v>
      </c>
      <c r="M4026" s="163" t="str">
        <f>CONCATENATE(H4026," ",F4026,"*",I4026,"/",K4026,"чел.")</f>
        <v>36670 погон.м.*0,02277573/427чел.</v>
      </c>
      <c r="N4026" s="164">
        <f>N3426</f>
        <v>1311.6989364603219</v>
      </c>
      <c r="O4026" s="165">
        <f>MROUND(G4026*N4026,0.00000001)</f>
        <v>2565.60330939</v>
      </c>
      <c r="P4026" s="166"/>
      <c r="Q4026" s="166">
        <f t="shared" si="964"/>
        <v>1095512.6131095299</v>
      </c>
      <c r="R4026" s="71"/>
    </row>
    <row r="4027" spans="1:18" s="62" customFormat="1" x14ac:dyDescent="0.25">
      <c r="A4027" s="358"/>
      <c r="B4027" s="361"/>
      <c r="C4027" s="218" t="s">
        <v>302</v>
      </c>
      <c r="D4027" s="232"/>
      <c r="E4027" s="232"/>
      <c r="F4027" s="232"/>
      <c r="G4027" s="227"/>
      <c r="H4027" s="228"/>
      <c r="I4027" s="206"/>
      <c r="J4027" s="228"/>
      <c r="K4027" s="207"/>
      <c r="L4027" s="257"/>
      <c r="M4027" s="209"/>
      <c r="N4027" s="210"/>
      <c r="O4027" s="198">
        <f>SUM(O4024:O4026)</f>
        <v>10098.996573936491</v>
      </c>
      <c r="P4027" s="267"/>
      <c r="Q4027" s="166"/>
      <c r="R4027" s="71"/>
    </row>
    <row r="4028" spans="1:18" s="61" customFormat="1" x14ac:dyDescent="0.25">
      <c r="A4028" s="358"/>
      <c r="B4028" s="361"/>
      <c r="C4028" s="221" t="s">
        <v>77</v>
      </c>
      <c r="D4028" s="231"/>
      <c r="E4028" s="231"/>
      <c r="F4028" s="231"/>
      <c r="G4028" s="238">
        <f>MROUND(H4028*L4028*I4028/K4028,0.00000000001)</f>
        <v>0</v>
      </c>
      <c r="H4028" s="160">
        <f>H3788</f>
        <v>0</v>
      </c>
      <c r="I4028" s="159">
        <f>I4026</f>
        <v>2.2775730000000001E-2</v>
      </c>
      <c r="J4028" s="160"/>
      <c r="K4028" s="161">
        <f>K4026</f>
        <v>427</v>
      </c>
      <c r="L4028" s="250"/>
      <c r="M4028" s="163"/>
      <c r="N4028" s="164">
        <f>N3788</f>
        <v>0</v>
      </c>
      <c r="O4028" s="165">
        <f>MROUND(G4028*N4028,0.000000001)</f>
        <v>0</v>
      </c>
      <c r="P4028" s="166"/>
      <c r="Q4028" s="166">
        <f t="shared" ref="Q4028" si="965">O4028*K4028</f>
        <v>0</v>
      </c>
      <c r="R4028" s="71"/>
    </row>
    <row r="4029" spans="1:18" s="62" customFormat="1" x14ac:dyDescent="0.25">
      <c r="A4029" s="358"/>
      <c r="B4029" s="361"/>
      <c r="C4029" s="218" t="s">
        <v>304</v>
      </c>
      <c r="D4029" s="232"/>
      <c r="E4029" s="232"/>
      <c r="F4029" s="232"/>
      <c r="G4029" s="227"/>
      <c r="H4029" s="228"/>
      <c r="I4029" s="206"/>
      <c r="J4029" s="228"/>
      <c r="K4029" s="207"/>
      <c r="L4029" s="257"/>
      <c r="M4029" s="209"/>
      <c r="N4029" s="210"/>
      <c r="O4029" s="198">
        <f>O4028</f>
        <v>0</v>
      </c>
      <c r="P4029" s="267"/>
      <c r="Q4029" s="166"/>
      <c r="R4029" s="71"/>
    </row>
    <row r="4030" spans="1:18" s="61" customFormat="1" x14ac:dyDescent="0.25">
      <c r="A4030" s="358"/>
      <c r="B4030" s="361"/>
      <c r="C4030" s="221"/>
      <c r="D4030" s="350" t="s">
        <v>65</v>
      </c>
      <c r="E4030" s="350"/>
      <c r="F4030" s="350"/>
      <c r="G4030" s="350"/>
      <c r="H4030" s="195"/>
      <c r="I4030" s="159"/>
      <c r="J4030" s="195"/>
      <c r="K4030" s="161"/>
      <c r="L4030" s="196"/>
      <c r="M4030" s="230"/>
      <c r="N4030" s="164"/>
      <c r="O4030" s="165">
        <f t="shared" ref="O4030:O4031" si="966">MROUND(G4030*N4030,0.000001)</f>
        <v>0</v>
      </c>
      <c r="P4030" s="166"/>
      <c r="Q4030" s="166"/>
      <c r="R4030" s="71"/>
    </row>
    <row r="4031" spans="1:18" s="61" customFormat="1" x14ac:dyDescent="0.25">
      <c r="A4031" s="358"/>
      <c r="B4031" s="361"/>
      <c r="C4031" s="221"/>
      <c r="D4031" s="194"/>
      <c r="E4031" s="194"/>
      <c r="F4031" s="194"/>
      <c r="G4031" s="217"/>
      <c r="H4031" s="195"/>
      <c r="I4031" s="159"/>
      <c r="J4031" s="195"/>
      <c r="K4031" s="161"/>
      <c r="L4031" s="196"/>
      <c r="M4031" s="230"/>
      <c r="N4031" s="164"/>
      <c r="O4031" s="165">
        <f t="shared" si="966"/>
        <v>0</v>
      </c>
      <c r="P4031" s="166"/>
      <c r="Q4031" s="166"/>
      <c r="R4031" s="71"/>
    </row>
    <row r="4032" spans="1:18" s="61" customFormat="1" x14ac:dyDescent="0.25">
      <c r="A4032" s="358"/>
      <c r="B4032" s="361"/>
      <c r="C4032" s="221" t="s">
        <v>357</v>
      </c>
      <c r="D4032" s="368" t="s">
        <v>66</v>
      </c>
      <c r="E4032" s="368"/>
      <c r="F4032" s="368"/>
      <c r="G4032" s="368"/>
      <c r="H4032" s="195"/>
      <c r="I4032" s="159"/>
      <c r="J4032" s="195"/>
      <c r="K4032" s="161"/>
      <c r="L4032" s="234"/>
      <c r="M4032" s="230"/>
      <c r="N4032" s="164"/>
      <c r="O4032" s="198">
        <f>O4033</f>
        <v>30.273539999999997</v>
      </c>
      <c r="P4032" s="166"/>
      <c r="Q4032" s="166"/>
      <c r="R4032" s="71"/>
    </row>
    <row r="4033" spans="1:41" s="61" customFormat="1" ht="47.25" x14ac:dyDescent="0.25">
      <c r="A4033" s="358"/>
      <c r="B4033" s="361"/>
      <c r="C4033" s="221"/>
      <c r="D4033" s="222" t="s">
        <v>374</v>
      </c>
      <c r="E4033" s="194" t="s">
        <v>28</v>
      </c>
      <c r="F4033" s="194" t="s">
        <v>28</v>
      </c>
      <c r="G4033" s="217">
        <f>MROUND(H4033*L4033*I4033/K4033,0.000000001)</f>
        <v>7.6808080000000008E-3</v>
      </c>
      <c r="H4033" s="201">
        <f>H3433</f>
        <v>36</v>
      </c>
      <c r="I4033" s="159">
        <f>I4028</f>
        <v>2.2775730000000001E-2</v>
      </c>
      <c r="J4033" s="195"/>
      <c r="K4033" s="161">
        <f>K4028</f>
        <v>427</v>
      </c>
      <c r="L4033" s="235">
        <f>L3433</f>
        <v>4</v>
      </c>
      <c r="M4033" s="163" t="str">
        <f>CONCATENATE(H4033," ",F4033,"*",I4033,"/",K4033,"чел.")</f>
        <v>36 шт*0,02277573/427чел.</v>
      </c>
      <c r="N4033" s="164">
        <f>N3433</f>
        <v>3941.4525000000012</v>
      </c>
      <c r="O4033" s="165">
        <f>MROUND(G4033*N4033,0.000001)</f>
        <v>30.273539999999997</v>
      </c>
      <c r="P4033" s="166"/>
      <c r="Q4033" s="166">
        <f t="shared" ref="Q4033" si="967">O4033*K4033</f>
        <v>12926.801579999999</v>
      </c>
      <c r="R4033" s="71"/>
    </row>
    <row r="4034" spans="1:41" s="61" customFormat="1" x14ac:dyDescent="0.25">
      <c r="A4034" s="358"/>
      <c r="B4034" s="361"/>
      <c r="C4034" s="221"/>
      <c r="D4034" s="368" t="s">
        <v>67</v>
      </c>
      <c r="E4034" s="368"/>
      <c r="F4034" s="368"/>
      <c r="G4034" s="368"/>
      <c r="H4034" s="195"/>
      <c r="I4034" s="159"/>
      <c r="J4034" s="195"/>
      <c r="K4034" s="161"/>
      <c r="L4034" s="196"/>
      <c r="M4034" s="230"/>
      <c r="N4034" s="164"/>
      <c r="O4034" s="165">
        <f t="shared" ref="O4034:O4037" si="968">MROUND(G4034*N4034,0.000001)</f>
        <v>0</v>
      </c>
      <c r="P4034" s="166"/>
      <c r="Q4034" s="166"/>
      <c r="R4034" s="71"/>
    </row>
    <row r="4035" spans="1:41" s="61" customFormat="1" x14ac:dyDescent="0.25">
      <c r="A4035" s="358"/>
      <c r="B4035" s="361"/>
      <c r="C4035" s="221"/>
      <c r="D4035" s="194"/>
      <c r="E4035" s="194"/>
      <c r="F4035" s="194"/>
      <c r="G4035" s="217"/>
      <c r="H4035" s="195"/>
      <c r="I4035" s="159"/>
      <c r="J4035" s="195"/>
      <c r="K4035" s="161"/>
      <c r="L4035" s="196"/>
      <c r="M4035" s="230"/>
      <c r="N4035" s="164"/>
      <c r="O4035" s="165">
        <f t="shared" si="968"/>
        <v>0</v>
      </c>
      <c r="P4035" s="166"/>
      <c r="Q4035" s="166"/>
      <c r="R4035" s="71"/>
    </row>
    <row r="4036" spans="1:41" s="61" customFormat="1" x14ac:dyDescent="0.25">
      <c r="A4036" s="358"/>
      <c r="B4036" s="361"/>
      <c r="C4036" s="221"/>
      <c r="D4036" s="350" t="s">
        <v>68</v>
      </c>
      <c r="E4036" s="350"/>
      <c r="F4036" s="350"/>
      <c r="G4036" s="350"/>
      <c r="H4036" s="195"/>
      <c r="I4036" s="159"/>
      <c r="J4036" s="195"/>
      <c r="K4036" s="161"/>
      <c r="L4036" s="196"/>
      <c r="M4036" s="230"/>
      <c r="N4036" s="164"/>
      <c r="O4036" s="165">
        <f t="shared" si="968"/>
        <v>0</v>
      </c>
      <c r="P4036" s="166"/>
      <c r="Q4036" s="166"/>
      <c r="R4036" s="71"/>
    </row>
    <row r="4037" spans="1:41" s="61" customFormat="1" x14ac:dyDescent="0.25">
      <c r="A4037" s="358"/>
      <c r="B4037" s="361"/>
      <c r="C4037" s="221"/>
      <c r="D4037" s="156"/>
      <c r="E4037" s="156"/>
      <c r="F4037" s="156"/>
      <c r="G4037" s="236"/>
      <c r="H4037" s="195"/>
      <c r="I4037" s="159"/>
      <c r="J4037" s="195"/>
      <c r="K4037" s="161"/>
      <c r="L4037" s="196"/>
      <c r="M4037" s="230"/>
      <c r="N4037" s="164"/>
      <c r="O4037" s="165">
        <f t="shared" si="968"/>
        <v>0</v>
      </c>
      <c r="P4037" s="166"/>
      <c r="Q4037" s="166"/>
      <c r="R4037" s="71"/>
    </row>
    <row r="4038" spans="1:41" s="61" customFormat="1" x14ac:dyDescent="0.25">
      <c r="A4038" s="358"/>
      <c r="B4038" s="361"/>
      <c r="C4038" s="221"/>
      <c r="D4038" s="368" t="s">
        <v>69</v>
      </c>
      <c r="E4038" s="368"/>
      <c r="F4038" s="368"/>
      <c r="G4038" s="368"/>
      <c r="H4038" s="187"/>
      <c r="I4038" s="159"/>
      <c r="J4038" s="187"/>
      <c r="K4038" s="161"/>
      <c r="L4038" s="276"/>
      <c r="M4038" s="230"/>
      <c r="N4038" s="164"/>
      <c r="O4038" s="198">
        <f>O4040+O4047+O4064+O4066+O4081+O4083+O4085+O4110+O4112+O4117+O4114</f>
        <v>1231.97923504</v>
      </c>
      <c r="P4038" s="166"/>
      <c r="Q4038" s="166"/>
      <c r="R4038" s="71"/>
    </row>
    <row r="4039" spans="1:41" s="61" customFormat="1" x14ac:dyDescent="0.25">
      <c r="A4039" s="358"/>
      <c r="B4039" s="361"/>
      <c r="C4039" s="221">
        <v>224</v>
      </c>
      <c r="D4039" s="156" t="s">
        <v>21</v>
      </c>
      <c r="E4039" s="156" t="s">
        <v>22</v>
      </c>
      <c r="F4039" s="156" t="s">
        <v>22</v>
      </c>
      <c r="G4039" s="238">
        <f>MROUND(H4039*L4039*I4039/K4039,0.000000001)</f>
        <v>0</v>
      </c>
      <c r="H4039" s="158"/>
      <c r="I4039" s="159">
        <f>I4033</f>
        <v>2.2775730000000001E-2</v>
      </c>
      <c r="J4039" s="160"/>
      <c r="K4039" s="161">
        <f>K4033</f>
        <v>427</v>
      </c>
      <c r="L4039" s="250"/>
      <c r="M4039" s="163"/>
      <c r="N4039" s="164"/>
      <c r="O4039" s="165">
        <f>MROUND(G4039*N4039,0.000001)</f>
        <v>0</v>
      </c>
      <c r="P4039" s="166"/>
      <c r="Q4039" s="166">
        <f t="shared" ref="Q4039" si="969">O4039*K4039</f>
        <v>0</v>
      </c>
      <c r="R4039" s="71"/>
    </row>
    <row r="4040" spans="1:41" s="62" customFormat="1" x14ac:dyDescent="0.25">
      <c r="A4040" s="358"/>
      <c r="B4040" s="361"/>
      <c r="C4040" s="218" t="s">
        <v>293</v>
      </c>
      <c r="D4040" s="240"/>
      <c r="E4040" s="240"/>
      <c r="F4040" s="240"/>
      <c r="G4040" s="227"/>
      <c r="H4040" s="241"/>
      <c r="I4040" s="206"/>
      <c r="J4040" s="228"/>
      <c r="K4040" s="207"/>
      <c r="L4040" s="257"/>
      <c r="M4040" s="209"/>
      <c r="N4040" s="210"/>
      <c r="O4040" s="198">
        <f>SUM(O4039)</f>
        <v>0</v>
      </c>
      <c r="P4040" s="267"/>
      <c r="Q4040" s="166"/>
      <c r="R4040" s="71"/>
    </row>
    <row r="4041" spans="1:41" s="61" customFormat="1" ht="31.5" x14ac:dyDescent="0.25">
      <c r="A4041" s="358"/>
      <c r="B4041" s="361"/>
      <c r="C4041" s="364" t="s">
        <v>78</v>
      </c>
      <c r="D4041" s="156" t="s">
        <v>26</v>
      </c>
      <c r="E4041" s="156" t="s">
        <v>22</v>
      </c>
      <c r="F4041" s="156" t="s">
        <v>22</v>
      </c>
      <c r="G4041" s="238">
        <f>MROUND(H4041*L4041*I4041/K4041,0.000001)</f>
        <v>16.539339999999999</v>
      </c>
      <c r="H4041" s="158">
        <f>H3441</f>
        <v>25840</v>
      </c>
      <c r="I4041" s="159">
        <f>I4039</f>
        <v>2.2775730000000001E-2</v>
      </c>
      <c r="J4041" s="160"/>
      <c r="K4041" s="161">
        <f>K4039</f>
        <v>427</v>
      </c>
      <c r="L4041" s="250">
        <v>12</v>
      </c>
      <c r="M4041" s="163" t="str">
        <f>CONCATENATE(H4041," ",F4041,"(обрабатываемая площадь в мес.)","*",L4041,"мес.","*",I4041,"/",K4041,"чел.")</f>
        <v>25840 м2(обрабатываемая площадь в мес.)*12мес.*0,02277573/427чел.</v>
      </c>
      <c r="N4041" s="164">
        <f>N3441</f>
        <v>1.208548374613003</v>
      </c>
      <c r="O4041" s="165">
        <f t="shared" ref="O4041:O4046" si="970">MROUND(G4041*N4041,0.000001)</f>
        <v>19.988592000000001</v>
      </c>
      <c r="P4041" s="166"/>
      <c r="Q4041" s="166">
        <f t="shared" ref="Q4041:Q4046" si="971">O4041*K4041</f>
        <v>8535.1287840000005</v>
      </c>
      <c r="R4041" s="71"/>
    </row>
    <row r="4042" spans="1:41" s="61" customFormat="1" ht="31.5" x14ac:dyDescent="0.25">
      <c r="A4042" s="358"/>
      <c r="B4042" s="361"/>
      <c r="C4042" s="364"/>
      <c r="D4042" s="156" t="s">
        <v>96</v>
      </c>
      <c r="E4042" s="156" t="s">
        <v>22</v>
      </c>
      <c r="F4042" s="156" t="s">
        <v>22</v>
      </c>
      <c r="G4042" s="238">
        <f>MROUND(H4042*L4042*I4042/K4042,0.000001)</f>
        <v>8.5609009999999994</v>
      </c>
      <c r="H4042" s="158">
        <f>H3442</f>
        <v>13375</v>
      </c>
      <c r="I4042" s="159">
        <f t="shared" si="959"/>
        <v>2.2775730000000001E-2</v>
      </c>
      <c r="J4042" s="160"/>
      <c r="K4042" s="161">
        <f>K4041</f>
        <v>427</v>
      </c>
      <c r="L4042" s="250">
        <v>12</v>
      </c>
      <c r="M4042" s="163" t="str">
        <f>CONCATENATE(H4042," ",F4042,"(обрабатываемая площадь в мес.)","*",L4042,"мес.","*",I4042,"/",K4042,"чел.")</f>
        <v>13375 м2(обрабатываемая площадь в мес.)*12мес.*0,02277573/427чел.</v>
      </c>
      <c r="N4042" s="164">
        <f>N3442</f>
        <v>1.93823800623053</v>
      </c>
      <c r="O4042" s="165">
        <f t="shared" si="970"/>
        <v>16.593063999999998</v>
      </c>
      <c r="P4042" s="166"/>
      <c r="Q4042" s="166">
        <f t="shared" si="971"/>
        <v>7085.2383279999995</v>
      </c>
      <c r="R4042" s="71"/>
    </row>
    <row r="4043" spans="1:41" s="135" customFormat="1" ht="31.5" x14ac:dyDescent="0.25">
      <c r="A4043" s="358"/>
      <c r="B4043" s="361"/>
      <c r="C4043" s="364"/>
      <c r="D4043" s="156" t="s">
        <v>385</v>
      </c>
      <c r="E4043" s="156" t="s">
        <v>22</v>
      </c>
      <c r="F4043" s="156" t="s">
        <v>22</v>
      </c>
      <c r="G4043" s="238">
        <f>MROUND(H4043*L4043*I4043/K4043,0.000001)</f>
        <v>17.121801999999999</v>
      </c>
      <c r="H4043" s="242">
        <f>$H$55</f>
        <v>13375</v>
      </c>
      <c r="I4043" s="159">
        <f t="shared" si="959"/>
        <v>2.2775730000000001E-2</v>
      </c>
      <c r="J4043" s="160"/>
      <c r="K4043" s="161">
        <f>K4042</f>
        <v>427</v>
      </c>
      <c r="L4043" s="162">
        <v>24</v>
      </c>
      <c r="M4043" s="163" t="str">
        <f>CONCATENATE(H4043," ",F4043,"(обрабатываемая площадь в год)","*",L4043," раза в год.","*",I4043,"/",K4043,"чел.")</f>
        <v>13375 м2(обрабатываемая площадь в год)*24 раза в год.*0,02277573/427чел.</v>
      </c>
      <c r="N4043" s="164">
        <f>$N$3443</f>
        <v>2.3942939563862917</v>
      </c>
      <c r="O4043" s="165">
        <f t="shared" si="970"/>
        <v>40.994627000000001</v>
      </c>
      <c r="P4043" s="166"/>
      <c r="Q4043" s="166">
        <f t="shared" si="971"/>
        <v>17504.705729000001</v>
      </c>
      <c r="R4043" s="71"/>
      <c r="S4043" s="61"/>
      <c r="T4043" s="61"/>
      <c r="U4043" s="61"/>
      <c r="V4043" s="61"/>
      <c r="W4043" s="61"/>
      <c r="X4043" s="61"/>
      <c r="Y4043" s="61"/>
      <c r="Z4043" s="61"/>
      <c r="AA4043" s="61"/>
      <c r="AB4043" s="61"/>
      <c r="AC4043" s="61"/>
      <c r="AD4043" s="61"/>
      <c r="AE4043" s="61"/>
      <c r="AF4043" s="61"/>
      <c r="AG4043" s="61"/>
      <c r="AH4043" s="61"/>
      <c r="AI4043" s="61"/>
      <c r="AJ4043" s="61"/>
      <c r="AK4043" s="61"/>
      <c r="AL4043" s="61"/>
      <c r="AM4043" s="61"/>
      <c r="AN4043" s="61"/>
      <c r="AO4043" s="61"/>
    </row>
    <row r="4044" spans="1:41" s="135" customFormat="1" ht="31.5" x14ac:dyDescent="0.25">
      <c r="A4044" s="358"/>
      <c r="B4044" s="361"/>
      <c r="C4044" s="364"/>
      <c r="D4044" s="156" t="s">
        <v>394</v>
      </c>
      <c r="E4044" s="156" t="s">
        <v>22</v>
      </c>
      <c r="F4044" s="156" t="s">
        <v>22</v>
      </c>
      <c r="G4044" s="238">
        <f>MROUND(H4044*L4044*I4044/K4044,0.000001)</f>
        <v>16.539339999999999</v>
      </c>
      <c r="H4044" s="243">
        <f>$H$56</f>
        <v>25840</v>
      </c>
      <c r="I4044" s="159">
        <f t="shared" si="959"/>
        <v>2.2775730000000001E-2</v>
      </c>
      <c r="J4044" s="160"/>
      <c r="K4044" s="161">
        <f>K4043</f>
        <v>427</v>
      </c>
      <c r="L4044" s="162">
        <v>12</v>
      </c>
      <c r="M4044" s="163" t="str">
        <f>CONCATENATE(H4044," ",F4044,"(обрабатываемая площадь в мес.)","*",L4044,"мес.","*",I4044,"/",K4044,"чел.")</f>
        <v>25840 м2(обрабатываемая площадь в мес.)*12мес.*0,02277573/427чел.</v>
      </c>
      <c r="N4044" s="164">
        <f>$N$3444</f>
        <v>0.57007004643962855</v>
      </c>
      <c r="O4044" s="165">
        <f t="shared" si="970"/>
        <v>9.4285819999999987</v>
      </c>
      <c r="P4044" s="166"/>
      <c r="Q4044" s="166">
        <f t="shared" si="971"/>
        <v>4026.0045139999993</v>
      </c>
      <c r="R4044" s="71"/>
      <c r="S4044" s="61"/>
      <c r="T4044" s="61"/>
      <c r="U4044" s="61"/>
      <c r="V4044" s="61"/>
      <c r="W4044" s="61"/>
      <c r="X4044" s="61"/>
      <c r="Y4044" s="61"/>
      <c r="Z4044" s="61"/>
      <c r="AA4044" s="61"/>
      <c r="AB4044" s="61"/>
      <c r="AC4044" s="61"/>
      <c r="AD4044" s="61"/>
      <c r="AE4044" s="61"/>
      <c r="AF4044" s="61"/>
      <c r="AG4044" s="61"/>
      <c r="AH4044" s="61"/>
      <c r="AI4044" s="61"/>
      <c r="AJ4044" s="61"/>
      <c r="AK4044" s="61"/>
      <c r="AL4044" s="61"/>
      <c r="AM4044" s="61"/>
      <c r="AN4044" s="61"/>
      <c r="AO4044" s="61"/>
    </row>
    <row r="4045" spans="1:41" s="135" customFormat="1" ht="31.5" x14ac:dyDescent="0.25">
      <c r="A4045" s="358"/>
      <c r="B4045" s="361"/>
      <c r="C4045" s="364"/>
      <c r="D4045" s="156" t="s">
        <v>395</v>
      </c>
      <c r="E4045" s="156" t="s">
        <v>98</v>
      </c>
      <c r="F4045" s="156" t="s">
        <v>98</v>
      </c>
      <c r="G4045" s="238">
        <f>MROUND(H4045*L4045*I4045/K4045,0.0000000001)</f>
        <v>1.0102396E-3</v>
      </c>
      <c r="H4045" s="242">
        <f>$H$57</f>
        <v>18.939999999999998</v>
      </c>
      <c r="I4045" s="159">
        <f t="shared" si="959"/>
        <v>2.2775730000000001E-2</v>
      </c>
      <c r="J4045" s="160"/>
      <c r="K4045" s="161">
        <f>K4041</f>
        <v>427</v>
      </c>
      <c r="L4045" s="162">
        <v>1</v>
      </c>
      <c r="M4045" s="163" t="str">
        <f>CONCATENATE(H4045," ",F4045,"(обрабатываемая площадь в год)","*",L4045," раз в год","*",I4045,"/",K4045,"чел.")</f>
        <v>18,94 Га(обрабатываемая площадь в год)*1 раз в год*0,02277573/427чел.</v>
      </c>
      <c r="N4045" s="164">
        <f>$N$57</f>
        <v>545</v>
      </c>
      <c r="O4045" s="165">
        <f t="shared" si="970"/>
        <v>0.55058099999999999</v>
      </c>
      <c r="P4045" s="166"/>
      <c r="Q4045" s="166">
        <f t="shared" si="971"/>
        <v>235.09808699999999</v>
      </c>
      <c r="R4045" s="71"/>
      <c r="S4045" s="61"/>
      <c r="T4045" s="61"/>
      <c r="U4045" s="61"/>
      <c r="V4045" s="61"/>
      <c r="W4045" s="61"/>
      <c r="X4045" s="61"/>
      <c r="Y4045" s="61"/>
      <c r="Z4045" s="61"/>
      <c r="AA4045" s="61"/>
      <c r="AB4045" s="61"/>
      <c r="AC4045" s="61"/>
      <c r="AD4045" s="61"/>
      <c r="AE4045" s="61"/>
      <c r="AF4045" s="61"/>
      <c r="AG4045" s="61"/>
      <c r="AH4045" s="61"/>
      <c r="AI4045" s="61"/>
      <c r="AJ4045" s="61"/>
      <c r="AK4045" s="61"/>
      <c r="AL4045" s="61"/>
      <c r="AM4045" s="61"/>
      <c r="AN4045" s="61"/>
      <c r="AO4045" s="61"/>
    </row>
    <row r="4046" spans="1:41" s="61" customFormat="1" ht="31.5" x14ac:dyDescent="0.25">
      <c r="A4046" s="358"/>
      <c r="B4046" s="361"/>
      <c r="C4046" s="364"/>
      <c r="D4046" s="156" t="s">
        <v>97</v>
      </c>
      <c r="E4046" s="156" t="s">
        <v>98</v>
      </c>
      <c r="F4046" s="156" t="s">
        <v>98</v>
      </c>
      <c r="G4046" s="238">
        <f>MROUND(H4046*L4046*I4046/K4046,0.000000001)</f>
        <v>1.0102400000000001E-3</v>
      </c>
      <c r="H4046" s="242">
        <f>H3446</f>
        <v>18.939999999999998</v>
      </c>
      <c r="I4046" s="244">
        <f>I4042</f>
        <v>2.2775730000000001E-2</v>
      </c>
      <c r="J4046" s="160"/>
      <c r="K4046" s="161">
        <f>K4042</f>
        <v>427</v>
      </c>
      <c r="L4046" s="250">
        <v>1</v>
      </c>
      <c r="M4046" s="163" t="str">
        <f>CONCATENATE(H4046," ",F4046,"(обрабатываемая площадь в мес.)","*",L4046,"мес.","*",I4046,"/",K4046,"чел.")</f>
        <v>18,94 Га(обрабатываемая площадь в мес.)*1мес.*0,02277573/427чел.</v>
      </c>
      <c r="N4046" s="164">
        <f>N3446</f>
        <v>3102.4186906018999</v>
      </c>
      <c r="O4046" s="165">
        <f t="shared" si="970"/>
        <v>3.1341869999999998</v>
      </c>
      <c r="P4046" s="166"/>
      <c r="Q4046" s="166">
        <f t="shared" si="971"/>
        <v>1338.297849</v>
      </c>
      <c r="R4046" s="71"/>
    </row>
    <row r="4047" spans="1:41" s="62" customFormat="1" x14ac:dyDescent="0.25">
      <c r="A4047" s="358"/>
      <c r="B4047" s="361"/>
      <c r="C4047" s="245" t="s">
        <v>303</v>
      </c>
      <c r="D4047" s="240"/>
      <c r="E4047" s="240"/>
      <c r="F4047" s="240"/>
      <c r="G4047" s="227"/>
      <c r="H4047" s="241"/>
      <c r="I4047" s="206"/>
      <c r="J4047" s="228"/>
      <c r="K4047" s="207"/>
      <c r="L4047" s="257"/>
      <c r="M4047" s="209"/>
      <c r="N4047" s="210"/>
      <c r="O4047" s="198">
        <f>SUM(O4041:O4046)</f>
        <v>90.689632999999986</v>
      </c>
      <c r="P4047" s="267"/>
      <c r="Q4047" s="166"/>
      <c r="R4047" s="71"/>
    </row>
    <row r="4048" spans="1:41" s="61" customFormat="1" ht="63" x14ac:dyDescent="0.25">
      <c r="A4048" s="358"/>
      <c r="B4048" s="361"/>
      <c r="C4048" s="365" t="s">
        <v>77</v>
      </c>
      <c r="D4048" s="156" t="s">
        <v>29</v>
      </c>
      <c r="E4048" s="156" t="s">
        <v>58</v>
      </c>
      <c r="F4048" s="156" t="s">
        <v>218</v>
      </c>
      <c r="G4048" s="238">
        <f>MROUND(H4048*L4048*I4048/K4048,0.00000001)</f>
        <v>3.2003399999999999E-3</v>
      </c>
      <c r="H4048" s="158">
        <v>15</v>
      </c>
      <c r="I4048" s="159">
        <f>I4046</f>
        <v>2.2775730000000001E-2</v>
      </c>
      <c r="J4048" s="160"/>
      <c r="K4048" s="161">
        <f>K4046</f>
        <v>427</v>
      </c>
      <c r="L4048" s="162">
        <v>4</v>
      </c>
      <c r="M4048" s="163" t="str">
        <f>CONCATENATE(H4048," ",F4048,"*",L4048," раза в год","*",I4048,"/",K4048,"чел.")</f>
        <v>15 установок*4 раза в год*0,02277573/427чел.</v>
      </c>
      <c r="N4048" s="164">
        <f t="shared" ref="N4048:N4061" si="972">N3448</f>
        <v>2264.8651666666669</v>
      </c>
      <c r="O4048" s="165">
        <f t="shared" ref="O4048:O4056" si="973">MROUND(G4048*N4048,0.000001)</f>
        <v>7.2483389999999996</v>
      </c>
      <c r="P4048" s="166"/>
      <c r="Q4048" s="166">
        <f t="shared" ref="Q4048:Q4063" si="974">O4048*K4048</f>
        <v>3095.0407529999998</v>
      </c>
      <c r="R4048" s="71"/>
    </row>
    <row r="4049" spans="1:18" s="61" customFormat="1" ht="47.25" x14ac:dyDescent="0.25">
      <c r="A4049" s="358"/>
      <c r="B4049" s="361"/>
      <c r="C4049" s="366"/>
      <c r="D4049" s="156" t="s">
        <v>30</v>
      </c>
      <c r="E4049" s="156" t="s">
        <v>58</v>
      </c>
      <c r="F4049" s="156" t="s">
        <v>218</v>
      </c>
      <c r="G4049" s="238">
        <f>MROUND(H4049*L4049*I4049/K4049,0.00000001)</f>
        <v>1.6001699999999999E-3</v>
      </c>
      <c r="H4049" s="158">
        <v>15</v>
      </c>
      <c r="I4049" s="159">
        <f t="shared" si="959"/>
        <v>2.2775730000000001E-2</v>
      </c>
      <c r="J4049" s="160"/>
      <c r="K4049" s="161">
        <f>K4048</f>
        <v>427</v>
      </c>
      <c r="L4049" s="250">
        <v>2</v>
      </c>
      <c r="M4049" s="163" t="str">
        <f>CONCATENATE(H4049," ",F4049,"*",L4049,"полуг.","*",I4049,"/",K4049,"чел.")</f>
        <v>15 установок*2полуг.*0,02277573/427чел.</v>
      </c>
      <c r="N4049" s="164">
        <f t="shared" si="972"/>
        <v>4529.7303333333339</v>
      </c>
      <c r="O4049" s="165">
        <f t="shared" si="973"/>
        <v>7.2483389999999996</v>
      </c>
      <c r="P4049" s="166"/>
      <c r="Q4049" s="166">
        <f t="shared" si="974"/>
        <v>3095.0407529999998</v>
      </c>
      <c r="R4049" s="71"/>
    </row>
    <row r="4050" spans="1:18" s="61" customFormat="1" ht="31.5" x14ac:dyDescent="0.25">
      <c r="A4050" s="358"/>
      <c r="B4050" s="361"/>
      <c r="C4050" s="366"/>
      <c r="D4050" s="156" t="s">
        <v>397</v>
      </c>
      <c r="E4050" s="156" t="s">
        <v>433</v>
      </c>
      <c r="F4050" s="156" t="s">
        <v>433</v>
      </c>
      <c r="G4050" s="238">
        <f>MROUND(H4050*L4050*I4050/K4050,0.000001)</f>
        <v>1.6001999999999999E-2</v>
      </c>
      <c r="H4050" s="158">
        <f>H3450</f>
        <v>300</v>
      </c>
      <c r="I4050" s="159">
        <f t="shared" si="959"/>
        <v>2.2775730000000001E-2</v>
      </c>
      <c r="J4050" s="160"/>
      <c r="K4050" s="161">
        <f>K4049</f>
        <v>427</v>
      </c>
      <c r="L4050" s="162">
        <v>1</v>
      </c>
      <c r="M4050" s="163" t="str">
        <f>CONCATENATE(H4050," ",F4050,"(обрабатываемая площадь в год)","*",L4050," раз в год","*",I4050,"/",K4050,"чел.")</f>
        <v>300 м2.(обрабатываемая площадь в год)*1 раз в год*0,02277573/427чел.</v>
      </c>
      <c r="N4050" s="164">
        <f t="shared" si="972"/>
        <v>300</v>
      </c>
      <c r="O4050" s="165">
        <f t="shared" si="973"/>
        <v>4.8006000000000002</v>
      </c>
      <c r="P4050" s="166"/>
      <c r="Q4050" s="166">
        <f t="shared" si="974"/>
        <v>2049.8562000000002</v>
      </c>
      <c r="R4050" s="71"/>
    </row>
    <row r="4051" spans="1:18" s="61" customFormat="1" ht="47.25" x14ac:dyDescent="0.25">
      <c r="A4051" s="358"/>
      <c r="B4051" s="361"/>
      <c r="C4051" s="366"/>
      <c r="D4051" s="156" t="s">
        <v>32</v>
      </c>
      <c r="E4051" s="156" t="s">
        <v>55</v>
      </c>
      <c r="F4051" s="156" t="s">
        <v>219</v>
      </c>
      <c r="G4051" s="238">
        <f>MROUND(H4051*L4051*I4051/K4051,0.000000001)</f>
        <v>7.6808080000000008E-3</v>
      </c>
      <c r="H4051" s="158">
        <f>H3451</f>
        <v>36</v>
      </c>
      <c r="I4051" s="159">
        <f>I4050</f>
        <v>2.2775730000000001E-2</v>
      </c>
      <c r="J4051" s="160"/>
      <c r="K4051" s="161">
        <f>K4050</f>
        <v>427</v>
      </c>
      <c r="L4051" s="250">
        <v>4</v>
      </c>
      <c r="M4051" s="163" t="str">
        <f>CONCATENATE(H4051," ",F4051,"*",L4051,"кв.","*",I4051,"/",K4051,"чел.")</f>
        <v>36 системы*4кв.*0,02277573/427чел.</v>
      </c>
      <c r="N4051" s="164">
        <f t="shared" si="972"/>
        <v>7243.0565277777823</v>
      </c>
      <c r="O4051" s="165">
        <f t="shared" si="973"/>
        <v>55.632526999999996</v>
      </c>
      <c r="P4051" s="166"/>
      <c r="Q4051" s="166">
        <f t="shared" si="974"/>
        <v>23755.089028999999</v>
      </c>
      <c r="R4051" s="71"/>
    </row>
    <row r="4052" spans="1:18" s="61" customFormat="1" ht="63" x14ac:dyDescent="0.25">
      <c r="A4052" s="358"/>
      <c r="B4052" s="361"/>
      <c r="C4052" s="366"/>
      <c r="D4052" s="156" t="s">
        <v>33</v>
      </c>
      <c r="E4052" s="156" t="s">
        <v>56</v>
      </c>
      <c r="F4052" s="156" t="s">
        <v>220</v>
      </c>
      <c r="G4052" s="238">
        <f>MROUND(H4052*L4052*I4052/K4052,0.000000001)</f>
        <v>1.9202020000000002E-3</v>
      </c>
      <c r="H4052" s="158">
        <f>$H$64</f>
        <v>36</v>
      </c>
      <c r="I4052" s="159">
        <f>I4050</f>
        <v>2.2775730000000001E-2</v>
      </c>
      <c r="J4052" s="160"/>
      <c r="K4052" s="161">
        <f>K4050</f>
        <v>427</v>
      </c>
      <c r="L4052" s="162">
        <v>1</v>
      </c>
      <c r="M4052" s="163" t="str">
        <f>CONCATENATE(H4052," ",F4052,"*",L4052," раз в год","*",I4052,"/",K4052,"чел.")</f>
        <v>36 дымоходов*1 раз в год*0,02277573/427чел.</v>
      </c>
      <c r="N4052" s="164">
        <f t="shared" si="972"/>
        <v>7030.863333333331</v>
      </c>
      <c r="O4052" s="165">
        <f t="shared" si="973"/>
        <v>13.500677999999999</v>
      </c>
      <c r="P4052" s="166"/>
      <c r="Q4052" s="166">
        <f t="shared" si="974"/>
        <v>5764.7895059999992</v>
      </c>
      <c r="R4052" s="71"/>
    </row>
    <row r="4053" spans="1:18" s="61" customFormat="1" x14ac:dyDescent="0.25">
      <c r="A4053" s="358"/>
      <c r="B4053" s="361"/>
      <c r="C4053" s="366"/>
      <c r="D4053" s="194" t="s">
        <v>398</v>
      </c>
      <c r="E4053" s="156" t="s">
        <v>60</v>
      </c>
      <c r="F4053" s="156" t="s">
        <v>60</v>
      </c>
      <c r="G4053" s="238">
        <f>MROUND(H4053*L4053*I4053/K4053,0.000000001)</f>
        <v>1.8668630000000001E-3</v>
      </c>
      <c r="H4053" s="246">
        <f t="shared" ref="H4053:H4063" si="975">H3453</f>
        <v>35</v>
      </c>
      <c r="I4053" s="159">
        <f t="shared" si="959"/>
        <v>2.2775730000000001E-2</v>
      </c>
      <c r="J4053" s="160"/>
      <c r="K4053" s="161">
        <f>K4052</f>
        <v>427</v>
      </c>
      <c r="L4053" s="250">
        <v>1</v>
      </c>
      <c r="M4053" s="163" t="str">
        <f>CONCATENATE(H4053," ",F4053,"*",I4053,"/",K4053,"чел.")</f>
        <v>35 шт.*0,02277573/427чел.</v>
      </c>
      <c r="N4053" s="164">
        <f t="shared" si="972"/>
        <v>12173.433428571419</v>
      </c>
      <c r="O4053" s="165">
        <f t="shared" si="973"/>
        <v>22.726132</v>
      </c>
      <c r="P4053" s="166"/>
      <c r="Q4053" s="166">
        <f t="shared" si="974"/>
        <v>9704.0583640000004</v>
      </c>
      <c r="R4053" s="71"/>
    </row>
    <row r="4054" spans="1:18" s="61" customFormat="1" ht="47.25" x14ac:dyDescent="0.25">
      <c r="A4054" s="358"/>
      <c r="B4054" s="361"/>
      <c r="C4054" s="366"/>
      <c r="D4054" s="156" t="s">
        <v>401</v>
      </c>
      <c r="E4054" s="156" t="s">
        <v>60</v>
      </c>
      <c r="F4054" s="156" t="s">
        <v>402</v>
      </c>
      <c r="G4054" s="238">
        <f>MROUND(H4054*L4054*I4054/K4054,0.000001)</f>
        <v>3.7339999999999999E-3</v>
      </c>
      <c r="H4054" s="246">
        <f t="shared" si="975"/>
        <v>35</v>
      </c>
      <c r="I4054" s="159">
        <f t="shared" si="959"/>
        <v>2.2775730000000001E-2</v>
      </c>
      <c r="J4054" s="160"/>
      <c r="K4054" s="161">
        <f>K4053</f>
        <v>427</v>
      </c>
      <c r="L4054" s="162">
        <v>2</v>
      </c>
      <c r="M4054" s="163" t="str">
        <f>CONCATENATE(H4054," ",F4054,"*",L4054," раз в год","*",I4054,"/",K4054,"чел.")</f>
        <v>35 противопожарных водопроводов*2 раз в год*0,02277573/427чел.</v>
      </c>
      <c r="N4054" s="164">
        <f t="shared" si="972"/>
        <v>5700.7000000000025</v>
      </c>
      <c r="O4054" s="165">
        <f t="shared" si="973"/>
        <v>21.286414000000001</v>
      </c>
      <c r="P4054" s="166"/>
      <c r="Q4054" s="166">
        <f t="shared" si="974"/>
        <v>9089.2987780000003</v>
      </c>
      <c r="R4054" s="71"/>
    </row>
    <row r="4055" spans="1:18" s="61" customFormat="1" ht="31.5" x14ac:dyDescent="0.25">
      <c r="A4055" s="358"/>
      <c r="B4055" s="361"/>
      <c r="C4055" s="366"/>
      <c r="D4055" s="156" t="s">
        <v>221</v>
      </c>
      <c r="E4055" s="156" t="s">
        <v>60</v>
      </c>
      <c r="F4055" s="156" t="s">
        <v>60</v>
      </c>
      <c r="G4055" s="238">
        <f>MROUND(H4055*L4055*I4055/K4055,0.000000001)</f>
        <v>1.1521212000000001E-2</v>
      </c>
      <c r="H4055" s="158">
        <f t="shared" si="975"/>
        <v>18</v>
      </c>
      <c r="I4055" s="159">
        <f t="shared" si="959"/>
        <v>2.2775730000000001E-2</v>
      </c>
      <c r="J4055" s="160"/>
      <c r="K4055" s="161">
        <f>K4054</f>
        <v>427</v>
      </c>
      <c r="L4055" s="250">
        <v>12</v>
      </c>
      <c r="M4055" s="163" t="str">
        <f>CONCATENATE(H4055," ",F4055,"*",L4055,"мес.","*",I4055,"/",K4055,"чел.")</f>
        <v>18 шт.*12мес.*0,02277573/427чел.</v>
      </c>
      <c r="N4055" s="164">
        <f t="shared" si="972"/>
        <v>6577.3408796296308</v>
      </c>
      <c r="O4055" s="165">
        <f t="shared" si="973"/>
        <v>75.778938999999994</v>
      </c>
      <c r="P4055" s="166"/>
      <c r="Q4055" s="166">
        <f t="shared" si="974"/>
        <v>32357.606952999999</v>
      </c>
      <c r="R4055" s="71"/>
    </row>
    <row r="4056" spans="1:18" s="61" customFormat="1" ht="47.25" x14ac:dyDescent="0.25">
      <c r="A4056" s="358"/>
      <c r="B4056" s="361"/>
      <c r="C4056" s="366"/>
      <c r="D4056" s="156" t="s">
        <v>34</v>
      </c>
      <c r="E4056" s="156" t="s">
        <v>59</v>
      </c>
      <c r="F4056" s="156" t="s">
        <v>28</v>
      </c>
      <c r="G4056" s="238">
        <f>MROUND(H4056*L4056*I4056/K4056,0.0000000001)</f>
        <v>1.066779E-4</v>
      </c>
      <c r="H4056" s="158">
        <f t="shared" si="975"/>
        <v>2</v>
      </c>
      <c r="I4056" s="159">
        <f t="shared" si="959"/>
        <v>2.2775730000000001E-2</v>
      </c>
      <c r="J4056" s="160"/>
      <c r="K4056" s="161">
        <f>K4055</f>
        <v>427</v>
      </c>
      <c r="L4056" s="250">
        <v>1</v>
      </c>
      <c r="M4056" s="163" t="str">
        <f>CONCATENATE(H4056," ",F4056,"*",I4056,"/",K4056,"чел.")</f>
        <v>2 шт*0,02277573/427чел.</v>
      </c>
      <c r="N4056" s="164">
        <f t="shared" si="972"/>
        <v>7845</v>
      </c>
      <c r="O4056" s="165">
        <f t="shared" si="973"/>
        <v>0.83688799999999997</v>
      </c>
      <c r="P4056" s="166"/>
      <c r="Q4056" s="166">
        <f t="shared" si="974"/>
        <v>357.35117600000001</v>
      </c>
      <c r="R4056" s="71"/>
    </row>
    <row r="4057" spans="1:18" s="61" customFormat="1" ht="47.25" x14ac:dyDescent="0.25">
      <c r="A4057" s="358"/>
      <c r="B4057" s="361"/>
      <c r="C4057" s="366"/>
      <c r="D4057" s="156" t="s">
        <v>222</v>
      </c>
      <c r="E4057" s="156" t="s">
        <v>60</v>
      </c>
      <c r="F4057" s="156" t="s">
        <v>60</v>
      </c>
      <c r="G4057" s="238">
        <f>MROUND(H4057*L4057*I4057/K4057,0.00000000001)</f>
        <v>2.6669473E-4</v>
      </c>
      <c r="H4057" s="248">
        <f t="shared" si="975"/>
        <v>5</v>
      </c>
      <c r="I4057" s="159">
        <f t="shared" si="959"/>
        <v>2.2775730000000001E-2</v>
      </c>
      <c r="J4057" s="160"/>
      <c r="K4057" s="161">
        <f>K4056</f>
        <v>427</v>
      </c>
      <c r="L4057" s="250">
        <v>1</v>
      </c>
      <c r="M4057" s="163" t="str">
        <f>CONCATENATE(H4057," ",F4057,"*",I4057,"/",K4057,"чел.")</f>
        <v>5 шт.*0,02277573/427чел.</v>
      </c>
      <c r="N4057" s="164">
        <f t="shared" si="972"/>
        <v>43857.106</v>
      </c>
      <c r="O4057" s="165">
        <f>MROUND(G4057*N4057,0.00000001)</f>
        <v>11.696459040000001</v>
      </c>
      <c r="P4057" s="166"/>
      <c r="Q4057" s="166">
        <f t="shared" si="974"/>
        <v>4994.3880100800006</v>
      </c>
      <c r="R4057" s="71"/>
    </row>
    <row r="4058" spans="1:18" s="61" customFormat="1" ht="31.5" x14ac:dyDescent="0.25">
      <c r="A4058" s="358"/>
      <c r="B4058" s="361"/>
      <c r="C4058" s="366"/>
      <c r="D4058" s="156" t="s">
        <v>35</v>
      </c>
      <c r="E4058" s="156" t="s">
        <v>102</v>
      </c>
      <c r="F4058" s="156" t="s">
        <v>223</v>
      </c>
      <c r="G4058" s="238">
        <f>MROUND(H4058*L4058*I4058/K4058,0.00000001)</f>
        <v>1.8668600000000001E-3</v>
      </c>
      <c r="H4058" s="158">
        <f t="shared" si="975"/>
        <v>35</v>
      </c>
      <c r="I4058" s="159">
        <f>I4056</f>
        <v>2.2775730000000001E-2</v>
      </c>
      <c r="J4058" s="160"/>
      <c r="K4058" s="161">
        <f>K4056</f>
        <v>427</v>
      </c>
      <c r="L4058" s="250">
        <v>1</v>
      </c>
      <c r="M4058" s="163" t="str">
        <f>CONCATENATE(H4058," ",F4058,"*",I4058,"/",K4058,"чел.")</f>
        <v>35 замеров*0,02277573/427чел.</v>
      </c>
      <c r="N4058" s="164">
        <f t="shared" si="972"/>
        <v>26428.571428571428</v>
      </c>
      <c r="O4058" s="165">
        <f t="shared" ref="O4058:O4063" si="976">MROUND(G4058*N4058,0.000001)</f>
        <v>49.338442999999998</v>
      </c>
      <c r="P4058" s="166"/>
      <c r="Q4058" s="166">
        <f t="shared" si="974"/>
        <v>21067.515160999999</v>
      </c>
      <c r="R4058" s="71"/>
    </row>
    <row r="4059" spans="1:18" s="61" customFormat="1" ht="47.25" x14ac:dyDescent="0.25">
      <c r="A4059" s="358"/>
      <c r="B4059" s="361"/>
      <c r="C4059" s="366"/>
      <c r="D4059" s="156" t="s">
        <v>399</v>
      </c>
      <c r="E4059" s="156" t="s">
        <v>60</v>
      </c>
      <c r="F4059" s="156" t="s">
        <v>60</v>
      </c>
      <c r="G4059" s="238">
        <f>MROUND(H4059*L4059*I4059/K4059,0.000000001)</f>
        <v>1.8668631000000002E-2</v>
      </c>
      <c r="H4059" s="158">
        <f t="shared" si="975"/>
        <v>35</v>
      </c>
      <c r="I4059" s="159">
        <f t="shared" si="959"/>
        <v>2.2775730000000001E-2</v>
      </c>
      <c r="J4059" s="160"/>
      <c r="K4059" s="161">
        <f>K4058</f>
        <v>427</v>
      </c>
      <c r="L4059" s="250">
        <v>10</v>
      </c>
      <c r="M4059" s="163" t="str">
        <f>CONCATENATE(H4059," ",F4059,"*",L4059,"мес.","*",I4059,"/",K4059,"чел.")</f>
        <v>35 шт.*10мес.*0,02277573/427чел.</v>
      </c>
      <c r="N4059" s="164">
        <f t="shared" si="972"/>
        <v>3250.866542857143</v>
      </c>
      <c r="O4059" s="165">
        <f t="shared" si="976"/>
        <v>60.689228</v>
      </c>
      <c r="P4059" s="166"/>
      <c r="Q4059" s="166">
        <f t="shared" si="974"/>
        <v>25914.300356</v>
      </c>
      <c r="R4059" s="71"/>
    </row>
    <row r="4060" spans="1:18" s="61" customFormat="1" ht="47.25" x14ac:dyDescent="0.25">
      <c r="A4060" s="358"/>
      <c r="B4060" s="361"/>
      <c r="C4060" s="366"/>
      <c r="D4060" s="156" t="s">
        <v>36</v>
      </c>
      <c r="E4060" s="156" t="s">
        <v>31</v>
      </c>
      <c r="F4060" s="156" t="s">
        <v>224</v>
      </c>
      <c r="G4060" s="238">
        <f>MROUND(H4060*L4060*I4060/K4060,0.00000001)</f>
        <v>2.3042420000000001E-2</v>
      </c>
      <c r="H4060" s="158">
        <f t="shared" si="975"/>
        <v>36</v>
      </c>
      <c r="I4060" s="159">
        <f t="shared" si="959"/>
        <v>2.2775730000000001E-2</v>
      </c>
      <c r="J4060" s="160"/>
      <c r="K4060" s="161">
        <f>K4059</f>
        <v>427</v>
      </c>
      <c r="L4060" s="250">
        <v>12</v>
      </c>
      <c r="M4060" s="163" t="str">
        <f>CONCATENATE(H4060," ",F4060,"*",L4060,"мес.","*",I4060,"/",K4060,"чел.")</f>
        <v>36 устройств*12мес.*0,02277573/427чел.</v>
      </c>
      <c r="N4060" s="164">
        <f t="shared" si="972"/>
        <v>2508.3083101851839</v>
      </c>
      <c r="O4060" s="165">
        <f t="shared" si="976"/>
        <v>57.797494</v>
      </c>
      <c r="P4060" s="166"/>
      <c r="Q4060" s="166">
        <f t="shared" si="974"/>
        <v>24679.529938</v>
      </c>
      <c r="R4060" s="71"/>
    </row>
    <row r="4061" spans="1:18" s="61" customFormat="1" ht="31.5" x14ac:dyDescent="0.25">
      <c r="A4061" s="358"/>
      <c r="B4061" s="361"/>
      <c r="C4061" s="366"/>
      <c r="D4061" s="156" t="s">
        <v>99</v>
      </c>
      <c r="E4061" s="156" t="s">
        <v>103</v>
      </c>
      <c r="F4061" s="156" t="s">
        <v>225</v>
      </c>
      <c r="G4061" s="238">
        <f>MROUND(H4061*L4061*I4061/K4061,0.00000001)</f>
        <v>1.3334739999999999E-2</v>
      </c>
      <c r="H4061" s="158">
        <f t="shared" si="975"/>
        <v>250</v>
      </c>
      <c r="I4061" s="159">
        <f t="shared" si="959"/>
        <v>2.2775730000000001E-2</v>
      </c>
      <c r="J4061" s="160"/>
      <c r="K4061" s="161">
        <f>K4060</f>
        <v>427</v>
      </c>
      <c r="L4061" s="250">
        <v>1</v>
      </c>
      <c r="M4061" s="163" t="str">
        <f>CONCATENATE(H4061," ",F4061,"*",I4061,"/",K4061,"чел.")</f>
        <v>250 ед.*0,02277573/427чел.</v>
      </c>
      <c r="N4061" s="164">
        <f t="shared" si="972"/>
        <v>15000</v>
      </c>
      <c r="O4061" s="165">
        <f t="shared" si="976"/>
        <v>200.02109999999999</v>
      </c>
      <c r="P4061" s="166"/>
      <c r="Q4061" s="166">
        <f t="shared" si="974"/>
        <v>85409.009699999995</v>
      </c>
      <c r="R4061" s="71"/>
    </row>
    <row r="4062" spans="1:18" s="61" customFormat="1" x14ac:dyDescent="0.25">
      <c r="A4062" s="358"/>
      <c r="B4062" s="361"/>
      <c r="C4062" s="366"/>
      <c r="D4062" s="156" t="s">
        <v>27</v>
      </c>
      <c r="E4062" s="156" t="s">
        <v>28</v>
      </c>
      <c r="F4062" s="156" t="s">
        <v>28</v>
      </c>
      <c r="G4062" s="238">
        <f>MROUND(H4062*L4062*I4062/K4062,0.000000001)</f>
        <v>0.19388706900000002</v>
      </c>
      <c r="H4062" s="160">
        <f t="shared" si="975"/>
        <v>3635</v>
      </c>
      <c r="I4062" s="159">
        <f t="shared" si="959"/>
        <v>2.2775730000000001E-2</v>
      </c>
      <c r="J4062" s="160"/>
      <c r="K4062" s="161">
        <f>K4061</f>
        <v>427</v>
      </c>
      <c r="L4062" s="250">
        <v>1</v>
      </c>
      <c r="M4062" s="163" t="str">
        <f>CONCATENATE(H4062," ",F4062,"*",I4062,"/",K4062,"чел.")</f>
        <v>3635 шт*0,02277573/427чел.</v>
      </c>
      <c r="N4062" s="164">
        <f>N3582</f>
        <v>418.4</v>
      </c>
      <c r="O4062" s="165">
        <f t="shared" si="976"/>
        <v>81.122349999999997</v>
      </c>
      <c r="P4062" s="166"/>
      <c r="Q4062" s="166">
        <f t="shared" si="974"/>
        <v>34639.243450000002</v>
      </c>
      <c r="R4062" s="71"/>
    </row>
    <row r="4063" spans="1:18" s="61" customFormat="1" ht="31.5" x14ac:dyDescent="0.25">
      <c r="A4063" s="358"/>
      <c r="B4063" s="361"/>
      <c r="C4063" s="367"/>
      <c r="D4063" s="156" t="s">
        <v>104</v>
      </c>
      <c r="E4063" s="156" t="s">
        <v>105</v>
      </c>
      <c r="F4063" s="156" t="s">
        <v>226</v>
      </c>
      <c r="G4063" s="238">
        <f>MROUND(H4063*L4063*I4063/K4063,0.00000001)</f>
        <v>1.9201999999999999E-3</v>
      </c>
      <c r="H4063" s="160">
        <f t="shared" si="975"/>
        <v>36</v>
      </c>
      <c r="I4063" s="159">
        <f t="shared" si="959"/>
        <v>2.2775730000000001E-2</v>
      </c>
      <c r="J4063" s="160"/>
      <c r="K4063" s="161">
        <f>K4062</f>
        <v>427</v>
      </c>
      <c r="L4063" s="250">
        <v>1</v>
      </c>
      <c r="M4063" s="163" t="str">
        <f>CONCATENATE(H4063," ",F4063,"*",I4063,"/",K4063,"чел.")</f>
        <v>36 отключений*0,02277573/427чел.</v>
      </c>
      <c r="N4063" s="164">
        <f>N3463</f>
        <v>10261.260000000004</v>
      </c>
      <c r="O4063" s="165">
        <f t="shared" si="976"/>
        <v>19.703671</v>
      </c>
      <c r="P4063" s="166"/>
      <c r="Q4063" s="166">
        <f t="shared" si="974"/>
        <v>8413.4675169999991</v>
      </c>
      <c r="R4063" s="71"/>
    </row>
    <row r="4064" spans="1:18" s="62" customFormat="1" x14ac:dyDescent="0.25">
      <c r="A4064" s="358"/>
      <c r="B4064" s="361"/>
      <c r="C4064" s="249" t="s">
        <v>304</v>
      </c>
      <c r="D4064" s="240"/>
      <c r="E4064" s="240"/>
      <c r="F4064" s="240"/>
      <c r="G4064" s="227"/>
      <c r="H4064" s="228"/>
      <c r="I4064" s="206"/>
      <c r="J4064" s="228"/>
      <c r="K4064" s="207"/>
      <c r="L4064" s="257"/>
      <c r="M4064" s="209"/>
      <c r="N4064" s="210"/>
      <c r="O4064" s="198">
        <f>SUM(O4048:O4063)</f>
        <v>689.42760104000001</v>
      </c>
      <c r="P4064" s="267"/>
      <c r="Q4064" s="166"/>
      <c r="R4064" s="71"/>
    </row>
    <row r="4065" spans="1:18" s="61" customFormat="1" ht="31.5" x14ac:dyDescent="0.25">
      <c r="A4065" s="358"/>
      <c r="B4065" s="361"/>
      <c r="C4065" s="221" t="s">
        <v>79</v>
      </c>
      <c r="D4065" s="156" t="s">
        <v>37</v>
      </c>
      <c r="E4065" s="156" t="s">
        <v>61</v>
      </c>
      <c r="F4065" s="156" t="s">
        <v>227</v>
      </c>
      <c r="G4065" s="238">
        <f>MROUND(H4065*L4065*I4065/K4065,0.000000001)</f>
        <v>2.1335600000000002E-4</v>
      </c>
      <c r="H4065" s="158">
        <f>H3465</f>
        <v>4</v>
      </c>
      <c r="I4065" s="159">
        <f>I4063</f>
        <v>2.2775730000000001E-2</v>
      </c>
      <c r="J4065" s="160"/>
      <c r="K4065" s="161">
        <f>K4063</f>
        <v>427</v>
      </c>
      <c r="L4065" s="250">
        <v>1</v>
      </c>
      <c r="M4065" s="163" t="str">
        <f>CONCATENATE(H4065," ",F4065,"*",I4065,"/",K4065,"чел.")</f>
        <v>4 автобуса*0,02277573/427чел.</v>
      </c>
      <c r="N4065" s="164">
        <f>N3465</f>
        <v>36442.65</v>
      </c>
      <c r="O4065" s="165">
        <f>MROUND(G4065*N4065,0.000001)</f>
        <v>7.775258</v>
      </c>
      <c r="P4065" s="166"/>
      <c r="Q4065" s="166">
        <f t="shared" ref="Q4065" si="977">O4065*K4065</f>
        <v>3320.0351660000001</v>
      </c>
      <c r="R4065" s="71"/>
    </row>
    <row r="4066" spans="1:18" s="62" customFormat="1" x14ac:dyDescent="0.25">
      <c r="A4066" s="358"/>
      <c r="B4066" s="361"/>
      <c r="C4066" s="218" t="s">
        <v>305</v>
      </c>
      <c r="D4066" s="240"/>
      <c r="E4066" s="240"/>
      <c r="F4066" s="240"/>
      <c r="G4066" s="227"/>
      <c r="H4066" s="241"/>
      <c r="I4066" s="206"/>
      <c r="J4066" s="228"/>
      <c r="K4066" s="207"/>
      <c r="L4066" s="257"/>
      <c r="M4066" s="209"/>
      <c r="N4066" s="210"/>
      <c r="O4066" s="198">
        <f>SUM(O4065)</f>
        <v>7.775258</v>
      </c>
      <c r="P4066" s="267"/>
      <c r="Q4066" s="166"/>
      <c r="R4066" s="71"/>
    </row>
    <row r="4067" spans="1:18" s="61" customFormat="1" x14ac:dyDescent="0.25">
      <c r="A4067" s="358"/>
      <c r="B4067" s="361"/>
      <c r="C4067" s="364" t="s">
        <v>80</v>
      </c>
      <c r="D4067" s="156" t="s">
        <v>38</v>
      </c>
      <c r="E4067" s="156" t="s">
        <v>57</v>
      </c>
      <c r="F4067" s="156" t="s">
        <v>228</v>
      </c>
      <c r="G4067" s="238">
        <f>MROUND(H4067*L4067*I4067/K4067,0.000000001)</f>
        <v>2.3042425000000002E-2</v>
      </c>
      <c r="H4067" s="158">
        <f>H3467</f>
        <v>36</v>
      </c>
      <c r="I4067" s="159">
        <f>I4065</f>
        <v>2.2775730000000001E-2</v>
      </c>
      <c r="J4067" s="160"/>
      <c r="K4067" s="161">
        <f>K4065</f>
        <v>427</v>
      </c>
      <c r="L4067" s="250">
        <v>12</v>
      </c>
      <c r="M4067" s="163" t="str">
        <f>CONCATENATE(H4067," ",F4067,"*",L4067,"мес.","*",I4067,"/",K4067,"чел.")</f>
        <v>36 зданий*12мес.*0,02277573/427чел.</v>
      </c>
      <c r="N4067" s="164">
        <f t="shared" ref="N4067:N4078" si="978">N3467</f>
        <v>4910.5833101851858</v>
      </c>
      <c r="O4067" s="165">
        <f>MROUND(G4067*N4067,0.000001)</f>
        <v>113.151748</v>
      </c>
      <c r="P4067" s="166"/>
      <c r="Q4067" s="166">
        <f t="shared" ref="Q4067:Q4080" si="979">O4067*K4067</f>
        <v>48315.796395999998</v>
      </c>
      <c r="R4067" s="71"/>
    </row>
    <row r="4068" spans="1:18" s="61" customFormat="1" ht="47.25" x14ac:dyDescent="0.25">
      <c r="A4068" s="358"/>
      <c r="B4068" s="361"/>
      <c r="C4068" s="364"/>
      <c r="D4068" s="156" t="s">
        <v>229</v>
      </c>
      <c r="E4068" s="156" t="s">
        <v>60</v>
      </c>
      <c r="F4068" s="156" t="s">
        <v>60</v>
      </c>
      <c r="G4068" s="238">
        <f>MROUND(H4068*L4068*I4068/K4068,0.000001)</f>
        <v>0.127693</v>
      </c>
      <c r="H4068" s="158">
        <f>H3468</f>
        <v>2394</v>
      </c>
      <c r="I4068" s="159">
        <f t="shared" si="959"/>
        <v>2.2775730000000001E-2</v>
      </c>
      <c r="J4068" s="160"/>
      <c r="K4068" s="161">
        <f>K4067</f>
        <v>427</v>
      </c>
      <c r="L4068" s="250">
        <v>1</v>
      </c>
      <c r="M4068" s="163" t="str">
        <f t="shared" ref="M4068:M4075" si="980">CONCATENATE(H4068," ",F4068,"*",I4068,"/",K4068,"чел.")</f>
        <v>2394 шт.*0,02277573/427чел.</v>
      </c>
      <c r="N4068" s="164">
        <f t="shared" si="978"/>
        <v>171.02101921470341</v>
      </c>
      <c r="O4068" s="165">
        <f>MROUND(G4068*N4068,0.000001)</f>
        <v>21.838186999999998</v>
      </c>
      <c r="P4068" s="166"/>
      <c r="Q4068" s="166">
        <f t="shared" si="979"/>
        <v>9324.9058489999989</v>
      </c>
      <c r="R4068" s="71"/>
    </row>
    <row r="4069" spans="1:18" s="61" customFormat="1" ht="47.25" x14ac:dyDescent="0.25">
      <c r="A4069" s="358"/>
      <c r="B4069" s="361"/>
      <c r="C4069" s="364"/>
      <c r="D4069" s="156" t="s">
        <v>405</v>
      </c>
      <c r="E4069" s="156" t="s">
        <v>60</v>
      </c>
      <c r="F4069" s="156" t="s">
        <v>406</v>
      </c>
      <c r="G4069" s="238">
        <f>MROUND(H4069*L4069*I4069/K4069,0.00000001)</f>
        <v>1.9201999999999999E-3</v>
      </c>
      <c r="H4069" s="158">
        <f>H3709</f>
        <v>36</v>
      </c>
      <c r="I4069" s="159">
        <f t="shared" si="959"/>
        <v>2.2775730000000001E-2</v>
      </c>
      <c r="J4069" s="160"/>
      <c r="K4069" s="161">
        <f>K4068</f>
        <v>427</v>
      </c>
      <c r="L4069" s="250">
        <v>1</v>
      </c>
      <c r="M4069" s="163" t="str">
        <f t="shared" si="980"/>
        <v>36 лицензий*0,02277573/427чел.</v>
      </c>
      <c r="N4069" s="164">
        <f t="shared" si="978"/>
        <v>12541.539999999994</v>
      </c>
      <c r="O4069" s="165">
        <f t="shared" ref="O4069:O4078" si="981">MROUND(G4069*N4069,0.000001)</f>
        <v>24.082265</v>
      </c>
      <c r="P4069" s="166"/>
      <c r="Q4069" s="166">
        <f t="shared" si="979"/>
        <v>10283.127155</v>
      </c>
      <c r="R4069" s="71"/>
    </row>
    <row r="4070" spans="1:18" s="61" customFormat="1" ht="63" x14ac:dyDescent="0.25">
      <c r="A4070" s="358"/>
      <c r="B4070" s="361"/>
      <c r="C4070" s="364"/>
      <c r="D4070" s="156" t="s">
        <v>39</v>
      </c>
      <c r="E4070" s="156" t="s">
        <v>20</v>
      </c>
      <c r="F4070" s="156" t="s">
        <v>234</v>
      </c>
      <c r="G4070" s="238">
        <f>MROUND(H4070*L4070*I4070/K4070,0.00000001)</f>
        <v>6.2940000000000001E-3</v>
      </c>
      <c r="H4070" s="158">
        <f>H3590</f>
        <v>118</v>
      </c>
      <c r="I4070" s="159">
        <f>I4068</f>
        <v>2.2775730000000001E-2</v>
      </c>
      <c r="J4070" s="160"/>
      <c r="K4070" s="161">
        <f>K4068</f>
        <v>427</v>
      </c>
      <c r="L4070" s="250">
        <v>1</v>
      </c>
      <c r="M4070" s="163" t="str">
        <f t="shared" si="980"/>
        <v>118 чел(заявленная потребность руководителями учреждений)*0,02277573/427чел.</v>
      </c>
      <c r="N4070" s="164">
        <f t="shared" si="978"/>
        <v>798.09796610169519</v>
      </c>
      <c r="O4070" s="165">
        <f t="shared" si="981"/>
        <v>5.0232289999999997</v>
      </c>
      <c r="P4070" s="166"/>
      <c r="Q4070" s="166">
        <f t="shared" si="979"/>
        <v>2144.9187830000001</v>
      </c>
      <c r="R4070" s="71"/>
    </row>
    <row r="4071" spans="1:18" s="61" customFormat="1" ht="63" x14ac:dyDescent="0.25">
      <c r="A4071" s="358"/>
      <c r="B4071" s="361"/>
      <c r="C4071" s="364"/>
      <c r="D4071" s="156" t="s">
        <v>40</v>
      </c>
      <c r="E4071" s="156" t="s">
        <v>20</v>
      </c>
      <c r="F4071" s="156" t="s">
        <v>234</v>
      </c>
      <c r="G4071" s="238">
        <f>MROUND(H4071*L4071*I4071/K4071,0.000000001)</f>
        <v>5.1205390000000003E-3</v>
      </c>
      <c r="H4071" s="158">
        <f>H3591</f>
        <v>96</v>
      </c>
      <c r="I4071" s="159">
        <f t="shared" si="959"/>
        <v>2.2775730000000001E-2</v>
      </c>
      <c r="J4071" s="160"/>
      <c r="K4071" s="161">
        <f t="shared" ref="K4071:K4078" si="982">K4070</f>
        <v>427</v>
      </c>
      <c r="L4071" s="250">
        <v>1</v>
      </c>
      <c r="M4071" s="163" t="str">
        <f t="shared" si="980"/>
        <v>96 чел(заявленная потребность руководителями учреждений)*0,02277573/427чел.</v>
      </c>
      <c r="N4071" s="164">
        <f t="shared" si="978"/>
        <v>1710.2100000000007</v>
      </c>
      <c r="O4071" s="165">
        <f t="shared" si="981"/>
        <v>8.7571969999999997</v>
      </c>
      <c r="P4071" s="166"/>
      <c r="Q4071" s="166">
        <f t="shared" si="979"/>
        <v>3739.3231189999997</v>
      </c>
      <c r="R4071" s="71"/>
    </row>
    <row r="4072" spans="1:18" s="61" customFormat="1" ht="63" x14ac:dyDescent="0.25">
      <c r="A4072" s="358"/>
      <c r="B4072" s="361"/>
      <c r="C4072" s="364"/>
      <c r="D4072" s="156" t="s">
        <v>100</v>
      </c>
      <c r="E4072" s="156" t="s">
        <v>20</v>
      </c>
      <c r="F4072" s="156" t="s">
        <v>234</v>
      </c>
      <c r="G4072" s="238">
        <f>MROUND(H4072*L4072*I4072/K4072,0.0000000001)</f>
        <v>4.3204545999999998E-3</v>
      </c>
      <c r="H4072" s="158">
        <f>H3592</f>
        <v>81</v>
      </c>
      <c r="I4072" s="159">
        <f t="shared" si="959"/>
        <v>2.2775730000000001E-2</v>
      </c>
      <c r="J4072" s="160"/>
      <c r="K4072" s="161">
        <f t="shared" si="982"/>
        <v>427</v>
      </c>
      <c r="L4072" s="250">
        <v>1</v>
      </c>
      <c r="M4072" s="163" t="str">
        <f t="shared" si="980"/>
        <v>81 чел(заявленная потребность руководителями учреждений)*0,02277573/427чел.</v>
      </c>
      <c r="N4072" s="164">
        <f t="shared" si="978"/>
        <v>3648.448148148148</v>
      </c>
      <c r="O4072" s="165">
        <f t="shared" si="981"/>
        <v>15.762955</v>
      </c>
      <c r="P4072" s="166"/>
      <c r="Q4072" s="166">
        <f t="shared" si="979"/>
        <v>6730.7817850000001</v>
      </c>
      <c r="R4072" s="71"/>
    </row>
    <row r="4073" spans="1:18" s="61" customFormat="1" ht="110.25" x14ac:dyDescent="0.25">
      <c r="A4073" s="358"/>
      <c r="B4073" s="361"/>
      <c r="C4073" s="364"/>
      <c r="D4073" s="156" t="s">
        <v>235</v>
      </c>
      <c r="E4073" s="156" t="s">
        <v>50</v>
      </c>
      <c r="F4073" s="156" t="s">
        <v>230</v>
      </c>
      <c r="G4073" s="238">
        <f>MROUND(H4073*L4073*I4073/K4073,0.00000001)</f>
        <v>1.9201999999999999E-3</v>
      </c>
      <c r="H4073" s="158">
        <f>H3833</f>
        <v>36</v>
      </c>
      <c r="I4073" s="159">
        <f t="shared" si="959"/>
        <v>2.2775730000000001E-2</v>
      </c>
      <c r="J4073" s="160"/>
      <c r="K4073" s="161">
        <f t="shared" si="982"/>
        <v>427</v>
      </c>
      <c r="L4073" s="250">
        <v>1</v>
      </c>
      <c r="M4073" s="163" t="str">
        <f t="shared" si="980"/>
        <v>36 отчетов*0,02277573/427чел.</v>
      </c>
      <c r="N4073" s="164">
        <f t="shared" si="978"/>
        <v>6840.8399999999974</v>
      </c>
      <c r="O4073" s="165">
        <f t="shared" si="981"/>
        <v>13.135781</v>
      </c>
      <c r="P4073" s="166"/>
      <c r="Q4073" s="166">
        <f t="shared" si="979"/>
        <v>5608.9784870000003</v>
      </c>
      <c r="R4073" s="71"/>
    </row>
    <row r="4074" spans="1:18" s="61" customFormat="1" ht="63" x14ac:dyDescent="0.25">
      <c r="A4074" s="358"/>
      <c r="B4074" s="361"/>
      <c r="C4074" s="364"/>
      <c r="D4074" s="156" t="s">
        <v>42</v>
      </c>
      <c r="E4074" s="156" t="s">
        <v>51</v>
      </c>
      <c r="F4074" s="156" t="s">
        <v>407</v>
      </c>
      <c r="G4074" s="238">
        <f>MROUND(H4074*L4074*I4074/K4074,0.000001)</f>
        <v>1.0881E-2</v>
      </c>
      <c r="H4074" s="158">
        <f>H3594</f>
        <v>204</v>
      </c>
      <c r="I4074" s="159">
        <f t="shared" si="959"/>
        <v>2.2775730000000001E-2</v>
      </c>
      <c r="J4074" s="160"/>
      <c r="K4074" s="161">
        <f t="shared" si="982"/>
        <v>427</v>
      </c>
      <c r="L4074" s="250">
        <v>1</v>
      </c>
      <c r="M4074" s="163" t="str">
        <f t="shared" si="980"/>
        <v>204 ед (заявленная потребность руководителями учреждений)*0,02277573/427чел.</v>
      </c>
      <c r="N4074" s="164">
        <f t="shared" si="978"/>
        <v>1140.1400000000001</v>
      </c>
      <c r="O4074" s="165">
        <f t="shared" si="981"/>
        <v>12.405863</v>
      </c>
      <c r="P4074" s="166"/>
      <c r="Q4074" s="166">
        <f t="shared" si="979"/>
        <v>5297.3035010000003</v>
      </c>
      <c r="R4074" s="71"/>
    </row>
    <row r="4075" spans="1:18" s="61" customFormat="1" ht="31.5" x14ac:dyDescent="0.25">
      <c r="A4075" s="358"/>
      <c r="B4075" s="361"/>
      <c r="C4075" s="364"/>
      <c r="D4075" s="156" t="s">
        <v>43</v>
      </c>
      <c r="E4075" s="156" t="s">
        <v>52</v>
      </c>
      <c r="F4075" s="156" t="s">
        <v>231</v>
      </c>
      <c r="G4075" s="238">
        <f>MROUND(H4075*L4075*I4075/K4075,0.000000001)</f>
        <v>1.9202020000000002E-3</v>
      </c>
      <c r="H4075" s="158">
        <f>H3475</f>
        <v>36</v>
      </c>
      <c r="I4075" s="159">
        <f t="shared" ref="I4075:I4078" si="983">I4074</f>
        <v>2.2775730000000001E-2</v>
      </c>
      <c r="J4075" s="160"/>
      <c r="K4075" s="161">
        <f t="shared" si="982"/>
        <v>427</v>
      </c>
      <c r="L4075" s="250">
        <v>1</v>
      </c>
      <c r="M4075" s="163" t="str">
        <f t="shared" si="980"/>
        <v>36 ЭЦП*0,02277573/427чел.</v>
      </c>
      <c r="N4075" s="164">
        <f t="shared" si="978"/>
        <v>8099.5499999999947</v>
      </c>
      <c r="O4075" s="165">
        <f t="shared" si="981"/>
        <v>15.552771999999999</v>
      </c>
      <c r="P4075" s="166"/>
      <c r="Q4075" s="166">
        <f t="shared" si="979"/>
        <v>6641.0336439999992</v>
      </c>
      <c r="R4075" s="71"/>
    </row>
    <row r="4076" spans="1:18" s="61" customFormat="1" ht="47.25" x14ac:dyDescent="0.25">
      <c r="A4076" s="358"/>
      <c r="B4076" s="361"/>
      <c r="C4076" s="364"/>
      <c r="D4076" s="156" t="s">
        <v>44</v>
      </c>
      <c r="E4076" s="156" t="s">
        <v>85</v>
      </c>
      <c r="F4076" s="156" t="s">
        <v>232</v>
      </c>
      <c r="G4076" s="238">
        <f>MROUND(H4076*L4076*I4076/K4076,0.000001)</f>
        <v>6.4860000000000001E-2</v>
      </c>
      <c r="H4076" s="158">
        <f>H3476</f>
        <v>1216</v>
      </c>
      <c r="I4076" s="159">
        <f t="shared" si="983"/>
        <v>2.2775730000000001E-2</v>
      </c>
      <c r="J4076" s="160"/>
      <c r="K4076" s="161">
        <f t="shared" si="982"/>
        <v>427</v>
      </c>
      <c r="L4076" s="250">
        <v>1</v>
      </c>
      <c r="M4076" s="163" t="str">
        <f>CONCATENATE(H4076," ",F4076,"*",L4076,"мес.","*",I4076,"/",K4076,"чел.")</f>
        <v>1216 мед.осмотров в мес.*1мес.*0,02277573/427чел.</v>
      </c>
      <c r="N4076" s="164">
        <f t="shared" si="978"/>
        <v>59.287277960526318</v>
      </c>
      <c r="O4076" s="165">
        <f t="shared" si="981"/>
        <v>3.8453729999999999</v>
      </c>
      <c r="P4076" s="166"/>
      <c r="Q4076" s="166">
        <f t="shared" si="979"/>
        <v>1641.974271</v>
      </c>
      <c r="R4076" s="71"/>
    </row>
    <row r="4077" spans="1:18" s="61" customFormat="1" ht="63" x14ac:dyDescent="0.25">
      <c r="A4077" s="358"/>
      <c r="B4077" s="361"/>
      <c r="C4077" s="364"/>
      <c r="D4077" s="156" t="s">
        <v>45</v>
      </c>
      <c r="E4077" s="156" t="s">
        <v>53</v>
      </c>
      <c r="F4077" s="156" t="s">
        <v>233</v>
      </c>
      <c r="G4077" s="238">
        <f>MROUND(H4077*L4077*I4077/K4077,0.000000001)</f>
        <v>2.560269E-3</v>
      </c>
      <c r="H4077" s="158">
        <f>H3597</f>
        <v>4</v>
      </c>
      <c r="I4077" s="159">
        <f t="shared" si="983"/>
        <v>2.2775730000000001E-2</v>
      </c>
      <c r="J4077" s="160"/>
      <c r="K4077" s="161">
        <f t="shared" si="982"/>
        <v>427</v>
      </c>
      <c r="L4077" s="250">
        <v>12</v>
      </c>
      <c r="M4077" s="163" t="str">
        <f>CONCATENATE(H4077," ",F4077,"*",L4077,"мес.","*",I4077,"/",K4077,"чел.")</f>
        <v>4  машины, оборудованных системой ГЛОНАСС*12мес.*0,02277573/427чел.</v>
      </c>
      <c r="N4077" s="164">
        <f t="shared" si="978"/>
        <v>921.23312500000009</v>
      </c>
      <c r="O4077" s="165">
        <f t="shared" si="981"/>
        <v>2.3586049999999998</v>
      </c>
      <c r="P4077" s="166"/>
      <c r="Q4077" s="166">
        <f t="shared" si="979"/>
        <v>1007.124335</v>
      </c>
      <c r="R4077" s="71"/>
    </row>
    <row r="4078" spans="1:18" s="61" customFormat="1" ht="31.5" x14ac:dyDescent="0.25">
      <c r="A4078" s="358"/>
      <c r="B4078" s="361"/>
      <c r="C4078" s="364"/>
      <c r="D4078" s="156" t="s">
        <v>408</v>
      </c>
      <c r="E4078" s="156" t="s">
        <v>20</v>
      </c>
      <c r="F4078" s="156" t="s">
        <v>20</v>
      </c>
      <c r="G4078" s="238">
        <f>MROUND(H4078*L4078*I4078/K4078,0.000000001)</f>
        <v>9.0516192000000009E-2</v>
      </c>
      <c r="H4078" s="158">
        <f>H3478</f>
        <v>1697</v>
      </c>
      <c r="I4078" s="159">
        <f t="shared" si="983"/>
        <v>2.2775730000000001E-2</v>
      </c>
      <c r="J4078" s="160"/>
      <c r="K4078" s="161">
        <f t="shared" si="982"/>
        <v>427</v>
      </c>
      <c r="L4078" s="250">
        <v>1</v>
      </c>
      <c r="M4078" s="163" t="str">
        <f>CONCATENATE(H4078," ",F4078,"*",L4078," раз в год","*",I4078,"/",K4078,"чел.")</f>
        <v>1697 чел.*1 раз в год*0,02277573/427чел.</v>
      </c>
      <c r="N4078" s="164">
        <f t="shared" si="978"/>
        <v>570.06999999999994</v>
      </c>
      <c r="O4078" s="165">
        <f t="shared" si="981"/>
        <v>51.600566000000001</v>
      </c>
      <c r="P4078" s="166"/>
      <c r="Q4078" s="166">
        <f t="shared" si="979"/>
        <v>22033.441682000001</v>
      </c>
      <c r="R4078" s="71"/>
    </row>
    <row r="4079" spans="1:18" s="61" customFormat="1" x14ac:dyDescent="0.25">
      <c r="A4079" s="358"/>
      <c r="B4079" s="361"/>
      <c r="C4079" s="364"/>
      <c r="D4079" s="156" t="s">
        <v>373</v>
      </c>
      <c r="E4079" s="156" t="s">
        <v>28</v>
      </c>
      <c r="F4079" s="156" t="s">
        <v>28</v>
      </c>
      <c r="G4079" s="157">
        <f>MROUND(H4079*L4079*I4079/K4079,0.000000001)</f>
        <v>1.9202020000000002E-3</v>
      </c>
      <c r="H4079" s="158">
        <f>H3480</f>
        <v>36</v>
      </c>
      <c r="I4079" s="159">
        <f>I4077</f>
        <v>2.2775730000000001E-2</v>
      </c>
      <c r="J4079" s="160"/>
      <c r="K4079" s="161">
        <f>K4077</f>
        <v>427</v>
      </c>
      <c r="L4079" s="162">
        <v>1</v>
      </c>
      <c r="M4079" s="163" t="str">
        <f>CONCATENATE(H4079," ",F4079,"*",L4079,"мес.","*",I4079,"/",K4079,"чел.")</f>
        <v>36 шт*1мес.*0,02277573/427чел.</v>
      </c>
      <c r="N4079" s="164">
        <f>N3480</f>
        <v>24000</v>
      </c>
      <c r="O4079" s="165">
        <f>MROUND(G4079*N4079,0.000000001)</f>
        <v>46.084848000000001</v>
      </c>
      <c r="P4079" s="166"/>
      <c r="Q4079" s="166">
        <f t="shared" si="979"/>
        <v>19678.230095999999</v>
      </c>
      <c r="R4079" s="71"/>
    </row>
    <row r="4080" spans="1:18" s="61" customFormat="1" ht="31.5" x14ac:dyDescent="0.25">
      <c r="A4080" s="358"/>
      <c r="B4080" s="361"/>
      <c r="C4080" s="364"/>
      <c r="D4080" s="156" t="s">
        <v>106</v>
      </c>
      <c r="E4080" s="156" t="s">
        <v>107</v>
      </c>
      <c r="F4080" s="156"/>
      <c r="G4080" s="238">
        <f>MROUND(H4080*L4080*I4080/K4080,0.000000001)</f>
        <v>0</v>
      </c>
      <c r="H4080" s="158">
        <f>H3479</f>
        <v>0</v>
      </c>
      <c r="I4080" s="159">
        <f>I4077</f>
        <v>2.2775730000000001E-2</v>
      </c>
      <c r="J4080" s="160"/>
      <c r="K4080" s="161">
        <f>K4077</f>
        <v>427</v>
      </c>
      <c r="L4080" s="250">
        <f>L3479</f>
        <v>0</v>
      </c>
      <c r="M4080" s="163"/>
      <c r="N4080" s="164">
        <f>N3479</f>
        <v>6.0000000000000002E-5</v>
      </c>
      <c r="O4080" s="165">
        <f>MROUND(G4080*N4080,0.000000001)</f>
        <v>0</v>
      </c>
      <c r="P4080" s="166"/>
      <c r="Q4080" s="166">
        <f t="shared" si="979"/>
        <v>0</v>
      </c>
      <c r="R4080" s="71"/>
    </row>
    <row r="4081" spans="1:18" s="62" customFormat="1" x14ac:dyDescent="0.25">
      <c r="A4081" s="358"/>
      <c r="B4081" s="361"/>
      <c r="C4081" s="245" t="s">
        <v>296</v>
      </c>
      <c r="D4081" s="240"/>
      <c r="E4081" s="240"/>
      <c r="F4081" s="240"/>
      <c r="G4081" s="227"/>
      <c r="H4081" s="241"/>
      <c r="I4081" s="206"/>
      <c r="J4081" s="228"/>
      <c r="K4081" s="207"/>
      <c r="L4081" s="257"/>
      <c r="M4081" s="209"/>
      <c r="N4081" s="210"/>
      <c r="O4081" s="198">
        <f>SUM(O4067:O4080)</f>
        <v>333.59938900000003</v>
      </c>
      <c r="P4081" s="267"/>
      <c r="Q4081" s="166"/>
      <c r="R4081" s="71"/>
    </row>
    <row r="4082" spans="1:18" s="61" customFormat="1" ht="31.5" x14ac:dyDescent="0.25">
      <c r="A4082" s="358"/>
      <c r="B4082" s="361"/>
      <c r="C4082" s="252" t="s">
        <v>237</v>
      </c>
      <c r="D4082" s="156" t="s">
        <v>41</v>
      </c>
      <c r="E4082" s="156" t="s">
        <v>61</v>
      </c>
      <c r="F4082" s="156" t="s">
        <v>227</v>
      </c>
      <c r="G4082" s="238">
        <f>MROUND(H4082*L4082*I4082/K4082,0.000000001)</f>
        <v>2.1335600000000002E-4</v>
      </c>
      <c r="H4082" s="158">
        <f>H3482</f>
        <v>4</v>
      </c>
      <c r="I4082" s="159">
        <f>I4080</f>
        <v>2.2775730000000001E-2</v>
      </c>
      <c r="J4082" s="160"/>
      <c r="K4082" s="161">
        <f>K4080</f>
        <v>427</v>
      </c>
      <c r="L4082" s="250">
        <v>1</v>
      </c>
      <c r="M4082" s="163" t="str">
        <f>CONCATENATE(H4082," ",F4082,"*",I4082,"/",K4082,"чел.")</f>
        <v>4 автобуса*0,02277573/427чел.</v>
      </c>
      <c r="N4082" s="164">
        <f>N3482</f>
        <v>26907.305</v>
      </c>
      <c r="O4082" s="165">
        <f>MROUND(G4082*N4082,0.000001)</f>
        <v>5.7408349999999997</v>
      </c>
      <c r="P4082" s="166"/>
      <c r="Q4082" s="166">
        <f t="shared" ref="Q4082" si="984">O4082*K4082</f>
        <v>2451.3365449999997</v>
      </c>
      <c r="R4082" s="71"/>
    </row>
    <row r="4083" spans="1:18" s="62" customFormat="1" x14ac:dyDescent="0.25">
      <c r="A4083" s="358"/>
      <c r="B4083" s="361"/>
      <c r="C4083" s="245" t="s">
        <v>297</v>
      </c>
      <c r="D4083" s="240"/>
      <c r="E4083" s="240"/>
      <c r="F4083" s="240"/>
      <c r="G4083" s="227"/>
      <c r="H4083" s="241"/>
      <c r="I4083" s="206"/>
      <c r="J4083" s="228"/>
      <c r="K4083" s="207"/>
      <c r="L4083" s="257"/>
      <c r="M4083" s="209"/>
      <c r="N4083" s="210"/>
      <c r="O4083" s="198">
        <f>SUM(O4082)</f>
        <v>5.7408349999999997</v>
      </c>
      <c r="P4083" s="267"/>
      <c r="Q4083" s="166"/>
      <c r="R4083" s="71"/>
    </row>
    <row r="4084" spans="1:18" s="61" customFormat="1" ht="78.75" x14ac:dyDescent="0.25">
      <c r="A4084" s="358"/>
      <c r="B4084" s="361"/>
      <c r="C4084" s="221" t="s">
        <v>236</v>
      </c>
      <c r="D4084" s="156" t="s">
        <v>19</v>
      </c>
      <c r="E4084" s="181" t="s">
        <v>20</v>
      </c>
      <c r="F4084" s="181" t="s">
        <v>238</v>
      </c>
      <c r="G4084" s="238">
        <f>MROUND(H4084*L4084*I4084/K4084,0.000001)</f>
        <v>0</v>
      </c>
      <c r="H4084" s="158"/>
      <c r="I4084" s="159">
        <f>I4080</f>
        <v>2.2775730000000001E-2</v>
      </c>
      <c r="J4084" s="160"/>
      <c r="K4084" s="161">
        <f>K4080</f>
        <v>427</v>
      </c>
      <c r="L4084" s="250"/>
      <c r="M4084" s="163"/>
      <c r="N4084" s="164"/>
      <c r="O4084" s="165">
        <f>MROUND(G4084*N4084,0.000001)</f>
        <v>0</v>
      </c>
      <c r="P4084" s="166"/>
      <c r="Q4084" s="166">
        <f t="shared" ref="Q4084" si="985">O4084*K4084</f>
        <v>0</v>
      </c>
      <c r="R4084" s="71"/>
    </row>
    <row r="4085" spans="1:18" s="62" customFormat="1" x14ac:dyDescent="0.25">
      <c r="A4085" s="358"/>
      <c r="B4085" s="361"/>
      <c r="C4085" s="245" t="s">
        <v>298</v>
      </c>
      <c r="D4085" s="240"/>
      <c r="E4085" s="253"/>
      <c r="F4085" s="253"/>
      <c r="G4085" s="227"/>
      <c r="H4085" s="241"/>
      <c r="I4085" s="206"/>
      <c r="J4085" s="228"/>
      <c r="K4085" s="207"/>
      <c r="L4085" s="257"/>
      <c r="M4085" s="209"/>
      <c r="N4085" s="210"/>
      <c r="O4085" s="198">
        <f>SUM(O4084)</f>
        <v>0</v>
      </c>
      <c r="P4085" s="267"/>
      <c r="Q4085" s="166"/>
      <c r="R4085" s="71"/>
    </row>
    <row r="4086" spans="1:18" s="61" customFormat="1" ht="30" x14ac:dyDescent="0.25">
      <c r="A4086" s="358"/>
      <c r="B4086" s="361"/>
      <c r="C4086" s="365" t="s">
        <v>81</v>
      </c>
      <c r="D4086" s="254" t="s">
        <v>410</v>
      </c>
      <c r="E4086" s="156" t="s">
        <v>28</v>
      </c>
      <c r="F4086" s="156" t="s">
        <v>28</v>
      </c>
      <c r="G4086" s="238">
        <f>MROUND(H4086*L4086*I4086/K4086,0.0000000001)</f>
        <v>0</v>
      </c>
      <c r="H4086" s="158"/>
      <c r="I4086" s="159">
        <f>I4080</f>
        <v>2.2775730000000001E-2</v>
      </c>
      <c r="J4086" s="160"/>
      <c r="K4086" s="161">
        <f>K4080</f>
        <v>427</v>
      </c>
      <c r="L4086" s="250">
        <v>1</v>
      </c>
      <c r="M4086" s="163"/>
      <c r="N4086" s="164"/>
      <c r="O4086" s="165">
        <f>MROUND(G4086*N4086,0.000001)</f>
        <v>0</v>
      </c>
      <c r="P4086" s="166"/>
      <c r="Q4086" s="166">
        <f t="shared" ref="Q4086:Q4109" si="986">O4086*K4086</f>
        <v>0</v>
      </c>
      <c r="R4086" s="71"/>
    </row>
    <row r="4087" spans="1:18" s="61" customFormat="1" x14ac:dyDescent="0.25">
      <c r="A4087" s="358"/>
      <c r="B4087" s="361"/>
      <c r="C4087" s="366"/>
      <c r="D4087" s="254" t="s">
        <v>325</v>
      </c>
      <c r="E4087" s="156" t="s">
        <v>28</v>
      </c>
      <c r="F4087" s="156" t="s">
        <v>28</v>
      </c>
      <c r="G4087" s="157">
        <f>MROUND(H4087*L4087*I4087/K4087,0.0000000001)</f>
        <v>0</v>
      </c>
      <c r="H4087" s="158"/>
      <c r="I4087" s="159">
        <f>I4086</f>
        <v>2.2775730000000001E-2</v>
      </c>
      <c r="J4087" s="160"/>
      <c r="K4087" s="161">
        <f>K4086</f>
        <v>427</v>
      </c>
      <c r="L4087" s="250">
        <v>1</v>
      </c>
      <c r="M4087" s="163"/>
      <c r="N4087" s="164"/>
      <c r="O4087" s="165">
        <f>MROUND(G4087*N4087,0.000001)</f>
        <v>0</v>
      </c>
      <c r="P4087" s="166"/>
      <c r="Q4087" s="166">
        <f t="shared" si="986"/>
        <v>0</v>
      </c>
      <c r="R4087" s="71"/>
    </row>
    <row r="4088" spans="1:18" s="61" customFormat="1" ht="30" x14ac:dyDescent="0.25">
      <c r="A4088" s="358"/>
      <c r="B4088" s="361"/>
      <c r="C4088" s="366"/>
      <c r="D4088" s="254" t="s">
        <v>411</v>
      </c>
      <c r="E4088" s="156" t="s">
        <v>28</v>
      </c>
      <c r="F4088" s="156" t="s">
        <v>28</v>
      </c>
      <c r="G4088" s="238">
        <f>MROUND(H4088*L4088*I4088/K4088,0.00000001)</f>
        <v>0</v>
      </c>
      <c r="H4088" s="158"/>
      <c r="I4088" s="159">
        <f>I4086</f>
        <v>2.2775730000000001E-2</v>
      </c>
      <c r="J4088" s="160"/>
      <c r="K4088" s="161">
        <f>K4086</f>
        <v>427</v>
      </c>
      <c r="L4088" s="250">
        <v>1</v>
      </c>
      <c r="M4088" s="163"/>
      <c r="N4088" s="164"/>
      <c r="O4088" s="165">
        <f t="shared" ref="O4088:O4109" si="987">MROUND(G4088*N4088,0.000001)</f>
        <v>0</v>
      </c>
      <c r="P4088" s="166"/>
      <c r="Q4088" s="166">
        <f t="shared" si="986"/>
        <v>0</v>
      </c>
      <c r="R4088" s="71"/>
    </row>
    <row r="4089" spans="1:18" s="61" customFormat="1" x14ac:dyDescent="0.25">
      <c r="A4089" s="358"/>
      <c r="B4089" s="361"/>
      <c r="C4089" s="366"/>
      <c r="D4089" s="255" t="s">
        <v>412</v>
      </c>
      <c r="E4089" s="156" t="s">
        <v>28</v>
      </c>
      <c r="F4089" s="156" t="s">
        <v>28</v>
      </c>
      <c r="G4089" s="238">
        <f>MROUND(H4089*L4089*I4089/K4089,0.00000001)</f>
        <v>0</v>
      </c>
      <c r="H4089" s="158"/>
      <c r="I4089" s="159">
        <f>I4088</f>
        <v>2.2775730000000001E-2</v>
      </c>
      <c r="J4089" s="160"/>
      <c r="K4089" s="161">
        <f>K4088</f>
        <v>427</v>
      </c>
      <c r="L4089" s="250">
        <v>1</v>
      </c>
      <c r="M4089" s="163"/>
      <c r="N4089" s="164"/>
      <c r="O4089" s="165">
        <f t="shared" si="987"/>
        <v>0</v>
      </c>
      <c r="P4089" s="166"/>
      <c r="Q4089" s="166">
        <f t="shared" si="986"/>
        <v>0</v>
      </c>
      <c r="R4089" s="71"/>
    </row>
    <row r="4090" spans="1:18" s="61" customFormat="1" ht="31.5" x14ac:dyDescent="0.25">
      <c r="A4090" s="358"/>
      <c r="B4090" s="361"/>
      <c r="C4090" s="366"/>
      <c r="D4090" s="255" t="s">
        <v>413</v>
      </c>
      <c r="E4090" s="156" t="s">
        <v>28</v>
      </c>
      <c r="F4090" s="156" t="s">
        <v>28</v>
      </c>
      <c r="G4090" s="238">
        <f>MROUND(H4090*L4090*I4090/K4090,0.0000000001)</f>
        <v>0</v>
      </c>
      <c r="H4090" s="158"/>
      <c r="I4090" s="159">
        <f>I4089</f>
        <v>2.2775730000000001E-2</v>
      </c>
      <c r="J4090" s="160"/>
      <c r="K4090" s="161">
        <f>K4089</f>
        <v>427</v>
      </c>
      <c r="L4090" s="250">
        <v>1</v>
      </c>
      <c r="M4090" s="163"/>
      <c r="N4090" s="164"/>
      <c r="O4090" s="165">
        <f t="shared" si="987"/>
        <v>0</v>
      </c>
      <c r="P4090" s="166"/>
      <c r="Q4090" s="166">
        <f t="shared" si="986"/>
        <v>0</v>
      </c>
      <c r="R4090" s="71"/>
    </row>
    <row r="4091" spans="1:18" s="61" customFormat="1" x14ac:dyDescent="0.25">
      <c r="A4091" s="358"/>
      <c r="B4091" s="361"/>
      <c r="C4091" s="366"/>
      <c r="D4091" s="254" t="s">
        <v>109</v>
      </c>
      <c r="E4091" s="156" t="s">
        <v>28</v>
      </c>
      <c r="F4091" s="156" t="s">
        <v>28</v>
      </c>
      <c r="G4091" s="238">
        <f>MROUND(H4091*L4091*I4091/K4091,0.0000000001)</f>
        <v>0</v>
      </c>
      <c r="H4091" s="158"/>
      <c r="I4091" s="159">
        <f>I4090</f>
        <v>2.2775730000000001E-2</v>
      </c>
      <c r="J4091" s="160"/>
      <c r="K4091" s="161">
        <f>K4090</f>
        <v>427</v>
      </c>
      <c r="L4091" s="250">
        <v>1</v>
      </c>
      <c r="M4091" s="163"/>
      <c r="N4091" s="164"/>
      <c r="O4091" s="165">
        <f t="shared" si="987"/>
        <v>0</v>
      </c>
      <c r="P4091" s="166"/>
      <c r="Q4091" s="166">
        <f t="shared" si="986"/>
        <v>0</v>
      </c>
      <c r="R4091" s="71"/>
    </row>
    <row r="4092" spans="1:18" s="61" customFormat="1" x14ac:dyDescent="0.25">
      <c r="A4092" s="358"/>
      <c r="B4092" s="361"/>
      <c r="C4092" s="366"/>
      <c r="D4092" s="254" t="s">
        <v>414</v>
      </c>
      <c r="E4092" s="156" t="s">
        <v>28</v>
      </c>
      <c r="F4092" s="156" t="s">
        <v>28</v>
      </c>
      <c r="G4092" s="238">
        <f>MROUND(H4092*L4092*I4092/K4092,0.0000000001)</f>
        <v>0</v>
      </c>
      <c r="H4092" s="158"/>
      <c r="I4092" s="159">
        <f>I4090</f>
        <v>2.2775730000000001E-2</v>
      </c>
      <c r="J4092" s="160"/>
      <c r="K4092" s="161">
        <f>K4090</f>
        <v>427</v>
      </c>
      <c r="L4092" s="250">
        <v>1</v>
      </c>
      <c r="M4092" s="163"/>
      <c r="N4092" s="164"/>
      <c r="O4092" s="165">
        <f t="shared" si="987"/>
        <v>0</v>
      </c>
      <c r="P4092" s="166"/>
      <c r="Q4092" s="166">
        <f t="shared" si="986"/>
        <v>0</v>
      </c>
      <c r="R4092" s="71"/>
    </row>
    <row r="4093" spans="1:18" s="61" customFormat="1" x14ac:dyDescent="0.25">
      <c r="A4093" s="358"/>
      <c r="B4093" s="361"/>
      <c r="C4093" s="366"/>
      <c r="D4093" s="254" t="s">
        <v>415</v>
      </c>
      <c r="E4093" s="156" t="s">
        <v>28</v>
      </c>
      <c r="F4093" s="156" t="s">
        <v>28</v>
      </c>
      <c r="G4093" s="238">
        <f>MROUND(H4093*L4093*I4093/K4093,0.00000001)</f>
        <v>0</v>
      </c>
      <c r="H4093" s="158"/>
      <c r="I4093" s="159">
        <f t="shared" ref="I4093:I4102" si="988">I4091</f>
        <v>2.2775730000000001E-2</v>
      </c>
      <c r="J4093" s="160"/>
      <c r="K4093" s="161">
        <f t="shared" ref="K4093:K4102" si="989">K4091</f>
        <v>427</v>
      </c>
      <c r="L4093" s="250">
        <v>1</v>
      </c>
      <c r="M4093" s="163"/>
      <c r="N4093" s="164"/>
      <c r="O4093" s="165">
        <f t="shared" si="987"/>
        <v>0</v>
      </c>
      <c r="P4093" s="166"/>
      <c r="Q4093" s="166">
        <f t="shared" si="986"/>
        <v>0</v>
      </c>
      <c r="R4093" s="71"/>
    </row>
    <row r="4094" spans="1:18" s="61" customFormat="1" x14ac:dyDescent="0.25">
      <c r="A4094" s="358"/>
      <c r="B4094" s="361"/>
      <c r="C4094" s="366"/>
      <c r="D4094" s="254" t="s">
        <v>416</v>
      </c>
      <c r="E4094" s="156" t="s">
        <v>28</v>
      </c>
      <c r="F4094" s="156" t="s">
        <v>28</v>
      </c>
      <c r="G4094" s="238">
        <f>MROUND(H4094*L4094*I4094/K4094,0.000000001)</f>
        <v>0</v>
      </c>
      <c r="H4094" s="246"/>
      <c r="I4094" s="159">
        <f t="shared" si="988"/>
        <v>2.2775730000000001E-2</v>
      </c>
      <c r="J4094" s="160"/>
      <c r="K4094" s="161">
        <f t="shared" si="989"/>
        <v>427</v>
      </c>
      <c r="L4094" s="250">
        <v>1</v>
      </c>
      <c r="M4094" s="163"/>
      <c r="N4094" s="164"/>
      <c r="O4094" s="165">
        <f t="shared" si="987"/>
        <v>0</v>
      </c>
      <c r="P4094" s="166"/>
      <c r="Q4094" s="166">
        <f t="shared" si="986"/>
        <v>0</v>
      </c>
      <c r="R4094" s="71"/>
    </row>
    <row r="4095" spans="1:18" s="61" customFormat="1" x14ac:dyDescent="0.25">
      <c r="A4095" s="358"/>
      <c r="B4095" s="361"/>
      <c r="C4095" s="366"/>
      <c r="D4095" s="254" t="s">
        <v>417</v>
      </c>
      <c r="E4095" s="156" t="s">
        <v>28</v>
      </c>
      <c r="F4095" s="156" t="s">
        <v>28</v>
      </c>
      <c r="G4095" s="238">
        <f>MROUND(H4095*L4095*I4095/K4095,0.00000001)</f>
        <v>0</v>
      </c>
      <c r="H4095" s="158"/>
      <c r="I4095" s="159">
        <f t="shared" si="988"/>
        <v>2.2775730000000001E-2</v>
      </c>
      <c r="J4095" s="160"/>
      <c r="K4095" s="161">
        <f t="shared" si="989"/>
        <v>427</v>
      </c>
      <c r="L4095" s="250">
        <v>1</v>
      </c>
      <c r="M4095" s="163"/>
      <c r="N4095" s="164"/>
      <c r="O4095" s="165">
        <f t="shared" si="987"/>
        <v>0</v>
      </c>
      <c r="P4095" s="166"/>
      <c r="Q4095" s="166">
        <f t="shared" si="986"/>
        <v>0</v>
      </c>
      <c r="R4095" s="71"/>
    </row>
    <row r="4096" spans="1:18" s="61" customFormat="1" ht="30" x14ac:dyDescent="0.25">
      <c r="A4096" s="358"/>
      <c r="B4096" s="361"/>
      <c r="C4096" s="366"/>
      <c r="D4096" s="254" t="s">
        <v>418</v>
      </c>
      <c r="E4096" s="156" t="s">
        <v>28</v>
      </c>
      <c r="F4096" s="156" t="s">
        <v>28</v>
      </c>
      <c r="G4096" s="238">
        <f>MROUND(H4096*L4096*I4096/K4096,0.00000001)</f>
        <v>0</v>
      </c>
      <c r="H4096" s="158"/>
      <c r="I4096" s="159">
        <f t="shared" si="988"/>
        <v>2.2775730000000001E-2</v>
      </c>
      <c r="J4096" s="160"/>
      <c r="K4096" s="161">
        <f t="shared" si="989"/>
        <v>427</v>
      </c>
      <c r="L4096" s="250">
        <v>1</v>
      </c>
      <c r="M4096" s="163"/>
      <c r="N4096" s="164"/>
      <c r="O4096" s="165">
        <f t="shared" si="987"/>
        <v>0</v>
      </c>
      <c r="P4096" s="166"/>
      <c r="Q4096" s="166">
        <f t="shared" si="986"/>
        <v>0</v>
      </c>
      <c r="R4096" s="71"/>
    </row>
    <row r="4097" spans="1:18" s="61" customFormat="1" x14ac:dyDescent="0.25">
      <c r="A4097" s="358"/>
      <c r="B4097" s="361"/>
      <c r="C4097" s="366"/>
      <c r="D4097" s="254" t="s">
        <v>324</v>
      </c>
      <c r="E4097" s="156" t="s">
        <v>28</v>
      </c>
      <c r="F4097" s="156" t="s">
        <v>28</v>
      </c>
      <c r="G4097" s="238">
        <f>MROUND(H4097*L4097*I4097/K4097,0.000000001)</f>
        <v>0</v>
      </c>
      <c r="H4097" s="158"/>
      <c r="I4097" s="159">
        <f t="shared" si="988"/>
        <v>2.2775730000000001E-2</v>
      </c>
      <c r="J4097" s="160"/>
      <c r="K4097" s="161">
        <f t="shared" si="989"/>
        <v>427</v>
      </c>
      <c r="L4097" s="250">
        <v>1</v>
      </c>
      <c r="M4097" s="163"/>
      <c r="N4097" s="164"/>
      <c r="O4097" s="165">
        <f t="shared" si="987"/>
        <v>0</v>
      </c>
      <c r="P4097" s="166"/>
      <c r="Q4097" s="166">
        <f t="shared" si="986"/>
        <v>0</v>
      </c>
      <c r="R4097" s="71"/>
    </row>
    <row r="4098" spans="1:18" s="61" customFormat="1" x14ac:dyDescent="0.25">
      <c r="A4098" s="358"/>
      <c r="B4098" s="361"/>
      <c r="C4098" s="366"/>
      <c r="D4098" s="254" t="s">
        <v>419</v>
      </c>
      <c r="E4098" s="156" t="s">
        <v>28</v>
      </c>
      <c r="F4098" s="156" t="s">
        <v>28</v>
      </c>
      <c r="G4098" s="238">
        <f>MROUND(H4098*L4098*I4098/K4098,0.000000001)</f>
        <v>0</v>
      </c>
      <c r="H4098" s="246"/>
      <c r="I4098" s="159">
        <f t="shared" si="988"/>
        <v>2.2775730000000001E-2</v>
      </c>
      <c r="J4098" s="160"/>
      <c r="K4098" s="161">
        <f t="shared" si="989"/>
        <v>427</v>
      </c>
      <c r="L4098" s="250">
        <v>1</v>
      </c>
      <c r="M4098" s="163"/>
      <c r="N4098" s="164"/>
      <c r="O4098" s="165">
        <f t="shared" si="987"/>
        <v>0</v>
      </c>
      <c r="P4098" s="166"/>
      <c r="Q4098" s="166">
        <f t="shared" si="986"/>
        <v>0</v>
      </c>
      <c r="R4098" s="71"/>
    </row>
    <row r="4099" spans="1:18" s="61" customFormat="1" x14ac:dyDescent="0.25">
      <c r="A4099" s="358"/>
      <c r="B4099" s="361"/>
      <c r="C4099" s="366"/>
      <c r="D4099" s="254" t="s">
        <v>420</v>
      </c>
      <c r="E4099" s="156" t="s">
        <v>28</v>
      </c>
      <c r="F4099" s="156" t="s">
        <v>28</v>
      </c>
      <c r="G4099" s="238">
        <f>MROUND(H4099*L4099*I4099/K4099,0.000000001)</f>
        <v>0</v>
      </c>
      <c r="H4099" s="158"/>
      <c r="I4099" s="159">
        <f t="shared" si="988"/>
        <v>2.2775730000000001E-2</v>
      </c>
      <c r="J4099" s="160"/>
      <c r="K4099" s="161">
        <f t="shared" si="989"/>
        <v>427</v>
      </c>
      <c r="L4099" s="250">
        <v>1</v>
      </c>
      <c r="M4099" s="163"/>
      <c r="N4099" s="164"/>
      <c r="O4099" s="165">
        <f t="shared" si="987"/>
        <v>0</v>
      </c>
      <c r="P4099" s="166"/>
      <c r="Q4099" s="166">
        <f t="shared" si="986"/>
        <v>0</v>
      </c>
      <c r="R4099" s="71"/>
    </row>
    <row r="4100" spans="1:18" s="61" customFormat="1" x14ac:dyDescent="0.25">
      <c r="A4100" s="358"/>
      <c r="B4100" s="361"/>
      <c r="C4100" s="366"/>
      <c r="D4100" s="254" t="s">
        <v>421</v>
      </c>
      <c r="E4100" s="156" t="s">
        <v>28</v>
      </c>
      <c r="F4100" s="156" t="s">
        <v>28</v>
      </c>
      <c r="G4100" s="238">
        <f>MROUND(H4100*L4100*I4100/K4100,0.00000001)</f>
        <v>0</v>
      </c>
      <c r="H4100" s="158"/>
      <c r="I4100" s="159">
        <f t="shared" si="988"/>
        <v>2.2775730000000001E-2</v>
      </c>
      <c r="J4100" s="160"/>
      <c r="K4100" s="161">
        <f t="shared" si="989"/>
        <v>427</v>
      </c>
      <c r="L4100" s="250">
        <v>1</v>
      </c>
      <c r="M4100" s="163"/>
      <c r="N4100" s="164"/>
      <c r="O4100" s="165">
        <f t="shared" si="987"/>
        <v>0</v>
      </c>
      <c r="P4100" s="166"/>
      <c r="Q4100" s="166">
        <f t="shared" si="986"/>
        <v>0</v>
      </c>
      <c r="R4100" s="71"/>
    </row>
    <row r="4101" spans="1:18" s="61" customFormat="1" ht="30" x14ac:dyDescent="0.25">
      <c r="A4101" s="358"/>
      <c r="B4101" s="361"/>
      <c r="C4101" s="366"/>
      <c r="D4101" s="254" t="s">
        <v>422</v>
      </c>
      <c r="E4101" s="156" t="s">
        <v>28</v>
      </c>
      <c r="F4101" s="156" t="s">
        <v>28</v>
      </c>
      <c r="G4101" s="266">
        <f>MROUND(H4101*L4101*I4101/K4101,0.00000001)</f>
        <v>0</v>
      </c>
      <c r="H4101" s="158"/>
      <c r="I4101" s="159">
        <f t="shared" si="988"/>
        <v>2.2775730000000001E-2</v>
      </c>
      <c r="J4101" s="160"/>
      <c r="K4101" s="161">
        <f t="shared" si="989"/>
        <v>427</v>
      </c>
      <c r="L4101" s="250">
        <v>1</v>
      </c>
      <c r="M4101" s="163"/>
      <c r="N4101" s="164"/>
      <c r="O4101" s="165">
        <f t="shared" si="987"/>
        <v>0</v>
      </c>
      <c r="P4101" s="166"/>
      <c r="Q4101" s="166">
        <f t="shared" si="986"/>
        <v>0</v>
      </c>
      <c r="R4101" s="71"/>
    </row>
    <row r="4102" spans="1:18" s="61" customFormat="1" x14ac:dyDescent="0.25">
      <c r="A4102" s="358"/>
      <c r="B4102" s="361"/>
      <c r="C4102" s="366"/>
      <c r="D4102" s="254" t="s">
        <v>423</v>
      </c>
      <c r="E4102" s="156" t="s">
        <v>28</v>
      </c>
      <c r="F4102" s="156" t="s">
        <v>28</v>
      </c>
      <c r="G4102" s="238">
        <f>MROUND(H4102*L4102*I4102/K4102,0.000000001)</f>
        <v>0</v>
      </c>
      <c r="H4102" s="158"/>
      <c r="I4102" s="159">
        <f t="shared" si="988"/>
        <v>2.2775730000000001E-2</v>
      </c>
      <c r="J4102" s="160"/>
      <c r="K4102" s="161">
        <f t="shared" si="989"/>
        <v>427</v>
      </c>
      <c r="L4102" s="250">
        <v>1</v>
      </c>
      <c r="M4102" s="163"/>
      <c r="N4102" s="164"/>
      <c r="O4102" s="165">
        <f t="shared" si="987"/>
        <v>0</v>
      </c>
      <c r="P4102" s="166"/>
      <c r="Q4102" s="166">
        <f t="shared" si="986"/>
        <v>0</v>
      </c>
      <c r="R4102" s="71"/>
    </row>
    <row r="4103" spans="1:18" s="61" customFormat="1" x14ac:dyDescent="0.25">
      <c r="A4103" s="358"/>
      <c r="B4103" s="361"/>
      <c r="C4103" s="366"/>
      <c r="D4103" s="254" t="s">
        <v>424</v>
      </c>
      <c r="E4103" s="156" t="s">
        <v>28</v>
      </c>
      <c r="F4103" s="156" t="s">
        <v>28</v>
      </c>
      <c r="G4103" s="238">
        <f t="shared" ref="G4103:G4109" si="990">MROUND(H4103*L4103*I4103/K4103,0.00000001)</f>
        <v>0</v>
      </c>
      <c r="H4103" s="158"/>
      <c r="I4103" s="159">
        <f>I4092</f>
        <v>2.2775730000000001E-2</v>
      </c>
      <c r="J4103" s="160"/>
      <c r="K4103" s="161">
        <f>K4092</f>
        <v>427</v>
      </c>
      <c r="L4103" s="250">
        <v>1</v>
      </c>
      <c r="M4103" s="163"/>
      <c r="N4103" s="164"/>
      <c r="O4103" s="165">
        <f t="shared" si="987"/>
        <v>0</v>
      </c>
      <c r="P4103" s="166"/>
      <c r="Q4103" s="166">
        <f t="shared" si="986"/>
        <v>0</v>
      </c>
      <c r="R4103" s="71"/>
    </row>
    <row r="4104" spans="1:18" s="61" customFormat="1" x14ac:dyDescent="0.25">
      <c r="A4104" s="358"/>
      <c r="B4104" s="361"/>
      <c r="C4104" s="366"/>
      <c r="D4104" s="254" t="s">
        <v>425</v>
      </c>
      <c r="E4104" s="156" t="s">
        <v>28</v>
      </c>
      <c r="F4104" s="156" t="s">
        <v>28</v>
      </c>
      <c r="G4104" s="277">
        <f t="shared" si="990"/>
        <v>0</v>
      </c>
      <c r="H4104" s="158"/>
      <c r="I4104" s="159">
        <f t="shared" ref="I4104:I4109" si="991">I4103</f>
        <v>2.2775730000000001E-2</v>
      </c>
      <c r="J4104" s="160"/>
      <c r="K4104" s="161">
        <f t="shared" ref="K4104:K4109" si="992">K4103</f>
        <v>427</v>
      </c>
      <c r="L4104" s="250">
        <v>1</v>
      </c>
      <c r="M4104" s="163"/>
      <c r="N4104" s="164"/>
      <c r="O4104" s="165">
        <f t="shared" si="987"/>
        <v>0</v>
      </c>
      <c r="P4104" s="166"/>
      <c r="Q4104" s="166">
        <f t="shared" si="986"/>
        <v>0</v>
      </c>
      <c r="R4104" s="71"/>
    </row>
    <row r="4105" spans="1:18" s="61" customFormat="1" x14ac:dyDescent="0.25">
      <c r="A4105" s="358"/>
      <c r="B4105" s="361"/>
      <c r="C4105" s="366"/>
      <c r="D4105" s="254" t="s">
        <v>108</v>
      </c>
      <c r="E4105" s="156" t="s">
        <v>28</v>
      </c>
      <c r="F4105" s="156" t="s">
        <v>28</v>
      </c>
      <c r="G4105" s="238">
        <f t="shared" si="990"/>
        <v>0</v>
      </c>
      <c r="H4105" s="158"/>
      <c r="I4105" s="159">
        <f t="shared" si="991"/>
        <v>2.2775730000000001E-2</v>
      </c>
      <c r="J4105" s="160"/>
      <c r="K4105" s="161">
        <f t="shared" si="992"/>
        <v>427</v>
      </c>
      <c r="L4105" s="250">
        <v>1</v>
      </c>
      <c r="M4105" s="163"/>
      <c r="N4105" s="164"/>
      <c r="O4105" s="165">
        <f t="shared" si="987"/>
        <v>0</v>
      </c>
      <c r="P4105" s="166"/>
      <c r="Q4105" s="166">
        <f t="shared" si="986"/>
        <v>0</v>
      </c>
      <c r="R4105" s="71"/>
    </row>
    <row r="4106" spans="1:18" s="61" customFormat="1" x14ac:dyDescent="0.25">
      <c r="A4106" s="358"/>
      <c r="B4106" s="361"/>
      <c r="C4106" s="366"/>
      <c r="D4106" s="254" t="s">
        <v>426</v>
      </c>
      <c r="E4106" s="156" t="s">
        <v>28</v>
      </c>
      <c r="F4106" s="156" t="s">
        <v>28</v>
      </c>
      <c r="G4106" s="238">
        <f t="shared" si="990"/>
        <v>0</v>
      </c>
      <c r="H4106" s="158"/>
      <c r="I4106" s="159">
        <f t="shared" si="991"/>
        <v>2.2775730000000001E-2</v>
      </c>
      <c r="J4106" s="160"/>
      <c r="K4106" s="161">
        <f t="shared" si="992"/>
        <v>427</v>
      </c>
      <c r="L4106" s="250">
        <v>1</v>
      </c>
      <c r="M4106" s="163"/>
      <c r="N4106" s="164"/>
      <c r="O4106" s="165">
        <f t="shared" si="987"/>
        <v>0</v>
      </c>
      <c r="P4106" s="166"/>
      <c r="Q4106" s="166">
        <f t="shared" si="986"/>
        <v>0</v>
      </c>
      <c r="R4106" s="71"/>
    </row>
    <row r="4107" spans="1:18" s="61" customFormat="1" x14ac:dyDescent="0.25">
      <c r="A4107" s="358"/>
      <c r="B4107" s="361"/>
      <c r="C4107" s="366"/>
      <c r="D4107" s="254" t="s">
        <v>427</v>
      </c>
      <c r="E4107" s="156" t="s">
        <v>28</v>
      </c>
      <c r="F4107" s="156" t="s">
        <v>28</v>
      </c>
      <c r="G4107" s="238">
        <f t="shared" si="990"/>
        <v>0</v>
      </c>
      <c r="H4107" s="158"/>
      <c r="I4107" s="159">
        <f t="shared" si="991"/>
        <v>2.2775730000000001E-2</v>
      </c>
      <c r="J4107" s="160"/>
      <c r="K4107" s="161">
        <f t="shared" si="992"/>
        <v>427</v>
      </c>
      <c r="L4107" s="250">
        <v>1</v>
      </c>
      <c r="M4107" s="163"/>
      <c r="N4107" s="164"/>
      <c r="O4107" s="165">
        <f t="shared" si="987"/>
        <v>0</v>
      </c>
      <c r="P4107" s="166"/>
      <c r="Q4107" s="166">
        <f t="shared" si="986"/>
        <v>0</v>
      </c>
      <c r="R4107" s="71"/>
    </row>
    <row r="4108" spans="1:18" s="61" customFormat="1" x14ac:dyDescent="0.25">
      <c r="A4108" s="358"/>
      <c r="B4108" s="361"/>
      <c r="C4108" s="366"/>
      <c r="D4108" s="254" t="s">
        <v>428</v>
      </c>
      <c r="E4108" s="156" t="s">
        <v>28</v>
      </c>
      <c r="F4108" s="156" t="s">
        <v>28</v>
      </c>
      <c r="G4108" s="238">
        <f t="shared" si="990"/>
        <v>0</v>
      </c>
      <c r="H4108" s="158"/>
      <c r="I4108" s="159">
        <f t="shared" si="991"/>
        <v>2.2775730000000001E-2</v>
      </c>
      <c r="J4108" s="160"/>
      <c r="K4108" s="161">
        <f t="shared" si="992"/>
        <v>427</v>
      </c>
      <c r="L4108" s="250">
        <v>1</v>
      </c>
      <c r="M4108" s="163"/>
      <c r="N4108" s="164"/>
      <c r="O4108" s="165">
        <f t="shared" si="987"/>
        <v>0</v>
      </c>
      <c r="P4108" s="166"/>
      <c r="Q4108" s="166">
        <f t="shared" si="986"/>
        <v>0</v>
      </c>
      <c r="R4108" s="71"/>
    </row>
    <row r="4109" spans="1:18" s="61" customFormat="1" x14ac:dyDescent="0.25">
      <c r="A4109" s="358"/>
      <c r="B4109" s="361"/>
      <c r="C4109" s="366"/>
      <c r="D4109" s="255" t="s">
        <v>429</v>
      </c>
      <c r="E4109" s="156" t="s">
        <v>28</v>
      </c>
      <c r="F4109" s="156" t="s">
        <v>28</v>
      </c>
      <c r="G4109" s="238">
        <f t="shared" si="990"/>
        <v>0</v>
      </c>
      <c r="H4109" s="158"/>
      <c r="I4109" s="159">
        <f t="shared" si="991"/>
        <v>2.2775730000000001E-2</v>
      </c>
      <c r="J4109" s="160"/>
      <c r="K4109" s="161">
        <f t="shared" si="992"/>
        <v>427</v>
      </c>
      <c r="L4109" s="250">
        <v>1</v>
      </c>
      <c r="M4109" s="163"/>
      <c r="N4109" s="164"/>
      <c r="O4109" s="165">
        <f t="shared" si="987"/>
        <v>0</v>
      </c>
      <c r="P4109" s="166"/>
      <c r="Q4109" s="166">
        <f t="shared" si="986"/>
        <v>0</v>
      </c>
      <c r="R4109" s="71"/>
    </row>
    <row r="4110" spans="1:18" s="62" customFormat="1" x14ac:dyDescent="0.25">
      <c r="A4110" s="358"/>
      <c r="B4110" s="361"/>
      <c r="C4110" s="249" t="s">
        <v>311</v>
      </c>
      <c r="D4110" s="256"/>
      <c r="E4110" s="240"/>
      <c r="F4110" s="240"/>
      <c r="G4110" s="227"/>
      <c r="H4110" s="241"/>
      <c r="I4110" s="206"/>
      <c r="J4110" s="228"/>
      <c r="K4110" s="207"/>
      <c r="L4110" s="257"/>
      <c r="M4110" s="209"/>
      <c r="N4110" s="210"/>
      <c r="O4110" s="198">
        <f>SUM(O4086:O4109)</f>
        <v>0</v>
      </c>
      <c r="P4110" s="267"/>
      <c r="Q4110" s="166"/>
      <c r="R4110" s="71"/>
    </row>
    <row r="4111" spans="1:18" s="61" customFormat="1" ht="110.25" x14ac:dyDescent="0.25">
      <c r="A4111" s="358"/>
      <c r="B4111" s="361"/>
      <c r="C4111" s="221" t="s">
        <v>82</v>
      </c>
      <c r="D4111" s="156" t="s">
        <v>46</v>
      </c>
      <c r="E4111" s="156" t="s">
        <v>54</v>
      </c>
      <c r="F4111" s="156" t="s">
        <v>285</v>
      </c>
      <c r="G4111" s="238">
        <f>MROUND(H4111*L4111*I4111/K4111,0.000001)</f>
        <v>0.60326299999999999</v>
      </c>
      <c r="H4111" s="242">
        <f>H3511</f>
        <v>1028.181818181818</v>
      </c>
      <c r="I4111" s="159">
        <f>I4109</f>
        <v>2.2775730000000001E-2</v>
      </c>
      <c r="J4111" s="160"/>
      <c r="K4111" s="161">
        <f>K4109</f>
        <v>427</v>
      </c>
      <c r="L4111" s="225">
        <f>L3751</f>
        <v>11</v>
      </c>
      <c r="M4111" s="163" t="str">
        <f>CONCATENATE(H4111," ",F4111,"*",L4111,"автобуса","*",I4111,"/",K4111,"чел.")</f>
        <v>1028,18181818182 л бензина АИ 92 (12,5л/день(зимой)*20дней*7мес+10л/день(летом)*20дней*4мес)*11автобуса*0,02277573/427чел.</v>
      </c>
      <c r="N4111" s="164">
        <f>N3511</f>
        <v>57.007000000000005</v>
      </c>
      <c r="O4111" s="165">
        <f>MROUND(G4111*N4111,0.000001)</f>
        <v>34.390214</v>
      </c>
      <c r="P4111" s="166"/>
      <c r="Q4111" s="166">
        <f t="shared" ref="Q4111" si="993">O4111*K4111</f>
        <v>14684.621378</v>
      </c>
      <c r="R4111" s="71"/>
    </row>
    <row r="4112" spans="1:18" s="62" customFormat="1" x14ac:dyDescent="0.25">
      <c r="A4112" s="358"/>
      <c r="B4112" s="361"/>
      <c r="C4112" s="218" t="s">
        <v>309</v>
      </c>
      <c r="D4112" s="240"/>
      <c r="E4112" s="240"/>
      <c r="F4112" s="240"/>
      <c r="G4112" s="227"/>
      <c r="H4112" s="241"/>
      <c r="I4112" s="206"/>
      <c r="J4112" s="228"/>
      <c r="K4112" s="207"/>
      <c r="L4112" s="257"/>
      <c r="M4112" s="209"/>
      <c r="N4112" s="210"/>
      <c r="O4112" s="198">
        <f>SUM(O4111)</f>
        <v>34.390214</v>
      </c>
      <c r="P4112" s="267"/>
      <c r="Q4112" s="166"/>
      <c r="R4112" s="71"/>
    </row>
    <row r="4113" spans="1:18" s="61" customFormat="1" ht="47.25" x14ac:dyDescent="0.25">
      <c r="A4113" s="358"/>
      <c r="B4113" s="361"/>
      <c r="C4113" s="221" t="s">
        <v>434</v>
      </c>
      <c r="D4113" s="156" t="s">
        <v>436</v>
      </c>
      <c r="E4113" s="156" t="s">
        <v>28</v>
      </c>
      <c r="F4113" s="156" t="s">
        <v>437</v>
      </c>
      <c r="G4113" s="157">
        <f>MROUND(H4113*L4113*I4113/K4113,0.000001)</f>
        <v>1.5467999999999999E-2</v>
      </c>
      <c r="H4113" s="242">
        <f>$H$125</f>
        <v>290</v>
      </c>
      <c r="I4113" s="159">
        <f>I4111</f>
        <v>2.2775730000000001E-2</v>
      </c>
      <c r="J4113" s="160"/>
      <c r="K4113" s="161">
        <f>K4111</f>
        <v>427</v>
      </c>
      <c r="L4113" s="162">
        <v>1</v>
      </c>
      <c r="M4113" s="163" t="str">
        <f>CONCATENATE(H4113," ",F4113,"*",L4113,"автобуса","*",I4113,"/",K4113,"чел.")</f>
        <v>290 огнетушителей (потребность учреждений) *1автобуса*0,02277573/427чел.</v>
      </c>
      <c r="N4113" s="164">
        <f>$N$125</f>
        <v>2000</v>
      </c>
      <c r="O4113" s="165">
        <f>MROUND(G4113*N4113,0.000001)</f>
        <v>30.936</v>
      </c>
      <c r="P4113" s="166"/>
      <c r="Q4113" s="166">
        <f t="shared" ref="Q4113" si="994">O4113*K4113</f>
        <v>13209.672</v>
      </c>
      <c r="R4113" s="71"/>
    </row>
    <row r="4114" spans="1:18" s="61" customFormat="1" x14ac:dyDescent="0.25">
      <c r="A4114" s="358"/>
      <c r="B4114" s="361"/>
      <c r="C4114" s="218" t="s">
        <v>435</v>
      </c>
      <c r="D4114" s="240"/>
      <c r="E4114" s="240"/>
      <c r="F4114" s="240"/>
      <c r="G4114" s="251"/>
      <c r="H4114" s="241"/>
      <c r="I4114" s="206"/>
      <c r="J4114" s="228"/>
      <c r="K4114" s="207"/>
      <c r="L4114" s="229"/>
      <c r="M4114" s="209"/>
      <c r="N4114" s="210"/>
      <c r="O4114" s="198">
        <f>SUM(O4113)</f>
        <v>30.936</v>
      </c>
      <c r="P4114" s="166"/>
      <c r="Q4114" s="166"/>
      <c r="R4114" s="71"/>
    </row>
    <row r="4115" spans="1:18" s="61" customFormat="1" ht="47.25" x14ac:dyDescent="0.25">
      <c r="A4115" s="358"/>
      <c r="B4115" s="361"/>
      <c r="C4115" s="364" t="s">
        <v>118</v>
      </c>
      <c r="D4115" s="156" t="s">
        <v>47</v>
      </c>
      <c r="E4115" s="156" t="s">
        <v>28</v>
      </c>
      <c r="F4115" s="156" t="s">
        <v>239</v>
      </c>
      <c r="G4115" s="238">
        <f>MROUND(H4115*L4115*I4115/K4115,0.00000001)</f>
        <v>7.6808100000000006E-3</v>
      </c>
      <c r="H4115" s="158">
        <f>H3515</f>
        <v>144</v>
      </c>
      <c r="I4115" s="159">
        <f>I4111</f>
        <v>2.2775730000000001E-2</v>
      </c>
      <c r="J4115" s="160"/>
      <c r="K4115" s="161">
        <f>K4111</f>
        <v>427</v>
      </c>
      <c r="L4115" s="250">
        <v>1</v>
      </c>
      <c r="M4115" s="163" t="str">
        <f>CONCATENATE(H4115," ",F4115,"*",I4115,"/",K4115,"чел.")</f>
        <v>144 манометров (потребность учреждений) *0,02277573/427чел.</v>
      </c>
      <c r="N4115" s="164">
        <f>N3515</f>
        <v>720.50416666666672</v>
      </c>
      <c r="O4115" s="165">
        <f>MROUND(G4115*N4115,0.000001)</f>
        <v>5.5340559999999996</v>
      </c>
      <c r="P4115" s="166"/>
      <c r="Q4115" s="166">
        <f t="shared" ref="Q4115:Q4116" si="995">O4115*K4115</f>
        <v>2363.0419119999997</v>
      </c>
      <c r="R4115" s="71"/>
    </row>
    <row r="4116" spans="1:18" s="61" customFormat="1" ht="47.25" x14ac:dyDescent="0.25">
      <c r="A4116" s="358"/>
      <c r="B4116" s="361"/>
      <c r="C4116" s="364"/>
      <c r="D4116" s="255" t="s">
        <v>113</v>
      </c>
      <c r="E4116" s="156" t="s">
        <v>28</v>
      </c>
      <c r="F4116" s="156" t="s">
        <v>240</v>
      </c>
      <c r="G4116" s="238">
        <f>MROUND(H4116*L4116*I4116/K4116,0.00000001)</f>
        <v>0.30483208000000001</v>
      </c>
      <c r="H4116" s="158">
        <f>H3516</f>
        <v>5715</v>
      </c>
      <c r="I4116" s="159">
        <f>I4115</f>
        <v>2.2775730000000001E-2</v>
      </c>
      <c r="J4116" s="160"/>
      <c r="K4116" s="161">
        <f>K4115</f>
        <v>427</v>
      </c>
      <c r="L4116" s="250">
        <v>1</v>
      </c>
      <c r="M4116" s="163" t="str">
        <f>CONCATENATE(H4116," ",F4116,"*",I4116,"/",K4116,"чел.")</f>
        <v>5715 светильников (потребность учреждений)*0,02277573/427чел.</v>
      </c>
      <c r="N4116" s="164">
        <f>N3516</f>
        <v>111.16365879265086</v>
      </c>
      <c r="O4116" s="165">
        <f>MROUND(G4116*N4116,0.000001)</f>
        <v>33.886248999999999</v>
      </c>
      <c r="P4116" s="166"/>
      <c r="Q4116" s="166">
        <f t="shared" si="995"/>
        <v>14469.428323</v>
      </c>
      <c r="R4116" s="71"/>
    </row>
    <row r="4117" spans="1:18" s="62" customFormat="1" x14ac:dyDescent="0.25">
      <c r="A4117" s="359"/>
      <c r="B4117" s="362"/>
      <c r="C4117" s="218" t="s">
        <v>310</v>
      </c>
      <c r="D4117" s="256"/>
      <c r="E4117" s="240"/>
      <c r="F4117" s="240"/>
      <c r="G4117" s="227"/>
      <c r="H4117" s="241"/>
      <c r="I4117" s="206"/>
      <c r="J4117" s="228"/>
      <c r="K4117" s="207"/>
      <c r="L4117" s="257"/>
      <c r="M4117" s="209"/>
      <c r="N4117" s="210"/>
      <c r="O4117" s="198">
        <f>SUM(O4115:O4116)</f>
        <v>39.420304999999999</v>
      </c>
      <c r="P4117" s="267"/>
      <c r="Q4117" s="166"/>
      <c r="R4117" s="71"/>
    </row>
    <row r="4118" spans="1:18" s="61" customFormat="1" x14ac:dyDescent="0.25">
      <c r="A4118" s="357" t="str">
        <f>CONCATENATE(школы!$B$12,", ",школы!$C$12,", ",школы!$D$12)</f>
        <v>Реализация основных общеобразовательных программ основного общего образования, адаптированная образовательная программа, дети-инвалиды</v>
      </c>
      <c r="B4118" s="360" t="str">
        <f>школы!$A$12</f>
        <v>11791000100500101006101</v>
      </c>
      <c r="C4118" s="194"/>
      <c r="D4118" s="363" t="s">
        <v>15</v>
      </c>
      <c r="E4118" s="363"/>
      <c r="F4118" s="363"/>
      <c r="G4118" s="363"/>
      <c r="H4118" s="195"/>
      <c r="I4118" s="195"/>
      <c r="J4118" s="195"/>
      <c r="K4118" s="195"/>
      <c r="L4118" s="196"/>
      <c r="M4118" s="197"/>
      <c r="N4118" s="164"/>
      <c r="O4118" s="198">
        <f>O4119+O4124+O4126</f>
        <v>7757.5228232879999</v>
      </c>
      <c r="P4118" s="166"/>
      <c r="Q4118" s="166"/>
      <c r="R4118" s="71"/>
    </row>
    <row r="4119" spans="1:18" s="61" customFormat="1" x14ac:dyDescent="0.25">
      <c r="A4119" s="358"/>
      <c r="B4119" s="361"/>
      <c r="C4119" s="194"/>
      <c r="D4119" s="350" t="s">
        <v>62</v>
      </c>
      <c r="E4119" s="350"/>
      <c r="F4119" s="350"/>
      <c r="G4119" s="350"/>
      <c r="H4119" s="195"/>
      <c r="I4119" s="195"/>
      <c r="J4119" s="195"/>
      <c r="K4119" s="195"/>
      <c r="L4119" s="196"/>
      <c r="M4119" s="197"/>
      <c r="N4119" s="164"/>
      <c r="O4119" s="165">
        <f>O4121+O4123</f>
        <v>7757.5228232879999</v>
      </c>
      <c r="P4119" s="166"/>
      <c r="Q4119" s="166"/>
      <c r="R4119" s="71"/>
    </row>
    <row r="4120" spans="1:18" s="61" customFormat="1" x14ac:dyDescent="0.25">
      <c r="A4120" s="358"/>
      <c r="B4120" s="361"/>
      <c r="C4120" s="194">
        <v>211</v>
      </c>
      <c r="D4120" s="194" t="s">
        <v>86</v>
      </c>
      <c r="E4120" s="199" t="s">
        <v>95</v>
      </c>
      <c r="F4120" s="199" t="s">
        <v>95</v>
      </c>
      <c r="G4120" s="275">
        <f>MROUND(H4120*L4120*I4120/K4120,0.0000000001)</f>
        <v>0.46245996920000004</v>
      </c>
      <c r="H4120" s="201">
        <f>H3400</f>
        <v>921.8</v>
      </c>
      <c r="I4120" s="159">
        <f>школы!$K$12</f>
        <v>3.261E-3</v>
      </c>
      <c r="J4120" s="159"/>
      <c r="K4120" s="161">
        <f>школы!$G$12</f>
        <v>78</v>
      </c>
      <c r="L4120" s="202">
        <v>12</v>
      </c>
      <c r="M4120" s="163" t="str">
        <f>CONCATENATE(H4120," ",F4120," ","в мес.","*",L4120,"мес.","*",I4120,"/",K4120,"чел.")</f>
        <v>921,8 шт.ед в мес.*12мес.*0,003261/78чел.</v>
      </c>
      <c r="N4120" s="164">
        <f>N3400</f>
        <v>12883.620739314385</v>
      </c>
      <c r="O4120" s="165">
        <f>MROUND(G4120*N4120,0.000000001)</f>
        <v>5958.1588502880004</v>
      </c>
      <c r="P4120" s="166"/>
      <c r="Q4120" s="166">
        <f t="shared" ref="Q4120" si="996">O4120*K4120</f>
        <v>464736.39032246405</v>
      </c>
      <c r="R4120" s="71"/>
    </row>
    <row r="4121" spans="1:18" s="62" customFormat="1" x14ac:dyDescent="0.25">
      <c r="A4121" s="358"/>
      <c r="B4121" s="361"/>
      <c r="C4121" s="203" t="s">
        <v>288</v>
      </c>
      <c r="D4121" s="203"/>
      <c r="E4121" s="204"/>
      <c r="F4121" s="204"/>
      <c r="G4121" s="205"/>
      <c r="H4121" s="206"/>
      <c r="I4121" s="206"/>
      <c r="J4121" s="206"/>
      <c r="K4121" s="207"/>
      <c r="L4121" s="208"/>
      <c r="M4121" s="209"/>
      <c r="N4121" s="210">
        <f>N4120</f>
        <v>12883.620739314385</v>
      </c>
      <c r="O4121" s="198">
        <f>O4120</f>
        <v>5958.1588502880004</v>
      </c>
      <c r="P4121" s="267"/>
      <c r="Q4121" s="166"/>
      <c r="R4121" s="71"/>
    </row>
    <row r="4122" spans="1:18" s="61" customFormat="1" x14ac:dyDescent="0.25">
      <c r="A4122" s="358"/>
      <c r="B4122" s="361"/>
      <c r="C4122" s="194">
        <v>213</v>
      </c>
      <c r="D4122" s="194" t="s">
        <v>87</v>
      </c>
      <c r="E4122" s="194" t="s">
        <v>88</v>
      </c>
      <c r="F4122" s="194"/>
      <c r="G4122" s="211">
        <v>30.2</v>
      </c>
      <c r="H4122" s="159"/>
      <c r="I4122" s="159"/>
      <c r="J4122" s="159"/>
      <c r="K4122" s="161">
        <f>K4120</f>
        <v>78</v>
      </c>
      <c r="L4122" s="202"/>
      <c r="M4122" s="212"/>
      <c r="N4122" s="164"/>
      <c r="O4122" s="165">
        <f>MROUND(O4120*0.302,0.000001)</f>
        <v>1799.363973</v>
      </c>
      <c r="P4122" s="166"/>
      <c r="Q4122" s="166">
        <f>O4122*K4122</f>
        <v>140350.38989399999</v>
      </c>
      <c r="R4122" s="71"/>
    </row>
    <row r="4123" spans="1:18" s="61" customFormat="1" x14ac:dyDescent="0.25">
      <c r="A4123" s="358"/>
      <c r="B4123" s="361"/>
      <c r="C4123" s="203" t="s">
        <v>289</v>
      </c>
      <c r="D4123" s="194"/>
      <c r="E4123" s="194"/>
      <c r="F4123" s="194"/>
      <c r="G4123" s="217"/>
      <c r="H4123" s="195"/>
      <c r="I4123" s="159"/>
      <c r="J4123" s="195"/>
      <c r="K4123" s="161"/>
      <c r="L4123" s="196"/>
      <c r="M4123" s="197"/>
      <c r="N4123" s="210"/>
      <c r="O4123" s="198">
        <f>O4122</f>
        <v>1799.363973</v>
      </c>
      <c r="P4123" s="166"/>
      <c r="Q4123" s="166"/>
      <c r="R4123" s="71"/>
    </row>
    <row r="4124" spans="1:18" s="61" customFormat="1" x14ac:dyDescent="0.25">
      <c r="A4124" s="358"/>
      <c r="B4124" s="361"/>
      <c r="C4124" s="194"/>
      <c r="D4124" s="356" t="s">
        <v>63</v>
      </c>
      <c r="E4124" s="356"/>
      <c r="F4124" s="356"/>
      <c r="G4124" s="356"/>
      <c r="H4124" s="195"/>
      <c r="I4124" s="159"/>
      <c r="J4124" s="195"/>
      <c r="K4124" s="161"/>
      <c r="L4124" s="196"/>
      <c r="M4124" s="197"/>
      <c r="N4124" s="164"/>
      <c r="O4124" s="165"/>
      <c r="P4124" s="166"/>
      <c r="Q4124" s="166"/>
      <c r="R4124" s="71"/>
    </row>
    <row r="4125" spans="1:18" s="61" customFormat="1" x14ac:dyDescent="0.25">
      <c r="A4125" s="358"/>
      <c r="B4125" s="361"/>
      <c r="C4125" s="194"/>
      <c r="D4125" s="194"/>
      <c r="E4125" s="194"/>
      <c r="F4125" s="194"/>
      <c r="G4125" s="217"/>
      <c r="H4125" s="195"/>
      <c r="I4125" s="159"/>
      <c r="J4125" s="195"/>
      <c r="K4125" s="161"/>
      <c r="L4125" s="196"/>
      <c r="M4125" s="197"/>
      <c r="N4125" s="164"/>
      <c r="O4125" s="165"/>
      <c r="P4125" s="166"/>
      <c r="Q4125" s="166"/>
      <c r="R4125" s="71"/>
    </row>
    <row r="4126" spans="1:18" s="61" customFormat="1" x14ac:dyDescent="0.25">
      <c r="A4126" s="358"/>
      <c r="B4126" s="361"/>
      <c r="C4126" s="194"/>
      <c r="D4126" s="350" t="s">
        <v>64</v>
      </c>
      <c r="E4126" s="350"/>
      <c r="F4126" s="350"/>
      <c r="G4126" s="350"/>
      <c r="H4126" s="195"/>
      <c r="I4126" s="159"/>
      <c r="J4126" s="195"/>
      <c r="K4126" s="161"/>
      <c r="L4126" s="196"/>
      <c r="M4126" s="197"/>
      <c r="N4126" s="164"/>
      <c r="O4126" s="165"/>
      <c r="P4126" s="166"/>
      <c r="Q4126" s="166"/>
      <c r="R4126" s="71"/>
    </row>
    <row r="4127" spans="1:18" s="61" customFormat="1" x14ac:dyDescent="0.25">
      <c r="A4127" s="358"/>
      <c r="B4127" s="361"/>
      <c r="C4127" s="194"/>
      <c r="D4127" s="194"/>
      <c r="E4127" s="194"/>
      <c r="F4127" s="194"/>
      <c r="G4127" s="217"/>
      <c r="H4127" s="195"/>
      <c r="I4127" s="159"/>
      <c r="J4127" s="195"/>
      <c r="K4127" s="161"/>
      <c r="L4127" s="196"/>
      <c r="M4127" s="197"/>
      <c r="N4127" s="164"/>
      <c r="O4127" s="165"/>
      <c r="P4127" s="166"/>
      <c r="Q4127" s="166"/>
      <c r="R4127" s="71"/>
    </row>
    <row r="4128" spans="1:18" s="61" customFormat="1" x14ac:dyDescent="0.25">
      <c r="A4128" s="358"/>
      <c r="B4128" s="361"/>
      <c r="C4128" s="194"/>
      <c r="D4128" s="355" t="s">
        <v>5</v>
      </c>
      <c r="E4128" s="355"/>
      <c r="F4128" s="355"/>
      <c r="G4128" s="355"/>
      <c r="H4128" s="195"/>
      <c r="I4128" s="159"/>
      <c r="J4128" s="195"/>
      <c r="K4128" s="161"/>
      <c r="L4128" s="196"/>
      <c r="M4128" s="197"/>
      <c r="N4128" s="164"/>
      <c r="O4128" s="198">
        <f>O4129+O4139+O4150+O4152+O4154+O4156+O4158</f>
        <v>16470.520959142708</v>
      </c>
      <c r="P4128" s="166"/>
      <c r="Q4128" s="166"/>
      <c r="R4128" s="71"/>
    </row>
    <row r="4129" spans="1:18" s="61" customFormat="1" x14ac:dyDescent="0.25">
      <c r="A4129" s="358"/>
      <c r="B4129" s="361"/>
      <c r="C4129" s="218" t="s">
        <v>70</v>
      </c>
      <c r="D4129" s="355" t="s">
        <v>6</v>
      </c>
      <c r="E4129" s="355"/>
      <c r="F4129" s="355"/>
      <c r="G4129" s="355"/>
      <c r="H4129" s="189"/>
      <c r="I4129" s="159"/>
      <c r="J4129" s="189"/>
      <c r="K4129" s="161"/>
      <c r="L4129" s="190"/>
      <c r="M4129" s="197"/>
      <c r="N4129" s="210"/>
      <c r="O4129" s="198">
        <f>O4138</f>
        <v>7565.4384053999993</v>
      </c>
      <c r="P4129" s="166"/>
      <c r="Q4129" s="166"/>
      <c r="R4129" s="71"/>
    </row>
    <row r="4130" spans="1:18" s="61" customFormat="1" ht="31.5" x14ac:dyDescent="0.25">
      <c r="A4130" s="358"/>
      <c r="B4130" s="361"/>
      <c r="C4130" s="221" t="s">
        <v>72</v>
      </c>
      <c r="D4130" s="222" t="s">
        <v>7</v>
      </c>
      <c r="E4130" s="223" t="s">
        <v>8</v>
      </c>
      <c r="F4130" s="223" t="s">
        <v>8</v>
      </c>
      <c r="G4130" s="238">
        <f>MROUND(H4130*L4130*I4130/K4130,0.00000000001)</f>
        <v>138.51396117432</v>
      </c>
      <c r="H4130" s="160">
        <f t="shared" ref="H4130:H4137" si="997">H3410</f>
        <v>3313121.4264326878</v>
      </c>
      <c r="I4130" s="159">
        <f>I4120</f>
        <v>3.261E-3</v>
      </c>
      <c r="J4130" s="160"/>
      <c r="K4130" s="161">
        <f>K4120</f>
        <v>78</v>
      </c>
      <c r="L4130" s="250">
        <v>1</v>
      </c>
      <c r="M4130" s="163" t="str">
        <f t="shared" ref="M4130:M4135" si="998">CONCATENATE(H4130," ",F4130,"(лимиты выделенные УЖКХ) ","*",I4130,"/",K4130,"чел.")</f>
        <v>3313121,42643269 кВт час.(лимиты выделенные УЖКХ) *0,003261/78чел.</v>
      </c>
      <c r="N4130" s="164">
        <f t="shared" ref="N4130:N4137" si="999">N3410</f>
        <v>10.897694685122204</v>
      </c>
      <c r="O4130" s="165">
        <f t="shared" ref="O4130:O4133" si="1000">MROUND(G4130*N4130,0.000001)</f>
        <v>1509.482859</v>
      </c>
      <c r="P4130" s="166"/>
      <c r="Q4130" s="166">
        <f t="shared" ref="Q4130:Q4137" si="1001">O4130*K4130</f>
        <v>117739.663002</v>
      </c>
      <c r="R4130" s="71"/>
    </row>
    <row r="4131" spans="1:18" s="61" customFormat="1" ht="31.5" x14ac:dyDescent="0.25">
      <c r="A4131" s="358"/>
      <c r="B4131" s="361"/>
      <c r="C4131" s="221" t="s">
        <v>73</v>
      </c>
      <c r="D4131" s="222" t="s">
        <v>9</v>
      </c>
      <c r="E4131" s="223" t="s">
        <v>10</v>
      </c>
      <c r="F4131" s="223" t="s">
        <v>10</v>
      </c>
      <c r="G4131" s="238">
        <f>MROUND(H4131*L4131*I4131/K4131,0.00000000001)</f>
        <v>1.3335562665399998</v>
      </c>
      <c r="H4131" s="160">
        <f t="shared" si="997"/>
        <v>31897.39</v>
      </c>
      <c r="I4131" s="159">
        <f t="shared" ref="I4131:I4194" si="1002">I4130</f>
        <v>3.261E-3</v>
      </c>
      <c r="J4131" s="160"/>
      <c r="K4131" s="161">
        <f t="shared" ref="K4131:K4137" si="1003">K4130</f>
        <v>78</v>
      </c>
      <c r="L4131" s="250">
        <v>1</v>
      </c>
      <c r="M4131" s="163" t="str">
        <f t="shared" si="998"/>
        <v>31897,39 Гкал(лимиты выделенные УЖКХ) *0,003261/78чел.</v>
      </c>
      <c r="N4131" s="164">
        <f t="shared" si="999"/>
        <v>2976.2517908205036</v>
      </c>
      <c r="O4131" s="165">
        <f t="shared" si="1000"/>
        <v>3968.9992259999999</v>
      </c>
      <c r="P4131" s="166"/>
      <c r="Q4131" s="166">
        <f t="shared" si="1001"/>
        <v>309581.93962800002</v>
      </c>
      <c r="R4131" s="71"/>
    </row>
    <row r="4132" spans="1:18" s="61" customFormat="1" ht="31.5" x14ac:dyDescent="0.25">
      <c r="A4132" s="358"/>
      <c r="B4132" s="361"/>
      <c r="C4132" s="364" t="s">
        <v>74</v>
      </c>
      <c r="D4132" s="222" t="s">
        <v>12</v>
      </c>
      <c r="E4132" s="222" t="s">
        <v>11</v>
      </c>
      <c r="F4132" s="222" t="s">
        <v>11</v>
      </c>
      <c r="G4132" s="238">
        <f>MROUND(H4132*L4132*I4132/K4132,0.00000000001)</f>
        <v>7.7229330688499997</v>
      </c>
      <c r="H4132" s="224">
        <f t="shared" si="997"/>
        <v>184725.17</v>
      </c>
      <c r="I4132" s="159">
        <f t="shared" si="1002"/>
        <v>3.261E-3</v>
      </c>
      <c r="J4132" s="160"/>
      <c r="K4132" s="161">
        <f t="shared" si="1003"/>
        <v>78</v>
      </c>
      <c r="L4132" s="250">
        <v>1</v>
      </c>
      <c r="M4132" s="163" t="str">
        <f t="shared" si="998"/>
        <v>184725,17 м3(лимиты выделенные УЖКХ) *0,003261/78чел.</v>
      </c>
      <c r="N4132" s="164">
        <f t="shared" si="999"/>
        <v>54.214180016724306</v>
      </c>
      <c r="O4132" s="165">
        <f t="shared" si="1000"/>
        <v>418.69248399999998</v>
      </c>
      <c r="P4132" s="166"/>
      <c r="Q4132" s="166">
        <f t="shared" si="1001"/>
        <v>32658.013751999999</v>
      </c>
      <c r="R4132" s="71"/>
    </row>
    <row r="4133" spans="1:18" s="61" customFormat="1" ht="47.25" x14ac:dyDescent="0.25">
      <c r="A4133" s="358"/>
      <c r="B4133" s="361"/>
      <c r="C4133" s="364"/>
      <c r="D4133" s="222" t="s">
        <v>17</v>
      </c>
      <c r="E4133" s="222" t="s">
        <v>11</v>
      </c>
      <c r="F4133" s="222" t="s">
        <v>11</v>
      </c>
      <c r="G4133" s="238">
        <f>MROUND(H4133*L4133*I4133/K4133,0.00000000001)</f>
        <v>7.7229330688499997</v>
      </c>
      <c r="H4133" s="160">
        <f t="shared" si="997"/>
        <v>184725.17</v>
      </c>
      <c r="I4133" s="159">
        <f t="shared" si="1002"/>
        <v>3.261E-3</v>
      </c>
      <c r="J4133" s="160"/>
      <c r="K4133" s="161">
        <f t="shared" si="1003"/>
        <v>78</v>
      </c>
      <c r="L4133" s="162">
        <f>$L$25</f>
        <v>1</v>
      </c>
      <c r="M4133" s="163" t="str">
        <f t="shared" si="998"/>
        <v>184725,17 м3(лимиты выделенные УЖКХ) *0,003261/78чел.</v>
      </c>
      <c r="N4133" s="164">
        <f t="shared" si="999"/>
        <v>82.384170780821918</v>
      </c>
      <c r="O4133" s="165">
        <f t="shared" si="1000"/>
        <v>636.24743699999999</v>
      </c>
      <c r="P4133" s="166"/>
      <c r="Q4133" s="166">
        <f t="shared" si="1001"/>
        <v>49627.300086000003</v>
      </c>
      <c r="R4133" s="71"/>
    </row>
    <row r="4134" spans="1:18" s="61" customFormat="1" ht="31.5" x14ac:dyDescent="0.25">
      <c r="A4134" s="358"/>
      <c r="B4134" s="361"/>
      <c r="C4134" s="364"/>
      <c r="D4134" s="222" t="s">
        <v>13</v>
      </c>
      <c r="E4134" s="222" t="s">
        <v>11</v>
      </c>
      <c r="F4134" s="222" t="s">
        <v>11</v>
      </c>
      <c r="G4134" s="238">
        <f>MROUND(H4134*L4134*I4134/K4134,0.00000000001)</f>
        <v>7.7229330688499997</v>
      </c>
      <c r="H4134" s="160">
        <f t="shared" si="997"/>
        <v>184725.17</v>
      </c>
      <c r="I4134" s="159">
        <f t="shared" si="1002"/>
        <v>3.261E-3</v>
      </c>
      <c r="J4134" s="160"/>
      <c r="K4134" s="161">
        <f t="shared" si="1003"/>
        <v>78</v>
      </c>
      <c r="L4134" s="162">
        <v>1</v>
      </c>
      <c r="M4134" s="163" t="str">
        <f t="shared" si="998"/>
        <v>184725,17 м3(лимиты выделенные УЖКХ) *0,003261/78чел.</v>
      </c>
      <c r="N4134" s="164">
        <f t="shared" si="999"/>
        <v>112.36110334722464</v>
      </c>
      <c r="O4134" s="165">
        <f>MROUND(G4134*N4134,0.00000001)</f>
        <v>867.75728069000002</v>
      </c>
      <c r="P4134" s="166"/>
      <c r="Q4134" s="166">
        <f t="shared" si="1001"/>
        <v>67685.06789382</v>
      </c>
      <c r="R4134" s="71"/>
    </row>
    <row r="4135" spans="1:18" s="61" customFormat="1" ht="31.5" x14ac:dyDescent="0.25">
      <c r="A4135" s="358"/>
      <c r="B4135" s="361"/>
      <c r="C4135" s="221" t="s">
        <v>75</v>
      </c>
      <c r="D4135" s="222" t="s">
        <v>18</v>
      </c>
      <c r="E4135" s="222" t="s">
        <v>48</v>
      </c>
      <c r="F4135" s="222" t="s">
        <v>48</v>
      </c>
      <c r="G4135" s="238">
        <f>MROUND(H4135*L4135*I4135/K4135,0.0000000001)</f>
        <v>0.58060850770000005</v>
      </c>
      <c r="H4135" s="160">
        <f t="shared" si="997"/>
        <v>13887.6</v>
      </c>
      <c r="I4135" s="159">
        <f t="shared" si="1002"/>
        <v>3.261E-3</v>
      </c>
      <c r="J4135" s="160"/>
      <c r="K4135" s="161">
        <f t="shared" si="1003"/>
        <v>78</v>
      </c>
      <c r="L4135" s="250">
        <v>1</v>
      </c>
      <c r="M4135" s="163" t="str">
        <f t="shared" si="998"/>
        <v>13887,6 тыс. м3(лимиты выделенные УЖКХ) *0,003261/78чел.</v>
      </c>
      <c r="N4135" s="164">
        <f t="shared" si="999"/>
        <v>30.576235634666901</v>
      </c>
      <c r="O4135" s="165">
        <f t="shared" ref="O4135" si="1004">MROUND(G4135*N4135,0.000001)</f>
        <v>17.752822999999999</v>
      </c>
      <c r="P4135" s="166"/>
      <c r="Q4135" s="166">
        <f t="shared" si="1001"/>
        <v>1384.720194</v>
      </c>
      <c r="R4135" s="71"/>
    </row>
    <row r="4136" spans="1:18" s="61" customFormat="1" x14ac:dyDescent="0.25">
      <c r="A4136" s="358"/>
      <c r="B4136" s="361"/>
      <c r="C4136" s="364" t="s">
        <v>216</v>
      </c>
      <c r="D4136" s="222" t="s">
        <v>23</v>
      </c>
      <c r="E4136" s="222" t="s">
        <v>11</v>
      </c>
      <c r="F4136" s="222" t="s">
        <v>11</v>
      </c>
      <c r="G4136" s="238">
        <f>MROUND(H4136*L4136*I4136/K4136,0.000000000001)</f>
        <v>0.14083506461500001</v>
      </c>
      <c r="H4136" s="160">
        <f t="shared" si="997"/>
        <v>3368.6400000000003</v>
      </c>
      <c r="I4136" s="159">
        <f t="shared" si="1002"/>
        <v>3.261E-3</v>
      </c>
      <c r="J4136" s="160"/>
      <c r="K4136" s="161">
        <f t="shared" si="1003"/>
        <v>78</v>
      </c>
      <c r="L4136" s="162">
        <f>L4135</f>
        <v>1</v>
      </c>
      <c r="M4136" s="163" t="str">
        <f>CONCATENATE(H4136," ",F4136," ","*",I4136,"/",K4136,"чел.")</f>
        <v>3368,64 м3 *0,003261/78чел.</v>
      </c>
      <c r="N4136" s="164">
        <f t="shared" si="999"/>
        <v>776.35552626579261</v>
      </c>
      <c r="O4136" s="165">
        <f>MROUND(G4136*N4136,0.00000001)</f>
        <v>109.33808071</v>
      </c>
      <c r="P4136" s="166"/>
      <c r="Q4136" s="166">
        <f t="shared" si="1001"/>
        <v>8528.3702953800002</v>
      </c>
      <c r="R4136" s="71"/>
    </row>
    <row r="4137" spans="1:18" s="61" customFormat="1" ht="47.25" x14ac:dyDescent="0.25">
      <c r="A4137" s="358"/>
      <c r="B4137" s="361"/>
      <c r="C4137" s="364"/>
      <c r="D4137" s="222" t="s">
        <v>24</v>
      </c>
      <c r="E4137" s="222" t="s">
        <v>25</v>
      </c>
      <c r="F4137" s="222" t="s">
        <v>217</v>
      </c>
      <c r="G4137" s="238">
        <f>MROUND(H4137*L4137*I4137/K4137,0.000000000001)</f>
        <v>6.1457307690000003E-3</v>
      </c>
      <c r="H4137" s="160">
        <f t="shared" si="997"/>
        <v>147</v>
      </c>
      <c r="I4137" s="159">
        <f t="shared" si="1002"/>
        <v>3.261E-3</v>
      </c>
      <c r="J4137" s="160"/>
      <c r="K4137" s="161">
        <f t="shared" si="1003"/>
        <v>78</v>
      </c>
      <c r="L4137" s="250">
        <f>L4136</f>
        <v>1</v>
      </c>
      <c r="M4137" s="163" t="str">
        <f>CONCATENATE(H4137," ",F4137,"(потребность из расчета 4 контейнера для уборки территории весной и осенью на 1 учреждение)","*",I4137,"/",K4137,"чел.")</f>
        <v>147 контейнера(потребность из расчета 4 контейнера для уборки территории весной и осенью на 1 учреждение)*0,003261/78чел.</v>
      </c>
      <c r="N4137" s="164">
        <f t="shared" si="999"/>
        <v>6047.8105442176911</v>
      </c>
      <c r="O4137" s="165">
        <f t="shared" ref="O4137" si="1005">MROUND(G4137*N4137,0.000001)</f>
        <v>37.168214999999996</v>
      </c>
      <c r="P4137" s="166"/>
      <c r="Q4137" s="166">
        <f t="shared" si="1001"/>
        <v>2899.1207699999995</v>
      </c>
      <c r="R4137" s="71"/>
    </row>
    <row r="4138" spans="1:18" s="62" customFormat="1" x14ac:dyDescent="0.25">
      <c r="A4138" s="358"/>
      <c r="B4138" s="361"/>
      <c r="C4138" s="218" t="s">
        <v>290</v>
      </c>
      <c r="D4138" s="226"/>
      <c r="E4138" s="226"/>
      <c r="F4138" s="226"/>
      <c r="G4138" s="227"/>
      <c r="H4138" s="228"/>
      <c r="I4138" s="206"/>
      <c r="J4138" s="228"/>
      <c r="K4138" s="207"/>
      <c r="L4138" s="257"/>
      <c r="M4138" s="209"/>
      <c r="N4138" s="210"/>
      <c r="O4138" s="198">
        <f>SUM(O4130:O4137)</f>
        <v>7565.4384053999993</v>
      </c>
      <c r="P4138" s="267"/>
      <c r="Q4138" s="166"/>
      <c r="R4138" s="71"/>
    </row>
    <row r="4139" spans="1:18" s="61" customFormat="1" x14ac:dyDescent="0.25">
      <c r="A4139" s="358"/>
      <c r="B4139" s="361"/>
      <c r="C4139" s="221"/>
      <c r="D4139" s="356" t="s">
        <v>14</v>
      </c>
      <c r="E4139" s="356"/>
      <c r="F4139" s="356"/>
      <c r="G4139" s="356"/>
      <c r="H4139" s="188"/>
      <c r="I4139" s="159"/>
      <c r="J4139" s="188"/>
      <c r="K4139" s="161"/>
      <c r="L4139" s="250"/>
      <c r="M4139" s="230"/>
      <c r="N4139" s="164"/>
      <c r="O4139" s="198">
        <f>O4147+O4148+O4143</f>
        <v>7915.7121008427093</v>
      </c>
      <c r="P4139" s="166"/>
      <c r="Q4139" s="166"/>
      <c r="R4139" s="71"/>
    </row>
    <row r="4140" spans="1:18" s="61" customFormat="1" x14ac:dyDescent="0.25">
      <c r="A4140" s="358"/>
      <c r="B4140" s="361"/>
      <c r="C4140" s="221" t="s">
        <v>379</v>
      </c>
      <c r="D4140" s="231" t="s">
        <v>49</v>
      </c>
      <c r="E4140" s="231" t="s">
        <v>22</v>
      </c>
      <c r="F4140" s="231" t="s">
        <v>22</v>
      </c>
      <c r="G4140" s="238">
        <f>MROUND(H4140*L4140*I4140/K4140,0.000000001)</f>
        <v>0</v>
      </c>
      <c r="H4140" s="160"/>
      <c r="I4140" s="159">
        <f>I4135</f>
        <v>3.261E-3</v>
      </c>
      <c r="J4140" s="160"/>
      <c r="K4140" s="161">
        <f>K4135</f>
        <v>78</v>
      </c>
      <c r="L4140" s="250"/>
      <c r="M4140" s="163"/>
      <c r="N4140" s="164"/>
      <c r="O4140" s="165">
        <f>MROUND(G4140*N4140,0.00000001)</f>
        <v>0</v>
      </c>
      <c r="P4140" s="166"/>
      <c r="Q4140" s="166">
        <f t="shared" ref="Q4140:Q4142" si="1006">O4140*K4140</f>
        <v>0</v>
      </c>
      <c r="R4140" s="71"/>
    </row>
    <row r="4141" spans="1:18" s="61" customFormat="1" x14ac:dyDescent="0.25">
      <c r="A4141" s="358"/>
      <c r="B4141" s="361"/>
      <c r="C4141" s="221" t="s">
        <v>379</v>
      </c>
      <c r="D4141" s="231" t="s">
        <v>49</v>
      </c>
      <c r="E4141" s="231" t="s">
        <v>28</v>
      </c>
      <c r="F4141" s="231" t="s">
        <v>28</v>
      </c>
      <c r="G4141" s="238">
        <f>MROUND(H4141*L4141*I4141/K4141,0.00000000000000001)</f>
        <v>0</v>
      </c>
      <c r="H4141" s="160"/>
      <c r="I4141" s="159">
        <f t="shared" si="1002"/>
        <v>3.261E-3</v>
      </c>
      <c r="J4141" s="160"/>
      <c r="K4141" s="161">
        <f>K4140</f>
        <v>78</v>
      </c>
      <c r="L4141" s="250">
        <v>1</v>
      </c>
      <c r="M4141" s="163"/>
      <c r="N4141" s="164"/>
      <c r="O4141" s="165">
        <f>MROUND(G4141*N4141,0.00000001)</f>
        <v>0</v>
      </c>
      <c r="P4141" s="166"/>
      <c r="Q4141" s="166">
        <f t="shared" si="1006"/>
        <v>0</v>
      </c>
      <c r="R4141" s="71"/>
    </row>
    <row r="4142" spans="1:18" s="61" customFormat="1" x14ac:dyDescent="0.25">
      <c r="A4142" s="358"/>
      <c r="B4142" s="361"/>
      <c r="C4142" s="221" t="s">
        <v>379</v>
      </c>
      <c r="D4142" s="231" t="s">
        <v>49</v>
      </c>
      <c r="E4142" s="231" t="s">
        <v>101</v>
      </c>
      <c r="F4142" s="231" t="s">
        <v>101</v>
      </c>
      <c r="G4142" s="238">
        <f>MROUND(H4142*L4142*I4142/K4142,0.000000001)</f>
        <v>0</v>
      </c>
      <c r="H4142" s="160"/>
      <c r="I4142" s="159">
        <f t="shared" si="1002"/>
        <v>3.261E-3</v>
      </c>
      <c r="J4142" s="160"/>
      <c r="K4142" s="161">
        <f>K4141</f>
        <v>78</v>
      </c>
      <c r="L4142" s="250"/>
      <c r="M4142" s="163"/>
      <c r="N4142" s="164"/>
      <c r="O4142" s="165">
        <f>MROUND(G4142*N4142,0.00000001)</f>
        <v>0</v>
      </c>
      <c r="P4142" s="166"/>
      <c r="Q4142" s="166">
        <f t="shared" si="1006"/>
        <v>0</v>
      </c>
      <c r="R4142" s="71"/>
    </row>
    <row r="4143" spans="1:18" s="62" customFormat="1" x14ac:dyDescent="0.25">
      <c r="A4143" s="358"/>
      <c r="B4143" s="361"/>
      <c r="C4143" s="218" t="s">
        <v>380</v>
      </c>
      <c r="D4143" s="232"/>
      <c r="E4143" s="232"/>
      <c r="F4143" s="232"/>
      <c r="G4143" s="227"/>
      <c r="H4143" s="228"/>
      <c r="I4143" s="206"/>
      <c r="J4143" s="228"/>
      <c r="K4143" s="207"/>
      <c r="L4143" s="257"/>
      <c r="M4143" s="209"/>
      <c r="N4143" s="210"/>
      <c r="O4143" s="198">
        <f>SUM(O4140:O4142)</f>
        <v>0</v>
      </c>
      <c r="P4143" s="267"/>
      <c r="Q4143" s="166"/>
      <c r="R4143" s="71"/>
    </row>
    <row r="4144" spans="1:18" s="61" customFormat="1" x14ac:dyDescent="0.25">
      <c r="A4144" s="358"/>
      <c r="B4144" s="361"/>
      <c r="C4144" s="221" t="s">
        <v>76</v>
      </c>
      <c r="D4144" s="231" t="s">
        <v>49</v>
      </c>
      <c r="E4144" s="231" t="s">
        <v>22</v>
      </c>
      <c r="F4144" s="231" t="s">
        <v>22</v>
      </c>
      <c r="G4144" s="238">
        <f>MROUND(H4144*L4144*I4144/K4144,0.000000000000001)</f>
        <v>51.173851638076925</v>
      </c>
      <c r="H4144" s="160">
        <f>H3424</f>
        <v>1224029.57</v>
      </c>
      <c r="I4144" s="159">
        <f>I4140</f>
        <v>3.261E-3</v>
      </c>
      <c r="J4144" s="160"/>
      <c r="K4144" s="161">
        <f>K4142</f>
        <v>78</v>
      </c>
      <c r="L4144" s="250">
        <v>1</v>
      </c>
      <c r="M4144" s="163" t="str">
        <f>CONCATENATE(H4144," ",F4144,"*",I4144,"/",K4144,"чел.")</f>
        <v>1224029,57 м2*0,003261/78чел.</v>
      </c>
      <c r="N4144" s="164">
        <f>N3424</f>
        <v>37.50494361014497</v>
      </c>
      <c r="O4144" s="165">
        <f>MROUND(G4144*N4144,0.00000000001)</f>
        <v>1919.2724199999998</v>
      </c>
      <c r="P4144" s="166"/>
      <c r="Q4144" s="166">
        <f t="shared" ref="Q4144:Q4146" si="1007">O4144*K4144</f>
        <v>149703.24875999999</v>
      </c>
      <c r="R4144" s="71"/>
    </row>
    <row r="4145" spans="1:18" s="61" customFormat="1" x14ac:dyDescent="0.25">
      <c r="A4145" s="358"/>
      <c r="B4145" s="361"/>
      <c r="C4145" s="221"/>
      <c r="D4145" s="231" t="s">
        <v>49</v>
      </c>
      <c r="E4145" s="231" t="s">
        <v>28</v>
      </c>
      <c r="F4145" s="231" t="s">
        <v>28</v>
      </c>
      <c r="G4145" s="238">
        <f>MROUND(H4145*L4145*I4145/K4145,0.000000000001)</f>
        <v>4.6239307691999999E-2</v>
      </c>
      <c r="H4145" s="160">
        <f>H3425</f>
        <v>1106</v>
      </c>
      <c r="I4145" s="159">
        <f t="shared" si="1002"/>
        <v>3.261E-3</v>
      </c>
      <c r="J4145" s="160"/>
      <c r="K4145" s="161">
        <f>K4144</f>
        <v>78</v>
      </c>
      <c r="L4145" s="250">
        <v>1</v>
      </c>
      <c r="M4145" s="163" t="str">
        <f>CONCATENATE(H4145," ",F4145,"*",I4145,"/",K4145,"чел.")</f>
        <v>1106 шт*0,003261/78чел.</v>
      </c>
      <c r="N4145" s="164">
        <f>N3425</f>
        <v>86192.676311030737</v>
      </c>
      <c r="O4145" s="165">
        <f>MROUND(G4145*N4145,0.00000000001)</f>
        <v>3985.4896807427099</v>
      </c>
      <c r="P4145" s="166"/>
      <c r="Q4145" s="166">
        <f t="shared" si="1007"/>
        <v>310868.19509793137</v>
      </c>
      <c r="R4145" s="71"/>
    </row>
    <row r="4146" spans="1:18" s="61" customFormat="1" x14ac:dyDescent="0.25">
      <c r="A4146" s="358"/>
      <c r="B4146" s="361"/>
      <c r="C4146" s="221"/>
      <c r="D4146" s="231" t="s">
        <v>49</v>
      </c>
      <c r="E4146" s="231" t="s">
        <v>101</v>
      </c>
      <c r="F4146" s="231" t="s">
        <v>101</v>
      </c>
      <c r="G4146" s="238">
        <f>MROUND(H4146*L4146*I4146/K4146,0.000000001)</f>
        <v>1.5330880770000002</v>
      </c>
      <c r="H4146" s="160">
        <f>H3426</f>
        <v>36670</v>
      </c>
      <c r="I4146" s="159">
        <f t="shared" si="1002"/>
        <v>3.261E-3</v>
      </c>
      <c r="J4146" s="160"/>
      <c r="K4146" s="161">
        <f>K4145</f>
        <v>78</v>
      </c>
      <c r="L4146" s="250">
        <v>1</v>
      </c>
      <c r="M4146" s="163" t="str">
        <f>CONCATENATE(H4146," ",F4146,"*",I4146,"/",K4146,"чел.")</f>
        <v>36670 погон.м.*0,003261/78чел.</v>
      </c>
      <c r="N4146" s="164">
        <f>N3426</f>
        <v>1311.6989364603219</v>
      </c>
      <c r="O4146" s="165">
        <f>MROUND(G4146*N4146,0.00000001)</f>
        <v>2010.9500001000001</v>
      </c>
      <c r="P4146" s="166"/>
      <c r="Q4146" s="166">
        <f t="shared" si="1007"/>
        <v>156854.10000780001</v>
      </c>
      <c r="R4146" s="71"/>
    </row>
    <row r="4147" spans="1:18" s="62" customFormat="1" x14ac:dyDescent="0.25">
      <c r="A4147" s="358"/>
      <c r="B4147" s="361"/>
      <c r="C4147" s="218" t="s">
        <v>291</v>
      </c>
      <c r="D4147" s="232"/>
      <c r="E4147" s="232"/>
      <c r="F4147" s="232"/>
      <c r="G4147" s="227"/>
      <c r="H4147" s="228"/>
      <c r="I4147" s="206"/>
      <c r="J4147" s="228"/>
      <c r="K4147" s="207"/>
      <c r="L4147" s="257"/>
      <c r="M4147" s="209"/>
      <c r="N4147" s="210"/>
      <c r="O4147" s="198">
        <f>SUM(O4144:O4146)</f>
        <v>7915.7121008427093</v>
      </c>
      <c r="P4147" s="267"/>
      <c r="Q4147" s="166"/>
      <c r="R4147" s="71"/>
    </row>
    <row r="4148" spans="1:18" s="61" customFormat="1" x14ac:dyDescent="0.25">
      <c r="A4148" s="358"/>
      <c r="B4148" s="361"/>
      <c r="C4148" s="221" t="s">
        <v>77</v>
      </c>
      <c r="D4148" s="231"/>
      <c r="E4148" s="231"/>
      <c r="F4148" s="231"/>
      <c r="G4148" s="238">
        <f>MROUND(H4148*L4148*I4148/K4148,0.00000000001)</f>
        <v>0</v>
      </c>
      <c r="H4148" s="160">
        <f>H3908</f>
        <v>0</v>
      </c>
      <c r="I4148" s="159">
        <f>I4146</f>
        <v>3.261E-3</v>
      </c>
      <c r="J4148" s="160"/>
      <c r="K4148" s="161">
        <f>K4146</f>
        <v>78</v>
      </c>
      <c r="L4148" s="250"/>
      <c r="M4148" s="163"/>
      <c r="N4148" s="164">
        <f>N3908</f>
        <v>0</v>
      </c>
      <c r="O4148" s="165">
        <f>MROUND(G4148*N4148,0.000000001)</f>
        <v>0</v>
      </c>
      <c r="P4148" s="166"/>
      <c r="Q4148" s="166">
        <f t="shared" ref="Q4148" si="1008">O4148*K4148</f>
        <v>0</v>
      </c>
      <c r="R4148" s="71"/>
    </row>
    <row r="4149" spans="1:18" s="61" customFormat="1" x14ac:dyDescent="0.25">
      <c r="A4149" s="358"/>
      <c r="B4149" s="361"/>
      <c r="C4149" s="218" t="s">
        <v>292</v>
      </c>
      <c r="D4149" s="232"/>
      <c r="E4149" s="232"/>
      <c r="F4149" s="232"/>
      <c r="G4149" s="227"/>
      <c r="H4149" s="228"/>
      <c r="I4149" s="206"/>
      <c r="J4149" s="228"/>
      <c r="K4149" s="207"/>
      <c r="L4149" s="257"/>
      <c r="M4149" s="209"/>
      <c r="N4149" s="210"/>
      <c r="O4149" s="198">
        <f>O4148</f>
        <v>0</v>
      </c>
      <c r="P4149" s="166"/>
      <c r="Q4149" s="166"/>
      <c r="R4149" s="71"/>
    </row>
    <row r="4150" spans="1:18" s="61" customFormat="1" x14ac:dyDescent="0.25">
      <c r="A4150" s="358"/>
      <c r="B4150" s="361"/>
      <c r="C4150" s="221"/>
      <c r="D4150" s="350" t="s">
        <v>65</v>
      </c>
      <c r="E4150" s="350"/>
      <c r="F4150" s="350"/>
      <c r="G4150" s="350"/>
      <c r="H4150" s="195"/>
      <c r="I4150" s="159"/>
      <c r="J4150" s="195"/>
      <c r="K4150" s="161"/>
      <c r="L4150" s="196"/>
      <c r="M4150" s="230"/>
      <c r="N4150" s="164"/>
      <c r="O4150" s="165">
        <f t="shared" ref="O4150:O4151" si="1009">MROUND(G4150*N4150,0.000001)</f>
        <v>0</v>
      </c>
      <c r="P4150" s="166"/>
      <c r="Q4150" s="166"/>
      <c r="R4150" s="71"/>
    </row>
    <row r="4151" spans="1:18" s="61" customFormat="1" x14ac:dyDescent="0.25">
      <c r="A4151" s="358"/>
      <c r="B4151" s="361"/>
      <c r="C4151" s="221"/>
      <c r="D4151" s="194"/>
      <c r="E4151" s="194"/>
      <c r="F4151" s="194"/>
      <c r="G4151" s="217"/>
      <c r="H4151" s="195"/>
      <c r="I4151" s="159"/>
      <c r="J4151" s="195"/>
      <c r="K4151" s="161"/>
      <c r="L4151" s="196"/>
      <c r="M4151" s="230"/>
      <c r="N4151" s="164"/>
      <c r="O4151" s="165">
        <f t="shared" si="1009"/>
        <v>0</v>
      </c>
      <c r="P4151" s="166"/>
      <c r="Q4151" s="166"/>
      <c r="R4151" s="71"/>
    </row>
    <row r="4152" spans="1:18" s="61" customFormat="1" x14ac:dyDescent="0.25">
      <c r="A4152" s="358"/>
      <c r="B4152" s="361"/>
      <c r="C4152" s="221" t="s">
        <v>357</v>
      </c>
      <c r="D4152" s="368" t="s">
        <v>66</v>
      </c>
      <c r="E4152" s="368"/>
      <c r="F4152" s="368"/>
      <c r="G4152" s="368"/>
      <c r="H4152" s="195"/>
      <c r="I4152" s="159"/>
      <c r="J4152" s="195"/>
      <c r="K4152" s="161"/>
      <c r="L4152" s="234"/>
      <c r="M4152" s="230"/>
      <c r="N4152" s="164"/>
      <c r="O4152" s="198">
        <f>O4153</f>
        <v>23.728757999999999</v>
      </c>
      <c r="P4152" s="166"/>
      <c r="Q4152" s="166"/>
      <c r="R4152" s="71"/>
    </row>
    <row r="4153" spans="1:18" s="61" customFormat="1" ht="47.25" x14ac:dyDescent="0.25">
      <c r="A4153" s="358"/>
      <c r="B4153" s="361"/>
      <c r="C4153" s="221"/>
      <c r="D4153" s="222" t="s">
        <v>374</v>
      </c>
      <c r="E4153" s="194" t="s">
        <v>28</v>
      </c>
      <c r="F4153" s="194" t="s">
        <v>28</v>
      </c>
      <c r="G4153" s="217">
        <f>MROUND(H4153*L4153*I4153/K4153,0.000000001)</f>
        <v>6.0203080000000003E-3</v>
      </c>
      <c r="H4153" s="201">
        <f>H3553</f>
        <v>36</v>
      </c>
      <c r="I4153" s="159">
        <f>I4148</f>
        <v>3.261E-3</v>
      </c>
      <c r="J4153" s="195"/>
      <c r="K4153" s="161">
        <f>K4148</f>
        <v>78</v>
      </c>
      <c r="L4153" s="235">
        <f>L3553</f>
        <v>4</v>
      </c>
      <c r="M4153" s="163" t="str">
        <f>CONCATENATE(H4153," ",F4153,"*",I4153,"/",K4153,"чел.")</f>
        <v>36 шт*0,003261/78чел.</v>
      </c>
      <c r="N4153" s="164">
        <f>N3553</f>
        <v>3941.4525000000012</v>
      </c>
      <c r="O4153" s="165">
        <f>MROUND(G4153*N4153,0.000001)</f>
        <v>23.728757999999999</v>
      </c>
      <c r="P4153" s="166"/>
      <c r="Q4153" s="166">
        <f t="shared" ref="Q4153" si="1010">O4153*K4153</f>
        <v>1850.843124</v>
      </c>
      <c r="R4153" s="71"/>
    </row>
    <row r="4154" spans="1:18" s="61" customFormat="1" x14ac:dyDescent="0.25">
      <c r="A4154" s="358"/>
      <c r="B4154" s="361"/>
      <c r="C4154" s="221"/>
      <c r="D4154" s="368" t="s">
        <v>67</v>
      </c>
      <c r="E4154" s="368"/>
      <c r="F4154" s="368"/>
      <c r="G4154" s="368"/>
      <c r="H4154" s="195"/>
      <c r="I4154" s="159"/>
      <c r="J4154" s="195"/>
      <c r="K4154" s="161"/>
      <c r="L4154" s="196"/>
      <c r="M4154" s="230"/>
      <c r="N4154" s="164"/>
      <c r="O4154" s="165">
        <f t="shared" ref="O4154:O4157" si="1011">MROUND(G4154*N4154,0.000001)</f>
        <v>0</v>
      </c>
      <c r="P4154" s="166"/>
      <c r="Q4154" s="166"/>
      <c r="R4154" s="71"/>
    </row>
    <row r="4155" spans="1:18" s="61" customFormat="1" x14ac:dyDescent="0.25">
      <c r="A4155" s="358"/>
      <c r="B4155" s="361"/>
      <c r="C4155" s="221"/>
      <c r="D4155" s="194"/>
      <c r="E4155" s="194"/>
      <c r="F4155" s="194"/>
      <c r="G4155" s="217"/>
      <c r="H4155" s="195"/>
      <c r="I4155" s="159"/>
      <c r="J4155" s="195"/>
      <c r="K4155" s="161"/>
      <c r="L4155" s="196"/>
      <c r="M4155" s="230"/>
      <c r="N4155" s="164"/>
      <c r="O4155" s="165">
        <f t="shared" si="1011"/>
        <v>0</v>
      </c>
      <c r="P4155" s="166"/>
      <c r="Q4155" s="166"/>
      <c r="R4155" s="71"/>
    </row>
    <row r="4156" spans="1:18" s="61" customFormat="1" x14ac:dyDescent="0.25">
      <c r="A4156" s="358"/>
      <c r="B4156" s="361"/>
      <c r="C4156" s="221"/>
      <c r="D4156" s="350" t="s">
        <v>68</v>
      </c>
      <c r="E4156" s="350"/>
      <c r="F4156" s="350"/>
      <c r="G4156" s="350"/>
      <c r="H4156" s="195"/>
      <c r="I4156" s="159"/>
      <c r="J4156" s="195"/>
      <c r="K4156" s="161"/>
      <c r="L4156" s="196"/>
      <c r="M4156" s="230"/>
      <c r="N4156" s="164"/>
      <c r="O4156" s="165">
        <f t="shared" si="1011"/>
        <v>0</v>
      </c>
      <c r="P4156" s="166"/>
      <c r="Q4156" s="166"/>
      <c r="R4156" s="71"/>
    </row>
    <row r="4157" spans="1:18" s="61" customFormat="1" x14ac:dyDescent="0.25">
      <c r="A4157" s="358"/>
      <c r="B4157" s="361"/>
      <c r="C4157" s="221"/>
      <c r="D4157" s="156"/>
      <c r="E4157" s="156"/>
      <c r="F4157" s="156"/>
      <c r="G4157" s="236"/>
      <c r="H4157" s="195"/>
      <c r="I4157" s="159"/>
      <c r="J4157" s="195"/>
      <c r="K4157" s="161"/>
      <c r="L4157" s="196"/>
      <c r="M4157" s="230"/>
      <c r="N4157" s="164"/>
      <c r="O4157" s="165">
        <f t="shared" si="1011"/>
        <v>0</v>
      </c>
      <c r="P4157" s="166"/>
      <c r="Q4157" s="166"/>
      <c r="R4157" s="71"/>
    </row>
    <row r="4158" spans="1:18" s="61" customFormat="1" x14ac:dyDescent="0.25">
      <c r="A4158" s="358"/>
      <c r="B4158" s="361"/>
      <c r="C4158" s="221"/>
      <c r="D4158" s="368" t="s">
        <v>69</v>
      </c>
      <c r="E4158" s="368"/>
      <c r="F4158" s="368"/>
      <c r="G4158" s="368"/>
      <c r="H4158" s="187"/>
      <c r="I4158" s="159"/>
      <c r="J4158" s="187"/>
      <c r="K4158" s="161"/>
      <c r="L4158" s="276"/>
      <c r="M4158" s="230"/>
      <c r="N4158" s="164"/>
      <c r="O4158" s="198">
        <f>O4160+O4167+O4184+O4186+O4201+O4203+O4205+O4230+O4232+O4237+O4234</f>
        <v>965.64169489999983</v>
      </c>
      <c r="P4158" s="166"/>
      <c r="Q4158" s="166"/>
      <c r="R4158" s="71"/>
    </row>
    <row r="4159" spans="1:18" s="61" customFormat="1" x14ac:dyDescent="0.25">
      <c r="A4159" s="358"/>
      <c r="B4159" s="361"/>
      <c r="C4159" s="221">
        <v>224</v>
      </c>
      <c r="D4159" s="156" t="s">
        <v>21</v>
      </c>
      <c r="E4159" s="156" t="s">
        <v>22</v>
      </c>
      <c r="F4159" s="156" t="s">
        <v>22</v>
      </c>
      <c r="G4159" s="238">
        <f>MROUND(H4159*L4159*I4159/K4159,0.000001)</f>
        <v>0</v>
      </c>
      <c r="H4159" s="158"/>
      <c r="I4159" s="159">
        <f>I4153</f>
        <v>3.261E-3</v>
      </c>
      <c r="J4159" s="160"/>
      <c r="K4159" s="161">
        <f>K4153</f>
        <v>78</v>
      </c>
      <c r="L4159" s="250"/>
      <c r="M4159" s="163"/>
      <c r="N4159" s="164"/>
      <c r="O4159" s="165">
        <f>MROUND(G4159*N4159,0.000001)</f>
        <v>0</v>
      </c>
      <c r="P4159" s="166"/>
      <c r="Q4159" s="166">
        <f t="shared" ref="Q4159" si="1012">O4159*K4159</f>
        <v>0</v>
      </c>
      <c r="R4159" s="71"/>
    </row>
    <row r="4160" spans="1:18" s="62" customFormat="1" x14ac:dyDescent="0.25">
      <c r="A4160" s="358"/>
      <c r="B4160" s="361"/>
      <c r="C4160" s="218" t="s">
        <v>293</v>
      </c>
      <c r="D4160" s="240"/>
      <c r="E4160" s="240"/>
      <c r="F4160" s="240"/>
      <c r="G4160" s="227"/>
      <c r="H4160" s="241"/>
      <c r="I4160" s="206"/>
      <c r="J4160" s="228"/>
      <c r="K4160" s="207"/>
      <c r="L4160" s="257"/>
      <c r="M4160" s="209"/>
      <c r="N4160" s="210"/>
      <c r="O4160" s="198">
        <f>SUM(O4159)</f>
        <v>0</v>
      </c>
      <c r="P4160" s="267"/>
      <c r="Q4160" s="166"/>
      <c r="R4160" s="71"/>
    </row>
    <row r="4161" spans="1:41" s="61" customFormat="1" ht="31.5" x14ac:dyDescent="0.25">
      <c r="A4161" s="358"/>
      <c r="B4161" s="361"/>
      <c r="C4161" s="364" t="s">
        <v>78</v>
      </c>
      <c r="D4161" s="156" t="s">
        <v>26</v>
      </c>
      <c r="E4161" s="156" t="s">
        <v>22</v>
      </c>
      <c r="F4161" s="156" t="s">
        <v>22</v>
      </c>
      <c r="G4161" s="238">
        <f>MROUND(H4161*L4161*I4161/K4161,0.000001)</f>
        <v>12.963728999999999</v>
      </c>
      <c r="H4161" s="158">
        <f>H3441</f>
        <v>25840</v>
      </c>
      <c r="I4161" s="159">
        <f>I4159</f>
        <v>3.261E-3</v>
      </c>
      <c r="J4161" s="160"/>
      <c r="K4161" s="161">
        <f>K4159</f>
        <v>78</v>
      </c>
      <c r="L4161" s="250">
        <v>12</v>
      </c>
      <c r="M4161" s="163" t="str">
        <f>CONCATENATE(H4161," ",F4161,"(обрабатываемая площадь в мес.)","*",L4161,"мес.","*",I4161,"/",K4161,"чел.")</f>
        <v>25840 м2(обрабатываемая площадь в мес.)*12мес.*0,003261/78чел.</v>
      </c>
      <c r="N4161" s="164">
        <f>N3441</f>
        <v>1.208548374613003</v>
      </c>
      <c r="O4161" s="165">
        <f t="shared" ref="O4161:O4166" si="1013">MROUND(G4161*N4161,0.000001)</f>
        <v>15.667294</v>
      </c>
      <c r="P4161" s="166"/>
      <c r="Q4161" s="166">
        <f t="shared" ref="Q4161:Q4166" si="1014">O4161*K4161</f>
        <v>1222.0489319999999</v>
      </c>
      <c r="R4161" s="71"/>
    </row>
    <row r="4162" spans="1:41" s="61" customFormat="1" ht="31.5" x14ac:dyDescent="0.25">
      <c r="A4162" s="358"/>
      <c r="B4162" s="361"/>
      <c r="C4162" s="364"/>
      <c r="D4162" s="156" t="s">
        <v>96</v>
      </c>
      <c r="E4162" s="156" t="s">
        <v>22</v>
      </c>
      <c r="F4162" s="156" t="s">
        <v>22</v>
      </c>
      <c r="G4162" s="238">
        <f>MROUND(H4162*L4162*I4162/K4162,0.000001)</f>
        <v>6.7101349999999993</v>
      </c>
      <c r="H4162" s="158">
        <f>H3442</f>
        <v>13375</v>
      </c>
      <c r="I4162" s="159">
        <f t="shared" si="1002"/>
        <v>3.261E-3</v>
      </c>
      <c r="J4162" s="160"/>
      <c r="K4162" s="161">
        <f>K4161</f>
        <v>78</v>
      </c>
      <c r="L4162" s="250">
        <v>12</v>
      </c>
      <c r="M4162" s="163" t="str">
        <f>CONCATENATE(H4162," ",F4162,"(обрабатываемая площадь в мес.)","*",L4162,"мес.","*",I4162,"/",K4162,"чел.")</f>
        <v>13375 м2(обрабатываемая площадь в мес.)*12мес.*0,003261/78чел.</v>
      </c>
      <c r="N4162" s="164">
        <f>N3442</f>
        <v>1.93823800623053</v>
      </c>
      <c r="O4162" s="165">
        <f t="shared" si="1013"/>
        <v>13.005839</v>
      </c>
      <c r="P4162" s="166"/>
      <c r="Q4162" s="166">
        <f t="shared" si="1014"/>
        <v>1014.4554419999999</v>
      </c>
      <c r="R4162" s="71"/>
    </row>
    <row r="4163" spans="1:41" s="135" customFormat="1" ht="31.5" x14ac:dyDescent="0.25">
      <c r="A4163" s="358"/>
      <c r="B4163" s="361"/>
      <c r="C4163" s="364"/>
      <c r="D4163" s="156" t="s">
        <v>385</v>
      </c>
      <c r="E4163" s="156" t="s">
        <v>22</v>
      </c>
      <c r="F4163" s="156" t="s">
        <v>22</v>
      </c>
      <c r="G4163" s="238">
        <f>MROUND(H4163*L4163*I4163/K4163,0.000001)</f>
        <v>13.420268999999999</v>
      </c>
      <c r="H4163" s="242">
        <f>$H$55</f>
        <v>13375</v>
      </c>
      <c r="I4163" s="159">
        <f t="shared" si="1002"/>
        <v>3.261E-3</v>
      </c>
      <c r="J4163" s="160"/>
      <c r="K4163" s="161">
        <f>K4162</f>
        <v>78</v>
      </c>
      <c r="L4163" s="162">
        <v>24</v>
      </c>
      <c r="M4163" s="163" t="str">
        <f>CONCATENATE(H4163," ",F4163,"(обрабатываемая площадь в год)","*",L4163," раза в год.","*",I4163,"/",K4163,"чел.")</f>
        <v>13375 м2(обрабатываемая площадь в год)*24 раза в год.*0,003261/78чел.</v>
      </c>
      <c r="N4163" s="164">
        <f>$N$3443</f>
        <v>2.3942939563862917</v>
      </c>
      <c r="O4163" s="165">
        <f t="shared" si="1013"/>
        <v>32.132069000000001</v>
      </c>
      <c r="P4163" s="166"/>
      <c r="Q4163" s="166">
        <f t="shared" si="1014"/>
        <v>2506.3013820000001</v>
      </c>
      <c r="R4163" s="71"/>
      <c r="S4163" s="61"/>
      <c r="T4163" s="61"/>
      <c r="U4163" s="61"/>
      <c r="V4163" s="61"/>
      <c r="W4163" s="61"/>
      <c r="X4163" s="61"/>
      <c r="Y4163" s="61"/>
      <c r="Z4163" s="61"/>
      <c r="AA4163" s="61"/>
      <c r="AB4163" s="61"/>
      <c r="AC4163" s="61"/>
      <c r="AD4163" s="61"/>
      <c r="AE4163" s="61"/>
      <c r="AF4163" s="61"/>
      <c r="AG4163" s="61"/>
      <c r="AH4163" s="61"/>
      <c r="AI4163" s="61"/>
      <c r="AJ4163" s="61"/>
      <c r="AK4163" s="61"/>
      <c r="AL4163" s="61"/>
      <c r="AM4163" s="61"/>
      <c r="AN4163" s="61"/>
      <c r="AO4163" s="61"/>
    </row>
    <row r="4164" spans="1:41" s="135" customFormat="1" ht="31.5" x14ac:dyDescent="0.25">
      <c r="A4164" s="358"/>
      <c r="B4164" s="361"/>
      <c r="C4164" s="364"/>
      <c r="D4164" s="156" t="s">
        <v>394</v>
      </c>
      <c r="E4164" s="156" t="s">
        <v>22</v>
      </c>
      <c r="F4164" s="156" t="s">
        <v>22</v>
      </c>
      <c r="G4164" s="238">
        <f>MROUND(H4164*L4164*I4164/K4164,0.000001)</f>
        <v>12.963728999999999</v>
      </c>
      <c r="H4164" s="243">
        <f>$H$56</f>
        <v>25840</v>
      </c>
      <c r="I4164" s="159">
        <f t="shared" si="1002"/>
        <v>3.261E-3</v>
      </c>
      <c r="J4164" s="160"/>
      <c r="K4164" s="161">
        <f>K4163</f>
        <v>78</v>
      </c>
      <c r="L4164" s="162">
        <v>12</v>
      </c>
      <c r="M4164" s="163" t="str">
        <f>CONCATENATE(H4164," ",F4164,"(обрабатываемая площадь в мес.)","*",L4164,"мес.","*",I4164,"/",K4164,"чел.")</f>
        <v>25840 м2(обрабатываемая площадь в мес.)*12мес.*0,003261/78чел.</v>
      </c>
      <c r="N4164" s="164">
        <f>$N$3444</f>
        <v>0.57007004643962855</v>
      </c>
      <c r="O4164" s="165">
        <f t="shared" si="1013"/>
        <v>7.3902339999999995</v>
      </c>
      <c r="P4164" s="166"/>
      <c r="Q4164" s="166">
        <f t="shared" si="1014"/>
        <v>576.43825199999992</v>
      </c>
      <c r="R4164" s="71"/>
      <c r="S4164" s="61"/>
      <c r="T4164" s="61"/>
      <c r="U4164" s="61"/>
      <c r="V4164" s="61"/>
      <c r="W4164" s="61"/>
      <c r="X4164" s="61"/>
      <c r="Y4164" s="61"/>
      <c r="Z4164" s="61"/>
      <c r="AA4164" s="61"/>
      <c r="AB4164" s="61"/>
      <c r="AC4164" s="61"/>
      <c r="AD4164" s="61"/>
      <c r="AE4164" s="61"/>
      <c r="AF4164" s="61"/>
      <c r="AG4164" s="61"/>
      <c r="AH4164" s="61"/>
      <c r="AI4164" s="61"/>
      <c r="AJ4164" s="61"/>
      <c r="AK4164" s="61"/>
      <c r="AL4164" s="61"/>
      <c r="AM4164" s="61"/>
      <c r="AN4164" s="61"/>
      <c r="AO4164" s="61"/>
    </row>
    <row r="4165" spans="1:41" s="135" customFormat="1" ht="31.5" x14ac:dyDescent="0.25">
      <c r="A4165" s="358"/>
      <c r="B4165" s="361"/>
      <c r="C4165" s="364"/>
      <c r="D4165" s="156" t="s">
        <v>395</v>
      </c>
      <c r="E4165" s="156" t="s">
        <v>98</v>
      </c>
      <c r="F4165" s="156" t="s">
        <v>98</v>
      </c>
      <c r="G4165" s="238">
        <f>MROUND(H4165*L4165*I4165/K4165,0.000000001)</f>
        <v>7.91838E-4</v>
      </c>
      <c r="H4165" s="242">
        <f>$H$57</f>
        <v>18.939999999999998</v>
      </c>
      <c r="I4165" s="159">
        <f t="shared" si="1002"/>
        <v>3.261E-3</v>
      </c>
      <c r="J4165" s="160"/>
      <c r="K4165" s="161">
        <f>K4164</f>
        <v>78</v>
      </c>
      <c r="L4165" s="162">
        <v>1</v>
      </c>
      <c r="M4165" s="163" t="str">
        <f>CONCATENATE(H4165," ",F4165,"(обрабатываемая площадь в год)","*",L4165," раз в год","*",I4165,"/",K4165,"чел.")</f>
        <v>18,94 Га(обрабатываемая площадь в год)*1 раз в год*0,003261/78чел.</v>
      </c>
      <c r="N4165" s="164">
        <f>$N$57</f>
        <v>545</v>
      </c>
      <c r="O4165" s="165">
        <f t="shared" si="1013"/>
        <v>0.43155199999999999</v>
      </c>
      <c r="P4165" s="166"/>
      <c r="Q4165" s="166">
        <f t="shared" si="1014"/>
        <v>33.661056000000002</v>
      </c>
      <c r="R4165" s="71"/>
      <c r="S4165" s="61"/>
      <c r="T4165" s="61"/>
      <c r="U4165" s="61"/>
      <c r="V4165" s="61"/>
      <c r="W4165" s="61"/>
      <c r="X4165" s="61"/>
      <c r="Y4165" s="61"/>
      <c r="Z4165" s="61"/>
      <c r="AA4165" s="61"/>
      <c r="AB4165" s="61"/>
      <c r="AC4165" s="61"/>
      <c r="AD4165" s="61"/>
      <c r="AE4165" s="61"/>
      <c r="AF4165" s="61"/>
      <c r="AG4165" s="61"/>
      <c r="AH4165" s="61"/>
      <c r="AI4165" s="61"/>
      <c r="AJ4165" s="61"/>
      <c r="AK4165" s="61"/>
      <c r="AL4165" s="61"/>
      <c r="AM4165" s="61"/>
      <c r="AN4165" s="61"/>
      <c r="AO4165" s="61"/>
    </row>
    <row r="4166" spans="1:41" s="61" customFormat="1" ht="31.5" x14ac:dyDescent="0.25">
      <c r="A4166" s="358"/>
      <c r="B4166" s="361"/>
      <c r="C4166" s="364"/>
      <c r="D4166" s="156" t="s">
        <v>97</v>
      </c>
      <c r="E4166" s="156" t="s">
        <v>98</v>
      </c>
      <c r="F4166" s="156" t="s">
        <v>98</v>
      </c>
      <c r="G4166" s="238">
        <f>MROUND(H4166*L4166*I4166/K4166,0.0000000001)</f>
        <v>7.9183770000000001E-4</v>
      </c>
      <c r="H4166" s="242">
        <f>H3446</f>
        <v>18.939999999999998</v>
      </c>
      <c r="I4166" s="244">
        <f>I4162</f>
        <v>3.261E-3</v>
      </c>
      <c r="J4166" s="160"/>
      <c r="K4166" s="161">
        <f>K4162</f>
        <v>78</v>
      </c>
      <c r="L4166" s="250">
        <v>1</v>
      </c>
      <c r="M4166" s="163" t="str">
        <f>CONCATENATE(H4166," ",F4166,"(обрабатываемая площадь в мес.)","*",L4166,"мес.","*",I4166,"/",K4166,"чел.")</f>
        <v>18,94 Га(обрабатываемая площадь в мес.)*1мес.*0,003261/78чел.</v>
      </c>
      <c r="N4166" s="164">
        <f>N3446</f>
        <v>3102.4186906018999</v>
      </c>
      <c r="O4166" s="165">
        <f t="shared" si="1013"/>
        <v>2.4566119999999998</v>
      </c>
      <c r="P4166" s="166"/>
      <c r="Q4166" s="166">
        <f t="shared" si="1014"/>
        <v>191.61573599999997</v>
      </c>
      <c r="R4166" s="71"/>
    </row>
    <row r="4167" spans="1:41" s="61" customFormat="1" x14ac:dyDescent="0.25">
      <c r="A4167" s="358"/>
      <c r="B4167" s="361"/>
      <c r="C4167" s="245" t="s">
        <v>294</v>
      </c>
      <c r="D4167" s="240"/>
      <c r="E4167" s="240"/>
      <c r="F4167" s="240"/>
      <c r="G4167" s="227"/>
      <c r="H4167" s="241"/>
      <c r="I4167" s="206"/>
      <c r="J4167" s="228"/>
      <c r="K4167" s="207"/>
      <c r="L4167" s="257"/>
      <c r="M4167" s="209"/>
      <c r="N4167" s="210"/>
      <c r="O4167" s="198">
        <f>SUM(O4161:O4166)</f>
        <v>71.08359999999999</v>
      </c>
      <c r="P4167" s="166"/>
      <c r="Q4167" s="166"/>
      <c r="R4167" s="71"/>
    </row>
    <row r="4168" spans="1:41" s="61" customFormat="1" ht="63" x14ac:dyDescent="0.25">
      <c r="A4168" s="358"/>
      <c r="B4168" s="361"/>
      <c r="C4168" s="365" t="s">
        <v>77</v>
      </c>
      <c r="D4168" s="156" t="s">
        <v>29</v>
      </c>
      <c r="E4168" s="156" t="s">
        <v>58</v>
      </c>
      <c r="F4168" s="156" t="s">
        <v>218</v>
      </c>
      <c r="G4168" s="238">
        <f>MROUND(H4168*L4168*I4168/K4168,0.00000001)</f>
        <v>2.5084600000000001E-3</v>
      </c>
      <c r="H4168" s="158">
        <v>15</v>
      </c>
      <c r="I4168" s="159">
        <f>I4166</f>
        <v>3.261E-3</v>
      </c>
      <c r="J4168" s="160"/>
      <c r="K4168" s="161">
        <f>K4166</f>
        <v>78</v>
      </c>
      <c r="L4168" s="162">
        <v>4</v>
      </c>
      <c r="M4168" s="163" t="str">
        <f>CONCATENATE(H4168," ",F4168,"*",L4168," раза в год","*",I4168,"/",K4168,"чел.")</f>
        <v>15 установок*4 раза в год*0,003261/78чел.</v>
      </c>
      <c r="N4168" s="164">
        <f t="shared" ref="N4168:N4178" si="1015">N3448</f>
        <v>2264.8651666666669</v>
      </c>
      <c r="O4168" s="165">
        <f t="shared" ref="O4168:O4176" si="1016">MROUND(G4168*N4168,0.000001)</f>
        <v>5.681324</v>
      </c>
      <c r="P4168" s="166"/>
      <c r="Q4168" s="166">
        <f t="shared" ref="Q4168:Q4183" si="1017">O4168*K4168</f>
        <v>443.14327200000002</v>
      </c>
      <c r="R4168" s="71"/>
    </row>
    <row r="4169" spans="1:41" s="61" customFormat="1" ht="47.25" x14ac:dyDescent="0.25">
      <c r="A4169" s="358"/>
      <c r="B4169" s="361"/>
      <c r="C4169" s="366"/>
      <c r="D4169" s="156" t="s">
        <v>30</v>
      </c>
      <c r="E4169" s="156" t="s">
        <v>58</v>
      </c>
      <c r="F4169" s="156" t="s">
        <v>218</v>
      </c>
      <c r="G4169" s="238">
        <f>MROUND(H4169*L4169*I4169/K4169,0.00000001)</f>
        <v>1.2542300000000001E-3</v>
      </c>
      <c r="H4169" s="158">
        <v>15</v>
      </c>
      <c r="I4169" s="159">
        <f t="shared" si="1002"/>
        <v>3.261E-3</v>
      </c>
      <c r="J4169" s="160"/>
      <c r="K4169" s="161">
        <f t="shared" ref="K4169:K4177" si="1018">K4168</f>
        <v>78</v>
      </c>
      <c r="L4169" s="250">
        <v>2</v>
      </c>
      <c r="M4169" s="163" t="str">
        <f>CONCATENATE(H4169," ",F4169,"*",L4169,"полуг.","*",I4169,"/",K4169,"чел.")</f>
        <v>15 установок*2полуг.*0,003261/78чел.</v>
      </c>
      <c r="N4169" s="164">
        <f t="shared" si="1015"/>
        <v>4529.7303333333339</v>
      </c>
      <c r="O4169" s="165">
        <f t="shared" si="1016"/>
        <v>5.681324</v>
      </c>
      <c r="P4169" s="166"/>
      <c r="Q4169" s="166">
        <f t="shared" si="1017"/>
        <v>443.14327200000002</v>
      </c>
      <c r="R4169" s="71"/>
    </row>
    <row r="4170" spans="1:41" s="61" customFormat="1" ht="31.5" x14ac:dyDescent="0.25">
      <c r="A4170" s="358"/>
      <c r="B4170" s="361"/>
      <c r="C4170" s="366"/>
      <c r="D4170" s="156" t="s">
        <v>397</v>
      </c>
      <c r="E4170" s="156" t="s">
        <v>433</v>
      </c>
      <c r="F4170" s="156" t="s">
        <v>433</v>
      </c>
      <c r="G4170" s="238">
        <f>MROUND(H4170*L4170*I4170/K4170,0.000001)</f>
        <v>1.2541999999999999E-2</v>
      </c>
      <c r="H4170" s="158">
        <f>H3450</f>
        <v>300</v>
      </c>
      <c r="I4170" s="159">
        <f t="shared" si="1002"/>
        <v>3.261E-3</v>
      </c>
      <c r="J4170" s="160"/>
      <c r="K4170" s="161">
        <f t="shared" si="1018"/>
        <v>78</v>
      </c>
      <c r="L4170" s="162">
        <v>1</v>
      </c>
      <c r="M4170" s="163" t="str">
        <f>CONCATENATE(H4170," ",F4170,"(обрабатываемая площадь в год)","*",L4170," раз в год","*",I4170,"/",K4170,"чел.")</f>
        <v>300 м2.(обрабатываемая площадь в год)*1 раз в год*0,003261/78чел.</v>
      </c>
      <c r="N4170" s="164">
        <f t="shared" si="1015"/>
        <v>300</v>
      </c>
      <c r="O4170" s="165">
        <f t="shared" si="1016"/>
        <v>3.7625999999999999</v>
      </c>
      <c r="P4170" s="166"/>
      <c r="Q4170" s="166">
        <f t="shared" si="1017"/>
        <v>293.4828</v>
      </c>
      <c r="R4170" s="71"/>
    </row>
    <row r="4171" spans="1:41" s="61" customFormat="1" ht="47.25" x14ac:dyDescent="0.25">
      <c r="A4171" s="358"/>
      <c r="B4171" s="361"/>
      <c r="C4171" s="366"/>
      <c r="D4171" s="156" t="s">
        <v>32</v>
      </c>
      <c r="E4171" s="156" t="s">
        <v>55</v>
      </c>
      <c r="F4171" s="156" t="s">
        <v>219</v>
      </c>
      <c r="G4171" s="238">
        <f>MROUND(H4171*L4171*I4171/K4171,0.000000001)</f>
        <v>6.0203080000000003E-3</v>
      </c>
      <c r="H4171" s="158">
        <f>H3451</f>
        <v>36</v>
      </c>
      <c r="I4171" s="159">
        <f>I4170</f>
        <v>3.261E-3</v>
      </c>
      <c r="J4171" s="160"/>
      <c r="K4171" s="161">
        <f t="shared" si="1018"/>
        <v>78</v>
      </c>
      <c r="L4171" s="250">
        <v>4</v>
      </c>
      <c r="M4171" s="163" t="str">
        <f>CONCATENATE(H4171," ",F4171,"*",L4171,"кв.","*",I4171,"/",K4171,"чел.")</f>
        <v>36 системы*4кв.*0,003261/78чел.</v>
      </c>
      <c r="N4171" s="164">
        <f t="shared" si="1015"/>
        <v>7243.0565277777823</v>
      </c>
      <c r="O4171" s="165">
        <f t="shared" si="1016"/>
        <v>43.605430999999996</v>
      </c>
      <c r="P4171" s="166"/>
      <c r="Q4171" s="166">
        <f t="shared" si="1017"/>
        <v>3401.2236179999995</v>
      </c>
      <c r="R4171" s="71"/>
    </row>
    <row r="4172" spans="1:41" s="61" customFormat="1" ht="63" x14ac:dyDescent="0.25">
      <c r="A4172" s="358"/>
      <c r="B4172" s="361"/>
      <c r="C4172" s="366"/>
      <c r="D4172" s="156" t="s">
        <v>33</v>
      </c>
      <c r="E4172" s="156" t="s">
        <v>56</v>
      </c>
      <c r="F4172" s="156" t="s">
        <v>220</v>
      </c>
      <c r="G4172" s="238">
        <f>MROUND(H4172*L4172*I4172/K4172,0.000000001)</f>
        <v>1.5050770000000001E-3</v>
      </c>
      <c r="H4172" s="158">
        <f>$H$64</f>
        <v>36</v>
      </c>
      <c r="I4172" s="159">
        <f>I4171</f>
        <v>3.261E-3</v>
      </c>
      <c r="J4172" s="160"/>
      <c r="K4172" s="161">
        <f t="shared" si="1018"/>
        <v>78</v>
      </c>
      <c r="L4172" s="162">
        <v>1</v>
      </c>
      <c r="M4172" s="163" t="str">
        <f>CONCATENATE(H4172," ",F4172,"*",L4172," раз в год","*",I4172,"/",K4172,"чел.")</f>
        <v>36 дымоходов*1 раз в год*0,003261/78чел.</v>
      </c>
      <c r="N4172" s="164">
        <f t="shared" si="1015"/>
        <v>7030.863333333331</v>
      </c>
      <c r="O4172" s="165">
        <f t="shared" si="1016"/>
        <v>10.581991</v>
      </c>
      <c r="P4172" s="166"/>
      <c r="Q4172" s="166">
        <f t="shared" si="1017"/>
        <v>825.39529800000003</v>
      </c>
      <c r="R4172" s="71"/>
    </row>
    <row r="4173" spans="1:41" s="61" customFormat="1" x14ac:dyDescent="0.25">
      <c r="A4173" s="358"/>
      <c r="B4173" s="361"/>
      <c r="C4173" s="366"/>
      <c r="D4173" s="194" t="s">
        <v>398</v>
      </c>
      <c r="E4173" s="156" t="s">
        <v>60</v>
      </c>
      <c r="F4173" s="156" t="s">
        <v>60</v>
      </c>
      <c r="G4173" s="238">
        <f>MROUND(H4173*L4173*I4173/K4173,0.000000001)</f>
        <v>1.4632690000000001E-3</v>
      </c>
      <c r="H4173" s="246">
        <f t="shared" ref="H4173:H4178" si="1019">H3453</f>
        <v>35</v>
      </c>
      <c r="I4173" s="159">
        <f t="shared" si="1002"/>
        <v>3.261E-3</v>
      </c>
      <c r="J4173" s="160"/>
      <c r="K4173" s="161">
        <f t="shared" si="1018"/>
        <v>78</v>
      </c>
      <c r="L4173" s="250">
        <v>1</v>
      </c>
      <c r="M4173" s="163" t="str">
        <f>CONCATENATE(H4173," ",F4173,"*",I4173,"/",K4173,"чел.")</f>
        <v>35 шт.*0,003261/78чел.</v>
      </c>
      <c r="N4173" s="164">
        <f t="shared" si="1015"/>
        <v>12173.433428571419</v>
      </c>
      <c r="O4173" s="165">
        <f t="shared" si="1016"/>
        <v>17.813008</v>
      </c>
      <c r="P4173" s="166"/>
      <c r="Q4173" s="166">
        <f t="shared" si="1017"/>
        <v>1389.414624</v>
      </c>
      <c r="R4173" s="71"/>
    </row>
    <row r="4174" spans="1:41" s="61" customFormat="1" ht="47.25" x14ac:dyDescent="0.25">
      <c r="A4174" s="358"/>
      <c r="B4174" s="361"/>
      <c r="C4174" s="366"/>
      <c r="D4174" s="156" t="s">
        <v>401</v>
      </c>
      <c r="E4174" s="156" t="s">
        <v>60</v>
      </c>
      <c r="F4174" s="156" t="s">
        <v>402</v>
      </c>
      <c r="G4174" s="238">
        <f>MROUND(H4174*L4174*I4174/K4174,0.000001)</f>
        <v>2.9269999999999999E-3</v>
      </c>
      <c r="H4174" s="246">
        <f t="shared" si="1019"/>
        <v>35</v>
      </c>
      <c r="I4174" s="159">
        <f t="shared" si="1002"/>
        <v>3.261E-3</v>
      </c>
      <c r="J4174" s="160"/>
      <c r="K4174" s="161">
        <f t="shared" si="1018"/>
        <v>78</v>
      </c>
      <c r="L4174" s="162">
        <v>2</v>
      </c>
      <c r="M4174" s="163" t="str">
        <f>CONCATENATE(H4174," ",F4174,"*",L4174," раз в год","*",I4174,"/",K4174,"чел.")</f>
        <v>35 противопожарных водопроводов*2 раз в год*0,003261/78чел.</v>
      </c>
      <c r="N4174" s="164">
        <f t="shared" si="1015"/>
        <v>5700.7000000000025</v>
      </c>
      <c r="O4174" s="165">
        <f t="shared" si="1016"/>
        <v>16.685949000000001</v>
      </c>
      <c r="P4174" s="166"/>
      <c r="Q4174" s="166">
        <f t="shared" si="1017"/>
        <v>1301.5040220000001</v>
      </c>
      <c r="R4174" s="71"/>
    </row>
    <row r="4175" spans="1:41" s="61" customFormat="1" ht="31.5" x14ac:dyDescent="0.25">
      <c r="A4175" s="358"/>
      <c r="B4175" s="361"/>
      <c r="C4175" s="366"/>
      <c r="D4175" s="156" t="s">
        <v>221</v>
      </c>
      <c r="E4175" s="156" t="s">
        <v>60</v>
      </c>
      <c r="F4175" s="156" t="s">
        <v>60</v>
      </c>
      <c r="G4175" s="238">
        <f>MROUND(H4175*L4175*I4175/K4175,0.000000001)</f>
        <v>9.0304620000000013E-3</v>
      </c>
      <c r="H4175" s="158">
        <f t="shared" si="1019"/>
        <v>18</v>
      </c>
      <c r="I4175" s="159">
        <f t="shared" si="1002"/>
        <v>3.261E-3</v>
      </c>
      <c r="J4175" s="160"/>
      <c r="K4175" s="161">
        <f t="shared" si="1018"/>
        <v>78</v>
      </c>
      <c r="L4175" s="250">
        <v>12</v>
      </c>
      <c r="M4175" s="163" t="str">
        <f>CONCATENATE(H4175," ",F4175,"*",L4175,"мес.","*",I4175,"/",K4175,"чел.")</f>
        <v>18 шт.*12мес.*0,003261/78чел.</v>
      </c>
      <c r="N4175" s="164">
        <f t="shared" si="1015"/>
        <v>6577.3408796296308</v>
      </c>
      <c r="O4175" s="165">
        <f t="shared" si="1016"/>
        <v>59.396426999999996</v>
      </c>
      <c r="P4175" s="166"/>
      <c r="Q4175" s="166">
        <f t="shared" si="1017"/>
        <v>4632.9213059999993</v>
      </c>
      <c r="R4175" s="71"/>
    </row>
    <row r="4176" spans="1:41" s="61" customFormat="1" ht="47.25" x14ac:dyDescent="0.25">
      <c r="A4176" s="358"/>
      <c r="B4176" s="361"/>
      <c r="C4176" s="366"/>
      <c r="D4176" s="156" t="s">
        <v>34</v>
      </c>
      <c r="E4176" s="156" t="s">
        <v>59</v>
      </c>
      <c r="F4176" s="156" t="s">
        <v>28</v>
      </c>
      <c r="G4176" s="238">
        <f>MROUND(H4176*L4176*I4176/K4176,0.000000001)</f>
        <v>8.3615000000000005E-5</v>
      </c>
      <c r="H4176" s="158">
        <f t="shared" si="1019"/>
        <v>2</v>
      </c>
      <c r="I4176" s="159">
        <f t="shared" si="1002"/>
        <v>3.261E-3</v>
      </c>
      <c r="J4176" s="160"/>
      <c r="K4176" s="161">
        <f t="shared" si="1018"/>
        <v>78</v>
      </c>
      <c r="L4176" s="250">
        <v>1</v>
      </c>
      <c r="M4176" s="163" t="str">
        <f>CONCATENATE(H4176," ",F4176,"*",I4176,"/",K4176,"чел.")</f>
        <v>2 шт*0,003261/78чел.</v>
      </c>
      <c r="N4176" s="164">
        <f t="shared" si="1015"/>
        <v>7845</v>
      </c>
      <c r="O4176" s="165">
        <f t="shared" si="1016"/>
        <v>0.65595999999999999</v>
      </c>
      <c r="P4176" s="166"/>
      <c r="Q4176" s="166">
        <f t="shared" si="1017"/>
        <v>51.164879999999997</v>
      </c>
      <c r="R4176" s="71"/>
    </row>
    <row r="4177" spans="1:18" s="61" customFormat="1" ht="47.25" x14ac:dyDescent="0.25">
      <c r="A4177" s="358"/>
      <c r="B4177" s="361"/>
      <c r="C4177" s="366"/>
      <c r="D4177" s="156" t="s">
        <v>222</v>
      </c>
      <c r="E4177" s="156" t="s">
        <v>60</v>
      </c>
      <c r="F4177" s="156" t="s">
        <v>60</v>
      </c>
      <c r="G4177" s="238">
        <f>MROUND(H4177*L4177*I4177/K4177,0.00000000001)</f>
        <v>2.0903845999999999E-4</v>
      </c>
      <c r="H4177" s="248">
        <f t="shared" si="1019"/>
        <v>5</v>
      </c>
      <c r="I4177" s="159">
        <f t="shared" si="1002"/>
        <v>3.261E-3</v>
      </c>
      <c r="J4177" s="160"/>
      <c r="K4177" s="161">
        <f t="shared" si="1018"/>
        <v>78</v>
      </c>
      <c r="L4177" s="250">
        <v>1</v>
      </c>
      <c r="M4177" s="163" t="str">
        <f>CONCATENATE(H4177," ",F4177,"*",I4177,"/",K4177,"чел.")</f>
        <v>5 шт.*0,003261/78чел.</v>
      </c>
      <c r="N4177" s="164">
        <f t="shared" si="1015"/>
        <v>43857.106</v>
      </c>
      <c r="O4177" s="165">
        <f>MROUND(G4177*N4177,0.00000001)</f>
        <v>9.1678218999999999</v>
      </c>
      <c r="P4177" s="166"/>
      <c r="Q4177" s="166">
        <f t="shared" si="1017"/>
        <v>715.09010820000003</v>
      </c>
      <c r="R4177" s="71"/>
    </row>
    <row r="4178" spans="1:18" s="61" customFormat="1" ht="31.5" x14ac:dyDescent="0.25">
      <c r="A4178" s="358"/>
      <c r="B4178" s="361"/>
      <c r="C4178" s="366"/>
      <c r="D4178" s="156" t="s">
        <v>35</v>
      </c>
      <c r="E4178" s="156" t="s">
        <v>102</v>
      </c>
      <c r="F4178" s="156" t="s">
        <v>223</v>
      </c>
      <c r="G4178" s="238">
        <f>MROUND(H4178*L4178*I4178/K4178,0.00000001)</f>
        <v>1.46327E-3</v>
      </c>
      <c r="H4178" s="158">
        <f t="shared" si="1019"/>
        <v>35</v>
      </c>
      <c r="I4178" s="159">
        <f>I4176</f>
        <v>3.261E-3</v>
      </c>
      <c r="J4178" s="160"/>
      <c r="K4178" s="161">
        <f>K4176</f>
        <v>78</v>
      </c>
      <c r="L4178" s="250">
        <v>1</v>
      </c>
      <c r="M4178" s="163" t="str">
        <f>CONCATENATE(H4178," ",F4178,"*",I4178,"/",K4178,"чел.")</f>
        <v>35 замеров*0,003261/78чел.</v>
      </c>
      <c r="N4178" s="164">
        <f t="shared" si="1015"/>
        <v>26428.571428571428</v>
      </c>
      <c r="O4178" s="165">
        <f t="shared" ref="O4178:O4183" si="1020">MROUND(G4178*N4178,0.000001)</f>
        <v>38.672135999999995</v>
      </c>
      <c r="P4178" s="166"/>
      <c r="Q4178" s="166">
        <f t="shared" si="1017"/>
        <v>3016.4266079999998</v>
      </c>
      <c r="R4178" s="71"/>
    </row>
    <row r="4179" spans="1:18" s="61" customFormat="1" ht="47.25" x14ac:dyDescent="0.25">
      <c r="A4179" s="358"/>
      <c r="B4179" s="361"/>
      <c r="C4179" s="366"/>
      <c r="D4179" s="156" t="s">
        <v>399</v>
      </c>
      <c r="E4179" s="156" t="s">
        <v>60</v>
      </c>
      <c r="F4179" s="156" t="s">
        <v>60</v>
      </c>
      <c r="G4179" s="238">
        <f>MROUND(H4179*L4179*I4179/K4179,0.000000001)</f>
        <v>1.4632692000000001E-2</v>
      </c>
      <c r="H4179" s="158">
        <f>H3579</f>
        <v>35</v>
      </c>
      <c r="I4179" s="159">
        <f t="shared" si="1002"/>
        <v>3.261E-3</v>
      </c>
      <c r="J4179" s="160"/>
      <c r="K4179" s="161">
        <f>K4178</f>
        <v>78</v>
      </c>
      <c r="L4179" s="250">
        <v>10</v>
      </c>
      <c r="M4179" s="163" t="str">
        <f>CONCATENATE(H4179," ",F4179,"*",L4179,"мес.","*",I4179,"/",K4179,"чел.")</f>
        <v>35 шт.*10мес.*0,003261/78чел.</v>
      </c>
      <c r="N4179" s="164">
        <f>N3579</f>
        <v>3250.866542857143</v>
      </c>
      <c r="O4179" s="165">
        <f t="shared" si="1020"/>
        <v>47.568928999999997</v>
      </c>
      <c r="P4179" s="166"/>
      <c r="Q4179" s="166">
        <f t="shared" si="1017"/>
        <v>3710.3764619999997</v>
      </c>
      <c r="R4179" s="71"/>
    </row>
    <row r="4180" spans="1:18" s="61" customFormat="1" ht="47.25" x14ac:dyDescent="0.25">
      <c r="A4180" s="358"/>
      <c r="B4180" s="361"/>
      <c r="C4180" s="366"/>
      <c r="D4180" s="156" t="s">
        <v>36</v>
      </c>
      <c r="E4180" s="156" t="s">
        <v>31</v>
      </c>
      <c r="F4180" s="156" t="s">
        <v>224</v>
      </c>
      <c r="G4180" s="238">
        <f>MROUND(H4180*L4180*I4180/K4180,0.00000001)</f>
        <v>1.8060920000000001E-2</v>
      </c>
      <c r="H4180" s="158">
        <f>H3460</f>
        <v>36</v>
      </c>
      <c r="I4180" s="159">
        <f t="shared" si="1002"/>
        <v>3.261E-3</v>
      </c>
      <c r="J4180" s="160"/>
      <c r="K4180" s="161">
        <f>K4179</f>
        <v>78</v>
      </c>
      <c r="L4180" s="250">
        <v>12</v>
      </c>
      <c r="M4180" s="163" t="str">
        <f>CONCATENATE(H4180," ",F4180,"*",L4180,"мес.","*",I4180,"/",K4180,"чел.")</f>
        <v>36 устройств*12мес.*0,003261/78чел.</v>
      </c>
      <c r="N4180" s="164">
        <f>N3460</f>
        <v>2508.3083101851839</v>
      </c>
      <c r="O4180" s="165">
        <f t="shared" si="1020"/>
        <v>45.302355999999996</v>
      </c>
      <c r="P4180" s="166"/>
      <c r="Q4180" s="166">
        <f t="shared" si="1017"/>
        <v>3533.5837679999995</v>
      </c>
      <c r="R4180" s="71"/>
    </row>
    <row r="4181" spans="1:18" s="61" customFormat="1" ht="31.5" x14ac:dyDescent="0.25">
      <c r="A4181" s="358"/>
      <c r="B4181" s="361"/>
      <c r="C4181" s="366"/>
      <c r="D4181" s="156" t="s">
        <v>99</v>
      </c>
      <c r="E4181" s="156" t="s">
        <v>103</v>
      </c>
      <c r="F4181" s="156" t="s">
        <v>225</v>
      </c>
      <c r="G4181" s="238">
        <f>MROUND(H4181*L4181*I4181/K4181,0.00000001)</f>
        <v>1.045192E-2</v>
      </c>
      <c r="H4181" s="158">
        <f>H3461</f>
        <v>250</v>
      </c>
      <c r="I4181" s="159">
        <f t="shared" si="1002"/>
        <v>3.261E-3</v>
      </c>
      <c r="J4181" s="160"/>
      <c r="K4181" s="161">
        <f>K4180</f>
        <v>78</v>
      </c>
      <c r="L4181" s="250">
        <v>1</v>
      </c>
      <c r="M4181" s="163" t="str">
        <f>CONCATENATE(H4181," ",F4181,"*",I4181,"/",K4181,"чел.")</f>
        <v>250 ед.*0,003261/78чел.</v>
      </c>
      <c r="N4181" s="164">
        <f>N3461</f>
        <v>15000</v>
      </c>
      <c r="O4181" s="165">
        <f t="shared" si="1020"/>
        <v>156.77879999999999</v>
      </c>
      <c r="P4181" s="166"/>
      <c r="Q4181" s="166">
        <f t="shared" si="1017"/>
        <v>12228.7464</v>
      </c>
      <c r="R4181" s="71"/>
    </row>
    <row r="4182" spans="1:18" s="61" customFormat="1" x14ac:dyDescent="0.25">
      <c r="A4182" s="358"/>
      <c r="B4182" s="361"/>
      <c r="C4182" s="366"/>
      <c r="D4182" s="156" t="s">
        <v>27</v>
      </c>
      <c r="E4182" s="156" t="s">
        <v>28</v>
      </c>
      <c r="F4182" s="156" t="s">
        <v>28</v>
      </c>
      <c r="G4182" s="238">
        <f>MROUND(H4182*L4182*I4182/K4182,0.0000000001)</f>
        <v>0.1519709615</v>
      </c>
      <c r="H4182" s="160">
        <f>H3462</f>
        <v>3635</v>
      </c>
      <c r="I4182" s="159">
        <f t="shared" si="1002"/>
        <v>3.261E-3</v>
      </c>
      <c r="J4182" s="160"/>
      <c r="K4182" s="161">
        <f>K4181</f>
        <v>78</v>
      </c>
      <c r="L4182" s="250">
        <v>1</v>
      </c>
      <c r="M4182" s="163" t="str">
        <f>CONCATENATE(H4182," ",F4182,"*",I4182,"/",K4182,"чел.")</f>
        <v>3635 шт*0,003261/78чел.</v>
      </c>
      <c r="N4182" s="164">
        <f>N3582</f>
        <v>418.4</v>
      </c>
      <c r="O4182" s="165">
        <f t="shared" si="1020"/>
        <v>63.584649999999996</v>
      </c>
      <c r="P4182" s="166"/>
      <c r="Q4182" s="166">
        <f t="shared" si="1017"/>
        <v>4959.6026999999995</v>
      </c>
      <c r="R4182" s="71"/>
    </row>
    <row r="4183" spans="1:18" s="61" customFormat="1" ht="31.5" x14ac:dyDescent="0.25">
      <c r="A4183" s="358"/>
      <c r="B4183" s="361"/>
      <c r="C4183" s="367"/>
      <c r="D4183" s="156" t="s">
        <v>104</v>
      </c>
      <c r="E4183" s="156" t="s">
        <v>105</v>
      </c>
      <c r="F4183" s="156" t="s">
        <v>226</v>
      </c>
      <c r="G4183" s="238">
        <f>MROUND(H4183*L4183*I4183/K4183,0.00000001)</f>
        <v>1.50508E-3</v>
      </c>
      <c r="H4183" s="160">
        <f>H3463</f>
        <v>36</v>
      </c>
      <c r="I4183" s="159">
        <f t="shared" si="1002"/>
        <v>3.261E-3</v>
      </c>
      <c r="J4183" s="160"/>
      <c r="K4183" s="161">
        <f>K4182</f>
        <v>78</v>
      </c>
      <c r="L4183" s="250">
        <v>1</v>
      </c>
      <c r="M4183" s="163" t="str">
        <f>CONCATENATE(H4183," ",F4183,"*",I4183,"/",K4183,"чел.")</f>
        <v>36 отключений*0,003261/78чел.</v>
      </c>
      <c r="N4183" s="164">
        <f>N3463</f>
        <v>10261.260000000004</v>
      </c>
      <c r="O4183" s="165">
        <f t="shared" si="1020"/>
        <v>15.444016999999999</v>
      </c>
      <c r="P4183" s="166"/>
      <c r="Q4183" s="166">
        <f t="shared" si="1017"/>
        <v>1204.6333259999999</v>
      </c>
      <c r="R4183" s="71"/>
    </row>
    <row r="4184" spans="1:18" s="61" customFormat="1" x14ac:dyDescent="0.25">
      <c r="A4184" s="358"/>
      <c r="B4184" s="361"/>
      <c r="C4184" s="249" t="s">
        <v>292</v>
      </c>
      <c r="D4184" s="240"/>
      <c r="E4184" s="240"/>
      <c r="F4184" s="240"/>
      <c r="G4184" s="227"/>
      <c r="H4184" s="228"/>
      <c r="I4184" s="206"/>
      <c r="J4184" s="228"/>
      <c r="K4184" s="207"/>
      <c r="L4184" s="257"/>
      <c r="M4184" s="209"/>
      <c r="N4184" s="210"/>
      <c r="O4184" s="198">
        <f>SUM(O4168:O4183)</f>
        <v>540.38272389999997</v>
      </c>
      <c r="P4184" s="166"/>
      <c r="Q4184" s="166"/>
      <c r="R4184" s="71"/>
    </row>
    <row r="4185" spans="1:18" s="61" customFormat="1" ht="31.5" x14ac:dyDescent="0.25">
      <c r="A4185" s="358"/>
      <c r="B4185" s="361"/>
      <c r="C4185" s="221" t="s">
        <v>79</v>
      </c>
      <c r="D4185" s="156" t="s">
        <v>37</v>
      </c>
      <c r="E4185" s="156" t="s">
        <v>61</v>
      </c>
      <c r="F4185" s="156" t="s">
        <v>227</v>
      </c>
      <c r="G4185" s="238">
        <f>MROUND(H4185*L4185*I4185/K4185,0.000000001)</f>
        <v>1.67231E-4</v>
      </c>
      <c r="H4185" s="158">
        <f>H3465</f>
        <v>4</v>
      </c>
      <c r="I4185" s="159">
        <f>I4183</f>
        <v>3.261E-3</v>
      </c>
      <c r="J4185" s="160"/>
      <c r="K4185" s="161">
        <f>K4183</f>
        <v>78</v>
      </c>
      <c r="L4185" s="250">
        <v>1</v>
      </c>
      <c r="M4185" s="163" t="str">
        <f>CONCATENATE(H4185," ",F4185,"*",I4185,"/",K4185,"чел.")</f>
        <v>4 автобуса*0,003261/78чел.</v>
      </c>
      <c r="N4185" s="164">
        <f>N3465</f>
        <v>36442.65</v>
      </c>
      <c r="O4185" s="165">
        <f>MROUND(G4185*N4185,0.000001)</f>
        <v>6.094341</v>
      </c>
      <c r="P4185" s="166"/>
      <c r="Q4185" s="166">
        <f t="shared" ref="Q4185" si="1021">O4185*K4185</f>
        <v>475.35859800000003</v>
      </c>
      <c r="R4185" s="71"/>
    </row>
    <row r="4186" spans="1:18" s="62" customFormat="1" x14ac:dyDescent="0.25">
      <c r="A4186" s="358"/>
      <c r="B4186" s="361"/>
      <c r="C4186" s="218" t="s">
        <v>295</v>
      </c>
      <c r="D4186" s="240"/>
      <c r="E4186" s="240"/>
      <c r="F4186" s="240"/>
      <c r="G4186" s="227"/>
      <c r="H4186" s="241"/>
      <c r="I4186" s="206"/>
      <c r="J4186" s="228"/>
      <c r="K4186" s="207"/>
      <c r="L4186" s="257"/>
      <c r="M4186" s="209"/>
      <c r="N4186" s="210"/>
      <c r="O4186" s="198">
        <f>SUM(O4185)</f>
        <v>6.094341</v>
      </c>
      <c r="P4186" s="267"/>
      <c r="Q4186" s="166"/>
      <c r="R4186" s="71"/>
    </row>
    <row r="4187" spans="1:18" s="61" customFormat="1" x14ac:dyDescent="0.25">
      <c r="A4187" s="358"/>
      <c r="B4187" s="361"/>
      <c r="C4187" s="364" t="s">
        <v>80</v>
      </c>
      <c r="D4187" s="156" t="s">
        <v>38</v>
      </c>
      <c r="E4187" s="156" t="s">
        <v>57</v>
      </c>
      <c r="F4187" s="156" t="s">
        <v>228</v>
      </c>
      <c r="G4187" s="238">
        <f>MROUND(H4187*L4187*I4187/K4187,0.0000000001)</f>
        <v>1.8060923100000001E-2</v>
      </c>
      <c r="H4187" s="158">
        <f>H3467</f>
        <v>36</v>
      </c>
      <c r="I4187" s="159">
        <f>I4185</f>
        <v>3.261E-3</v>
      </c>
      <c r="J4187" s="160"/>
      <c r="K4187" s="161">
        <f>K4185</f>
        <v>78</v>
      </c>
      <c r="L4187" s="250">
        <v>12</v>
      </c>
      <c r="M4187" s="163" t="str">
        <f>CONCATENATE(H4187," ",F4187,"*",L4187,"мес.","*",I4187,"/",K4187,"чел.")</f>
        <v>36 зданий*12мес.*0,003261/78чел.</v>
      </c>
      <c r="N4187" s="164">
        <f t="shared" ref="N4187:N4198" si="1022">N3467</f>
        <v>4910.5833101851858</v>
      </c>
      <c r="O4187" s="165">
        <f>MROUND(G4187*N4187,0.000001)</f>
        <v>88.689667999999998</v>
      </c>
      <c r="P4187" s="166"/>
      <c r="Q4187" s="166">
        <f t="shared" ref="Q4187:Q4200" si="1023">O4187*K4187</f>
        <v>6917.7941039999996</v>
      </c>
      <c r="R4187" s="71"/>
    </row>
    <row r="4188" spans="1:18" s="61" customFormat="1" ht="47.25" x14ac:dyDescent="0.25">
      <c r="A4188" s="358"/>
      <c r="B4188" s="361"/>
      <c r="C4188" s="364"/>
      <c r="D4188" s="156" t="s">
        <v>229</v>
      </c>
      <c r="E4188" s="156" t="s">
        <v>60</v>
      </c>
      <c r="F4188" s="156" t="s">
        <v>60</v>
      </c>
      <c r="G4188" s="238">
        <f>MROUND(H4188*L4188*I4188/K4188,0.000001)</f>
        <v>0.100088</v>
      </c>
      <c r="H4188" s="158">
        <f>H3468</f>
        <v>2394</v>
      </c>
      <c r="I4188" s="159">
        <f t="shared" si="1002"/>
        <v>3.261E-3</v>
      </c>
      <c r="J4188" s="160"/>
      <c r="K4188" s="161">
        <f>K4187</f>
        <v>78</v>
      </c>
      <c r="L4188" s="250">
        <v>1</v>
      </c>
      <c r="M4188" s="163" t="str">
        <f t="shared" ref="M4188:M4195" si="1024">CONCATENATE(H4188," ",F4188,"*",I4188,"/",K4188,"чел.")</f>
        <v>2394 шт.*0,003261/78чел.</v>
      </c>
      <c r="N4188" s="164">
        <f t="shared" si="1022"/>
        <v>171.02101921470341</v>
      </c>
      <c r="O4188" s="165">
        <f>MROUND(G4188*N4188,0.000001)</f>
        <v>17.117152000000001</v>
      </c>
      <c r="P4188" s="166"/>
      <c r="Q4188" s="166">
        <f t="shared" si="1023"/>
        <v>1335.1378560000001</v>
      </c>
      <c r="R4188" s="71"/>
    </row>
    <row r="4189" spans="1:18" s="61" customFormat="1" ht="47.25" x14ac:dyDescent="0.25">
      <c r="A4189" s="358"/>
      <c r="B4189" s="361"/>
      <c r="C4189" s="364"/>
      <c r="D4189" s="156" t="s">
        <v>405</v>
      </c>
      <c r="E4189" s="156" t="s">
        <v>60</v>
      </c>
      <c r="F4189" s="156" t="s">
        <v>406</v>
      </c>
      <c r="G4189" s="238">
        <f>MROUND(H4189*L4189*I4189/K4189,0.00000001)</f>
        <v>1.50508E-3</v>
      </c>
      <c r="H4189" s="158">
        <f>H3709</f>
        <v>36</v>
      </c>
      <c r="I4189" s="159">
        <f t="shared" si="1002"/>
        <v>3.261E-3</v>
      </c>
      <c r="J4189" s="160"/>
      <c r="K4189" s="161">
        <f>K4188</f>
        <v>78</v>
      </c>
      <c r="L4189" s="250">
        <v>1</v>
      </c>
      <c r="M4189" s="163" t="str">
        <f t="shared" si="1024"/>
        <v>36 лицензий*0,003261/78чел.</v>
      </c>
      <c r="N4189" s="164">
        <f t="shared" si="1022"/>
        <v>12541.539999999994</v>
      </c>
      <c r="O4189" s="165">
        <f t="shared" ref="O4189:O4198" si="1025">MROUND(G4189*N4189,0.000001)</f>
        <v>18.876020999999998</v>
      </c>
      <c r="P4189" s="166"/>
      <c r="Q4189" s="166">
        <f t="shared" si="1023"/>
        <v>1472.3296379999999</v>
      </c>
      <c r="R4189" s="71"/>
    </row>
    <row r="4190" spans="1:18" s="61" customFormat="1" ht="63" x14ac:dyDescent="0.25">
      <c r="A4190" s="358"/>
      <c r="B4190" s="361"/>
      <c r="C4190" s="364"/>
      <c r="D4190" s="156" t="s">
        <v>39</v>
      </c>
      <c r="E4190" s="156" t="s">
        <v>20</v>
      </c>
      <c r="F4190" s="156" t="s">
        <v>234</v>
      </c>
      <c r="G4190" s="238">
        <f>MROUND(H4190*L4190*I4190/K4190,0.000000001)</f>
        <v>4.933308E-3</v>
      </c>
      <c r="H4190" s="158">
        <f>H3710</f>
        <v>118</v>
      </c>
      <c r="I4190" s="159">
        <f>I4188</f>
        <v>3.261E-3</v>
      </c>
      <c r="J4190" s="160"/>
      <c r="K4190" s="161">
        <f>K4188</f>
        <v>78</v>
      </c>
      <c r="L4190" s="250">
        <v>1</v>
      </c>
      <c r="M4190" s="163" t="str">
        <f t="shared" si="1024"/>
        <v>118 чел(заявленная потребность руководителями учреждений)*0,003261/78чел.</v>
      </c>
      <c r="N4190" s="164">
        <f t="shared" si="1022"/>
        <v>798.09796610169519</v>
      </c>
      <c r="O4190" s="165">
        <f t="shared" si="1025"/>
        <v>3.9372629999999997</v>
      </c>
      <c r="P4190" s="166"/>
      <c r="Q4190" s="166">
        <f t="shared" si="1023"/>
        <v>307.106514</v>
      </c>
      <c r="R4190" s="71"/>
    </row>
    <row r="4191" spans="1:18" s="61" customFormat="1" ht="63" x14ac:dyDescent="0.25">
      <c r="A4191" s="358"/>
      <c r="B4191" s="361"/>
      <c r="C4191" s="364"/>
      <c r="D4191" s="156" t="s">
        <v>40</v>
      </c>
      <c r="E4191" s="156" t="s">
        <v>20</v>
      </c>
      <c r="F4191" s="156" t="s">
        <v>234</v>
      </c>
      <c r="G4191" s="238">
        <f>MROUND(H4191*L4191*I4191/K4191,0.000000001)</f>
        <v>4.0135380000000005E-3</v>
      </c>
      <c r="H4191" s="158">
        <f>H3711</f>
        <v>96</v>
      </c>
      <c r="I4191" s="159">
        <f t="shared" si="1002"/>
        <v>3.261E-3</v>
      </c>
      <c r="J4191" s="160"/>
      <c r="K4191" s="161">
        <f t="shared" ref="K4191:K4198" si="1026">K4190</f>
        <v>78</v>
      </c>
      <c r="L4191" s="250">
        <v>1</v>
      </c>
      <c r="M4191" s="163" t="str">
        <f t="shared" si="1024"/>
        <v>96 чел(заявленная потребность руководителями учреждений)*0,003261/78чел.</v>
      </c>
      <c r="N4191" s="164">
        <f t="shared" si="1022"/>
        <v>1710.2100000000007</v>
      </c>
      <c r="O4191" s="165">
        <f t="shared" si="1025"/>
        <v>6.8639929999999998</v>
      </c>
      <c r="P4191" s="166"/>
      <c r="Q4191" s="166">
        <f t="shared" si="1023"/>
        <v>535.39145399999995</v>
      </c>
      <c r="R4191" s="71"/>
    </row>
    <row r="4192" spans="1:18" s="61" customFormat="1" ht="63" x14ac:dyDescent="0.25">
      <c r="A4192" s="358"/>
      <c r="B4192" s="361"/>
      <c r="C4192" s="364"/>
      <c r="D4192" s="156" t="s">
        <v>100</v>
      </c>
      <c r="E4192" s="156" t="s">
        <v>20</v>
      </c>
      <c r="F4192" s="156" t="s">
        <v>234</v>
      </c>
      <c r="G4192" s="238">
        <f>MROUND(H4192*L4192*I4192/K4192,0.00000000001)</f>
        <v>3.3864230799999996E-3</v>
      </c>
      <c r="H4192" s="158">
        <f>H3712</f>
        <v>81</v>
      </c>
      <c r="I4192" s="159">
        <f t="shared" si="1002"/>
        <v>3.261E-3</v>
      </c>
      <c r="J4192" s="160"/>
      <c r="K4192" s="161">
        <f t="shared" si="1026"/>
        <v>78</v>
      </c>
      <c r="L4192" s="250">
        <v>1</v>
      </c>
      <c r="M4192" s="163" t="str">
        <f t="shared" si="1024"/>
        <v>81 чел(заявленная потребность руководителями учреждений)*0,003261/78чел.</v>
      </c>
      <c r="N4192" s="164">
        <f t="shared" si="1022"/>
        <v>3648.448148148148</v>
      </c>
      <c r="O4192" s="165">
        <f t="shared" si="1025"/>
        <v>12.355188999999999</v>
      </c>
      <c r="P4192" s="166"/>
      <c r="Q4192" s="166">
        <f t="shared" si="1023"/>
        <v>963.7047419999999</v>
      </c>
      <c r="R4192" s="71"/>
    </row>
    <row r="4193" spans="1:18" s="61" customFormat="1" ht="110.25" x14ac:dyDescent="0.25">
      <c r="A4193" s="358"/>
      <c r="B4193" s="361"/>
      <c r="C4193" s="364"/>
      <c r="D4193" s="156" t="s">
        <v>235</v>
      </c>
      <c r="E4193" s="156" t="s">
        <v>50</v>
      </c>
      <c r="F4193" s="156" t="s">
        <v>230</v>
      </c>
      <c r="G4193" s="238">
        <f>MROUND(H4193*L4193*I4193/K4193,0.00000001)</f>
        <v>1.50508E-3</v>
      </c>
      <c r="H4193" s="158">
        <f>H3953</f>
        <v>36</v>
      </c>
      <c r="I4193" s="159">
        <f t="shared" si="1002"/>
        <v>3.261E-3</v>
      </c>
      <c r="J4193" s="160"/>
      <c r="K4193" s="161">
        <f t="shared" si="1026"/>
        <v>78</v>
      </c>
      <c r="L4193" s="250">
        <v>1</v>
      </c>
      <c r="M4193" s="163" t="str">
        <f t="shared" si="1024"/>
        <v>36 отчетов*0,003261/78чел.</v>
      </c>
      <c r="N4193" s="164">
        <f t="shared" si="1022"/>
        <v>6840.8399999999974</v>
      </c>
      <c r="O4193" s="165">
        <f t="shared" si="1025"/>
        <v>10.296011</v>
      </c>
      <c r="P4193" s="166"/>
      <c r="Q4193" s="166">
        <f t="shared" si="1023"/>
        <v>803.08885799999996</v>
      </c>
      <c r="R4193" s="71"/>
    </row>
    <row r="4194" spans="1:18" s="61" customFormat="1" ht="63" x14ac:dyDescent="0.25">
      <c r="A4194" s="358"/>
      <c r="B4194" s="361"/>
      <c r="C4194" s="364"/>
      <c r="D4194" s="156" t="s">
        <v>42</v>
      </c>
      <c r="E4194" s="156" t="s">
        <v>51</v>
      </c>
      <c r="F4194" s="156" t="s">
        <v>407</v>
      </c>
      <c r="G4194" s="238">
        <f>MROUND(H4194*L4194*I4194/K4194,0.000001)</f>
        <v>8.5290000000000001E-3</v>
      </c>
      <c r="H4194" s="158">
        <f>H3714</f>
        <v>204</v>
      </c>
      <c r="I4194" s="159">
        <f t="shared" si="1002"/>
        <v>3.261E-3</v>
      </c>
      <c r="J4194" s="160"/>
      <c r="K4194" s="161">
        <f t="shared" si="1026"/>
        <v>78</v>
      </c>
      <c r="L4194" s="250">
        <v>1</v>
      </c>
      <c r="M4194" s="163" t="str">
        <f t="shared" si="1024"/>
        <v>204 ед (заявленная потребность руководителями учреждений)*0,003261/78чел.</v>
      </c>
      <c r="N4194" s="164">
        <f t="shared" si="1022"/>
        <v>1140.1400000000001</v>
      </c>
      <c r="O4194" s="165">
        <f t="shared" si="1025"/>
        <v>9.7242540000000002</v>
      </c>
      <c r="P4194" s="166"/>
      <c r="Q4194" s="166">
        <f t="shared" si="1023"/>
        <v>758.49181199999998</v>
      </c>
      <c r="R4194" s="71"/>
    </row>
    <row r="4195" spans="1:18" s="61" customFormat="1" ht="31.5" x14ac:dyDescent="0.25">
      <c r="A4195" s="358"/>
      <c r="B4195" s="361"/>
      <c r="C4195" s="364"/>
      <c r="D4195" s="156" t="s">
        <v>43</v>
      </c>
      <c r="E4195" s="156" t="s">
        <v>52</v>
      </c>
      <c r="F4195" s="156" t="s">
        <v>231</v>
      </c>
      <c r="G4195" s="238">
        <f>MROUND(H4195*L4195*I4195/K4195,0.000000001)</f>
        <v>1.5050770000000001E-3</v>
      </c>
      <c r="H4195" s="158">
        <f>H3475</f>
        <v>36</v>
      </c>
      <c r="I4195" s="159">
        <f t="shared" ref="I4195:I4198" si="1027">I4194</f>
        <v>3.261E-3</v>
      </c>
      <c r="J4195" s="160"/>
      <c r="K4195" s="161">
        <f t="shared" si="1026"/>
        <v>78</v>
      </c>
      <c r="L4195" s="250">
        <v>1</v>
      </c>
      <c r="M4195" s="163" t="str">
        <f t="shared" si="1024"/>
        <v>36 ЭЦП*0,003261/78чел.</v>
      </c>
      <c r="N4195" s="164">
        <f t="shared" si="1022"/>
        <v>8099.5499999999947</v>
      </c>
      <c r="O4195" s="165">
        <f t="shared" si="1025"/>
        <v>12.190446</v>
      </c>
      <c r="P4195" s="166"/>
      <c r="Q4195" s="166">
        <f t="shared" si="1023"/>
        <v>950.85478799999999</v>
      </c>
      <c r="R4195" s="71"/>
    </row>
    <row r="4196" spans="1:18" s="61" customFormat="1" ht="47.25" x14ac:dyDescent="0.25">
      <c r="A4196" s="358"/>
      <c r="B4196" s="361"/>
      <c r="C4196" s="364"/>
      <c r="D4196" s="156" t="s">
        <v>44</v>
      </c>
      <c r="E4196" s="156" t="s">
        <v>85</v>
      </c>
      <c r="F4196" s="156" t="s">
        <v>232</v>
      </c>
      <c r="G4196" s="238">
        <f>MROUND(H4196*L4196*I4196/K4196,0.000001)</f>
        <v>5.0837999999999994E-2</v>
      </c>
      <c r="H4196" s="158">
        <f>H3476</f>
        <v>1216</v>
      </c>
      <c r="I4196" s="159">
        <f t="shared" si="1027"/>
        <v>3.261E-3</v>
      </c>
      <c r="J4196" s="160"/>
      <c r="K4196" s="161">
        <f t="shared" si="1026"/>
        <v>78</v>
      </c>
      <c r="L4196" s="250">
        <v>1</v>
      </c>
      <c r="M4196" s="163" t="str">
        <f>CONCATENATE(H4196," ",F4196,"*",L4196,"мес.","*",I4196,"/",K4196,"чел.")</f>
        <v>1216 мед.осмотров в мес.*1мес.*0,003261/78чел.</v>
      </c>
      <c r="N4196" s="164">
        <f t="shared" si="1022"/>
        <v>59.287277960526318</v>
      </c>
      <c r="O4196" s="165">
        <f t="shared" si="1025"/>
        <v>3.0140469999999997</v>
      </c>
      <c r="P4196" s="166"/>
      <c r="Q4196" s="166">
        <f t="shared" si="1023"/>
        <v>235.09566599999997</v>
      </c>
      <c r="R4196" s="71"/>
    </row>
    <row r="4197" spans="1:18" s="61" customFormat="1" ht="63" x14ac:dyDescent="0.25">
      <c r="A4197" s="358"/>
      <c r="B4197" s="361"/>
      <c r="C4197" s="364"/>
      <c r="D4197" s="156" t="s">
        <v>45</v>
      </c>
      <c r="E4197" s="156" t="s">
        <v>53</v>
      </c>
      <c r="F4197" s="156" t="s">
        <v>233</v>
      </c>
      <c r="G4197" s="238">
        <f>MROUND(H4197*L4197*I4197/K4197,0.0000000001)</f>
        <v>2.0067691999999999E-3</v>
      </c>
      <c r="H4197" s="158">
        <f>H3717</f>
        <v>4</v>
      </c>
      <c r="I4197" s="159">
        <f t="shared" si="1027"/>
        <v>3.261E-3</v>
      </c>
      <c r="J4197" s="160"/>
      <c r="K4197" s="161">
        <f t="shared" si="1026"/>
        <v>78</v>
      </c>
      <c r="L4197" s="250">
        <v>12</v>
      </c>
      <c r="M4197" s="163" t="str">
        <f>CONCATENATE(H4197," ",F4197,"*",L4197,"мес.","*",I4197,"/",K4197,"чел.")</f>
        <v>4  машины, оборудованных системой ГЛОНАСС*12мес.*0,003261/78чел.</v>
      </c>
      <c r="N4197" s="164">
        <f t="shared" si="1022"/>
        <v>921.23312500000009</v>
      </c>
      <c r="O4197" s="165">
        <f t="shared" si="1025"/>
        <v>1.8487019999999998</v>
      </c>
      <c r="P4197" s="166"/>
      <c r="Q4197" s="166">
        <f t="shared" si="1023"/>
        <v>144.19875599999997</v>
      </c>
      <c r="R4197" s="71"/>
    </row>
    <row r="4198" spans="1:18" s="61" customFormat="1" ht="31.5" x14ac:dyDescent="0.25">
      <c r="A4198" s="358"/>
      <c r="B4198" s="361"/>
      <c r="C4198" s="364"/>
      <c r="D4198" s="156" t="s">
        <v>408</v>
      </c>
      <c r="E4198" s="156" t="s">
        <v>20</v>
      </c>
      <c r="F4198" s="156" t="s">
        <v>20</v>
      </c>
      <c r="G4198" s="238">
        <f>MROUND(H4198*L4198*I4198/K4198,0.00000001)</f>
        <v>7.0947650000000001E-2</v>
      </c>
      <c r="H4198" s="158">
        <f>H3478</f>
        <v>1697</v>
      </c>
      <c r="I4198" s="159">
        <f t="shared" si="1027"/>
        <v>3.261E-3</v>
      </c>
      <c r="J4198" s="160"/>
      <c r="K4198" s="161">
        <f t="shared" si="1026"/>
        <v>78</v>
      </c>
      <c r="L4198" s="250">
        <v>1</v>
      </c>
      <c r="M4198" s="163" t="str">
        <f>CONCATENATE(H4198," ",F4198,"*",L4198," раз в год","*",I4198,"/",K4198,"чел.")</f>
        <v>1697 чел.*1 раз в год*0,003261/78чел.</v>
      </c>
      <c r="N4198" s="164">
        <f t="shared" si="1022"/>
        <v>570.06999999999994</v>
      </c>
      <c r="O4198" s="165">
        <f t="shared" si="1025"/>
        <v>40.445126999999999</v>
      </c>
      <c r="P4198" s="166"/>
      <c r="Q4198" s="166">
        <f t="shared" si="1023"/>
        <v>3154.7199059999998</v>
      </c>
      <c r="R4198" s="71"/>
    </row>
    <row r="4199" spans="1:18" s="61" customFormat="1" x14ac:dyDescent="0.25">
      <c r="A4199" s="358"/>
      <c r="B4199" s="361"/>
      <c r="C4199" s="364"/>
      <c r="D4199" s="156" t="s">
        <v>373</v>
      </c>
      <c r="E4199" s="156" t="s">
        <v>28</v>
      </c>
      <c r="F4199" s="156" t="s">
        <v>28</v>
      </c>
      <c r="G4199" s="157">
        <f>MROUND(H4199*L4199*I4199/K4199,0.000000001)</f>
        <v>1.5050770000000001E-3</v>
      </c>
      <c r="H4199" s="158">
        <f>H3480</f>
        <v>36</v>
      </c>
      <c r="I4199" s="159">
        <f>I4197</f>
        <v>3.261E-3</v>
      </c>
      <c r="J4199" s="160"/>
      <c r="K4199" s="161">
        <f>K4197</f>
        <v>78</v>
      </c>
      <c r="L4199" s="162">
        <v>1</v>
      </c>
      <c r="M4199" s="163" t="str">
        <f>CONCATENATE(H4199," ",F4199,"*",L4199,"мес.","*",I4199,"/",K4199,"чел.")</f>
        <v>36 шт*1мес.*0,003261/78чел.</v>
      </c>
      <c r="N4199" s="164">
        <f>N3480</f>
        <v>24000</v>
      </c>
      <c r="O4199" s="165">
        <f>MROUND(G4199*N4199,0.000000001)</f>
        <v>36.121848</v>
      </c>
      <c r="P4199" s="166"/>
      <c r="Q4199" s="166">
        <f t="shared" si="1023"/>
        <v>2817.504144</v>
      </c>
      <c r="R4199" s="71"/>
    </row>
    <row r="4200" spans="1:18" s="61" customFormat="1" ht="31.5" x14ac:dyDescent="0.25">
      <c r="A4200" s="358"/>
      <c r="B4200" s="361"/>
      <c r="C4200" s="364"/>
      <c r="D4200" s="156" t="s">
        <v>106</v>
      </c>
      <c r="E4200" s="156" t="s">
        <v>107</v>
      </c>
      <c r="F4200" s="156"/>
      <c r="G4200" s="238">
        <f>MROUND(H4200*L4200*I4200/K4200,0.000000001)</f>
        <v>0</v>
      </c>
      <c r="H4200" s="158">
        <f>H3479</f>
        <v>0</v>
      </c>
      <c r="I4200" s="159">
        <f>I4197</f>
        <v>3.261E-3</v>
      </c>
      <c r="J4200" s="160"/>
      <c r="K4200" s="161">
        <f>K4197</f>
        <v>78</v>
      </c>
      <c r="L4200" s="250">
        <f>L3479</f>
        <v>0</v>
      </c>
      <c r="M4200" s="163"/>
      <c r="N4200" s="164">
        <f>N3479</f>
        <v>6.0000000000000002E-5</v>
      </c>
      <c r="O4200" s="165">
        <f>MROUND(G4200*N4200,0.000000001)</f>
        <v>0</v>
      </c>
      <c r="P4200" s="166"/>
      <c r="Q4200" s="166">
        <f t="shared" si="1023"/>
        <v>0</v>
      </c>
      <c r="R4200" s="71"/>
    </row>
    <row r="4201" spans="1:18" s="62" customFormat="1" x14ac:dyDescent="0.25">
      <c r="A4201" s="358"/>
      <c r="B4201" s="361"/>
      <c r="C4201" s="245" t="s">
        <v>296</v>
      </c>
      <c r="D4201" s="240"/>
      <c r="E4201" s="240"/>
      <c r="F4201" s="240"/>
      <c r="G4201" s="227"/>
      <c r="H4201" s="241"/>
      <c r="I4201" s="206"/>
      <c r="J4201" s="228"/>
      <c r="K4201" s="207"/>
      <c r="L4201" s="257"/>
      <c r="M4201" s="209"/>
      <c r="N4201" s="210"/>
      <c r="O4201" s="198">
        <f>SUM(O4187:O4200)</f>
        <v>261.47972099999998</v>
      </c>
      <c r="P4201" s="267"/>
      <c r="Q4201" s="166"/>
      <c r="R4201" s="71"/>
    </row>
    <row r="4202" spans="1:18" s="61" customFormat="1" ht="31.5" x14ac:dyDescent="0.25">
      <c r="A4202" s="358"/>
      <c r="B4202" s="361"/>
      <c r="C4202" s="252" t="s">
        <v>237</v>
      </c>
      <c r="D4202" s="156" t="s">
        <v>41</v>
      </c>
      <c r="E4202" s="156" t="s">
        <v>61</v>
      </c>
      <c r="F4202" s="156" t="s">
        <v>227</v>
      </c>
      <c r="G4202" s="238">
        <f>MROUND(H4202*L4202*I4202/K4202,0.000000001)</f>
        <v>1.67231E-4</v>
      </c>
      <c r="H4202" s="158">
        <f>H3482</f>
        <v>4</v>
      </c>
      <c r="I4202" s="159">
        <f>I4200</f>
        <v>3.261E-3</v>
      </c>
      <c r="J4202" s="160"/>
      <c r="K4202" s="161">
        <f>K4200</f>
        <v>78</v>
      </c>
      <c r="L4202" s="250">
        <v>1</v>
      </c>
      <c r="M4202" s="163" t="str">
        <f>CONCATENATE(H4202," ",F4202,"*",I4202,"/",K4202,"чел.")</f>
        <v>4 автобуса*0,003261/78чел.</v>
      </c>
      <c r="N4202" s="164">
        <f>N3482</f>
        <v>26907.305</v>
      </c>
      <c r="O4202" s="165">
        <f>MROUND(G4202*N4202,0.000001)</f>
        <v>4.4997359999999995</v>
      </c>
      <c r="P4202" s="166"/>
      <c r="Q4202" s="166">
        <f t="shared" ref="Q4202" si="1028">O4202*K4202</f>
        <v>350.97940799999998</v>
      </c>
      <c r="R4202" s="71"/>
    </row>
    <row r="4203" spans="1:18" s="62" customFormat="1" x14ac:dyDescent="0.25">
      <c r="A4203" s="358"/>
      <c r="B4203" s="361"/>
      <c r="C4203" s="245" t="s">
        <v>297</v>
      </c>
      <c r="D4203" s="240"/>
      <c r="E4203" s="240"/>
      <c r="F4203" s="240"/>
      <c r="G4203" s="227"/>
      <c r="H4203" s="241"/>
      <c r="I4203" s="206"/>
      <c r="J4203" s="228"/>
      <c r="K4203" s="207"/>
      <c r="L4203" s="257"/>
      <c r="M4203" s="209"/>
      <c r="N4203" s="210"/>
      <c r="O4203" s="198">
        <f>SUM(O4202)</f>
        <v>4.4997359999999995</v>
      </c>
      <c r="P4203" s="267"/>
      <c r="Q4203" s="166"/>
      <c r="R4203" s="71"/>
    </row>
    <row r="4204" spans="1:18" s="61" customFormat="1" ht="78.75" x14ac:dyDescent="0.25">
      <c r="A4204" s="358"/>
      <c r="B4204" s="361"/>
      <c r="C4204" s="221" t="s">
        <v>236</v>
      </c>
      <c r="D4204" s="156" t="s">
        <v>19</v>
      </c>
      <c r="E4204" s="181" t="s">
        <v>20</v>
      </c>
      <c r="F4204" s="181" t="s">
        <v>238</v>
      </c>
      <c r="G4204" s="238">
        <f>MROUND(H4204*L4204*I4204/K4204,0.000001)</f>
        <v>0</v>
      </c>
      <c r="H4204" s="158"/>
      <c r="I4204" s="159">
        <f>I4200</f>
        <v>3.261E-3</v>
      </c>
      <c r="J4204" s="160"/>
      <c r="K4204" s="161">
        <f>K4200</f>
        <v>78</v>
      </c>
      <c r="L4204" s="250"/>
      <c r="M4204" s="163"/>
      <c r="N4204" s="164"/>
      <c r="O4204" s="165">
        <f>MROUND(G4204*N4204,0.000001)</f>
        <v>0</v>
      </c>
      <c r="P4204" s="166"/>
      <c r="Q4204" s="166">
        <f t="shared" ref="Q4204" si="1029">O4204*K4204</f>
        <v>0</v>
      </c>
      <c r="R4204" s="71"/>
    </row>
    <row r="4205" spans="1:18" s="62" customFormat="1" x14ac:dyDescent="0.25">
      <c r="A4205" s="358"/>
      <c r="B4205" s="361"/>
      <c r="C4205" s="245" t="s">
        <v>298</v>
      </c>
      <c r="D4205" s="240"/>
      <c r="E4205" s="253"/>
      <c r="F4205" s="253"/>
      <c r="G4205" s="227"/>
      <c r="H4205" s="241"/>
      <c r="I4205" s="206"/>
      <c r="J4205" s="228"/>
      <c r="K4205" s="207"/>
      <c r="L4205" s="257"/>
      <c r="M4205" s="209"/>
      <c r="N4205" s="210"/>
      <c r="O4205" s="198">
        <f>SUM(O4204)</f>
        <v>0</v>
      </c>
      <c r="P4205" s="267"/>
      <c r="Q4205" s="166"/>
      <c r="R4205" s="71"/>
    </row>
    <row r="4206" spans="1:18" s="61" customFormat="1" ht="30" x14ac:dyDescent="0.25">
      <c r="A4206" s="358"/>
      <c r="B4206" s="361"/>
      <c r="C4206" s="365" t="s">
        <v>81</v>
      </c>
      <c r="D4206" s="254" t="s">
        <v>410</v>
      </c>
      <c r="E4206" s="156" t="s">
        <v>28</v>
      </c>
      <c r="F4206" s="156" t="s">
        <v>28</v>
      </c>
      <c r="G4206" s="238">
        <f>MROUND(H4206*L4206*I4206/K4206,0.0000000001)</f>
        <v>0</v>
      </c>
      <c r="H4206" s="158"/>
      <c r="I4206" s="159">
        <f>I4200</f>
        <v>3.261E-3</v>
      </c>
      <c r="J4206" s="160"/>
      <c r="K4206" s="161">
        <f>K4200</f>
        <v>78</v>
      </c>
      <c r="L4206" s="250">
        <v>1</v>
      </c>
      <c r="M4206" s="163"/>
      <c r="N4206" s="164"/>
      <c r="O4206" s="165">
        <f>MROUND(G4206*N4206,0.000001)</f>
        <v>0</v>
      </c>
      <c r="P4206" s="166"/>
      <c r="Q4206" s="166">
        <f t="shared" ref="Q4206:Q4229" si="1030">O4206*K4206</f>
        <v>0</v>
      </c>
      <c r="R4206" s="71"/>
    </row>
    <row r="4207" spans="1:18" s="61" customFormat="1" x14ac:dyDescent="0.25">
      <c r="A4207" s="358"/>
      <c r="B4207" s="361"/>
      <c r="C4207" s="366"/>
      <c r="D4207" s="254" t="s">
        <v>325</v>
      </c>
      <c r="E4207" s="156" t="s">
        <v>28</v>
      </c>
      <c r="F4207" s="156" t="s">
        <v>28</v>
      </c>
      <c r="G4207" s="157">
        <f>MROUND(H4207*L4207*I4207/K4207,0.0000000001)</f>
        <v>0</v>
      </c>
      <c r="H4207" s="158"/>
      <c r="I4207" s="159">
        <f>I4206</f>
        <v>3.261E-3</v>
      </c>
      <c r="J4207" s="160"/>
      <c r="K4207" s="161">
        <f>K4206</f>
        <v>78</v>
      </c>
      <c r="L4207" s="250">
        <v>1</v>
      </c>
      <c r="M4207" s="163"/>
      <c r="N4207" s="164"/>
      <c r="O4207" s="165">
        <f>MROUND(G4207*N4207,0.000001)</f>
        <v>0</v>
      </c>
      <c r="P4207" s="166"/>
      <c r="Q4207" s="166">
        <f t="shared" si="1030"/>
        <v>0</v>
      </c>
      <c r="R4207" s="71"/>
    </row>
    <row r="4208" spans="1:18" s="61" customFormat="1" ht="30" x14ac:dyDescent="0.25">
      <c r="A4208" s="358"/>
      <c r="B4208" s="361"/>
      <c r="C4208" s="366"/>
      <c r="D4208" s="254" t="s">
        <v>411</v>
      </c>
      <c r="E4208" s="156" t="s">
        <v>28</v>
      </c>
      <c r="F4208" s="156" t="s">
        <v>28</v>
      </c>
      <c r="G4208" s="238">
        <f>MROUND(H4208*L4208*I4208/K4208,0.00000001)</f>
        <v>0</v>
      </c>
      <c r="H4208" s="158"/>
      <c r="I4208" s="159">
        <f>I4206</f>
        <v>3.261E-3</v>
      </c>
      <c r="J4208" s="160"/>
      <c r="K4208" s="161">
        <f>K4206</f>
        <v>78</v>
      </c>
      <c r="L4208" s="250">
        <v>1</v>
      </c>
      <c r="M4208" s="163"/>
      <c r="N4208" s="164"/>
      <c r="O4208" s="165">
        <f t="shared" ref="O4208:O4229" si="1031">MROUND(G4208*N4208,0.000001)</f>
        <v>0</v>
      </c>
      <c r="P4208" s="166"/>
      <c r="Q4208" s="166">
        <f t="shared" si="1030"/>
        <v>0</v>
      </c>
      <c r="R4208" s="71"/>
    </row>
    <row r="4209" spans="1:18" s="61" customFormat="1" x14ac:dyDescent="0.25">
      <c r="A4209" s="358"/>
      <c r="B4209" s="361"/>
      <c r="C4209" s="366"/>
      <c r="D4209" s="255" t="s">
        <v>412</v>
      </c>
      <c r="E4209" s="156" t="s">
        <v>28</v>
      </c>
      <c r="F4209" s="156" t="s">
        <v>28</v>
      </c>
      <c r="G4209" s="238">
        <f>MROUND(H4209*L4209*I4209/K4209,0.00000001)</f>
        <v>0</v>
      </c>
      <c r="H4209" s="158"/>
      <c r="I4209" s="159">
        <f>I4208</f>
        <v>3.261E-3</v>
      </c>
      <c r="J4209" s="160"/>
      <c r="K4209" s="161">
        <f>K4208</f>
        <v>78</v>
      </c>
      <c r="L4209" s="250">
        <v>1</v>
      </c>
      <c r="M4209" s="163"/>
      <c r="N4209" s="164"/>
      <c r="O4209" s="165">
        <f t="shared" si="1031"/>
        <v>0</v>
      </c>
      <c r="P4209" s="166"/>
      <c r="Q4209" s="166">
        <f t="shared" si="1030"/>
        <v>0</v>
      </c>
      <c r="R4209" s="71"/>
    </row>
    <row r="4210" spans="1:18" s="61" customFormat="1" ht="31.5" x14ac:dyDescent="0.25">
      <c r="A4210" s="358"/>
      <c r="B4210" s="361"/>
      <c r="C4210" s="366"/>
      <c r="D4210" s="255" t="s">
        <v>413</v>
      </c>
      <c r="E4210" s="156" t="s">
        <v>28</v>
      </c>
      <c r="F4210" s="156" t="s">
        <v>28</v>
      </c>
      <c r="G4210" s="238">
        <f>MROUND(H4210*L4210*I4210/K4210,0.0000000001)</f>
        <v>0</v>
      </c>
      <c r="H4210" s="158"/>
      <c r="I4210" s="159">
        <f>I4209</f>
        <v>3.261E-3</v>
      </c>
      <c r="J4210" s="160"/>
      <c r="K4210" s="161">
        <f>K4209</f>
        <v>78</v>
      </c>
      <c r="L4210" s="250">
        <v>1</v>
      </c>
      <c r="M4210" s="163"/>
      <c r="N4210" s="164"/>
      <c r="O4210" s="165">
        <f t="shared" si="1031"/>
        <v>0</v>
      </c>
      <c r="P4210" s="166"/>
      <c r="Q4210" s="166">
        <f t="shared" si="1030"/>
        <v>0</v>
      </c>
      <c r="R4210" s="71"/>
    </row>
    <row r="4211" spans="1:18" s="61" customFormat="1" x14ac:dyDescent="0.25">
      <c r="A4211" s="358"/>
      <c r="B4211" s="361"/>
      <c r="C4211" s="366"/>
      <c r="D4211" s="254" t="s">
        <v>109</v>
      </c>
      <c r="E4211" s="156" t="s">
        <v>28</v>
      </c>
      <c r="F4211" s="156" t="s">
        <v>28</v>
      </c>
      <c r="G4211" s="238">
        <f>MROUND(H4211*L4211*I4211/K4211,0.0000000001)</f>
        <v>0</v>
      </c>
      <c r="H4211" s="158"/>
      <c r="I4211" s="159">
        <f>I4210</f>
        <v>3.261E-3</v>
      </c>
      <c r="J4211" s="160"/>
      <c r="K4211" s="161">
        <f>K4210</f>
        <v>78</v>
      </c>
      <c r="L4211" s="250">
        <v>1</v>
      </c>
      <c r="M4211" s="163"/>
      <c r="N4211" s="164"/>
      <c r="O4211" s="165">
        <f t="shared" si="1031"/>
        <v>0</v>
      </c>
      <c r="P4211" s="166"/>
      <c r="Q4211" s="166">
        <f t="shared" si="1030"/>
        <v>0</v>
      </c>
      <c r="R4211" s="71"/>
    </row>
    <row r="4212" spans="1:18" s="61" customFormat="1" x14ac:dyDescent="0.25">
      <c r="A4212" s="358"/>
      <c r="B4212" s="361"/>
      <c r="C4212" s="366"/>
      <c r="D4212" s="254" t="s">
        <v>414</v>
      </c>
      <c r="E4212" s="156" t="s">
        <v>28</v>
      </c>
      <c r="F4212" s="156" t="s">
        <v>28</v>
      </c>
      <c r="G4212" s="238">
        <f>MROUND(H4212*L4212*I4212/K4212,0.0000000001)</f>
        <v>0</v>
      </c>
      <c r="H4212" s="158"/>
      <c r="I4212" s="159">
        <f>I4210</f>
        <v>3.261E-3</v>
      </c>
      <c r="J4212" s="160"/>
      <c r="K4212" s="161">
        <f>K4210</f>
        <v>78</v>
      </c>
      <c r="L4212" s="250">
        <v>1</v>
      </c>
      <c r="M4212" s="163"/>
      <c r="N4212" s="164"/>
      <c r="O4212" s="165">
        <f t="shared" si="1031"/>
        <v>0</v>
      </c>
      <c r="P4212" s="166"/>
      <c r="Q4212" s="166">
        <f t="shared" si="1030"/>
        <v>0</v>
      </c>
      <c r="R4212" s="71"/>
    </row>
    <row r="4213" spans="1:18" s="61" customFormat="1" x14ac:dyDescent="0.25">
      <c r="A4213" s="358"/>
      <c r="B4213" s="361"/>
      <c r="C4213" s="366"/>
      <c r="D4213" s="254" t="s">
        <v>415</v>
      </c>
      <c r="E4213" s="156" t="s">
        <v>28</v>
      </c>
      <c r="F4213" s="156" t="s">
        <v>28</v>
      </c>
      <c r="G4213" s="238">
        <f>MROUND(H4213*L4213*I4213/K4213,0.00000001)</f>
        <v>0</v>
      </c>
      <c r="H4213" s="158"/>
      <c r="I4213" s="159">
        <f t="shared" ref="I4213:I4222" si="1032">I4211</f>
        <v>3.261E-3</v>
      </c>
      <c r="J4213" s="160"/>
      <c r="K4213" s="161">
        <f t="shared" ref="K4213:K4222" si="1033">K4211</f>
        <v>78</v>
      </c>
      <c r="L4213" s="250">
        <v>1</v>
      </c>
      <c r="M4213" s="163"/>
      <c r="N4213" s="164"/>
      <c r="O4213" s="165">
        <f t="shared" si="1031"/>
        <v>0</v>
      </c>
      <c r="P4213" s="166"/>
      <c r="Q4213" s="166">
        <f t="shared" si="1030"/>
        <v>0</v>
      </c>
      <c r="R4213" s="71"/>
    </row>
    <row r="4214" spans="1:18" s="61" customFormat="1" x14ac:dyDescent="0.25">
      <c r="A4214" s="358"/>
      <c r="B4214" s="361"/>
      <c r="C4214" s="366"/>
      <c r="D4214" s="254" t="s">
        <v>416</v>
      </c>
      <c r="E4214" s="156" t="s">
        <v>28</v>
      </c>
      <c r="F4214" s="156" t="s">
        <v>28</v>
      </c>
      <c r="G4214" s="238">
        <f>MROUND(H4214*L4214*I4214/K4214,0.000000001)</f>
        <v>0</v>
      </c>
      <c r="H4214" s="246"/>
      <c r="I4214" s="159">
        <f t="shared" si="1032"/>
        <v>3.261E-3</v>
      </c>
      <c r="J4214" s="160"/>
      <c r="K4214" s="161">
        <f t="shared" si="1033"/>
        <v>78</v>
      </c>
      <c r="L4214" s="250">
        <v>1</v>
      </c>
      <c r="M4214" s="163"/>
      <c r="N4214" s="164"/>
      <c r="O4214" s="165">
        <f t="shared" si="1031"/>
        <v>0</v>
      </c>
      <c r="P4214" s="166"/>
      <c r="Q4214" s="166">
        <f t="shared" si="1030"/>
        <v>0</v>
      </c>
      <c r="R4214" s="71"/>
    </row>
    <row r="4215" spans="1:18" s="61" customFormat="1" x14ac:dyDescent="0.25">
      <c r="A4215" s="358"/>
      <c r="B4215" s="361"/>
      <c r="C4215" s="366"/>
      <c r="D4215" s="254" t="s">
        <v>417</v>
      </c>
      <c r="E4215" s="156" t="s">
        <v>28</v>
      </c>
      <c r="F4215" s="156" t="s">
        <v>28</v>
      </c>
      <c r="G4215" s="238">
        <f>MROUND(H4215*L4215*I4215/K4215,0.00000001)</f>
        <v>0</v>
      </c>
      <c r="H4215" s="158"/>
      <c r="I4215" s="159">
        <f t="shared" si="1032"/>
        <v>3.261E-3</v>
      </c>
      <c r="J4215" s="160"/>
      <c r="K4215" s="161">
        <f t="shared" si="1033"/>
        <v>78</v>
      </c>
      <c r="L4215" s="250">
        <v>1</v>
      </c>
      <c r="M4215" s="163"/>
      <c r="N4215" s="164"/>
      <c r="O4215" s="165">
        <f t="shared" si="1031"/>
        <v>0</v>
      </c>
      <c r="P4215" s="166"/>
      <c r="Q4215" s="166">
        <f t="shared" si="1030"/>
        <v>0</v>
      </c>
      <c r="R4215" s="71"/>
    </row>
    <row r="4216" spans="1:18" s="61" customFormat="1" ht="30" x14ac:dyDescent="0.25">
      <c r="A4216" s="358"/>
      <c r="B4216" s="361"/>
      <c r="C4216" s="366"/>
      <c r="D4216" s="254" t="s">
        <v>418</v>
      </c>
      <c r="E4216" s="156" t="s">
        <v>28</v>
      </c>
      <c r="F4216" s="156" t="s">
        <v>28</v>
      </c>
      <c r="G4216" s="238">
        <f>MROUND(H4216*L4216*I4216/K4216,0.00000001)</f>
        <v>0</v>
      </c>
      <c r="H4216" s="158"/>
      <c r="I4216" s="159">
        <f t="shared" si="1032"/>
        <v>3.261E-3</v>
      </c>
      <c r="J4216" s="160"/>
      <c r="K4216" s="161">
        <f t="shared" si="1033"/>
        <v>78</v>
      </c>
      <c r="L4216" s="250">
        <v>1</v>
      </c>
      <c r="M4216" s="163"/>
      <c r="N4216" s="164"/>
      <c r="O4216" s="165">
        <f t="shared" si="1031"/>
        <v>0</v>
      </c>
      <c r="P4216" s="166"/>
      <c r="Q4216" s="166">
        <f t="shared" si="1030"/>
        <v>0</v>
      </c>
      <c r="R4216" s="71"/>
    </row>
    <row r="4217" spans="1:18" s="61" customFormat="1" x14ac:dyDescent="0.25">
      <c r="A4217" s="358"/>
      <c r="B4217" s="361"/>
      <c r="C4217" s="366"/>
      <c r="D4217" s="254" t="s">
        <v>324</v>
      </c>
      <c r="E4217" s="156" t="s">
        <v>28</v>
      </c>
      <c r="F4217" s="156" t="s">
        <v>28</v>
      </c>
      <c r="G4217" s="238">
        <f>MROUND(H4217*L4217*I4217/K4217,0.000000001)</f>
        <v>0</v>
      </c>
      <c r="H4217" s="158"/>
      <c r="I4217" s="159">
        <f t="shared" si="1032"/>
        <v>3.261E-3</v>
      </c>
      <c r="J4217" s="160"/>
      <c r="K4217" s="161">
        <f t="shared" si="1033"/>
        <v>78</v>
      </c>
      <c r="L4217" s="250">
        <v>1</v>
      </c>
      <c r="M4217" s="163"/>
      <c r="N4217" s="164"/>
      <c r="O4217" s="165">
        <f t="shared" si="1031"/>
        <v>0</v>
      </c>
      <c r="P4217" s="166"/>
      <c r="Q4217" s="166">
        <f t="shared" si="1030"/>
        <v>0</v>
      </c>
      <c r="R4217" s="71"/>
    </row>
    <row r="4218" spans="1:18" s="61" customFormat="1" x14ac:dyDescent="0.25">
      <c r="A4218" s="358"/>
      <c r="B4218" s="361"/>
      <c r="C4218" s="366"/>
      <c r="D4218" s="254" t="s">
        <v>419</v>
      </c>
      <c r="E4218" s="156" t="s">
        <v>28</v>
      </c>
      <c r="F4218" s="156" t="s">
        <v>28</v>
      </c>
      <c r="G4218" s="238">
        <f>MROUND(H4218*L4218*I4218/K4218,0.000000001)</f>
        <v>0</v>
      </c>
      <c r="H4218" s="246"/>
      <c r="I4218" s="159">
        <f t="shared" si="1032"/>
        <v>3.261E-3</v>
      </c>
      <c r="J4218" s="160"/>
      <c r="K4218" s="161">
        <f t="shared" si="1033"/>
        <v>78</v>
      </c>
      <c r="L4218" s="250">
        <v>1</v>
      </c>
      <c r="M4218" s="163"/>
      <c r="N4218" s="164"/>
      <c r="O4218" s="165">
        <f t="shared" si="1031"/>
        <v>0</v>
      </c>
      <c r="P4218" s="166"/>
      <c r="Q4218" s="166">
        <f t="shared" si="1030"/>
        <v>0</v>
      </c>
      <c r="R4218" s="71"/>
    </row>
    <row r="4219" spans="1:18" s="61" customFormat="1" x14ac:dyDescent="0.25">
      <c r="A4219" s="358"/>
      <c r="B4219" s="361"/>
      <c r="C4219" s="366"/>
      <c r="D4219" s="254" t="s">
        <v>420</v>
      </c>
      <c r="E4219" s="156" t="s">
        <v>28</v>
      </c>
      <c r="F4219" s="156" t="s">
        <v>28</v>
      </c>
      <c r="G4219" s="238">
        <f>MROUND(H4219*L4219*I4219/K4219,0.000000001)</f>
        <v>0</v>
      </c>
      <c r="H4219" s="158"/>
      <c r="I4219" s="159">
        <f t="shared" si="1032"/>
        <v>3.261E-3</v>
      </c>
      <c r="J4219" s="160"/>
      <c r="K4219" s="161">
        <f t="shared" si="1033"/>
        <v>78</v>
      </c>
      <c r="L4219" s="250">
        <v>1</v>
      </c>
      <c r="M4219" s="163"/>
      <c r="N4219" s="164"/>
      <c r="O4219" s="165">
        <f t="shared" si="1031"/>
        <v>0</v>
      </c>
      <c r="P4219" s="166"/>
      <c r="Q4219" s="166">
        <f t="shared" si="1030"/>
        <v>0</v>
      </c>
      <c r="R4219" s="71"/>
    </row>
    <row r="4220" spans="1:18" s="61" customFormat="1" x14ac:dyDescent="0.25">
      <c r="A4220" s="358"/>
      <c r="B4220" s="361"/>
      <c r="C4220" s="366"/>
      <c r="D4220" s="254" t="s">
        <v>421</v>
      </c>
      <c r="E4220" s="156" t="s">
        <v>28</v>
      </c>
      <c r="F4220" s="156" t="s">
        <v>28</v>
      </c>
      <c r="G4220" s="238">
        <f>MROUND(H4220*L4220*I4220/K4220,0.00000001)</f>
        <v>0</v>
      </c>
      <c r="H4220" s="158"/>
      <c r="I4220" s="159">
        <f t="shared" si="1032"/>
        <v>3.261E-3</v>
      </c>
      <c r="J4220" s="160"/>
      <c r="K4220" s="161">
        <f t="shared" si="1033"/>
        <v>78</v>
      </c>
      <c r="L4220" s="250">
        <v>1</v>
      </c>
      <c r="M4220" s="163"/>
      <c r="N4220" s="164"/>
      <c r="O4220" s="165">
        <f t="shared" si="1031"/>
        <v>0</v>
      </c>
      <c r="P4220" s="166"/>
      <c r="Q4220" s="166">
        <f t="shared" si="1030"/>
        <v>0</v>
      </c>
      <c r="R4220" s="71"/>
    </row>
    <row r="4221" spans="1:18" s="61" customFormat="1" ht="30" x14ac:dyDescent="0.25">
      <c r="A4221" s="358"/>
      <c r="B4221" s="361"/>
      <c r="C4221" s="366"/>
      <c r="D4221" s="254" t="s">
        <v>422</v>
      </c>
      <c r="E4221" s="156" t="s">
        <v>28</v>
      </c>
      <c r="F4221" s="156" t="s">
        <v>28</v>
      </c>
      <c r="G4221" s="266">
        <f>MROUND(H4221*L4221*I4221/K4221,0.00000001)</f>
        <v>0</v>
      </c>
      <c r="H4221" s="158"/>
      <c r="I4221" s="159">
        <f t="shared" si="1032"/>
        <v>3.261E-3</v>
      </c>
      <c r="J4221" s="160"/>
      <c r="K4221" s="161">
        <f t="shared" si="1033"/>
        <v>78</v>
      </c>
      <c r="L4221" s="250">
        <v>1</v>
      </c>
      <c r="M4221" s="163"/>
      <c r="N4221" s="164"/>
      <c r="O4221" s="165">
        <f t="shared" si="1031"/>
        <v>0</v>
      </c>
      <c r="P4221" s="166"/>
      <c r="Q4221" s="166">
        <f t="shared" si="1030"/>
        <v>0</v>
      </c>
      <c r="R4221" s="71"/>
    </row>
    <row r="4222" spans="1:18" s="61" customFormat="1" x14ac:dyDescent="0.25">
      <c r="A4222" s="358"/>
      <c r="B4222" s="361"/>
      <c r="C4222" s="366"/>
      <c r="D4222" s="254" t="s">
        <v>423</v>
      </c>
      <c r="E4222" s="156" t="s">
        <v>28</v>
      </c>
      <c r="F4222" s="156" t="s">
        <v>28</v>
      </c>
      <c r="G4222" s="238">
        <f>MROUND(H4222*L4222*I4222/K4222,0.000000001)</f>
        <v>0</v>
      </c>
      <c r="H4222" s="158"/>
      <c r="I4222" s="159">
        <f t="shared" si="1032"/>
        <v>3.261E-3</v>
      </c>
      <c r="J4222" s="160"/>
      <c r="K4222" s="161">
        <f t="shared" si="1033"/>
        <v>78</v>
      </c>
      <c r="L4222" s="250">
        <v>1</v>
      </c>
      <c r="M4222" s="163"/>
      <c r="N4222" s="164"/>
      <c r="O4222" s="165">
        <f t="shared" si="1031"/>
        <v>0</v>
      </c>
      <c r="P4222" s="166"/>
      <c r="Q4222" s="166">
        <f t="shared" si="1030"/>
        <v>0</v>
      </c>
      <c r="R4222" s="71"/>
    </row>
    <row r="4223" spans="1:18" s="61" customFormat="1" x14ac:dyDescent="0.25">
      <c r="A4223" s="358"/>
      <c r="B4223" s="361"/>
      <c r="C4223" s="366"/>
      <c r="D4223" s="254" t="s">
        <v>424</v>
      </c>
      <c r="E4223" s="156" t="s">
        <v>28</v>
      </c>
      <c r="F4223" s="156" t="s">
        <v>28</v>
      </c>
      <c r="G4223" s="238">
        <f t="shared" ref="G4223:G4229" si="1034">MROUND(H4223*L4223*I4223/K4223,0.00000001)</f>
        <v>0</v>
      </c>
      <c r="H4223" s="158"/>
      <c r="I4223" s="159">
        <f>I4212</f>
        <v>3.261E-3</v>
      </c>
      <c r="J4223" s="160"/>
      <c r="K4223" s="161">
        <f>K4212</f>
        <v>78</v>
      </c>
      <c r="L4223" s="250">
        <v>1</v>
      </c>
      <c r="M4223" s="163"/>
      <c r="N4223" s="164"/>
      <c r="O4223" s="165">
        <f t="shared" si="1031"/>
        <v>0</v>
      </c>
      <c r="P4223" s="166"/>
      <c r="Q4223" s="166">
        <f t="shared" si="1030"/>
        <v>0</v>
      </c>
      <c r="R4223" s="71"/>
    </row>
    <row r="4224" spans="1:18" s="61" customFormat="1" x14ac:dyDescent="0.25">
      <c r="A4224" s="358"/>
      <c r="B4224" s="361"/>
      <c r="C4224" s="366"/>
      <c r="D4224" s="254" t="s">
        <v>425</v>
      </c>
      <c r="E4224" s="156" t="s">
        <v>28</v>
      </c>
      <c r="F4224" s="156" t="s">
        <v>28</v>
      </c>
      <c r="G4224" s="277">
        <f t="shared" si="1034"/>
        <v>0</v>
      </c>
      <c r="H4224" s="158"/>
      <c r="I4224" s="159">
        <f t="shared" ref="I4224:I4229" si="1035">I4223</f>
        <v>3.261E-3</v>
      </c>
      <c r="J4224" s="160"/>
      <c r="K4224" s="161">
        <f t="shared" ref="K4224:K4229" si="1036">K4223</f>
        <v>78</v>
      </c>
      <c r="L4224" s="250">
        <v>1</v>
      </c>
      <c r="M4224" s="163"/>
      <c r="N4224" s="164"/>
      <c r="O4224" s="165">
        <f t="shared" si="1031"/>
        <v>0</v>
      </c>
      <c r="P4224" s="166"/>
      <c r="Q4224" s="166">
        <f t="shared" si="1030"/>
        <v>0</v>
      </c>
      <c r="R4224" s="71"/>
    </row>
    <row r="4225" spans="1:18" s="61" customFormat="1" x14ac:dyDescent="0.25">
      <c r="A4225" s="358"/>
      <c r="B4225" s="361"/>
      <c r="C4225" s="366"/>
      <c r="D4225" s="254" t="s">
        <v>108</v>
      </c>
      <c r="E4225" s="156" t="s">
        <v>28</v>
      </c>
      <c r="F4225" s="156" t="s">
        <v>28</v>
      </c>
      <c r="G4225" s="238">
        <f t="shared" si="1034"/>
        <v>0</v>
      </c>
      <c r="H4225" s="158"/>
      <c r="I4225" s="159">
        <f t="shared" si="1035"/>
        <v>3.261E-3</v>
      </c>
      <c r="J4225" s="160"/>
      <c r="K4225" s="161">
        <f t="shared" si="1036"/>
        <v>78</v>
      </c>
      <c r="L4225" s="250">
        <v>1</v>
      </c>
      <c r="M4225" s="163"/>
      <c r="N4225" s="164"/>
      <c r="O4225" s="165">
        <f t="shared" si="1031"/>
        <v>0</v>
      </c>
      <c r="P4225" s="166"/>
      <c r="Q4225" s="166">
        <f t="shared" si="1030"/>
        <v>0</v>
      </c>
      <c r="R4225" s="71"/>
    </row>
    <row r="4226" spans="1:18" s="61" customFormat="1" x14ac:dyDescent="0.25">
      <c r="A4226" s="358"/>
      <c r="B4226" s="361"/>
      <c r="C4226" s="366"/>
      <c r="D4226" s="254" t="s">
        <v>426</v>
      </c>
      <c r="E4226" s="156" t="s">
        <v>28</v>
      </c>
      <c r="F4226" s="156" t="s">
        <v>28</v>
      </c>
      <c r="G4226" s="238">
        <f t="shared" si="1034"/>
        <v>0</v>
      </c>
      <c r="H4226" s="158"/>
      <c r="I4226" s="159">
        <f t="shared" si="1035"/>
        <v>3.261E-3</v>
      </c>
      <c r="J4226" s="160"/>
      <c r="K4226" s="161">
        <f t="shared" si="1036"/>
        <v>78</v>
      </c>
      <c r="L4226" s="250">
        <v>1</v>
      </c>
      <c r="M4226" s="163"/>
      <c r="N4226" s="164"/>
      <c r="O4226" s="165">
        <f t="shared" si="1031"/>
        <v>0</v>
      </c>
      <c r="P4226" s="166"/>
      <c r="Q4226" s="166">
        <f t="shared" si="1030"/>
        <v>0</v>
      </c>
      <c r="R4226" s="71"/>
    </row>
    <row r="4227" spans="1:18" s="61" customFormat="1" x14ac:dyDescent="0.25">
      <c r="A4227" s="358"/>
      <c r="B4227" s="361"/>
      <c r="C4227" s="366"/>
      <c r="D4227" s="254" t="s">
        <v>427</v>
      </c>
      <c r="E4227" s="156" t="s">
        <v>28</v>
      </c>
      <c r="F4227" s="156" t="s">
        <v>28</v>
      </c>
      <c r="G4227" s="238">
        <f t="shared" si="1034"/>
        <v>0</v>
      </c>
      <c r="H4227" s="158"/>
      <c r="I4227" s="159">
        <f t="shared" si="1035"/>
        <v>3.261E-3</v>
      </c>
      <c r="J4227" s="160"/>
      <c r="K4227" s="161">
        <f t="shared" si="1036"/>
        <v>78</v>
      </c>
      <c r="L4227" s="250">
        <v>1</v>
      </c>
      <c r="M4227" s="163"/>
      <c r="N4227" s="164"/>
      <c r="O4227" s="165">
        <f t="shared" si="1031"/>
        <v>0</v>
      </c>
      <c r="P4227" s="166"/>
      <c r="Q4227" s="166">
        <f t="shared" si="1030"/>
        <v>0</v>
      </c>
      <c r="R4227" s="71"/>
    </row>
    <row r="4228" spans="1:18" s="61" customFormat="1" x14ac:dyDescent="0.25">
      <c r="A4228" s="358"/>
      <c r="B4228" s="361"/>
      <c r="C4228" s="366"/>
      <c r="D4228" s="254" t="s">
        <v>428</v>
      </c>
      <c r="E4228" s="156" t="s">
        <v>28</v>
      </c>
      <c r="F4228" s="156" t="s">
        <v>28</v>
      </c>
      <c r="G4228" s="238">
        <f t="shared" si="1034"/>
        <v>0</v>
      </c>
      <c r="H4228" s="158"/>
      <c r="I4228" s="159">
        <f t="shared" si="1035"/>
        <v>3.261E-3</v>
      </c>
      <c r="J4228" s="160"/>
      <c r="K4228" s="161">
        <f t="shared" si="1036"/>
        <v>78</v>
      </c>
      <c r="L4228" s="250">
        <v>1</v>
      </c>
      <c r="M4228" s="163"/>
      <c r="N4228" s="164"/>
      <c r="O4228" s="165">
        <f t="shared" si="1031"/>
        <v>0</v>
      </c>
      <c r="P4228" s="166"/>
      <c r="Q4228" s="166">
        <f t="shared" si="1030"/>
        <v>0</v>
      </c>
      <c r="R4228" s="71"/>
    </row>
    <row r="4229" spans="1:18" s="61" customFormat="1" x14ac:dyDescent="0.25">
      <c r="A4229" s="358"/>
      <c r="B4229" s="361"/>
      <c r="C4229" s="366"/>
      <c r="D4229" s="255" t="s">
        <v>429</v>
      </c>
      <c r="E4229" s="156" t="s">
        <v>28</v>
      </c>
      <c r="F4229" s="156" t="s">
        <v>28</v>
      </c>
      <c r="G4229" s="238">
        <f t="shared" si="1034"/>
        <v>0</v>
      </c>
      <c r="H4229" s="158"/>
      <c r="I4229" s="159">
        <f t="shared" si="1035"/>
        <v>3.261E-3</v>
      </c>
      <c r="J4229" s="160"/>
      <c r="K4229" s="161">
        <f t="shared" si="1036"/>
        <v>78</v>
      </c>
      <c r="L4229" s="250">
        <v>1</v>
      </c>
      <c r="M4229" s="163"/>
      <c r="N4229" s="164"/>
      <c r="O4229" s="165">
        <f t="shared" si="1031"/>
        <v>0</v>
      </c>
      <c r="P4229" s="166"/>
      <c r="Q4229" s="166">
        <f t="shared" si="1030"/>
        <v>0</v>
      </c>
      <c r="R4229" s="71"/>
    </row>
    <row r="4230" spans="1:18" s="62" customFormat="1" x14ac:dyDescent="0.25">
      <c r="A4230" s="358"/>
      <c r="B4230" s="361"/>
      <c r="C4230" s="249" t="s">
        <v>299</v>
      </c>
      <c r="D4230" s="256"/>
      <c r="E4230" s="240"/>
      <c r="F4230" s="240"/>
      <c r="G4230" s="227"/>
      <c r="H4230" s="241"/>
      <c r="I4230" s="206"/>
      <c r="J4230" s="228"/>
      <c r="K4230" s="207"/>
      <c r="L4230" s="257"/>
      <c r="M4230" s="209"/>
      <c r="N4230" s="210"/>
      <c r="O4230" s="198">
        <f>SUM(O4206:O4229)</f>
        <v>0</v>
      </c>
      <c r="P4230" s="267"/>
      <c r="Q4230" s="166"/>
      <c r="R4230" s="71"/>
    </row>
    <row r="4231" spans="1:18" s="61" customFormat="1" ht="110.25" x14ac:dyDescent="0.25">
      <c r="A4231" s="358"/>
      <c r="B4231" s="361"/>
      <c r="C4231" s="221" t="s">
        <v>82</v>
      </c>
      <c r="D4231" s="156" t="s">
        <v>46</v>
      </c>
      <c r="E4231" s="156" t="s">
        <v>54</v>
      </c>
      <c r="F4231" s="156" t="s">
        <v>285</v>
      </c>
      <c r="G4231" s="238">
        <f>MROUND(H4231*L4231*I4231/K4231,0.000001)</f>
        <v>0.47284499999999996</v>
      </c>
      <c r="H4231" s="242">
        <f>H3511</f>
        <v>1028.181818181818</v>
      </c>
      <c r="I4231" s="159">
        <f>I4229</f>
        <v>3.261E-3</v>
      </c>
      <c r="J4231" s="160"/>
      <c r="K4231" s="161">
        <f>K4229</f>
        <v>78</v>
      </c>
      <c r="L4231" s="225">
        <f>L3871</f>
        <v>11</v>
      </c>
      <c r="M4231" s="163" t="str">
        <f>CONCATENATE(H4231," ",F4231,"*",L4231,"автобуса","*",I4231,"/",K4231,"чел.")</f>
        <v>1028,18181818182 л бензина АИ 92 (12,5л/день(зимой)*20дней*7мес+10л/день(летом)*20дней*4мес)*11автобуса*0,003261/78чел.</v>
      </c>
      <c r="N4231" s="164">
        <f>N3511</f>
        <v>57.007000000000005</v>
      </c>
      <c r="O4231" s="165">
        <f>MROUND(G4231*N4231,0.000001)</f>
        <v>26.955475</v>
      </c>
      <c r="P4231" s="166"/>
      <c r="Q4231" s="166">
        <f t="shared" ref="Q4231" si="1037">O4231*K4231</f>
        <v>2102.5270500000001</v>
      </c>
      <c r="R4231" s="71"/>
    </row>
    <row r="4232" spans="1:18" s="62" customFormat="1" x14ac:dyDescent="0.25">
      <c r="A4232" s="358"/>
      <c r="B4232" s="361"/>
      <c r="C4232" s="218" t="s">
        <v>300</v>
      </c>
      <c r="D4232" s="240"/>
      <c r="E4232" s="240"/>
      <c r="F4232" s="240"/>
      <c r="G4232" s="227"/>
      <c r="H4232" s="241"/>
      <c r="I4232" s="206"/>
      <c r="J4232" s="228"/>
      <c r="K4232" s="207"/>
      <c r="L4232" s="257"/>
      <c r="M4232" s="209"/>
      <c r="N4232" s="210"/>
      <c r="O4232" s="198">
        <f>SUM(O4231)</f>
        <v>26.955475</v>
      </c>
      <c r="P4232" s="267"/>
      <c r="Q4232" s="166"/>
      <c r="R4232" s="71"/>
    </row>
    <row r="4233" spans="1:18" s="61" customFormat="1" ht="47.25" x14ac:dyDescent="0.25">
      <c r="A4233" s="358"/>
      <c r="B4233" s="361"/>
      <c r="C4233" s="221" t="s">
        <v>434</v>
      </c>
      <c r="D4233" s="156" t="s">
        <v>436</v>
      </c>
      <c r="E4233" s="156" t="s">
        <v>28</v>
      </c>
      <c r="F4233" s="156" t="s">
        <v>437</v>
      </c>
      <c r="G4233" s="157">
        <f>MROUND(H4233*L4233*I4233/K4233,0.000001)</f>
        <v>1.2123999999999999E-2</v>
      </c>
      <c r="H4233" s="242">
        <f>$H$125</f>
        <v>290</v>
      </c>
      <c r="I4233" s="159">
        <f>I4231</f>
        <v>3.261E-3</v>
      </c>
      <c r="J4233" s="160"/>
      <c r="K4233" s="161">
        <f>K4231</f>
        <v>78</v>
      </c>
      <c r="L4233" s="162">
        <v>1</v>
      </c>
      <c r="M4233" s="163" t="str">
        <f>CONCATENATE(H4233," ",F4233,"*",L4233,"автобуса","*",I4233,"/",K4233,"чел.")</f>
        <v>290 огнетушителей (потребность учреждений) *1автобуса*0,003261/78чел.</v>
      </c>
      <c r="N4233" s="164">
        <f>$N$125</f>
        <v>2000</v>
      </c>
      <c r="O4233" s="165">
        <f>MROUND(G4233*N4233,0.000001)</f>
        <v>24.247999999999998</v>
      </c>
      <c r="P4233" s="166"/>
      <c r="Q4233" s="166">
        <f t="shared" ref="Q4233" si="1038">O4233*K4233</f>
        <v>1891.3439999999998</v>
      </c>
      <c r="R4233" s="71"/>
    </row>
    <row r="4234" spans="1:18" s="61" customFormat="1" x14ac:dyDescent="0.25">
      <c r="A4234" s="358"/>
      <c r="B4234" s="361"/>
      <c r="C4234" s="218" t="s">
        <v>435</v>
      </c>
      <c r="D4234" s="240"/>
      <c r="E4234" s="240"/>
      <c r="F4234" s="240"/>
      <c r="G4234" s="251"/>
      <c r="H4234" s="241"/>
      <c r="I4234" s="206"/>
      <c r="J4234" s="228"/>
      <c r="K4234" s="207"/>
      <c r="L4234" s="229"/>
      <c r="M4234" s="209"/>
      <c r="N4234" s="210"/>
      <c r="O4234" s="198">
        <f>SUM(O4233)</f>
        <v>24.247999999999998</v>
      </c>
      <c r="P4234" s="166"/>
      <c r="Q4234" s="166"/>
      <c r="R4234" s="71"/>
    </row>
    <row r="4235" spans="1:18" s="61" customFormat="1" ht="47.25" x14ac:dyDescent="0.25">
      <c r="A4235" s="358"/>
      <c r="B4235" s="361"/>
      <c r="C4235" s="364" t="s">
        <v>118</v>
      </c>
      <c r="D4235" s="156" t="s">
        <v>47</v>
      </c>
      <c r="E4235" s="156" t="s">
        <v>28</v>
      </c>
      <c r="F4235" s="156" t="s">
        <v>239</v>
      </c>
      <c r="G4235" s="238">
        <f>MROUND(H4235*L4235*I4235/K4235,0.00000001)</f>
        <v>6.0203100000000001E-3</v>
      </c>
      <c r="H4235" s="158">
        <f>H3515</f>
        <v>144</v>
      </c>
      <c r="I4235" s="159">
        <f>I4231</f>
        <v>3.261E-3</v>
      </c>
      <c r="J4235" s="160"/>
      <c r="K4235" s="161">
        <f>K4231</f>
        <v>78</v>
      </c>
      <c r="L4235" s="250">
        <v>1</v>
      </c>
      <c r="M4235" s="163" t="str">
        <f>CONCATENATE(H4235," ",F4235,"*",I4235,"/",K4235,"чел.")</f>
        <v>144 манометров (потребность учреждений) *0,003261/78чел.</v>
      </c>
      <c r="N4235" s="164">
        <f>N3515</f>
        <v>720.50416666666672</v>
      </c>
      <c r="O4235" s="165">
        <f>MROUND(G4235*N4235,0.000001)</f>
        <v>4.3376580000000002</v>
      </c>
      <c r="P4235" s="166"/>
      <c r="Q4235" s="166">
        <f t="shared" ref="Q4235:Q4236" si="1039">O4235*K4235</f>
        <v>338.33732400000002</v>
      </c>
      <c r="R4235" s="71"/>
    </row>
    <row r="4236" spans="1:18" s="61" customFormat="1" ht="47.25" x14ac:dyDescent="0.25">
      <c r="A4236" s="358"/>
      <c r="B4236" s="361"/>
      <c r="C4236" s="364"/>
      <c r="D4236" s="255" t="s">
        <v>113</v>
      </c>
      <c r="E4236" s="156" t="s">
        <v>28</v>
      </c>
      <c r="F4236" s="156" t="s">
        <v>240</v>
      </c>
      <c r="G4236" s="238">
        <f>MROUND(H4236*L4236*I4236/K4236,0.00000001)</f>
        <v>0.23893096</v>
      </c>
      <c r="H4236" s="158">
        <f>H3516</f>
        <v>5715</v>
      </c>
      <c r="I4236" s="159">
        <f>I4235</f>
        <v>3.261E-3</v>
      </c>
      <c r="J4236" s="160"/>
      <c r="K4236" s="161">
        <f>K4235</f>
        <v>78</v>
      </c>
      <c r="L4236" s="250">
        <v>1</v>
      </c>
      <c r="M4236" s="163" t="str">
        <f>CONCATENATE(H4236," ",F4236,"*",I4236,"/",K4236,"чел.")</f>
        <v>5715 светильников (потребность учреждений)*0,003261/78чел.</v>
      </c>
      <c r="N4236" s="164">
        <f>N3516</f>
        <v>111.16365879265086</v>
      </c>
      <c r="O4236" s="165">
        <f>MROUND(G4236*N4236,0.000001)</f>
        <v>26.56044</v>
      </c>
      <c r="P4236" s="166"/>
      <c r="Q4236" s="166">
        <f t="shared" si="1039"/>
        <v>2071.71432</v>
      </c>
      <c r="R4236" s="71"/>
    </row>
    <row r="4237" spans="1:18" s="62" customFormat="1" x14ac:dyDescent="0.25">
      <c r="A4237" s="359"/>
      <c r="B4237" s="362"/>
      <c r="C4237" s="218" t="s">
        <v>301</v>
      </c>
      <c r="D4237" s="256"/>
      <c r="E4237" s="240"/>
      <c r="F4237" s="240"/>
      <c r="G4237" s="227"/>
      <c r="H4237" s="241"/>
      <c r="I4237" s="206"/>
      <c r="J4237" s="228"/>
      <c r="K4237" s="207"/>
      <c r="L4237" s="257"/>
      <c r="M4237" s="209"/>
      <c r="N4237" s="210"/>
      <c r="O4237" s="198">
        <f>SUM(O4235:O4236)</f>
        <v>30.898098000000001</v>
      </c>
      <c r="P4237" s="267"/>
      <c r="Q4237" s="166"/>
      <c r="R4237" s="71"/>
    </row>
    <row r="4238" spans="1:18" s="61" customFormat="1" x14ac:dyDescent="0.25">
      <c r="A4238" s="357" t="str">
        <f>CONCATENATE(школы!$B$13,", ",школы!$C$13,", ",школы!$D$13)</f>
        <v>Реализация основных общеобразовательных программ основного общего образования, адаптированная образовательная программа, обучающиеся с ограниченными возможностями здоровья (ОВЗ)</v>
      </c>
      <c r="B4238" s="360" t="str">
        <f>школы!$A$13</f>
        <v>802111О.99.0.БА96АА00001</v>
      </c>
      <c r="C4238" s="194"/>
      <c r="D4238" s="363" t="s">
        <v>15</v>
      </c>
      <c r="E4238" s="363"/>
      <c r="F4238" s="363"/>
      <c r="G4238" s="363"/>
      <c r="H4238" s="195"/>
      <c r="I4238" s="195"/>
      <c r="J4238" s="195"/>
      <c r="K4238" s="195"/>
      <c r="L4238" s="196"/>
      <c r="M4238" s="197"/>
      <c r="N4238" s="164"/>
      <c r="O4238" s="198">
        <f>O4239+O4244+O4246</f>
        <v>7757.2689514180001</v>
      </c>
      <c r="P4238" s="166"/>
      <c r="Q4238" s="166"/>
      <c r="R4238" s="71"/>
    </row>
    <row r="4239" spans="1:18" s="61" customFormat="1" x14ac:dyDescent="0.25">
      <c r="A4239" s="358"/>
      <c r="B4239" s="361"/>
      <c r="C4239" s="194"/>
      <c r="D4239" s="350" t="s">
        <v>62</v>
      </c>
      <c r="E4239" s="350"/>
      <c r="F4239" s="350"/>
      <c r="G4239" s="350"/>
      <c r="H4239" s="195"/>
      <c r="I4239" s="195"/>
      <c r="J4239" s="195"/>
      <c r="K4239" s="195"/>
      <c r="L4239" s="196"/>
      <c r="M4239" s="197"/>
      <c r="N4239" s="164"/>
      <c r="O4239" s="165">
        <f>O4241+O4243</f>
        <v>7757.2689514180001</v>
      </c>
      <c r="P4239" s="166"/>
      <c r="Q4239" s="166"/>
      <c r="R4239" s="71"/>
    </row>
    <row r="4240" spans="1:18" s="61" customFormat="1" x14ac:dyDescent="0.25">
      <c r="A4240" s="358"/>
      <c r="B4240" s="361"/>
      <c r="C4240" s="194">
        <v>211</v>
      </c>
      <c r="D4240" s="194" t="s">
        <v>86</v>
      </c>
      <c r="E4240" s="199" t="s">
        <v>95</v>
      </c>
      <c r="F4240" s="199" t="s">
        <v>95</v>
      </c>
      <c r="G4240" s="275">
        <f>MROUND(H4240*L4240*I4240/K4240,0.0000000001)</f>
        <v>0.46244483480000004</v>
      </c>
      <c r="H4240" s="201">
        <f>H3400</f>
        <v>921.8</v>
      </c>
      <c r="I4240" s="159">
        <f>школы!$K$13</f>
        <v>2.1153999999999999E-2</v>
      </c>
      <c r="J4240" s="159"/>
      <c r="K4240" s="161">
        <f>школы!$G$13</f>
        <v>506</v>
      </c>
      <c r="L4240" s="202">
        <v>12</v>
      </c>
      <c r="M4240" s="163" t="str">
        <f>CONCATENATE(H4240," ",F4240," ","в мес.","*",L4240,"мес.","*",I4240,"/",K4240,"чел.")</f>
        <v>921,8 шт.ед в мес.*12мес.*0,021154/506чел.</v>
      </c>
      <c r="N4240" s="164">
        <f>N3400</f>
        <v>12883.620739314385</v>
      </c>
      <c r="O4240" s="165">
        <f>MROUND(G4240*N4240,0.000000001)</f>
        <v>5957.9638644180004</v>
      </c>
      <c r="P4240" s="166"/>
      <c r="Q4240" s="166">
        <f t="shared" ref="Q4240" si="1040">O4240*K4240</f>
        <v>3014729.7153955083</v>
      </c>
      <c r="R4240" s="71"/>
    </row>
    <row r="4241" spans="1:18" s="62" customFormat="1" x14ac:dyDescent="0.25">
      <c r="A4241" s="358"/>
      <c r="B4241" s="361"/>
      <c r="C4241" s="203" t="s">
        <v>288</v>
      </c>
      <c r="D4241" s="203"/>
      <c r="E4241" s="204"/>
      <c r="F4241" s="204"/>
      <c r="G4241" s="205"/>
      <c r="H4241" s="206"/>
      <c r="I4241" s="206"/>
      <c r="J4241" s="206"/>
      <c r="K4241" s="207"/>
      <c r="L4241" s="208"/>
      <c r="M4241" s="209"/>
      <c r="N4241" s="210">
        <f>N4240</f>
        <v>12883.620739314385</v>
      </c>
      <c r="O4241" s="198">
        <f>O4240</f>
        <v>5957.9638644180004</v>
      </c>
      <c r="P4241" s="267"/>
      <c r="Q4241" s="166"/>
      <c r="R4241" s="71"/>
    </row>
    <row r="4242" spans="1:18" s="61" customFormat="1" x14ac:dyDescent="0.25">
      <c r="A4242" s="358"/>
      <c r="B4242" s="361"/>
      <c r="C4242" s="194">
        <v>213</v>
      </c>
      <c r="D4242" s="194" t="s">
        <v>87</v>
      </c>
      <c r="E4242" s="194" t="s">
        <v>88</v>
      </c>
      <c r="F4242" s="194"/>
      <c r="G4242" s="211">
        <v>30.2</v>
      </c>
      <c r="H4242" s="159"/>
      <c r="I4242" s="159"/>
      <c r="J4242" s="159"/>
      <c r="K4242" s="161">
        <f>K4240</f>
        <v>506</v>
      </c>
      <c r="L4242" s="202"/>
      <c r="M4242" s="212"/>
      <c r="N4242" s="164"/>
      <c r="O4242" s="165">
        <f>MROUND(O4240*0.302,0.000001)</f>
        <v>1799.305087</v>
      </c>
      <c r="P4242" s="166"/>
      <c r="Q4242" s="166">
        <f>O4242*K4242</f>
        <v>910448.374022</v>
      </c>
      <c r="R4242" s="71"/>
    </row>
    <row r="4243" spans="1:18" s="62" customFormat="1" x14ac:dyDescent="0.25">
      <c r="A4243" s="358"/>
      <c r="B4243" s="361"/>
      <c r="C4243" s="203" t="s">
        <v>289</v>
      </c>
      <c r="D4243" s="203"/>
      <c r="E4243" s="203"/>
      <c r="F4243" s="203"/>
      <c r="G4243" s="213"/>
      <c r="H4243" s="214"/>
      <c r="I4243" s="206"/>
      <c r="J4243" s="214"/>
      <c r="K4243" s="207"/>
      <c r="L4243" s="215"/>
      <c r="M4243" s="216"/>
      <c r="N4243" s="210"/>
      <c r="O4243" s="198">
        <f>O4242</f>
        <v>1799.305087</v>
      </c>
      <c r="P4243" s="267"/>
      <c r="Q4243" s="166"/>
      <c r="R4243" s="71"/>
    </row>
    <row r="4244" spans="1:18" s="61" customFormat="1" x14ac:dyDescent="0.25">
      <c r="A4244" s="358"/>
      <c r="B4244" s="361"/>
      <c r="C4244" s="194"/>
      <c r="D4244" s="356" t="s">
        <v>63</v>
      </c>
      <c r="E4244" s="356"/>
      <c r="F4244" s="356"/>
      <c r="G4244" s="356"/>
      <c r="H4244" s="195"/>
      <c r="I4244" s="159"/>
      <c r="J4244" s="195"/>
      <c r="K4244" s="161"/>
      <c r="L4244" s="196"/>
      <c r="M4244" s="197"/>
      <c r="N4244" s="164"/>
      <c r="O4244" s="165"/>
      <c r="P4244" s="166"/>
      <c r="Q4244" s="166"/>
      <c r="R4244" s="71"/>
    </row>
    <row r="4245" spans="1:18" s="61" customFormat="1" x14ac:dyDescent="0.25">
      <c r="A4245" s="358"/>
      <c r="B4245" s="361"/>
      <c r="C4245" s="194"/>
      <c r="D4245" s="194"/>
      <c r="E4245" s="194"/>
      <c r="F4245" s="194"/>
      <c r="G4245" s="217"/>
      <c r="H4245" s="195"/>
      <c r="I4245" s="159"/>
      <c r="J4245" s="195"/>
      <c r="K4245" s="161"/>
      <c r="L4245" s="196"/>
      <c r="M4245" s="197"/>
      <c r="N4245" s="164"/>
      <c r="O4245" s="165"/>
      <c r="P4245" s="166"/>
      <c r="Q4245" s="166"/>
      <c r="R4245" s="71"/>
    </row>
    <row r="4246" spans="1:18" s="61" customFormat="1" x14ac:dyDescent="0.25">
      <c r="A4246" s="358"/>
      <c r="B4246" s="361"/>
      <c r="C4246" s="194"/>
      <c r="D4246" s="350" t="s">
        <v>64</v>
      </c>
      <c r="E4246" s="350"/>
      <c r="F4246" s="350"/>
      <c r="G4246" s="350"/>
      <c r="H4246" s="195"/>
      <c r="I4246" s="159"/>
      <c r="J4246" s="195"/>
      <c r="K4246" s="161"/>
      <c r="L4246" s="196"/>
      <c r="M4246" s="197"/>
      <c r="N4246" s="164"/>
      <c r="O4246" s="165"/>
      <c r="P4246" s="166"/>
      <c r="Q4246" s="166"/>
      <c r="R4246" s="71"/>
    </row>
    <row r="4247" spans="1:18" s="61" customFormat="1" x14ac:dyDescent="0.25">
      <c r="A4247" s="358"/>
      <c r="B4247" s="361"/>
      <c r="C4247" s="194"/>
      <c r="D4247" s="194"/>
      <c r="E4247" s="194"/>
      <c r="F4247" s="194"/>
      <c r="G4247" s="217"/>
      <c r="H4247" s="195"/>
      <c r="I4247" s="159"/>
      <c r="J4247" s="195"/>
      <c r="K4247" s="161"/>
      <c r="L4247" s="196"/>
      <c r="M4247" s="197"/>
      <c r="N4247" s="164"/>
      <c r="O4247" s="165"/>
      <c r="P4247" s="166"/>
      <c r="Q4247" s="166"/>
      <c r="R4247" s="71"/>
    </row>
    <row r="4248" spans="1:18" s="61" customFormat="1" x14ac:dyDescent="0.25">
      <c r="A4248" s="358"/>
      <c r="B4248" s="361"/>
      <c r="C4248" s="194"/>
      <c r="D4248" s="355" t="s">
        <v>5</v>
      </c>
      <c r="E4248" s="355"/>
      <c r="F4248" s="355"/>
      <c r="G4248" s="355"/>
      <c r="H4248" s="195"/>
      <c r="I4248" s="159"/>
      <c r="J4248" s="195"/>
      <c r="K4248" s="161"/>
      <c r="L4248" s="196"/>
      <c r="M4248" s="197"/>
      <c r="N4248" s="164"/>
      <c r="O4248" s="198">
        <f>O4249+O4259+O4270+O4272+O4274+O4276+O4278</f>
        <v>16469.976701174379</v>
      </c>
      <c r="P4248" s="166"/>
      <c r="Q4248" s="166"/>
      <c r="R4248" s="71"/>
    </row>
    <row r="4249" spans="1:18" s="61" customFormat="1" x14ac:dyDescent="0.25">
      <c r="A4249" s="358"/>
      <c r="B4249" s="361"/>
      <c r="C4249" s="221" t="s">
        <v>70</v>
      </c>
      <c r="D4249" s="355" t="s">
        <v>6</v>
      </c>
      <c r="E4249" s="355"/>
      <c r="F4249" s="355"/>
      <c r="G4249" s="355"/>
      <c r="H4249" s="189"/>
      <c r="I4249" s="159"/>
      <c r="J4249" s="189"/>
      <c r="K4249" s="161"/>
      <c r="L4249" s="190"/>
      <c r="M4249" s="197"/>
      <c r="N4249" s="210"/>
      <c r="O4249" s="198">
        <f>O4258</f>
        <v>7565.1908190099994</v>
      </c>
      <c r="P4249" s="166"/>
      <c r="Q4249" s="166"/>
      <c r="R4249" s="71"/>
    </row>
    <row r="4250" spans="1:18" s="61" customFormat="1" ht="31.5" x14ac:dyDescent="0.25">
      <c r="A4250" s="358"/>
      <c r="B4250" s="361"/>
      <c r="C4250" s="221" t="s">
        <v>72</v>
      </c>
      <c r="D4250" s="222" t="s">
        <v>7</v>
      </c>
      <c r="E4250" s="223" t="s">
        <v>8</v>
      </c>
      <c r="F4250" s="223" t="s">
        <v>8</v>
      </c>
      <c r="G4250" s="238">
        <f>MROUND(H4250*L4250*I4250/K4250,0.00000000001)</f>
        <v>138.50942817146</v>
      </c>
      <c r="H4250" s="160">
        <f>H3530</f>
        <v>3313121.4264326878</v>
      </c>
      <c r="I4250" s="159">
        <f>I4240</f>
        <v>2.1153999999999999E-2</v>
      </c>
      <c r="J4250" s="160"/>
      <c r="K4250" s="161">
        <f>K4240</f>
        <v>506</v>
      </c>
      <c r="L4250" s="250">
        <v>1</v>
      </c>
      <c r="M4250" s="163" t="str">
        <f t="shared" ref="M4250:M4255" si="1041">CONCATENATE(H4250," ",F4250,"(лимиты выделенные УЖКХ) ","*",I4250,"/",K4250,"чел.")</f>
        <v>3313121,42643269 кВт час.(лимиты выделенные УЖКХ) *0,021154/506чел.</v>
      </c>
      <c r="N4250" s="164">
        <f>N3530</f>
        <v>10.897694685122204</v>
      </c>
      <c r="O4250" s="165">
        <f t="shared" ref="O4250:O4253" si="1042">MROUND(G4250*N4250,0.000001)</f>
        <v>1509.4334589999999</v>
      </c>
      <c r="P4250" s="166"/>
      <c r="Q4250" s="166">
        <f t="shared" ref="Q4250:Q4257" si="1043">O4250*K4250</f>
        <v>763773.33025399991</v>
      </c>
      <c r="R4250" s="71"/>
    </row>
    <row r="4251" spans="1:18" s="61" customFormat="1" ht="31.5" x14ac:dyDescent="0.25">
      <c r="A4251" s="358"/>
      <c r="B4251" s="361"/>
      <c r="C4251" s="221" t="s">
        <v>73</v>
      </c>
      <c r="D4251" s="222" t="s">
        <v>9</v>
      </c>
      <c r="E4251" s="223" t="s">
        <v>10</v>
      </c>
      <c r="F4251" s="223" t="s">
        <v>10</v>
      </c>
      <c r="G4251" s="238">
        <f>MROUND(H4251*L4251*I4251/K4251,0.00000000001)</f>
        <v>1.33351262462</v>
      </c>
      <c r="H4251" s="160">
        <f t="shared" ref="H4251:H4256" si="1044">H3411</f>
        <v>31897.39</v>
      </c>
      <c r="I4251" s="159">
        <f t="shared" ref="I4251:I4303" si="1045">I4250</f>
        <v>2.1153999999999999E-2</v>
      </c>
      <c r="J4251" s="160"/>
      <c r="K4251" s="161">
        <f t="shared" ref="K4251:K4257" si="1046">K4250</f>
        <v>506</v>
      </c>
      <c r="L4251" s="250">
        <v>1</v>
      </c>
      <c r="M4251" s="163" t="str">
        <f t="shared" si="1041"/>
        <v>31897,39 Гкал(лимиты выделенные УЖКХ) *0,021154/506чел.</v>
      </c>
      <c r="N4251" s="164">
        <f t="shared" ref="N4251:N4256" si="1047">N3411</f>
        <v>2976.2517908205036</v>
      </c>
      <c r="O4251" s="165">
        <f t="shared" si="1042"/>
        <v>3968.8693369999996</v>
      </c>
      <c r="P4251" s="166"/>
      <c r="Q4251" s="166">
        <f t="shared" si="1043"/>
        <v>2008247.8845219999</v>
      </c>
      <c r="R4251" s="71"/>
    </row>
    <row r="4252" spans="1:18" s="61" customFormat="1" ht="31.5" x14ac:dyDescent="0.25">
      <c r="A4252" s="358"/>
      <c r="B4252" s="361"/>
      <c r="C4252" s="364" t="s">
        <v>74</v>
      </c>
      <c r="D4252" s="222" t="s">
        <v>12</v>
      </c>
      <c r="E4252" s="222" t="s">
        <v>11</v>
      </c>
      <c r="F4252" s="222" t="s">
        <v>11</v>
      </c>
      <c r="G4252" s="238">
        <f>MROUND(H4252*L4252*I4252/K4252,0.00000000001)</f>
        <v>7.7226803284199992</v>
      </c>
      <c r="H4252" s="224">
        <f t="shared" si="1044"/>
        <v>184725.17</v>
      </c>
      <c r="I4252" s="159">
        <f t="shared" si="1045"/>
        <v>2.1153999999999999E-2</v>
      </c>
      <c r="J4252" s="160"/>
      <c r="K4252" s="161">
        <f t="shared" si="1046"/>
        <v>506</v>
      </c>
      <c r="L4252" s="250">
        <v>1</v>
      </c>
      <c r="M4252" s="163" t="str">
        <f t="shared" si="1041"/>
        <v>184725,17 м3(лимиты выделенные УЖКХ) *0,021154/506чел.</v>
      </c>
      <c r="N4252" s="164">
        <f t="shared" si="1047"/>
        <v>54.214180016724306</v>
      </c>
      <c r="O4252" s="165">
        <f t="shared" si="1042"/>
        <v>418.67878199999996</v>
      </c>
      <c r="P4252" s="166"/>
      <c r="Q4252" s="166">
        <f t="shared" si="1043"/>
        <v>211851.46369199999</v>
      </c>
      <c r="R4252" s="71"/>
    </row>
    <row r="4253" spans="1:18" s="61" customFormat="1" ht="47.25" x14ac:dyDescent="0.25">
      <c r="A4253" s="358"/>
      <c r="B4253" s="361"/>
      <c r="C4253" s="364"/>
      <c r="D4253" s="222" t="s">
        <v>17</v>
      </c>
      <c r="E4253" s="222" t="s">
        <v>11</v>
      </c>
      <c r="F4253" s="222" t="s">
        <v>11</v>
      </c>
      <c r="G4253" s="238">
        <f>MROUND(H4253*L4253*I4253/K4253,0.00000000001)</f>
        <v>7.7226803284199992</v>
      </c>
      <c r="H4253" s="160">
        <f t="shared" si="1044"/>
        <v>184725.17</v>
      </c>
      <c r="I4253" s="159">
        <f t="shared" si="1045"/>
        <v>2.1153999999999999E-2</v>
      </c>
      <c r="J4253" s="160"/>
      <c r="K4253" s="161">
        <f t="shared" si="1046"/>
        <v>506</v>
      </c>
      <c r="L4253" s="162">
        <f>$L$25</f>
        <v>1</v>
      </c>
      <c r="M4253" s="163" t="str">
        <f t="shared" si="1041"/>
        <v>184725,17 м3(лимиты выделенные УЖКХ) *0,021154/506чел.</v>
      </c>
      <c r="N4253" s="164">
        <f t="shared" si="1047"/>
        <v>82.384170780821918</v>
      </c>
      <c r="O4253" s="165">
        <f t="shared" si="1042"/>
        <v>636.22661499999992</v>
      </c>
      <c r="P4253" s="166"/>
      <c r="Q4253" s="166">
        <f t="shared" si="1043"/>
        <v>321930.66718999995</v>
      </c>
      <c r="R4253" s="71"/>
    </row>
    <row r="4254" spans="1:18" s="61" customFormat="1" ht="31.5" x14ac:dyDescent="0.25">
      <c r="A4254" s="358"/>
      <c r="B4254" s="361"/>
      <c r="C4254" s="364"/>
      <c r="D4254" s="222" t="s">
        <v>13</v>
      </c>
      <c r="E4254" s="222" t="s">
        <v>11</v>
      </c>
      <c r="F4254" s="222" t="s">
        <v>11</v>
      </c>
      <c r="G4254" s="238">
        <f>MROUND(H4254*L4254*I4254/K4254,0.00000000001)</f>
        <v>7.7226803284199992</v>
      </c>
      <c r="H4254" s="160">
        <f t="shared" si="1044"/>
        <v>184725.17</v>
      </c>
      <c r="I4254" s="159">
        <f t="shared" si="1045"/>
        <v>2.1153999999999999E-2</v>
      </c>
      <c r="J4254" s="160"/>
      <c r="K4254" s="161">
        <f t="shared" si="1046"/>
        <v>506</v>
      </c>
      <c r="L4254" s="162">
        <v>1</v>
      </c>
      <c r="M4254" s="163" t="str">
        <f t="shared" si="1041"/>
        <v>184725,17 м3(лимиты выделенные УЖКХ) *0,021154/506чел.</v>
      </c>
      <c r="N4254" s="164">
        <f t="shared" si="1047"/>
        <v>112.36110334722464</v>
      </c>
      <c r="O4254" s="165">
        <f>MROUND(G4254*N4254,0.00000001)</f>
        <v>867.72888250000005</v>
      </c>
      <c r="P4254" s="166"/>
      <c r="Q4254" s="166">
        <f t="shared" si="1043"/>
        <v>439070.81454500003</v>
      </c>
      <c r="R4254" s="71"/>
    </row>
    <row r="4255" spans="1:18" s="61" customFormat="1" ht="31.5" x14ac:dyDescent="0.25">
      <c r="A4255" s="358"/>
      <c r="B4255" s="361"/>
      <c r="C4255" s="221" t="s">
        <v>75</v>
      </c>
      <c r="D4255" s="222" t="s">
        <v>18</v>
      </c>
      <c r="E4255" s="222" t="s">
        <v>48</v>
      </c>
      <c r="F4255" s="222" t="s">
        <v>48</v>
      </c>
      <c r="G4255" s="238">
        <f>MROUND(H4255*L4255*I4255/K4255,0.0000000001)</f>
        <v>0.58058950669999998</v>
      </c>
      <c r="H4255" s="160">
        <f t="shared" si="1044"/>
        <v>13887.6</v>
      </c>
      <c r="I4255" s="159">
        <f t="shared" si="1045"/>
        <v>2.1153999999999999E-2</v>
      </c>
      <c r="J4255" s="160"/>
      <c r="K4255" s="161">
        <f t="shared" si="1046"/>
        <v>506</v>
      </c>
      <c r="L4255" s="250">
        <v>1</v>
      </c>
      <c r="M4255" s="163" t="str">
        <f t="shared" si="1041"/>
        <v>13887,6 тыс. м3(лимиты выделенные УЖКХ) *0,021154/506чел.</v>
      </c>
      <c r="N4255" s="164">
        <f t="shared" si="1047"/>
        <v>30.576235634666901</v>
      </c>
      <c r="O4255" s="165">
        <f t="shared" ref="O4255" si="1048">MROUND(G4255*N4255,0.000001)</f>
        <v>17.752241999999999</v>
      </c>
      <c r="P4255" s="166"/>
      <c r="Q4255" s="166">
        <f t="shared" si="1043"/>
        <v>8982.6344520000002</v>
      </c>
      <c r="R4255" s="71"/>
    </row>
    <row r="4256" spans="1:18" s="61" customFormat="1" x14ac:dyDescent="0.25">
      <c r="A4256" s="358"/>
      <c r="B4256" s="361"/>
      <c r="C4256" s="364" t="s">
        <v>216</v>
      </c>
      <c r="D4256" s="222" t="s">
        <v>23</v>
      </c>
      <c r="E4256" s="222" t="s">
        <v>11</v>
      </c>
      <c r="F4256" s="222" t="s">
        <v>11</v>
      </c>
      <c r="G4256" s="238">
        <f>MROUND(H4256*L4256*I4256/K4256,0.000000000001)</f>
        <v>0.140830455652</v>
      </c>
      <c r="H4256" s="160">
        <f t="shared" si="1044"/>
        <v>3368.6400000000003</v>
      </c>
      <c r="I4256" s="159">
        <f t="shared" si="1045"/>
        <v>2.1153999999999999E-2</v>
      </c>
      <c r="J4256" s="160"/>
      <c r="K4256" s="161">
        <f t="shared" si="1046"/>
        <v>506</v>
      </c>
      <c r="L4256" s="162">
        <f>L4255</f>
        <v>1</v>
      </c>
      <c r="M4256" s="163" t="str">
        <f>CONCATENATE(H4256," ",F4256," ","*",I4256,"/",K4256,"чел.")</f>
        <v>3368,64 м3 *0,021154/506чел.</v>
      </c>
      <c r="N4256" s="164">
        <f t="shared" si="1047"/>
        <v>776.35552626579261</v>
      </c>
      <c r="O4256" s="165">
        <f>MROUND(G4256*N4256,0.00000001)</f>
        <v>109.33450251000001</v>
      </c>
      <c r="P4256" s="166"/>
      <c r="Q4256" s="166">
        <f t="shared" si="1043"/>
        <v>55323.258270060003</v>
      </c>
      <c r="R4256" s="71"/>
    </row>
    <row r="4257" spans="1:18" s="61" customFormat="1" ht="47.25" x14ac:dyDescent="0.25">
      <c r="A4257" s="358"/>
      <c r="B4257" s="361"/>
      <c r="C4257" s="364"/>
      <c r="D4257" s="222" t="s">
        <v>24</v>
      </c>
      <c r="E4257" s="222" t="s">
        <v>25</v>
      </c>
      <c r="F4257" s="222" t="s">
        <v>217</v>
      </c>
      <c r="G4257" s="238">
        <f>MROUND(H4257*L4257*I4257/K4257,0.000000000001)</f>
        <v>6.1455296440000003E-3</v>
      </c>
      <c r="H4257" s="160">
        <f>H3537</f>
        <v>147</v>
      </c>
      <c r="I4257" s="159">
        <f t="shared" si="1045"/>
        <v>2.1153999999999999E-2</v>
      </c>
      <c r="J4257" s="160"/>
      <c r="K4257" s="161">
        <f t="shared" si="1046"/>
        <v>506</v>
      </c>
      <c r="L4257" s="250">
        <f>L4256</f>
        <v>1</v>
      </c>
      <c r="M4257" s="163" t="str">
        <f>CONCATENATE(H4257," ",F4257,"(потребность из расчета 4 контейнера для уборки территории весной и осенью на 1 учреждение)","*",I4257,"/",K4257,"чел.")</f>
        <v>147 контейнера(потребность из расчета 4 контейнера для уборки территории весной и осенью на 1 учреждение)*0,021154/506чел.</v>
      </c>
      <c r="N4257" s="164">
        <f>N3537</f>
        <v>6047.8105442176911</v>
      </c>
      <c r="O4257" s="165">
        <f t="shared" ref="O4257" si="1049">MROUND(G4257*N4257,0.000001)</f>
        <v>37.166998999999997</v>
      </c>
      <c r="P4257" s="166"/>
      <c r="Q4257" s="166">
        <f t="shared" si="1043"/>
        <v>18806.501494</v>
      </c>
      <c r="R4257" s="71"/>
    </row>
    <row r="4258" spans="1:18" s="62" customFormat="1" x14ac:dyDescent="0.25">
      <c r="A4258" s="358"/>
      <c r="B4258" s="361"/>
      <c r="C4258" s="218" t="s">
        <v>290</v>
      </c>
      <c r="D4258" s="226"/>
      <c r="E4258" s="226"/>
      <c r="F4258" s="226"/>
      <c r="G4258" s="227"/>
      <c r="H4258" s="228"/>
      <c r="I4258" s="206"/>
      <c r="J4258" s="228"/>
      <c r="K4258" s="207"/>
      <c r="L4258" s="257"/>
      <c r="M4258" s="209"/>
      <c r="N4258" s="210"/>
      <c r="O4258" s="198">
        <f>SUM(O4250:O4257)</f>
        <v>7565.1908190099994</v>
      </c>
      <c r="P4258" s="267"/>
      <c r="Q4258" s="166"/>
      <c r="R4258" s="71"/>
    </row>
    <row r="4259" spans="1:18" s="61" customFormat="1" x14ac:dyDescent="0.25">
      <c r="A4259" s="358"/>
      <c r="B4259" s="361"/>
      <c r="C4259" s="221"/>
      <c r="D4259" s="356" t="s">
        <v>14</v>
      </c>
      <c r="E4259" s="356"/>
      <c r="F4259" s="356"/>
      <c r="G4259" s="356"/>
      <c r="H4259" s="188"/>
      <c r="I4259" s="159"/>
      <c r="J4259" s="188"/>
      <c r="K4259" s="161"/>
      <c r="L4259" s="250"/>
      <c r="M4259" s="230"/>
      <c r="N4259" s="164"/>
      <c r="O4259" s="198">
        <f>O4267+O4268+O4263</f>
        <v>7915.4530512443798</v>
      </c>
      <c r="P4259" s="166"/>
      <c r="Q4259" s="166"/>
      <c r="R4259" s="71"/>
    </row>
    <row r="4260" spans="1:18" s="61" customFormat="1" x14ac:dyDescent="0.25">
      <c r="A4260" s="358"/>
      <c r="B4260" s="361"/>
      <c r="C4260" s="221" t="s">
        <v>379</v>
      </c>
      <c r="D4260" s="231" t="s">
        <v>49</v>
      </c>
      <c r="E4260" s="231" t="s">
        <v>22</v>
      </c>
      <c r="F4260" s="231" t="s">
        <v>22</v>
      </c>
      <c r="G4260" s="238">
        <f>MROUND(H4260*L4260*I4260/K4260,0.000000001)</f>
        <v>0</v>
      </c>
      <c r="H4260" s="160"/>
      <c r="I4260" s="159">
        <f>I4255</f>
        <v>2.1153999999999999E-2</v>
      </c>
      <c r="J4260" s="160"/>
      <c r="K4260" s="161">
        <f>K4255</f>
        <v>506</v>
      </c>
      <c r="L4260" s="250"/>
      <c r="M4260" s="163"/>
      <c r="N4260" s="164"/>
      <c r="O4260" s="165">
        <f>MROUND(G4260*N4260,0.00000001)</f>
        <v>0</v>
      </c>
      <c r="P4260" s="166"/>
      <c r="Q4260" s="166">
        <f t="shared" ref="Q4260:Q4262" si="1050">O4260*K4260</f>
        <v>0</v>
      </c>
      <c r="R4260" s="71"/>
    </row>
    <row r="4261" spans="1:18" s="61" customFormat="1" x14ac:dyDescent="0.25">
      <c r="A4261" s="358"/>
      <c r="B4261" s="361"/>
      <c r="C4261" s="221" t="s">
        <v>379</v>
      </c>
      <c r="D4261" s="231" t="s">
        <v>49</v>
      </c>
      <c r="E4261" s="231" t="s">
        <v>28</v>
      </c>
      <c r="F4261" s="231" t="s">
        <v>28</v>
      </c>
      <c r="G4261" s="238">
        <f>MROUND(H4261*L4261*I4261/K4261,0.00000000000001)</f>
        <v>0</v>
      </c>
      <c r="H4261" s="160"/>
      <c r="I4261" s="159">
        <f t="shared" si="1045"/>
        <v>2.1153999999999999E-2</v>
      </c>
      <c r="J4261" s="160"/>
      <c r="K4261" s="161">
        <f>K4260</f>
        <v>506</v>
      </c>
      <c r="L4261" s="250">
        <v>1</v>
      </c>
      <c r="M4261" s="163"/>
      <c r="N4261" s="164"/>
      <c r="O4261" s="165">
        <f>MROUND(G4261*N4261,0.00000001)</f>
        <v>0</v>
      </c>
      <c r="P4261" s="166"/>
      <c r="Q4261" s="166">
        <f t="shared" si="1050"/>
        <v>0</v>
      </c>
      <c r="R4261" s="71"/>
    </row>
    <row r="4262" spans="1:18" s="61" customFormat="1" x14ac:dyDescent="0.25">
      <c r="A4262" s="358"/>
      <c r="B4262" s="361"/>
      <c r="C4262" s="221" t="s">
        <v>379</v>
      </c>
      <c r="D4262" s="231" t="s">
        <v>49</v>
      </c>
      <c r="E4262" s="231" t="s">
        <v>101</v>
      </c>
      <c r="F4262" s="231" t="s">
        <v>101</v>
      </c>
      <c r="G4262" s="238">
        <f>MROUND(H4262*L4262*I4262/K4262,0.000000001)</f>
        <v>0</v>
      </c>
      <c r="H4262" s="160"/>
      <c r="I4262" s="159">
        <f t="shared" si="1045"/>
        <v>2.1153999999999999E-2</v>
      </c>
      <c r="J4262" s="160"/>
      <c r="K4262" s="161">
        <f>K4261</f>
        <v>506</v>
      </c>
      <c r="L4262" s="250"/>
      <c r="M4262" s="163"/>
      <c r="N4262" s="164"/>
      <c r="O4262" s="165">
        <f>MROUND(G4262*N4262,0.00000001)</f>
        <v>0</v>
      </c>
      <c r="P4262" s="166"/>
      <c r="Q4262" s="166">
        <f t="shared" si="1050"/>
        <v>0</v>
      </c>
      <c r="R4262" s="71"/>
    </row>
    <row r="4263" spans="1:18" s="62" customFormat="1" x14ac:dyDescent="0.25">
      <c r="A4263" s="358"/>
      <c r="B4263" s="361"/>
      <c r="C4263" s="218" t="s">
        <v>380</v>
      </c>
      <c r="D4263" s="232"/>
      <c r="E4263" s="232"/>
      <c r="F4263" s="232"/>
      <c r="G4263" s="227"/>
      <c r="H4263" s="228"/>
      <c r="I4263" s="206"/>
      <c r="J4263" s="228"/>
      <c r="K4263" s="207"/>
      <c r="L4263" s="257"/>
      <c r="M4263" s="209"/>
      <c r="N4263" s="210"/>
      <c r="O4263" s="198">
        <f>SUM(O4260:O4262)</f>
        <v>0</v>
      </c>
      <c r="P4263" s="267"/>
      <c r="Q4263" s="166"/>
      <c r="R4263" s="71"/>
    </row>
    <row r="4264" spans="1:18" s="61" customFormat="1" x14ac:dyDescent="0.25">
      <c r="A4264" s="358"/>
      <c r="B4264" s="361"/>
      <c r="C4264" s="221" t="s">
        <v>76</v>
      </c>
      <c r="D4264" s="231" t="s">
        <v>49</v>
      </c>
      <c r="E4264" s="231" t="s">
        <v>22</v>
      </c>
      <c r="F4264" s="231" t="s">
        <v>22</v>
      </c>
      <c r="G4264" s="238">
        <f>MROUND(H4264*L4264*I4264/K4264,0.000000000000001)</f>
        <v>51.172176924466399</v>
      </c>
      <c r="H4264" s="160">
        <f>H3424</f>
        <v>1224029.57</v>
      </c>
      <c r="I4264" s="159">
        <f>I4260</f>
        <v>2.1153999999999999E-2</v>
      </c>
      <c r="J4264" s="160"/>
      <c r="K4264" s="161">
        <f>K4262</f>
        <v>506</v>
      </c>
      <c r="L4264" s="250">
        <v>1</v>
      </c>
      <c r="M4264" s="163" t="str">
        <f>CONCATENATE(H4264," ",F4264,"*",I4264,"/",K4264,"чел.")</f>
        <v>1224029,57 м2*0,021154/506чел.</v>
      </c>
      <c r="N4264" s="164">
        <f>N3424</f>
        <v>37.50494361014497</v>
      </c>
      <c r="O4264" s="165">
        <f>MROUND(G4264*N4264,0.00000000001)</f>
        <v>1919.2096099604698</v>
      </c>
      <c r="P4264" s="166"/>
      <c r="Q4264" s="166">
        <f t="shared" ref="Q4264:Q4266" si="1051">O4264*K4264</f>
        <v>971120.06263999769</v>
      </c>
      <c r="R4264" s="71"/>
    </row>
    <row r="4265" spans="1:18" s="61" customFormat="1" x14ac:dyDescent="0.25">
      <c r="A4265" s="358"/>
      <c r="B4265" s="361"/>
      <c r="C4265" s="221"/>
      <c r="D4265" s="231" t="s">
        <v>49</v>
      </c>
      <c r="E4265" s="231" t="s">
        <v>28</v>
      </c>
      <c r="F4265" s="231" t="s">
        <v>28</v>
      </c>
      <c r="G4265" s="238">
        <f>MROUND(H4265*L4265*I4265/K4265,0.000000000001)</f>
        <v>4.6237794466000001E-2</v>
      </c>
      <c r="H4265" s="160">
        <f>H3425</f>
        <v>1106</v>
      </c>
      <c r="I4265" s="159">
        <f t="shared" si="1045"/>
        <v>2.1153999999999999E-2</v>
      </c>
      <c r="J4265" s="160"/>
      <c r="K4265" s="161">
        <f>K4264</f>
        <v>506</v>
      </c>
      <c r="L4265" s="250">
        <v>1</v>
      </c>
      <c r="M4265" s="163" t="str">
        <f>CONCATENATE(H4265," ",F4265,"*",I4265,"/",K4265,"чел.")</f>
        <v>1106 шт*0,021154/506чел.</v>
      </c>
      <c r="N4265" s="164">
        <f>N3425</f>
        <v>86192.676311030737</v>
      </c>
      <c r="O4265" s="165">
        <f>MROUND(G4265*N4265,0.00000000001)</f>
        <v>3985.3592517439097</v>
      </c>
      <c r="P4265" s="166"/>
      <c r="Q4265" s="166">
        <f t="shared" si="1051"/>
        <v>2016591.7813824182</v>
      </c>
      <c r="R4265" s="71"/>
    </row>
    <row r="4266" spans="1:18" s="61" customFormat="1" x14ac:dyDescent="0.25">
      <c r="A4266" s="358"/>
      <c r="B4266" s="361"/>
      <c r="C4266" s="221"/>
      <c r="D4266" s="231" t="s">
        <v>49</v>
      </c>
      <c r="E4266" s="231" t="s">
        <v>101</v>
      </c>
      <c r="F4266" s="231" t="s">
        <v>101</v>
      </c>
      <c r="G4266" s="238">
        <f>MROUND(H4266*L4266*I4266/K4266,0.000000001)</f>
        <v>1.533037905</v>
      </c>
      <c r="H4266" s="160">
        <f>H3426</f>
        <v>36670</v>
      </c>
      <c r="I4266" s="159">
        <f t="shared" si="1045"/>
        <v>2.1153999999999999E-2</v>
      </c>
      <c r="J4266" s="160"/>
      <c r="K4266" s="161">
        <f>K4265</f>
        <v>506</v>
      </c>
      <c r="L4266" s="250">
        <v>1</v>
      </c>
      <c r="M4266" s="163" t="str">
        <f>CONCATENATE(H4266," ",F4266,"*",I4266,"/",K4266,"чел.")</f>
        <v>36670 погон.м.*0,021154/506чел.</v>
      </c>
      <c r="N4266" s="164">
        <f>N3426</f>
        <v>1311.6989364603219</v>
      </c>
      <c r="O4266" s="165">
        <f>MROUND(G4266*N4266,0.00000001)</f>
        <v>2010.8841895400001</v>
      </c>
      <c r="P4266" s="166"/>
      <c r="Q4266" s="166">
        <f t="shared" si="1051"/>
        <v>1017507.3999072401</v>
      </c>
      <c r="R4266" s="71"/>
    </row>
    <row r="4267" spans="1:18" s="62" customFormat="1" x14ac:dyDescent="0.25">
      <c r="A4267" s="358"/>
      <c r="B4267" s="361"/>
      <c r="C4267" s="218" t="s">
        <v>291</v>
      </c>
      <c r="D4267" s="232"/>
      <c r="E4267" s="232"/>
      <c r="F4267" s="232"/>
      <c r="G4267" s="227"/>
      <c r="H4267" s="228"/>
      <c r="I4267" s="206"/>
      <c r="J4267" s="228"/>
      <c r="K4267" s="207"/>
      <c r="L4267" s="257"/>
      <c r="M4267" s="209"/>
      <c r="N4267" s="210"/>
      <c r="O4267" s="198">
        <f>SUM(O4264:O4266)</f>
        <v>7915.4530512443798</v>
      </c>
      <c r="P4267" s="267"/>
      <c r="Q4267" s="166"/>
      <c r="R4267" s="71"/>
    </row>
    <row r="4268" spans="1:18" s="61" customFormat="1" x14ac:dyDescent="0.25">
      <c r="A4268" s="358"/>
      <c r="B4268" s="361"/>
      <c r="C4268" s="221" t="s">
        <v>77</v>
      </c>
      <c r="D4268" s="231"/>
      <c r="E4268" s="231"/>
      <c r="F4268" s="231"/>
      <c r="G4268" s="238">
        <f>MROUND(H4268*L4268*I4268/K4268,0.00000000001)</f>
        <v>0</v>
      </c>
      <c r="H4268" s="160">
        <f>H4028</f>
        <v>0</v>
      </c>
      <c r="I4268" s="159">
        <f>I4266</f>
        <v>2.1153999999999999E-2</v>
      </c>
      <c r="J4268" s="160"/>
      <c r="K4268" s="161">
        <f>K4266</f>
        <v>506</v>
      </c>
      <c r="L4268" s="250"/>
      <c r="M4268" s="163"/>
      <c r="N4268" s="164">
        <f>N4028</f>
        <v>0</v>
      </c>
      <c r="O4268" s="165">
        <f>MROUND(G4268*N4268,0.000000001)</f>
        <v>0</v>
      </c>
      <c r="P4268" s="166"/>
      <c r="Q4268" s="166">
        <f t="shared" ref="Q4268" si="1052">O4268*K4268</f>
        <v>0</v>
      </c>
      <c r="R4268" s="71"/>
    </row>
    <row r="4269" spans="1:18" s="62" customFormat="1" x14ac:dyDescent="0.25">
      <c r="A4269" s="358"/>
      <c r="B4269" s="361"/>
      <c r="C4269" s="218" t="s">
        <v>292</v>
      </c>
      <c r="D4269" s="232"/>
      <c r="E4269" s="232"/>
      <c r="F4269" s="232"/>
      <c r="G4269" s="227"/>
      <c r="H4269" s="228"/>
      <c r="I4269" s="206"/>
      <c r="J4269" s="228"/>
      <c r="K4269" s="207"/>
      <c r="L4269" s="257"/>
      <c r="M4269" s="209"/>
      <c r="N4269" s="210"/>
      <c r="O4269" s="198">
        <f>O4268</f>
        <v>0</v>
      </c>
      <c r="P4269" s="267"/>
      <c r="Q4269" s="166"/>
      <c r="R4269" s="71"/>
    </row>
    <row r="4270" spans="1:18" s="61" customFormat="1" x14ac:dyDescent="0.25">
      <c r="A4270" s="358"/>
      <c r="B4270" s="361"/>
      <c r="C4270" s="221"/>
      <c r="D4270" s="350" t="s">
        <v>65</v>
      </c>
      <c r="E4270" s="350"/>
      <c r="F4270" s="350"/>
      <c r="G4270" s="350"/>
      <c r="H4270" s="195"/>
      <c r="I4270" s="159"/>
      <c r="J4270" s="195"/>
      <c r="K4270" s="161"/>
      <c r="L4270" s="196"/>
      <c r="M4270" s="230"/>
      <c r="N4270" s="164"/>
      <c r="O4270" s="165">
        <f t="shared" ref="O4270:O4271" si="1053">MROUND(G4270*N4270,0.000001)</f>
        <v>0</v>
      </c>
      <c r="P4270" s="166"/>
      <c r="Q4270" s="166"/>
      <c r="R4270" s="71"/>
    </row>
    <row r="4271" spans="1:18" s="61" customFormat="1" x14ac:dyDescent="0.25">
      <c r="A4271" s="358"/>
      <c r="B4271" s="361"/>
      <c r="C4271" s="221"/>
      <c r="D4271" s="194"/>
      <c r="E4271" s="194"/>
      <c r="F4271" s="194"/>
      <c r="G4271" s="217"/>
      <c r="H4271" s="195"/>
      <c r="I4271" s="159"/>
      <c r="J4271" s="195"/>
      <c r="K4271" s="161"/>
      <c r="L4271" s="196"/>
      <c r="M4271" s="230"/>
      <c r="N4271" s="164"/>
      <c r="O4271" s="165">
        <f t="shared" si="1053"/>
        <v>0</v>
      </c>
      <c r="P4271" s="166"/>
      <c r="Q4271" s="166"/>
      <c r="R4271" s="71"/>
    </row>
    <row r="4272" spans="1:18" s="61" customFormat="1" x14ac:dyDescent="0.25">
      <c r="A4272" s="358"/>
      <c r="B4272" s="361"/>
      <c r="C4272" s="221" t="s">
        <v>357</v>
      </c>
      <c r="D4272" s="368" t="s">
        <v>66</v>
      </c>
      <c r="E4272" s="368"/>
      <c r="F4272" s="368"/>
      <c r="G4272" s="368"/>
      <c r="H4272" s="195"/>
      <c r="I4272" s="159"/>
      <c r="J4272" s="195"/>
      <c r="K4272" s="161"/>
      <c r="L4272" s="234"/>
      <c r="M4272" s="230"/>
      <c r="N4272" s="164"/>
      <c r="O4272" s="198">
        <f>O4273</f>
        <v>23.727981999999997</v>
      </c>
      <c r="P4272" s="166"/>
      <c r="Q4272" s="166"/>
      <c r="R4272" s="71"/>
    </row>
    <row r="4273" spans="1:41" s="61" customFormat="1" ht="47.25" x14ac:dyDescent="0.25">
      <c r="A4273" s="358"/>
      <c r="B4273" s="361"/>
      <c r="C4273" s="221"/>
      <c r="D4273" s="222" t="s">
        <v>374</v>
      </c>
      <c r="E4273" s="194" t="s">
        <v>28</v>
      </c>
      <c r="F4273" s="194" t="s">
        <v>28</v>
      </c>
      <c r="G4273" s="217">
        <f>MROUND(H4273*L4273*I4273/K4273,0.000000001)</f>
        <v>6.0201110000000007E-3</v>
      </c>
      <c r="H4273" s="201">
        <f>H3673</f>
        <v>36</v>
      </c>
      <c r="I4273" s="159">
        <f>I4268</f>
        <v>2.1153999999999999E-2</v>
      </c>
      <c r="J4273" s="195"/>
      <c r="K4273" s="161">
        <f>K4268</f>
        <v>506</v>
      </c>
      <c r="L4273" s="235">
        <f>L3673</f>
        <v>4</v>
      </c>
      <c r="M4273" s="163" t="str">
        <f>CONCATENATE(H4273," ",F4273,"*",I4273,"/",K4273,"чел.")</f>
        <v>36 шт*0,021154/506чел.</v>
      </c>
      <c r="N4273" s="164">
        <f>N3673</f>
        <v>3941.4525000000012</v>
      </c>
      <c r="O4273" s="165">
        <f>MROUND(G4273*N4273,0.000001)</f>
        <v>23.727981999999997</v>
      </c>
      <c r="P4273" s="166"/>
      <c r="Q4273" s="166">
        <f t="shared" ref="Q4273" si="1054">O4273*K4273</f>
        <v>12006.358891999998</v>
      </c>
      <c r="R4273" s="71"/>
    </row>
    <row r="4274" spans="1:41" s="61" customFormat="1" x14ac:dyDescent="0.25">
      <c r="A4274" s="358"/>
      <c r="B4274" s="361"/>
      <c r="C4274" s="221"/>
      <c r="D4274" s="368" t="s">
        <v>67</v>
      </c>
      <c r="E4274" s="368"/>
      <c r="F4274" s="368"/>
      <c r="G4274" s="368"/>
      <c r="H4274" s="195"/>
      <c r="I4274" s="159"/>
      <c r="J4274" s="195"/>
      <c r="K4274" s="161"/>
      <c r="L4274" s="196"/>
      <c r="M4274" s="230"/>
      <c r="N4274" s="164"/>
      <c r="O4274" s="165">
        <f t="shared" ref="O4274:O4277" si="1055">MROUND(G4274*N4274,0.000001)</f>
        <v>0</v>
      </c>
      <c r="P4274" s="166"/>
      <c r="Q4274" s="166"/>
      <c r="R4274" s="71"/>
    </row>
    <row r="4275" spans="1:41" s="61" customFormat="1" x14ac:dyDescent="0.25">
      <c r="A4275" s="358"/>
      <c r="B4275" s="361"/>
      <c r="C4275" s="221"/>
      <c r="D4275" s="194"/>
      <c r="E4275" s="194"/>
      <c r="F4275" s="194"/>
      <c r="G4275" s="217"/>
      <c r="H4275" s="195"/>
      <c r="I4275" s="159"/>
      <c r="J4275" s="195"/>
      <c r="K4275" s="161"/>
      <c r="L4275" s="196"/>
      <c r="M4275" s="230"/>
      <c r="N4275" s="164"/>
      <c r="O4275" s="165">
        <f t="shared" si="1055"/>
        <v>0</v>
      </c>
      <c r="P4275" s="166"/>
      <c r="Q4275" s="166"/>
      <c r="R4275" s="71"/>
    </row>
    <row r="4276" spans="1:41" s="61" customFormat="1" x14ac:dyDescent="0.25">
      <c r="A4276" s="358"/>
      <c r="B4276" s="361"/>
      <c r="C4276" s="221"/>
      <c r="D4276" s="350" t="s">
        <v>68</v>
      </c>
      <c r="E4276" s="350"/>
      <c r="F4276" s="350"/>
      <c r="G4276" s="350"/>
      <c r="H4276" s="195"/>
      <c r="I4276" s="159"/>
      <c r="J4276" s="195"/>
      <c r="K4276" s="161"/>
      <c r="L4276" s="196"/>
      <c r="M4276" s="230"/>
      <c r="N4276" s="164"/>
      <c r="O4276" s="165">
        <f t="shared" si="1055"/>
        <v>0</v>
      </c>
      <c r="P4276" s="166"/>
      <c r="Q4276" s="166"/>
      <c r="R4276" s="71"/>
    </row>
    <row r="4277" spans="1:41" s="61" customFormat="1" x14ac:dyDescent="0.25">
      <c r="A4277" s="358"/>
      <c r="B4277" s="361"/>
      <c r="C4277" s="221"/>
      <c r="D4277" s="156"/>
      <c r="E4277" s="156"/>
      <c r="F4277" s="156"/>
      <c r="G4277" s="236"/>
      <c r="H4277" s="195"/>
      <c r="I4277" s="159"/>
      <c r="J4277" s="195"/>
      <c r="K4277" s="161"/>
      <c r="L4277" s="196"/>
      <c r="M4277" s="230"/>
      <c r="N4277" s="164"/>
      <c r="O4277" s="165">
        <f t="shared" si="1055"/>
        <v>0</v>
      </c>
      <c r="P4277" s="166"/>
      <c r="Q4277" s="166"/>
      <c r="R4277" s="71"/>
    </row>
    <row r="4278" spans="1:41" s="61" customFormat="1" x14ac:dyDescent="0.25">
      <c r="A4278" s="358"/>
      <c r="B4278" s="361"/>
      <c r="C4278" s="221"/>
      <c r="D4278" s="368" t="s">
        <v>69</v>
      </c>
      <c r="E4278" s="368"/>
      <c r="F4278" s="368"/>
      <c r="G4278" s="368"/>
      <c r="H4278" s="187"/>
      <c r="I4278" s="159"/>
      <c r="J4278" s="187"/>
      <c r="K4278" s="161"/>
      <c r="L4278" s="276"/>
      <c r="M4278" s="230"/>
      <c r="N4278" s="164"/>
      <c r="O4278" s="198">
        <f>O4280+O4287+O4304+O4306+O4321+O4323+O4325+O4350+O4352+O4357+O4354</f>
        <v>965.60484891999999</v>
      </c>
      <c r="P4278" s="166"/>
      <c r="Q4278" s="166"/>
      <c r="R4278" s="71"/>
    </row>
    <row r="4279" spans="1:41" s="61" customFormat="1" x14ac:dyDescent="0.25">
      <c r="A4279" s="358"/>
      <c r="B4279" s="361"/>
      <c r="C4279" s="221">
        <v>224</v>
      </c>
      <c r="D4279" s="156" t="s">
        <v>21</v>
      </c>
      <c r="E4279" s="156" t="s">
        <v>22</v>
      </c>
      <c r="F4279" s="156" t="s">
        <v>22</v>
      </c>
      <c r="G4279" s="238">
        <f>MROUND(H4279*L4279*I4279/K4279,0.0000000001)</f>
        <v>0</v>
      </c>
      <c r="H4279" s="158"/>
      <c r="I4279" s="159">
        <f>I4273</f>
        <v>2.1153999999999999E-2</v>
      </c>
      <c r="J4279" s="160"/>
      <c r="K4279" s="161">
        <f>K4273</f>
        <v>506</v>
      </c>
      <c r="L4279" s="250"/>
      <c r="M4279" s="163"/>
      <c r="N4279" s="164"/>
      <c r="O4279" s="165">
        <f>MROUND(G4279*N4279,0.000001)</f>
        <v>0</v>
      </c>
      <c r="P4279" s="166"/>
      <c r="Q4279" s="166">
        <f t="shared" ref="Q4279" si="1056">O4279*K4279</f>
        <v>0</v>
      </c>
      <c r="R4279" s="71"/>
    </row>
    <row r="4280" spans="1:41" s="62" customFormat="1" x14ac:dyDescent="0.25">
      <c r="A4280" s="358"/>
      <c r="B4280" s="361"/>
      <c r="C4280" s="218" t="s">
        <v>293</v>
      </c>
      <c r="D4280" s="240"/>
      <c r="E4280" s="240"/>
      <c r="F4280" s="240"/>
      <c r="G4280" s="227"/>
      <c r="H4280" s="241"/>
      <c r="I4280" s="206"/>
      <c r="J4280" s="228"/>
      <c r="K4280" s="207"/>
      <c r="L4280" s="257"/>
      <c r="M4280" s="209"/>
      <c r="N4280" s="210"/>
      <c r="O4280" s="198">
        <f>SUM(O4279)</f>
        <v>0</v>
      </c>
      <c r="P4280" s="267"/>
      <c r="Q4280" s="166"/>
      <c r="R4280" s="71"/>
    </row>
    <row r="4281" spans="1:41" s="61" customFormat="1" ht="31.5" x14ac:dyDescent="0.25">
      <c r="A4281" s="358"/>
      <c r="B4281" s="361"/>
      <c r="C4281" s="364" t="s">
        <v>78</v>
      </c>
      <c r="D4281" s="156" t="s">
        <v>26</v>
      </c>
      <c r="E4281" s="156" t="s">
        <v>22</v>
      </c>
      <c r="F4281" s="156" t="s">
        <v>22</v>
      </c>
      <c r="G4281" s="238">
        <f>MROUND(H4281*L4281*I4281/K4281,0.000001)</f>
        <v>12.963305</v>
      </c>
      <c r="H4281" s="158">
        <f>H3441</f>
        <v>25840</v>
      </c>
      <c r="I4281" s="159">
        <f>I4279</f>
        <v>2.1153999999999999E-2</v>
      </c>
      <c r="J4281" s="160"/>
      <c r="K4281" s="161">
        <f>K4279</f>
        <v>506</v>
      </c>
      <c r="L4281" s="250">
        <v>12</v>
      </c>
      <c r="M4281" s="163" t="str">
        <f>CONCATENATE(H4281," ",F4281,"(обрабатываемая площадь в мес.)","*",L4281,"мес.","*",I4281,"/",K4281,"чел.")</f>
        <v>25840 м2(обрабатываемая площадь в мес.)*12мес.*0,021154/506чел.</v>
      </c>
      <c r="N4281" s="164">
        <f>N3441</f>
        <v>1.208548374613003</v>
      </c>
      <c r="O4281" s="165">
        <f t="shared" ref="O4281:O4286" si="1057">MROUND(G4281*N4281,0.000001)</f>
        <v>15.666780999999999</v>
      </c>
      <c r="P4281" s="166"/>
      <c r="Q4281" s="166">
        <f t="shared" ref="Q4281:Q4286" si="1058">O4281*K4281</f>
        <v>7927.3911859999989</v>
      </c>
      <c r="R4281" s="71"/>
    </row>
    <row r="4282" spans="1:41" s="61" customFormat="1" ht="31.5" x14ac:dyDescent="0.25">
      <c r="A4282" s="358"/>
      <c r="B4282" s="361"/>
      <c r="C4282" s="364"/>
      <c r="D4282" s="156" t="s">
        <v>96</v>
      </c>
      <c r="E4282" s="156" t="s">
        <v>22</v>
      </c>
      <c r="F4282" s="156" t="s">
        <v>22</v>
      </c>
      <c r="G4282" s="238">
        <f>MROUND(H4282*L4282*I4282/K4282,0.000001)</f>
        <v>6.7099149999999996</v>
      </c>
      <c r="H4282" s="158">
        <f>H3442</f>
        <v>13375</v>
      </c>
      <c r="I4282" s="159">
        <f t="shared" si="1045"/>
        <v>2.1153999999999999E-2</v>
      </c>
      <c r="J4282" s="160"/>
      <c r="K4282" s="161">
        <f>K4281</f>
        <v>506</v>
      </c>
      <c r="L4282" s="250">
        <v>12</v>
      </c>
      <c r="M4282" s="163" t="str">
        <f>CONCATENATE(H4282," ",F4282,"(обрабатываемая площадь в мес.)","*",L4282,"мес.","*",I4282,"/",K4282,"чел.")</f>
        <v>13375 м2(обрабатываемая площадь в мес.)*12мес.*0,021154/506чел.</v>
      </c>
      <c r="N4282" s="164">
        <f>N3442</f>
        <v>1.93823800623053</v>
      </c>
      <c r="O4282" s="165">
        <f t="shared" si="1057"/>
        <v>13.005412</v>
      </c>
      <c r="P4282" s="166"/>
      <c r="Q4282" s="166">
        <f t="shared" si="1058"/>
        <v>6580.738472</v>
      </c>
      <c r="R4282" s="71"/>
    </row>
    <row r="4283" spans="1:41" s="135" customFormat="1" ht="31.5" x14ac:dyDescent="0.25">
      <c r="A4283" s="358"/>
      <c r="B4283" s="361"/>
      <c r="C4283" s="364"/>
      <c r="D4283" s="156" t="s">
        <v>385</v>
      </c>
      <c r="E4283" s="156" t="s">
        <v>22</v>
      </c>
      <c r="F4283" s="156" t="s">
        <v>22</v>
      </c>
      <c r="G4283" s="238">
        <f>MROUND(H4283*L4283*I4283/K4283,0.000001)</f>
        <v>13.419829999999999</v>
      </c>
      <c r="H4283" s="242">
        <f>$H$55</f>
        <v>13375</v>
      </c>
      <c r="I4283" s="159">
        <f t="shared" si="1045"/>
        <v>2.1153999999999999E-2</v>
      </c>
      <c r="J4283" s="160"/>
      <c r="K4283" s="161">
        <f>K4282</f>
        <v>506</v>
      </c>
      <c r="L4283" s="162">
        <v>24</v>
      </c>
      <c r="M4283" s="163" t="str">
        <f>CONCATENATE(H4283," ",F4283,"(обрабатываемая площадь в год)","*",L4283," раза в год.","*",I4283,"/",K4283,"чел.")</f>
        <v>13375 м2(обрабатываемая площадь в год)*24 раза в год.*0,021154/506чел.</v>
      </c>
      <c r="N4283" s="164">
        <f>$N$3443</f>
        <v>2.3942939563862917</v>
      </c>
      <c r="O4283" s="165">
        <f t="shared" si="1057"/>
        <v>32.131017999999997</v>
      </c>
      <c r="P4283" s="166"/>
      <c r="Q4283" s="166">
        <f t="shared" si="1058"/>
        <v>16258.295107999998</v>
      </c>
      <c r="R4283" s="71"/>
      <c r="S4283" s="61"/>
      <c r="T4283" s="61"/>
      <c r="U4283" s="61"/>
      <c r="V4283" s="61"/>
      <c r="W4283" s="61"/>
      <c r="X4283" s="61"/>
      <c r="Y4283" s="61"/>
      <c r="Z4283" s="61"/>
      <c r="AA4283" s="61"/>
      <c r="AB4283" s="61"/>
      <c r="AC4283" s="61"/>
      <c r="AD4283" s="61"/>
      <c r="AE4283" s="61"/>
      <c r="AF4283" s="61"/>
      <c r="AG4283" s="61"/>
      <c r="AH4283" s="61"/>
      <c r="AI4283" s="61"/>
      <c r="AJ4283" s="61"/>
      <c r="AK4283" s="61"/>
      <c r="AL4283" s="61"/>
      <c r="AM4283" s="61"/>
      <c r="AN4283" s="61"/>
      <c r="AO4283" s="61"/>
    </row>
    <row r="4284" spans="1:41" s="135" customFormat="1" ht="31.5" x14ac:dyDescent="0.25">
      <c r="A4284" s="358"/>
      <c r="B4284" s="361"/>
      <c r="C4284" s="364"/>
      <c r="D4284" s="156" t="s">
        <v>394</v>
      </c>
      <c r="E4284" s="156" t="s">
        <v>22</v>
      </c>
      <c r="F4284" s="156" t="s">
        <v>22</v>
      </c>
      <c r="G4284" s="238">
        <f>MROUND(H4284*L4284*I4284/K4284,0.000001)</f>
        <v>12.963305</v>
      </c>
      <c r="H4284" s="243">
        <f>$H$56</f>
        <v>25840</v>
      </c>
      <c r="I4284" s="159">
        <f t="shared" si="1045"/>
        <v>2.1153999999999999E-2</v>
      </c>
      <c r="J4284" s="160"/>
      <c r="K4284" s="161">
        <f>K4283</f>
        <v>506</v>
      </c>
      <c r="L4284" s="162">
        <v>12</v>
      </c>
      <c r="M4284" s="163" t="str">
        <f>CONCATENATE(H4284," ",F4284,"(обрабатываемая площадь в мес.)","*",L4284,"мес.","*",I4284,"/",K4284,"чел.")</f>
        <v>25840 м2(обрабатываемая площадь в мес.)*12мес.*0,021154/506чел.</v>
      </c>
      <c r="N4284" s="164">
        <f>$N$3444</f>
        <v>0.57007004643962855</v>
      </c>
      <c r="O4284" s="165">
        <f t="shared" si="1057"/>
        <v>7.3899919999999995</v>
      </c>
      <c r="P4284" s="166"/>
      <c r="Q4284" s="166">
        <f t="shared" si="1058"/>
        <v>3739.3359519999999</v>
      </c>
      <c r="R4284" s="71"/>
      <c r="S4284" s="61"/>
      <c r="T4284" s="61"/>
      <c r="U4284" s="61"/>
      <c r="V4284" s="61"/>
      <c r="W4284" s="61"/>
      <c r="X4284" s="61"/>
      <c r="Y4284" s="61"/>
      <c r="Z4284" s="61"/>
      <c r="AA4284" s="61"/>
      <c r="AB4284" s="61"/>
      <c r="AC4284" s="61"/>
      <c r="AD4284" s="61"/>
      <c r="AE4284" s="61"/>
      <c r="AF4284" s="61"/>
      <c r="AG4284" s="61"/>
      <c r="AH4284" s="61"/>
      <c r="AI4284" s="61"/>
      <c r="AJ4284" s="61"/>
      <c r="AK4284" s="61"/>
      <c r="AL4284" s="61"/>
      <c r="AM4284" s="61"/>
      <c r="AN4284" s="61"/>
      <c r="AO4284" s="61"/>
    </row>
    <row r="4285" spans="1:41" s="135" customFormat="1" ht="31.5" x14ac:dyDescent="0.25">
      <c r="A4285" s="358"/>
      <c r="B4285" s="361"/>
      <c r="C4285" s="364"/>
      <c r="D4285" s="156" t="s">
        <v>395</v>
      </c>
      <c r="E4285" s="156" t="s">
        <v>98</v>
      </c>
      <c r="F4285" s="156" t="s">
        <v>98</v>
      </c>
      <c r="G4285" s="238">
        <f>MROUND(H4285*L4285*I4285/K4285,0.0000000001)</f>
        <v>7.9181180000000007E-4</v>
      </c>
      <c r="H4285" s="242">
        <f>$H$57</f>
        <v>18.939999999999998</v>
      </c>
      <c r="I4285" s="159">
        <f t="shared" si="1045"/>
        <v>2.1153999999999999E-2</v>
      </c>
      <c r="J4285" s="160"/>
      <c r="K4285" s="161">
        <f>K4284</f>
        <v>506</v>
      </c>
      <c r="L4285" s="162">
        <v>1</v>
      </c>
      <c r="M4285" s="163" t="str">
        <f>CONCATENATE(H4285," ",F4285,"(обрабатываемая площадь в год)","*",L4285," раз в год","*",I4285,"/",K4285,"чел.")</f>
        <v>18,94 Га(обрабатываемая площадь в год)*1 раз в год*0,021154/506чел.</v>
      </c>
      <c r="N4285" s="164">
        <f>$N$57</f>
        <v>545</v>
      </c>
      <c r="O4285" s="165">
        <f t="shared" si="1057"/>
        <v>0.431537</v>
      </c>
      <c r="P4285" s="166"/>
      <c r="Q4285" s="166">
        <f t="shared" si="1058"/>
        <v>218.357722</v>
      </c>
      <c r="R4285" s="71"/>
      <c r="S4285" s="61"/>
      <c r="T4285" s="61"/>
      <c r="U4285" s="61"/>
      <c r="V4285" s="61"/>
      <c r="W4285" s="61"/>
      <c r="X4285" s="61"/>
      <c r="Y4285" s="61"/>
      <c r="Z4285" s="61"/>
      <c r="AA4285" s="61"/>
      <c r="AB4285" s="61"/>
      <c r="AC4285" s="61"/>
      <c r="AD4285" s="61"/>
      <c r="AE4285" s="61"/>
      <c r="AF4285" s="61"/>
      <c r="AG4285" s="61"/>
      <c r="AH4285" s="61"/>
      <c r="AI4285" s="61"/>
      <c r="AJ4285" s="61"/>
      <c r="AK4285" s="61"/>
      <c r="AL4285" s="61"/>
      <c r="AM4285" s="61"/>
      <c r="AN4285" s="61"/>
      <c r="AO4285" s="61"/>
    </row>
    <row r="4286" spans="1:41" s="61" customFormat="1" ht="31.5" x14ac:dyDescent="0.25">
      <c r="A4286" s="358"/>
      <c r="B4286" s="361"/>
      <c r="C4286" s="364"/>
      <c r="D4286" s="156" t="s">
        <v>97</v>
      </c>
      <c r="E4286" s="156" t="s">
        <v>98</v>
      </c>
      <c r="F4286" s="156" t="s">
        <v>98</v>
      </c>
      <c r="G4286" s="238">
        <f>MROUND(H4286*L4286*I4286/K4286,0.000000001)</f>
        <v>7.9181200000000003E-4</v>
      </c>
      <c r="H4286" s="242">
        <f>H3446</f>
        <v>18.939999999999998</v>
      </c>
      <c r="I4286" s="244">
        <f>I4282</f>
        <v>2.1153999999999999E-2</v>
      </c>
      <c r="J4286" s="160"/>
      <c r="K4286" s="161">
        <f>K4282</f>
        <v>506</v>
      </c>
      <c r="L4286" s="250">
        <v>1</v>
      </c>
      <c r="M4286" s="163" t="str">
        <f>CONCATENATE(H4286," ",F4286,"(обрабатываемая площадь в мес.)","*",L4286,"мес.","*",I4286,"/",K4286,"чел.")</f>
        <v>18,94 Га(обрабатываемая площадь в мес.)*1мес.*0,021154/506чел.</v>
      </c>
      <c r="N4286" s="164">
        <f>N3446</f>
        <v>3102.4186906018999</v>
      </c>
      <c r="O4286" s="165">
        <f t="shared" si="1057"/>
        <v>2.4565319999999997</v>
      </c>
      <c r="P4286" s="166"/>
      <c r="Q4286" s="166">
        <f t="shared" si="1058"/>
        <v>1243.0051919999999</v>
      </c>
      <c r="R4286" s="71"/>
    </row>
    <row r="4287" spans="1:41" s="62" customFormat="1" x14ac:dyDescent="0.25">
      <c r="A4287" s="358"/>
      <c r="B4287" s="361"/>
      <c r="C4287" s="245" t="s">
        <v>294</v>
      </c>
      <c r="D4287" s="240"/>
      <c r="E4287" s="240"/>
      <c r="F4287" s="240"/>
      <c r="G4287" s="227"/>
      <c r="H4287" s="241"/>
      <c r="I4287" s="206"/>
      <c r="J4287" s="228"/>
      <c r="K4287" s="207"/>
      <c r="L4287" s="257"/>
      <c r="M4287" s="209"/>
      <c r="N4287" s="210"/>
      <c r="O4287" s="198">
        <f>SUM(O4281:O4286)</f>
        <v>71.081271999999998</v>
      </c>
      <c r="P4287" s="267"/>
      <c r="Q4287" s="166"/>
      <c r="R4287" s="71"/>
    </row>
    <row r="4288" spans="1:41" s="61" customFormat="1" ht="63" x14ac:dyDescent="0.25">
      <c r="A4288" s="358"/>
      <c r="B4288" s="361"/>
      <c r="C4288" s="365" t="s">
        <v>77</v>
      </c>
      <c r="D4288" s="156" t="s">
        <v>29</v>
      </c>
      <c r="E4288" s="156" t="s">
        <v>58</v>
      </c>
      <c r="F4288" s="156" t="s">
        <v>218</v>
      </c>
      <c r="G4288" s="238">
        <f>MROUND(H4288*L4288*I4288/K4288,0.00000001)</f>
        <v>2.5083800000000002E-3</v>
      </c>
      <c r="H4288" s="158">
        <v>15</v>
      </c>
      <c r="I4288" s="159">
        <f>I4286</f>
        <v>2.1153999999999999E-2</v>
      </c>
      <c r="J4288" s="160"/>
      <c r="K4288" s="161">
        <f>K4286</f>
        <v>506</v>
      </c>
      <c r="L4288" s="162">
        <v>4</v>
      </c>
      <c r="M4288" s="163" t="str">
        <f>CONCATENATE(H4288," ",F4288,"*",L4288," раза в год","*",I4288,"/",K4288,"чел.")</f>
        <v>15 установок*4 раза в год*0,021154/506чел.</v>
      </c>
      <c r="N4288" s="164">
        <f>N3448</f>
        <v>2264.8651666666669</v>
      </c>
      <c r="O4288" s="165">
        <f t="shared" ref="O4288:O4296" si="1059">MROUND(G4288*N4288,0.000001)</f>
        <v>5.6811419999999995</v>
      </c>
      <c r="P4288" s="166"/>
      <c r="Q4288" s="166">
        <f t="shared" ref="Q4288:Q4303" si="1060">O4288*K4288</f>
        <v>2874.6578519999998</v>
      </c>
      <c r="R4288" s="71"/>
    </row>
    <row r="4289" spans="1:18" s="61" customFormat="1" ht="47.25" x14ac:dyDescent="0.25">
      <c r="A4289" s="358"/>
      <c r="B4289" s="361"/>
      <c r="C4289" s="366"/>
      <c r="D4289" s="156" t="s">
        <v>30</v>
      </c>
      <c r="E4289" s="156" t="s">
        <v>58</v>
      </c>
      <c r="F4289" s="156" t="s">
        <v>218</v>
      </c>
      <c r="G4289" s="238">
        <f>MROUND(H4289*L4289*I4289/K4289,0.00000001)</f>
        <v>1.2541900000000001E-3</v>
      </c>
      <c r="H4289" s="158">
        <v>15</v>
      </c>
      <c r="I4289" s="159">
        <f t="shared" si="1045"/>
        <v>2.1153999999999999E-2</v>
      </c>
      <c r="J4289" s="160"/>
      <c r="K4289" s="161">
        <f t="shared" ref="K4289:K4297" si="1061">K4288</f>
        <v>506</v>
      </c>
      <c r="L4289" s="250">
        <v>2</v>
      </c>
      <c r="M4289" s="163" t="str">
        <f>CONCATENATE(H4289," ",F4289,"*",L4289,"полуг.","*",I4289,"/",K4289,"чел.")</f>
        <v>15 установок*2полуг.*0,021154/506чел.</v>
      </c>
      <c r="N4289" s="164">
        <f>N3569</f>
        <v>4529.7303333333339</v>
      </c>
      <c r="O4289" s="165">
        <f t="shared" si="1059"/>
        <v>5.6811419999999995</v>
      </c>
      <c r="P4289" s="166"/>
      <c r="Q4289" s="166">
        <f t="shared" si="1060"/>
        <v>2874.6578519999998</v>
      </c>
      <c r="R4289" s="71"/>
    </row>
    <row r="4290" spans="1:18" s="61" customFormat="1" ht="31.5" x14ac:dyDescent="0.25">
      <c r="A4290" s="358"/>
      <c r="B4290" s="361"/>
      <c r="C4290" s="366"/>
      <c r="D4290" s="156" t="s">
        <v>397</v>
      </c>
      <c r="E4290" s="156" t="s">
        <v>433</v>
      </c>
      <c r="F4290" s="156" t="s">
        <v>433</v>
      </c>
      <c r="G4290" s="238">
        <f>MROUND(H4290*L4290*I4290/K4290,0.000001)</f>
        <v>1.2541999999999999E-2</v>
      </c>
      <c r="H4290" s="158">
        <f>H3450</f>
        <v>300</v>
      </c>
      <c r="I4290" s="159">
        <f t="shared" si="1045"/>
        <v>2.1153999999999999E-2</v>
      </c>
      <c r="J4290" s="160"/>
      <c r="K4290" s="161">
        <f t="shared" si="1061"/>
        <v>506</v>
      </c>
      <c r="L4290" s="162">
        <v>1</v>
      </c>
      <c r="M4290" s="163" t="str">
        <f>CONCATENATE(H4290," ",F4290,"(обрабатываемая площадь в год)","*",L4290," раз в год","*",I4290,"/",K4290,"чел.")</f>
        <v>300 м2.(обрабатываемая площадь в год)*1 раз в год*0,021154/506чел.</v>
      </c>
      <c r="N4290" s="164">
        <f>N3450</f>
        <v>300</v>
      </c>
      <c r="O4290" s="165">
        <f t="shared" si="1059"/>
        <v>3.7625999999999999</v>
      </c>
      <c r="P4290" s="166"/>
      <c r="Q4290" s="166">
        <f t="shared" si="1060"/>
        <v>1903.8756000000001</v>
      </c>
      <c r="R4290" s="71"/>
    </row>
    <row r="4291" spans="1:18" s="61" customFormat="1" ht="47.25" x14ac:dyDescent="0.25">
      <c r="A4291" s="358"/>
      <c r="B4291" s="361"/>
      <c r="C4291" s="366"/>
      <c r="D4291" s="156" t="s">
        <v>32</v>
      </c>
      <c r="E4291" s="156" t="s">
        <v>55</v>
      </c>
      <c r="F4291" s="156" t="s">
        <v>219</v>
      </c>
      <c r="G4291" s="238">
        <f>MROUND(H4291*L4291*I4291/K4291,0.000000001)</f>
        <v>6.0201110000000007E-3</v>
      </c>
      <c r="H4291" s="158">
        <f>H3571</f>
        <v>36</v>
      </c>
      <c r="I4291" s="159">
        <f>I4290</f>
        <v>2.1153999999999999E-2</v>
      </c>
      <c r="J4291" s="160"/>
      <c r="K4291" s="161">
        <f t="shared" si="1061"/>
        <v>506</v>
      </c>
      <c r="L4291" s="250">
        <v>4</v>
      </c>
      <c r="M4291" s="163" t="str">
        <f>CONCATENATE(H4291," ",F4291,"*",L4291,"кв.","*",I4291,"/",K4291,"чел.")</f>
        <v>36 системы*4кв.*0,021154/506чел.</v>
      </c>
      <c r="N4291" s="164">
        <f>N3571</f>
        <v>7243.0565277777823</v>
      </c>
      <c r="O4291" s="165">
        <f t="shared" si="1059"/>
        <v>43.604003999999996</v>
      </c>
      <c r="P4291" s="166"/>
      <c r="Q4291" s="166">
        <f t="shared" si="1060"/>
        <v>22063.626023999997</v>
      </c>
      <c r="R4291" s="71"/>
    </row>
    <row r="4292" spans="1:18" s="61" customFormat="1" ht="63" x14ac:dyDescent="0.25">
      <c r="A4292" s="358"/>
      <c r="B4292" s="361"/>
      <c r="C4292" s="366"/>
      <c r="D4292" s="156" t="s">
        <v>33</v>
      </c>
      <c r="E4292" s="156" t="s">
        <v>56</v>
      </c>
      <c r="F4292" s="156" t="s">
        <v>220</v>
      </c>
      <c r="G4292" s="238">
        <f>MROUND(H4292*L4292*I4292/K4292,0.000000001)</f>
        <v>1.5050280000000001E-3</v>
      </c>
      <c r="H4292" s="158">
        <f>$H$64</f>
        <v>36</v>
      </c>
      <c r="I4292" s="159">
        <f>I4291</f>
        <v>2.1153999999999999E-2</v>
      </c>
      <c r="J4292" s="160"/>
      <c r="K4292" s="161">
        <f t="shared" si="1061"/>
        <v>506</v>
      </c>
      <c r="L4292" s="162">
        <v>1</v>
      </c>
      <c r="M4292" s="163" t="str">
        <f>CONCATENATE(H4292," ",F4292,"*",L4292," раз в год","*",I4292,"/",K4292,"чел.")</f>
        <v>36 дымоходов*1 раз в год*0,021154/506чел.</v>
      </c>
      <c r="N4292" s="164">
        <f t="shared" ref="N4292:N4298" si="1062">N3452</f>
        <v>7030.863333333331</v>
      </c>
      <c r="O4292" s="165">
        <f t="shared" si="1059"/>
        <v>10.581645999999999</v>
      </c>
      <c r="P4292" s="166"/>
      <c r="Q4292" s="166">
        <f t="shared" si="1060"/>
        <v>5354.312876</v>
      </c>
      <c r="R4292" s="71"/>
    </row>
    <row r="4293" spans="1:18" s="61" customFormat="1" x14ac:dyDescent="0.25">
      <c r="A4293" s="358"/>
      <c r="B4293" s="361"/>
      <c r="C4293" s="366"/>
      <c r="D4293" s="194" t="s">
        <v>398</v>
      </c>
      <c r="E4293" s="156" t="s">
        <v>60</v>
      </c>
      <c r="F4293" s="156" t="s">
        <v>60</v>
      </c>
      <c r="G4293" s="238">
        <f>MROUND(H4293*L4293*I4293/K4293,0.000000001)</f>
        <v>1.463221E-3</v>
      </c>
      <c r="H4293" s="246">
        <f>H3453</f>
        <v>35</v>
      </c>
      <c r="I4293" s="159">
        <f t="shared" si="1045"/>
        <v>2.1153999999999999E-2</v>
      </c>
      <c r="J4293" s="160"/>
      <c r="K4293" s="161">
        <f t="shared" si="1061"/>
        <v>506</v>
      </c>
      <c r="L4293" s="250">
        <v>1</v>
      </c>
      <c r="M4293" s="163" t="str">
        <f>CONCATENATE(H4293," ",F4293,"*",I4293,"/",K4293,"чел.")</f>
        <v>35 шт.*0,021154/506чел.</v>
      </c>
      <c r="N4293" s="164">
        <f t="shared" si="1062"/>
        <v>12173.433428571419</v>
      </c>
      <c r="O4293" s="165">
        <f t="shared" si="1059"/>
        <v>17.812422999999999</v>
      </c>
      <c r="P4293" s="166"/>
      <c r="Q4293" s="166">
        <f t="shared" si="1060"/>
        <v>9013.0860379999995</v>
      </c>
      <c r="R4293" s="71"/>
    </row>
    <row r="4294" spans="1:18" s="61" customFormat="1" ht="47.25" x14ac:dyDescent="0.25">
      <c r="A4294" s="358"/>
      <c r="B4294" s="361"/>
      <c r="C4294" s="366"/>
      <c r="D4294" s="156" t="s">
        <v>401</v>
      </c>
      <c r="E4294" s="156" t="s">
        <v>60</v>
      </c>
      <c r="F4294" s="156" t="s">
        <v>402</v>
      </c>
      <c r="G4294" s="238">
        <f>MROUND(H4294*L4294*I4294/K4294,0.000001)</f>
        <v>2.9259999999999998E-3</v>
      </c>
      <c r="H4294" s="246">
        <f>H3454</f>
        <v>35</v>
      </c>
      <c r="I4294" s="159">
        <f t="shared" si="1045"/>
        <v>2.1153999999999999E-2</v>
      </c>
      <c r="J4294" s="160"/>
      <c r="K4294" s="161">
        <f t="shared" si="1061"/>
        <v>506</v>
      </c>
      <c r="L4294" s="162">
        <v>2</v>
      </c>
      <c r="M4294" s="163" t="str">
        <f>CONCATENATE(H4294," ",F4294,"*",L4294," раз в год","*",I4294,"/",K4294,"чел.")</f>
        <v>35 противопожарных водопроводов*2 раз в год*0,021154/506чел.</v>
      </c>
      <c r="N4294" s="164">
        <f t="shared" si="1062"/>
        <v>5700.7000000000025</v>
      </c>
      <c r="O4294" s="165">
        <f t="shared" si="1059"/>
        <v>16.680247999999999</v>
      </c>
      <c r="P4294" s="166"/>
      <c r="Q4294" s="166">
        <f t="shared" si="1060"/>
        <v>8440.2054879999996</v>
      </c>
      <c r="R4294" s="71"/>
    </row>
    <row r="4295" spans="1:18" s="61" customFormat="1" ht="31.5" x14ac:dyDescent="0.25">
      <c r="A4295" s="358"/>
      <c r="B4295" s="361"/>
      <c r="C4295" s="366"/>
      <c r="D4295" s="156" t="s">
        <v>221</v>
      </c>
      <c r="E4295" s="156" t="s">
        <v>60</v>
      </c>
      <c r="F4295" s="156" t="s">
        <v>60</v>
      </c>
      <c r="G4295" s="238">
        <f>MROUND(H4295*L4295*I4295/K4295,0.000000001)</f>
        <v>9.0301660000000009E-3</v>
      </c>
      <c r="H4295" s="158">
        <f>H3455</f>
        <v>18</v>
      </c>
      <c r="I4295" s="159">
        <f t="shared" si="1045"/>
        <v>2.1153999999999999E-2</v>
      </c>
      <c r="J4295" s="160"/>
      <c r="K4295" s="161">
        <f t="shared" si="1061"/>
        <v>506</v>
      </c>
      <c r="L4295" s="250">
        <v>12</v>
      </c>
      <c r="M4295" s="163" t="str">
        <f>CONCATENATE(H4295," ",F4295,"*",L4295,"мес.","*",I4295,"/",K4295,"чел.")</f>
        <v>18 шт.*12мес.*0,021154/506чел.</v>
      </c>
      <c r="N4295" s="164">
        <f t="shared" si="1062"/>
        <v>6577.3408796296308</v>
      </c>
      <c r="O4295" s="165">
        <f t="shared" si="1059"/>
        <v>59.394479999999994</v>
      </c>
      <c r="P4295" s="166"/>
      <c r="Q4295" s="166">
        <f t="shared" si="1060"/>
        <v>30053.606879999996</v>
      </c>
      <c r="R4295" s="71"/>
    </row>
    <row r="4296" spans="1:18" s="61" customFormat="1" ht="47.25" x14ac:dyDescent="0.25">
      <c r="A4296" s="358"/>
      <c r="B4296" s="361"/>
      <c r="C4296" s="366"/>
      <c r="D4296" s="156" t="s">
        <v>34</v>
      </c>
      <c r="E4296" s="156" t="s">
        <v>59</v>
      </c>
      <c r="F4296" s="156" t="s">
        <v>28</v>
      </c>
      <c r="G4296" s="238">
        <f>MROUND(H4296*L4296*I4296/K4296,0.0000000001)</f>
        <v>8.36126E-5</v>
      </c>
      <c r="H4296" s="158">
        <f>H3456</f>
        <v>2</v>
      </c>
      <c r="I4296" s="159">
        <f t="shared" si="1045"/>
        <v>2.1153999999999999E-2</v>
      </c>
      <c r="J4296" s="160"/>
      <c r="K4296" s="161">
        <f t="shared" si="1061"/>
        <v>506</v>
      </c>
      <c r="L4296" s="250">
        <v>1</v>
      </c>
      <c r="M4296" s="163" t="str">
        <f>CONCATENATE(H4296," ",F4296,"*",I4296,"/",K4296,"чел.")</f>
        <v>2 шт*0,021154/506чел.</v>
      </c>
      <c r="N4296" s="164">
        <f t="shared" si="1062"/>
        <v>7845</v>
      </c>
      <c r="O4296" s="165">
        <f t="shared" si="1059"/>
        <v>0.655941</v>
      </c>
      <c r="P4296" s="166"/>
      <c r="Q4296" s="166">
        <f t="shared" si="1060"/>
        <v>331.90614599999998</v>
      </c>
      <c r="R4296" s="71"/>
    </row>
    <row r="4297" spans="1:18" s="61" customFormat="1" ht="47.25" x14ac:dyDescent="0.25">
      <c r="A4297" s="358"/>
      <c r="B4297" s="361"/>
      <c r="C4297" s="366"/>
      <c r="D4297" s="156" t="s">
        <v>222</v>
      </c>
      <c r="E4297" s="156" t="s">
        <v>60</v>
      </c>
      <c r="F4297" s="156" t="s">
        <v>60</v>
      </c>
      <c r="G4297" s="238">
        <f>MROUND(H4297*L4297*I4297/K4297,0.00000000001)</f>
        <v>2.0903162E-4</v>
      </c>
      <c r="H4297" s="248">
        <f>H3577</f>
        <v>5</v>
      </c>
      <c r="I4297" s="159">
        <f t="shared" si="1045"/>
        <v>2.1153999999999999E-2</v>
      </c>
      <c r="J4297" s="160"/>
      <c r="K4297" s="161">
        <f t="shared" si="1061"/>
        <v>506</v>
      </c>
      <c r="L4297" s="250">
        <v>1</v>
      </c>
      <c r="M4297" s="163" t="str">
        <f>CONCATENATE(H4297," ",F4297,"*",I4297,"/",K4297,"чел.")</f>
        <v>5 шт.*0,021154/506чел.</v>
      </c>
      <c r="N4297" s="164">
        <f t="shared" si="1062"/>
        <v>43857.106</v>
      </c>
      <c r="O4297" s="165">
        <f>MROUND(G4297*N4297,0.00000001)</f>
        <v>9.1675219200000004</v>
      </c>
      <c r="P4297" s="166"/>
      <c r="Q4297" s="166">
        <f t="shared" si="1060"/>
        <v>4638.7660915200004</v>
      </c>
      <c r="R4297" s="71"/>
    </row>
    <row r="4298" spans="1:18" s="61" customFormat="1" ht="31.5" x14ac:dyDescent="0.25">
      <c r="A4298" s="358"/>
      <c r="B4298" s="361"/>
      <c r="C4298" s="366"/>
      <c r="D4298" s="156" t="s">
        <v>35</v>
      </c>
      <c r="E4298" s="156" t="s">
        <v>102</v>
      </c>
      <c r="F4298" s="156" t="s">
        <v>223</v>
      </c>
      <c r="G4298" s="238">
        <f>MROUND(H4298*L4298*I4298/K4298,0.00000001)</f>
        <v>1.4632200000000001E-3</v>
      </c>
      <c r="H4298" s="158">
        <f>H3458</f>
        <v>35</v>
      </c>
      <c r="I4298" s="159">
        <f>I4296</f>
        <v>2.1153999999999999E-2</v>
      </c>
      <c r="J4298" s="160"/>
      <c r="K4298" s="161">
        <f>K4296</f>
        <v>506</v>
      </c>
      <c r="L4298" s="250">
        <v>1</v>
      </c>
      <c r="M4298" s="163" t="str">
        <f>CONCATENATE(H4298," ",F4298,"*",I4298,"/",K4298,"чел.")</f>
        <v>35 замеров*0,021154/506чел.</v>
      </c>
      <c r="N4298" s="164">
        <f t="shared" si="1062"/>
        <v>26428.571428571428</v>
      </c>
      <c r="O4298" s="165">
        <f t="shared" ref="O4298:O4303" si="1063">MROUND(G4298*N4298,0.000001)</f>
        <v>38.670814</v>
      </c>
      <c r="P4298" s="166"/>
      <c r="Q4298" s="166">
        <f t="shared" si="1060"/>
        <v>19567.431884000001</v>
      </c>
      <c r="R4298" s="71"/>
    </row>
    <row r="4299" spans="1:18" s="61" customFormat="1" ht="47.25" x14ac:dyDescent="0.25">
      <c r="A4299" s="358"/>
      <c r="B4299" s="361"/>
      <c r="C4299" s="366"/>
      <c r="D4299" s="156" t="s">
        <v>399</v>
      </c>
      <c r="E4299" s="156" t="s">
        <v>60</v>
      </c>
      <c r="F4299" s="156" t="s">
        <v>60</v>
      </c>
      <c r="G4299" s="238">
        <f>MROUND(H4299*L4299*I4299/K4299,0.000000001)</f>
        <v>1.4632213000000002E-2</v>
      </c>
      <c r="H4299" s="158">
        <f>H3699</f>
        <v>35</v>
      </c>
      <c r="I4299" s="159">
        <f t="shared" si="1045"/>
        <v>2.1153999999999999E-2</v>
      </c>
      <c r="J4299" s="160"/>
      <c r="K4299" s="161">
        <f>K4298</f>
        <v>506</v>
      </c>
      <c r="L4299" s="250">
        <v>10</v>
      </c>
      <c r="M4299" s="163" t="str">
        <f>CONCATENATE(H4299," ",F4299,"*",L4299,"мес.","*",I4299,"/",K4299,"чел.")</f>
        <v>35 шт.*10мес.*0,021154/506чел.</v>
      </c>
      <c r="N4299" s="164">
        <f>N3699</f>
        <v>3250.866542857143</v>
      </c>
      <c r="O4299" s="165">
        <f t="shared" si="1063"/>
        <v>47.567371999999999</v>
      </c>
      <c r="P4299" s="166"/>
      <c r="Q4299" s="166">
        <f t="shared" si="1060"/>
        <v>24069.090231999999</v>
      </c>
      <c r="R4299" s="71"/>
    </row>
    <row r="4300" spans="1:18" s="61" customFormat="1" ht="47.25" x14ac:dyDescent="0.25">
      <c r="A4300" s="358"/>
      <c r="B4300" s="361"/>
      <c r="C4300" s="366"/>
      <c r="D4300" s="156" t="s">
        <v>36</v>
      </c>
      <c r="E4300" s="156" t="s">
        <v>31</v>
      </c>
      <c r="F4300" s="156" t="s">
        <v>224</v>
      </c>
      <c r="G4300" s="238">
        <f>MROUND(H4300*L4300*I4300/K4300,0.00000001)</f>
        <v>1.8060329999999999E-2</v>
      </c>
      <c r="H4300" s="158">
        <f>H3580</f>
        <v>36</v>
      </c>
      <c r="I4300" s="159">
        <f t="shared" si="1045"/>
        <v>2.1153999999999999E-2</v>
      </c>
      <c r="J4300" s="160"/>
      <c r="K4300" s="161">
        <f>K4299</f>
        <v>506</v>
      </c>
      <c r="L4300" s="250">
        <v>12</v>
      </c>
      <c r="M4300" s="163" t="str">
        <f>CONCATENATE(H4300," ",F4300,"*",L4300,"мес.","*",I4300,"/",K4300,"чел.")</f>
        <v>36 устройств*12мес.*0,021154/506чел.</v>
      </c>
      <c r="N4300" s="164">
        <f>N3460</f>
        <v>2508.3083101851839</v>
      </c>
      <c r="O4300" s="165">
        <f t="shared" si="1063"/>
        <v>45.300875999999995</v>
      </c>
      <c r="P4300" s="166"/>
      <c r="Q4300" s="166">
        <f t="shared" si="1060"/>
        <v>22922.243255999998</v>
      </c>
      <c r="R4300" s="71"/>
    </row>
    <row r="4301" spans="1:18" s="61" customFormat="1" ht="31.5" x14ac:dyDescent="0.25">
      <c r="A4301" s="358"/>
      <c r="B4301" s="361"/>
      <c r="C4301" s="366"/>
      <c r="D4301" s="156" t="s">
        <v>99</v>
      </c>
      <c r="E4301" s="156" t="s">
        <v>103</v>
      </c>
      <c r="F4301" s="156" t="s">
        <v>225</v>
      </c>
      <c r="G4301" s="238">
        <f>MROUND(H4301*L4301*I4301/K4301,0.00000001)</f>
        <v>1.045158E-2</v>
      </c>
      <c r="H4301" s="158">
        <f>H3461</f>
        <v>250</v>
      </c>
      <c r="I4301" s="159">
        <f t="shared" si="1045"/>
        <v>2.1153999999999999E-2</v>
      </c>
      <c r="J4301" s="160"/>
      <c r="K4301" s="161">
        <f>K4300</f>
        <v>506</v>
      </c>
      <c r="L4301" s="250">
        <v>1</v>
      </c>
      <c r="M4301" s="163" t="str">
        <f>CONCATENATE(H4301," ",F4301,"*",I4301,"/",K4301,"чел.")</f>
        <v>250 ед.*0,021154/506чел.</v>
      </c>
      <c r="N4301" s="164">
        <f>N3461</f>
        <v>15000</v>
      </c>
      <c r="O4301" s="165">
        <f t="shared" si="1063"/>
        <v>156.77369999999999</v>
      </c>
      <c r="P4301" s="166"/>
      <c r="Q4301" s="166">
        <f t="shared" si="1060"/>
        <v>79327.492199999993</v>
      </c>
      <c r="R4301" s="71"/>
    </row>
    <row r="4302" spans="1:18" s="61" customFormat="1" x14ac:dyDescent="0.25">
      <c r="A4302" s="358"/>
      <c r="B4302" s="361"/>
      <c r="C4302" s="366"/>
      <c r="D4302" s="156" t="s">
        <v>27</v>
      </c>
      <c r="E4302" s="156" t="s">
        <v>28</v>
      </c>
      <c r="F4302" s="156" t="s">
        <v>28</v>
      </c>
      <c r="G4302" s="238">
        <f>MROUND(H4302*L4302*I4302/K4302,0.000000001)</f>
        <v>0.151965988</v>
      </c>
      <c r="H4302" s="160">
        <f>H3462</f>
        <v>3635</v>
      </c>
      <c r="I4302" s="159">
        <f t="shared" si="1045"/>
        <v>2.1153999999999999E-2</v>
      </c>
      <c r="J4302" s="160"/>
      <c r="K4302" s="161">
        <f>K4301</f>
        <v>506</v>
      </c>
      <c r="L4302" s="250">
        <v>1</v>
      </c>
      <c r="M4302" s="163" t="str">
        <f>CONCATENATE(H4302," ",F4302,"*",I4302,"/",K4302,"чел.")</f>
        <v>3635 шт*0,021154/506чел.</v>
      </c>
      <c r="N4302" s="164">
        <f>N3582</f>
        <v>418.4</v>
      </c>
      <c r="O4302" s="165">
        <f t="shared" si="1063"/>
        <v>63.582568999999999</v>
      </c>
      <c r="P4302" s="166"/>
      <c r="Q4302" s="166">
        <f t="shared" si="1060"/>
        <v>32172.779913999999</v>
      </c>
      <c r="R4302" s="71"/>
    </row>
    <row r="4303" spans="1:18" s="61" customFormat="1" ht="31.5" x14ac:dyDescent="0.25">
      <c r="A4303" s="358"/>
      <c r="B4303" s="361"/>
      <c r="C4303" s="367"/>
      <c r="D4303" s="156" t="s">
        <v>104</v>
      </c>
      <c r="E4303" s="156" t="s">
        <v>105</v>
      </c>
      <c r="F4303" s="156" t="s">
        <v>226</v>
      </c>
      <c r="G4303" s="238">
        <f>MROUND(H4303*L4303*I4303/K4303,0.00000001)</f>
        <v>1.5050300000000001E-3</v>
      </c>
      <c r="H4303" s="160">
        <f>H3463</f>
        <v>36</v>
      </c>
      <c r="I4303" s="159">
        <f t="shared" si="1045"/>
        <v>2.1153999999999999E-2</v>
      </c>
      <c r="J4303" s="160"/>
      <c r="K4303" s="161">
        <f>K4302</f>
        <v>506</v>
      </c>
      <c r="L4303" s="250">
        <v>1</v>
      </c>
      <c r="M4303" s="163" t="str">
        <f>CONCATENATE(H4303," ",F4303,"*",I4303,"/",K4303,"чел.")</f>
        <v>36 отключений*0,021154/506чел.</v>
      </c>
      <c r="N4303" s="164">
        <f>N3463</f>
        <v>10261.260000000004</v>
      </c>
      <c r="O4303" s="165">
        <f t="shared" si="1063"/>
        <v>15.443503999999999</v>
      </c>
      <c r="P4303" s="166"/>
      <c r="Q4303" s="166">
        <f t="shared" si="1060"/>
        <v>7814.4130239999995</v>
      </c>
      <c r="R4303" s="71"/>
    </row>
    <row r="4304" spans="1:18" s="62" customFormat="1" x14ac:dyDescent="0.25">
      <c r="A4304" s="358"/>
      <c r="B4304" s="361"/>
      <c r="C4304" s="249" t="s">
        <v>292</v>
      </c>
      <c r="D4304" s="240"/>
      <c r="E4304" s="240"/>
      <c r="F4304" s="240"/>
      <c r="G4304" s="227"/>
      <c r="H4304" s="228"/>
      <c r="I4304" s="206"/>
      <c r="J4304" s="228"/>
      <c r="K4304" s="207"/>
      <c r="L4304" s="257"/>
      <c r="M4304" s="209"/>
      <c r="N4304" s="210"/>
      <c r="O4304" s="198">
        <f>SUM(O4288:O4303)</f>
        <v>540.35998291999999</v>
      </c>
      <c r="P4304" s="267"/>
      <c r="Q4304" s="166"/>
      <c r="R4304" s="71"/>
    </row>
    <row r="4305" spans="1:18" s="61" customFormat="1" ht="31.5" x14ac:dyDescent="0.25">
      <c r="A4305" s="358"/>
      <c r="B4305" s="361"/>
      <c r="C4305" s="221" t="s">
        <v>79</v>
      </c>
      <c r="D4305" s="156" t="s">
        <v>37</v>
      </c>
      <c r="E4305" s="156" t="s">
        <v>61</v>
      </c>
      <c r="F4305" s="156" t="s">
        <v>227</v>
      </c>
      <c r="G4305" s="238">
        <f>MROUND(H4305*L4305*I4305/K4305,0.000000001)</f>
        <v>1.6722500000000001E-4</v>
      </c>
      <c r="H4305" s="158">
        <f>H3465</f>
        <v>4</v>
      </c>
      <c r="I4305" s="159">
        <f>I4303</f>
        <v>2.1153999999999999E-2</v>
      </c>
      <c r="J4305" s="160"/>
      <c r="K4305" s="161">
        <f>K4303</f>
        <v>506</v>
      </c>
      <c r="L4305" s="250">
        <v>1</v>
      </c>
      <c r="M4305" s="163" t="str">
        <f>CONCATENATE(H4305," ",F4305,"*",I4305,"/",K4305,"чел.")</f>
        <v>4 автобуса*0,021154/506чел.</v>
      </c>
      <c r="N4305" s="164">
        <f>N3465</f>
        <v>36442.65</v>
      </c>
      <c r="O4305" s="165">
        <f>MROUND(G4305*N4305,0.000001)</f>
        <v>6.0941219999999996</v>
      </c>
      <c r="P4305" s="166"/>
      <c r="Q4305" s="166">
        <f t="shared" ref="Q4305" si="1064">O4305*K4305</f>
        <v>3083.625732</v>
      </c>
      <c r="R4305" s="71"/>
    </row>
    <row r="4306" spans="1:18" s="62" customFormat="1" x14ac:dyDescent="0.25">
      <c r="A4306" s="358"/>
      <c r="B4306" s="361"/>
      <c r="C4306" s="218" t="s">
        <v>295</v>
      </c>
      <c r="D4306" s="240"/>
      <c r="E4306" s="240"/>
      <c r="F4306" s="240"/>
      <c r="G4306" s="227"/>
      <c r="H4306" s="241"/>
      <c r="I4306" s="206"/>
      <c r="J4306" s="228"/>
      <c r="K4306" s="207"/>
      <c r="L4306" s="257"/>
      <c r="M4306" s="209"/>
      <c r="N4306" s="210"/>
      <c r="O4306" s="198">
        <f>SUM(O4305)</f>
        <v>6.0941219999999996</v>
      </c>
      <c r="P4306" s="267"/>
      <c r="Q4306" s="166"/>
      <c r="R4306" s="71"/>
    </row>
    <row r="4307" spans="1:18" s="61" customFormat="1" x14ac:dyDescent="0.25">
      <c r="A4307" s="358"/>
      <c r="B4307" s="361"/>
      <c r="C4307" s="364" t="s">
        <v>80</v>
      </c>
      <c r="D4307" s="156" t="s">
        <v>38</v>
      </c>
      <c r="E4307" s="156" t="s">
        <v>57</v>
      </c>
      <c r="F4307" s="156" t="s">
        <v>228</v>
      </c>
      <c r="G4307" s="238">
        <f>MROUND(H4307*L4307*I4307/K4307,0.000000001)</f>
        <v>1.8060332000000002E-2</v>
      </c>
      <c r="H4307" s="158">
        <f>H3467</f>
        <v>36</v>
      </c>
      <c r="I4307" s="159">
        <f>I4305</f>
        <v>2.1153999999999999E-2</v>
      </c>
      <c r="J4307" s="160"/>
      <c r="K4307" s="161">
        <f>K4305</f>
        <v>506</v>
      </c>
      <c r="L4307" s="250">
        <v>12</v>
      </c>
      <c r="M4307" s="163" t="str">
        <f>CONCATENATE(H4307," ",F4307,"*",L4307,"мес.","*",I4307,"/",K4307,"чел.")</f>
        <v>36 зданий*12мес.*0,021154/506чел.</v>
      </c>
      <c r="N4307" s="164">
        <f t="shared" ref="N4307:N4318" si="1065">N3467</f>
        <v>4910.5833101851858</v>
      </c>
      <c r="O4307" s="165">
        <f>MROUND(G4307*N4307,0.000001)</f>
        <v>88.686764999999994</v>
      </c>
      <c r="P4307" s="166"/>
      <c r="Q4307" s="166">
        <f t="shared" ref="Q4307:Q4320" si="1066">O4307*K4307</f>
        <v>44875.503089999998</v>
      </c>
      <c r="R4307" s="71"/>
    </row>
    <row r="4308" spans="1:18" s="61" customFormat="1" ht="47.25" x14ac:dyDescent="0.25">
      <c r="A4308" s="358"/>
      <c r="B4308" s="361"/>
      <c r="C4308" s="364"/>
      <c r="D4308" s="156" t="s">
        <v>229</v>
      </c>
      <c r="E4308" s="156" t="s">
        <v>60</v>
      </c>
      <c r="F4308" s="156" t="s">
        <v>60</v>
      </c>
      <c r="G4308" s="238">
        <f>MROUND(H4308*L4308*I4308/K4308,0.000001)</f>
        <v>0.10008399999999999</v>
      </c>
      <c r="H4308" s="158">
        <f>H3468</f>
        <v>2394</v>
      </c>
      <c r="I4308" s="159">
        <f>I4307</f>
        <v>2.1153999999999999E-2</v>
      </c>
      <c r="J4308" s="160"/>
      <c r="K4308" s="161">
        <f>K4307</f>
        <v>506</v>
      </c>
      <c r="L4308" s="250">
        <v>1</v>
      </c>
      <c r="M4308" s="163" t="str">
        <f t="shared" ref="M4308:M4315" si="1067">CONCATENATE(H4308," ",F4308,"*",I4308,"/",K4308,"чел.")</f>
        <v>2394 шт.*0,021154/506чел.</v>
      </c>
      <c r="N4308" s="164">
        <f t="shared" si="1065"/>
        <v>171.02101921470341</v>
      </c>
      <c r="O4308" s="165">
        <f>MROUND(G4308*N4308,0.000001)</f>
        <v>17.116467999999998</v>
      </c>
      <c r="P4308" s="166"/>
      <c r="Q4308" s="166">
        <f t="shared" si="1066"/>
        <v>8660.9328079999996</v>
      </c>
      <c r="R4308" s="71"/>
    </row>
    <row r="4309" spans="1:18" s="61" customFormat="1" ht="47.25" x14ac:dyDescent="0.25">
      <c r="A4309" s="358"/>
      <c r="B4309" s="361"/>
      <c r="C4309" s="364"/>
      <c r="D4309" s="156" t="s">
        <v>405</v>
      </c>
      <c r="E4309" s="156" t="s">
        <v>60</v>
      </c>
      <c r="F4309" s="156" t="s">
        <v>406</v>
      </c>
      <c r="G4309" s="238">
        <f>MROUND(H4309*L4309*I4309/K4309,0.00000001)</f>
        <v>1.5050300000000001E-3</v>
      </c>
      <c r="H4309" s="158">
        <f>H3709</f>
        <v>36</v>
      </c>
      <c r="I4309" s="159">
        <f>I4308</f>
        <v>2.1153999999999999E-2</v>
      </c>
      <c r="J4309" s="160"/>
      <c r="K4309" s="161">
        <f>K4308</f>
        <v>506</v>
      </c>
      <c r="L4309" s="250">
        <v>1</v>
      </c>
      <c r="M4309" s="163" t="str">
        <f t="shared" si="1067"/>
        <v>36 лицензий*0,021154/506чел.</v>
      </c>
      <c r="N4309" s="164">
        <f t="shared" si="1065"/>
        <v>12541.539999999994</v>
      </c>
      <c r="O4309" s="165">
        <f t="shared" ref="O4309:O4318" si="1068">MROUND(G4309*N4309,0.000001)</f>
        <v>18.875394</v>
      </c>
      <c r="P4309" s="166"/>
      <c r="Q4309" s="166">
        <f t="shared" si="1066"/>
        <v>9550.9493640000001</v>
      </c>
      <c r="R4309" s="71"/>
    </row>
    <row r="4310" spans="1:18" s="61" customFormat="1" ht="63" x14ac:dyDescent="0.25">
      <c r="A4310" s="358"/>
      <c r="B4310" s="361"/>
      <c r="C4310" s="364"/>
      <c r="D4310" s="156" t="s">
        <v>39</v>
      </c>
      <c r="E4310" s="156" t="s">
        <v>20</v>
      </c>
      <c r="F4310" s="156" t="s">
        <v>234</v>
      </c>
      <c r="G4310" s="238">
        <f>MROUND(H4310*L4310*I4310/K4310,0.000000001)</f>
        <v>4.9331460000000002E-3</v>
      </c>
      <c r="H4310" s="158">
        <f>H3830</f>
        <v>118</v>
      </c>
      <c r="I4310" s="159">
        <f>I4308</f>
        <v>2.1153999999999999E-2</v>
      </c>
      <c r="J4310" s="160"/>
      <c r="K4310" s="161">
        <f>K4308</f>
        <v>506</v>
      </c>
      <c r="L4310" s="250">
        <v>1</v>
      </c>
      <c r="M4310" s="163" t="str">
        <f t="shared" si="1067"/>
        <v>118 чел(заявленная потребность руководителями учреждений)*0,021154/506чел.</v>
      </c>
      <c r="N4310" s="164">
        <f t="shared" si="1065"/>
        <v>798.09796610169519</v>
      </c>
      <c r="O4310" s="165">
        <f t="shared" si="1068"/>
        <v>3.9371339999999999</v>
      </c>
      <c r="P4310" s="166"/>
      <c r="Q4310" s="166">
        <f t="shared" si="1066"/>
        <v>1992.1898039999999</v>
      </c>
      <c r="R4310" s="71"/>
    </row>
    <row r="4311" spans="1:18" s="61" customFormat="1" ht="63" x14ac:dyDescent="0.25">
      <c r="A4311" s="358"/>
      <c r="B4311" s="361"/>
      <c r="C4311" s="364"/>
      <c r="D4311" s="156" t="s">
        <v>40</v>
      </c>
      <c r="E4311" s="156" t="s">
        <v>20</v>
      </c>
      <c r="F4311" s="156" t="s">
        <v>234</v>
      </c>
      <c r="G4311" s="238">
        <f>MROUND(H4311*L4311*I4311/K4311,0.000000001)</f>
        <v>4.0134070000000001E-3</v>
      </c>
      <c r="H4311" s="158">
        <f>H3831</f>
        <v>96</v>
      </c>
      <c r="I4311" s="159">
        <f t="shared" ref="I4311:I4318" si="1069">I4310</f>
        <v>2.1153999999999999E-2</v>
      </c>
      <c r="J4311" s="160"/>
      <c r="K4311" s="161">
        <f t="shared" ref="K4311:K4318" si="1070">K4310</f>
        <v>506</v>
      </c>
      <c r="L4311" s="250">
        <v>1</v>
      </c>
      <c r="M4311" s="163" t="str">
        <f t="shared" si="1067"/>
        <v>96 чел(заявленная потребность руководителями учреждений)*0,021154/506чел.</v>
      </c>
      <c r="N4311" s="164">
        <f t="shared" si="1065"/>
        <v>1710.2100000000007</v>
      </c>
      <c r="O4311" s="165">
        <f t="shared" si="1068"/>
        <v>6.8637689999999996</v>
      </c>
      <c r="P4311" s="166"/>
      <c r="Q4311" s="166">
        <f t="shared" si="1066"/>
        <v>3473.0671139999999</v>
      </c>
      <c r="R4311" s="71"/>
    </row>
    <row r="4312" spans="1:18" s="61" customFormat="1" ht="63" x14ac:dyDescent="0.25">
      <c r="A4312" s="358"/>
      <c r="B4312" s="361"/>
      <c r="C4312" s="364"/>
      <c r="D4312" s="156" t="s">
        <v>100</v>
      </c>
      <c r="E4312" s="156" t="s">
        <v>20</v>
      </c>
      <c r="F4312" s="156" t="s">
        <v>234</v>
      </c>
      <c r="G4312" s="238">
        <f>MROUND(H4312*L4312*I4312/K4312,0.000000001)</f>
        <v>3.3863120000000003E-3</v>
      </c>
      <c r="H4312" s="158">
        <f>H3832</f>
        <v>81</v>
      </c>
      <c r="I4312" s="159">
        <f t="shared" si="1069"/>
        <v>2.1153999999999999E-2</v>
      </c>
      <c r="J4312" s="160"/>
      <c r="K4312" s="161">
        <f t="shared" si="1070"/>
        <v>506</v>
      </c>
      <c r="L4312" s="250">
        <v>1</v>
      </c>
      <c r="M4312" s="163" t="str">
        <f t="shared" si="1067"/>
        <v>81 чел(заявленная потребность руководителями учреждений)*0,021154/506чел.</v>
      </c>
      <c r="N4312" s="164">
        <f t="shared" si="1065"/>
        <v>3648.448148148148</v>
      </c>
      <c r="O4312" s="165">
        <f t="shared" si="1068"/>
        <v>12.354783999999999</v>
      </c>
      <c r="P4312" s="166"/>
      <c r="Q4312" s="166">
        <f t="shared" si="1066"/>
        <v>6251.5207039999996</v>
      </c>
      <c r="R4312" s="71"/>
    </row>
    <row r="4313" spans="1:18" s="61" customFormat="1" ht="110.25" x14ac:dyDescent="0.25">
      <c r="A4313" s="358"/>
      <c r="B4313" s="361"/>
      <c r="C4313" s="364"/>
      <c r="D4313" s="156" t="s">
        <v>235</v>
      </c>
      <c r="E4313" s="156" t="s">
        <v>50</v>
      </c>
      <c r="F4313" s="156" t="s">
        <v>230</v>
      </c>
      <c r="G4313" s="238">
        <f>MROUND(H4313*L4313*I4313/K4313,0.00000001)</f>
        <v>1.5050300000000001E-3</v>
      </c>
      <c r="H4313" s="158">
        <f>H4073</f>
        <v>36</v>
      </c>
      <c r="I4313" s="159">
        <f t="shared" si="1069"/>
        <v>2.1153999999999999E-2</v>
      </c>
      <c r="J4313" s="160"/>
      <c r="K4313" s="161">
        <f t="shared" si="1070"/>
        <v>506</v>
      </c>
      <c r="L4313" s="250">
        <v>1</v>
      </c>
      <c r="M4313" s="163" t="str">
        <f t="shared" si="1067"/>
        <v>36 отчетов*0,021154/506чел.</v>
      </c>
      <c r="N4313" s="164">
        <f t="shared" si="1065"/>
        <v>6840.8399999999974</v>
      </c>
      <c r="O4313" s="165">
        <f t="shared" si="1068"/>
        <v>10.295669</v>
      </c>
      <c r="P4313" s="166"/>
      <c r="Q4313" s="166">
        <f t="shared" si="1066"/>
        <v>5209.6085140000005</v>
      </c>
      <c r="R4313" s="71"/>
    </row>
    <row r="4314" spans="1:18" s="61" customFormat="1" ht="63" x14ac:dyDescent="0.25">
      <c r="A4314" s="358"/>
      <c r="B4314" s="361"/>
      <c r="C4314" s="364"/>
      <c r="D4314" s="156" t="s">
        <v>42</v>
      </c>
      <c r="E4314" s="156" t="s">
        <v>51</v>
      </c>
      <c r="F4314" s="156" t="s">
        <v>407</v>
      </c>
      <c r="G4314" s="238">
        <f>MROUND(H4314*L4314*I4314/K4314,0.000001)</f>
        <v>8.5279999999999991E-3</v>
      </c>
      <c r="H4314" s="158">
        <f>H3834</f>
        <v>204</v>
      </c>
      <c r="I4314" s="159">
        <f t="shared" si="1069"/>
        <v>2.1153999999999999E-2</v>
      </c>
      <c r="J4314" s="160"/>
      <c r="K4314" s="161">
        <f t="shared" si="1070"/>
        <v>506</v>
      </c>
      <c r="L4314" s="250">
        <v>1</v>
      </c>
      <c r="M4314" s="163" t="str">
        <f t="shared" si="1067"/>
        <v>204 ед (заявленная потребность руководителями учреждений)*0,021154/506чел.</v>
      </c>
      <c r="N4314" s="164">
        <f t="shared" si="1065"/>
        <v>1140.1400000000001</v>
      </c>
      <c r="O4314" s="165">
        <f t="shared" si="1068"/>
        <v>9.7231139999999989</v>
      </c>
      <c r="P4314" s="166"/>
      <c r="Q4314" s="166">
        <f t="shared" si="1066"/>
        <v>4919.8956839999992</v>
      </c>
      <c r="R4314" s="71"/>
    </row>
    <row r="4315" spans="1:18" s="61" customFormat="1" ht="31.5" x14ac:dyDescent="0.25">
      <c r="A4315" s="358"/>
      <c r="B4315" s="361"/>
      <c r="C4315" s="364"/>
      <c r="D4315" s="156" t="s">
        <v>43</v>
      </c>
      <c r="E4315" s="156" t="s">
        <v>52</v>
      </c>
      <c r="F4315" s="156" t="s">
        <v>231</v>
      </c>
      <c r="G4315" s="238">
        <f>MROUND(H4315*L4315*I4315/K4315,0.000000001)</f>
        <v>1.5050280000000001E-3</v>
      </c>
      <c r="H4315" s="158">
        <f>H3475</f>
        <v>36</v>
      </c>
      <c r="I4315" s="159">
        <f t="shared" si="1069"/>
        <v>2.1153999999999999E-2</v>
      </c>
      <c r="J4315" s="160"/>
      <c r="K4315" s="161">
        <f t="shared" si="1070"/>
        <v>506</v>
      </c>
      <c r="L4315" s="250">
        <v>1</v>
      </c>
      <c r="M4315" s="163" t="str">
        <f t="shared" si="1067"/>
        <v>36 ЭЦП*0,021154/506чел.</v>
      </c>
      <c r="N4315" s="164">
        <f t="shared" si="1065"/>
        <v>8099.5499999999947</v>
      </c>
      <c r="O4315" s="165">
        <f t="shared" si="1068"/>
        <v>12.190049999999999</v>
      </c>
      <c r="P4315" s="166"/>
      <c r="Q4315" s="166">
        <f t="shared" si="1066"/>
        <v>6168.1652999999997</v>
      </c>
      <c r="R4315" s="71"/>
    </row>
    <row r="4316" spans="1:18" s="61" customFormat="1" ht="47.25" x14ac:dyDescent="0.25">
      <c r="A4316" s="358"/>
      <c r="B4316" s="361"/>
      <c r="C4316" s="364"/>
      <c r="D4316" s="156" t="s">
        <v>44</v>
      </c>
      <c r="E4316" s="156" t="s">
        <v>85</v>
      </c>
      <c r="F4316" s="156" t="s">
        <v>232</v>
      </c>
      <c r="G4316" s="238">
        <f>MROUND(H4316*L4316*I4316/K4316,0.000001)</f>
        <v>5.0835999999999999E-2</v>
      </c>
      <c r="H4316" s="158">
        <f>H3476</f>
        <v>1216</v>
      </c>
      <c r="I4316" s="159">
        <f t="shared" si="1069"/>
        <v>2.1153999999999999E-2</v>
      </c>
      <c r="J4316" s="160"/>
      <c r="K4316" s="161">
        <f t="shared" si="1070"/>
        <v>506</v>
      </c>
      <c r="L4316" s="250">
        <v>1</v>
      </c>
      <c r="M4316" s="163" t="str">
        <f>CONCATENATE(H4316," ",F4316,"*",L4316,"мес.","*",I4316,"/",K4316,"чел.")</f>
        <v>1216 мед.осмотров в мес.*1мес.*0,021154/506чел.</v>
      </c>
      <c r="N4316" s="164">
        <f t="shared" si="1065"/>
        <v>59.287277960526318</v>
      </c>
      <c r="O4316" s="165">
        <f t="shared" si="1068"/>
        <v>3.0139279999999999</v>
      </c>
      <c r="P4316" s="166"/>
      <c r="Q4316" s="166">
        <f t="shared" si="1066"/>
        <v>1525.047568</v>
      </c>
      <c r="R4316" s="71"/>
    </row>
    <row r="4317" spans="1:18" s="61" customFormat="1" ht="63" x14ac:dyDescent="0.25">
      <c r="A4317" s="358"/>
      <c r="B4317" s="361"/>
      <c r="C4317" s="364"/>
      <c r="D4317" s="156" t="s">
        <v>45</v>
      </c>
      <c r="E4317" s="156" t="s">
        <v>53</v>
      </c>
      <c r="F4317" s="156" t="s">
        <v>233</v>
      </c>
      <c r="G4317" s="238">
        <f>MROUND(H4317*L4317*I4317/K4317,0.000000001)</f>
        <v>2.0067040000000002E-3</v>
      </c>
      <c r="H4317" s="158">
        <f>H3837</f>
        <v>4</v>
      </c>
      <c r="I4317" s="159">
        <f t="shared" si="1069"/>
        <v>2.1153999999999999E-2</v>
      </c>
      <c r="J4317" s="160"/>
      <c r="K4317" s="161">
        <f t="shared" si="1070"/>
        <v>506</v>
      </c>
      <c r="L4317" s="250">
        <v>12</v>
      </c>
      <c r="M4317" s="163" t="str">
        <f>CONCATENATE(H4317," ",F4317,"*",L4317,"мес.","*",I4317,"/",K4317,"чел.")</f>
        <v>4  машины, оборудованных системой ГЛОНАСС*12мес.*0,021154/506чел.</v>
      </c>
      <c r="N4317" s="164">
        <f t="shared" si="1065"/>
        <v>921.23312500000009</v>
      </c>
      <c r="O4317" s="165">
        <f t="shared" si="1068"/>
        <v>1.8486419999999999</v>
      </c>
      <c r="P4317" s="166"/>
      <c r="Q4317" s="166">
        <f t="shared" si="1066"/>
        <v>935.41285199999993</v>
      </c>
      <c r="R4317" s="71"/>
    </row>
    <row r="4318" spans="1:18" s="61" customFormat="1" ht="31.5" x14ac:dyDescent="0.25">
      <c r="A4318" s="358"/>
      <c r="B4318" s="361"/>
      <c r="C4318" s="364"/>
      <c r="D4318" s="156" t="s">
        <v>408</v>
      </c>
      <c r="E4318" s="156" t="s">
        <v>20</v>
      </c>
      <c r="F4318" s="156" t="s">
        <v>20</v>
      </c>
      <c r="G4318" s="238">
        <f>MROUND(H4318*L4318*I4318/K4318,0.000000001)</f>
        <v>7.0945332E-2</v>
      </c>
      <c r="H4318" s="158">
        <f>H3478</f>
        <v>1697</v>
      </c>
      <c r="I4318" s="159">
        <f t="shared" si="1069"/>
        <v>2.1153999999999999E-2</v>
      </c>
      <c r="J4318" s="160"/>
      <c r="K4318" s="161">
        <f t="shared" si="1070"/>
        <v>506</v>
      </c>
      <c r="L4318" s="250">
        <v>1</v>
      </c>
      <c r="M4318" s="163" t="str">
        <f>CONCATENATE(H4318," ",F4318,"*",L4318," раз в год","*",I4318,"/",K4318,"чел.")</f>
        <v>1697 чел.*1 раз в год*0,021154/506чел.</v>
      </c>
      <c r="N4318" s="164">
        <f t="shared" si="1065"/>
        <v>570.06999999999994</v>
      </c>
      <c r="O4318" s="165">
        <f t="shared" si="1068"/>
        <v>40.443804999999998</v>
      </c>
      <c r="P4318" s="166"/>
      <c r="Q4318" s="166">
        <f t="shared" si="1066"/>
        <v>20464.565329999998</v>
      </c>
      <c r="R4318" s="71"/>
    </row>
    <row r="4319" spans="1:18" s="61" customFormat="1" x14ac:dyDescent="0.25">
      <c r="A4319" s="358"/>
      <c r="B4319" s="361"/>
      <c r="C4319" s="364"/>
      <c r="D4319" s="156" t="s">
        <v>373</v>
      </c>
      <c r="E4319" s="156" t="s">
        <v>28</v>
      </c>
      <c r="F4319" s="156" t="s">
        <v>28</v>
      </c>
      <c r="G4319" s="157">
        <f>MROUND(H4319*L4319*I4319/K4319,0.000000001)</f>
        <v>1.5050280000000001E-3</v>
      </c>
      <c r="H4319" s="158">
        <f>H3480</f>
        <v>36</v>
      </c>
      <c r="I4319" s="159">
        <f>I4317</f>
        <v>2.1153999999999999E-2</v>
      </c>
      <c r="J4319" s="160"/>
      <c r="K4319" s="161">
        <f>K4317</f>
        <v>506</v>
      </c>
      <c r="L4319" s="162">
        <v>1</v>
      </c>
      <c r="M4319" s="163" t="str">
        <f>CONCATENATE(H4319," ",F4319,"*",L4319,"мес.","*",I4319,"/",K4319,"чел.")</f>
        <v>36 шт*1мес.*0,021154/506чел.</v>
      </c>
      <c r="N4319" s="164">
        <f>N3480</f>
        <v>24000</v>
      </c>
      <c r="O4319" s="165">
        <f>MROUND(G4319*N4319,0.000000001)</f>
        <v>36.120671999999999</v>
      </c>
      <c r="P4319" s="166"/>
      <c r="Q4319" s="166">
        <f t="shared" si="1066"/>
        <v>18277.060032000001</v>
      </c>
      <c r="R4319" s="71"/>
    </row>
    <row r="4320" spans="1:18" s="61" customFormat="1" ht="31.5" x14ac:dyDescent="0.25">
      <c r="A4320" s="358"/>
      <c r="B4320" s="361"/>
      <c r="C4320" s="364"/>
      <c r="D4320" s="156" t="s">
        <v>106</v>
      </c>
      <c r="E4320" s="156" t="s">
        <v>107</v>
      </c>
      <c r="F4320" s="156"/>
      <c r="G4320" s="238">
        <f>MROUND(H4320*L4320*I4320/K4320,0.000000001)</f>
        <v>0</v>
      </c>
      <c r="H4320" s="158">
        <f>H3479</f>
        <v>0</v>
      </c>
      <c r="I4320" s="159">
        <f>I4317</f>
        <v>2.1153999999999999E-2</v>
      </c>
      <c r="J4320" s="160"/>
      <c r="K4320" s="161">
        <f>K4317</f>
        <v>506</v>
      </c>
      <c r="L4320" s="250">
        <f>L3479</f>
        <v>0</v>
      </c>
      <c r="M4320" s="163"/>
      <c r="N4320" s="164">
        <f>N3479</f>
        <v>6.0000000000000002E-5</v>
      </c>
      <c r="O4320" s="165">
        <f>MROUND(G4320*N4320,0.000000001)</f>
        <v>0</v>
      </c>
      <c r="P4320" s="166"/>
      <c r="Q4320" s="166">
        <f t="shared" si="1066"/>
        <v>0</v>
      </c>
      <c r="R4320" s="71"/>
    </row>
    <row r="4321" spans="1:18" s="62" customFormat="1" x14ac:dyDescent="0.25">
      <c r="A4321" s="358"/>
      <c r="B4321" s="361"/>
      <c r="C4321" s="245" t="s">
        <v>296</v>
      </c>
      <c r="D4321" s="240"/>
      <c r="E4321" s="240"/>
      <c r="F4321" s="240"/>
      <c r="G4321" s="227"/>
      <c r="H4321" s="241"/>
      <c r="I4321" s="206"/>
      <c r="J4321" s="228"/>
      <c r="K4321" s="207"/>
      <c r="L4321" s="257"/>
      <c r="M4321" s="209"/>
      <c r="N4321" s="210"/>
      <c r="O4321" s="198">
        <f>SUM(O4307:O4320)</f>
        <v>261.47019399999999</v>
      </c>
      <c r="P4321" s="267"/>
      <c r="Q4321" s="166"/>
      <c r="R4321" s="71"/>
    </row>
    <row r="4322" spans="1:18" s="61" customFormat="1" ht="31.5" x14ac:dyDescent="0.25">
      <c r="A4322" s="358"/>
      <c r="B4322" s="361"/>
      <c r="C4322" s="252" t="s">
        <v>237</v>
      </c>
      <c r="D4322" s="156" t="s">
        <v>41</v>
      </c>
      <c r="E4322" s="156" t="s">
        <v>61</v>
      </c>
      <c r="F4322" s="156" t="s">
        <v>227</v>
      </c>
      <c r="G4322" s="238">
        <f>MROUND(H4322*L4322*I4322/K4322,0.000000001)</f>
        <v>1.6722500000000001E-4</v>
      </c>
      <c r="H4322" s="158">
        <f>H3482</f>
        <v>4</v>
      </c>
      <c r="I4322" s="159">
        <f>I4320</f>
        <v>2.1153999999999999E-2</v>
      </c>
      <c r="J4322" s="160"/>
      <c r="K4322" s="161">
        <f>K4320</f>
        <v>506</v>
      </c>
      <c r="L4322" s="250">
        <v>1</v>
      </c>
      <c r="M4322" s="163" t="str">
        <f>CONCATENATE(H4322," ",F4322,"*",I4322,"/",K4322,"чел.")</f>
        <v>4 автобуса*0,021154/506чел.</v>
      </c>
      <c r="N4322" s="164">
        <f>N3482</f>
        <v>26907.305</v>
      </c>
      <c r="O4322" s="165">
        <f>MROUND(G4322*N4322,0.000001)</f>
        <v>4.499574</v>
      </c>
      <c r="P4322" s="166"/>
      <c r="Q4322" s="166">
        <f t="shared" ref="Q4322" si="1071">O4322*K4322</f>
        <v>2276.7844439999999</v>
      </c>
      <c r="R4322" s="71"/>
    </row>
    <row r="4323" spans="1:18" s="62" customFormat="1" x14ac:dyDescent="0.25">
      <c r="A4323" s="358"/>
      <c r="B4323" s="361"/>
      <c r="C4323" s="245" t="s">
        <v>297</v>
      </c>
      <c r="D4323" s="240"/>
      <c r="E4323" s="240"/>
      <c r="F4323" s="240"/>
      <c r="G4323" s="227"/>
      <c r="H4323" s="241"/>
      <c r="I4323" s="206"/>
      <c r="J4323" s="228"/>
      <c r="K4323" s="207"/>
      <c r="L4323" s="257"/>
      <c r="M4323" s="209"/>
      <c r="N4323" s="210"/>
      <c r="O4323" s="198">
        <f>SUM(O4322)</f>
        <v>4.499574</v>
      </c>
      <c r="P4323" s="267"/>
      <c r="Q4323" s="166"/>
      <c r="R4323" s="71"/>
    </row>
    <row r="4324" spans="1:18" s="61" customFormat="1" ht="78.75" x14ac:dyDescent="0.25">
      <c r="A4324" s="358"/>
      <c r="B4324" s="361"/>
      <c r="C4324" s="221" t="s">
        <v>236</v>
      </c>
      <c r="D4324" s="156" t="s">
        <v>19</v>
      </c>
      <c r="E4324" s="181" t="s">
        <v>20</v>
      </c>
      <c r="F4324" s="181" t="s">
        <v>238</v>
      </c>
      <c r="G4324" s="238">
        <f>MROUND(H4324*L4324*I4324/K4324,0.000001)</f>
        <v>0</v>
      </c>
      <c r="H4324" s="158"/>
      <c r="I4324" s="159">
        <f>I4320</f>
        <v>2.1153999999999999E-2</v>
      </c>
      <c r="J4324" s="160"/>
      <c r="K4324" s="161">
        <f>K4320</f>
        <v>506</v>
      </c>
      <c r="L4324" s="250"/>
      <c r="M4324" s="163"/>
      <c r="N4324" s="164"/>
      <c r="O4324" s="165">
        <f>MROUND(G4324*N4324,0.000001)</f>
        <v>0</v>
      </c>
      <c r="P4324" s="166"/>
      <c r="Q4324" s="166">
        <f t="shared" ref="Q4324" si="1072">O4324*K4324</f>
        <v>0</v>
      </c>
      <c r="R4324" s="71"/>
    </row>
    <row r="4325" spans="1:18" s="62" customFormat="1" x14ac:dyDescent="0.25">
      <c r="A4325" s="358"/>
      <c r="B4325" s="361"/>
      <c r="C4325" s="245" t="s">
        <v>298</v>
      </c>
      <c r="D4325" s="240"/>
      <c r="E4325" s="253"/>
      <c r="F4325" s="253"/>
      <c r="G4325" s="227"/>
      <c r="H4325" s="241"/>
      <c r="I4325" s="206"/>
      <c r="J4325" s="228"/>
      <c r="K4325" s="207"/>
      <c r="L4325" s="257"/>
      <c r="M4325" s="209"/>
      <c r="N4325" s="210"/>
      <c r="O4325" s="198">
        <f>SUM(O4324)</f>
        <v>0</v>
      </c>
      <c r="P4325" s="267"/>
      <c r="Q4325" s="166"/>
      <c r="R4325" s="71"/>
    </row>
    <row r="4326" spans="1:18" s="61" customFormat="1" ht="30" x14ac:dyDescent="0.25">
      <c r="A4326" s="358"/>
      <c r="B4326" s="361"/>
      <c r="C4326" s="365" t="s">
        <v>81</v>
      </c>
      <c r="D4326" s="254" t="s">
        <v>410</v>
      </c>
      <c r="E4326" s="156" t="s">
        <v>28</v>
      </c>
      <c r="F4326" s="156" t="s">
        <v>28</v>
      </c>
      <c r="G4326" s="238">
        <f>MROUND(H4326*L4326*I4326/K4326,0.0000000001)</f>
        <v>0</v>
      </c>
      <c r="H4326" s="158"/>
      <c r="I4326" s="159">
        <f>I4320</f>
        <v>2.1153999999999999E-2</v>
      </c>
      <c r="J4326" s="160"/>
      <c r="K4326" s="161">
        <f>K4320</f>
        <v>506</v>
      </c>
      <c r="L4326" s="250">
        <v>1</v>
      </c>
      <c r="M4326" s="163"/>
      <c r="N4326" s="164"/>
      <c r="O4326" s="165">
        <f>MROUND(G4326*N4326,0.000001)</f>
        <v>0</v>
      </c>
      <c r="P4326" s="166"/>
      <c r="Q4326" s="166">
        <f t="shared" ref="Q4326:Q4349" si="1073">O4326*K4326</f>
        <v>0</v>
      </c>
      <c r="R4326" s="71"/>
    </row>
    <row r="4327" spans="1:18" s="61" customFormat="1" x14ac:dyDescent="0.25">
      <c r="A4327" s="358"/>
      <c r="B4327" s="361"/>
      <c r="C4327" s="366"/>
      <c r="D4327" s="254" t="s">
        <v>325</v>
      </c>
      <c r="E4327" s="156" t="s">
        <v>28</v>
      </c>
      <c r="F4327" s="156" t="s">
        <v>28</v>
      </c>
      <c r="G4327" s="157">
        <f>MROUND(H4327*L4327*I4327/K4327,0.0000000001)</f>
        <v>0</v>
      </c>
      <c r="H4327" s="158"/>
      <c r="I4327" s="159">
        <f>I4326</f>
        <v>2.1153999999999999E-2</v>
      </c>
      <c r="J4327" s="160"/>
      <c r="K4327" s="161">
        <f>K4326</f>
        <v>506</v>
      </c>
      <c r="L4327" s="250">
        <v>1</v>
      </c>
      <c r="M4327" s="163"/>
      <c r="N4327" s="164"/>
      <c r="O4327" s="165">
        <f>MROUND(G4327*N4327,0.000001)</f>
        <v>0</v>
      </c>
      <c r="P4327" s="166"/>
      <c r="Q4327" s="166">
        <f t="shared" si="1073"/>
        <v>0</v>
      </c>
      <c r="R4327" s="71"/>
    </row>
    <row r="4328" spans="1:18" s="61" customFormat="1" ht="30" x14ac:dyDescent="0.25">
      <c r="A4328" s="358"/>
      <c r="B4328" s="361"/>
      <c r="C4328" s="366"/>
      <c r="D4328" s="254" t="s">
        <v>411</v>
      </c>
      <c r="E4328" s="156" t="s">
        <v>28</v>
      </c>
      <c r="F4328" s="156" t="s">
        <v>28</v>
      </c>
      <c r="G4328" s="238">
        <f>MROUND(H4328*L4328*I4328/K4328,0.00000001)</f>
        <v>0</v>
      </c>
      <c r="H4328" s="158"/>
      <c r="I4328" s="159">
        <f>I4326</f>
        <v>2.1153999999999999E-2</v>
      </c>
      <c r="J4328" s="160"/>
      <c r="K4328" s="161">
        <f>K4326</f>
        <v>506</v>
      </c>
      <c r="L4328" s="250">
        <v>1</v>
      </c>
      <c r="M4328" s="163"/>
      <c r="N4328" s="164"/>
      <c r="O4328" s="165">
        <f t="shared" ref="O4328:O4349" si="1074">MROUND(G4328*N4328,0.000001)</f>
        <v>0</v>
      </c>
      <c r="P4328" s="166"/>
      <c r="Q4328" s="166">
        <f t="shared" si="1073"/>
        <v>0</v>
      </c>
      <c r="R4328" s="71"/>
    </row>
    <row r="4329" spans="1:18" s="61" customFormat="1" x14ac:dyDescent="0.25">
      <c r="A4329" s="358"/>
      <c r="B4329" s="361"/>
      <c r="C4329" s="366"/>
      <c r="D4329" s="255" t="s">
        <v>412</v>
      </c>
      <c r="E4329" s="156" t="s">
        <v>28</v>
      </c>
      <c r="F4329" s="156" t="s">
        <v>28</v>
      </c>
      <c r="G4329" s="238">
        <f>MROUND(H4329*L4329*I4329/K4329,0.00000001)</f>
        <v>0</v>
      </c>
      <c r="H4329" s="158"/>
      <c r="I4329" s="159">
        <f>I4328</f>
        <v>2.1153999999999999E-2</v>
      </c>
      <c r="J4329" s="160"/>
      <c r="K4329" s="161">
        <f>K4328</f>
        <v>506</v>
      </c>
      <c r="L4329" s="250">
        <v>1</v>
      </c>
      <c r="M4329" s="163"/>
      <c r="N4329" s="164"/>
      <c r="O4329" s="165">
        <f t="shared" si="1074"/>
        <v>0</v>
      </c>
      <c r="P4329" s="166"/>
      <c r="Q4329" s="166">
        <f t="shared" si="1073"/>
        <v>0</v>
      </c>
      <c r="R4329" s="71"/>
    </row>
    <row r="4330" spans="1:18" s="61" customFormat="1" ht="31.5" x14ac:dyDescent="0.25">
      <c r="A4330" s="358"/>
      <c r="B4330" s="361"/>
      <c r="C4330" s="366"/>
      <c r="D4330" s="255" t="s">
        <v>413</v>
      </c>
      <c r="E4330" s="156" t="s">
        <v>28</v>
      </c>
      <c r="F4330" s="156" t="s">
        <v>28</v>
      </c>
      <c r="G4330" s="238">
        <f>MROUND(H4330*L4330*I4330/K4330,0.0000000001)</f>
        <v>0</v>
      </c>
      <c r="H4330" s="158"/>
      <c r="I4330" s="159">
        <f>I4329</f>
        <v>2.1153999999999999E-2</v>
      </c>
      <c r="J4330" s="160"/>
      <c r="K4330" s="161">
        <f>K4329</f>
        <v>506</v>
      </c>
      <c r="L4330" s="250">
        <v>1</v>
      </c>
      <c r="M4330" s="163"/>
      <c r="N4330" s="164"/>
      <c r="O4330" s="165">
        <f t="shared" si="1074"/>
        <v>0</v>
      </c>
      <c r="P4330" s="166"/>
      <c r="Q4330" s="166">
        <f t="shared" si="1073"/>
        <v>0</v>
      </c>
      <c r="R4330" s="71"/>
    </row>
    <row r="4331" spans="1:18" s="61" customFormat="1" x14ac:dyDescent="0.25">
      <c r="A4331" s="358"/>
      <c r="B4331" s="361"/>
      <c r="C4331" s="366"/>
      <c r="D4331" s="254" t="s">
        <v>109</v>
      </c>
      <c r="E4331" s="156" t="s">
        <v>28</v>
      </c>
      <c r="F4331" s="156" t="s">
        <v>28</v>
      </c>
      <c r="G4331" s="238">
        <f>MROUND(H4331*L4331*I4331/K4331,0.0000000001)</f>
        <v>0</v>
      </c>
      <c r="H4331" s="158"/>
      <c r="I4331" s="159">
        <f>I4330</f>
        <v>2.1153999999999999E-2</v>
      </c>
      <c r="J4331" s="160"/>
      <c r="K4331" s="161">
        <f>K4330</f>
        <v>506</v>
      </c>
      <c r="L4331" s="250">
        <v>1</v>
      </c>
      <c r="M4331" s="163"/>
      <c r="N4331" s="164"/>
      <c r="O4331" s="165">
        <f t="shared" si="1074"/>
        <v>0</v>
      </c>
      <c r="P4331" s="166"/>
      <c r="Q4331" s="166">
        <f t="shared" si="1073"/>
        <v>0</v>
      </c>
      <c r="R4331" s="71"/>
    </row>
    <row r="4332" spans="1:18" s="61" customFormat="1" x14ac:dyDescent="0.25">
      <c r="A4332" s="358"/>
      <c r="B4332" s="361"/>
      <c r="C4332" s="366"/>
      <c r="D4332" s="254" t="s">
        <v>414</v>
      </c>
      <c r="E4332" s="156" t="s">
        <v>28</v>
      </c>
      <c r="F4332" s="156" t="s">
        <v>28</v>
      </c>
      <c r="G4332" s="238">
        <f>MROUND(H4332*L4332*I4332/K4332,0.0000000001)</f>
        <v>0</v>
      </c>
      <c r="H4332" s="158"/>
      <c r="I4332" s="159">
        <f>I4330</f>
        <v>2.1153999999999999E-2</v>
      </c>
      <c r="J4332" s="160"/>
      <c r="K4332" s="161">
        <f>K4330</f>
        <v>506</v>
      </c>
      <c r="L4332" s="250">
        <v>1</v>
      </c>
      <c r="M4332" s="163"/>
      <c r="N4332" s="164"/>
      <c r="O4332" s="165">
        <f t="shared" si="1074"/>
        <v>0</v>
      </c>
      <c r="P4332" s="166"/>
      <c r="Q4332" s="166">
        <f t="shared" si="1073"/>
        <v>0</v>
      </c>
      <c r="R4332" s="71"/>
    </row>
    <row r="4333" spans="1:18" s="61" customFormat="1" x14ac:dyDescent="0.25">
      <c r="A4333" s="358"/>
      <c r="B4333" s="361"/>
      <c r="C4333" s="366"/>
      <c r="D4333" s="254" t="s">
        <v>415</v>
      </c>
      <c r="E4333" s="156" t="s">
        <v>28</v>
      </c>
      <c r="F4333" s="156" t="s">
        <v>28</v>
      </c>
      <c r="G4333" s="238">
        <f>MROUND(H4333*L4333*I4333/K4333,0.00000001)</f>
        <v>0</v>
      </c>
      <c r="H4333" s="158"/>
      <c r="I4333" s="159">
        <f t="shared" ref="I4333:I4342" si="1075">I4331</f>
        <v>2.1153999999999999E-2</v>
      </c>
      <c r="J4333" s="160"/>
      <c r="K4333" s="161">
        <f t="shared" ref="K4333:K4342" si="1076">K4331</f>
        <v>506</v>
      </c>
      <c r="L4333" s="250">
        <v>1</v>
      </c>
      <c r="M4333" s="163"/>
      <c r="N4333" s="164"/>
      <c r="O4333" s="165">
        <f t="shared" si="1074"/>
        <v>0</v>
      </c>
      <c r="P4333" s="166"/>
      <c r="Q4333" s="166">
        <f t="shared" si="1073"/>
        <v>0</v>
      </c>
      <c r="R4333" s="71"/>
    </row>
    <row r="4334" spans="1:18" s="61" customFormat="1" x14ac:dyDescent="0.25">
      <c r="A4334" s="358"/>
      <c r="B4334" s="361"/>
      <c r="C4334" s="366"/>
      <c r="D4334" s="254" t="s">
        <v>416</v>
      </c>
      <c r="E4334" s="156" t="s">
        <v>28</v>
      </c>
      <c r="F4334" s="156" t="s">
        <v>28</v>
      </c>
      <c r="G4334" s="238">
        <f>MROUND(H4334*L4334*I4334/K4334,0.000000001)</f>
        <v>0</v>
      </c>
      <c r="H4334" s="246"/>
      <c r="I4334" s="159">
        <f t="shared" si="1075"/>
        <v>2.1153999999999999E-2</v>
      </c>
      <c r="J4334" s="160"/>
      <c r="K4334" s="161">
        <f t="shared" si="1076"/>
        <v>506</v>
      </c>
      <c r="L4334" s="250">
        <v>1</v>
      </c>
      <c r="M4334" s="163"/>
      <c r="N4334" s="164"/>
      <c r="O4334" s="165">
        <f t="shared" si="1074"/>
        <v>0</v>
      </c>
      <c r="P4334" s="166"/>
      <c r="Q4334" s="166">
        <f t="shared" si="1073"/>
        <v>0</v>
      </c>
      <c r="R4334" s="71"/>
    </row>
    <row r="4335" spans="1:18" s="61" customFormat="1" x14ac:dyDescent="0.25">
      <c r="A4335" s="358"/>
      <c r="B4335" s="361"/>
      <c r="C4335" s="366"/>
      <c r="D4335" s="254" t="s">
        <v>417</v>
      </c>
      <c r="E4335" s="156" t="s">
        <v>28</v>
      </c>
      <c r="F4335" s="156" t="s">
        <v>28</v>
      </c>
      <c r="G4335" s="238">
        <f>MROUND(H4335*L4335*I4335/K4335,0.00000001)</f>
        <v>0</v>
      </c>
      <c r="H4335" s="158"/>
      <c r="I4335" s="159">
        <f t="shared" si="1075"/>
        <v>2.1153999999999999E-2</v>
      </c>
      <c r="J4335" s="160"/>
      <c r="K4335" s="161">
        <f t="shared" si="1076"/>
        <v>506</v>
      </c>
      <c r="L4335" s="250">
        <v>1</v>
      </c>
      <c r="M4335" s="163"/>
      <c r="N4335" s="164"/>
      <c r="O4335" s="165">
        <f t="shared" si="1074"/>
        <v>0</v>
      </c>
      <c r="P4335" s="166"/>
      <c r="Q4335" s="166">
        <f t="shared" si="1073"/>
        <v>0</v>
      </c>
      <c r="R4335" s="71"/>
    </row>
    <row r="4336" spans="1:18" s="61" customFormat="1" ht="30" x14ac:dyDescent="0.25">
      <c r="A4336" s="358"/>
      <c r="B4336" s="361"/>
      <c r="C4336" s="366"/>
      <c r="D4336" s="254" t="s">
        <v>418</v>
      </c>
      <c r="E4336" s="156" t="s">
        <v>28</v>
      </c>
      <c r="F4336" s="156" t="s">
        <v>28</v>
      </c>
      <c r="G4336" s="238">
        <f>MROUND(H4336*L4336*I4336/K4336,0.00000001)</f>
        <v>0</v>
      </c>
      <c r="H4336" s="158"/>
      <c r="I4336" s="159">
        <f t="shared" si="1075"/>
        <v>2.1153999999999999E-2</v>
      </c>
      <c r="J4336" s="160"/>
      <c r="K4336" s="161">
        <f t="shared" si="1076"/>
        <v>506</v>
      </c>
      <c r="L4336" s="250">
        <v>1</v>
      </c>
      <c r="M4336" s="163"/>
      <c r="N4336" s="164"/>
      <c r="O4336" s="165">
        <f t="shared" si="1074"/>
        <v>0</v>
      </c>
      <c r="P4336" s="166"/>
      <c r="Q4336" s="166">
        <f t="shared" si="1073"/>
        <v>0</v>
      </c>
      <c r="R4336" s="71"/>
    </row>
    <row r="4337" spans="1:18" s="61" customFormat="1" x14ac:dyDescent="0.25">
      <c r="A4337" s="358"/>
      <c r="B4337" s="361"/>
      <c r="C4337" s="366"/>
      <c r="D4337" s="254" t="s">
        <v>324</v>
      </c>
      <c r="E4337" s="156" t="s">
        <v>28</v>
      </c>
      <c r="F4337" s="156" t="s">
        <v>28</v>
      </c>
      <c r="G4337" s="238">
        <f>MROUND(H4337*L4337*I4337/K4337,0.000000001)</f>
        <v>0</v>
      </c>
      <c r="H4337" s="158"/>
      <c r="I4337" s="159">
        <f t="shared" si="1075"/>
        <v>2.1153999999999999E-2</v>
      </c>
      <c r="J4337" s="160"/>
      <c r="K4337" s="161">
        <f t="shared" si="1076"/>
        <v>506</v>
      </c>
      <c r="L4337" s="250">
        <v>1</v>
      </c>
      <c r="M4337" s="163"/>
      <c r="N4337" s="164"/>
      <c r="O4337" s="165">
        <f t="shared" si="1074"/>
        <v>0</v>
      </c>
      <c r="P4337" s="166"/>
      <c r="Q4337" s="166">
        <f t="shared" si="1073"/>
        <v>0</v>
      </c>
      <c r="R4337" s="71"/>
    </row>
    <row r="4338" spans="1:18" s="61" customFormat="1" x14ac:dyDescent="0.25">
      <c r="A4338" s="358"/>
      <c r="B4338" s="361"/>
      <c r="C4338" s="366"/>
      <c r="D4338" s="254" t="s">
        <v>419</v>
      </c>
      <c r="E4338" s="156" t="s">
        <v>28</v>
      </c>
      <c r="F4338" s="156" t="s">
        <v>28</v>
      </c>
      <c r="G4338" s="238">
        <f>MROUND(H4338*L4338*I4338/K4338,0.000000001)</f>
        <v>0</v>
      </c>
      <c r="H4338" s="246"/>
      <c r="I4338" s="159">
        <f t="shared" si="1075"/>
        <v>2.1153999999999999E-2</v>
      </c>
      <c r="J4338" s="160"/>
      <c r="K4338" s="161">
        <f t="shared" si="1076"/>
        <v>506</v>
      </c>
      <c r="L4338" s="250">
        <v>1</v>
      </c>
      <c r="M4338" s="163"/>
      <c r="N4338" s="164"/>
      <c r="O4338" s="165">
        <f t="shared" si="1074"/>
        <v>0</v>
      </c>
      <c r="P4338" s="166"/>
      <c r="Q4338" s="166">
        <f t="shared" si="1073"/>
        <v>0</v>
      </c>
      <c r="R4338" s="71"/>
    </row>
    <row r="4339" spans="1:18" s="61" customFormat="1" x14ac:dyDescent="0.25">
      <c r="A4339" s="358"/>
      <c r="B4339" s="361"/>
      <c r="C4339" s="366"/>
      <c r="D4339" s="254" t="s">
        <v>420</v>
      </c>
      <c r="E4339" s="156" t="s">
        <v>28</v>
      </c>
      <c r="F4339" s="156" t="s">
        <v>28</v>
      </c>
      <c r="G4339" s="238">
        <f>MROUND(H4339*L4339*I4339/K4339,0.000000001)</f>
        <v>0</v>
      </c>
      <c r="H4339" s="158"/>
      <c r="I4339" s="159">
        <f t="shared" si="1075"/>
        <v>2.1153999999999999E-2</v>
      </c>
      <c r="J4339" s="160"/>
      <c r="K4339" s="161">
        <f t="shared" si="1076"/>
        <v>506</v>
      </c>
      <c r="L4339" s="250">
        <v>1</v>
      </c>
      <c r="M4339" s="163"/>
      <c r="N4339" s="164"/>
      <c r="O4339" s="165">
        <f t="shared" si="1074"/>
        <v>0</v>
      </c>
      <c r="P4339" s="166"/>
      <c r="Q4339" s="166">
        <f t="shared" si="1073"/>
        <v>0</v>
      </c>
      <c r="R4339" s="71"/>
    </row>
    <row r="4340" spans="1:18" s="61" customFormat="1" x14ac:dyDescent="0.25">
      <c r="A4340" s="358"/>
      <c r="B4340" s="361"/>
      <c r="C4340" s="366"/>
      <c r="D4340" s="254" t="s">
        <v>421</v>
      </c>
      <c r="E4340" s="156" t="s">
        <v>28</v>
      </c>
      <c r="F4340" s="156" t="s">
        <v>28</v>
      </c>
      <c r="G4340" s="238">
        <f>MROUND(H4340*L4340*I4340/K4340,0.00000001)</f>
        <v>0</v>
      </c>
      <c r="H4340" s="158"/>
      <c r="I4340" s="159">
        <f t="shared" si="1075"/>
        <v>2.1153999999999999E-2</v>
      </c>
      <c r="J4340" s="160"/>
      <c r="K4340" s="161">
        <f t="shared" si="1076"/>
        <v>506</v>
      </c>
      <c r="L4340" s="250">
        <v>1</v>
      </c>
      <c r="M4340" s="163"/>
      <c r="N4340" s="164"/>
      <c r="O4340" s="165">
        <f t="shared" si="1074"/>
        <v>0</v>
      </c>
      <c r="P4340" s="166"/>
      <c r="Q4340" s="166">
        <f t="shared" si="1073"/>
        <v>0</v>
      </c>
      <c r="R4340" s="71"/>
    </row>
    <row r="4341" spans="1:18" s="61" customFormat="1" ht="30" x14ac:dyDescent="0.25">
      <c r="A4341" s="358"/>
      <c r="B4341" s="361"/>
      <c r="C4341" s="366"/>
      <c r="D4341" s="254" t="s">
        <v>422</v>
      </c>
      <c r="E4341" s="156" t="s">
        <v>28</v>
      </c>
      <c r="F4341" s="156" t="s">
        <v>28</v>
      </c>
      <c r="G4341" s="266">
        <f>MROUND(H4341*L4341*I4341/K4341,0.00000001)</f>
        <v>0</v>
      </c>
      <c r="H4341" s="158"/>
      <c r="I4341" s="159">
        <f t="shared" si="1075"/>
        <v>2.1153999999999999E-2</v>
      </c>
      <c r="J4341" s="160"/>
      <c r="K4341" s="161">
        <f t="shared" si="1076"/>
        <v>506</v>
      </c>
      <c r="L4341" s="250">
        <v>1</v>
      </c>
      <c r="M4341" s="163"/>
      <c r="N4341" s="164"/>
      <c r="O4341" s="165">
        <f t="shared" si="1074"/>
        <v>0</v>
      </c>
      <c r="P4341" s="166"/>
      <c r="Q4341" s="166">
        <f t="shared" si="1073"/>
        <v>0</v>
      </c>
      <c r="R4341" s="71"/>
    </row>
    <row r="4342" spans="1:18" s="61" customFormat="1" x14ac:dyDescent="0.25">
      <c r="A4342" s="358"/>
      <c r="B4342" s="361"/>
      <c r="C4342" s="366"/>
      <c r="D4342" s="254" t="s">
        <v>423</v>
      </c>
      <c r="E4342" s="156" t="s">
        <v>28</v>
      </c>
      <c r="F4342" s="156" t="s">
        <v>28</v>
      </c>
      <c r="G4342" s="238">
        <f>MROUND(H4342*L4342*I4342/K4342,0.000000001)</f>
        <v>0</v>
      </c>
      <c r="H4342" s="158"/>
      <c r="I4342" s="159">
        <f t="shared" si="1075"/>
        <v>2.1153999999999999E-2</v>
      </c>
      <c r="J4342" s="160"/>
      <c r="K4342" s="161">
        <f t="shared" si="1076"/>
        <v>506</v>
      </c>
      <c r="L4342" s="250">
        <v>1</v>
      </c>
      <c r="M4342" s="163"/>
      <c r="N4342" s="164"/>
      <c r="O4342" s="165">
        <f t="shared" si="1074"/>
        <v>0</v>
      </c>
      <c r="P4342" s="166"/>
      <c r="Q4342" s="166">
        <f t="shared" si="1073"/>
        <v>0</v>
      </c>
      <c r="R4342" s="71"/>
    </row>
    <row r="4343" spans="1:18" s="61" customFormat="1" x14ac:dyDescent="0.25">
      <c r="A4343" s="358"/>
      <c r="B4343" s="361"/>
      <c r="C4343" s="366"/>
      <c r="D4343" s="254" t="s">
        <v>424</v>
      </c>
      <c r="E4343" s="156" t="s">
        <v>28</v>
      </c>
      <c r="F4343" s="156" t="s">
        <v>28</v>
      </c>
      <c r="G4343" s="238">
        <f t="shared" ref="G4343:G4349" si="1077">MROUND(H4343*L4343*I4343/K4343,0.00000001)</f>
        <v>0</v>
      </c>
      <c r="H4343" s="158"/>
      <c r="I4343" s="159">
        <f>I4332</f>
        <v>2.1153999999999999E-2</v>
      </c>
      <c r="J4343" s="160"/>
      <c r="K4343" s="161">
        <f>K4332</f>
        <v>506</v>
      </c>
      <c r="L4343" s="250">
        <v>1</v>
      </c>
      <c r="M4343" s="163"/>
      <c r="N4343" s="164"/>
      <c r="O4343" s="165">
        <f t="shared" si="1074"/>
        <v>0</v>
      </c>
      <c r="P4343" s="166"/>
      <c r="Q4343" s="166">
        <f t="shared" si="1073"/>
        <v>0</v>
      </c>
      <c r="R4343" s="71"/>
    </row>
    <row r="4344" spans="1:18" s="61" customFormat="1" x14ac:dyDescent="0.25">
      <c r="A4344" s="358"/>
      <c r="B4344" s="361"/>
      <c r="C4344" s="366"/>
      <c r="D4344" s="254" t="s">
        <v>425</v>
      </c>
      <c r="E4344" s="156" t="s">
        <v>28</v>
      </c>
      <c r="F4344" s="156" t="s">
        <v>28</v>
      </c>
      <c r="G4344" s="277">
        <f t="shared" si="1077"/>
        <v>0</v>
      </c>
      <c r="H4344" s="158"/>
      <c r="I4344" s="159">
        <f t="shared" ref="I4344:I4349" si="1078">I4343</f>
        <v>2.1153999999999999E-2</v>
      </c>
      <c r="J4344" s="160"/>
      <c r="K4344" s="161">
        <f t="shared" ref="K4344:K4349" si="1079">K4343</f>
        <v>506</v>
      </c>
      <c r="L4344" s="250">
        <v>1</v>
      </c>
      <c r="M4344" s="163"/>
      <c r="N4344" s="164"/>
      <c r="O4344" s="165">
        <f t="shared" si="1074"/>
        <v>0</v>
      </c>
      <c r="P4344" s="166"/>
      <c r="Q4344" s="166">
        <f t="shared" si="1073"/>
        <v>0</v>
      </c>
      <c r="R4344" s="71"/>
    </row>
    <row r="4345" spans="1:18" s="61" customFormat="1" x14ac:dyDescent="0.25">
      <c r="A4345" s="358"/>
      <c r="B4345" s="361"/>
      <c r="C4345" s="366"/>
      <c r="D4345" s="254" t="s">
        <v>108</v>
      </c>
      <c r="E4345" s="156" t="s">
        <v>28</v>
      </c>
      <c r="F4345" s="156" t="s">
        <v>28</v>
      </c>
      <c r="G4345" s="238">
        <f t="shared" si="1077"/>
        <v>0</v>
      </c>
      <c r="H4345" s="158"/>
      <c r="I4345" s="159">
        <f t="shared" si="1078"/>
        <v>2.1153999999999999E-2</v>
      </c>
      <c r="J4345" s="160"/>
      <c r="K4345" s="161">
        <f t="shared" si="1079"/>
        <v>506</v>
      </c>
      <c r="L4345" s="250">
        <v>1</v>
      </c>
      <c r="M4345" s="163"/>
      <c r="N4345" s="164"/>
      <c r="O4345" s="165">
        <f t="shared" si="1074"/>
        <v>0</v>
      </c>
      <c r="P4345" s="166"/>
      <c r="Q4345" s="166">
        <f t="shared" si="1073"/>
        <v>0</v>
      </c>
      <c r="R4345" s="71"/>
    </row>
    <row r="4346" spans="1:18" s="61" customFormat="1" x14ac:dyDescent="0.25">
      <c r="A4346" s="358"/>
      <c r="B4346" s="361"/>
      <c r="C4346" s="366"/>
      <c r="D4346" s="254" t="s">
        <v>426</v>
      </c>
      <c r="E4346" s="156" t="s">
        <v>28</v>
      </c>
      <c r="F4346" s="156" t="s">
        <v>28</v>
      </c>
      <c r="G4346" s="238">
        <f t="shared" si="1077"/>
        <v>0</v>
      </c>
      <c r="H4346" s="158"/>
      <c r="I4346" s="159">
        <f t="shared" si="1078"/>
        <v>2.1153999999999999E-2</v>
      </c>
      <c r="J4346" s="160"/>
      <c r="K4346" s="161">
        <f t="shared" si="1079"/>
        <v>506</v>
      </c>
      <c r="L4346" s="250">
        <v>1</v>
      </c>
      <c r="M4346" s="163"/>
      <c r="N4346" s="164"/>
      <c r="O4346" s="165">
        <f t="shared" si="1074"/>
        <v>0</v>
      </c>
      <c r="P4346" s="166"/>
      <c r="Q4346" s="166">
        <f t="shared" si="1073"/>
        <v>0</v>
      </c>
      <c r="R4346" s="71"/>
    </row>
    <row r="4347" spans="1:18" s="61" customFormat="1" x14ac:dyDescent="0.25">
      <c r="A4347" s="358"/>
      <c r="B4347" s="361"/>
      <c r="C4347" s="366"/>
      <c r="D4347" s="254" t="s">
        <v>427</v>
      </c>
      <c r="E4347" s="156" t="s">
        <v>28</v>
      </c>
      <c r="F4347" s="156" t="s">
        <v>28</v>
      </c>
      <c r="G4347" s="238">
        <f t="shared" si="1077"/>
        <v>0</v>
      </c>
      <c r="H4347" s="158"/>
      <c r="I4347" s="159">
        <f t="shared" si="1078"/>
        <v>2.1153999999999999E-2</v>
      </c>
      <c r="J4347" s="160"/>
      <c r="K4347" s="161">
        <f t="shared" si="1079"/>
        <v>506</v>
      </c>
      <c r="L4347" s="250">
        <v>1</v>
      </c>
      <c r="M4347" s="163"/>
      <c r="N4347" s="164"/>
      <c r="O4347" s="165">
        <f t="shared" si="1074"/>
        <v>0</v>
      </c>
      <c r="P4347" s="166"/>
      <c r="Q4347" s="166">
        <f t="shared" si="1073"/>
        <v>0</v>
      </c>
      <c r="R4347" s="71"/>
    </row>
    <row r="4348" spans="1:18" s="61" customFormat="1" x14ac:dyDescent="0.25">
      <c r="A4348" s="358"/>
      <c r="B4348" s="361"/>
      <c r="C4348" s="366"/>
      <c r="D4348" s="254" t="s">
        <v>428</v>
      </c>
      <c r="E4348" s="156" t="s">
        <v>28</v>
      </c>
      <c r="F4348" s="156" t="s">
        <v>28</v>
      </c>
      <c r="G4348" s="238">
        <f t="shared" si="1077"/>
        <v>0</v>
      </c>
      <c r="H4348" s="158"/>
      <c r="I4348" s="159">
        <f t="shared" si="1078"/>
        <v>2.1153999999999999E-2</v>
      </c>
      <c r="J4348" s="160"/>
      <c r="K4348" s="161">
        <f t="shared" si="1079"/>
        <v>506</v>
      </c>
      <c r="L4348" s="250">
        <v>1</v>
      </c>
      <c r="M4348" s="163"/>
      <c r="N4348" s="164"/>
      <c r="O4348" s="165">
        <f t="shared" si="1074"/>
        <v>0</v>
      </c>
      <c r="P4348" s="166"/>
      <c r="Q4348" s="166">
        <f t="shared" si="1073"/>
        <v>0</v>
      </c>
      <c r="R4348" s="71"/>
    </row>
    <row r="4349" spans="1:18" s="61" customFormat="1" x14ac:dyDescent="0.25">
      <c r="A4349" s="358"/>
      <c r="B4349" s="361"/>
      <c r="C4349" s="366"/>
      <c r="D4349" s="255" t="s">
        <v>429</v>
      </c>
      <c r="E4349" s="156" t="s">
        <v>28</v>
      </c>
      <c r="F4349" s="156" t="s">
        <v>28</v>
      </c>
      <c r="G4349" s="238">
        <f t="shared" si="1077"/>
        <v>0</v>
      </c>
      <c r="H4349" s="158"/>
      <c r="I4349" s="159">
        <f t="shared" si="1078"/>
        <v>2.1153999999999999E-2</v>
      </c>
      <c r="J4349" s="160"/>
      <c r="K4349" s="161">
        <f t="shared" si="1079"/>
        <v>506</v>
      </c>
      <c r="L4349" s="250">
        <v>1</v>
      </c>
      <c r="M4349" s="163"/>
      <c r="N4349" s="164"/>
      <c r="O4349" s="165">
        <f t="shared" si="1074"/>
        <v>0</v>
      </c>
      <c r="P4349" s="166"/>
      <c r="Q4349" s="166">
        <f t="shared" si="1073"/>
        <v>0</v>
      </c>
      <c r="R4349" s="71"/>
    </row>
    <row r="4350" spans="1:18" s="62" customFormat="1" x14ac:dyDescent="0.25">
      <c r="A4350" s="358"/>
      <c r="B4350" s="361"/>
      <c r="C4350" s="249" t="s">
        <v>299</v>
      </c>
      <c r="D4350" s="256"/>
      <c r="E4350" s="240"/>
      <c r="F4350" s="240"/>
      <c r="G4350" s="227"/>
      <c r="H4350" s="241"/>
      <c r="I4350" s="206"/>
      <c r="J4350" s="228"/>
      <c r="K4350" s="207"/>
      <c r="L4350" s="257"/>
      <c r="M4350" s="209"/>
      <c r="N4350" s="210"/>
      <c r="O4350" s="198">
        <f>SUM(O4326:O4349)</f>
        <v>0</v>
      </c>
      <c r="P4350" s="267"/>
      <c r="Q4350" s="166"/>
      <c r="R4350" s="71"/>
    </row>
    <row r="4351" spans="1:18" s="61" customFormat="1" ht="110.25" x14ac:dyDescent="0.25">
      <c r="A4351" s="358"/>
      <c r="B4351" s="361"/>
      <c r="C4351" s="221" t="s">
        <v>82</v>
      </c>
      <c r="D4351" s="156" t="s">
        <v>46</v>
      </c>
      <c r="E4351" s="156" t="s">
        <v>54</v>
      </c>
      <c r="F4351" s="156" t="s">
        <v>285</v>
      </c>
      <c r="G4351" s="238">
        <f>MROUND(H4351*L4351*I4351/K4351,0.000001)</f>
        <v>0.47282999999999997</v>
      </c>
      <c r="H4351" s="242">
        <f>H3511</f>
        <v>1028.181818181818</v>
      </c>
      <c r="I4351" s="159">
        <f>I4349</f>
        <v>2.1153999999999999E-2</v>
      </c>
      <c r="J4351" s="160"/>
      <c r="K4351" s="161">
        <f>K4349</f>
        <v>506</v>
      </c>
      <c r="L4351" s="225">
        <f>L3991</f>
        <v>11</v>
      </c>
      <c r="M4351" s="163" t="str">
        <f>CONCATENATE(H4351," ",F4351,"*",L4351,"автобуса","*",I4351,"/",K4351,"чел.")</f>
        <v>1028,18181818182 л бензина АИ 92 (12,5л/день(зимой)*20дней*7мес+10л/день(летом)*20дней*4мес)*11автобуса*0,021154/506чел.</v>
      </c>
      <c r="N4351" s="164">
        <f>N3511</f>
        <v>57.007000000000005</v>
      </c>
      <c r="O4351" s="165">
        <f>MROUND(G4351*N4351,0.000001)</f>
        <v>26.954619999999998</v>
      </c>
      <c r="P4351" s="166"/>
      <c r="Q4351" s="166">
        <f t="shared" ref="Q4351" si="1080">O4351*K4351</f>
        <v>13639.037719999998</v>
      </c>
      <c r="R4351" s="71"/>
    </row>
    <row r="4352" spans="1:18" s="62" customFormat="1" x14ac:dyDescent="0.25">
      <c r="A4352" s="358"/>
      <c r="B4352" s="361"/>
      <c r="C4352" s="218" t="s">
        <v>300</v>
      </c>
      <c r="D4352" s="240"/>
      <c r="E4352" s="240"/>
      <c r="F4352" s="240"/>
      <c r="G4352" s="227"/>
      <c r="H4352" s="241"/>
      <c r="I4352" s="206"/>
      <c r="J4352" s="228"/>
      <c r="K4352" s="207"/>
      <c r="L4352" s="257"/>
      <c r="M4352" s="209"/>
      <c r="N4352" s="210"/>
      <c r="O4352" s="198">
        <f>SUM(O4351)</f>
        <v>26.954619999999998</v>
      </c>
      <c r="P4352" s="267"/>
      <c r="Q4352" s="166"/>
      <c r="R4352" s="71"/>
    </row>
    <row r="4353" spans="1:18" s="61" customFormat="1" ht="47.25" x14ac:dyDescent="0.25">
      <c r="A4353" s="358"/>
      <c r="B4353" s="361"/>
      <c r="C4353" s="221" t="s">
        <v>434</v>
      </c>
      <c r="D4353" s="156" t="s">
        <v>436</v>
      </c>
      <c r="E4353" s="156" t="s">
        <v>28</v>
      </c>
      <c r="F4353" s="156" t="s">
        <v>437</v>
      </c>
      <c r="G4353" s="157">
        <f>MROUND(H4353*L4353*I4353/K4353,0.000001)</f>
        <v>1.2123999999999999E-2</v>
      </c>
      <c r="H4353" s="242">
        <f>$H$125</f>
        <v>290</v>
      </c>
      <c r="I4353" s="159">
        <f>I4351</f>
        <v>2.1153999999999999E-2</v>
      </c>
      <c r="J4353" s="160"/>
      <c r="K4353" s="161">
        <f>K4351</f>
        <v>506</v>
      </c>
      <c r="L4353" s="162">
        <v>1</v>
      </c>
      <c r="M4353" s="163" t="str">
        <f>CONCATENATE(H4353," ",F4353,"*",L4353,"автобуса","*",I4353,"/",K4353,"чел.")</f>
        <v>290 огнетушителей (потребность учреждений) *1автобуса*0,021154/506чел.</v>
      </c>
      <c r="N4353" s="164">
        <f>$N$125</f>
        <v>2000</v>
      </c>
      <c r="O4353" s="165">
        <f>MROUND(G4353*N4353,0.000001)</f>
        <v>24.247999999999998</v>
      </c>
      <c r="P4353" s="166"/>
      <c r="Q4353" s="166">
        <f t="shared" ref="Q4353" si="1081">O4353*K4353</f>
        <v>12269.487999999999</v>
      </c>
      <c r="R4353" s="71"/>
    </row>
    <row r="4354" spans="1:18" s="61" customFormat="1" x14ac:dyDescent="0.25">
      <c r="A4354" s="358"/>
      <c r="B4354" s="361"/>
      <c r="C4354" s="218" t="s">
        <v>435</v>
      </c>
      <c r="D4354" s="240"/>
      <c r="E4354" s="240"/>
      <c r="F4354" s="240"/>
      <c r="G4354" s="251"/>
      <c r="H4354" s="241"/>
      <c r="I4354" s="206"/>
      <c r="J4354" s="228"/>
      <c r="K4354" s="207"/>
      <c r="L4354" s="229"/>
      <c r="M4354" s="209"/>
      <c r="N4354" s="210"/>
      <c r="O4354" s="198">
        <f>SUM(O4353)</f>
        <v>24.247999999999998</v>
      </c>
      <c r="P4354" s="166"/>
      <c r="Q4354" s="166"/>
      <c r="R4354" s="71"/>
    </row>
    <row r="4355" spans="1:18" s="61" customFormat="1" ht="47.25" x14ac:dyDescent="0.25">
      <c r="A4355" s="358"/>
      <c r="B4355" s="361"/>
      <c r="C4355" s="364" t="s">
        <v>118</v>
      </c>
      <c r="D4355" s="156" t="s">
        <v>47</v>
      </c>
      <c r="E4355" s="156" t="s">
        <v>28</v>
      </c>
      <c r="F4355" s="156" t="s">
        <v>239</v>
      </c>
      <c r="G4355" s="238">
        <f>MROUND(H4355*L4355*I4355/K4355,0.00000001)</f>
        <v>6.0201100000000004E-3</v>
      </c>
      <c r="H4355" s="158">
        <f>H3515</f>
        <v>144</v>
      </c>
      <c r="I4355" s="159">
        <f>I4351</f>
        <v>2.1153999999999999E-2</v>
      </c>
      <c r="J4355" s="160"/>
      <c r="K4355" s="161">
        <f>K4351</f>
        <v>506</v>
      </c>
      <c r="L4355" s="250">
        <v>1</v>
      </c>
      <c r="M4355" s="163" t="str">
        <f>CONCATENATE(H4355," ",F4355,"*",I4355,"/",K4355,"чел.")</f>
        <v>144 манометров (потребность учреждений) *0,021154/506чел.</v>
      </c>
      <c r="N4355" s="164">
        <f>N3515</f>
        <v>720.50416666666672</v>
      </c>
      <c r="O4355" s="165">
        <f>MROUND(G4355*N4355,0.000001)</f>
        <v>4.3375139999999996</v>
      </c>
      <c r="P4355" s="166"/>
      <c r="Q4355" s="166">
        <f t="shared" ref="Q4355:Q4356" si="1082">O4355*K4355</f>
        <v>2194.7820839999999</v>
      </c>
      <c r="R4355" s="71"/>
    </row>
    <row r="4356" spans="1:18" s="61" customFormat="1" ht="47.25" x14ac:dyDescent="0.25">
      <c r="A4356" s="358"/>
      <c r="B4356" s="361"/>
      <c r="C4356" s="364"/>
      <c r="D4356" s="255" t="s">
        <v>113</v>
      </c>
      <c r="E4356" s="156" t="s">
        <v>28</v>
      </c>
      <c r="F4356" s="156" t="s">
        <v>240</v>
      </c>
      <c r="G4356" s="238">
        <f>MROUND(H4356*L4356*I4356/K4356,0.00000001)</f>
        <v>0.23892314000000001</v>
      </c>
      <c r="H4356" s="158">
        <f>H3516</f>
        <v>5715</v>
      </c>
      <c r="I4356" s="159">
        <f>I4355</f>
        <v>2.1153999999999999E-2</v>
      </c>
      <c r="J4356" s="160"/>
      <c r="K4356" s="161">
        <f>K4355</f>
        <v>506</v>
      </c>
      <c r="L4356" s="250">
        <v>1</v>
      </c>
      <c r="M4356" s="163" t="str">
        <f>CONCATENATE(H4356," ",F4356,"*",I4356,"/",K4356,"чел.")</f>
        <v>5715 светильников (потребность учреждений)*0,021154/506чел.</v>
      </c>
      <c r="N4356" s="164">
        <f>N3516</f>
        <v>111.16365879265086</v>
      </c>
      <c r="O4356" s="165">
        <f>MROUND(G4356*N4356,0.000001)</f>
        <v>26.559569999999997</v>
      </c>
      <c r="P4356" s="166"/>
      <c r="Q4356" s="166">
        <f t="shared" si="1082"/>
        <v>13439.142419999998</v>
      </c>
      <c r="R4356" s="71"/>
    </row>
    <row r="4357" spans="1:18" s="62" customFormat="1" x14ac:dyDescent="0.25">
      <c r="A4357" s="359"/>
      <c r="B4357" s="362"/>
      <c r="C4357" s="218" t="s">
        <v>301</v>
      </c>
      <c r="D4357" s="256"/>
      <c r="E4357" s="240"/>
      <c r="F4357" s="240"/>
      <c r="G4357" s="227"/>
      <c r="H4357" s="241"/>
      <c r="I4357" s="206"/>
      <c r="J4357" s="228"/>
      <c r="K4357" s="207"/>
      <c r="L4357" s="257"/>
      <c r="M4357" s="209"/>
      <c r="N4357" s="210"/>
      <c r="O4357" s="198">
        <f>SUM(O4355:O4356)</f>
        <v>30.897083999999996</v>
      </c>
      <c r="P4357" s="267"/>
      <c r="Q4357" s="166"/>
      <c r="R4357" s="71"/>
    </row>
    <row r="4358" spans="1:18" s="61" customFormat="1" x14ac:dyDescent="0.25">
      <c r="A4358" s="357" t="str">
        <f>CONCATENATE(школы!$B$14,", ",школы!$C$14,", ",школы!$D$14)</f>
        <v>Реализация основных общеобразовательных программ основного общего образования, , дети-инвалиды</v>
      </c>
      <c r="B4358" s="360" t="str">
        <f>школы!$A$14</f>
        <v>802111О.99.0.БА96АЭ08001</v>
      </c>
      <c r="C4358" s="194"/>
      <c r="D4358" s="363" t="s">
        <v>15</v>
      </c>
      <c r="E4358" s="363"/>
      <c r="F4358" s="363"/>
      <c r="G4358" s="363"/>
      <c r="H4358" s="195"/>
      <c r="I4358" s="195"/>
      <c r="J4358" s="195"/>
      <c r="K4358" s="195"/>
      <c r="L4358" s="196"/>
      <c r="M4358" s="197"/>
      <c r="N4358" s="164"/>
      <c r="O4358" s="198">
        <f>O4359+O4364+O4366</f>
        <v>9094.1822194570013</v>
      </c>
      <c r="P4358" s="166"/>
      <c r="Q4358" s="166"/>
      <c r="R4358" s="71"/>
    </row>
    <row r="4359" spans="1:18" s="61" customFormat="1" x14ac:dyDescent="0.25">
      <c r="A4359" s="358"/>
      <c r="B4359" s="361"/>
      <c r="C4359" s="194"/>
      <c r="D4359" s="350" t="s">
        <v>62</v>
      </c>
      <c r="E4359" s="350"/>
      <c r="F4359" s="350"/>
      <c r="G4359" s="350"/>
      <c r="H4359" s="195"/>
      <c r="I4359" s="195"/>
      <c r="J4359" s="195"/>
      <c r="K4359" s="195"/>
      <c r="L4359" s="196"/>
      <c r="M4359" s="197"/>
      <c r="N4359" s="164"/>
      <c r="O4359" s="165">
        <f>O4361+O4363</f>
        <v>9094.1822194570013</v>
      </c>
      <c r="P4359" s="166"/>
      <c r="Q4359" s="166"/>
      <c r="R4359" s="71"/>
    </row>
    <row r="4360" spans="1:18" s="61" customFormat="1" x14ac:dyDescent="0.25">
      <c r="A4360" s="358"/>
      <c r="B4360" s="361"/>
      <c r="C4360" s="194">
        <v>211</v>
      </c>
      <c r="D4360" s="194" t="s">
        <v>86</v>
      </c>
      <c r="E4360" s="199" t="s">
        <v>95</v>
      </c>
      <c r="F4360" s="199" t="s">
        <v>95</v>
      </c>
      <c r="G4360" s="275">
        <f>MROUND(H4360*L4360*I4360/K4360,0.0000000001)</f>
        <v>0.54214410000000002</v>
      </c>
      <c r="H4360" s="201">
        <f>H3520</f>
        <v>921.8</v>
      </c>
      <c r="I4360" s="159">
        <f>школы!$K$14</f>
        <v>4.313E-3</v>
      </c>
      <c r="J4360" s="159"/>
      <c r="K4360" s="161">
        <f>школы!$G$14</f>
        <v>88</v>
      </c>
      <c r="L4360" s="202">
        <v>12</v>
      </c>
      <c r="M4360" s="163" t="str">
        <f>CONCATENATE(H4360," ",F4360," ","в мес.","*",L4360,"мес.","*",I4360,"/",K4360,"чел.")</f>
        <v>921,8 шт.ед в мес.*12мес.*0,004313/88чел.</v>
      </c>
      <c r="N4360" s="164">
        <f>N3520</f>
        <v>12883.620739314385</v>
      </c>
      <c r="O4360" s="165">
        <f>MROUND(G4360*N4360,0.000000001)</f>
        <v>6984.7789704570005</v>
      </c>
      <c r="P4360" s="166"/>
      <c r="Q4360" s="166">
        <f t="shared" ref="Q4360" si="1083">O4360*K4360</f>
        <v>614660.54940021608</v>
      </c>
      <c r="R4360" s="71"/>
    </row>
    <row r="4361" spans="1:18" s="62" customFormat="1" x14ac:dyDescent="0.25">
      <c r="A4361" s="358"/>
      <c r="B4361" s="361"/>
      <c r="C4361" s="203" t="s">
        <v>288</v>
      </c>
      <c r="D4361" s="203"/>
      <c r="E4361" s="204"/>
      <c r="F4361" s="204"/>
      <c r="G4361" s="205"/>
      <c r="H4361" s="206"/>
      <c r="I4361" s="206"/>
      <c r="J4361" s="206"/>
      <c r="K4361" s="207"/>
      <c r="L4361" s="208"/>
      <c r="M4361" s="209"/>
      <c r="N4361" s="210">
        <f>N4360</f>
        <v>12883.620739314385</v>
      </c>
      <c r="O4361" s="198">
        <f>O4360</f>
        <v>6984.7789704570005</v>
      </c>
      <c r="P4361" s="267"/>
      <c r="Q4361" s="166"/>
      <c r="R4361" s="71"/>
    </row>
    <row r="4362" spans="1:18" s="61" customFormat="1" x14ac:dyDescent="0.25">
      <c r="A4362" s="358"/>
      <c r="B4362" s="361"/>
      <c r="C4362" s="194">
        <v>213</v>
      </c>
      <c r="D4362" s="194" t="s">
        <v>87</v>
      </c>
      <c r="E4362" s="194" t="s">
        <v>88</v>
      </c>
      <c r="F4362" s="194"/>
      <c r="G4362" s="211">
        <v>30.2</v>
      </c>
      <c r="H4362" s="159"/>
      <c r="I4362" s="159"/>
      <c r="J4362" s="159"/>
      <c r="K4362" s="161">
        <f>K4360</f>
        <v>88</v>
      </c>
      <c r="L4362" s="202"/>
      <c r="M4362" s="212"/>
      <c r="N4362" s="164"/>
      <c r="O4362" s="165">
        <f>MROUND(O4360*0.302,0.000001)</f>
        <v>2109.403249</v>
      </c>
      <c r="P4362" s="166"/>
      <c r="Q4362" s="166">
        <f>O4362*K4362</f>
        <v>185627.485912</v>
      </c>
      <c r="R4362" s="71"/>
    </row>
    <row r="4363" spans="1:18" s="62" customFormat="1" x14ac:dyDescent="0.25">
      <c r="A4363" s="358"/>
      <c r="B4363" s="361"/>
      <c r="C4363" s="203" t="s">
        <v>289</v>
      </c>
      <c r="D4363" s="203"/>
      <c r="E4363" s="203"/>
      <c r="F4363" s="203"/>
      <c r="G4363" s="213"/>
      <c r="H4363" s="214"/>
      <c r="I4363" s="206"/>
      <c r="J4363" s="214"/>
      <c r="K4363" s="207"/>
      <c r="L4363" s="215"/>
      <c r="M4363" s="216"/>
      <c r="N4363" s="210"/>
      <c r="O4363" s="198">
        <f>O4362</f>
        <v>2109.403249</v>
      </c>
      <c r="P4363" s="267"/>
      <c r="Q4363" s="166"/>
      <c r="R4363" s="71"/>
    </row>
    <row r="4364" spans="1:18" s="61" customFormat="1" x14ac:dyDescent="0.25">
      <c r="A4364" s="358"/>
      <c r="B4364" s="361"/>
      <c r="C4364" s="194"/>
      <c r="D4364" s="356" t="s">
        <v>63</v>
      </c>
      <c r="E4364" s="356"/>
      <c r="F4364" s="356"/>
      <c r="G4364" s="356"/>
      <c r="H4364" s="195"/>
      <c r="I4364" s="159"/>
      <c r="J4364" s="195"/>
      <c r="K4364" s="161"/>
      <c r="L4364" s="196"/>
      <c r="M4364" s="197"/>
      <c r="N4364" s="164"/>
      <c r="O4364" s="165"/>
      <c r="P4364" s="166"/>
      <c r="Q4364" s="166"/>
      <c r="R4364" s="71"/>
    </row>
    <row r="4365" spans="1:18" s="61" customFormat="1" x14ac:dyDescent="0.25">
      <c r="A4365" s="358"/>
      <c r="B4365" s="361"/>
      <c r="C4365" s="194"/>
      <c r="D4365" s="194"/>
      <c r="E4365" s="194"/>
      <c r="F4365" s="194"/>
      <c r="G4365" s="217"/>
      <c r="H4365" s="195"/>
      <c r="I4365" s="159"/>
      <c r="J4365" s="195"/>
      <c r="K4365" s="161"/>
      <c r="L4365" s="196"/>
      <c r="M4365" s="197"/>
      <c r="N4365" s="164"/>
      <c r="O4365" s="165"/>
      <c r="P4365" s="166"/>
      <c r="Q4365" s="166"/>
      <c r="R4365" s="71"/>
    </row>
    <row r="4366" spans="1:18" s="61" customFormat="1" x14ac:dyDescent="0.25">
      <c r="A4366" s="358"/>
      <c r="B4366" s="361"/>
      <c r="C4366" s="194"/>
      <c r="D4366" s="350" t="s">
        <v>64</v>
      </c>
      <c r="E4366" s="350"/>
      <c r="F4366" s="350"/>
      <c r="G4366" s="350"/>
      <c r="H4366" s="195"/>
      <c r="I4366" s="159"/>
      <c r="J4366" s="195"/>
      <c r="K4366" s="161"/>
      <c r="L4366" s="196"/>
      <c r="M4366" s="197"/>
      <c r="N4366" s="164"/>
      <c r="O4366" s="165"/>
      <c r="P4366" s="166"/>
      <c r="Q4366" s="166"/>
      <c r="R4366" s="71"/>
    </row>
    <row r="4367" spans="1:18" s="61" customFormat="1" x14ac:dyDescent="0.25">
      <c r="A4367" s="358"/>
      <c r="B4367" s="361"/>
      <c r="C4367" s="194"/>
      <c r="D4367" s="194"/>
      <c r="E4367" s="194"/>
      <c r="F4367" s="194"/>
      <c r="G4367" s="217"/>
      <c r="H4367" s="195"/>
      <c r="I4367" s="159"/>
      <c r="J4367" s="195"/>
      <c r="K4367" s="161"/>
      <c r="L4367" s="196"/>
      <c r="M4367" s="197"/>
      <c r="N4367" s="164"/>
      <c r="O4367" s="165"/>
      <c r="P4367" s="166"/>
      <c r="Q4367" s="166"/>
      <c r="R4367" s="71"/>
    </row>
    <row r="4368" spans="1:18" s="61" customFormat="1" x14ac:dyDescent="0.25">
      <c r="A4368" s="358"/>
      <c r="B4368" s="361"/>
      <c r="C4368" s="194"/>
      <c r="D4368" s="355" t="s">
        <v>5</v>
      </c>
      <c r="E4368" s="355"/>
      <c r="F4368" s="355"/>
      <c r="G4368" s="355"/>
      <c r="H4368" s="195"/>
      <c r="I4368" s="159"/>
      <c r="J4368" s="195"/>
      <c r="K4368" s="161"/>
      <c r="L4368" s="196"/>
      <c r="M4368" s="197"/>
      <c r="N4368" s="164"/>
      <c r="O4368" s="198">
        <f>O4369+O4379+O4390+O4392+O4394+O4396+O4398</f>
        <v>19308.470092275631</v>
      </c>
      <c r="P4368" s="166"/>
      <c r="Q4368" s="166"/>
      <c r="R4368" s="71"/>
    </row>
    <row r="4369" spans="1:18" s="61" customFormat="1" x14ac:dyDescent="0.25">
      <c r="A4369" s="358"/>
      <c r="B4369" s="361"/>
      <c r="C4369" s="221" t="s">
        <v>70</v>
      </c>
      <c r="D4369" s="355" t="s">
        <v>6</v>
      </c>
      <c r="E4369" s="355"/>
      <c r="F4369" s="355"/>
      <c r="G4369" s="355"/>
      <c r="H4369" s="189"/>
      <c r="I4369" s="159"/>
      <c r="J4369" s="189"/>
      <c r="K4369" s="161"/>
      <c r="L4369" s="190"/>
      <c r="M4369" s="197"/>
      <c r="N4369" s="210"/>
      <c r="O4369" s="198">
        <f>O4378</f>
        <v>8869.000708319998</v>
      </c>
      <c r="P4369" s="166"/>
      <c r="Q4369" s="166"/>
      <c r="R4369" s="71"/>
    </row>
    <row r="4370" spans="1:18" s="61" customFormat="1" ht="31.5" x14ac:dyDescent="0.25">
      <c r="A4370" s="358"/>
      <c r="B4370" s="361"/>
      <c r="C4370" s="221" t="s">
        <v>72</v>
      </c>
      <c r="D4370" s="222" t="s">
        <v>7</v>
      </c>
      <c r="E4370" s="223" t="s">
        <v>8</v>
      </c>
      <c r="F4370" s="223" t="s">
        <v>8</v>
      </c>
      <c r="G4370" s="238">
        <f>MROUND(H4370*L4370*I4370/K4370,0.00000000001)</f>
        <v>162.38059900232</v>
      </c>
      <c r="H4370" s="160">
        <f>H3650</f>
        <v>3313121.4264326878</v>
      </c>
      <c r="I4370" s="159">
        <f>I4360</f>
        <v>4.313E-3</v>
      </c>
      <c r="J4370" s="160"/>
      <c r="K4370" s="161">
        <f>K4360</f>
        <v>88</v>
      </c>
      <c r="L4370" s="250">
        <v>1</v>
      </c>
      <c r="M4370" s="163" t="str">
        <f t="shared" ref="M4370:M4375" si="1084">CONCATENATE(H4370," ",F4370,"(лимиты выделенные УЖКХ) ","*",I4370,"/",K4370,"чел.")</f>
        <v>3313121,42643269 кВт час.(лимиты выделенные УЖКХ) *0,004313/88чел.</v>
      </c>
      <c r="N4370" s="164">
        <f>N3650</f>
        <v>10.897694685122204</v>
      </c>
      <c r="O4370" s="165">
        <f t="shared" ref="O4370:O4373" si="1085">MROUND(G4370*N4370,0.000001)</f>
        <v>1769.5741909999999</v>
      </c>
      <c r="P4370" s="166"/>
      <c r="Q4370" s="166">
        <f t="shared" ref="Q4370:Q4377" si="1086">O4370*K4370</f>
        <v>155722.528808</v>
      </c>
      <c r="R4370" s="71"/>
    </row>
    <row r="4371" spans="1:18" s="61" customFormat="1" ht="31.5" x14ac:dyDescent="0.25">
      <c r="A4371" s="358"/>
      <c r="B4371" s="361"/>
      <c r="C4371" s="221" t="s">
        <v>73</v>
      </c>
      <c r="D4371" s="222" t="s">
        <v>9</v>
      </c>
      <c r="E4371" s="223" t="s">
        <v>10</v>
      </c>
      <c r="F4371" s="223" t="s">
        <v>10</v>
      </c>
      <c r="G4371" s="238">
        <f>MROUND(H4371*L4371*I4371/K4371,0.00000000001)</f>
        <v>1.5633345803399998</v>
      </c>
      <c r="H4371" s="160">
        <f t="shared" ref="H4371:H4376" si="1087">H3411</f>
        <v>31897.39</v>
      </c>
      <c r="I4371" s="159">
        <f t="shared" ref="I4371:I4423" si="1088">I4370</f>
        <v>4.313E-3</v>
      </c>
      <c r="J4371" s="160"/>
      <c r="K4371" s="161">
        <f t="shared" ref="K4371:K4377" si="1089">K4370</f>
        <v>88</v>
      </c>
      <c r="L4371" s="250">
        <v>1</v>
      </c>
      <c r="M4371" s="163" t="str">
        <f t="shared" si="1084"/>
        <v>31897,39 Гкал(лимиты выделенные УЖКХ) *0,004313/88чел.</v>
      </c>
      <c r="N4371" s="164">
        <f t="shared" ref="N4371:N4376" si="1090">N3411</f>
        <v>2976.2517908205036</v>
      </c>
      <c r="O4371" s="165">
        <f t="shared" si="1085"/>
        <v>4652.8773439999995</v>
      </c>
      <c r="P4371" s="166"/>
      <c r="Q4371" s="166">
        <f t="shared" si="1086"/>
        <v>409453.20627199998</v>
      </c>
      <c r="R4371" s="71"/>
    </row>
    <row r="4372" spans="1:18" s="61" customFormat="1" ht="31.5" x14ac:dyDescent="0.25">
      <c r="A4372" s="358"/>
      <c r="B4372" s="361"/>
      <c r="C4372" s="364" t="s">
        <v>74</v>
      </c>
      <c r="D4372" s="222" t="s">
        <v>12</v>
      </c>
      <c r="E4372" s="222" t="s">
        <v>11</v>
      </c>
      <c r="F4372" s="222" t="s">
        <v>11</v>
      </c>
      <c r="G4372" s="238">
        <f>MROUND(H4372*L4372*I4372/K4372,0.00000000001)</f>
        <v>9.0536324796599992</v>
      </c>
      <c r="H4372" s="224">
        <f t="shared" si="1087"/>
        <v>184725.17</v>
      </c>
      <c r="I4372" s="159">
        <f t="shared" si="1088"/>
        <v>4.313E-3</v>
      </c>
      <c r="J4372" s="160"/>
      <c r="K4372" s="161">
        <f t="shared" si="1089"/>
        <v>88</v>
      </c>
      <c r="L4372" s="250">
        <v>1</v>
      </c>
      <c r="M4372" s="163" t="str">
        <f t="shared" si="1084"/>
        <v>184725,17 м3(лимиты выделенные УЖКХ) *0,004313/88чел.</v>
      </c>
      <c r="N4372" s="164">
        <f t="shared" si="1090"/>
        <v>54.214180016724306</v>
      </c>
      <c r="O4372" s="165">
        <f t="shared" si="1085"/>
        <v>490.835261</v>
      </c>
      <c r="P4372" s="166"/>
      <c r="Q4372" s="166">
        <f t="shared" si="1086"/>
        <v>43193.502968000001</v>
      </c>
      <c r="R4372" s="71"/>
    </row>
    <row r="4373" spans="1:18" s="61" customFormat="1" ht="47.25" x14ac:dyDescent="0.25">
      <c r="A4373" s="358"/>
      <c r="B4373" s="361"/>
      <c r="C4373" s="364"/>
      <c r="D4373" s="222" t="s">
        <v>17</v>
      </c>
      <c r="E4373" s="222" t="s">
        <v>11</v>
      </c>
      <c r="F4373" s="222" t="s">
        <v>11</v>
      </c>
      <c r="G4373" s="238">
        <f>MROUND(H4373*L4373*I4373/K4373,0.00000000001)</f>
        <v>9.0536324796599992</v>
      </c>
      <c r="H4373" s="160">
        <f t="shared" si="1087"/>
        <v>184725.17</v>
      </c>
      <c r="I4373" s="159">
        <f t="shared" si="1088"/>
        <v>4.313E-3</v>
      </c>
      <c r="J4373" s="160"/>
      <c r="K4373" s="161">
        <f t="shared" si="1089"/>
        <v>88</v>
      </c>
      <c r="L4373" s="162">
        <f>$L$25</f>
        <v>1</v>
      </c>
      <c r="M4373" s="163" t="str">
        <f t="shared" si="1084"/>
        <v>184725,17 м3(лимиты выделенные УЖКХ) *0,004313/88чел.</v>
      </c>
      <c r="N4373" s="164">
        <f t="shared" si="1090"/>
        <v>82.384170780821918</v>
      </c>
      <c r="O4373" s="165">
        <f t="shared" si="1085"/>
        <v>745.87600399999997</v>
      </c>
      <c r="P4373" s="166"/>
      <c r="Q4373" s="166">
        <f t="shared" si="1086"/>
        <v>65637.088351999992</v>
      </c>
      <c r="R4373" s="71"/>
    </row>
    <row r="4374" spans="1:18" s="61" customFormat="1" ht="31.5" x14ac:dyDescent="0.25">
      <c r="A4374" s="358"/>
      <c r="B4374" s="361"/>
      <c r="C4374" s="364"/>
      <c r="D4374" s="222" t="s">
        <v>13</v>
      </c>
      <c r="E4374" s="222" t="s">
        <v>11</v>
      </c>
      <c r="F4374" s="222" t="s">
        <v>11</v>
      </c>
      <c r="G4374" s="238">
        <f>MROUND(H4374*L4374*I4374/K4374,0.00000000001)</f>
        <v>9.0536324796599992</v>
      </c>
      <c r="H4374" s="160">
        <f t="shared" si="1087"/>
        <v>184725.17</v>
      </c>
      <c r="I4374" s="159">
        <f t="shared" si="1088"/>
        <v>4.313E-3</v>
      </c>
      <c r="J4374" s="160"/>
      <c r="K4374" s="161">
        <f t="shared" si="1089"/>
        <v>88</v>
      </c>
      <c r="L4374" s="162">
        <v>1</v>
      </c>
      <c r="M4374" s="163" t="str">
        <f t="shared" si="1084"/>
        <v>184725,17 м3(лимиты выделенные УЖКХ) *0,004313/88чел.</v>
      </c>
      <c r="N4374" s="164">
        <f t="shared" si="1090"/>
        <v>112.36110334722464</v>
      </c>
      <c r="O4374" s="165">
        <f>MROUND(G4374*N4374,0.00000001)</f>
        <v>1017.2761347100001</v>
      </c>
      <c r="P4374" s="166"/>
      <c r="Q4374" s="166">
        <f t="shared" si="1086"/>
        <v>89520.299854480007</v>
      </c>
      <c r="R4374" s="71"/>
    </row>
    <row r="4375" spans="1:18" s="61" customFormat="1" ht="31.5" x14ac:dyDescent="0.25">
      <c r="A4375" s="358"/>
      <c r="B4375" s="361"/>
      <c r="C4375" s="221" t="s">
        <v>75</v>
      </c>
      <c r="D4375" s="222" t="s">
        <v>18</v>
      </c>
      <c r="E4375" s="222" t="s">
        <v>48</v>
      </c>
      <c r="F4375" s="222" t="s">
        <v>48</v>
      </c>
      <c r="G4375" s="238">
        <f>MROUND(H4375*L4375*I4375/K4375,0.0000000001)</f>
        <v>0.6806502136</v>
      </c>
      <c r="H4375" s="160">
        <f t="shared" si="1087"/>
        <v>13887.6</v>
      </c>
      <c r="I4375" s="159">
        <f t="shared" si="1088"/>
        <v>4.313E-3</v>
      </c>
      <c r="J4375" s="160"/>
      <c r="K4375" s="161">
        <f t="shared" si="1089"/>
        <v>88</v>
      </c>
      <c r="L4375" s="250">
        <v>1</v>
      </c>
      <c r="M4375" s="163" t="str">
        <f t="shared" si="1084"/>
        <v>13887,6 тыс. м3(лимиты выделенные УЖКХ) *0,004313/88чел.</v>
      </c>
      <c r="N4375" s="164">
        <f t="shared" si="1090"/>
        <v>30.576235634666901</v>
      </c>
      <c r="O4375" s="165">
        <f t="shared" ref="O4375" si="1091">MROUND(G4375*N4375,0.000001)</f>
        <v>20.811720999999999</v>
      </c>
      <c r="P4375" s="166"/>
      <c r="Q4375" s="166">
        <f t="shared" si="1086"/>
        <v>1831.4314479999998</v>
      </c>
      <c r="R4375" s="71"/>
    </row>
    <row r="4376" spans="1:18" s="61" customFormat="1" x14ac:dyDescent="0.25">
      <c r="A4376" s="358"/>
      <c r="B4376" s="361"/>
      <c r="C4376" s="364" t="s">
        <v>216</v>
      </c>
      <c r="D4376" s="222" t="s">
        <v>23</v>
      </c>
      <c r="E4376" s="222" t="s">
        <v>11</v>
      </c>
      <c r="F4376" s="222" t="s">
        <v>11</v>
      </c>
      <c r="G4376" s="238">
        <f>MROUND(H4376*L4376*I4376/K4376,0.000000000001)</f>
        <v>0.16510163999999999</v>
      </c>
      <c r="H4376" s="160">
        <f t="shared" si="1087"/>
        <v>3368.6400000000003</v>
      </c>
      <c r="I4376" s="159">
        <f t="shared" si="1088"/>
        <v>4.313E-3</v>
      </c>
      <c r="J4376" s="160"/>
      <c r="K4376" s="161">
        <f t="shared" si="1089"/>
        <v>88</v>
      </c>
      <c r="L4376" s="162">
        <f>L4375</f>
        <v>1</v>
      </c>
      <c r="M4376" s="163" t="str">
        <f>CONCATENATE(H4376," ",F4376," ","*",I4376,"/",K4376,"чел.")</f>
        <v>3368,64 м3 *0,004313/88чел.</v>
      </c>
      <c r="N4376" s="164">
        <f t="shared" si="1090"/>
        <v>776.35552626579261</v>
      </c>
      <c r="O4376" s="165">
        <f>MROUND(G4376*N4376,0.00000001)</f>
        <v>128.17757061</v>
      </c>
      <c r="P4376" s="166"/>
      <c r="Q4376" s="166">
        <f t="shared" si="1086"/>
        <v>11279.62621368</v>
      </c>
      <c r="R4376" s="71"/>
    </row>
    <row r="4377" spans="1:18" s="61" customFormat="1" ht="47.25" x14ac:dyDescent="0.25">
      <c r="A4377" s="358"/>
      <c r="B4377" s="361"/>
      <c r="C4377" s="364"/>
      <c r="D4377" s="222" t="s">
        <v>24</v>
      </c>
      <c r="E4377" s="222" t="s">
        <v>25</v>
      </c>
      <c r="F4377" s="222" t="s">
        <v>217</v>
      </c>
      <c r="G4377" s="238">
        <f>MROUND(H4377*L4377*I4377/K4377,0.000000000001)</f>
        <v>7.2046704550000002E-3</v>
      </c>
      <c r="H4377" s="160">
        <f>H3657</f>
        <v>147</v>
      </c>
      <c r="I4377" s="159">
        <f t="shared" si="1088"/>
        <v>4.313E-3</v>
      </c>
      <c r="J4377" s="160"/>
      <c r="K4377" s="161">
        <f t="shared" si="1089"/>
        <v>88</v>
      </c>
      <c r="L4377" s="250">
        <f>L4376</f>
        <v>1</v>
      </c>
      <c r="M4377" s="163" t="str">
        <f>CONCATENATE(H4377," ",F4377,"(потребность из расчета 4 контейнера для уборки территории весной и осенью на 1 учреждение)","*",I4377,"/",K4377,"чел.")</f>
        <v>147 контейнера(потребность из расчета 4 контейнера для уборки территории весной и осенью на 1 учреждение)*0,004313/88чел.</v>
      </c>
      <c r="N4377" s="164">
        <f>N3657</f>
        <v>6047.8105442176911</v>
      </c>
      <c r="O4377" s="165">
        <f t="shared" ref="O4377" si="1092">MROUND(G4377*N4377,0.000001)</f>
        <v>43.572482000000001</v>
      </c>
      <c r="P4377" s="166"/>
      <c r="Q4377" s="166">
        <f t="shared" si="1086"/>
        <v>3834.378416</v>
      </c>
      <c r="R4377" s="71"/>
    </row>
    <row r="4378" spans="1:18" s="62" customFormat="1" x14ac:dyDescent="0.25">
      <c r="A4378" s="358"/>
      <c r="B4378" s="361"/>
      <c r="C4378" s="218" t="s">
        <v>290</v>
      </c>
      <c r="D4378" s="226"/>
      <c r="E4378" s="226"/>
      <c r="F4378" s="226"/>
      <c r="G4378" s="227"/>
      <c r="H4378" s="228"/>
      <c r="I4378" s="206"/>
      <c r="J4378" s="228"/>
      <c r="K4378" s="207"/>
      <c r="L4378" s="257"/>
      <c r="M4378" s="209"/>
      <c r="N4378" s="210"/>
      <c r="O4378" s="198">
        <f>SUM(O4370:O4377)</f>
        <v>8869.000708319998</v>
      </c>
      <c r="P4378" s="267"/>
      <c r="Q4378" s="166"/>
      <c r="R4378" s="71"/>
    </row>
    <row r="4379" spans="1:18" s="61" customFormat="1" x14ac:dyDescent="0.25">
      <c r="A4379" s="358"/>
      <c r="B4379" s="361"/>
      <c r="C4379" s="221"/>
      <c r="D4379" s="356" t="s">
        <v>14</v>
      </c>
      <c r="E4379" s="356"/>
      <c r="F4379" s="356"/>
      <c r="G4379" s="356"/>
      <c r="H4379" s="188"/>
      <c r="I4379" s="159"/>
      <c r="J4379" s="188"/>
      <c r="K4379" s="161"/>
      <c r="L4379" s="250"/>
      <c r="M4379" s="230"/>
      <c r="N4379" s="164"/>
      <c r="O4379" s="198">
        <f>O4387+O4388+O4383</f>
        <v>9279.6282890256298</v>
      </c>
      <c r="P4379" s="166"/>
      <c r="Q4379" s="166"/>
      <c r="R4379" s="71"/>
    </row>
    <row r="4380" spans="1:18" s="61" customFormat="1" x14ac:dyDescent="0.25">
      <c r="A4380" s="358"/>
      <c r="B4380" s="361"/>
      <c r="C4380" s="221" t="s">
        <v>379</v>
      </c>
      <c r="D4380" s="231" t="s">
        <v>49</v>
      </c>
      <c r="E4380" s="231" t="s">
        <v>22</v>
      </c>
      <c r="F4380" s="231" t="s">
        <v>22</v>
      </c>
      <c r="G4380" s="238">
        <f>MROUND(H4380*L4380*I4380/K4380,0.000000001)</f>
        <v>0</v>
      </c>
      <c r="H4380" s="160"/>
      <c r="I4380" s="159">
        <f>I4375</f>
        <v>4.313E-3</v>
      </c>
      <c r="J4380" s="160"/>
      <c r="K4380" s="161">
        <f>K4375</f>
        <v>88</v>
      </c>
      <c r="L4380" s="250"/>
      <c r="M4380" s="163"/>
      <c r="N4380" s="164"/>
      <c r="O4380" s="165">
        <f>MROUND(G4380*N4380,0.00000001)</f>
        <v>0</v>
      </c>
      <c r="P4380" s="166"/>
      <c r="Q4380" s="166">
        <f t="shared" ref="Q4380:Q4382" si="1093">O4380*K4380</f>
        <v>0</v>
      </c>
      <c r="R4380" s="71"/>
    </row>
    <row r="4381" spans="1:18" s="61" customFormat="1" x14ac:dyDescent="0.25">
      <c r="A4381" s="358"/>
      <c r="B4381" s="361"/>
      <c r="C4381" s="221" t="s">
        <v>379</v>
      </c>
      <c r="D4381" s="231" t="s">
        <v>49</v>
      </c>
      <c r="E4381" s="231" t="s">
        <v>28</v>
      </c>
      <c r="F4381" s="231" t="s">
        <v>28</v>
      </c>
      <c r="G4381" s="238">
        <f>MROUND(H4381*L4381*I4381/K4381,0.000000000000001)</f>
        <v>0</v>
      </c>
      <c r="H4381" s="160"/>
      <c r="I4381" s="159">
        <f t="shared" si="1088"/>
        <v>4.313E-3</v>
      </c>
      <c r="J4381" s="160"/>
      <c r="K4381" s="161">
        <f>K4380</f>
        <v>88</v>
      </c>
      <c r="L4381" s="250">
        <v>1</v>
      </c>
      <c r="M4381" s="163"/>
      <c r="N4381" s="164"/>
      <c r="O4381" s="165">
        <f>MROUND(G4381*N4381,0.00000001)</f>
        <v>0</v>
      </c>
      <c r="P4381" s="166"/>
      <c r="Q4381" s="166">
        <f t="shared" si="1093"/>
        <v>0</v>
      </c>
      <c r="R4381" s="71"/>
    </row>
    <row r="4382" spans="1:18" s="61" customFormat="1" x14ac:dyDescent="0.25">
      <c r="A4382" s="358"/>
      <c r="B4382" s="361"/>
      <c r="C4382" s="221" t="s">
        <v>379</v>
      </c>
      <c r="D4382" s="231" t="s">
        <v>49</v>
      </c>
      <c r="E4382" s="231" t="s">
        <v>101</v>
      </c>
      <c r="F4382" s="231" t="s">
        <v>101</v>
      </c>
      <c r="G4382" s="238">
        <f>MROUND(H4382*L4382*I4382/K4382,0.000000001)</f>
        <v>0</v>
      </c>
      <c r="H4382" s="160"/>
      <c r="I4382" s="159">
        <f t="shared" si="1088"/>
        <v>4.313E-3</v>
      </c>
      <c r="J4382" s="160"/>
      <c r="K4382" s="161">
        <f>K4381</f>
        <v>88</v>
      </c>
      <c r="L4382" s="250"/>
      <c r="M4382" s="163"/>
      <c r="N4382" s="164"/>
      <c r="O4382" s="165">
        <f>MROUND(G4382*N4382,0.00000001)</f>
        <v>0</v>
      </c>
      <c r="P4382" s="166"/>
      <c r="Q4382" s="166">
        <f t="shared" si="1093"/>
        <v>0</v>
      </c>
      <c r="R4382" s="71"/>
    </row>
    <row r="4383" spans="1:18" s="62" customFormat="1" x14ac:dyDescent="0.25">
      <c r="A4383" s="358"/>
      <c r="B4383" s="361"/>
      <c r="C4383" s="218" t="s">
        <v>380</v>
      </c>
      <c r="D4383" s="232"/>
      <c r="E4383" s="232"/>
      <c r="F4383" s="232"/>
      <c r="G4383" s="227"/>
      <c r="H4383" s="228"/>
      <c r="I4383" s="206"/>
      <c r="J4383" s="228"/>
      <c r="K4383" s="207"/>
      <c r="L4383" s="257"/>
      <c r="M4383" s="209"/>
      <c r="N4383" s="210"/>
      <c r="O4383" s="198">
        <f>SUM(O4380:O4382)</f>
        <v>0</v>
      </c>
      <c r="P4383" s="267"/>
      <c r="Q4383" s="166"/>
      <c r="R4383" s="71"/>
    </row>
    <row r="4384" spans="1:18" s="61" customFormat="1" x14ac:dyDescent="0.25">
      <c r="A4384" s="358"/>
      <c r="B4384" s="361"/>
      <c r="C4384" s="221" t="s">
        <v>76</v>
      </c>
      <c r="D4384" s="231" t="s">
        <v>49</v>
      </c>
      <c r="E4384" s="231" t="s">
        <v>22</v>
      </c>
      <c r="F4384" s="231" t="s">
        <v>22</v>
      </c>
      <c r="G4384" s="238">
        <f>MROUND(H4384*L4384*I4384/K4384,0.000000000000001)</f>
        <v>59.991358356931819</v>
      </c>
      <c r="H4384" s="160">
        <f>H3544</f>
        <v>1224029.57</v>
      </c>
      <c r="I4384" s="159">
        <f>I4380</f>
        <v>4.313E-3</v>
      </c>
      <c r="J4384" s="160"/>
      <c r="K4384" s="161">
        <f>K4382</f>
        <v>88</v>
      </c>
      <c r="L4384" s="250">
        <v>1</v>
      </c>
      <c r="M4384" s="163" t="str">
        <f>CONCATENATE(H4384," ",F4384,"*",I4384,"/",K4384,"чел.")</f>
        <v>1224029,57 м2*0,004313/88чел.</v>
      </c>
      <c r="N4384" s="164">
        <f>N3544</f>
        <v>37.50494361014497</v>
      </c>
      <c r="O4384" s="165">
        <f>MROUND(G4384*N4384,0.00000000001)</f>
        <v>2249.97251227273</v>
      </c>
      <c r="P4384" s="166"/>
      <c r="Q4384" s="166">
        <f t="shared" ref="Q4384:Q4386" si="1094">O4384*K4384</f>
        <v>197997.58108000024</v>
      </c>
      <c r="R4384" s="71"/>
    </row>
    <row r="4385" spans="1:18" s="61" customFormat="1" x14ac:dyDescent="0.25">
      <c r="A4385" s="358"/>
      <c r="B4385" s="361"/>
      <c r="C4385" s="221"/>
      <c r="D4385" s="231" t="s">
        <v>49</v>
      </c>
      <c r="E4385" s="231" t="s">
        <v>28</v>
      </c>
      <c r="F4385" s="231" t="s">
        <v>28</v>
      </c>
      <c r="G4385" s="238">
        <f>MROUND(H4385*L4385*I4385/K4385,0.000000000001)</f>
        <v>5.4206568182000002E-2</v>
      </c>
      <c r="H4385" s="160">
        <f>H3545</f>
        <v>1106</v>
      </c>
      <c r="I4385" s="159">
        <f t="shared" si="1088"/>
        <v>4.313E-3</v>
      </c>
      <c r="J4385" s="160"/>
      <c r="K4385" s="161">
        <f>K4384</f>
        <v>88</v>
      </c>
      <c r="L4385" s="250">
        <v>1</v>
      </c>
      <c r="M4385" s="163" t="str">
        <f>CONCATENATE(H4385," ",F4385,"*",I4385,"/",K4385,"чел.")</f>
        <v>1106 шт*0,004313/88чел.</v>
      </c>
      <c r="N4385" s="164">
        <f>N3545</f>
        <v>86192.676311030737</v>
      </c>
      <c r="O4385" s="165">
        <f>MROUND(G4385*N4385,0.0000000001)</f>
        <v>4672.2091852429003</v>
      </c>
      <c r="P4385" s="166"/>
      <c r="Q4385" s="166">
        <f t="shared" si="1094"/>
        <v>411154.40830137522</v>
      </c>
      <c r="R4385" s="71"/>
    </row>
    <row r="4386" spans="1:18" s="61" customFormat="1" x14ac:dyDescent="0.25">
      <c r="A4386" s="358"/>
      <c r="B4386" s="361"/>
      <c r="C4386" s="221"/>
      <c r="D4386" s="231" t="s">
        <v>49</v>
      </c>
      <c r="E4386" s="231" t="s">
        <v>101</v>
      </c>
      <c r="F4386" s="231" t="s">
        <v>101</v>
      </c>
      <c r="G4386" s="238">
        <f>MROUND(H4386*L4386*I4386/K4386,0.000000001)</f>
        <v>1.7972467050000001</v>
      </c>
      <c r="H4386" s="160">
        <f>H3546</f>
        <v>36670</v>
      </c>
      <c r="I4386" s="159">
        <f t="shared" si="1088"/>
        <v>4.313E-3</v>
      </c>
      <c r="J4386" s="160"/>
      <c r="K4386" s="161">
        <f>K4385</f>
        <v>88</v>
      </c>
      <c r="L4386" s="250">
        <v>1</v>
      </c>
      <c r="M4386" s="163" t="str">
        <f>CONCATENATE(H4386," ",F4386,"*",I4386,"/",K4386,"чел.")</f>
        <v>36670 погон.м.*0,004313/88чел.</v>
      </c>
      <c r="N4386" s="164">
        <f>N3546</f>
        <v>1311.6989364603219</v>
      </c>
      <c r="O4386" s="165">
        <f>MROUND(G4386*N4386,0.00000001)</f>
        <v>2357.44659151</v>
      </c>
      <c r="P4386" s="166"/>
      <c r="Q4386" s="166">
        <f t="shared" si="1094"/>
        <v>207455.30005287999</v>
      </c>
      <c r="R4386" s="71"/>
    </row>
    <row r="4387" spans="1:18" s="62" customFormat="1" x14ac:dyDescent="0.25">
      <c r="A4387" s="358"/>
      <c r="B4387" s="361"/>
      <c r="C4387" s="218" t="s">
        <v>291</v>
      </c>
      <c r="D4387" s="232"/>
      <c r="E4387" s="232"/>
      <c r="F4387" s="232"/>
      <c r="G4387" s="227"/>
      <c r="H4387" s="228"/>
      <c r="I4387" s="206"/>
      <c r="J4387" s="228"/>
      <c r="K4387" s="207"/>
      <c r="L4387" s="257"/>
      <c r="M4387" s="209"/>
      <c r="N4387" s="210"/>
      <c r="O4387" s="198">
        <f>SUM(O4384:O4386)</f>
        <v>9279.6282890256298</v>
      </c>
      <c r="P4387" s="267"/>
      <c r="Q4387" s="166"/>
      <c r="R4387" s="71"/>
    </row>
    <row r="4388" spans="1:18" s="61" customFormat="1" x14ac:dyDescent="0.25">
      <c r="A4388" s="358"/>
      <c r="B4388" s="361"/>
      <c r="C4388" s="221" t="s">
        <v>77</v>
      </c>
      <c r="D4388" s="231"/>
      <c r="E4388" s="231"/>
      <c r="F4388" s="231"/>
      <c r="G4388" s="238">
        <f>MROUND(H4388*L4388*I4388/K4388,0.00000000001)</f>
        <v>0</v>
      </c>
      <c r="H4388" s="160">
        <f>H4148</f>
        <v>0</v>
      </c>
      <c r="I4388" s="159">
        <f>I4386</f>
        <v>4.313E-3</v>
      </c>
      <c r="J4388" s="160"/>
      <c r="K4388" s="161">
        <f>K4386</f>
        <v>88</v>
      </c>
      <c r="L4388" s="250"/>
      <c r="M4388" s="163"/>
      <c r="N4388" s="164">
        <f>N4148</f>
        <v>0</v>
      </c>
      <c r="O4388" s="165">
        <f>MROUND(G4388*N4388,0.000000001)</f>
        <v>0</v>
      </c>
      <c r="P4388" s="166"/>
      <c r="Q4388" s="166">
        <f t="shared" ref="Q4388" si="1095">O4388*K4388</f>
        <v>0</v>
      </c>
      <c r="R4388" s="71"/>
    </row>
    <row r="4389" spans="1:18" s="62" customFormat="1" x14ac:dyDescent="0.25">
      <c r="A4389" s="358"/>
      <c r="B4389" s="361"/>
      <c r="C4389" s="218" t="s">
        <v>292</v>
      </c>
      <c r="D4389" s="232"/>
      <c r="E4389" s="232"/>
      <c r="F4389" s="232"/>
      <c r="G4389" s="227"/>
      <c r="H4389" s="228"/>
      <c r="I4389" s="206"/>
      <c r="J4389" s="228"/>
      <c r="K4389" s="207"/>
      <c r="L4389" s="257"/>
      <c r="M4389" s="209"/>
      <c r="N4389" s="210"/>
      <c r="O4389" s="198">
        <f>O4388</f>
        <v>0</v>
      </c>
      <c r="P4389" s="267"/>
      <c r="Q4389" s="166"/>
      <c r="R4389" s="71"/>
    </row>
    <row r="4390" spans="1:18" s="61" customFormat="1" x14ac:dyDescent="0.25">
      <c r="A4390" s="358"/>
      <c r="B4390" s="361"/>
      <c r="C4390" s="221"/>
      <c r="D4390" s="350" t="s">
        <v>65</v>
      </c>
      <c r="E4390" s="350"/>
      <c r="F4390" s="350"/>
      <c r="G4390" s="350"/>
      <c r="H4390" s="195"/>
      <c r="I4390" s="159"/>
      <c r="J4390" s="195"/>
      <c r="K4390" s="161"/>
      <c r="L4390" s="196"/>
      <c r="M4390" s="230"/>
      <c r="N4390" s="164"/>
      <c r="O4390" s="165">
        <f t="shared" ref="O4390:O4391" si="1096">MROUND(G4390*N4390,0.000001)</f>
        <v>0</v>
      </c>
      <c r="P4390" s="166"/>
      <c r="Q4390" s="166"/>
      <c r="R4390" s="71"/>
    </row>
    <row r="4391" spans="1:18" s="61" customFormat="1" x14ac:dyDescent="0.25">
      <c r="A4391" s="358"/>
      <c r="B4391" s="361"/>
      <c r="C4391" s="221"/>
      <c r="D4391" s="194"/>
      <c r="E4391" s="194"/>
      <c r="F4391" s="194"/>
      <c r="G4391" s="217"/>
      <c r="H4391" s="195"/>
      <c r="I4391" s="159"/>
      <c r="J4391" s="195"/>
      <c r="K4391" s="161"/>
      <c r="L4391" s="196"/>
      <c r="M4391" s="230"/>
      <c r="N4391" s="164"/>
      <c r="O4391" s="165">
        <f t="shared" si="1096"/>
        <v>0</v>
      </c>
      <c r="P4391" s="166"/>
      <c r="Q4391" s="166"/>
      <c r="R4391" s="71"/>
    </row>
    <row r="4392" spans="1:18" s="61" customFormat="1" x14ac:dyDescent="0.25">
      <c r="A4392" s="358"/>
      <c r="B4392" s="361"/>
      <c r="C4392" s="221" t="s">
        <v>357</v>
      </c>
      <c r="D4392" s="368" t="s">
        <v>66</v>
      </c>
      <c r="E4392" s="368"/>
      <c r="F4392" s="368"/>
      <c r="G4392" s="368"/>
      <c r="H4392" s="195"/>
      <c r="I4392" s="159"/>
      <c r="J4392" s="195"/>
      <c r="K4392" s="161"/>
      <c r="L4392" s="234"/>
      <c r="M4392" s="230"/>
      <c r="N4392" s="164"/>
      <c r="O4392" s="198">
        <f>O4393</f>
        <v>27.817336999999998</v>
      </c>
      <c r="P4392" s="166"/>
      <c r="Q4392" s="166"/>
      <c r="R4392" s="71"/>
    </row>
    <row r="4393" spans="1:18" s="61" customFormat="1" ht="47.25" x14ac:dyDescent="0.25">
      <c r="A4393" s="358"/>
      <c r="B4393" s="361"/>
      <c r="C4393" s="221"/>
      <c r="D4393" s="222" t="s">
        <v>374</v>
      </c>
      <c r="E4393" s="194" t="s">
        <v>28</v>
      </c>
      <c r="F4393" s="194" t="s">
        <v>28</v>
      </c>
      <c r="G4393" s="217">
        <f>MROUND(H4393*L4393*I4393/K4393,0.000000001)</f>
        <v>7.0576360000000008E-3</v>
      </c>
      <c r="H4393" s="201">
        <f>H3793</f>
        <v>36</v>
      </c>
      <c r="I4393" s="159">
        <f>I4388</f>
        <v>4.313E-3</v>
      </c>
      <c r="J4393" s="195"/>
      <c r="K4393" s="161">
        <f>K4388</f>
        <v>88</v>
      </c>
      <c r="L4393" s="235">
        <f>L3793</f>
        <v>4</v>
      </c>
      <c r="M4393" s="163" t="str">
        <f>CONCATENATE(H4393," ",F4393,"*",I4393,"/",K4393,"чел.")</f>
        <v>36 шт*0,004313/88чел.</v>
      </c>
      <c r="N4393" s="164">
        <f>N3793</f>
        <v>3941.4525000000012</v>
      </c>
      <c r="O4393" s="165">
        <f>MROUND(G4393*N4393,0.000001)</f>
        <v>27.817336999999998</v>
      </c>
      <c r="P4393" s="166"/>
      <c r="Q4393" s="166">
        <f t="shared" ref="Q4393" si="1097">O4393*K4393</f>
        <v>2447.9256559999999</v>
      </c>
      <c r="R4393" s="71"/>
    </row>
    <row r="4394" spans="1:18" s="61" customFormat="1" x14ac:dyDescent="0.25">
      <c r="A4394" s="358"/>
      <c r="B4394" s="361"/>
      <c r="C4394" s="221"/>
      <c r="D4394" s="368" t="s">
        <v>67</v>
      </c>
      <c r="E4394" s="368"/>
      <c r="F4394" s="368"/>
      <c r="G4394" s="368"/>
      <c r="H4394" s="195"/>
      <c r="I4394" s="159"/>
      <c r="J4394" s="195"/>
      <c r="K4394" s="161"/>
      <c r="L4394" s="196"/>
      <c r="M4394" s="230"/>
      <c r="N4394" s="164"/>
      <c r="O4394" s="165">
        <f t="shared" ref="O4394:O4397" si="1098">MROUND(G4394*N4394,0.000001)</f>
        <v>0</v>
      </c>
      <c r="P4394" s="166"/>
      <c r="Q4394" s="166"/>
      <c r="R4394" s="71"/>
    </row>
    <row r="4395" spans="1:18" s="61" customFormat="1" x14ac:dyDescent="0.25">
      <c r="A4395" s="358"/>
      <c r="B4395" s="361"/>
      <c r="C4395" s="221"/>
      <c r="D4395" s="194"/>
      <c r="E4395" s="194"/>
      <c r="F4395" s="194"/>
      <c r="G4395" s="217"/>
      <c r="H4395" s="195"/>
      <c r="I4395" s="159"/>
      <c r="J4395" s="195"/>
      <c r="K4395" s="161"/>
      <c r="L4395" s="196"/>
      <c r="M4395" s="230"/>
      <c r="N4395" s="164"/>
      <c r="O4395" s="165">
        <f t="shared" si="1098"/>
        <v>0</v>
      </c>
      <c r="P4395" s="166"/>
      <c r="Q4395" s="166"/>
      <c r="R4395" s="71"/>
    </row>
    <row r="4396" spans="1:18" s="61" customFormat="1" x14ac:dyDescent="0.25">
      <c r="A4396" s="358"/>
      <c r="B4396" s="361"/>
      <c r="C4396" s="221"/>
      <c r="D4396" s="350" t="s">
        <v>68</v>
      </c>
      <c r="E4396" s="350"/>
      <c r="F4396" s="350"/>
      <c r="G4396" s="350"/>
      <c r="H4396" s="195"/>
      <c r="I4396" s="159"/>
      <c r="J4396" s="195"/>
      <c r="K4396" s="161"/>
      <c r="L4396" s="196"/>
      <c r="M4396" s="230"/>
      <c r="N4396" s="164"/>
      <c r="O4396" s="165">
        <f t="shared" si="1098"/>
        <v>0</v>
      </c>
      <c r="P4396" s="166"/>
      <c r="Q4396" s="166"/>
      <c r="R4396" s="71"/>
    </row>
    <row r="4397" spans="1:18" s="61" customFormat="1" x14ac:dyDescent="0.25">
      <c r="A4397" s="358"/>
      <c r="B4397" s="361"/>
      <c r="C4397" s="221"/>
      <c r="D4397" s="156"/>
      <c r="E4397" s="156"/>
      <c r="F4397" s="156"/>
      <c r="G4397" s="236"/>
      <c r="H4397" s="195"/>
      <c r="I4397" s="159"/>
      <c r="J4397" s="195"/>
      <c r="K4397" s="161"/>
      <c r="L4397" s="196"/>
      <c r="M4397" s="230"/>
      <c r="N4397" s="164"/>
      <c r="O4397" s="165">
        <f t="shared" si="1098"/>
        <v>0</v>
      </c>
      <c r="P4397" s="166"/>
      <c r="Q4397" s="166"/>
      <c r="R4397" s="71"/>
    </row>
    <row r="4398" spans="1:18" s="61" customFormat="1" x14ac:dyDescent="0.25">
      <c r="A4398" s="358"/>
      <c r="B4398" s="361"/>
      <c r="C4398" s="221"/>
      <c r="D4398" s="368" t="s">
        <v>69</v>
      </c>
      <c r="E4398" s="368"/>
      <c r="F4398" s="368"/>
      <c r="G4398" s="368"/>
      <c r="H4398" s="187"/>
      <c r="I4398" s="159"/>
      <c r="J4398" s="187"/>
      <c r="K4398" s="161"/>
      <c r="L4398" s="276"/>
      <c r="M4398" s="230"/>
      <c r="N4398" s="164"/>
      <c r="O4398" s="198">
        <f>O4400+O4407+O4424+O4426+O4441+O4443+O4445+O4470+O4472+O4477+O4474</f>
        <v>1132.0237579300001</v>
      </c>
      <c r="P4398" s="166"/>
      <c r="Q4398" s="166"/>
      <c r="R4398" s="71"/>
    </row>
    <row r="4399" spans="1:18" s="61" customFormat="1" x14ac:dyDescent="0.25">
      <c r="A4399" s="358"/>
      <c r="B4399" s="361"/>
      <c r="C4399" s="221">
        <v>224</v>
      </c>
      <c r="D4399" s="156" t="s">
        <v>21</v>
      </c>
      <c r="E4399" s="156" t="s">
        <v>22</v>
      </c>
      <c r="F4399" s="156" t="s">
        <v>22</v>
      </c>
      <c r="G4399" s="238">
        <f>MROUND(H4399*L4399*I4399/K4399,0.000001)</f>
        <v>0</v>
      </c>
      <c r="H4399" s="158"/>
      <c r="I4399" s="159">
        <f>I4393</f>
        <v>4.313E-3</v>
      </c>
      <c r="J4399" s="160"/>
      <c r="K4399" s="161">
        <f>K4393</f>
        <v>88</v>
      </c>
      <c r="L4399" s="250"/>
      <c r="M4399" s="163"/>
      <c r="N4399" s="164"/>
      <c r="O4399" s="165">
        <f>MROUND(G4399*N4399,0.000001)</f>
        <v>0</v>
      </c>
      <c r="P4399" s="166"/>
      <c r="Q4399" s="166">
        <f t="shared" ref="Q4399" si="1099">O4399*K4399</f>
        <v>0</v>
      </c>
      <c r="R4399" s="71"/>
    </row>
    <row r="4400" spans="1:18" s="62" customFormat="1" x14ac:dyDescent="0.25">
      <c r="A4400" s="358"/>
      <c r="B4400" s="361"/>
      <c r="C4400" s="218" t="s">
        <v>293</v>
      </c>
      <c r="D4400" s="240"/>
      <c r="E4400" s="240"/>
      <c r="F4400" s="240"/>
      <c r="G4400" s="227"/>
      <c r="H4400" s="241"/>
      <c r="I4400" s="206"/>
      <c r="J4400" s="228"/>
      <c r="K4400" s="207"/>
      <c r="L4400" s="257"/>
      <c r="M4400" s="209"/>
      <c r="N4400" s="210"/>
      <c r="O4400" s="198">
        <f>SUM(O4399)</f>
        <v>0</v>
      </c>
      <c r="P4400" s="267"/>
      <c r="Q4400" s="166"/>
      <c r="R4400" s="71"/>
    </row>
    <row r="4401" spans="1:41" s="61" customFormat="1" ht="31.5" x14ac:dyDescent="0.25">
      <c r="A4401" s="358"/>
      <c r="B4401" s="361"/>
      <c r="C4401" s="364" t="s">
        <v>78</v>
      </c>
      <c r="D4401" s="156" t="s">
        <v>26</v>
      </c>
      <c r="E4401" s="156" t="s">
        <v>22</v>
      </c>
      <c r="F4401" s="156" t="s">
        <v>22</v>
      </c>
      <c r="G4401" s="238">
        <f>MROUND(H4401*L4401*I4401/K4401,0.000001)</f>
        <v>15.197443999999999</v>
      </c>
      <c r="H4401" s="158">
        <f>H3441</f>
        <v>25840</v>
      </c>
      <c r="I4401" s="159">
        <f>I4399</f>
        <v>4.313E-3</v>
      </c>
      <c r="J4401" s="160"/>
      <c r="K4401" s="161">
        <f>K4399</f>
        <v>88</v>
      </c>
      <c r="L4401" s="250">
        <v>12</v>
      </c>
      <c r="M4401" s="163" t="str">
        <f>CONCATENATE(H4401," ",F4401,"(обрабатываемая площадь в мес.)","*",L4401,"мес.","*",I4401,"/",K4401,"чел.")</f>
        <v>25840 м2(обрабатываемая площадь в мес.)*12мес.*0,004313/88чел.</v>
      </c>
      <c r="N4401" s="164">
        <f>N3441</f>
        <v>1.208548374613003</v>
      </c>
      <c r="O4401" s="165">
        <f t="shared" ref="O4401:O4406" si="1100">MROUND(G4401*N4401,0.000001)</f>
        <v>18.366845999999999</v>
      </c>
      <c r="P4401" s="166"/>
      <c r="Q4401" s="166">
        <f t="shared" ref="Q4401:Q4406" si="1101">O4401*K4401</f>
        <v>1616.2824479999999</v>
      </c>
      <c r="R4401" s="71"/>
    </row>
    <row r="4402" spans="1:41" s="61" customFormat="1" ht="31.5" x14ac:dyDescent="0.25">
      <c r="A4402" s="358"/>
      <c r="B4402" s="361"/>
      <c r="C4402" s="364"/>
      <c r="D4402" s="156" t="s">
        <v>96</v>
      </c>
      <c r="E4402" s="156" t="s">
        <v>22</v>
      </c>
      <c r="F4402" s="156" t="s">
        <v>22</v>
      </c>
      <c r="G4402" s="238">
        <f>MROUND(H4402*L4402*I4402/K4402,0.000001)</f>
        <v>7.8663239999999996</v>
      </c>
      <c r="H4402" s="158">
        <f>H3442</f>
        <v>13375</v>
      </c>
      <c r="I4402" s="159">
        <f t="shared" si="1088"/>
        <v>4.313E-3</v>
      </c>
      <c r="J4402" s="160"/>
      <c r="K4402" s="161">
        <f>K4401</f>
        <v>88</v>
      </c>
      <c r="L4402" s="250">
        <v>12</v>
      </c>
      <c r="M4402" s="163" t="str">
        <f>CONCATENATE(H4402," ",F4402,"(обрабатываемая площадь в мес.)","*",L4402,"мес.","*",I4402,"/",K4402,"чел.")</f>
        <v>13375 м2(обрабатываемая площадь в мес.)*12мес.*0,004313/88чел.</v>
      </c>
      <c r="N4402" s="164">
        <f>N3442</f>
        <v>1.93823800623053</v>
      </c>
      <c r="O4402" s="165">
        <f t="shared" si="1100"/>
        <v>15.246808</v>
      </c>
      <c r="P4402" s="166"/>
      <c r="Q4402" s="166">
        <f t="shared" si="1101"/>
        <v>1341.719104</v>
      </c>
      <c r="R4402" s="71"/>
    </row>
    <row r="4403" spans="1:41" s="135" customFormat="1" ht="31.5" x14ac:dyDescent="0.25">
      <c r="A4403" s="358"/>
      <c r="B4403" s="361"/>
      <c r="C4403" s="364"/>
      <c r="D4403" s="156" t="s">
        <v>385</v>
      </c>
      <c r="E4403" s="156" t="s">
        <v>22</v>
      </c>
      <c r="F4403" s="156" t="s">
        <v>22</v>
      </c>
      <c r="G4403" s="238">
        <f>MROUND(H4403*L4403*I4403/K4403,0.000001)</f>
        <v>15.732647999999999</v>
      </c>
      <c r="H4403" s="242">
        <f>$H$55</f>
        <v>13375</v>
      </c>
      <c r="I4403" s="159">
        <f t="shared" si="1088"/>
        <v>4.313E-3</v>
      </c>
      <c r="J4403" s="160"/>
      <c r="K4403" s="161">
        <f>K4402</f>
        <v>88</v>
      </c>
      <c r="L4403" s="162">
        <v>24</v>
      </c>
      <c r="M4403" s="163" t="str">
        <f>CONCATENATE(H4403," ",F4403,"(обрабатываемая площадь в год)","*",L4403," раза в год.","*",I4403,"/",K4403,"чел.")</f>
        <v>13375 м2(обрабатываемая площадь в год)*24 раза в год.*0,004313/88чел.</v>
      </c>
      <c r="N4403" s="164">
        <f>$N$3443</f>
        <v>2.3942939563862917</v>
      </c>
      <c r="O4403" s="165">
        <f t="shared" si="1100"/>
        <v>37.668583999999996</v>
      </c>
      <c r="P4403" s="166"/>
      <c r="Q4403" s="166">
        <f t="shared" si="1101"/>
        <v>3314.8353919999995</v>
      </c>
      <c r="R4403" s="71"/>
      <c r="S4403" s="61"/>
      <c r="T4403" s="61"/>
      <c r="U4403" s="61"/>
      <c r="V4403" s="61"/>
      <c r="W4403" s="61"/>
      <c r="X4403" s="61"/>
      <c r="Y4403" s="61"/>
      <c r="Z4403" s="61"/>
      <c r="AA4403" s="61"/>
      <c r="AB4403" s="61"/>
      <c r="AC4403" s="61"/>
      <c r="AD4403" s="61"/>
      <c r="AE4403" s="61"/>
      <c r="AF4403" s="61"/>
      <c r="AG4403" s="61"/>
      <c r="AH4403" s="61"/>
      <c r="AI4403" s="61"/>
      <c r="AJ4403" s="61"/>
      <c r="AK4403" s="61"/>
      <c r="AL4403" s="61"/>
      <c r="AM4403" s="61"/>
      <c r="AN4403" s="61"/>
      <c r="AO4403" s="61"/>
    </row>
    <row r="4404" spans="1:41" s="135" customFormat="1" ht="31.5" x14ac:dyDescent="0.25">
      <c r="A4404" s="358"/>
      <c r="B4404" s="361"/>
      <c r="C4404" s="364"/>
      <c r="D4404" s="156" t="s">
        <v>394</v>
      </c>
      <c r="E4404" s="156" t="s">
        <v>22</v>
      </c>
      <c r="F4404" s="156" t="s">
        <v>22</v>
      </c>
      <c r="G4404" s="238">
        <f>MROUND(H4404*L4404*I4404/K4404,0.000001)</f>
        <v>15.197443999999999</v>
      </c>
      <c r="H4404" s="243">
        <f>$H$56</f>
        <v>25840</v>
      </c>
      <c r="I4404" s="159">
        <f t="shared" si="1088"/>
        <v>4.313E-3</v>
      </c>
      <c r="J4404" s="160"/>
      <c r="K4404" s="161">
        <f>K4403</f>
        <v>88</v>
      </c>
      <c r="L4404" s="162">
        <v>12</v>
      </c>
      <c r="M4404" s="163" t="str">
        <f>CONCATENATE(H4404," ",F4404,"(обрабатываемая площадь в мес.)","*",L4404,"мес.","*",I4404,"/",K4404,"чел.")</f>
        <v>25840 м2(обрабатываемая площадь в мес.)*12мес.*0,004313/88чел.</v>
      </c>
      <c r="N4404" s="164">
        <f>$N$3444</f>
        <v>0.57007004643962855</v>
      </c>
      <c r="O4404" s="165">
        <f t="shared" si="1100"/>
        <v>8.663608</v>
      </c>
      <c r="P4404" s="166"/>
      <c r="Q4404" s="166">
        <f t="shared" si="1101"/>
        <v>762.39750400000003</v>
      </c>
      <c r="R4404" s="71"/>
      <c r="S4404" s="61"/>
      <c r="T4404" s="61"/>
      <c r="U4404" s="61"/>
      <c r="V4404" s="61"/>
      <c r="W4404" s="61"/>
      <c r="X4404" s="61"/>
      <c r="Y4404" s="61"/>
      <c r="Z4404" s="61"/>
      <c r="AA4404" s="61"/>
      <c r="AB4404" s="61"/>
      <c r="AC4404" s="61"/>
      <c r="AD4404" s="61"/>
      <c r="AE4404" s="61"/>
      <c r="AF4404" s="61"/>
      <c r="AG4404" s="61"/>
      <c r="AH4404" s="61"/>
      <c r="AI4404" s="61"/>
      <c r="AJ4404" s="61"/>
      <c r="AK4404" s="61"/>
      <c r="AL4404" s="61"/>
      <c r="AM4404" s="61"/>
      <c r="AN4404" s="61"/>
      <c r="AO4404" s="61"/>
    </row>
    <row r="4405" spans="1:41" s="135" customFormat="1" ht="31.5" x14ac:dyDescent="0.25">
      <c r="A4405" s="358"/>
      <c r="B4405" s="361"/>
      <c r="C4405" s="364"/>
      <c r="D4405" s="156" t="s">
        <v>395</v>
      </c>
      <c r="E4405" s="156" t="s">
        <v>98</v>
      </c>
      <c r="F4405" s="156" t="s">
        <v>98</v>
      </c>
      <c r="G4405" s="238">
        <f>MROUND(H4405*L4405*I4405/K4405,0.0000000001)</f>
        <v>9.2827520000000007E-4</v>
      </c>
      <c r="H4405" s="242">
        <f>$H$57</f>
        <v>18.939999999999998</v>
      </c>
      <c r="I4405" s="159">
        <f t="shared" si="1088"/>
        <v>4.313E-3</v>
      </c>
      <c r="J4405" s="160"/>
      <c r="K4405" s="161">
        <f>K4404</f>
        <v>88</v>
      </c>
      <c r="L4405" s="162">
        <v>1</v>
      </c>
      <c r="M4405" s="163" t="str">
        <f>CONCATENATE(H4405," ",F4405,"(обрабатываемая площадь в год)","*",L4405," раз в год","*",I4405,"/",K4405,"чел.")</f>
        <v>18,94 Га(обрабатываемая площадь в год)*1 раз в год*0,004313/88чел.</v>
      </c>
      <c r="N4405" s="164">
        <f>$N$57</f>
        <v>545</v>
      </c>
      <c r="O4405" s="165">
        <f t="shared" si="1100"/>
        <v>0.50590999999999997</v>
      </c>
      <c r="P4405" s="166"/>
      <c r="Q4405" s="166">
        <f t="shared" si="1101"/>
        <v>44.52008</v>
      </c>
      <c r="R4405" s="71"/>
      <c r="S4405" s="61"/>
      <c r="T4405" s="61"/>
      <c r="U4405" s="61"/>
      <c r="V4405" s="61"/>
      <c r="W4405" s="61"/>
      <c r="X4405" s="61"/>
      <c r="Y4405" s="61"/>
      <c r="Z4405" s="61"/>
      <c r="AA4405" s="61"/>
      <c r="AB4405" s="61"/>
      <c r="AC4405" s="61"/>
      <c r="AD4405" s="61"/>
      <c r="AE4405" s="61"/>
      <c r="AF4405" s="61"/>
      <c r="AG4405" s="61"/>
      <c r="AH4405" s="61"/>
      <c r="AI4405" s="61"/>
      <c r="AJ4405" s="61"/>
      <c r="AK4405" s="61"/>
      <c r="AL4405" s="61"/>
      <c r="AM4405" s="61"/>
      <c r="AN4405" s="61"/>
      <c r="AO4405" s="61"/>
    </row>
    <row r="4406" spans="1:41" s="61" customFormat="1" ht="31.5" x14ac:dyDescent="0.25">
      <c r="A4406" s="358"/>
      <c r="B4406" s="361"/>
      <c r="C4406" s="364"/>
      <c r="D4406" s="156" t="s">
        <v>97</v>
      </c>
      <c r="E4406" s="156" t="s">
        <v>98</v>
      </c>
      <c r="F4406" s="156" t="s">
        <v>98</v>
      </c>
      <c r="G4406" s="238">
        <f>MROUND(H4406*L4406*I4406/K4406,0.000000001)</f>
        <v>9.2827500000000011E-4</v>
      </c>
      <c r="H4406" s="242">
        <f>H3446</f>
        <v>18.939999999999998</v>
      </c>
      <c r="I4406" s="244">
        <f>I4402</f>
        <v>4.313E-3</v>
      </c>
      <c r="J4406" s="160"/>
      <c r="K4406" s="161">
        <f>K4402</f>
        <v>88</v>
      </c>
      <c r="L4406" s="250">
        <v>1</v>
      </c>
      <c r="M4406" s="163" t="str">
        <f>CONCATENATE(H4406," ",F4406,"(обрабатываемая площадь в мес.)","*",L4406,"мес.","*",I4406,"/",K4406,"чел.")</f>
        <v>18,94 Га(обрабатываемая площадь в мес.)*1мес.*0,004313/88чел.</v>
      </c>
      <c r="N4406" s="164">
        <f>N3446</f>
        <v>3102.4186906018999</v>
      </c>
      <c r="O4406" s="165">
        <f t="shared" si="1100"/>
        <v>2.8798979999999998</v>
      </c>
      <c r="P4406" s="166"/>
      <c r="Q4406" s="166">
        <f t="shared" si="1101"/>
        <v>253.43102399999998</v>
      </c>
      <c r="R4406" s="71"/>
    </row>
    <row r="4407" spans="1:41" s="62" customFormat="1" x14ac:dyDescent="0.25">
      <c r="A4407" s="358"/>
      <c r="B4407" s="361"/>
      <c r="C4407" s="245" t="s">
        <v>294</v>
      </c>
      <c r="D4407" s="240"/>
      <c r="E4407" s="240"/>
      <c r="F4407" s="240"/>
      <c r="G4407" s="227"/>
      <c r="H4407" s="241"/>
      <c r="I4407" s="206"/>
      <c r="J4407" s="228"/>
      <c r="K4407" s="207"/>
      <c r="L4407" s="257"/>
      <c r="M4407" s="209"/>
      <c r="N4407" s="210"/>
      <c r="O4407" s="198">
        <f>SUM(O4401:O4406)</f>
        <v>83.331653999999986</v>
      </c>
      <c r="P4407" s="267"/>
      <c r="Q4407" s="166"/>
      <c r="R4407" s="71"/>
    </row>
    <row r="4408" spans="1:41" s="61" customFormat="1" ht="63" x14ac:dyDescent="0.25">
      <c r="A4408" s="358"/>
      <c r="B4408" s="361"/>
      <c r="C4408" s="365" t="s">
        <v>77</v>
      </c>
      <c r="D4408" s="156" t="s">
        <v>29</v>
      </c>
      <c r="E4408" s="156" t="s">
        <v>58</v>
      </c>
      <c r="F4408" s="156" t="s">
        <v>218</v>
      </c>
      <c r="G4408" s="238">
        <f>MROUND(H4408*L4408*I4408/K4408,0.00000001)</f>
        <v>2.9406800000000002E-3</v>
      </c>
      <c r="H4408" s="158">
        <v>15</v>
      </c>
      <c r="I4408" s="159">
        <f>I4406</f>
        <v>4.313E-3</v>
      </c>
      <c r="J4408" s="160"/>
      <c r="K4408" s="161">
        <f>K4406</f>
        <v>88</v>
      </c>
      <c r="L4408" s="162">
        <v>4</v>
      </c>
      <c r="M4408" s="163" t="str">
        <f>CONCATENATE(H4408," ",F4408,"*",L4408," раза в год","*",I4408,"/",K4408,"чел.")</f>
        <v>15 установок*4 раза в год*0,004313/88чел.</v>
      </c>
      <c r="N4408" s="164">
        <f>N3448</f>
        <v>2264.8651666666669</v>
      </c>
      <c r="O4408" s="165">
        <f t="shared" ref="O4408:O4416" si="1102">MROUND(G4408*N4408,0.000001)</f>
        <v>6.6602439999999996</v>
      </c>
      <c r="P4408" s="166"/>
      <c r="Q4408" s="166">
        <f t="shared" ref="Q4408:Q4423" si="1103">O4408*K4408</f>
        <v>586.10147199999994</v>
      </c>
      <c r="R4408" s="71"/>
    </row>
    <row r="4409" spans="1:41" s="61" customFormat="1" ht="47.25" x14ac:dyDescent="0.25">
      <c r="A4409" s="358"/>
      <c r="B4409" s="361"/>
      <c r="C4409" s="366"/>
      <c r="D4409" s="156" t="s">
        <v>30</v>
      </c>
      <c r="E4409" s="156" t="s">
        <v>58</v>
      </c>
      <c r="F4409" s="156" t="s">
        <v>218</v>
      </c>
      <c r="G4409" s="238">
        <f>MROUND(H4409*L4409*I4409/K4409,0.00000001)</f>
        <v>1.4703400000000001E-3</v>
      </c>
      <c r="H4409" s="158">
        <v>15</v>
      </c>
      <c r="I4409" s="159">
        <f t="shared" si="1088"/>
        <v>4.313E-3</v>
      </c>
      <c r="J4409" s="160"/>
      <c r="K4409" s="161">
        <f t="shared" ref="K4409:K4417" si="1104">K4408</f>
        <v>88</v>
      </c>
      <c r="L4409" s="250">
        <v>2</v>
      </c>
      <c r="M4409" s="163" t="str">
        <f>CONCATENATE(H4409," ",F4409,"*",L4409,"полуг.","*",I4409,"/",K4409,"чел.")</f>
        <v>15 установок*2полуг.*0,004313/88чел.</v>
      </c>
      <c r="N4409" s="164">
        <f>N3689</f>
        <v>4529.7303333333339</v>
      </c>
      <c r="O4409" s="165">
        <f t="shared" si="1102"/>
        <v>6.6602439999999996</v>
      </c>
      <c r="P4409" s="166"/>
      <c r="Q4409" s="166">
        <f t="shared" si="1103"/>
        <v>586.10147199999994</v>
      </c>
      <c r="R4409" s="71"/>
    </row>
    <row r="4410" spans="1:41" s="61" customFormat="1" ht="31.5" x14ac:dyDescent="0.25">
      <c r="A4410" s="358"/>
      <c r="B4410" s="361"/>
      <c r="C4410" s="366"/>
      <c r="D4410" s="156" t="s">
        <v>397</v>
      </c>
      <c r="E4410" s="156" t="s">
        <v>433</v>
      </c>
      <c r="F4410" s="156" t="s">
        <v>433</v>
      </c>
      <c r="G4410" s="238">
        <f>MROUND(H4410*L4410*I4410/K4410,0.000001)</f>
        <v>1.4702999999999999E-2</v>
      </c>
      <c r="H4410" s="158">
        <f>H3450</f>
        <v>300</v>
      </c>
      <c r="I4410" s="159">
        <f t="shared" si="1088"/>
        <v>4.313E-3</v>
      </c>
      <c r="J4410" s="160"/>
      <c r="K4410" s="161">
        <f t="shared" si="1104"/>
        <v>88</v>
      </c>
      <c r="L4410" s="162">
        <v>1</v>
      </c>
      <c r="M4410" s="163" t="str">
        <f>CONCATENATE(H4410," ",F4410,"(обрабатываемая площадь в год)","*",L4410," раз в год","*",I4410,"/",K4410,"чел.")</f>
        <v>300 м2.(обрабатываемая площадь в год)*1 раз в год*0,004313/88чел.</v>
      </c>
      <c r="N4410" s="164">
        <f>N3450</f>
        <v>300</v>
      </c>
      <c r="O4410" s="165">
        <f t="shared" si="1102"/>
        <v>4.4108999999999998</v>
      </c>
      <c r="P4410" s="166"/>
      <c r="Q4410" s="166">
        <f t="shared" si="1103"/>
        <v>388.1592</v>
      </c>
      <c r="R4410" s="71"/>
    </row>
    <row r="4411" spans="1:41" s="61" customFormat="1" ht="47.25" x14ac:dyDescent="0.25">
      <c r="A4411" s="358"/>
      <c r="B4411" s="361"/>
      <c r="C4411" s="366"/>
      <c r="D4411" s="156" t="s">
        <v>32</v>
      </c>
      <c r="E4411" s="156" t="s">
        <v>55</v>
      </c>
      <c r="F4411" s="156" t="s">
        <v>219</v>
      </c>
      <c r="G4411" s="238">
        <f>MROUND(H4411*L4411*I4411/K4411,0.000000001)</f>
        <v>7.0576360000000008E-3</v>
      </c>
      <c r="H4411" s="158">
        <f>H3691</f>
        <v>36</v>
      </c>
      <c r="I4411" s="159">
        <f>I4410</f>
        <v>4.313E-3</v>
      </c>
      <c r="J4411" s="160"/>
      <c r="K4411" s="161">
        <f t="shared" si="1104"/>
        <v>88</v>
      </c>
      <c r="L4411" s="250">
        <v>4</v>
      </c>
      <c r="M4411" s="163" t="str">
        <f>CONCATENATE(H4411," ",F4411,"*",L4411,"кв.","*",I4411,"/",K4411,"чел.")</f>
        <v>36 системы*4кв.*0,004313/88чел.</v>
      </c>
      <c r="N4411" s="164">
        <f>N3691</f>
        <v>7243.0565277777823</v>
      </c>
      <c r="O4411" s="165">
        <f t="shared" si="1102"/>
        <v>51.118856999999998</v>
      </c>
      <c r="P4411" s="166"/>
      <c r="Q4411" s="166">
        <f t="shared" si="1103"/>
        <v>4498.4594159999997</v>
      </c>
      <c r="R4411" s="71"/>
    </row>
    <row r="4412" spans="1:41" s="61" customFormat="1" ht="63" x14ac:dyDescent="0.25">
      <c r="A4412" s="358"/>
      <c r="B4412" s="361"/>
      <c r="C4412" s="366"/>
      <c r="D4412" s="156" t="s">
        <v>33</v>
      </c>
      <c r="E4412" s="156" t="s">
        <v>56</v>
      </c>
      <c r="F4412" s="156" t="s">
        <v>220</v>
      </c>
      <c r="G4412" s="238">
        <f>MROUND(H4412*L4412*I4412/K4412,0.000000001)</f>
        <v>1.7644090000000002E-3</v>
      </c>
      <c r="H4412" s="158">
        <f>$H$64</f>
        <v>36</v>
      </c>
      <c r="I4412" s="159">
        <f>I4411</f>
        <v>4.313E-3</v>
      </c>
      <c r="J4412" s="160"/>
      <c r="K4412" s="161">
        <f t="shared" si="1104"/>
        <v>88</v>
      </c>
      <c r="L4412" s="162">
        <v>1</v>
      </c>
      <c r="M4412" s="163" t="str">
        <f>CONCATENATE(H4412," ",F4412,"*",L4412," раз в год","*",I4412,"/",K4412,"чел.")</f>
        <v>36 дымоходов*1 раз в год*0,004313/88чел.</v>
      </c>
      <c r="N4412" s="164">
        <f t="shared" ref="N4412:N4418" si="1105">N3452</f>
        <v>7030.863333333331</v>
      </c>
      <c r="O4412" s="165">
        <f t="shared" si="1102"/>
        <v>12.405318999999999</v>
      </c>
      <c r="P4412" s="166"/>
      <c r="Q4412" s="166">
        <f t="shared" si="1103"/>
        <v>1091.6680719999999</v>
      </c>
      <c r="R4412" s="71"/>
    </row>
    <row r="4413" spans="1:41" s="61" customFormat="1" x14ac:dyDescent="0.25">
      <c r="A4413" s="358"/>
      <c r="B4413" s="361"/>
      <c r="C4413" s="366"/>
      <c r="D4413" s="194" t="s">
        <v>398</v>
      </c>
      <c r="E4413" s="156" t="s">
        <v>60</v>
      </c>
      <c r="F4413" s="156" t="s">
        <v>60</v>
      </c>
      <c r="G4413" s="238">
        <f>MROUND(H4413*L4413*I4413/K4413,0.000000001)</f>
        <v>1.7153980000000001E-3</v>
      </c>
      <c r="H4413" s="246">
        <f>H3453</f>
        <v>35</v>
      </c>
      <c r="I4413" s="159">
        <f t="shared" si="1088"/>
        <v>4.313E-3</v>
      </c>
      <c r="J4413" s="160"/>
      <c r="K4413" s="161">
        <f t="shared" si="1104"/>
        <v>88</v>
      </c>
      <c r="L4413" s="250">
        <v>1</v>
      </c>
      <c r="M4413" s="163" t="str">
        <f>CONCATENATE(H4413," ",F4413,"*",I4413,"/",K4413,"чел.")</f>
        <v>35 шт.*0,004313/88чел.</v>
      </c>
      <c r="N4413" s="164">
        <f t="shared" si="1105"/>
        <v>12173.433428571419</v>
      </c>
      <c r="O4413" s="165">
        <f t="shared" si="1102"/>
        <v>20.882282999999997</v>
      </c>
      <c r="P4413" s="166"/>
      <c r="Q4413" s="166">
        <f t="shared" si="1103"/>
        <v>1837.6409039999999</v>
      </c>
      <c r="R4413" s="71"/>
    </row>
    <row r="4414" spans="1:41" s="61" customFormat="1" ht="47.25" x14ac:dyDescent="0.25">
      <c r="A4414" s="358"/>
      <c r="B4414" s="361"/>
      <c r="C4414" s="366"/>
      <c r="D4414" s="156" t="s">
        <v>401</v>
      </c>
      <c r="E4414" s="156" t="s">
        <v>60</v>
      </c>
      <c r="F4414" s="156" t="s">
        <v>402</v>
      </c>
      <c r="G4414" s="238">
        <f>MROUND(H4414*L4414*I4414/K4414,0.000001)</f>
        <v>3.431E-3</v>
      </c>
      <c r="H4414" s="246">
        <f>H3454</f>
        <v>35</v>
      </c>
      <c r="I4414" s="159">
        <f t="shared" si="1088"/>
        <v>4.313E-3</v>
      </c>
      <c r="J4414" s="160"/>
      <c r="K4414" s="161">
        <f t="shared" si="1104"/>
        <v>88</v>
      </c>
      <c r="L4414" s="162">
        <v>2</v>
      </c>
      <c r="M4414" s="163" t="str">
        <f>CONCATENATE(H4414," ",F4414,"*",L4414," раз в год","*",I4414,"/",K4414,"чел.")</f>
        <v>35 противопожарных водопроводов*2 раз в год*0,004313/88чел.</v>
      </c>
      <c r="N4414" s="164">
        <f t="shared" si="1105"/>
        <v>5700.7000000000025</v>
      </c>
      <c r="O4414" s="165">
        <f t="shared" si="1102"/>
        <v>19.559101999999999</v>
      </c>
      <c r="P4414" s="166"/>
      <c r="Q4414" s="166">
        <f t="shared" si="1103"/>
        <v>1721.2009759999999</v>
      </c>
      <c r="R4414" s="71"/>
    </row>
    <row r="4415" spans="1:41" s="61" customFormat="1" ht="31.5" x14ac:dyDescent="0.25">
      <c r="A4415" s="358"/>
      <c r="B4415" s="361"/>
      <c r="C4415" s="366"/>
      <c r="D4415" s="156" t="s">
        <v>221</v>
      </c>
      <c r="E4415" s="156" t="s">
        <v>60</v>
      </c>
      <c r="F4415" s="156" t="s">
        <v>60</v>
      </c>
      <c r="G4415" s="238">
        <f>MROUND(H4415*L4415*I4415/K4415,0.000000001)</f>
        <v>1.0586455E-2</v>
      </c>
      <c r="H4415" s="158">
        <f>H3455</f>
        <v>18</v>
      </c>
      <c r="I4415" s="159">
        <f t="shared" si="1088"/>
        <v>4.313E-3</v>
      </c>
      <c r="J4415" s="160"/>
      <c r="K4415" s="161">
        <f t="shared" si="1104"/>
        <v>88</v>
      </c>
      <c r="L4415" s="250">
        <v>12</v>
      </c>
      <c r="M4415" s="163" t="str">
        <f>CONCATENATE(H4415," ",F4415,"*",L4415,"мес.","*",I4415,"/",K4415,"чел.")</f>
        <v>18 шт.*12мес.*0,004313/88чел.</v>
      </c>
      <c r="N4415" s="164">
        <f t="shared" si="1105"/>
        <v>6577.3408796296308</v>
      </c>
      <c r="O4415" s="165">
        <f t="shared" si="1102"/>
        <v>69.630723000000003</v>
      </c>
      <c r="P4415" s="166"/>
      <c r="Q4415" s="166">
        <f t="shared" si="1103"/>
        <v>6127.5036239999999</v>
      </c>
      <c r="R4415" s="71"/>
    </row>
    <row r="4416" spans="1:41" s="61" customFormat="1" ht="47.25" x14ac:dyDescent="0.25">
      <c r="A4416" s="358"/>
      <c r="B4416" s="361"/>
      <c r="C4416" s="366"/>
      <c r="D4416" s="156" t="s">
        <v>34</v>
      </c>
      <c r="E4416" s="156" t="s">
        <v>59</v>
      </c>
      <c r="F4416" s="156" t="s">
        <v>28</v>
      </c>
      <c r="G4416" s="238">
        <f>MROUND(H4416*L4416*I4416/K4416,0.0000000001)</f>
        <v>9.8022699999999999E-5</v>
      </c>
      <c r="H4416" s="158">
        <f>H3456</f>
        <v>2</v>
      </c>
      <c r="I4416" s="159">
        <f t="shared" si="1088"/>
        <v>4.313E-3</v>
      </c>
      <c r="J4416" s="160"/>
      <c r="K4416" s="161">
        <f t="shared" si="1104"/>
        <v>88</v>
      </c>
      <c r="L4416" s="250">
        <v>1</v>
      </c>
      <c r="M4416" s="163" t="str">
        <f>CONCATENATE(H4416," ",F4416,"*",I4416,"/",K4416,"чел.")</f>
        <v>2 шт*0,004313/88чел.</v>
      </c>
      <c r="N4416" s="164">
        <f t="shared" si="1105"/>
        <v>7845</v>
      </c>
      <c r="O4416" s="165">
        <f t="shared" si="1102"/>
        <v>0.768988</v>
      </c>
      <c r="P4416" s="166"/>
      <c r="Q4416" s="166">
        <f t="shared" si="1103"/>
        <v>67.670944000000006</v>
      </c>
      <c r="R4416" s="71"/>
    </row>
    <row r="4417" spans="1:18" s="61" customFormat="1" ht="47.25" x14ac:dyDescent="0.25">
      <c r="A4417" s="358"/>
      <c r="B4417" s="361"/>
      <c r="C4417" s="366"/>
      <c r="D4417" s="156" t="s">
        <v>222</v>
      </c>
      <c r="E4417" s="156" t="s">
        <v>60</v>
      </c>
      <c r="F4417" s="156" t="s">
        <v>60</v>
      </c>
      <c r="G4417" s="238">
        <f>MROUND(H4417*L4417*I4417/K4417,0.00000000001)</f>
        <v>2.4505681999999998E-4</v>
      </c>
      <c r="H4417" s="248">
        <f>H3697</f>
        <v>5</v>
      </c>
      <c r="I4417" s="159">
        <f t="shared" si="1088"/>
        <v>4.313E-3</v>
      </c>
      <c r="J4417" s="160"/>
      <c r="K4417" s="161">
        <f t="shared" si="1104"/>
        <v>88</v>
      </c>
      <c r="L4417" s="250">
        <v>1</v>
      </c>
      <c r="M4417" s="163" t="str">
        <f>CONCATENATE(H4417," ",F4417,"*",I4417,"/",K4417,"чел.")</f>
        <v>5 шт.*0,004313/88чел.</v>
      </c>
      <c r="N4417" s="164">
        <f t="shared" si="1105"/>
        <v>43857.106</v>
      </c>
      <c r="O4417" s="165">
        <f>MROUND(G4417*N4417,0.00000001)</f>
        <v>10.74748293</v>
      </c>
      <c r="P4417" s="166"/>
      <c r="Q4417" s="166">
        <f t="shared" si="1103"/>
        <v>945.77849784</v>
      </c>
      <c r="R4417" s="71"/>
    </row>
    <row r="4418" spans="1:18" s="61" customFormat="1" ht="31.5" x14ac:dyDescent="0.25">
      <c r="A4418" s="358"/>
      <c r="B4418" s="361"/>
      <c r="C4418" s="366"/>
      <c r="D4418" s="156" t="s">
        <v>35</v>
      </c>
      <c r="E4418" s="156" t="s">
        <v>102</v>
      </c>
      <c r="F4418" s="156" t="s">
        <v>223</v>
      </c>
      <c r="G4418" s="238">
        <f>MROUND(H4418*L4418*I4418/K4418,0.00000001)</f>
        <v>1.7154E-3</v>
      </c>
      <c r="H4418" s="158">
        <f>H3458</f>
        <v>35</v>
      </c>
      <c r="I4418" s="159">
        <f>I4416</f>
        <v>4.313E-3</v>
      </c>
      <c r="J4418" s="160"/>
      <c r="K4418" s="161">
        <f>K4416</f>
        <v>88</v>
      </c>
      <c r="L4418" s="250">
        <v>1</v>
      </c>
      <c r="M4418" s="163" t="str">
        <f>CONCATENATE(H4418," ",F4418,"*",I4418,"/",K4418,"чел.")</f>
        <v>35 замеров*0,004313/88чел.</v>
      </c>
      <c r="N4418" s="164">
        <f t="shared" si="1105"/>
        <v>26428.571428571428</v>
      </c>
      <c r="O4418" s="165">
        <f t="shared" ref="O4418:O4423" si="1106">MROUND(G4418*N4418,0.000001)</f>
        <v>45.335570999999995</v>
      </c>
      <c r="P4418" s="166"/>
      <c r="Q4418" s="166">
        <f t="shared" si="1103"/>
        <v>3989.5302479999996</v>
      </c>
      <c r="R4418" s="71"/>
    </row>
    <row r="4419" spans="1:18" s="61" customFormat="1" ht="47.25" x14ac:dyDescent="0.25">
      <c r="A4419" s="358"/>
      <c r="B4419" s="361"/>
      <c r="C4419" s="366"/>
      <c r="D4419" s="156" t="s">
        <v>399</v>
      </c>
      <c r="E4419" s="156" t="s">
        <v>60</v>
      </c>
      <c r="F4419" s="156" t="s">
        <v>60</v>
      </c>
      <c r="G4419" s="238">
        <f>MROUND(H4419*L4419*I4419/K4419,0.000000001)</f>
        <v>1.7153977000000001E-2</v>
      </c>
      <c r="H4419" s="158">
        <f>H3819</f>
        <v>35</v>
      </c>
      <c r="I4419" s="159">
        <f t="shared" si="1088"/>
        <v>4.313E-3</v>
      </c>
      <c r="J4419" s="160"/>
      <c r="K4419" s="161">
        <f>K4418</f>
        <v>88</v>
      </c>
      <c r="L4419" s="250">
        <v>10</v>
      </c>
      <c r="M4419" s="163" t="str">
        <f>CONCATENATE(H4419," ",F4419,"*",L4419,"мес.","*",I4419,"/",K4419,"чел.")</f>
        <v>35 шт.*10мес.*0,004313/88чел.</v>
      </c>
      <c r="N4419" s="164">
        <f>N3819</f>
        <v>3250.866542857143</v>
      </c>
      <c r="O4419" s="165">
        <f t="shared" si="1106"/>
        <v>55.76529</v>
      </c>
      <c r="P4419" s="166"/>
      <c r="Q4419" s="166">
        <f t="shared" si="1103"/>
        <v>4907.3455199999999</v>
      </c>
      <c r="R4419" s="71"/>
    </row>
    <row r="4420" spans="1:18" s="61" customFormat="1" ht="47.25" x14ac:dyDescent="0.25">
      <c r="A4420" s="358"/>
      <c r="B4420" s="361"/>
      <c r="C4420" s="366"/>
      <c r="D4420" s="156" t="s">
        <v>36</v>
      </c>
      <c r="E4420" s="156" t="s">
        <v>31</v>
      </c>
      <c r="F4420" s="156" t="s">
        <v>224</v>
      </c>
      <c r="G4420" s="238">
        <f>MROUND(H4420*L4420*I4420/K4420,0.00000001)</f>
        <v>2.117291E-2</v>
      </c>
      <c r="H4420" s="158">
        <f>H3700</f>
        <v>36</v>
      </c>
      <c r="I4420" s="159">
        <f t="shared" si="1088"/>
        <v>4.313E-3</v>
      </c>
      <c r="J4420" s="160"/>
      <c r="K4420" s="161">
        <f>K4419</f>
        <v>88</v>
      </c>
      <c r="L4420" s="250">
        <v>12</v>
      </c>
      <c r="M4420" s="163" t="str">
        <f>CONCATENATE(H4420," ",F4420,"*",L4420,"мес.","*",I4420,"/",K4420,"чел.")</f>
        <v>36 устройств*12мес.*0,004313/88чел.</v>
      </c>
      <c r="N4420" s="164">
        <f>N3460</f>
        <v>2508.3083101851839</v>
      </c>
      <c r="O4420" s="165">
        <f t="shared" si="1106"/>
        <v>53.108185999999996</v>
      </c>
      <c r="P4420" s="166"/>
      <c r="Q4420" s="166">
        <f t="shared" si="1103"/>
        <v>4673.5203679999995</v>
      </c>
      <c r="R4420" s="71"/>
    </row>
    <row r="4421" spans="1:18" s="61" customFormat="1" ht="31.5" x14ac:dyDescent="0.25">
      <c r="A4421" s="358"/>
      <c r="B4421" s="361"/>
      <c r="C4421" s="366"/>
      <c r="D4421" s="156" t="s">
        <v>99</v>
      </c>
      <c r="E4421" s="156" t="s">
        <v>103</v>
      </c>
      <c r="F4421" s="156" t="s">
        <v>225</v>
      </c>
      <c r="G4421" s="238">
        <f>MROUND(H4421*L4421*I4421/K4421,0.00000001)</f>
        <v>1.2252840000000001E-2</v>
      </c>
      <c r="H4421" s="158">
        <f>H3461</f>
        <v>250</v>
      </c>
      <c r="I4421" s="159">
        <f t="shared" si="1088"/>
        <v>4.313E-3</v>
      </c>
      <c r="J4421" s="160"/>
      <c r="K4421" s="161">
        <f>K4420</f>
        <v>88</v>
      </c>
      <c r="L4421" s="250">
        <v>1</v>
      </c>
      <c r="M4421" s="163" t="str">
        <f>CONCATENATE(H4421," ",F4421,"*",I4421,"/",K4421,"чел.")</f>
        <v>250 ед.*0,004313/88чел.</v>
      </c>
      <c r="N4421" s="164">
        <f>N3461</f>
        <v>15000</v>
      </c>
      <c r="O4421" s="165">
        <f t="shared" si="1106"/>
        <v>183.79259999999999</v>
      </c>
      <c r="P4421" s="166"/>
      <c r="Q4421" s="166">
        <f t="shared" si="1103"/>
        <v>16173.748799999999</v>
      </c>
      <c r="R4421" s="71"/>
    </row>
    <row r="4422" spans="1:18" s="61" customFormat="1" x14ac:dyDescent="0.25">
      <c r="A4422" s="358"/>
      <c r="B4422" s="361"/>
      <c r="C4422" s="366"/>
      <c r="D4422" s="156" t="s">
        <v>27</v>
      </c>
      <c r="E4422" s="156" t="s">
        <v>28</v>
      </c>
      <c r="F4422" s="156" t="s">
        <v>28</v>
      </c>
      <c r="G4422" s="238">
        <f>MROUND(H4422*L4422*I4422/K4422,0.000000001)</f>
        <v>0.17815630700000001</v>
      </c>
      <c r="H4422" s="160">
        <f>H3462</f>
        <v>3635</v>
      </c>
      <c r="I4422" s="159">
        <f t="shared" si="1088"/>
        <v>4.313E-3</v>
      </c>
      <c r="J4422" s="160"/>
      <c r="K4422" s="161">
        <f>K4421</f>
        <v>88</v>
      </c>
      <c r="L4422" s="250">
        <v>1</v>
      </c>
      <c r="M4422" s="163" t="str">
        <f>CONCATENATE(H4422," ",F4422,"*",I4422,"/",K4422,"чел.")</f>
        <v>3635 шт*0,004313/88чел.</v>
      </c>
      <c r="N4422" s="164">
        <f>N3582</f>
        <v>418.4</v>
      </c>
      <c r="O4422" s="165">
        <f t="shared" si="1106"/>
        <v>74.540599</v>
      </c>
      <c r="P4422" s="166"/>
      <c r="Q4422" s="166">
        <f t="shared" si="1103"/>
        <v>6559.5727120000001</v>
      </c>
      <c r="R4422" s="71"/>
    </row>
    <row r="4423" spans="1:18" s="61" customFormat="1" ht="31.5" x14ac:dyDescent="0.25">
      <c r="A4423" s="358"/>
      <c r="B4423" s="361"/>
      <c r="C4423" s="367"/>
      <c r="D4423" s="156" t="s">
        <v>104</v>
      </c>
      <c r="E4423" s="156" t="s">
        <v>105</v>
      </c>
      <c r="F4423" s="156" t="s">
        <v>226</v>
      </c>
      <c r="G4423" s="238">
        <f>MROUND(H4423*L4423*I4423/K4423,0.00000001)</f>
        <v>1.7644100000000001E-3</v>
      </c>
      <c r="H4423" s="160">
        <f>H3463</f>
        <v>36</v>
      </c>
      <c r="I4423" s="159">
        <f t="shared" si="1088"/>
        <v>4.313E-3</v>
      </c>
      <c r="J4423" s="160"/>
      <c r="K4423" s="161">
        <f>K4422</f>
        <v>88</v>
      </c>
      <c r="L4423" s="250">
        <v>1</v>
      </c>
      <c r="M4423" s="163" t="str">
        <f>CONCATENATE(H4423," ",F4423,"*",I4423,"/",K4423,"чел.")</f>
        <v>36 отключений*0,004313/88чел.</v>
      </c>
      <c r="N4423" s="164">
        <f>N3463</f>
        <v>10261.260000000004</v>
      </c>
      <c r="O4423" s="165">
        <f t="shared" si="1106"/>
        <v>18.105069999999998</v>
      </c>
      <c r="P4423" s="166"/>
      <c r="Q4423" s="166">
        <f t="shared" si="1103"/>
        <v>1593.2461599999997</v>
      </c>
      <c r="R4423" s="71"/>
    </row>
    <row r="4424" spans="1:18" s="62" customFormat="1" x14ac:dyDescent="0.25">
      <c r="A4424" s="358"/>
      <c r="B4424" s="361"/>
      <c r="C4424" s="249" t="s">
        <v>292</v>
      </c>
      <c r="D4424" s="240"/>
      <c r="E4424" s="240"/>
      <c r="F4424" s="240"/>
      <c r="G4424" s="227"/>
      <c r="H4424" s="228"/>
      <c r="I4424" s="206"/>
      <c r="J4424" s="228"/>
      <c r="K4424" s="207"/>
      <c r="L4424" s="257"/>
      <c r="M4424" s="209"/>
      <c r="N4424" s="210"/>
      <c r="O4424" s="198">
        <f>SUM(O4408:O4423)</f>
        <v>633.49145892999991</v>
      </c>
      <c r="P4424" s="267"/>
      <c r="Q4424" s="166"/>
      <c r="R4424" s="71"/>
    </row>
    <row r="4425" spans="1:18" s="61" customFormat="1" ht="31.5" x14ac:dyDescent="0.25">
      <c r="A4425" s="358"/>
      <c r="B4425" s="361"/>
      <c r="C4425" s="221" t="s">
        <v>79</v>
      </c>
      <c r="D4425" s="156" t="s">
        <v>37</v>
      </c>
      <c r="E4425" s="156" t="s">
        <v>61</v>
      </c>
      <c r="F4425" s="156" t="s">
        <v>227</v>
      </c>
      <c r="G4425" s="238">
        <f>MROUND(H4425*L4425*I4425/K4425,0.000000001)</f>
        <v>1.9604500000000002E-4</v>
      </c>
      <c r="H4425" s="158">
        <f>H3465</f>
        <v>4</v>
      </c>
      <c r="I4425" s="159">
        <f>I4423</f>
        <v>4.313E-3</v>
      </c>
      <c r="J4425" s="160"/>
      <c r="K4425" s="161">
        <f>K4423</f>
        <v>88</v>
      </c>
      <c r="L4425" s="250">
        <v>1</v>
      </c>
      <c r="M4425" s="163" t="str">
        <f>CONCATENATE(H4425," ",F4425,"*",I4425,"/",K4425,"чел.")</f>
        <v>4 автобуса*0,004313/88чел.</v>
      </c>
      <c r="N4425" s="164">
        <f>N3465</f>
        <v>36442.65</v>
      </c>
      <c r="O4425" s="165">
        <f>MROUND(G4425*N4425,0.000001)</f>
        <v>7.1443989999999999</v>
      </c>
      <c r="P4425" s="166"/>
      <c r="Q4425" s="166">
        <f t="shared" ref="Q4425" si="1107">O4425*K4425</f>
        <v>628.70711200000005</v>
      </c>
      <c r="R4425" s="71"/>
    </row>
    <row r="4426" spans="1:18" s="62" customFormat="1" x14ac:dyDescent="0.25">
      <c r="A4426" s="358"/>
      <c r="B4426" s="361"/>
      <c r="C4426" s="218" t="s">
        <v>295</v>
      </c>
      <c r="D4426" s="240"/>
      <c r="E4426" s="240"/>
      <c r="F4426" s="240"/>
      <c r="G4426" s="227"/>
      <c r="H4426" s="241"/>
      <c r="I4426" s="206"/>
      <c r="J4426" s="228"/>
      <c r="K4426" s="207"/>
      <c r="L4426" s="257"/>
      <c r="M4426" s="209"/>
      <c r="N4426" s="210"/>
      <c r="O4426" s="198">
        <f>SUM(O4425)</f>
        <v>7.1443989999999999</v>
      </c>
      <c r="P4426" s="267"/>
      <c r="Q4426" s="166"/>
      <c r="R4426" s="71"/>
    </row>
    <row r="4427" spans="1:18" s="61" customFormat="1" x14ac:dyDescent="0.25">
      <c r="A4427" s="358"/>
      <c r="B4427" s="361"/>
      <c r="C4427" s="364" t="s">
        <v>80</v>
      </c>
      <c r="D4427" s="156" t="s">
        <v>38</v>
      </c>
      <c r="E4427" s="156" t="s">
        <v>57</v>
      </c>
      <c r="F4427" s="156" t="s">
        <v>228</v>
      </c>
      <c r="G4427" s="238">
        <f>MROUND(H4427*L4427*I4427/K4427,0.000000001)</f>
        <v>2.1172909E-2</v>
      </c>
      <c r="H4427" s="158">
        <f>H3467</f>
        <v>36</v>
      </c>
      <c r="I4427" s="159">
        <f>I4425</f>
        <v>4.313E-3</v>
      </c>
      <c r="J4427" s="160"/>
      <c r="K4427" s="161">
        <f>K4425</f>
        <v>88</v>
      </c>
      <c r="L4427" s="250">
        <v>12</v>
      </c>
      <c r="M4427" s="163" t="str">
        <f>CONCATENATE(H4427," ",F4427,"*",L4427,"мес.","*",I4427,"/",K4427,"чел.")</f>
        <v>36 зданий*12мес.*0,004313/88чел.</v>
      </c>
      <c r="N4427" s="164">
        <f t="shared" ref="N4427:N4438" si="1108">N3467</f>
        <v>4910.5833101851858</v>
      </c>
      <c r="O4427" s="165">
        <f>MROUND(G4427*N4427,0.000001)</f>
        <v>103.971334</v>
      </c>
      <c r="P4427" s="166"/>
      <c r="Q4427" s="166">
        <f t="shared" ref="Q4427:Q4440" si="1109">O4427*K4427</f>
        <v>9149.4773920000007</v>
      </c>
      <c r="R4427" s="71"/>
    </row>
    <row r="4428" spans="1:18" s="61" customFormat="1" ht="47.25" x14ac:dyDescent="0.25">
      <c r="A4428" s="358"/>
      <c r="B4428" s="361"/>
      <c r="C4428" s="364"/>
      <c r="D4428" s="156" t="s">
        <v>229</v>
      </c>
      <c r="E4428" s="156" t="s">
        <v>60</v>
      </c>
      <c r="F4428" s="156" t="s">
        <v>60</v>
      </c>
      <c r="G4428" s="238">
        <f>MROUND(H4428*L4428*I4428/K4428,0.000001)</f>
        <v>0.11733299999999999</v>
      </c>
      <c r="H4428" s="158">
        <f>H3468</f>
        <v>2394</v>
      </c>
      <c r="I4428" s="159">
        <f>I4427</f>
        <v>4.313E-3</v>
      </c>
      <c r="J4428" s="160"/>
      <c r="K4428" s="161">
        <f>K4427</f>
        <v>88</v>
      </c>
      <c r="L4428" s="250">
        <v>1</v>
      </c>
      <c r="M4428" s="163" t="str">
        <f t="shared" ref="M4428:M4435" si="1110">CONCATENATE(H4428," ",F4428,"*",I4428,"/",K4428,"чел.")</f>
        <v>2394 шт.*0,004313/88чел.</v>
      </c>
      <c r="N4428" s="164">
        <f t="shared" si="1108"/>
        <v>171.02101921470341</v>
      </c>
      <c r="O4428" s="165">
        <f>MROUND(G4428*N4428,0.000001)</f>
        <v>20.066409</v>
      </c>
      <c r="P4428" s="166"/>
      <c r="Q4428" s="166">
        <f t="shared" si="1109"/>
        <v>1765.8439920000001</v>
      </c>
      <c r="R4428" s="71"/>
    </row>
    <row r="4429" spans="1:18" s="61" customFormat="1" ht="47.25" x14ac:dyDescent="0.25">
      <c r="A4429" s="358"/>
      <c r="B4429" s="361"/>
      <c r="C4429" s="364"/>
      <c r="D4429" s="156" t="s">
        <v>405</v>
      </c>
      <c r="E4429" s="156" t="s">
        <v>60</v>
      </c>
      <c r="F4429" s="156" t="s">
        <v>406</v>
      </c>
      <c r="G4429" s="238">
        <f>MROUND(H4429*L4429*I4429/K4429,0.00000001)</f>
        <v>1.7644100000000001E-3</v>
      </c>
      <c r="H4429" s="158">
        <f>H3709</f>
        <v>36</v>
      </c>
      <c r="I4429" s="159">
        <f>I4428</f>
        <v>4.313E-3</v>
      </c>
      <c r="J4429" s="160"/>
      <c r="K4429" s="161">
        <f>K4428</f>
        <v>88</v>
      </c>
      <c r="L4429" s="250">
        <v>1</v>
      </c>
      <c r="M4429" s="163" t="str">
        <f t="shared" si="1110"/>
        <v>36 лицензий*0,004313/88чел.</v>
      </c>
      <c r="N4429" s="164">
        <f t="shared" si="1108"/>
        <v>12541.539999999994</v>
      </c>
      <c r="O4429" s="165">
        <f t="shared" ref="O4429:O4438" si="1111">MROUND(G4429*N4429,0.000001)</f>
        <v>22.128418999999997</v>
      </c>
      <c r="P4429" s="166"/>
      <c r="Q4429" s="166">
        <f t="shared" si="1109"/>
        <v>1947.3008719999998</v>
      </c>
      <c r="R4429" s="71"/>
    </row>
    <row r="4430" spans="1:18" s="61" customFormat="1" ht="63" x14ac:dyDescent="0.25">
      <c r="A4430" s="358"/>
      <c r="B4430" s="361"/>
      <c r="C4430" s="364"/>
      <c r="D4430" s="156" t="s">
        <v>39</v>
      </c>
      <c r="E4430" s="156" t="s">
        <v>20</v>
      </c>
      <c r="F4430" s="156" t="s">
        <v>234</v>
      </c>
      <c r="G4430" s="238">
        <f>MROUND(H4430*L4430*I4430/K4430,0.000000001)</f>
        <v>5.783341E-3</v>
      </c>
      <c r="H4430" s="158">
        <f>H3950</f>
        <v>118</v>
      </c>
      <c r="I4430" s="159">
        <f>I4428</f>
        <v>4.313E-3</v>
      </c>
      <c r="J4430" s="160"/>
      <c r="K4430" s="161">
        <f>K4428</f>
        <v>88</v>
      </c>
      <c r="L4430" s="250">
        <v>1</v>
      </c>
      <c r="M4430" s="163" t="str">
        <f t="shared" si="1110"/>
        <v>118 чел(заявленная потребность руководителями учреждений)*0,004313/88чел.</v>
      </c>
      <c r="N4430" s="164">
        <f t="shared" si="1108"/>
        <v>798.09796610169519</v>
      </c>
      <c r="O4430" s="165">
        <f t="shared" si="1111"/>
        <v>4.6156730000000001</v>
      </c>
      <c r="P4430" s="166"/>
      <c r="Q4430" s="166">
        <f t="shared" si="1109"/>
        <v>406.17922400000003</v>
      </c>
      <c r="R4430" s="71"/>
    </row>
    <row r="4431" spans="1:18" s="61" customFormat="1" ht="63" x14ac:dyDescent="0.25">
      <c r="A4431" s="358"/>
      <c r="B4431" s="361"/>
      <c r="C4431" s="364"/>
      <c r="D4431" s="156" t="s">
        <v>40</v>
      </c>
      <c r="E4431" s="156" t="s">
        <v>20</v>
      </c>
      <c r="F4431" s="156" t="s">
        <v>234</v>
      </c>
      <c r="G4431" s="238">
        <f>MROUND(H4431*L4431*I4431/K4431,0.000000001)</f>
        <v>4.7050910000000007E-3</v>
      </c>
      <c r="H4431" s="158">
        <f>H3951</f>
        <v>96</v>
      </c>
      <c r="I4431" s="159">
        <f t="shared" ref="I4431:I4438" si="1112">I4430</f>
        <v>4.313E-3</v>
      </c>
      <c r="J4431" s="160"/>
      <c r="K4431" s="161">
        <f t="shared" ref="K4431:K4438" si="1113">K4430</f>
        <v>88</v>
      </c>
      <c r="L4431" s="250">
        <v>1</v>
      </c>
      <c r="M4431" s="163" t="str">
        <f t="shared" si="1110"/>
        <v>96 чел(заявленная потребность руководителями учреждений)*0,004313/88чел.</v>
      </c>
      <c r="N4431" s="164">
        <f t="shared" si="1108"/>
        <v>1710.2100000000007</v>
      </c>
      <c r="O4431" s="165">
        <f t="shared" si="1111"/>
        <v>8.0466940000000005</v>
      </c>
      <c r="P4431" s="166"/>
      <c r="Q4431" s="166">
        <f t="shared" si="1109"/>
        <v>708.10907200000008</v>
      </c>
      <c r="R4431" s="71"/>
    </row>
    <row r="4432" spans="1:18" s="61" customFormat="1" ht="63" x14ac:dyDescent="0.25">
      <c r="A4432" s="358"/>
      <c r="B4432" s="361"/>
      <c r="C4432" s="364"/>
      <c r="D4432" s="156" t="s">
        <v>100</v>
      </c>
      <c r="E4432" s="156" t="s">
        <v>20</v>
      </c>
      <c r="F4432" s="156" t="s">
        <v>234</v>
      </c>
      <c r="G4432" s="238">
        <f>MROUND(H4432*L4432*I4432/K4432,0.0000000001)</f>
        <v>3.9699204999999998E-3</v>
      </c>
      <c r="H4432" s="158">
        <f>H3952</f>
        <v>81</v>
      </c>
      <c r="I4432" s="159">
        <f t="shared" si="1112"/>
        <v>4.313E-3</v>
      </c>
      <c r="J4432" s="160"/>
      <c r="K4432" s="161">
        <f t="shared" si="1113"/>
        <v>88</v>
      </c>
      <c r="L4432" s="250">
        <v>1</v>
      </c>
      <c r="M4432" s="163" t="str">
        <f t="shared" si="1110"/>
        <v>81 чел(заявленная потребность руководителями учреждений)*0,004313/88чел.</v>
      </c>
      <c r="N4432" s="164">
        <f t="shared" si="1108"/>
        <v>3648.448148148148</v>
      </c>
      <c r="O4432" s="165">
        <f t="shared" si="1111"/>
        <v>14.484048999999999</v>
      </c>
      <c r="P4432" s="166"/>
      <c r="Q4432" s="166">
        <f t="shared" si="1109"/>
        <v>1274.5963119999999</v>
      </c>
      <c r="R4432" s="71"/>
    </row>
    <row r="4433" spans="1:18" s="61" customFormat="1" ht="110.25" x14ac:dyDescent="0.25">
      <c r="A4433" s="358"/>
      <c r="B4433" s="361"/>
      <c r="C4433" s="364"/>
      <c r="D4433" s="156" t="s">
        <v>235</v>
      </c>
      <c r="E4433" s="156" t="s">
        <v>50</v>
      </c>
      <c r="F4433" s="156" t="s">
        <v>230</v>
      </c>
      <c r="G4433" s="238">
        <f>MROUND(H4433*L4433*I4433/K4433,0.00000001)</f>
        <v>1.7644100000000001E-3</v>
      </c>
      <c r="H4433" s="158">
        <f>H4193</f>
        <v>36</v>
      </c>
      <c r="I4433" s="159">
        <f t="shared" si="1112"/>
        <v>4.313E-3</v>
      </c>
      <c r="J4433" s="160"/>
      <c r="K4433" s="161">
        <f t="shared" si="1113"/>
        <v>88</v>
      </c>
      <c r="L4433" s="250">
        <v>1</v>
      </c>
      <c r="M4433" s="163" t="str">
        <f t="shared" si="1110"/>
        <v>36 отчетов*0,004313/88чел.</v>
      </c>
      <c r="N4433" s="164">
        <f t="shared" si="1108"/>
        <v>6840.8399999999974</v>
      </c>
      <c r="O4433" s="165">
        <f t="shared" si="1111"/>
        <v>12.070046999999999</v>
      </c>
      <c r="P4433" s="166"/>
      <c r="Q4433" s="166">
        <f t="shared" si="1109"/>
        <v>1062.1641359999999</v>
      </c>
      <c r="R4433" s="71"/>
    </row>
    <row r="4434" spans="1:18" s="61" customFormat="1" ht="63" x14ac:dyDescent="0.25">
      <c r="A4434" s="358"/>
      <c r="B4434" s="361"/>
      <c r="C4434" s="364"/>
      <c r="D4434" s="156" t="s">
        <v>42</v>
      </c>
      <c r="E4434" s="156" t="s">
        <v>51</v>
      </c>
      <c r="F4434" s="156" t="s">
        <v>407</v>
      </c>
      <c r="G4434" s="238">
        <f>MROUND(H4434*L4434*I4434/K4434,0.000001)</f>
        <v>9.9979999999999999E-3</v>
      </c>
      <c r="H4434" s="158">
        <f>H3954</f>
        <v>204</v>
      </c>
      <c r="I4434" s="159">
        <f t="shared" si="1112"/>
        <v>4.313E-3</v>
      </c>
      <c r="J4434" s="160"/>
      <c r="K4434" s="161">
        <f t="shared" si="1113"/>
        <v>88</v>
      </c>
      <c r="L4434" s="250">
        <v>1</v>
      </c>
      <c r="M4434" s="163" t="str">
        <f t="shared" si="1110"/>
        <v>204 ед (заявленная потребность руководителями учреждений)*0,004313/88чел.</v>
      </c>
      <c r="N4434" s="164">
        <f t="shared" si="1108"/>
        <v>1140.1400000000001</v>
      </c>
      <c r="O4434" s="165">
        <f t="shared" si="1111"/>
        <v>11.39912</v>
      </c>
      <c r="P4434" s="166"/>
      <c r="Q4434" s="166">
        <f t="shared" si="1109"/>
        <v>1003.12256</v>
      </c>
      <c r="R4434" s="71"/>
    </row>
    <row r="4435" spans="1:18" s="61" customFormat="1" ht="31.5" x14ac:dyDescent="0.25">
      <c r="A4435" s="358"/>
      <c r="B4435" s="361"/>
      <c r="C4435" s="364"/>
      <c r="D4435" s="156" t="s">
        <v>43</v>
      </c>
      <c r="E4435" s="156" t="s">
        <v>52</v>
      </c>
      <c r="F4435" s="156" t="s">
        <v>231</v>
      </c>
      <c r="G4435" s="238">
        <f>MROUND(H4435*L4435*I4435/K4435,0.000000001)</f>
        <v>1.7644090000000002E-3</v>
      </c>
      <c r="H4435" s="158">
        <f>H3475</f>
        <v>36</v>
      </c>
      <c r="I4435" s="159">
        <f t="shared" si="1112"/>
        <v>4.313E-3</v>
      </c>
      <c r="J4435" s="160"/>
      <c r="K4435" s="161">
        <f t="shared" si="1113"/>
        <v>88</v>
      </c>
      <c r="L4435" s="250">
        <v>1</v>
      </c>
      <c r="M4435" s="163" t="str">
        <f t="shared" si="1110"/>
        <v>36 ЭЦП*0,004313/88чел.</v>
      </c>
      <c r="N4435" s="164">
        <f t="shared" si="1108"/>
        <v>8099.5499999999947</v>
      </c>
      <c r="O4435" s="165">
        <f t="shared" si="1111"/>
        <v>14.290918999999999</v>
      </c>
      <c r="P4435" s="166"/>
      <c r="Q4435" s="166">
        <f t="shared" si="1109"/>
        <v>1257.600872</v>
      </c>
      <c r="R4435" s="71"/>
    </row>
    <row r="4436" spans="1:18" s="61" customFormat="1" ht="47.25" x14ac:dyDescent="0.25">
      <c r="A4436" s="358"/>
      <c r="B4436" s="361"/>
      <c r="C4436" s="364"/>
      <c r="D4436" s="156" t="s">
        <v>44</v>
      </c>
      <c r="E4436" s="156" t="s">
        <v>85</v>
      </c>
      <c r="F4436" s="156" t="s">
        <v>232</v>
      </c>
      <c r="G4436" s="238">
        <f>MROUND(H4436*L4436*I4436/K4436,0.000001)</f>
        <v>5.9597999999999998E-2</v>
      </c>
      <c r="H4436" s="158">
        <f>H3476</f>
        <v>1216</v>
      </c>
      <c r="I4436" s="159">
        <f t="shared" si="1112"/>
        <v>4.313E-3</v>
      </c>
      <c r="J4436" s="160"/>
      <c r="K4436" s="161">
        <f t="shared" si="1113"/>
        <v>88</v>
      </c>
      <c r="L4436" s="250">
        <v>1</v>
      </c>
      <c r="M4436" s="163" t="str">
        <f>CONCATENATE(H4436," ",F4436,"*",L4436,"мес.","*",I4436,"/",K4436,"чел.")</f>
        <v>1216 мед.осмотров в мес.*1мес.*0,004313/88чел.</v>
      </c>
      <c r="N4436" s="164">
        <f t="shared" si="1108"/>
        <v>59.287277960526318</v>
      </c>
      <c r="O4436" s="165">
        <f t="shared" si="1111"/>
        <v>3.5334029999999998</v>
      </c>
      <c r="P4436" s="166"/>
      <c r="Q4436" s="166">
        <f t="shared" si="1109"/>
        <v>310.93946399999999</v>
      </c>
      <c r="R4436" s="71"/>
    </row>
    <row r="4437" spans="1:18" s="61" customFormat="1" ht="63" x14ac:dyDescent="0.25">
      <c r="A4437" s="358"/>
      <c r="B4437" s="361"/>
      <c r="C4437" s="364"/>
      <c r="D4437" s="156" t="s">
        <v>45</v>
      </c>
      <c r="E4437" s="156" t="s">
        <v>53</v>
      </c>
      <c r="F4437" s="156" t="s">
        <v>233</v>
      </c>
      <c r="G4437" s="238">
        <f>MROUND(H4437*L4437*I4437/K4437,0.000000001)</f>
        <v>2.3525450000000002E-3</v>
      </c>
      <c r="H4437" s="158">
        <f>H3957</f>
        <v>4</v>
      </c>
      <c r="I4437" s="159">
        <f t="shared" si="1112"/>
        <v>4.313E-3</v>
      </c>
      <c r="J4437" s="160"/>
      <c r="K4437" s="161">
        <f t="shared" si="1113"/>
        <v>88</v>
      </c>
      <c r="L4437" s="250">
        <v>12</v>
      </c>
      <c r="M4437" s="163" t="str">
        <f>CONCATENATE(H4437," ",F4437,"*",L4437,"мес.","*",I4437,"/",K4437,"чел.")</f>
        <v>4  машины, оборудованных системой ГЛОНАСС*12мес.*0,004313/88чел.</v>
      </c>
      <c r="N4437" s="164">
        <f t="shared" si="1108"/>
        <v>921.23312500000009</v>
      </c>
      <c r="O4437" s="165">
        <f t="shared" si="1111"/>
        <v>2.1672419999999999</v>
      </c>
      <c r="P4437" s="166"/>
      <c r="Q4437" s="166">
        <f t="shared" si="1109"/>
        <v>190.71729599999998</v>
      </c>
      <c r="R4437" s="71"/>
    </row>
    <row r="4438" spans="1:18" s="61" customFormat="1" ht="31.5" x14ac:dyDescent="0.25">
      <c r="A4438" s="358"/>
      <c r="B4438" s="361"/>
      <c r="C4438" s="364"/>
      <c r="D4438" s="156" t="s">
        <v>408</v>
      </c>
      <c r="E4438" s="156" t="s">
        <v>20</v>
      </c>
      <c r="F4438" s="156" t="s">
        <v>20</v>
      </c>
      <c r="G4438" s="238">
        <f>MROUND(H4438*L4438*I4438/K4438,0.00000001)</f>
        <v>8.3172280000000001E-2</v>
      </c>
      <c r="H4438" s="158">
        <f>H3478</f>
        <v>1697</v>
      </c>
      <c r="I4438" s="159">
        <f t="shared" si="1112"/>
        <v>4.313E-3</v>
      </c>
      <c r="J4438" s="160"/>
      <c r="K4438" s="161">
        <f t="shared" si="1113"/>
        <v>88</v>
      </c>
      <c r="L4438" s="250">
        <v>1</v>
      </c>
      <c r="M4438" s="163" t="str">
        <f>CONCATENATE(H4438," ",F4438,"*",L4438," раз в год","*",I4438,"/",K4438,"чел.")</f>
        <v>1697 чел.*1 раз в год*0,004313/88чел.</v>
      </c>
      <c r="N4438" s="164">
        <f t="shared" si="1108"/>
        <v>570.06999999999994</v>
      </c>
      <c r="O4438" s="165">
        <f t="shared" si="1111"/>
        <v>47.414021999999996</v>
      </c>
      <c r="P4438" s="166"/>
      <c r="Q4438" s="166">
        <f t="shared" si="1109"/>
        <v>4172.4339359999994</v>
      </c>
      <c r="R4438" s="71"/>
    </row>
    <row r="4439" spans="1:18" s="61" customFormat="1" x14ac:dyDescent="0.25">
      <c r="A4439" s="358"/>
      <c r="B4439" s="361"/>
      <c r="C4439" s="364"/>
      <c r="D4439" s="156" t="s">
        <v>373</v>
      </c>
      <c r="E4439" s="156" t="s">
        <v>28</v>
      </c>
      <c r="F4439" s="156" t="s">
        <v>28</v>
      </c>
      <c r="G4439" s="157">
        <f>MROUND(H4439*L4439*I4439/K4439,0.000000001)</f>
        <v>1.7644090000000002E-3</v>
      </c>
      <c r="H4439" s="158">
        <f>H3480</f>
        <v>36</v>
      </c>
      <c r="I4439" s="159">
        <f>I4437</f>
        <v>4.313E-3</v>
      </c>
      <c r="J4439" s="160"/>
      <c r="K4439" s="161">
        <f>K4437</f>
        <v>88</v>
      </c>
      <c r="L4439" s="162">
        <v>1</v>
      </c>
      <c r="M4439" s="163" t="str">
        <f>CONCATENATE(H4439," ",F4439,"*",L4439,"мес.","*",I4439,"/",K4439,"чел.")</f>
        <v>36 шт*1мес.*0,004313/88чел.</v>
      </c>
      <c r="N4439" s="164">
        <f>N3480</f>
        <v>24000</v>
      </c>
      <c r="O4439" s="165">
        <f>MROUND(G4439*N4439,0.000000001)</f>
        <v>42.345815999999999</v>
      </c>
      <c r="P4439" s="166"/>
      <c r="Q4439" s="166">
        <f t="shared" si="1109"/>
        <v>3726.4318079999998</v>
      </c>
      <c r="R4439" s="71"/>
    </row>
    <row r="4440" spans="1:18" s="61" customFormat="1" ht="31.5" x14ac:dyDescent="0.25">
      <c r="A4440" s="358"/>
      <c r="B4440" s="361"/>
      <c r="C4440" s="364"/>
      <c r="D4440" s="156" t="s">
        <v>106</v>
      </c>
      <c r="E4440" s="156" t="s">
        <v>107</v>
      </c>
      <c r="F4440" s="156"/>
      <c r="G4440" s="238">
        <f>MROUND(H4440*L4440*I4440/K4440,0.000000001)</f>
        <v>0</v>
      </c>
      <c r="H4440" s="158">
        <f>H3479</f>
        <v>0</v>
      </c>
      <c r="I4440" s="159">
        <f>I4437</f>
        <v>4.313E-3</v>
      </c>
      <c r="J4440" s="160"/>
      <c r="K4440" s="161">
        <f>K4437</f>
        <v>88</v>
      </c>
      <c r="L4440" s="250">
        <f>L3479</f>
        <v>0</v>
      </c>
      <c r="M4440" s="163"/>
      <c r="N4440" s="164">
        <f>N3479</f>
        <v>6.0000000000000002E-5</v>
      </c>
      <c r="O4440" s="165">
        <f>MROUND(G4440*N4440,0.000000001)</f>
        <v>0</v>
      </c>
      <c r="P4440" s="166"/>
      <c r="Q4440" s="166">
        <f t="shared" si="1109"/>
        <v>0</v>
      </c>
      <c r="R4440" s="71"/>
    </row>
    <row r="4441" spans="1:18" s="62" customFormat="1" x14ac:dyDescent="0.25">
      <c r="A4441" s="358"/>
      <c r="B4441" s="361"/>
      <c r="C4441" s="245" t="s">
        <v>296</v>
      </c>
      <c r="D4441" s="240"/>
      <c r="E4441" s="240"/>
      <c r="F4441" s="240"/>
      <c r="G4441" s="227"/>
      <c r="H4441" s="241"/>
      <c r="I4441" s="206"/>
      <c r="J4441" s="228"/>
      <c r="K4441" s="207"/>
      <c r="L4441" s="257"/>
      <c r="M4441" s="209"/>
      <c r="N4441" s="210"/>
      <c r="O4441" s="198">
        <f>SUM(O4427:O4440)</f>
        <v>306.53314699999999</v>
      </c>
      <c r="P4441" s="267"/>
      <c r="Q4441" s="166"/>
      <c r="R4441" s="71"/>
    </row>
    <row r="4442" spans="1:18" s="61" customFormat="1" ht="31.5" x14ac:dyDescent="0.25">
      <c r="A4442" s="358"/>
      <c r="B4442" s="361"/>
      <c r="C4442" s="252" t="s">
        <v>237</v>
      </c>
      <c r="D4442" s="156" t="s">
        <v>41</v>
      </c>
      <c r="E4442" s="156" t="s">
        <v>61</v>
      </c>
      <c r="F4442" s="156" t="s">
        <v>227</v>
      </c>
      <c r="G4442" s="238">
        <f>MROUND(H4442*L4442*I4442/K4442,0.000000001)</f>
        <v>1.9604500000000002E-4</v>
      </c>
      <c r="H4442" s="158">
        <f>H3482</f>
        <v>4</v>
      </c>
      <c r="I4442" s="159">
        <f>I4440</f>
        <v>4.313E-3</v>
      </c>
      <c r="J4442" s="160"/>
      <c r="K4442" s="161">
        <f>K4440</f>
        <v>88</v>
      </c>
      <c r="L4442" s="250">
        <v>1</v>
      </c>
      <c r="M4442" s="163" t="str">
        <f>CONCATENATE(H4442," ",F4442,"*",I4442,"/",K4442,"чел.")</f>
        <v>4 автобуса*0,004313/88чел.</v>
      </c>
      <c r="N4442" s="164">
        <f>N3482</f>
        <v>26907.305</v>
      </c>
      <c r="O4442" s="165">
        <f>MROUND(G4442*N4442,0.000001)</f>
        <v>5.2750430000000001</v>
      </c>
      <c r="P4442" s="166"/>
      <c r="Q4442" s="166">
        <f t="shared" ref="Q4442" si="1114">O4442*K4442</f>
        <v>464.20378400000004</v>
      </c>
      <c r="R4442" s="71"/>
    </row>
    <row r="4443" spans="1:18" s="62" customFormat="1" x14ac:dyDescent="0.25">
      <c r="A4443" s="358"/>
      <c r="B4443" s="361"/>
      <c r="C4443" s="245" t="s">
        <v>297</v>
      </c>
      <c r="D4443" s="240"/>
      <c r="E4443" s="240"/>
      <c r="F4443" s="240"/>
      <c r="G4443" s="227"/>
      <c r="H4443" s="241"/>
      <c r="I4443" s="206"/>
      <c r="J4443" s="228"/>
      <c r="K4443" s="207"/>
      <c r="L4443" s="257"/>
      <c r="M4443" s="209"/>
      <c r="N4443" s="210"/>
      <c r="O4443" s="198">
        <f>SUM(O4442)</f>
        <v>5.2750430000000001</v>
      </c>
      <c r="P4443" s="267"/>
      <c r="Q4443" s="166"/>
      <c r="R4443" s="71"/>
    </row>
    <row r="4444" spans="1:18" s="61" customFormat="1" ht="78.75" x14ac:dyDescent="0.25">
      <c r="A4444" s="358"/>
      <c r="B4444" s="361"/>
      <c r="C4444" s="221" t="s">
        <v>236</v>
      </c>
      <c r="D4444" s="156" t="s">
        <v>19</v>
      </c>
      <c r="E4444" s="181" t="s">
        <v>20</v>
      </c>
      <c r="F4444" s="181" t="s">
        <v>238</v>
      </c>
      <c r="G4444" s="238">
        <f>MROUND(H4444*L4444*I4444/K4444,0.000001)</f>
        <v>0</v>
      </c>
      <c r="H4444" s="158"/>
      <c r="I4444" s="159">
        <f>I4440</f>
        <v>4.313E-3</v>
      </c>
      <c r="J4444" s="160"/>
      <c r="K4444" s="161">
        <f>K4440</f>
        <v>88</v>
      </c>
      <c r="L4444" s="250"/>
      <c r="M4444" s="163"/>
      <c r="N4444" s="164"/>
      <c r="O4444" s="165">
        <f>MROUND(G4444*N4444,0.000001)</f>
        <v>0</v>
      </c>
      <c r="P4444" s="166"/>
      <c r="Q4444" s="166">
        <f t="shared" ref="Q4444" si="1115">O4444*K4444</f>
        <v>0</v>
      </c>
      <c r="R4444" s="71"/>
    </row>
    <row r="4445" spans="1:18" s="62" customFormat="1" x14ac:dyDescent="0.25">
      <c r="A4445" s="358"/>
      <c r="B4445" s="361"/>
      <c r="C4445" s="245" t="s">
        <v>298</v>
      </c>
      <c r="D4445" s="240"/>
      <c r="E4445" s="253"/>
      <c r="F4445" s="253"/>
      <c r="G4445" s="227"/>
      <c r="H4445" s="241"/>
      <c r="I4445" s="206"/>
      <c r="J4445" s="228"/>
      <c r="K4445" s="207"/>
      <c r="L4445" s="257"/>
      <c r="M4445" s="209"/>
      <c r="N4445" s="210"/>
      <c r="O4445" s="198">
        <f>SUM(O4444)</f>
        <v>0</v>
      </c>
      <c r="P4445" s="267"/>
      <c r="Q4445" s="166"/>
      <c r="R4445" s="71"/>
    </row>
    <row r="4446" spans="1:18" s="61" customFormat="1" ht="30" x14ac:dyDescent="0.25">
      <c r="A4446" s="358"/>
      <c r="B4446" s="361"/>
      <c r="C4446" s="365" t="s">
        <v>81</v>
      </c>
      <c r="D4446" s="254" t="s">
        <v>410</v>
      </c>
      <c r="E4446" s="156" t="s">
        <v>28</v>
      </c>
      <c r="F4446" s="156" t="s">
        <v>28</v>
      </c>
      <c r="G4446" s="238">
        <f>MROUND(H4446*L4446*I4446/K4446,0.0000000001)</f>
        <v>0</v>
      </c>
      <c r="H4446" s="158"/>
      <c r="I4446" s="159">
        <f>I4440</f>
        <v>4.313E-3</v>
      </c>
      <c r="J4446" s="160"/>
      <c r="K4446" s="161">
        <f>K4440</f>
        <v>88</v>
      </c>
      <c r="L4446" s="250">
        <v>1</v>
      </c>
      <c r="M4446" s="163"/>
      <c r="N4446" s="164"/>
      <c r="O4446" s="165">
        <f>MROUND(G4446*N4446,0.000001)</f>
        <v>0</v>
      </c>
      <c r="P4446" s="166"/>
      <c r="Q4446" s="166">
        <f t="shared" ref="Q4446:Q4469" si="1116">O4446*K4446</f>
        <v>0</v>
      </c>
      <c r="R4446" s="71"/>
    </row>
    <row r="4447" spans="1:18" s="61" customFormat="1" x14ac:dyDescent="0.25">
      <c r="A4447" s="358"/>
      <c r="B4447" s="361"/>
      <c r="C4447" s="366"/>
      <c r="D4447" s="254" t="s">
        <v>325</v>
      </c>
      <c r="E4447" s="156" t="s">
        <v>28</v>
      </c>
      <c r="F4447" s="156" t="s">
        <v>28</v>
      </c>
      <c r="G4447" s="157">
        <f>MROUND(H4447*L4447*I4447/K4447,0.0000000001)</f>
        <v>0</v>
      </c>
      <c r="H4447" s="158"/>
      <c r="I4447" s="159">
        <f>I4446</f>
        <v>4.313E-3</v>
      </c>
      <c r="J4447" s="160"/>
      <c r="K4447" s="161">
        <f>K4446</f>
        <v>88</v>
      </c>
      <c r="L4447" s="250">
        <v>1</v>
      </c>
      <c r="M4447" s="163"/>
      <c r="N4447" s="164"/>
      <c r="O4447" s="165">
        <f>MROUND(G4447*N4447,0.000001)</f>
        <v>0</v>
      </c>
      <c r="P4447" s="166"/>
      <c r="Q4447" s="166">
        <f t="shared" si="1116"/>
        <v>0</v>
      </c>
      <c r="R4447" s="71"/>
    </row>
    <row r="4448" spans="1:18" s="61" customFormat="1" ht="30" x14ac:dyDescent="0.25">
      <c r="A4448" s="358"/>
      <c r="B4448" s="361"/>
      <c r="C4448" s="366"/>
      <c r="D4448" s="254" t="s">
        <v>411</v>
      </c>
      <c r="E4448" s="156" t="s">
        <v>28</v>
      </c>
      <c r="F4448" s="156" t="s">
        <v>28</v>
      </c>
      <c r="G4448" s="238">
        <f>MROUND(H4448*L4448*I4448/K4448,0.00000001)</f>
        <v>0</v>
      </c>
      <c r="H4448" s="158"/>
      <c r="I4448" s="159">
        <f>I4446</f>
        <v>4.313E-3</v>
      </c>
      <c r="J4448" s="160"/>
      <c r="K4448" s="161">
        <f>K4446</f>
        <v>88</v>
      </c>
      <c r="L4448" s="250">
        <v>1</v>
      </c>
      <c r="M4448" s="163"/>
      <c r="N4448" s="164"/>
      <c r="O4448" s="165">
        <f t="shared" ref="O4448:O4469" si="1117">MROUND(G4448*N4448,0.000001)</f>
        <v>0</v>
      </c>
      <c r="P4448" s="166"/>
      <c r="Q4448" s="166">
        <f t="shared" si="1116"/>
        <v>0</v>
      </c>
      <c r="R4448" s="71"/>
    </row>
    <row r="4449" spans="1:18" s="61" customFormat="1" x14ac:dyDescent="0.25">
      <c r="A4449" s="358"/>
      <c r="B4449" s="361"/>
      <c r="C4449" s="366"/>
      <c r="D4449" s="255" t="s">
        <v>412</v>
      </c>
      <c r="E4449" s="156" t="s">
        <v>28</v>
      </c>
      <c r="F4449" s="156" t="s">
        <v>28</v>
      </c>
      <c r="G4449" s="238">
        <f>MROUND(H4449*L4449*I4449/K4449,0.00000001)</f>
        <v>0</v>
      </c>
      <c r="H4449" s="158"/>
      <c r="I4449" s="159">
        <f>I4448</f>
        <v>4.313E-3</v>
      </c>
      <c r="J4449" s="160"/>
      <c r="K4449" s="161">
        <f>K4448</f>
        <v>88</v>
      </c>
      <c r="L4449" s="250">
        <v>1</v>
      </c>
      <c r="M4449" s="163"/>
      <c r="N4449" s="164"/>
      <c r="O4449" s="165">
        <f t="shared" si="1117"/>
        <v>0</v>
      </c>
      <c r="P4449" s="166"/>
      <c r="Q4449" s="166">
        <f t="shared" si="1116"/>
        <v>0</v>
      </c>
      <c r="R4449" s="71"/>
    </row>
    <row r="4450" spans="1:18" s="61" customFormat="1" ht="31.5" x14ac:dyDescent="0.25">
      <c r="A4450" s="358"/>
      <c r="B4450" s="361"/>
      <c r="C4450" s="366"/>
      <c r="D4450" s="255" t="s">
        <v>413</v>
      </c>
      <c r="E4450" s="156" t="s">
        <v>28</v>
      </c>
      <c r="F4450" s="156" t="s">
        <v>28</v>
      </c>
      <c r="G4450" s="238">
        <f>MROUND(H4450*L4450*I4450/K4450,0.0000000001)</f>
        <v>0</v>
      </c>
      <c r="H4450" s="158"/>
      <c r="I4450" s="159">
        <f>I4449</f>
        <v>4.313E-3</v>
      </c>
      <c r="J4450" s="160"/>
      <c r="K4450" s="161">
        <f>K4449</f>
        <v>88</v>
      </c>
      <c r="L4450" s="250">
        <v>1</v>
      </c>
      <c r="M4450" s="163"/>
      <c r="N4450" s="164"/>
      <c r="O4450" s="165">
        <f t="shared" si="1117"/>
        <v>0</v>
      </c>
      <c r="P4450" s="166"/>
      <c r="Q4450" s="166">
        <f t="shared" si="1116"/>
        <v>0</v>
      </c>
      <c r="R4450" s="71"/>
    </row>
    <row r="4451" spans="1:18" s="61" customFormat="1" x14ac:dyDescent="0.25">
      <c r="A4451" s="358"/>
      <c r="B4451" s="361"/>
      <c r="C4451" s="366"/>
      <c r="D4451" s="254" t="s">
        <v>109</v>
      </c>
      <c r="E4451" s="156" t="s">
        <v>28</v>
      </c>
      <c r="F4451" s="156" t="s">
        <v>28</v>
      </c>
      <c r="G4451" s="238">
        <f>MROUND(H4451*L4451*I4451/K4451,0.0000000001)</f>
        <v>0</v>
      </c>
      <c r="H4451" s="158"/>
      <c r="I4451" s="159">
        <f>I4450</f>
        <v>4.313E-3</v>
      </c>
      <c r="J4451" s="160"/>
      <c r="K4451" s="161">
        <f>K4450</f>
        <v>88</v>
      </c>
      <c r="L4451" s="250">
        <v>1</v>
      </c>
      <c r="M4451" s="163"/>
      <c r="N4451" s="164"/>
      <c r="O4451" s="165">
        <f t="shared" si="1117"/>
        <v>0</v>
      </c>
      <c r="P4451" s="166"/>
      <c r="Q4451" s="166">
        <f t="shared" si="1116"/>
        <v>0</v>
      </c>
      <c r="R4451" s="71"/>
    </row>
    <row r="4452" spans="1:18" s="61" customFormat="1" x14ac:dyDescent="0.25">
      <c r="A4452" s="358"/>
      <c r="B4452" s="361"/>
      <c r="C4452" s="366"/>
      <c r="D4452" s="254" t="s">
        <v>414</v>
      </c>
      <c r="E4452" s="156" t="s">
        <v>28</v>
      </c>
      <c r="F4452" s="156" t="s">
        <v>28</v>
      </c>
      <c r="G4452" s="238">
        <f>MROUND(H4452*L4452*I4452/K4452,0.0000000001)</f>
        <v>0</v>
      </c>
      <c r="H4452" s="158"/>
      <c r="I4452" s="159">
        <f>I4450</f>
        <v>4.313E-3</v>
      </c>
      <c r="J4452" s="160"/>
      <c r="K4452" s="161">
        <f>K4450</f>
        <v>88</v>
      </c>
      <c r="L4452" s="250">
        <v>1</v>
      </c>
      <c r="M4452" s="163"/>
      <c r="N4452" s="164"/>
      <c r="O4452" s="165">
        <f t="shared" si="1117"/>
        <v>0</v>
      </c>
      <c r="P4452" s="166"/>
      <c r="Q4452" s="166">
        <f t="shared" si="1116"/>
        <v>0</v>
      </c>
      <c r="R4452" s="71"/>
    </row>
    <row r="4453" spans="1:18" s="61" customFormat="1" x14ac:dyDescent="0.25">
      <c r="A4453" s="358"/>
      <c r="B4453" s="361"/>
      <c r="C4453" s="366"/>
      <c r="D4453" s="254" t="s">
        <v>415</v>
      </c>
      <c r="E4453" s="156" t="s">
        <v>28</v>
      </c>
      <c r="F4453" s="156" t="s">
        <v>28</v>
      </c>
      <c r="G4453" s="238">
        <f>MROUND(H4453*L4453*I4453/K4453,0.00000001)</f>
        <v>0</v>
      </c>
      <c r="H4453" s="158"/>
      <c r="I4453" s="159">
        <f t="shared" ref="I4453:I4462" si="1118">I4451</f>
        <v>4.313E-3</v>
      </c>
      <c r="J4453" s="160"/>
      <c r="K4453" s="161">
        <f t="shared" ref="K4453:K4462" si="1119">K4451</f>
        <v>88</v>
      </c>
      <c r="L4453" s="250">
        <v>1</v>
      </c>
      <c r="M4453" s="163"/>
      <c r="N4453" s="164"/>
      <c r="O4453" s="165">
        <f t="shared" si="1117"/>
        <v>0</v>
      </c>
      <c r="P4453" s="166"/>
      <c r="Q4453" s="166">
        <f t="shared" si="1116"/>
        <v>0</v>
      </c>
      <c r="R4453" s="71"/>
    </row>
    <row r="4454" spans="1:18" s="61" customFormat="1" x14ac:dyDescent="0.25">
      <c r="A4454" s="358"/>
      <c r="B4454" s="361"/>
      <c r="C4454" s="366"/>
      <c r="D4454" s="254" t="s">
        <v>416</v>
      </c>
      <c r="E4454" s="156" t="s">
        <v>28</v>
      </c>
      <c r="F4454" s="156" t="s">
        <v>28</v>
      </c>
      <c r="G4454" s="238">
        <f>MROUND(H4454*L4454*I4454/K4454,0.000000001)</f>
        <v>0</v>
      </c>
      <c r="H4454" s="246"/>
      <c r="I4454" s="159">
        <f t="shared" si="1118"/>
        <v>4.313E-3</v>
      </c>
      <c r="J4454" s="160"/>
      <c r="K4454" s="161">
        <f t="shared" si="1119"/>
        <v>88</v>
      </c>
      <c r="L4454" s="250">
        <v>1</v>
      </c>
      <c r="M4454" s="163"/>
      <c r="N4454" s="164"/>
      <c r="O4454" s="165">
        <f t="shared" si="1117"/>
        <v>0</v>
      </c>
      <c r="P4454" s="166"/>
      <c r="Q4454" s="166">
        <f t="shared" si="1116"/>
        <v>0</v>
      </c>
      <c r="R4454" s="71"/>
    </row>
    <row r="4455" spans="1:18" s="61" customFormat="1" x14ac:dyDescent="0.25">
      <c r="A4455" s="358"/>
      <c r="B4455" s="361"/>
      <c r="C4455" s="366"/>
      <c r="D4455" s="254" t="s">
        <v>417</v>
      </c>
      <c r="E4455" s="156" t="s">
        <v>28</v>
      </c>
      <c r="F4455" s="156" t="s">
        <v>28</v>
      </c>
      <c r="G4455" s="238">
        <f>MROUND(H4455*L4455*I4455/K4455,0.00000001)</f>
        <v>0</v>
      </c>
      <c r="H4455" s="158"/>
      <c r="I4455" s="159">
        <f t="shared" si="1118"/>
        <v>4.313E-3</v>
      </c>
      <c r="J4455" s="160"/>
      <c r="K4455" s="161">
        <f t="shared" si="1119"/>
        <v>88</v>
      </c>
      <c r="L4455" s="250">
        <v>1</v>
      </c>
      <c r="M4455" s="163"/>
      <c r="N4455" s="164"/>
      <c r="O4455" s="165">
        <f t="shared" si="1117"/>
        <v>0</v>
      </c>
      <c r="P4455" s="166"/>
      <c r="Q4455" s="166">
        <f t="shared" si="1116"/>
        <v>0</v>
      </c>
      <c r="R4455" s="71"/>
    </row>
    <row r="4456" spans="1:18" s="61" customFormat="1" ht="30" x14ac:dyDescent="0.25">
      <c r="A4456" s="358"/>
      <c r="B4456" s="361"/>
      <c r="C4456" s="366"/>
      <c r="D4456" s="254" t="s">
        <v>418</v>
      </c>
      <c r="E4456" s="156" t="s">
        <v>28</v>
      </c>
      <c r="F4456" s="156" t="s">
        <v>28</v>
      </c>
      <c r="G4456" s="238">
        <f>MROUND(H4456*L4456*I4456/K4456,0.00000001)</f>
        <v>0</v>
      </c>
      <c r="H4456" s="158"/>
      <c r="I4456" s="159">
        <f t="shared" si="1118"/>
        <v>4.313E-3</v>
      </c>
      <c r="J4456" s="160"/>
      <c r="K4456" s="161">
        <f t="shared" si="1119"/>
        <v>88</v>
      </c>
      <c r="L4456" s="250">
        <v>1</v>
      </c>
      <c r="M4456" s="163"/>
      <c r="N4456" s="164"/>
      <c r="O4456" s="165">
        <f t="shared" si="1117"/>
        <v>0</v>
      </c>
      <c r="P4456" s="166"/>
      <c r="Q4456" s="166">
        <f t="shared" si="1116"/>
        <v>0</v>
      </c>
      <c r="R4456" s="71"/>
    </row>
    <row r="4457" spans="1:18" s="61" customFormat="1" x14ac:dyDescent="0.25">
      <c r="A4457" s="358"/>
      <c r="B4457" s="361"/>
      <c r="C4457" s="366"/>
      <c r="D4457" s="254" t="s">
        <v>324</v>
      </c>
      <c r="E4457" s="156" t="s">
        <v>28</v>
      </c>
      <c r="F4457" s="156" t="s">
        <v>28</v>
      </c>
      <c r="G4457" s="238">
        <f>MROUND(H4457*L4457*I4457/K4457,0.000000001)</f>
        <v>0</v>
      </c>
      <c r="H4457" s="158"/>
      <c r="I4457" s="159">
        <f t="shared" si="1118"/>
        <v>4.313E-3</v>
      </c>
      <c r="J4457" s="160"/>
      <c r="K4457" s="161">
        <f t="shared" si="1119"/>
        <v>88</v>
      </c>
      <c r="L4457" s="250">
        <v>1</v>
      </c>
      <c r="M4457" s="163"/>
      <c r="N4457" s="164"/>
      <c r="O4457" s="165">
        <f t="shared" si="1117"/>
        <v>0</v>
      </c>
      <c r="P4457" s="166"/>
      <c r="Q4457" s="166">
        <f t="shared" si="1116"/>
        <v>0</v>
      </c>
      <c r="R4457" s="71"/>
    </row>
    <row r="4458" spans="1:18" s="61" customFormat="1" x14ac:dyDescent="0.25">
      <c r="A4458" s="358"/>
      <c r="B4458" s="361"/>
      <c r="C4458" s="366"/>
      <c r="D4458" s="254" t="s">
        <v>419</v>
      </c>
      <c r="E4458" s="156" t="s">
        <v>28</v>
      </c>
      <c r="F4458" s="156" t="s">
        <v>28</v>
      </c>
      <c r="G4458" s="238">
        <f>MROUND(H4458*L4458*I4458/K4458,0.000000001)</f>
        <v>0</v>
      </c>
      <c r="H4458" s="246"/>
      <c r="I4458" s="159">
        <f t="shared" si="1118"/>
        <v>4.313E-3</v>
      </c>
      <c r="J4458" s="160"/>
      <c r="K4458" s="161">
        <f t="shared" si="1119"/>
        <v>88</v>
      </c>
      <c r="L4458" s="250">
        <v>1</v>
      </c>
      <c r="M4458" s="163"/>
      <c r="N4458" s="164"/>
      <c r="O4458" s="165">
        <f t="shared" si="1117"/>
        <v>0</v>
      </c>
      <c r="P4458" s="166"/>
      <c r="Q4458" s="166">
        <f t="shared" si="1116"/>
        <v>0</v>
      </c>
      <c r="R4458" s="71"/>
    </row>
    <row r="4459" spans="1:18" s="61" customFormat="1" x14ac:dyDescent="0.25">
      <c r="A4459" s="358"/>
      <c r="B4459" s="361"/>
      <c r="C4459" s="366"/>
      <c r="D4459" s="254" t="s">
        <v>420</v>
      </c>
      <c r="E4459" s="156" t="s">
        <v>28</v>
      </c>
      <c r="F4459" s="156" t="s">
        <v>28</v>
      </c>
      <c r="G4459" s="238">
        <f>MROUND(H4459*L4459*I4459/K4459,0.000000001)</f>
        <v>0</v>
      </c>
      <c r="H4459" s="158"/>
      <c r="I4459" s="159">
        <f t="shared" si="1118"/>
        <v>4.313E-3</v>
      </c>
      <c r="J4459" s="160"/>
      <c r="K4459" s="161">
        <f t="shared" si="1119"/>
        <v>88</v>
      </c>
      <c r="L4459" s="250">
        <v>1</v>
      </c>
      <c r="M4459" s="163"/>
      <c r="N4459" s="164"/>
      <c r="O4459" s="165">
        <f t="shared" si="1117"/>
        <v>0</v>
      </c>
      <c r="P4459" s="166"/>
      <c r="Q4459" s="166">
        <f t="shared" si="1116"/>
        <v>0</v>
      </c>
      <c r="R4459" s="71"/>
    </row>
    <row r="4460" spans="1:18" s="61" customFormat="1" x14ac:dyDescent="0.25">
      <c r="A4460" s="358"/>
      <c r="B4460" s="361"/>
      <c r="C4460" s="366"/>
      <c r="D4460" s="254" t="s">
        <v>421</v>
      </c>
      <c r="E4460" s="156" t="s">
        <v>28</v>
      </c>
      <c r="F4460" s="156" t="s">
        <v>28</v>
      </c>
      <c r="G4460" s="238">
        <f>MROUND(H4460*L4460*I4460/K4460,0.00000001)</f>
        <v>0</v>
      </c>
      <c r="H4460" s="158"/>
      <c r="I4460" s="159">
        <f t="shared" si="1118"/>
        <v>4.313E-3</v>
      </c>
      <c r="J4460" s="160"/>
      <c r="K4460" s="161">
        <f t="shared" si="1119"/>
        <v>88</v>
      </c>
      <c r="L4460" s="250">
        <v>1</v>
      </c>
      <c r="M4460" s="163"/>
      <c r="N4460" s="164"/>
      <c r="O4460" s="165">
        <f t="shared" si="1117"/>
        <v>0</v>
      </c>
      <c r="P4460" s="166"/>
      <c r="Q4460" s="166">
        <f t="shared" si="1116"/>
        <v>0</v>
      </c>
      <c r="R4460" s="71"/>
    </row>
    <row r="4461" spans="1:18" s="61" customFormat="1" ht="30" x14ac:dyDescent="0.25">
      <c r="A4461" s="358"/>
      <c r="B4461" s="361"/>
      <c r="C4461" s="366"/>
      <c r="D4461" s="254" t="s">
        <v>422</v>
      </c>
      <c r="E4461" s="156" t="s">
        <v>28</v>
      </c>
      <c r="F4461" s="156" t="s">
        <v>28</v>
      </c>
      <c r="G4461" s="266">
        <f>MROUND(H4461*L4461*I4461/K4461,0.00000001)</f>
        <v>0</v>
      </c>
      <c r="H4461" s="158"/>
      <c r="I4461" s="159">
        <f t="shared" si="1118"/>
        <v>4.313E-3</v>
      </c>
      <c r="J4461" s="160"/>
      <c r="K4461" s="161">
        <f t="shared" si="1119"/>
        <v>88</v>
      </c>
      <c r="L4461" s="250">
        <v>1</v>
      </c>
      <c r="M4461" s="163"/>
      <c r="N4461" s="164"/>
      <c r="O4461" s="165">
        <f t="shared" si="1117"/>
        <v>0</v>
      </c>
      <c r="P4461" s="166"/>
      <c r="Q4461" s="166">
        <f t="shared" si="1116"/>
        <v>0</v>
      </c>
      <c r="R4461" s="71"/>
    </row>
    <row r="4462" spans="1:18" s="61" customFormat="1" x14ac:dyDescent="0.25">
      <c r="A4462" s="358"/>
      <c r="B4462" s="361"/>
      <c r="C4462" s="366"/>
      <c r="D4462" s="254" t="s">
        <v>423</v>
      </c>
      <c r="E4462" s="156" t="s">
        <v>28</v>
      </c>
      <c r="F4462" s="156" t="s">
        <v>28</v>
      </c>
      <c r="G4462" s="238">
        <f>MROUND(H4462*L4462*I4462/K4462,0.000000001)</f>
        <v>0</v>
      </c>
      <c r="H4462" s="158"/>
      <c r="I4462" s="159">
        <f t="shared" si="1118"/>
        <v>4.313E-3</v>
      </c>
      <c r="J4462" s="160"/>
      <c r="K4462" s="161">
        <f t="shared" si="1119"/>
        <v>88</v>
      </c>
      <c r="L4462" s="250">
        <v>1</v>
      </c>
      <c r="M4462" s="163"/>
      <c r="N4462" s="164"/>
      <c r="O4462" s="165">
        <f t="shared" si="1117"/>
        <v>0</v>
      </c>
      <c r="P4462" s="166"/>
      <c r="Q4462" s="166">
        <f t="shared" si="1116"/>
        <v>0</v>
      </c>
      <c r="R4462" s="71"/>
    </row>
    <row r="4463" spans="1:18" s="61" customFormat="1" x14ac:dyDescent="0.25">
      <c r="A4463" s="358"/>
      <c r="B4463" s="361"/>
      <c r="C4463" s="366"/>
      <c r="D4463" s="254" t="s">
        <v>424</v>
      </c>
      <c r="E4463" s="156" t="s">
        <v>28</v>
      </c>
      <c r="F4463" s="156" t="s">
        <v>28</v>
      </c>
      <c r="G4463" s="238">
        <f t="shared" ref="G4463:G4469" si="1120">MROUND(H4463*L4463*I4463/K4463,0.00000001)</f>
        <v>0</v>
      </c>
      <c r="H4463" s="158"/>
      <c r="I4463" s="159">
        <f>I4452</f>
        <v>4.313E-3</v>
      </c>
      <c r="J4463" s="160"/>
      <c r="K4463" s="161">
        <f>K4452</f>
        <v>88</v>
      </c>
      <c r="L4463" s="250">
        <v>1</v>
      </c>
      <c r="M4463" s="163"/>
      <c r="N4463" s="164"/>
      <c r="O4463" s="165">
        <f t="shared" si="1117"/>
        <v>0</v>
      </c>
      <c r="P4463" s="166"/>
      <c r="Q4463" s="166">
        <f t="shared" si="1116"/>
        <v>0</v>
      </c>
      <c r="R4463" s="71"/>
    </row>
    <row r="4464" spans="1:18" s="61" customFormat="1" x14ac:dyDescent="0.25">
      <c r="A4464" s="358"/>
      <c r="B4464" s="361"/>
      <c r="C4464" s="366"/>
      <c r="D4464" s="254" t="s">
        <v>425</v>
      </c>
      <c r="E4464" s="156" t="s">
        <v>28</v>
      </c>
      <c r="F4464" s="156" t="s">
        <v>28</v>
      </c>
      <c r="G4464" s="277">
        <f t="shared" si="1120"/>
        <v>0</v>
      </c>
      <c r="H4464" s="158"/>
      <c r="I4464" s="159">
        <f t="shared" ref="I4464:I4469" si="1121">I4463</f>
        <v>4.313E-3</v>
      </c>
      <c r="J4464" s="160"/>
      <c r="K4464" s="161">
        <f t="shared" ref="K4464:K4469" si="1122">K4463</f>
        <v>88</v>
      </c>
      <c r="L4464" s="250">
        <v>1</v>
      </c>
      <c r="M4464" s="163"/>
      <c r="N4464" s="164"/>
      <c r="O4464" s="165">
        <f t="shared" si="1117"/>
        <v>0</v>
      </c>
      <c r="P4464" s="166"/>
      <c r="Q4464" s="166">
        <f t="shared" si="1116"/>
        <v>0</v>
      </c>
      <c r="R4464" s="71"/>
    </row>
    <row r="4465" spans="1:18" s="61" customFormat="1" x14ac:dyDescent="0.25">
      <c r="A4465" s="358"/>
      <c r="B4465" s="361"/>
      <c r="C4465" s="366"/>
      <c r="D4465" s="254" t="s">
        <v>108</v>
      </c>
      <c r="E4465" s="156" t="s">
        <v>28</v>
      </c>
      <c r="F4465" s="156" t="s">
        <v>28</v>
      </c>
      <c r="G4465" s="238">
        <f t="shared" si="1120"/>
        <v>0</v>
      </c>
      <c r="H4465" s="158"/>
      <c r="I4465" s="159">
        <f t="shared" si="1121"/>
        <v>4.313E-3</v>
      </c>
      <c r="J4465" s="160"/>
      <c r="K4465" s="161">
        <f t="shared" si="1122"/>
        <v>88</v>
      </c>
      <c r="L4465" s="250">
        <v>1</v>
      </c>
      <c r="M4465" s="163"/>
      <c r="N4465" s="164"/>
      <c r="O4465" s="165">
        <f t="shared" si="1117"/>
        <v>0</v>
      </c>
      <c r="P4465" s="166"/>
      <c r="Q4465" s="166">
        <f t="shared" si="1116"/>
        <v>0</v>
      </c>
      <c r="R4465" s="71"/>
    </row>
    <row r="4466" spans="1:18" s="61" customFormat="1" x14ac:dyDescent="0.25">
      <c r="A4466" s="358"/>
      <c r="B4466" s="361"/>
      <c r="C4466" s="366"/>
      <c r="D4466" s="254" t="s">
        <v>426</v>
      </c>
      <c r="E4466" s="156" t="s">
        <v>28</v>
      </c>
      <c r="F4466" s="156" t="s">
        <v>28</v>
      </c>
      <c r="G4466" s="238">
        <f t="shared" si="1120"/>
        <v>0</v>
      </c>
      <c r="H4466" s="158"/>
      <c r="I4466" s="159">
        <f t="shared" si="1121"/>
        <v>4.313E-3</v>
      </c>
      <c r="J4466" s="160"/>
      <c r="K4466" s="161">
        <f t="shared" si="1122"/>
        <v>88</v>
      </c>
      <c r="L4466" s="250">
        <v>1</v>
      </c>
      <c r="M4466" s="163"/>
      <c r="N4466" s="164"/>
      <c r="O4466" s="165">
        <f t="shared" si="1117"/>
        <v>0</v>
      </c>
      <c r="P4466" s="166"/>
      <c r="Q4466" s="166">
        <f t="shared" si="1116"/>
        <v>0</v>
      </c>
      <c r="R4466" s="71"/>
    </row>
    <row r="4467" spans="1:18" s="61" customFormat="1" x14ac:dyDescent="0.25">
      <c r="A4467" s="358"/>
      <c r="B4467" s="361"/>
      <c r="C4467" s="366"/>
      <c r="D4467" s="254" t="s">
        <v>427</v>
      </c>
      <c r="E4467" s="156" t="s">
        <v>28</v>
      </c>
      <c r="F4467" s="156" t="s">
        <v>28</v>
      </c>
      <c r="G4467" s="238">
        <f t="shared" si="1120"/>
        <v>0</v>
      </c>
      <c r="H4467" s="158"/>
      <c r="I4467" s="159">
        <f t="shared" si="1121"/>
        <v>4.313E-3</v>
      </c>
      <c r="J4467" s="160"/>
      <c r="K4467" s="161">
        <f t="shared" si="1122"/>
        <v>88</v>
      </c>
      <c r="L4467" s="250">
        <v>1</v>
      </c>
      <c r="M4467" s="163"/>
      <c r="N4467" s="164"/>
      <c r="O4467" s="165">
        <f t="shared" si="1117"/>
        <v>0</v>
      </c>
      <c r="P4467" s="166"/>
      <c r="Q4467" s="166">
        <f t="shared" si="1116"/>
        <v>0</v>
      </c>
      <c r="R4467" s="71"/>
    </row>
    <row r="4468" spans="1:18" s="61" customFormat="1" x14ac:dyDescent="0.25">
      <c r="A4468" s="358"/>
      <c r="B4468" s="361"/>
      <c r="C4468" s="366"/>
      <c r="D4468" s="254" t="s">
        <v>428</v>
      </c>
      <c r="E4468" s="156" t="s">
        <v>28</v>
      </c>
      <c r="F4468" s="156" t="s">
        <v>28</v>
      </c>
      <c r="G4468" s="238">
        <f t="shared" si="1120"/>
        <v>0</v>
      </c>
      <c r="H4468" s="158"/>
      <c r="I4468" s="159">
        <f t="shared" si="1121"/>
        <v>4.313E-3</v>
      </c>
      <c r="J4468" s="160"/>
      <c r="K4468" s="161">
        <f t="shared" si="1122"/>
        <v>88</v>
      </c>
      <c r="L4468" s="250">
        <v>1</v>
      </c>
      <c r="M4468" s="163"/>
      <c r="N4468" s="164"/>
      <c r="O4468" s="165">
        <f t="shared" si="1117"/>
        <v>0</v>
      </c>
      <c r="P4468" s="166"/>
      <c r="Q4468" s="166">
        <f t="shared" si="1116"/>
        <v>0</v>
      </c>
      <c r="R4468" s="71"/>
    </row>
    <row r="4469" spans="1:18" s="61" customFormat="1" x14ac:dyDescent="0.25">
      <c r="A4469" s="358"/>
      <c r="B4469" s="361"/>
      <c r="C4469" s="366"/>
      <c r="D4469" s="255" t="s">
        <v>429</v>
      </c>
      <c r="E4469" s="156" t="s">
        <v>28</v>
      </c>
      <c r="F4469" s="156" t="s">
        <v>28</v>
      </c>
      <c r="G4469" s="238">
        <f t="shared" si="1120"/>
        <v>0</v>
      </c>
      <c r="H4469" s="158"/>
      <c r="I4469" s="159">
        <f t="shared" si="1121"/>
        <v>4.313E-3</v>
      </c>
      <c r="J4469" s="160"/>
      <c r="K4469" s="161">
        <f t="shared" si="1122"/>
        <v>88</v>
      </c>
      <c r="L4469" s="250">
        <v>1</v>
      </c>
      <c r="M4469" s="163"/>
      <c r="N4469" s="164"/>
      <c r="O4469" s="165">
        <f t="shared" si="1117"/>
        <v>0</v>
      </c>
      <c r="P4469" s="166"/>
      <c r="Q4469" s="166">
        <f t="shared" si="1116"/>
        <v>0</v>
      </c>
      <c r="R4469" s="71"/>
    </row>
    <row r="4470" spans="1:18" s="62" customFormat="1" x14ac:dyDescent="0.25">
      <c r="A4470" s="358"/>
      <c r="B4470" s="361"/>
      <c r="C4470" s="249" t="s">
        <v>299</v>
      </c>
      <c r="D4470" s="256"/>
      <c r="E4470" s="240"/>
      <c r="F4470" s="240"/>
      <c r="G4470" s="227"/>
      <c r="H4470" s="241"/>
      <c r="I4470" s="206"/>
      <c r="J4470" s="228"/>
      <c r="K4470" s="207"/>
      <c r="L4470" s="257"/>
      <c r="M4470" s="209"/>
      <c r="N4470" s="210"/>
      <c r="O4470" s="198">
        <f>SUM(O4446:O4469)</f>
        <v>0</v>
      </c>
      <c r="P4470" s="267"/>
      <c r="Q4470" s="166"/>
      <c r="R4470" s="71"/>
    </row>
    <row r="4471" spans="1:18" s="61" customFormat="1" ht="110.25" x14ac:dyDescent="0.25">
      <c r="A4471" s="358"/>
      <c r="B4471" s="361"/>
      <c r="C4471" s="221" t="s">
        <v>82</v>
      </c>
      <c r="D4471" s="156" t="s">
        <v>46</v>
      </c>
      <c r="E4471" s="156" t="s">
        <v>54</v>
      </c>
      <c r="F4471" s="156" t="s">
        <v>285</v>
      </c>
      <c r="G4471" s="238">
        <f>MROUND(H4471*L4471*I4471/K4471,0.000001)</f>
        <v>0.55431900000000001</v>
      </c>
      <c r="H4471" s="242">
        <f>H3511</f>
        <v>1028.181818181818</v>
      </c>
      <c r="I4471" s="159">
        <f>I4469</f>
        <v>4.313E-3</v>
      </c>
      <c r="J4471" s="160"/>
      <c r="K4471" s="161">
        <f>K4469</f>
        <v>88</v>
      </c>
      <c r="L4471" s="225">
        <f>L4111</f>
        <v>11</v>
      </c>
      <c r="M4471" s="163" t="str">
        <f>CONCATENATE(H4471," ",F4471,"*",L4471,"автобуса","*",I4471,"/",K4471,"чел.")</f>
        <v>1028,18181818182 л бензина АИ 92 (12,5л/день(зимой)*20дней*7мес+10л/день(летом)*20дней*4мес)*11автобуса*0,004313/88чел.</v>
      </c>
      <c r="N4471" s="164">
        <f>N3511</f>
        <v>57.007000000000005</v>
      </c>
      <c r="O4471" s="165">
        <f>MROUND(G4471*N4471,0.000001)</f>
        <v>31.600062999999999</v>
      </c>
      <c r="P4471" s="166"/>
      <c r="Q4471" s="166">
        <f t="shared" ref="Q4471" si="1123">O4471*K4471</f>
        <v>2780.8055439999998</v>
      </c>
      <c r="R4471" s="71"/>
    </row>
    <row r="4472" spans="1:18" s="62" customFormat="1" x14ac:dyDescent="0.25">
      <c r="A4472" s="358"/>
      <c r="B4472" s="361"/>
      <c r="C4472" s="218" t="s">
        <v>300</v>
      </c>
      <c r="D4472" s="240"/>
      <c r="E4472" s="240"/>
      <c r="F4472" s="240"/>
      <c r="G4472" s="227"/>
      <c r="H4472" s="241"/>
      <c r="I4472" s="206"/>
      <c r="J4472" s="228"/>
      <c r="K4472" s="207"/>
      <c r="L4472" s="257"/>
      <c r="M4472" s="209"/>
      <c r="N4472" s="210"/>
      <c r="O4472" s="198">
        <f>SUM(O4471)</f>
        <v>31.600062999999999</v>
      </c>
      <c r="P4472" s="267"/>
      <c r="Q4472" s="166"/>
      <c r="R4472" s="71"/>
    </row>
    <row r="4473" spans="1:18" s="61" customFormat="1" ht="47.25" x14ac:dyDescent="0.25">
      <c r="A4473" s="358"/>
      <c r="B4473" s="361"/>
      <c r="C4473" s="221" t="s">
        <v>434</v>
      </c>
      <c r="D4473" s="156" t="s">
        <v>436</v>
      </c>
      <c r="E4473" s="156" t="s">
        <v>28</v>
      </c>
      <c r="F4473" s="156" t="s">
        <v>437</v>
      </c>
      <c r="G4473" s="157">
        <f>MROUND(H4473*L4473*I4473/K4473,0.000001)</f>
        <v>1.4213E-2</v>
      </c>
      <c r="H4473" s="242">
        <f>$H$125</f>
        <v>290</v>
      </c>
      <c r="I4473" s="159">
        <f>I4471</f>
        <v>4.313E-3</v>
      </c>
      <c r="J4473" s="160"/>
      <c r="K4473" s="161">
        <f>K4471</f>
        <v>88</v>
      </c>
      <c r="L4473" s="162">
        <v>1</v>
      </c>
      <c r="M4473" s="163" t="str">
        <f>CONCATENATE(H4473," ",F4473,"*",L4473,"автобуса","*",I4473,"/",K4473,"чел.")</f>
        <v>290 огнетушителей (потребность учреждений) *1автобуса*0,004313/88чел.</v>
      </c>
      <c r="N4473" s="164">
        <f>$N$125</f>
        <v>2000</v>
      </c>
      <c r="O4473" s="165">
        <f>MROUND(G4473*N4473,0.000001)</f>
        <v>28.425999999999998</v>
      </c>
      <c r="P4473" s="166"/>
      <c r="Q4473" s="166">
        <f t="shared" ref="Q4473" si="1124">O4473*K4473</f>
        <v>2501.4879999999998</v>
      </c>
      <c r="R4473" s="71"/>
    </row>
    <row r="4474" spans="1:18" s="61" customFormat="1" x14ac:dyDescent="0.25">
      <c r="A4474" s="358"/>
      <c r="B4474" s="361"/>
      <c r="C4474" s="218" t="s">
        <v>435</v>
      </c>
      <c r="D4474" s="240"/>
      <c r="E4474" s="240"/>
      <c r="F4474" s="240"/>
      <c r="G4474" s="251"/>
      <c r="H4474" s="241"/>
      <c r="I4474" s="206"/>
      <c r="J4474" s="228"/>
      <c r="K4474" s="207"/>
      <c r="L4474" s="229"/>
      <c r="M4474" s="209"/>
      <c r="N4474" s="210"/>
      <c r="O4474" s="198">
        <f>SUM(O4473)</f>
        <v>28.425999999999998</v>
      </c>
      <c r="P4474" s="166"/>
      <c r="Q4474" s="166"/>
      <c r="R4474" s="71"/>
    </row>
    <row r="4475" spans="1:18" s="61" customFormat="1" ht="47.25" x14ac:dyDescent="0.25">
      <c r="A4475" s="358"/>
      <c r="B4475" s="361"/>
      <c r="C4475" s="364" t="s">
        <v>118</v>
      </c>
      <c r="D4475" s="156" t="s">
        <v>47</v>
      </c>
      <c r="E4475" s="156" t="s">
        <v>28</v>
      </c>
      <c r="F4475" s="156" t="s">
        <v>239</v>
      </c>
      <c r="G4475" s="238">
        <f>MROUND(H4475*L4475*I4475/K4475,0.00000001)</f>
        <v>7.0576400000000004E-3</v>
      </c>
      <c r="H4475" s="158">
        <f>H3515</f>
        <v>144</v>
      </c>
      <c r="I4475" s="159">
        <f>I4471</f>
        <v>4.313E-3</v>
      </c>
      <c r="J4475" s="160"/>
      <c r="K4475" s="161">
        <f>K4471</f>
        <v>88</v>
      </c>
      <c r="L4475" s="250">
        <v>1</v>
      </c>
      <c r="M4475" s="163" t="str">
        <f>CONCATENATE(H4475," ",F4475,"*",I4475,"/",K4475,"чел.")</f>
        <v>144 манометров (потребность учреждений) *0,004313/88чел.</v>
      </c>
      <c r="N4475" s="164">
        <f>N3515</f>
        <v>720.50416666666672</v>
      </c>
      <c r="O4475" s="165">
        <f>MROUND(G4475*N4475,0.000001)</f>
        <v>5.0850589999999993</v>
      </c>
      <c r="P4475" s="166"/>
      <c r="Q4475" s="166">
        <f t="shared" ref="Q4475:Q4476" si="1125">O4475*K4475</f>
        <v>447.48519199999993</v>
      </c>
      <c r="R4475" s="71"/>
    </row>
    <row r="4476" spans="1:18" s="61" customFormat="1" ht="47.25" x14ac:dyDescent="0.25">
      <c r="A4476" s="358"/>
      <c r="B4476" s="361"/>
      <c r="C4476" s="364"/>
      <c r="D4476" s="255" t="s">
        <v>113</v>
      </c>
      <c r="E4476" s="156" t="s">
        <v>28</v>
      </c>
      <c r="F4476" s="156" t="s">
        <v>240</v>
      </c>
      <c r="G4476" s="238">
        <f>MROUND(H4476*L4476*I4476/K4476,0.00000001)</f>
        <v>0.28009993999999999</v>
      </c>
      <c r="H4476" s="158">
        <f>H3516</f>
        <v>5715</v>
      </c>
      <c r="I4476" s="159">
        <f>I4475</f>
        <v>4.313E-3</v>
      </c>
      <c r="J4476" s="160"/>
      <c r="K4476" s="161">
        <f>K4475</f>
        <v>88</v>
      </c>
      <c r="L4476" s="250">
        <v>1</v>
      </c>
      <c r="M4476" s="163" t="str">
        <f>CONCATENATE(H4476," ",F4476,"*",I4476,"/",K4476,"чел.")</f>
        <v>5715 светильников (потребность учреждений)*0,004313/88чел.</v>
      </c>
      <c r="N4476" s="164">
        <f>N3516</f>
        <v>111.16365879265086</v>
      </c>
      <c r="O4476" s="165">
        <f>MROUND(G4476*N4476,0.000001)</f>
        <v>31.136934</v>
      </c>
      <c r="P4476" s="166"/>
      <c r="Q4476" s="166">
        <f t="shared" si="1125"/>
        <v>2740.0501920000002</v>
      </c>
      <c r="R4476" s="71"/>
    </row>
    <row r="4477" spans="1:18" s="62" customFormat="1" x14ac:dyDescent="0.25">
      <c r="A4477" s="359"/>
      <c r="B4477" s="362"/>
      <c r="C4477" s="218" t="s">
        <v>301</v>
      </c>
      <c r="D4477" s="256"/>
      <c r="E4477" s="240"/>
      <c r="F4477" s="240"/>
      <c r="G4477" s="227"/>
      <c r="H4477" s="241"/>
      <c r="I4477" s="206"/>
      <c r="J4477" s="228"/>
      <c r="K4477" s="207"/>
      <c r="L4477" s="257"/>
      <c r="M4477" s="209"/>
      <c r="N4477" s="210"/>
      <c r="O4477" s="198">
        <f>SUM(O4475:O4476)</f>
        <v>36.221992999999998</v>
      </c>
      <c r="P4477" s="267"/>
      <c r="Q4477" s="166"/>
      <c r="R4477" s="71"/>
    </row>
    <row r="4478" spans="1:18" s="61" customFormat="1" x14ac:dyDescent="0.25">
      <c r="A4478" s="357" t="str">
        <f>CONCATENATE(школы!$B$15,", ",школы!$C$15,", ",школы!$D$15)</f>
        <v xml:space="preserve">Реализация основных общеобразовательных программ основного общего образования, , </v>
      </c>
      <c r="B4478" s="360" t="str">
        <f>школы!$A$15</f>
        <v>802111О.99.0.БА96АЮ58001</v>
      </c>
      <c r="C4478" s="194"/>
      <c r="D4478" s="363" t="s">
        <v>15</v>
      </c>
      <c r="E4478" s="363"/>
      <c r="F4478" s="363"/>
      <c r="G4478" s="363"/>
      <c r="H4478" s="195"/>
      <c r="I4478" s="195"/>
      <c r="J4478" s="195"/>
      <c r="K4478" s="195"/>
      <c r="L4478" s="196"/>
      <c r="M4478" s="197"/>
      <c r="N4478" s="164"/>
      <c r="O4478" s="198">
        <f>O4479+O4484+O4486</f>
        <v>9094.7031658939995</v>
      </c>
      <c r="P4478" s="166"/>
      <c r="Q4478" s="166"/>
      <c r="R4478" s="71"/>
    </row>
    <row r="4479" spans="1:18" s="61" customFormat="1" x14ac:dyDescent="0.25">
      <c r="A4479" s="358"/>
      <c r="B4479" s="361"/>
      <c r="C4479" s="194"/>
      <c r="D4479" s="350" t="s">
        <v>62</v>
      </c>
      <c r="E4479" s="350"/>
      <c r="F4479" s="350"/>
      <c r="G4479" s="350"/>
      <c r="H4479" s="195"/>
      <c r="I4479" s="195"/>
      <c r="J4479" s="195"/>
      <c r="K4479" s="195"/>
      <c r="L4479" s="196"/>
      <c r="M4479" s="197"/>
      <c r="N4479" s="164"/>
      <c r="O4479" s="165">
        <f>O4481+O4483</f>
        <v>9094.7031658939995</v>
      </c>
      <c r="P4479" s="166"/>
      <c r="Q4479" s="166"/>
      <c r="R4479" s="71"/>
    </row>
    <row r="4480" spans="1:18" s="61" customFormat="1" x14ac:dyDescent="0.25">
      <c r="A4480" s="358"/>
      <c r="B4480" s="361"/>
      <c r="C4480" s="194">
        <v>211</v>
      </c>
      <c r="D4480" s="194" t="s">
        <v>86</v>
      </c>
      <c r="E4480" s="199" t="s">
        <v>95</v>
      </c>
      <c r="F4480" s="199" t="s">
        <v>95</v>
      </c>
      <c r="G4480" s="275">
        <f>MROUND(H4480*L4480*I4480/K4480,0.0000000001)</f>
        <v>0.54217515589999998</v>
      </c>
      <c r="H4480" s="201">
        <f>H3640</f>
        <v>921.8</v>
      </c>
      <c r="I4480" s="159">
        <f>школы!$K$15</f>
        <v>0.47073209999999999</v>
      </c>
      <c r="J4480" s="159"/>
      <c r="K4480" s="161">
        <f>школы!$G$15</f>
        <v>9604</v>
      </c>
      <c r="L4480" s="202">
        <v>12</v>
      </c>
      <c r="M4480" s="163" t="str">
        <f>CONCATENATE(H4480," ",F4480," ","в мес.","*",L4480,"мес.","*",I4480,"/",K4480,"чел.")</f>
        <v>921,8 шт.ед в мес.*12мес.*0,4707321/9604чел.</v>
      </c>
      <c r="N4480" s="164">
        <f>N3640</f>
        <v>12883.620739314385</v>
      </c>
      <c r="O4480" s="165">
        <f>MROUND(G4480*N4480,0.000000001)</f>
        <v>6985.1790828940002</v>
      </c>
      <c r="P4480" s="166"/>
      <c r="Q4480" s="166">
        <f t="shared" ref="Q4480" si="1126">O4480*K4480</f>
        <v>67085659.912113979</v>
      </c>
      <c r="R4480" s="71"/>
    </row>
    <row r="4481" spans="1:18" s="62" customFormat="1" x14ac:dyDescent="0.25">
      <c r="A4481" s="358"/>
      <c r="B4481" s="361"/>
      <c r="C4481" s="203" t="s">
        <v>288</v>
      </c>
      <c r="D4481" s="203"/>
      <c r="E4481" s="204"/>
      <c r="F4481" s="204"/>
      <c r="G4481" s="205"/>
      <c r="H4481" s="206"/>
      <c r="I4481" s="206"/>
      <c r="J4481" s="206"/>
      <c r="K4481" s="207"/>
      <c r="L4481" s="208"/>
      <c r="M4481" s="209"/>
      <c r="N4481" s="210">
        <f>N4480</f>
        <v>12883.620739314385</v>
      </c>
      <c r="O4481" s="198">
        <f>O4480</f>
        <v>6985.1790828940002</v>
      </c>
      <c r="P4481" s="267"/>
      <c r="Q4481" s="166"/>
      <c r="R4481" s="71"/>
    </row>
    <row r="4482" spans="1:18" s="61" customFormat="1" x14ac:dyDescent="0.25">
      <c r="A4482" s="358"/>
      <c r="B4482" s="361"/>
      <c r="C4482" s="194">
        <v>213</v>
      </c>
      <c r="D4482" s="194" t="s">
        <v>87</v>
      </c>
      <c r="E4482" s="194" t="s">
        <v>88</v>
      </c>
      <c r="F4482" s="194"/>
      <c r="G4482" s="211">
        <v>30.2</v>
      </c>
      <c r="H4482" s="159"/>
      <c r="I4482" s="159"/>
      <c r="J4482" s="159"/>
      <c r="K4482" s="161">
        <f>K4480</f>
        <v>9604</v>
      </c>
      <c r="L4482" s="202"/>
      <c r="M4482" s="212"/>
      <c r="N4482" s="164"/>
      <c r="O4482" s="165">
        <f>MROUND(O4480*0.302,0.000001)</f>
        <v>2109.5240829999998</v>
      </c>
      <c r="P4482" s="166"/>
      <c r="Q4482" s="166">
        <f>O4482*K4482</f>
        <v>20259869.293132</v>
      </c>
      <c r="R4482" s="71"/>
    </row>
    <row r="4483" spans="1:18" s="62" customFormat="1" x14ac:dyDescent="0.25">
      <c r="A4483" s="358"/>
      <c r="B4483" s="361"/>
      <c r="C4483" s="203" t="s">
        <v>289</v>
      </c>
      <c r="D4483" s="203"/>
      <c r="E4483" s="203"/>
      <c r="F4483" s="203"/>
      <c r="G4483" s="213"/>
      <c r="H4483" s="214"/>
      <c r="I4483" s="206"/>
      <c r="J4483" s="214"/>
      <c r="K4483" s="207"/>
      <c r="L4483" s="215"/>
      <c r="M4483" s="216"/>
      <c r="N4483" s="210"/>
      <c r="O4483" s="198">
        <f>O4482</f>
        <v>2109.5240829999998</v>
      </c>
      <c r="P4483" s="267"/>
      <c r="Q4483" s="166"/>
      <c r="R4483" s="71"/>
    </row>
    <row r="4484" spans="1:18" s="61" customFormat="1" x14ac:dyDescent="0.25">
      <c r="A4484" s="358"/>
      <c r="B4484" s="361"/>
      <c r="C4484" s="194"/>
      <c r="D4484" s="356" t="s">
        <v>63</v>
      </c>
      <c r="E4484" s="356"/>
      <c r="F4484" s="356"/>
      <c r="G4484" s="356"/>
      <c r="H4484" s="195"/>
      <c r="I4484" s="159"/>
      <c r="J4484" s="195"/>
      <c r="K4484" s="161"/>
      <c r="L4484" s="196"/>
      <c r="M4484" s="197"/>
      <c r="N4484" s="164"/>
      <c r="O4484" s="165"/>
      <c r="P4484" s="166"/>
      <c r="Q4484" s="166"/>
      <c r="R4484" s="71"/>
    </row>
    <row r="4485" spans="1:18" s="61" customFormat="1" x14ac:dyDescent="0.25">
      <c r="A4485" s="358"/>
      <c r="B4485" s="361"/>
      <c r="C4485" s="194"/>
      <c r="D4485" s="194"/>
      <c r="E4485" s="194"/>
      <c r="F4485" s="194"/>
      <c r="G4485" s="217"/>
      <c r="H4485" s="195"/>
      <c r="I4485" s="159"/>
      <c r="J4485" s="195"/>
      <c r="K4485" s="161"/>
      <c r="L4485" s="196"/>
      <c r="M4485" s="197"/>
      <c r="N4485" s="164"/>
      <c r="O4485" s="165"/>
      <c r="P4485" s="166"/>
      <c r="Q4485" s="166"/>
      <c r="R4485" s="71"/>
    </row>
    <row r="4486" spans="1:18" s="61" customFormat="1" x14ac:dyDescent="0.25">
      <c r="A4486" s="358"/>
      <c r="B4486" s="361"/>
      <c r="C4486" s="194"/>
      <c r="D4486" s="350" t="s">
        <v>64</v>
      </c>
      <c r="E4486" s="350"/>
      <c r="F4486" s="350"/>
      <c r="G4486" s="350"/>
      <c r="H4486" s="195"/>
      <c r="I4486" s="159"/>
      <c r="J4486" s="195"/>
      <c r="K4486" s="161"/>
      <c r="L4486" s="196"/>
      <c r="M4486" s="197"/>
      <c r="N4486" s="164"/>
      <c r="O4486" s="165"/>
      <c r="P4486" s="166"/>
      <c r="Q4486" s="166"/>
      <c r="R4486" s="71"/>
    </row>
    <row r="4487" spans="1:18" s="61" customFormat="1" x14ac:dyDescent="0.25">
      <c r="A4487" s="358"/>
      <c r="B4487" s="361"/>
      <c r="C4487" s="194"/>
      <c r="D4487" s="194"/>
      <c r="E4487" s="194"/>
      <c r="F4487" s="194"/>
      <c r="G4487" s="217"/>
      <c r="H4487" s="195"/>
      <c r="I4487" s="159"/>
      <c r="J4487" s="195"/>
      <c r="K4487" s="161"/>
      <c r="L4487" s="196"/>
      <c r="M4487" s="197"/>
      <c r="N4487" s="164"/>
      <c r="O4487" s="165"/>
      <c r="P4487" s="166"/>
      <c r="Q4487" s="166"/>
      <c r="R4487" s="71"/>
    </row>
    <row r="4488" spans="1:18" s="61" customFormat="1" x14ac:dyDescent="0.25">
      <c r="A4488" s="358"/>
      <c r="B4488" s="361"/>
      <c r="C4488" s="194"/>
      <c r="D4488" s="355" t="s">
        <v>5</v>
      </c>
      <c r="E4488" s="355"/>
      <c r="F4488" s="355"/>
      <c r="G4488" s="355"/>
      <c r="H4488" s="195"/>
      <c r="I4488" s="159"/>
      <c r="J4488" s="195"/>
      <c r="K4488" s="161"/>
      <c r="L4488" s="196"/>
      <c r="M4488" s="197"/>
      <c r="N4488" s="164"/>
      <c r="O4488" s="198">
        <f>O4489+O4499+O4510+O4512+O4514+O4516+O4518</f>
        <v>19309.575964404616</v>
      </c>
      <c r="P4488" s="166"/>
      <c r="Q4488" s="166"/>
      <c r="R4488" s="71"/>
    </row>
    <row r="4489" spans="1:18" s="61" customFormat="1" x14ac:dyDescent="0.25">
      <c r="A4489" s="358"/>
      <c r="B4489" s="361"/>
      <c r="C4489" s="218" t="s">
        <v>70</v>
      </c>
      <c r="D4489" s="355" t="s">
        <v>6</v>
      </c>
      <c r="E4489" s="355"/>
      <c r="F4489" s="355"/>
      <c r="G4489" s="355"/>
      <c r="H4489" s="189"/>
      <c r="I4489" s="159"/>
      <c r="J4489" s="189"/>
      <c r="K4489" s="161"/>
      <c r="L4489" s="190"/>
      <c r="M4489" s="197"/>
      <c r="N4489" s="210"/>
      <c r="O4489" s="198">
        <f>O4498</f>
        <v>8869.5087559199983</v>
      </c>
      <c r="P4489" s="166"/>
      <c r="Q4489" s="166"/>
      <c r="R4489" s="71"/>
    </row>
    <row r="4490" spans="1:18" s="61" customFormat="1" ht="31.5" x14ac:dyDescent="0.25">
      <c r="A4490" s="358"/>
      <c r="B4490" s="361"/>
      <c r="C4490" s="221" t="s">
        <v>72</v>
      </c>
      <c r="D4490" s="222" t="s">
        <v>7</v>
      </c>
      <c r="E4490" s="223" t="s">
        <v>8</v>
      </c>
      <c r="F4490" s="223" t="s">
        <v>8</v>
      </c>
      <c r="G4490" s="238">
        <f>MROUND(H4490*L4490*I4490/K4490,0.00000000001)</f>
        <v>162.38990073091</v>
      </c>
      <c r="H4490" s="160">
        <f>H3770</f>
        <v>3313121.4264326878</v>
      </c>
      <c r="I4490" s="159">
        <f>I4480</f>
        <v>0.47073209999999999</v>
      </c>
      <c r="J4490" s="160"/>
      <c r="K4490" s="161">
        <f>K4480</f>
        <v>9604</v>
      </c>
      <c r="L4490" s="250">
        <v>1</v>
      </c>
      <c r="M4490" s="163" t="str">
        <f t="shared" ref="M4490:M4495" si="1127">CONCATENATE(H4490," ",F4490,"(лимиты выделенные УЖКХ) ","*",I4490,"/",K4490,"чел.")</f>
        <v>3313121,42643269 кВт час.(лимиты выделенные УЖКХ) *0,4707321/9604чел.</v>
      </c>
      <c r="N4490" s="164">
        <f>N3770</f>
        <v>10.897694685122204</v>
      </c>
      <c r="O4490" s="165">
        <f t="shared" ref="O4490:O4493" si="1128">MROUND(G4490*N4490,0.000001)</f>
        <v>1769.6755579999999</v>
      </c>
      <c r="P4490" s="166"/>
      <c r="Q4490" s="166">
        <f t="shared" ref="Q4490:Q4497" si="1129">O4490*K4490</f>
        <v>16995964.059032001</v>
      </c>
      <c r="R4490" s="71"/>
    </row>
    <row r="4491" spans="1:18" s="61" customFormat="1" ht="31.5" x14ac:dyDescent="0.25">
      <c r="A4491" s="358"/>
      <c r="B4491" s="361"/>
      <c r="C4491" s="221" t="s">
        <v>73</v>
      </c>
      <c r="D4491" s="222" t="s">
        <v>9</v>
      </c>
      <c r="E4491" s="223" t="s">
        <v>10</v>
      </c>
      <c r="F4491" s="223" t="s">
        <v>10</v>
      </c>
      <c r="G4491" s="238">
        <f>MROUND(H4491*L4491*I4491/K4491,0.00000000001)</f>
        <v>1.5634241336099999</v>
      </c>
      <c r="H4491" s="160">
        <f t="shared" ref="H4491:H4496" si="1130">H3411</f>
        <v>31897.39</v>
      </c>
      <c r="I4491" s="159">
        <f t="shared" ref="I4491:I4543" si="1131">I4490</f>
        <v>0.47073209999999999</v>
      </c>
      <c r="J4491" s="160"/>
      <c r="K4491" s="161">
        <f t="shared" ref="K4491:K4497" si="1132">K4490</f>
        <v>9604</v>
      </c>
      <c r="L4491" s="250">
        <v>1</v>
      </c>
      <c r="M4491" s="163" t="str">
        <f t="shared" si="1127"/>
        <v>31897,39 Гкал(лимиты выделенные УЖКХ) *0,4707321/9604чел.</v>
      </c>
      <c r="N4491" s="164">
        <f t="shared" ref="N4491:N4496" si="1133">N3411</f>
        <v>2976.2517908205036</v>
      </c>
      <c r="O4491" s="165">
        <f t="shared" si="1128"/>
        <v>4653.1438769999995</v>
      </c>
      <c r="P4491" s="166"/>
      <c r="Q4491" s="166">
        <f t="shared" si="1129"/>
        <v>44688793.794707999</v>
      </c>
      <c r="R4491" s="71"/>
    </row>
    <row r="4492" spans="1:18" s="61" customFormat="1" ht="31.5" x14ac:dyDescent="0.25">
      <c r="A4492" s="358"/>
      <c r="B4492" s="361"/>
      <c r="C4492" s="364" t="s">
        <v>74</v>
      </c>
      <c r="D4492" s="222" t="s">
        <v>12</v>
      </c>
      <c r="E4492" s="222" t="s">
        <v>11</v>
      </c>
      <c r="F4492" s="222" t="s">
        <v>11</v>
      </c>
      <c r="G4492" s="238">
        <f>MROUND(H4492*L4492*I4492/K4492,0.00000000001)</f>
        <v>9.0541511033899997</v>
      </c>
      <c r="H4492" s="224">
        <f t="shared" si="1130"/>
        <v>184725.17</v>
      </c>
      <c r="I4492" s="159">
        <f t="shared" si="1131"/>
        <v>0.47073209999999999</v>
      </c>
      <c r="J4492" s="160"/>
      <c r="K4492" s="161">
        <f t="shared" si="1132"/>
        <v>9604</v>
      </c>
      <c r="L4492" s="250">
        <v>1</v>
      </c>
      <c r="M4492" s="163" t="str">
        <f t="shared" si="1127"/>
        <v>184725,17 м3(лимиты выделенные УЖКХ) *0,4707321/9604чел.</v>
      </c>
      <c r="N4492" s="164">
        <f t="shared" si="1133"/>
        <v>54.214180016724306</v>
      </c>
      <c r="O4492" s="165">
        <f t="shared" si="1128"/>
        <v>490.86337799999995</v>
      </c>
      <c r="P4492" s="166"/>
      <c r="Q4492" s="166">
        <f t="shared" si="1129"/>
        <v>4714251.8823119998</v>
      </c>
      <c r="R4492" s="71"/>
    </row>
    <row r="4493" spans="1:18" s="61" customFormat="1" ht="47.25" x14ac:dyDescent="0.25">
      <c r="A4493" s="358"/>
      <c r="B4493" s="361"/>
      <c r="C4493" s="364"/>
      <c r="D4493" s="222" t="s">
        <v>17</v>
      </c>
      <c r="E4493" s="222" t="s">
        <v>11</v>
      </c>
      <c r="F4493" s="222" t="s">
        <v>11</v>
      </c>
      <c r="G4493" s="238">
        <f>MROUND(H4493*L4493*I4493/K4493,0.00000000001)</f>
        <v>9.0541511033899997</v>
      </c>
      <c r="H4493" s="160">
        <f t="shared" si="1130"/>
        <v>184725.17</v>
      </c>
      <c r="I4493" s="159">
        <f t="shared" si="1131"/>
        <v>0.47073209999999999</v>
      </c>
      <c r="J4493" s="160"/>
      <c r="K4493" s="161">
        <f t="shared" si="1132"/>
        <v>9604</v>
      </c>
      <c r="L4493" s="162">
        <f>$L$25</f>
        <v>1</v>
      </c>
      <c r="M4493" s="163" t="str">
        <f t="shared" si="1127"/>
        <v>184725,17 м3(лимиты выделенные УЖКХ) *0,4707321/9604чел.</v>
      </c>
      <c r="N4493" s="164">
        <f t="shared" si="1133"/>
        <v>82.384170780821918</v>
      </c>
      <c r="O4493" s="165">
        <f t="shared" si="1128"/>
        <v>745.91873099999998</v>
      </c>
      <c r="P4493" s="166"/>
      <c r="Q4493" s="166">
        <f t="shared" si="1129"/>
        <v>7163803.4925239999</v>
      </c>
      <c r="R4493" s="71"/>
    </row>
    <row r="4494" spans="1:18" s="61" customFormat="1" ht="31.5" x14ac:dyDescent="0.25">
      <c r="A4494" s="358"/>
      <c r="B4494" s="361"/>
      <c r="C4494" s="364"/>
      <c r="D4494" s="222" t="s">
        <v>13</v>
      </c>
      <c r="E4494" s="222" t="s">
        <v>11</v>
      </c>
      <c r="F4494" s="222" t="s">
        <v>11</v>
      </c>
      <c r="G4494" s="238">
        <f>MROUND(H4494*L4494*I4494/K4494,0.00000000001)</f>
        <v>9.0541511033899997</v>
      </c>
      <c r="H4494" s="160">
        <f t="shared" si="1130"/>
        <v>184725.17</v>
      </c>
      <c r="I4494" s="159">
        <f t="shared" si="1131"/>
        <v>0.47073209999999999</v>
      </c>
      <c r="J4494" s="160"/>
      <c r="K4494" s="161">
        <f t="shared" si="1132"/>
        <v>9604</v>
      </c>
      <c r="L4494" s="162">
        <v>1</v>
      </c>
      <c r="M4494" s="163" t="str">
        <f t="shared" si="1127"/>
        <v>184725,17 м3(лимиты выделенные УЖКХ) *0,4707321/9604чел.</v>
      </c>
      <c r="N4494" s="164">
        <f t="shared" si="1133"/>
        <v>112.36110334722464</v>
      </c>
      <c r="O4494" s="165">
        <f>MROUND(G4494*N4494,0.00000001)</f>
        <v>1017.33440785</v>
      </c>
      <c r="P4494" s="166"/>
      <c r="Q4494" s="166">
        <f t="shared" si="1129"/>
        <v>9770479.652991401</v>
      </c>
      <c r="R4494" s="71"/>
    </row>
    <row r="4495" spans="1:18" s="61" customFormat="1" ht="31.5" x14ac:dyDescent="0.25">
      <c r="A4495" s="358"/>
      <c r="B4495" s="361"/>
      <c r="C4495" s="221" t="s">
        <v>75</v>
      </c>
      <c r="D4495" s="222" t="s">
        <v>18</v>
      </c>
      <c r="E4495" s="222" t="s">
        <v>48</v>
      </c>
      <c r="F4495" s="222" t="s">
        <v>48</v>
      </c>
      <c r="G4495" s="238">
        <f>MROUND(H4495*L4495*I4495/K4495,0.0000000001)</f>
        <v>0.68068920370000008</v>
      </c>
      <c r="H4495" s="160">
        <f t="shared" si="1130"/>
        <v>13887.6</v>
      </c>
      <c r="I4495" s="159">
        <f t="shared" si="1131"/>
        <v>0.47073209999999999</v>
      </c>
      <c r="J4495" s="160"/>
      <c r="K4495" s="161">
        <f t="shared" si="1132"/>
        <v>9604</v>
      </c>
      <c r="L4495" s="250">
        <v>1</v>
      </c>
      <c r="M4495" s="163" t="str">
        <f t="shared" si="1127"/>
        <v>13887,6 тыс. м3(лимиты выделенные УЖКХ) *0,4707321/9604чел.</v>
      </c>
      <c r="N4495" s="164">
        <f t="shared" si="1133"/>
        <v>30.576235634666901</v>
      </c>
      <c r="O4495" s="165">
        <f t="shared" ref="O4495" si="1134">MROUND(G4495*N4495,0.000001)</f>
        <v>20.812912999999998</v>
      </c>
      <c r="P4495" s="166"/>
      <c r="Q4495" s="166">
        <f t="shared" si="1129"/>
        <v>199887.21645199999</v>
      </c>
      <c r="R4495" s="71"/>
    </row>
    <row r="4496" spans="1:18" s="61" customFormat="1" x14ac:dyDescent="0.25">
      <c r="A4496" s="358"/>
      <c r="B4496" s="361"/>
      <c r="C4496" s="364" t="s">
        <v>216</v>
      </c>
      <c r="D4496" s="222" t="s">
        <v>23</v>
      </c>
      <c r="E4496" s="222" t="s">
        <v>11</v>
      </c>
      <c r="F4496" s="222" t="s">
        <v>11</v>
      </c>
      <c r="G4496" s="238">
        <f>MROUND(H4496*L4496*I4496/K4496,0.000000000001)</f>
        <v>0.165111097599</v>
      </c>
      <c r="H4496" s="160">
        <f t="shared" si="1130"/>
        <v>3368.6400000000003</v>
      </c>
      <c r="I4496" s="159">
        <f t="shared" si="1131"/>
        <v>0.47073209999999999</v>
      </c>
      <c r="J4496" s="160"/>
      <c r="K4496" s="161">
        <f t="shared" si="1132"/>
        <v>9604</v>
      </c>
      <c r="L4496" s="162">
        <f>L4495</f>
        <v>1</v>
      </c>
      <c r="M4496" s="163" t="str">
        <f>CONCATENATE(H4496," ",F4496," ","*",I4496,"/",K4496,"чел.")</f>
        <v>3368,64 м3 *0,4707321/9604чел.</v>
      </c>
      <c r="N4496" s="164">
        <f t="shared" si="1133"/>
        <v>776.35552626579261</v>
      </c>
      <c r="O4496" s="165">
        <f>MROUND(G4496*N4496,0.00000001)</f>
        <v>128.18491306999999</v>
      </c>
      <c r="P4496" s="166"/>
      <c r="Q4496" s="166">
        <f t="shared" si="1129"/>
        <v>1231087.9051242799</v>
      </c>
      <c r="R4496" s="71"/>
    </row>
    <row r="4497" spans="1:18" s="61" customFormat="1" ht="47.25" x14ac:dyDescent="0.25">
      <c r="A4497" s="358"/>
      <c r="B4497" s="361"/>
      <c r="C4497" s="364"/>
      <c r="D4497" s="222" t="s">
        <v>24</v>
      </c>
      <c r="E4497" s="222" t="s">
        <v>25</v>
      </c>
      <c r="F4497" s="222" t="s">
        <v>217</v>
      </c>
      <c r="G4497" s="238">
        <f>MROUND(H4497*L4497*I4497/K4497,0.000000000001)</f>
        <v>7.2050831629999999E-3</v>
      </c>
      <c r="H4497" s="160">
        <f>H3777</f>
        <v>147</v>
      </c>
      <c r="I4497" s="159">
        <f t="shared" si="1131"/>
        <v>0.47073209999999999</v>
      </c>
      <c r="J4497" s="160"/>
      <c r="K4497" s="161">
        <f t="shared" si="1132"/>
        <v>9604</v>
      </c>
      <c r="L4497" s="250">
        <f>L4496</f>
        <v>1</v>
      </c>
      <c r="M4497" s="163" t="str">
        <f>CONCATENATE(H4497," ",F4497,"(потребность из расчета 4 контейнера для уборки территории весной и осенью на 1 учреждение)","*",I4497,"/",K4497,"чел.")</f>
        <v>147 контейнера(потребность из расчета 4 контейнера для уборки территории весной и осенью на 1 учреждение)*0,4707321/9604чел.</v>
      </c>
      <c r="N4497" s="164">
        <f>N3777</f>
        <v>6047.8105442176911</v>
      </c>
      <c r="O4497" s="165">
        <f t="shared" ref="O4497" si="1135">MROUND(G4497*N4497,0.000001)</f>
        <v>43.574978000000002</v>
      </c>
      <c r="P4497" s="166"/>
      <c r="Q4497" s="166">
        <f t="shared" si="1129"/>
        <v>418494.088712</v>
      </c>
      <c r="R4497" s="71"/>
    </row>
    <row r="4498" spans="1:18" s="62" customFormat="1" x14ac:dyDescent="0.25">
      <c r="A4498" s="358"/>
      <c r="B4498" s="361"/>
      <c r="C4498" s="218" t="s">
        <v>290</v>
      </c>
      <c r="D4498" s="226"/>
      <c r="E4498" s="226"/>
      <c r="F4498" s="226"/>
      <c r="G4498" s="227"/>
      <c r="H4498" s="228"/>
      <c r="I4498" s="206"/>
      <c r="J4498" s="228"/>
      <c r="K4498" s="207"/>
      <c r="L4498" s="257"/>
      <c r="M4498" s="209"/>
      <c r="N4498" s="210"/>
      <c r="O4498" s="198">
        <f>SUM(O4490:O4497)</f>
        <v>8869.5087559199983</v>
      </c>
      <c r="P4498" s="267"/>
      <c r="Q4498" s="166"/>
      <c r="R4498" s="71"/>
    </row>
    <row r="4499" spans="1:18" s="61" customFormat="1" x14ac:dyDescent="0.25">
      <c r="A4499" s="358"/>
      <c r="B4499" s="361"/>
      <c r="C4499" s="221"/>
      <c r="D4499" s="356" t="s">
        <v>14</v>
      </c>
      <c r="E4499" s="356"/>
      <c r="F4499" s="356"/>
      <c r="G4499" s="356"/>
      <c r="H4499" s="188"/>
      <c r="I4499" s="159"/>
      <c r="J4499" s="188"/>
      <c r="K4499" s="161"/>
      <c r="L4499" s="250"/>
      <c r="M4499" s="230"/>
      <c r="N4499" s="164"/>
      <c r="O4499" s="198">
        <f>O4507+O4508+O4503</f>
        <v>9280.1598578046196</v>
      </c>
      <c r="P4499" s="166"/>
      <c r="Q4499" s="166"/>
      <c r="R4499" s="71"/>
    </row>
    <row r="4500" spans="1:18" s="61" customFormat="1" x14ac:dyDescent="0.25">
      <c r="A4500" s="358"/>
      <c r="B4500" s="361"/>
      <c r="C4500" s="221" t="s">
        <v>379</v>
      </c>
      <c r="D4500" s="231" t="s">
        <v>49</v>
      </c>
      <c r="E4500" s="231" t="s">
        <v>22</v>
      </c>
      <c r="F4500" s="231" t="s">
        <v>22</v>
      </c>
      <c r="G4500" s="238">
        <f>MROUND(H4500*L4500*I4500/K4500,0.000000001)</f>
        <v>0</v>
      </c>
      <c r="H4500" s="160"/>
      <c r="I4500" s="159">
        <f>I4495</f>
        <v>0.47073209999999999</v>
      </c>
      <c r="J4500" s="160"/>
      <c r="K4500" s="161">
        <f>K4495</f>
        <v>9604</v>
      </c>
      <c r="L4500" s="250"/>
      <c r="M4500" s="163"/>
      <c r="N4500" s="164"/>
      <c r="O4500" s="165">
        <f>MROUND(G4500*N4500,0.00000001)</f>
        <v>0</v>
      </c>
      <c r="P4500" s="166"/>
      <c r="Q4500" s="166">
        <f t="shared" ref="Q4500:Q4502" si="1136">O4500*K4500</f>
        <v>0</v>
      </c>
      <c r="R4500" s="71"/>
    </row>
    <row r="4501" spans="1:18" s="61" customFormat="1" x14ac:dyDescent="0.25">
      <c r="A4501" s="358"/>
      <c r="B4501" s="361"/>
      <c r="C4501" s="221" t="s">
        <v>379</v>
      </c>
      <c r="D4501" s="231" t="s">
        <v>49</v>
      </c>
      <c r="E4501" s="231" t="s">
        <v>28</v>
      </c>
      <c r="F4501" s="231" t="s">
        <v>28</v>
      </c>
      <c r="G4501" s="238">
        <f>MROUND(H4501*L4501*I4501/K4501,0.0000000000000001)</f>
        <v>0</v>
      </c>
      <c r="H4501" s="160"/>
      <c r="I4501" s="159">
        <f t="shared" si="1131"/>
        <v>0.47073209999999999</v>
      </c>
      <c r="J4501" s="160"/>
      <c r="K4501" s="161">
        <f>K4500</f>
        <v>9604</v>
      </c>
      <c r="L4501" s="250">
        <v>1</v>
      </c>
      <c r="M4501" s="163"/>
      <c r="N4501" s="164"/>
      <c r="O4501" s="165">
        <f>MROUND(G4501*N4501,0.00000001)</f>
        <v>0</v>
      </c>
      <c r="P4501" s="166"/>
      <c r="Q4501" s="166">
        <f t="shared" si="1136"/>
        <v>0</v>
      </c>
      <c r="R4501" s="71"/>
    </row>
    <row r="4502" spans="1:18" s="61" customFormat="1" x14ac:dyDescent="0.25">
      <c r="A4502" s="358"/>
      <c r="B4502" s="361"/>
      <c r="C4502" s="221" t="s">
        <v>379</v>
      </c>
      <c r="D4502" s="231" t="s">
        <v>49</v>
      </c>
      <c r="E4502" s="231" t="s">
        <v>101</v>
      </c>
      <c r="F4502" s="231" t="s">
        <v>101</v>
      </c>
      <c r="G4502" s="238">
        <f>MROUND(H4502*L4502*I4502/K4502,0.000000001)</f>
        <v>0</v>
      </c>
      <c r="H4502" s="160"/>
      <c r="I4502" s="159">
        <f t="shared" si="1131"/>
        <v>0.47073209999999999</v>
      </c>
      <c r="J4502" s="160"/>
      <c r="K4502" s="161">
        <f>K4501</f>
        <v>9604</v>
      </c>
      <c r="L4502" s="250"/>
      <c r="M4502" s="163"/>
      <c r="N4502" s="164"/>
      <c r="O4502" s="165">
        <f>MROUND(G4502*N4502,0.00000001)</f>
        <v>0</v>
      </c>
      <c r="P4502" s="166"/>
      <c r="Q4502" s="166">
        <f t="shared" si="1136"/>
        <v>0</v>
      </c>
      <c r="R4502" s="71"/>
    </row>
    <row r="4503" spans="1:18" s="62" customFormat="1" x14ac:dyDescent="0.25">
      <c r="A4503" s="358"/>
      <c r="B4503" s="361"/>
      <c r="C4503" s="218" t="s">
        <v>380</v>
      </c>
      <c r="D4503" s="232"/>
      <c r="E4503" s="232"/>
      <c r="F4503" s="232"/>
      <c r="G4503" s="227"/>
      <c r="H4503" s="228"/>
      <c r="I4503" s="206"/>
      <c r="J4503" s="228"/>
      <c r="K4503" s="207"/>
      <c r="L4503" s="257"/>
      <c r="M4503" s="209"/>
      <c r="N4503" s="210"/>
      <c r="O4503" s="198">
        <f>SUM(O4500:O4502)</f>
        <v>0</v>
      </c>
      <c r="P4503" s="267"/>
      <c r="Q4503" s="166"/>
      <c r="R4503" s="71"/>
    </row>
    <row r="4504" spans="1:18" s="61" customFormat="1" x14ac:dyDescent="0.25">
      <c r="A4504" s="358"/>
      <c r="B4504" s="361"/>
      <c r="C4504" s="221" t="s">
        <v>76</v>
      </c>
      <c r="D4504" s="231" t="s">
        <v>49</v>
      </c>
      <c r="E4504" s="231" t="s">
        <v>22</v>
      </c>
      <c r="F4504" s="231" t="s">
        <v>22</v>
      </c>
      <c r="G4504" s="238">
        <f>MROUND(H4504*L4504*I4504/K4504,0.000000000000001)</f>
        <v>59.994794871740638</v>
      </c>
      <c r="H4504" s="160">
        <f>H3664</f>
        <v>1224029.57</v>
      </c>
      <c r="I4504" s="159">
        <f>I4500</f>
        <v>0.47073209999999999</v>
      </c>
      <c r="J4504" s="160"/>
      <c r="K4504" s="161">
        <f>K4502</f>
        <v>9604</v>
      </c>
      <c r="L4504" s="250">
        <v>1</v>
      </c>
      <c r="M4504" s="163" t="str">
        <f>CONCATENATE(H4504," ",F4504,"*",I4504,"/",K4504,"чел.")</f>
        <v>1224029,57 м2*0,4707321/9604чел.</v>
      </c>
      <c r="N4504" s="164">
        <f>N3664</f>
        <v>37.50494361014497</v>
      </c>
      <c r="O4504" s="165">
        <f>MROUND(G4504*N4504,0.00000000001)</f>
        <v>2250.1013985668496</v>
      </c>
      <c r="P4504" s="166"/>
      <c r="Q4504" s="166">
        <f t="shared" ref="Q4504:Q4506" si="1137">O4504*K4504</f>
        <v>21609973.831836022</v>
      </c>
      <c r="R4504" s="71"/>
    </row>
    <row r="4505" spans="1:18" s="61" customFormat="1" x14ac:dyDescent="0.25">
      <c r="A4505" s="358"/>
      <c r="B4505" s="361"/>
      <c r="C4505" s="221"/>
      <c r="D4505" s="231" t="s">
        <v>49</v>
      </c>
      <c r="E4505" s="231" t="s">
        <v>28</v>
      </c>
      <c r="F4505" s="231" t="s">
        <v>28</v>
      </c>
      <c r="G4505" s="238">
        <f>MROUND(H4505*L4505*I4505/K4505,0.0000000000001)</f>
        <v>5.4209673323600001E-2</v>
      </c>
      <c r="H4505" s="160">
        <f>H3665</f>
        <v>1106</v>
      </c>
      <c r="I4505" s="159">
        <f t="shared" si="1131"/>
        <v>0.47073209999999999</v>
      </c>
      <c r="J4505" s="160"/>
      <c r="K4505" s="161">
        <f>K4504</f>
        <v>9604</v>
      </c>
      <c r="L4505" s="250">
        <v>1</v>
      </c>
      <c r="M4505" s="163" t="str">
        <f>CONCATENATE(H4505," ",F4505,"*",I4505,"/",K4505,"чел.")</f>
        <v>1106 шт*0,4707321/9604чел.</v>
      </c>
      <c r="N4505" s="164">
        <f>N3665</f>
        <v>86192.676311030737</v>
      </c>
      <c r="O4505" s="165">
        <f>MROUND(G4505*N4505,0.00000000001)</f>
        <v>4672.4768257077694</v>
      </c>
      <c r="P4505" s="166"/>
      <c r="Q4505" s="166">
        <f t="shared" si="1137"/>
        <v>44874467.434097417</v>
      </c>
      <c r="R4505" s="71"/>
    </row>
    <row r="4506" spans="1:18" s="61" customFormat="1" x14ac:dyDescent="0.25">
      <c r="A4506" s="358"/>
      <c r="B4506" s="361"/>
      <c r="C4506" s="221"/>
      <c r="D4506" s="231" t="s">
        <v>49</v>
      </c>
      <c r="E4506" s="231" t="s">
        <v>101</v>
      </c>
      <c r="F4506" s="231" t="s">
        <v>101</v>
      </c>
      <c r="G4506" s="238">
        <f>MROUND(H4506*L4506*I4506/K4506,0.000000001)</f>
        <v>1.797349657</v>
      </c>
      <c r="H4506" s="160">
        <f>H3666</f>
        <v>36670</v>
      </c>
      <c r="I4506" s="159">
        <f t="shared" si="1131"/>
        <v>0.47073209999999999</v>
      </c>
      <c r="J4506" s="160"/>
      <c r="K4506" s="161">
        <f>K4505</f>
        <v>9604</v>
      </c>
      <c r="L4506" s="250">
        <v>1</v>
      </c>
      <c r="M4506" s="163" t="str">
        <f>CONCATENATE(H4506," ",F4506,"*",I4506,"/",K4506,"чел.")</f>
        <v>36670 погон.м.*0,4707321/9604чел.</v>
      </c>
      <c r="N4506" s="164">
        <f>N3666</f>
        <v>1311.6989364603219</v>
      </c>
      <c r="O4506" s="165">
        <f>MROUND(G4506*N4506,0.00000001)</f>
        <v>2357.5816335300001</v>
      </c>
      <c r="P4506" s="166"/>
      <c r="Q4506" s="166">
        <f t="shared" si="1137"/>
        <v>22642214.008422121</v>
      </c>
      <c r="R4506" s="71"/>
    </row>
    <row r="4507" spans="1:18" s="62" customFormat="1" x14ac:dyDescent="0.25">
      <c r="A4507" s="358"/>
      <c r="B4507" s="361"/>
      <c r="C4507" s="218" t="s">
        <v>291</v>
      </c>
      <c r="D4507" s="232"/>
      <c r="E4507" s="232"/>
      <c r="F4507" s="232"/>
      <c r="G4507" s="227"/>
      <c r="H4507" s="228"/>
      <c r="I4507" s="206"/>
      <c r="J4507" s="228"/>
      <c r="K4507" s="207"/>
      <c r="L4507" s="257"/>
      <c r="M4507" s="209"/>
      <c r="N4507" s="210"/>
      <c r="O4507" s="198">
        <f>SUM(O4504:O4506)</f>
        <v>9280.1598578046196</v>
      </c>
      <c r="P4507" s="267"/>
      <c r="Q4507" s="166"/>
      <c r="R4507" s="71"/>
    </row>
    <row r="4508" spans="1:18" s="61" customFormat="1" x14ac:dyDescent="0.25">
      <c r="A4508" s="358"/>
      <c r="B4508" s="361"/>
      <c r="C4508" s="221" t="s">
        <v>77</v>
      </c>
      <c r="D4508" s="231"/>
      <c r="E4508" s="231"/>
      <c r="F4508" s="231"/>
      <c r="G4508" s="238">
        <f>MROUND(H4508*L4508*I4508/K4508,0.00000000001)</f>
        <v>0</v>
      </c>
      <c r="H4508" s="160">
        <f>H4268</f>
        <v>0</v>
      </c>
      <c r="I4508" s="159">
        <f>I4506</f>
        <v>0.47073209999999999</v>
      </c>
      <c r="J4508" s="160"/>
      <c r="K4508" s="161">
        <f>K4506</f>
        <v>9604</v>
      </c>
      <c r="L4508" s="250"/>
      <c r="M4508" s="163"/>
      <c r="N4508" s="164">
        <f>N4268</f>
        <v>0</v>
      </c>
      <c r="O4508" s="165">
        <f>MROUND(G4508*N4508,0.000000001)</f>
        <v>0</v>
      </c>
      <c r="P4508" s="166"/>
      <c r="Q4508" s="166">
        <f t="shared" ref="Q4508" si="1138">O4508*K4508</f>
        <v>0</v>
      </c>
      <c r="R4508" s="71"/>
    </row>
    <row r="4509" spans="1:18" s="62" customFormat="1" x14ac:dyDescent="0.25">
      <c r="A4509" s="358"/>
      <c r="B4509" s="361"/>
      <c r="C4509" s="218" t="s">
        <v>292</v>
      </c>
      <c r="D4509" s="232"/>
      <c r="E4509" s="232"/>
      <c r="F4509" s="232"/>
      <c r="G4509" s="227"/>
      <c r="H4509" s="228"/>
      <c r="I4509" s="206"/>
      <c r="J4509" s="228"/>
      <c r="K4509" s="207"/>
      <c r="L4509" s="257"/>
      <c r="M4509" s="209"/>
      <c r="N4509" s="210"/>
      <c r="O4509" s="198">
        <f>O4508</f>
        <v>0</v>
      </c>
      <c r="P4509" s="267"/>
      <c r="Q4509" s="166"/>
      <c r="R4509" s="71"/>
    </row>
    <row r="4510" spans="1:18" s="61" customFormat="1" x14ac:dyDescent="0.25">
      <c r="A4510" s="358"/>
      <c r="B4510" s="361"/>
      <c r="C4510" s="221"/>
      <c r="D4510" s="350" t="s">
        <v>65</v>
      </c>
      <c r="E4510" s="350"/>
      <c r="F4510" s="350"/>
      <c r="G4510" s="350"/>
      <c r="H4510" s="195"/>
      <c r="I4510" s="159"/>
      <c r="J4510" s="195"/>
      <c r="K4510" s="161"/>
      <c r="L4510" s="196"/>
      <c r="M4510" s="230"/>
      <c r="N4510" s="164"/>
      <c r="O4510" s="165">
        <f t="shared" ref="O4510:O4511" si="1139">MROUND(G4510*N4510,0.000001)</f>
        <v>0</v>
      </c>
      <c r="P4510" s="166"/>
      <c r="Q4510" s="166"/>
      <c r="R4510" s="71"/>
    </row>
    <row r="4511" spans="1:18" s="61" customFormat="1" x14ac:dyDescent="0.25">
      <c r="A4511" s="358"/>
      <c r="B4511" s="361"/>
      <c r="C4511" s="221"/>
      <c r="D4511" s="194"/>
      <c r="E4511" s="194"/>
      <c r="F4511" s="194"/>
      <c r="G4511" s="217"/>
      <c r="H4511" s="195"/>
      <c r="I4511" s="159"/>
      <c r="J4511" s="195"/>
      <c r="K4511" s="161"/>
      <c r="L4511" s="196"/>
      <c r="M4511" s="230"/>
      <c r="N4511" s="164"/>
      <c r="O4511" s="165">
        <f t="shared" si="1139"/>
        <v>0</v>
      </c>
      <c r="P4511" s="166"/>
      <c r="Q4511" s="166"/>
      <c r="R4511" s="71"/>
    </row>
    <row r="4512" spans="1:18" s="61" customFormat="1" x14ac:dyDescent="0.25">
      <c r="A4512" s="358"/>
      <c r="B4512" s="361"/>
      <c r="C4512" s="221" t="s">
        <v>357</v>
      </c>
      <c r="D4512" s="368" t="s">
        <v>66</v>
      </c>
      <c r="E4512" s="368"/>
      <c r="F4512" s="368"/>
      <c r="G4512" s="368"/>
      <c r="H4512" s="195"/>
      <c r="I4512" s="159"/>
      <c r="J4512" s="195"/>
      <c r="K4512" s="161"/>
      <c r="L4512" s="234"/>
      <c r="M4512" s="230"/>
      <c r="N4512" s="164"/>
      <c r="O4512" s="198">
        <f>O4513</f>
        <v>27.818932999999998</v>
      </c>
      <c r="P4512" s="166"/>
      <c r="Q4512" s="166"/>
      <c r="R4512" s="71"/>
    </row>
    <row r="4513" spans="1:41" s="61" customFormat="1" ht="47.25" x14ac:dyDescent="0.25">
      <c r="A4513" s="358"/>
      <c r="B4513" s="361"/>
      <c r="C4513" s="221"/>
      <c r="D4513" s="222" t="s">
        <v>374</v>
      </c>
      <c r="E4513" s="194" t="s">
        <v>28</v>
      </c>
      <c r="F4513" s="194" t="s">
        <v>28</v>
      </c>
      <c r="G4513" s="217">
        <f>MROUND(H4513*L4513*I4513/K4513,0.000000001)</f>
        <v>7.0580410000000001E-3</v>
      </c>
      <c r="H4513" s="201">
        <f>H3913</f>
        <v>36</v>
      </c>
      <c r="I4513" s="159">
        <f>I4508</f>
        <v>0.47073209999999999</v>
      </c>
      <c r="J4513" s="195"/>
      <c r="K4513" s="161">
        <f>K4508</f>
        <v>9604</v>
      </c>
      <c r="L4513" s="235">
        <f>L3913</f>
        <v>4</v>
      </c>
      <c r="M4513" s="163" t="str">
        <f>CONCATENATE(H4513," ",F4513,"*",I4513,"/",K4513,"чел.")</f>
        <v>36 шт*0,4707321/9604чел.</v>
      </c>
      <c r="N4513" s="164">
        <f>N3913</f>
        <v>3941.4525000000012</v>
      </c>
      <c r="O4513" s="165">
        <f>MROUND(G4513*N4513,0.000001)</f>
        <v>27.818932999999998</v>
      </c>
      <c r="P4513" s="166"/>
      <c r="Q4513" s="166">
        <f t="shared" ref="Q4513" si="1140">O4513*K4513</f>
        <v>267173.03253199998</v>
      </c>
      <c r="R4513" s="71"/>
    </row>
    <row r="4514" spans="1:41" s="61" customFormat="1" x14ac:dyDescent="0.25">
      <c r="A4514" s="358"/>
      <c r="B4514" s="361"/>
      <c r="C4514" s="221"/>
      <c r="D4514" s="368" t="s">
        <v>67</v>
      </c>
      <c r="E4514" s="368"/>
      <c r="F4514" s="368"/>
      <c r="G4514" s="368"/>
      <c r="H4514" s="195"/>
      <c r="I4514" s="159"/>
      <c r="J4514" s="195"/>
      <c r="K4514" s="161"/>
      <c r="L4514" s="196"/>
      <c r="M4514" s="230"/>
      <c r="N4514" s="164"/>
      <c r="O4514" s="165">
        <f t="shared" ref="O4514:O4517" si="1141">MROUND(G4514*N4514,0.000001)</f>
        <v>0</v>
      </c>
      <c r="P4514" s="166"/>
      <c r="Q4514" s="166"/>
      <c r="R4514" s="71"/>
    </row>
    <row r="4515" spans="1:41" s="61" customFormat="1" x14ac:dyDescent="0.25">
      <c r="A4515" s="358"/>
      <c r="B4515" s="361"/>
      <c r="C4515" s="221"/>
      <c r="D4515" s="194"/>
      <c r="E4515" s="194"/>
      <c r="F4515" s="194"/>
      <c r="G4515" s="217"/>
      <c r="H4515" s="195"/>
      <c r="I4515" s="159"/>
      <c r="J4515" s="195"/>
      <c r="K4515" s="161"/>
      <c r="L4515" s="196"/>
      <c r="M4515" s="230"/>
      <c r="N4515" s="164"/>
      <c r="O4515" s="165">
        <f t="shared" si="1141"/>
        <v>0</v>
      </c>
      <c r="P4515" s="166"/>
      <c r="Q4515" s="166"/>
      <c r="R4515" s="71"/>
    </row>
    <row r="4516" spans="1:41" s="61" customFormat="1" x14ac:dyDescent="0.25">
      <c r="A4516" s="358"/>
      <c r="B4516" s="361"/>
      <c r="C4516" s="221"/>
      <c r="D4516" s="350" t="s">
        <v>68</v>
      </c>
      <c r="E4516" s="350"/>
      <c r="F4516" s="350"/>
      <c r="G4516" s="350"/>
      <c r="H4516" s="195"/>
      <c r="I4516" s="159"/>
      <c r="J4516" s="195"/>
      <c r="K4516" s="161"/>
      <c r="L4516" s="196"/>
      <c r="M4516" s="230"/>
      <c r="N4516" s="164"/>
      <c r="O4516" s="165">
        <f t="shared" si="1141"/>
        <v>0</v>
      </c>
      <c r="P4516" s="166"/>
      <c r="Q4516" s="166"/>
      <c r="R4516" s="71"/>
    </row>
    <row r="4517" spans="1:41" s="61" customFormat="1" x14ac:dyDescent="0.25">
      <c r="A4517" s="358"/>
      <c r="B4517" s="361"/>
      <c r="C4517" s="221"/>
      <c r="D4517" s="156"/>
      <c r="E4517" s="156"/>
      <c r="F4517" s="156"/>
      <c r="G4517" s="236"/>
      <c r="H4517" s="195"/>
      <c r="I4517" s="159"/>
      <c r="J4517" s="195"/>
      <c r="K4517" s="161"/>
      <c r="L4517" s="196"/>
      <c r="M4517" s="230"/>
      <c r="N4517" s="164"/>
      <c r="O4517" s="165">
        <f t="shared" si="1141"/>
        <v>0</v>
      </c>
      <c r="P4517" s="166"/>
      <c r="Q4517" s="166"/>
      <c r="R4517" s="71"/>
    </row>
    <row r="4518" spans="1:41" s="61" customFormat="1" x14ac:dyDescent="0.25">
      <c r="A4518" s="358"/>
      <c r="B4518" s="361"/>
      <c r="C4518" s="221"/>
      <c r="D4518" s="368" t="s">
        <v>69</v>
      </c>
      <c r="E4518" s="368"/>
      <c r="F4518" s="368"/>
      <c r="G4518" s="368"/>
      <c r="H4518" s="187"/>
      <c r="I4518" s="159"/>
      <c r="J4518" s="187"/>
      <c r="K4518" s="161"/>
      <c r="L4518" s="276"/>
      <c r="M4518" s="230"/>
      <c r="N4518" s="164"/>
      <c r="O4518" s="198">
        <f>O4520+O4527+O4544+O4546+O4561+O4563+O4565+O4590+O4592+O4597+O4594</f>
        <v>1132.0884176799996</v>
      </c>
      <c r="P4518" s="166"/>
      <c r="Q4518" s="166"/>
      <c r="R4518" s="71"/>
    </row>
    <row r="4519" spans="1:41" s="61" customFormat="1" x14ac:dyDescent="0.25">
      <c r="A4519" s="358"/>
      <c r="B4519" s="361"/>
      <c r="C4519" s="221">
        <v>224</v>
      </c>
      <c r="D4519" s="156" t="s">
        <v>21</v>
      </c>
      <c r="E4519" s="156" t="s">
        <v>22</v>
      </c>
      <c r="F4519" s="156" t="s">
        <v>22</v>
      </c>
      <c r="G4519" s="238">
        <f>MROUND(H4519*L4519*I4519/K4519,0.000001)</f>
        <v>0</v>
      </c>
      <c r="H4519" s="158"/>
      <c r="I4519" s="159">
        <f>I4513</f>
        <v>0.47073209999999999</v>
      </c>
      <c r="J4519" s="160"/>
      <c r="K4519" s="161">
        <f>K4513</f>
        <v>9604</v>
      </c>
      <c r="L4519" s="250"/>
      <c r="M4519" s="163"/>
      <c r="N4519" s="164"/>
      <c r="O4519" s="165">
        <f>MROUND(G4519*N4519,0.000001)</f>
        <v>0</v>
      </c>
      <c r="P4519" s="166"/>
      <c r="Q4519" s="166">
        <f t="shared" ref="Q4519" si="1142">O4519*K4519</f>
        <v>0</v>
      </c>
      <c r="R4519" s="71"/>
    </row>
    <row r="4520" spans="1:41" s="62" customFormat="1" x14ac:dyDescent="0.25">
      <c r="A4520" s="358"/>
      <c r="B4520" s="361"/>
      <c r="C4520" s="218" t="s">
        <v>293</v>
      </c>
      <c r="D4520" s="240"/>
      <c r="E4520" s="240"/>
      <c r="F4520" s="240"/>
      <c r="G4520" s="227"/>
      <c r="H4520" s="241"/>
      <c r="I4520" s="206"/>
      <c r="J4520" s="228"/>
      <c r="K4520" s="207"/>
      <c r="L4520" s="257"/>
      <c r="M4520" s="209"/>
      <c r="N4520" s="210"/>
      <c r="O4520" s="198">
        <f>SUM(O4519)</f>
        <v>0</v>
      </c>
      <c r="P4520" s="267"/>
      <c r="Q4520" s="166"/>
      <c r="R4520" s="71"/>
    </row>
    <row r="4521" spans="1:41" s="61" customFormat="1" ht="31.5" x14ac:dyDescent="0.25">
      <c r="A4521" s="358"/>
      <c r="B4521" s="361"/>
      <c r="C4521" s="364" t="s">
        <v>78</v>
      </c>
      <c r="D4521" s="156" t="s">
        <v>26</v>
      </c>
      <c r="E4521" s="156" t="s">
        <v>22</v>
      </c>
      <c r="F4521" s="156" t="s">
        <v>22</v>
      </c>
      <c r="G4521" s="238">
        <f>MROUND(H4521*L4521*I4521/K4521,0.000001)</f>
        <v>15.198314</v>
      </c>
      <c r="H4521" s="158">
        <f>H3441</f>
        <v>25840</v>
      </c>
      <c r="I4521" s="159">
        <f>I4519</f>
        <v>0.47073209999999999</v>
      </c>
      <c r="J4521" s="160"/>
      <c r="K4521" s="161">
        <f>K4519</f>
        <v>9604</v>
      </c>
      <c r="L4521" s="250">
        <v>12</v>
      </c>
      <c r="M4521" s="163" t="str">
        <f>CONCATENATE(H4521," ",F4521,"(обрабатываемая площадь в мес.)","*",L4521,"мес.","*",I4521,"/",K4521,"чел.")</f>
        <v>25840 м2(обрабатываемая площадь в мес.)*12мес.*0,4707321/9604чел.</v>
      </c>
      <c r="N4521" s="164">
        <f>N3441</f>
        <v>1.208548374613003</v>
      </c>
      <c r="O4521" s="165">
        <f t="shared" ref="O4521:O4526" si="1143">MROUND(G4521*N4521,0.000001)</f>
        <v>18.367898</v>
      </c>
      <c r="P4521" s="166"/>
      <c r="Q4521" s="166">
        <f t="shared" ref="Q4521:Q4526" si="1144">O4521*K4521</f>
        <v>176405.292392</v>
      </c>
      <c r="R4521" s="71"/>
    </row>
    <row r="4522" spans="1:41" s="61" customFormat="1" ht="31.5" x14ac:dyDescent="0.25">
      <c r="A4522" s="358"/>
      <c r="B4522" s="361"/>
      <c r="C4522" s="364"/>
      <c r="D4522" s="156" t="s">
        <v>96</v>
      </c>
      <c r="E4522" s="156" t="s">
        <v>22</v>
      </c>
      <c r="F4522" s="156" t="s">
        <v>22</v>
      </c>
      <c r="G4522" s="238">
        <f>MROUND(H4522*L4522*I4522/K4522,0.000001)</f>
        <v>7.8667739999999995</v>
      </c>
      <c r="H4522" s="158">
        <f>H3442</f>
        <v>13375</v>
      </c>
      <c r="I4522" s="159">
        <f t="shared" si="1131"/>
        <v>0.47073209999999999</v>
      </c>
      <c r="J4522" s="160"/>
      <c r="K4522" s="161">
        <f>K4521</f>
        <v>9604</v>
      </c>
      <c r="L4522" s="250">
        <v>12</v>
      </c>
      <c r="M4522" s="163" t="str">
        <f>CONCATENATE(H4522," ",F4522,"(обрабатываемая площадь в мес.)","*",L4522,"мес.","*",I4522,"/",K4522,"чел.")</f>
        <v>13375 м2(обрабатываемая площадь в мес.)*12мес.*0,4707321/9604чел.</v>
      </c>
      <c r="N4522" s="164">
        <f>N3442</f>
        <v>1.93823800623053</v>
      </c>
      <c r="O4522" s="165">
        <f t="shared" si="1143"/>
        <v>15.247679999999999</v>
      </c>
      <c r="P4522" s="166"/>
      <c r="Q4522" s="166">
        <f t="shared" si="1144"/>
        <v>146438.71872</v>
      </c>
      <c r="R4522" s="71"/>
    </row>
    <row r="4523" spans="1:41" s="135" customFormat="1" ht="31.5" x14ac:dyDescent="0.25">
      <c r="A4523" s="358"/>
      <c r="B4523" s="361"/>
      <c r="C4523" s="364"/>
      <c r="D4523" s="156" t="s">
        <v>385</v>
      </c>
      <c r="E4523" s="156" t="s">
        <v>22</v>
      </c>
      <c r="F4523" s="156" t="s">
        <v>22</v>
      </c>
      <c r="G4523" s="238">
        <f>MROUND(H4523*L4523*I4523/K4523,0.000001)</f>
        <v>15.733549</v>
      </c>
      <c r="H4523" s="242">
        <f>$H$55</f>
        <v>13375</v>
      </c>
      <c r="I4523" s="159">
        <f t="shared" si="1131"/>
        <v>0.47073209999999999</v>
      </c>
      <c r="J4523" s="160"/>
      <c r="K4523" s="161">
        <f>K4522</f>
        <v>9604</v>
      </c>
      <c r="L4523" s="162">
        <v>24</v>
      </c>
      <c r="M4523" s="163" t="str">
        <f>CONCATENATE(H4523," ",F4523,"(обрабатываемая площадь в год)","*",L4523," раза в год.","*",I4523,"/",K4523,"чел.")</f>
        <v>13375 м2(обрабатываемая площадь в год)*24 раза в год.*0,4707321/9604чел.</v>
      </c>
      <c r="N4523" s="164">
        <f>$N$3443</f>
        <v>2.3942939563862917</v>
      </c>
      <c r="O4523" s="165">
        <f t="shared" si="1143"/>
        <v>37.670741</v>
      </c>
      <c r="P4523" s="166"/>
      <c r="Q4523" s="166">
        <f t="shared" si="1144"/>
        <v>361789.79656400002</v>
      </c>
      <c r="R4523" s="71"/>
      <c r="S4523" s="61"/>
      <c r="T4523" s="61"/>
      <c r="U4523" s="61"/>
      <c r="V4523" s="61"/>
      <c r="W4523" s="61"/>
      <c r="X4523" s="61"/>
      <c r="Y4523" s="61"/>
      <c r="Z4523" s="61"/>
      <c r="AA4523" s="61"/>
      <c r="AB4523" s="61"/>
      <c r="AC4523" s="61"/>
      <c r="AD4523" s="61"/>
      <c r="AE4523" s="61"/>
      <c r="AF4523" s="61"/>
      <c r="AG4523" s="61"/>
      <c r="AH4523" s="61"/>
      <c r="AI4523" s="61"/>
      <c r="AJ4523" s="61"/>
      <c r="AK4523" s="61"/>
      <c r="AL4523" s="61"/>
      <c r="AM4523" s="61"/>
      <c r="AN4523" s="61"/>
      <c r="AO4523" s="61"/>
    </row>
    <row r="4524" spans="1:41" s="135" customFormat="1" ht="31.5" x14ac:dyDescent="0.25">
      <c r="A4524" s="358"/>
      <c r="B4524" s="361"/>
      <c r="C4524" s="364"/>
      <c r="D4524" s="156" t="s">
        <v>394</v>
      </c>
      <c r="E4524" s="156" t="s">
        <v>22</v>
      </c>
      <c r="F4524" s="156" t="s">
        <v>22</v>
      </c>
      <c r="G4524" s="238">
        <f>MROUND(H4524*L4524*I4524/K4524,0.000001)</f>
        <v>15.198314</v>
      </c>
      <c r="H4524" s="243">
        <f>$H$56</f>
        <v>25840</v>
      </c>
      <c r="I4524" s="159">
        <f t="shared" si="1131"/>
        <v>0.47073209999999999</v>
      </c>
      <c r="J4524" s="160"/>
      <c r="K4524" s="161">
        <f>K4523</f>
        <v>9604</v>
      </c>
      <c r="L4524" s="162">
        <v>12</v>
      </c>
      <c r="M4524" s="163" t="str">
        <f>CONCATENATE(H4524," ",F4524,"(обрабатываемая площадь в мес.)","*",L4524,"мес.","*",I4524,"/",K4524,"чел.")</f>
        <v>25840 м2(обрабатываемая площадь в мес.)*12мес.*0,4707321/9604чел.</v>
      </c>
      <c r="N4524" s="164">
        <f>$N$3444</f>
        <v>0.57007004643962855</v>
      </c>
      <c r="O4524" s="165">
        <f t="shared" si="1143"/>
        <v>8.664104</v>
      </c>
      <c r="P4524" s="166"/>
      <c r="Q4524" s="166">
        <f t="shared" si="1144"/>
        <v>83210.054816000003</v>
      </c>
      <c r="R4524" s="71"/>
      <c r="S4524" s="61"/>
      <c r="T4524" s="61"/>
      <c r="U4524" s="61"/>
      <c r="V4524" s="61"/>
      <c r="W4524" s="61"/>
      <c r="X4524" s="61"/>
      <c r="Y4524" s="61"/>
      <c r="Z4524" s="61"/>
      <c r="AA4524" s="61"/>
      <c r="AB4524" s="61"/>
      <c r="AC4524" s="61"/>
      <c r="AD4524" s="61"/>
      <c r="AE4524" s="61"/>
      <c r="AF4524" s="61"/>
      <c r="AG4524" s="61"/>
      <c r="AH4524" s="61"/>
      <c r="AI4524" s="61"/>
      <c r="AJ4524" s="61"/>
      <c r="AK4524" s="61"/>
      <c r="AL4524" s="61"/>
      <c r="AM4524" s="61"/>
      <c r="AN4524" s="61"/>
      <c r="AO4524" s="61"/>
    </row>
    <row r="4525" spans="1:41" s="135" customFormat="1" ht="31.5" x14ac:dyDescent="0.25">
      <c r="A4525" s="358"/>
      <c r="B4525" s="361"/>
      <c r="C4525" s="364"/>
      <c r="D4525" s="156" t="s">
        <v>395</v>
      </c>
      <c r="E4525" s="156" t="s">
        <v>98</v>
      </c>
      <c r="F4525" s="156" t="s">
        <v>98</v>
      </c>
      <c r="G4525" s="238">
        <f>MROUND(H4525*L4525*I4525/K4525,0.0000000001)</f>
        <v>9.2832839999999999E-4</v>
      </c>
      <c r="H4525" s="242">
        <f>$H$57</f>
        <v>18.939999999999998</v>
      </c>
      <c r="I4525" s="159">
        <f t="shared" si="1131"/>
        <v>0.47073209999999999</v>
      </c>
      <c r="J4525" s="160"/>
      <c r="K4525" s="161">
        <f>K4524</f>
        <v>9604</v>
      </c>
      <c r="L4525" s="162">
        <v>1</v>
      </c>
      <c r="M4525" s="163" t="str">
        <f>CONCATENATE(H4525," ",F4525,"(обрабатываемая площадь в год)","*",L4525," раз в год","*",I4525,"/",K4525,"чел.")</f>
        <v>18,94 Га(обрабатываемая площадь в год)*1 раз в год*0,4707321/9604чел.</v>
      </c>
      <c r="N4525" s="164">
        <f>$N$57</f>
        <v>545</v>
      </c>
      <c r="O4525" s="165">
        <f t="shared" si="1143"/>
        <v>0.50593900000000003</v>
      </c>
      <c r="P4525" s="166"/>
      <c r="Q4525" s="166">
        <f t="shared" si="1144"/>
        <v>4859.0381560000005</v>
      </c>
      <c r="R4525" s="71"/>
      <c r="S4525" s="61"/>
      <c r="T4525" s="61"/>
      <c r="U4525" s="61"/>
      <c r="V4525" s="61"/>
      <c r="W4525" s="61"/>
      <c r="X4525" s="61"/>
      <c r="Y4525" s="61"/>
      <c r="Z4525" s="61"/>
      <c r="AA4525" s="61"/>
      <c r="AB4525" s="61"/>
      <c r="AC4525" s="61"/>
      <c r="AD4525" s="61"/>
      <c r="AE4525" s="61"/>
      <c r="AF4525" s="61"/>
      <c r="AG4525" s="61"/>
      <c r="AH4525" s="61"/>
      <c r="AI4525" s="61"/>
      <c r="AJ4525" s="61"/>
      <c r="AK4525" s="61"/>
      <c r="AL4525" s="61"/>
      <c r="AM4525" s="61"/>
      <c r="AN4525" s="61"/>
      <c r="AO4525" s="61"/>
    </row>
    <row r="4526" spans="1:41" s="61" customFormat="1" ht="31.5" x14ac:dyDescent="0.25">
      <c r="A4526" s="358"/>
      <c r="B4526" s="361"/>
      <c r="C4526" s="364"/>
      <c r="D4526" s="156" t="s">
        <v>97</v>
      </c>
      <c r="E4526" s="156" t="s">
        <v>98</v>
      </c>
      <c r="F4526" s="156" t="s">
        <v>98</v>
      </c>
      <c r="G4526" s="238">
        <f>MROUND(H4526*L4526*I4526/K4526,0.000000001)</f>
        <v>9.2832800000000007E-4</v>
      </c>
      <c r="H4526" s="242">
        <f>H3446</f>
        <v>18.939999999999998</v>
      </c>
      <c r="I4526" s="244">
        <f>I4522</f>
        <v>0.47073209999999999</v>
      </c>
      <c r="J4526" s="160"/>
      <c r="K4526" s="161">
        <f>K4522</f>
        <v>9604</v>
      </c>
      <c r="L4526" s="250">
        <v>1</v>
      </c>
      <c r="M4526" s="163" t="str">
        <f>CONCATENATE(H4526," ",F4526,"(обрабатываемая площадь в мес.)","*",L4526,"мес.","*",I4526,"/",K4526,"чел.")</f>
        <v>18,94 Га(обрабатываемая площадь в мес.)*1мес.*0,4707321/9604чел.</v>
      </c>
      <c r="N4526" s="164">
        <f>N3446</f>
        <v>3102.4186906018999</v>
      </c>
      <c r="O4526" s="165">
        <f t="shared" si="1143"/>
        <v>2.8800619999999997</v>
      </c>
      <c r="P4526" s="166"/>
      <c r="Q4526" s="166">
        <f t="shared" si="1144"/>
        <v>27660.115447999997</v>
      </c>
      <c r="R4526" s="71"/>
    </row>
    <row r="4527" spans="1:41" s="62" customFormat="1" x14ac:dyDescent="0.25">
      <c r="A4527" s="358"/>
      <c r="B4527" s="361"/>
      <c r="C4527" s="245" t="s">
        <v>294</v>
      </c>
      <c r="D4527" s="240"/>
      <c r="E4527" s="240"/>
      <c r="F4527" s="240"/>
      <c r="G4527" s="227"/>
      <c r="H4527" s="241"/>
      <c r="I4527" s="206"/>
      <c r="J4527" s="228"/>
      <c r="K4527" s="207"/>
      <c r="L4527" s="257"/>
      <c r="M4527" s="209"/>
      <c r="N4527" s="210"/>
      <c r="O4527" s="198">
        <f>SUM(O4521:O4526)</f>
        <v>83.33642399999998</v>
      </c>
      <c r="P4527" s="267"/>
      <c r="Q4527" s="166"/>
      <c r="R4527" s="71"/>
    </row>
    <row r="4528" spans="1:41" s="61" customFormat="1" ht="63" x14ac:dyDescent="0.25">
      <c r="A4528" s="358"/>
      <c r="B4528" s="361"/>
      <c r="C4528" s="365" t="s">
        <v>77</v>
      </c>
      <c r="D4528" s="156" t="s">
        <v>29</v>
      </c>
      <c r="E4528" s="156" t="s">
        <v>58</v>
      </c>
      <c r="F4528" s="156" t="s">
        <v>218</v>
      </c>
      <c r="G4528" s="238">
        <f>MROUND(H4528*L4528*I4528/K4528,0.00000001)</f>
        <v>2.9408500000000001E-3</v>
      </c>
      <c r="H4528" s="158">
        <v>15</v>
      </c>
      <c r="I4528" s="159">
        <f>I4526</f>
        <v>0.47073209999999999</v>
      </c>
      <c r="J4528" s="160"/>
      <c r="K4528" s="161">
        <f>K4526</f>
        <v>9604</v>
      </c>
      <c r="L4528" s="162">
        <v>4</v>
      </c>
      <c r="M4528" s="163" t="str">
        <f>CONCATENATE(H4528," ",F4528,"*",L4528," раза в год","*",I4528,"/",K4528,"чел.")</f>
        <v>15 установок*4 раза в год*0,4707321/9604чел.</v>
      </c>
      <c r="N4528" s="164">
        <f>N3448</f>
        <v>2264.8651666666669</v>
      </c>
      <c r="O4528" s="165">
        <f t="shared" ref="O4528:O4536" si="1145">MROUND(G4528*N4528,0.000001)</f>
        <v>6.6606290000000001</v>
      </c>
      <c r="P4528" s="166"/>
      <c r="Q4528" s="166">
        <f t="shared" ref="Q4528:Q4543" si="1146">O4528*K4528</f>
        <v>63968.680916000005</v>
      </c>
      <c r="R4528" s="71"/>
    </row>
    <row r="4529" spans="1:18" s="61" customFormat="1" ht="47.25" x14ac:dyDescent="0.25">
      <c r="A4529" s="358"/>
      <c r="B4529" s="361"/>
      <c r="C4529" s="366"/>
      <c r="D4529" s="156" t="s">
        <v>30</v>
      </c>
      <c r="E4529" s="156" t="s">
        <v>58</v>
      </c>
      <c r="F4529" s="156" t="s">
        <v>218</v>
      </c>
      <c r="G4529" s="238">
        <f>MROUND(H4529*L4529*I4529/K4529,0.00000001)</f>
        <v>1.47043E-3</v>
      </c>
      <c r="H4529" s="158">
        <v>15</v>
      </c>
      <c r="I4529" s="159">
        <f t="shared" si="1131"/>
        <v>0.47073209999999999</v>
      </c>
      <c r="J4529" s="160"/>
      <c r="K4529" s="161">
        <f t="shared" ref="K4529:K4537" si="1147">K4528</f>
        <v>9604</v>
      </c>
      <c r="L4529" s="250">
        <v>2</v>
      </c>
      <c r="M4529" s="163" t="str">
        <f>CONCATENATE(H4529," ",F4529,"*",L4529,"полуг.","*",I4529,"/",K4529,"чел.")</f>
        <v>15 установок*2полуг.*0,4707321/9604чел.</v>
      </c>
      <c r="N4529" s="164">
        <f>N3809</f>
        <v>4529.7303333333339</v>
      </c>
      <c r="O4529" s="165">
        <f t="shared" si="1145"/>
        <v>6.6606509999999997</v>
      </c>
      <c r="P4529" s="166"/>
      <c r="Q4529" s="166">
        <f t="shared" si="1146"/>
        <v>63968.892203999996</v>
      </c>
      <c r="R4529" s="71"/>
    </row>
    <row r="4530" spans="1:18" s="61" customFormat="1" ht="31.5" x14ac:dyDescent="0.25">
      <c r="A4530" s="358"/>
      <c r="B4530" s="361"/>
      <c r="C4530" s="366"/>
      <c r="D4530" s="156" t="s">
        <v>397</v>
      </c>
      <c r="E4530" s="156" t="s">
        <v>433</v>
      </c>
      <c r="F4530" s="156" t="s">
        <v>433</v>
      </c>
      <c r="G4530" s="238">
        <f>MROUND(H4530*L4530*I4530/K4530,0.000001)</f>
        <v>1.4704E-2</v>
      </c>
      <c r="H4530" s="158">
        <f>H3450</f>
        <v>300</v>
      </c>
      <c r="I4530" s="159">
        <f t="shared" si="1131"/>
        <v>0.47073209999999999</v>
      </c>
      <c r="J4530" s="160"/>
      <c r="K4530" s="161">
        <f t="shared" si="1147"/>
        <v>9604</v>
      </c>
      <c r="L4530" s="162">
        <v>1</v>
      </c>
      <c r="M4530" s="163" t="str">
        <f>CONCATENATE(H4530," ",F4530,"(обрабатываемая площадь в год)","*",L4530," раз в год","*",I4530,"/",K4530,"чел.")</f>
        <v>300 м2.(обрабатываемая площадь в год)*1 раз в год*0,4707321/9604чел.</v>
      </c>
      <c r="N4530" s="164">
        <f>N3570</f>
        <v>300</v>
      </c>
      <c r="O4530" s="165">
        <f t="shared" si="1145"/>
        <v>4.4112</v>
      </c>
      <c r="P4530" s="166"/>
      <c r="Q4530" s="166">
        <f t="shared" si="1146"/>
        <v>42365.164799999999</v>
      </c>
      <c r="R4530" s="71"/>
    </row>
    <row r="4531" spans="1:18" s="61" customFormat="1" ht="47.25" x14ac:dyDescent="0.25">
      <c r="A4531" s="358"/>
      <c r="B4531" s="361"/>
      <c r="C4531" s="366"/>
      <c r="D4531" s="156" t="s">
        <v>32</v>
      </c>
      <c r="E4531" s="156" t="s">
        <v>55</v>
      </c>
      <c r="F4531" s="156" t="s">
        <v>219</v>
      </c>
      <c r="G4531" s="238">
        <f>MROUND(H4531*L4531*I4531/K4531,0.000000001)</f>
        <v>7.0580410000000001E-3</v>
      </c>
      <c r="H4531" s="158">
        <f>H3811</f>
        <v>36</v>
      </c>
      <c r="I4531" s="159">
        <f>I4530</f>
        <v>0.47073209999999999</v>
      </c>
      <c r="J4531" s="160"/>
      <c r="K4531" s="161">
        <f t="shared" si="1147"/>
        <v>9604</v>
      </c>
      <c r="L4531" s="250">
        <v>4</v>
      </c>
      <c r="M4531" s="163" t="str">
        <f>CONCATENATE(H4531," ",F4531,"*",L4531,"кв.","*",I4531,"/",K4531,"чел.")</f>
        <v>36 системы*4кв.*0,4707321/9604чел.</v>
      </c>
      <c r="N4531" s="164">
        <f>N3811</f>
        <v>7243.0565277777823</v>
      </c>
      <c r="O4531" s="165">
        <f t="shared" si="1145"/>
        <v>51.121789999999997</v>
      </c>
      <c r="P4531" s="166"/>
      <c r="Q4531" s="166">
        <f t="shared" si="1146"/>
        <v>490973.67115999997</v>
      </c>
      <c r="R4531" s="71"/>
    </row>
    <row r="4532" spans="1:18" s="61" customFormat="1" ht="63" x14ac:dyDescent="0.25">
      <c r="A4532" s="358"/>
      <c r="B4532" s="361"/>
      <c r="C4532" s="366"/>
      <c r="D4532" s="156" t="s">
        <v>33</v>
      </c>
      <c r="E4532" s="156" t="s">
        <v>56</v>
      </c>
      <c r="F4532" s="156" t="s">
        <v>220</v>
      </c>
      <c r="G4532" s="238">
        <f>MROUND(H4532*L4532*I4532/K4532,0.000000001)</f>
        <v>1.7645100000000002E-3</v>
      </c>
      <c r="H4532" s="158">
        <f>$H$64</f>
        <v>36</v>
      </c>
      <c r="I4532" s="159">
        <f>I4531</f>
        <v>0.47073209999999999</v>
      </c>
      <c r="J4532" s="160"/>
      <c r="K4532" s="161">
        <f t="shared" si="1147"/>
        <v>9604</v>
      </c>
      <c r="L4532" s="162">
        <v>1</v>
      </c>
      <c r="M4532" s="163" t="str">
        <f>CONCATENATE(H4532," ",F4532,"*",L4532," раз в год","*",I4532,"/",K4532,"чел.")</f>
        <v>36 дымоходов*1 раз в год*0,4707321/9604чел.</v>
      </c>
      <c r="N4532" s="164">
        <f t="shared" ref="N4532:N4538" si="1148">N3452</f>
        <v>7030.863333333331</v>
      </c>
      <c r="O4532" s="165">
        <f t="shared" si="1145"/>
        <v>12.406029</v>
      </c>
      <c r="P4532" s="166"/>
      <c r="Q4532" s="166">
        <f t="shared" si="1146"/>
        <v>119147.50251600001</v>
      </c>
      <c r="R4532" s="71"/>
    </row>
    <row r="4533" spans="1:18" s="61" customFormat="1" x14ac:dyDescent="0.25">
      <c r="A4533" s="358"/>
      <c r="B4533" s="361"/>
      <c r="C4533" s="366"/>
      <c r="D4533" s="194" t="s">
        <v>398</v>
      </c>
      <c r="E4533" s="156" t="s">
        <v>60</v>
      </c>
      <c r="F4533" s="156" t="s">
        <v>60</v>
      </c>
      <c r="G4533" s="238">
        <f>MROUND(H4533*L4533*I4533/K4533,0.000000001)</f>
        <v>1.7154960000000002E-3</v>
      </c>
      <c r="H4533" s="246">
        <f>H3453</f>
        <v>35</v>
      </c>
      <c r="I4533" s="159">
        <f t="shared" si="1131"/>
        <v>0.47073209999999999</v>
      </c>
      <c r="J4533" s="160"/>
      <c r="K4533" s="161">
        <f t="shared" si="1147"/>
        <v>9604</v>
      </c>
      <c r="L4533" s="250">
        <v>1</v>
      </c>
      <c r="M4533" s="163" t="str">
        <f>CONCATENATE(H4533," ",F4533,"*",I4533,"/",K4533,"чел.")</f>
        <v>35 шт.*0,4707321/9604чел.</v>
      </c>
      <c r="N4533" s="164">
        <f t="shared" si="1148"/>
        <v>12173.433428571419</v>
      </c>
      <c r="O4533" s="165">
        <f t="shared" si="1145"/>
        <v>20.883475999999998</v>
      </c>
      <c r="P4533" s="166"/>
      <c r="Q4533" s="166">
        <f t="shared" si="1146"/>
        <v>200564.90350399999</v>
      </c>
      <c r="R4533" s="71"/>
    </row>
    <row r="4534" spans="1:18" s="61" customFormat="1" ht="47.25" x14ac:dyDescent="0.25">
      <c r="A4534" s="358"/>
      <c r="B4534" s="361"/>
      <c r="C4534" s="366"/>
      <c r="D4534" s="156" t="s">
        <v>401</v>
      </c>
      <c r="E4534" s="156" t="s">
        <v>60</v>
      </c>
      <c r="F4534" s="156" t="s">
        <v>402</v>
      </c>
      <c r="G4534" s="238">
        <f>MROUND(H4534*L4534*I4534/K4534,0.000001)</f>
        <v>3.431E-3</v>
      </c>
      <c r="H4534" s="246">
        <f>H3454</f>
        <v>35</v>
      </c>
      <c r="I4534" s="159">
        <f t="shared" si="1131"/>
        <v>0.47073209999999999</v>
      </c>
      <c r="J4534" s="160"/>
      <c r="K4534" s="161">
        <f t="shared" si="1147"/>
        <v>9604</v>
      </c>
      <c r="L4534" s="162">
        <v>2</v>
      </c>
      <c r="M4534" s="163" t="str">
        <f>CONCATENATE(H4534," ",F4534,"*",L4534," раз в год","*",I4534,"/",K4534,"чел.")</f>
        <v>35 противопожарных водопроводов*2 раз в год*0,4707321/9604чел.</v>
      </c>
      <c r="N4534" s="164">
        <f t="shared" si="1148"/>
        <v>5700.7000000000025</v>
      </c>
      <c r="O4534" s="165">
        <f t="shared" si="1145"/>
        <v>19.559101999999999</v>
      </c>
      <c r="P4534" s="166"/>
      <c r="Q4534" s="166">
        <f t="shared" si="1146"/>
        <v>187845.61560799999</v>
      </c>
      <c r="R4534" s="71"/>
    </row>
    <row r="4535" spans="1:18" s="61" customFormat="1" ht="31.5" x14ac:dyDescent="0.25">
      <c r="A4535" s="358"/>
      <c r="B4535" s="361"/>
      <c r="C4535" s="366"/>
      <c r="D4535" s="156" t="s">
        <v>221</v>
      </c>
      <c r="E4535" s="156" t="s">
        <v>60</v>
      </c>
      <c r="F4535" s="156" t="s">
        <v>60</v>
      </c>
      <c r="G4535" s="238">
        <f>MROUND(H4535*L4535*I4535/K4535,0.000000001)</f>
        <v>1.0587061E-2</v>
      </c>
      <c r="H4535" s="158">
        <f>H3455</f>
        <v>18</v>
      </c>
      <c r="I4535" s="159">
        <f t="shared" si="1131"/>
        <v>0.47073209999999999</v>
      </c>
      <c r="J4535" s="160"/>
      <c r="K4535" s="161">
        <f t="shared" si="1147"/>
        <v>9604</v>
      </c>
      <c r="L4535" s="250">
        <v>12</v>
      </c>
      <c r="M4535" s="163" t="str">
        <f>CONCATENATE(H4535," ",F4535,"*",L4535,"мес.","*",I4535,"/",K4535,"чел.")</f>
        <v>18 шт.*12мес.*0,4707321/9604чел.</v>
      </c>
      <c r="N4535" s="164">
        <f t="shared" si="1148"/>
        <v>6577.3408796296308</v>
      </c>
      <c r="O4535" s="165">
        <f t="shared" si="1145"/>
        <v>69.634709000000001</v>
      </c>
      <c r="P4535" s="166"/>
      <c r="Q4535" s="166">
        <f t="shared" si="1146"/>
        <v>668771.74523600005</v>
      </c>
      <c r="R4535" s="71"/>
    </row>
    <row r="4536" spans="1:18" s="61" customFormat="1" ht="47.25" x14ac:dyDescent="0.25">
      <c r="A4536" s="358"/>
      <c r="B4536" s="361"/>
      <c r="C4536" s="366"/>
      <c r="D4536" s="156" t="s">
        <v>34</v>
      </c>
      <c r="E4536" s="156" t="s">
        <v>59</v>
      </c>
      <c r="F4536" s="156" t="s">
        <v>28</v>
      </c>
      <c r="G4536" s="238">
        <f>MROUND(H4536*L4536*I4536/K4536,0.0000000001)</f>
        <v>9.8028299999999998E-5</v>
      </c>
      <c r="H4536" s="158">
        <f>H3456</f>
        <v>2</v>
      </c>
      <c r="I4536" s="159">
        <f t="shared" si="1131"/>
        <v>0.47073209999999999</v>
      </c>
      <c r="J4536" s="160"/>
      <c r="K4536" s="161">
        <f t="shared" si="1147"/>
        <v>9604</v>
      </c>
      <c r="L4536" s="250">
        <v>1</v>
      </c>
      <c r="M4536" s="163" t="str">
        <f>CONCATENATE(H4536," ",F4536,"*",I4536,"/",K4536,"чел.")</f>
        <v>2 шт*0,4707321/9604чел.</v>
      </c>
      <c r="N4536" s="164">
        <f t="shared" si="1148"/>
        <v>7845</v>
      </c>
      <c r="O4536" s="165">
        <f t="shared" si="1145"/>
        <v>0.76903199999999994</v>
      </c>
      <c r="P4536" s="166"/>
      <c r="Q4536" s="166">
        <f t="shared" si="1146"/>
        <v>7385.7833279999995</v>
      </c>
      <c r="R4536" s="71"/>
    </row>
    <row r="4537" spans="1:18" s="61" customFormat="1" ht="47.25" x14ac:dyDescent="0.25">
      <c r="A4537" s="358"/>
      <c r="B4537" s="361"/>
      <c r="C4537" s="366"/>
      <c r="D4537" s="156" t="s">
        <v>222</v>
      </c>
      <c r="E4537" s="156" t="s">
        <v>60</v>
      </c>
      <c r="F4537" s="156" t="s">
        <v>60</v>
      </c>
      <c r="G4537" s="238">
        <f>MROUND(H4537*L4537*I4537/K4537,0.00000000001)</f>
        <v>2.4507085999999999E-4</v>
      </c>
      <c r="H4537" s="248">
        <f>H3817</f>
        <v>5</v>
      </c>
      <c r="I4537" s="159">
        <f t="shared" si="1131"/>
        <v>0.47073209999999999</v>
      </c>
      <c r="J4537" s="160"/>
      <c r="K4537" s="161">
        <f t="shared" si="1147"/>
        <v>9604</v>
      </c>
      <c r="L4537" s="250">
        <v>1</v>
      </c>
      <c r="M4537" s="163" t="str">
        <f>CONCATENATE(H4537," ",F4537,"*",I4537,"/",K4537,"чел.")</f>
        <v>5 шт.*0,4707321/9604чел.</v>
      </c>
      <c r="N4537" s="164">
        <f t="shared" si="1148"/>
        <v>43857.106</v>
      </c>
      <c r="O4537" s="165">
        <f>MROUND(G4537*N4537,0.00000001)</f>
        <v>10.74809868</v>
      </c>
      <c r="P4537" s="166"/>
      <c r="Q4537" s="166">
        <f t="shared" si="1146"/>
        <v>103224.73972272</v>
      </c>
      <c r="R4537" s="71"/>
    </row>
    <row r="4538" spans="1:18" s="61" customFormat="1" ht="31.5" x14ac:dyDescent="0.25">
      <c r="A4538" s="358"/>
      <c r="B4538" s="361"/>
      <c r="C4538" s="366"/>
      <c r="D4538" s="156" t="s">
        <v>35</v>
      </c>
      <c r="E4538" s="156" t="s">
        <v>102</v>
      </c>
      <c r="F4538" s="156" t="s">
        <v>223</v>
      </c>
      <c r="G4538" s="238">
        <f>MROUND(H4538*L4538*I4538/K4538,0.00000001)</f>
        <v>1.7155E-3</v>
      </c>
      <c r="H4538" s="158">
        <f>H3458</f>
        <v>35</v>
      </c>
      <c r="I4538" s="159">
        <f>I4536</f>
        <v>0.47073209999999999</v>
      </c>
      <c r="J4538" s="160"/>
      <c r="K4538" s="161">
        <f>K4536</f>
        <v>9604</v>
      </c>
      <c r="L4538" s="250">
        <v>1</v>
      </c>
      <c r="M4538" s="163" t="str">
        <f>CONCATENATE(H4538," ",F4538,"*",I4538,"/",K4538,"чел.")</f>
        <v>35 замеров*0,4707321/9604чел.</v>
      </c>
      <c r="N4538" s="164">
        <f t="shared" si="1148"/>
        <v>26428.571428571428</v>
      </c>
      <c r="O4538" s="165">
        <f t="shared" ref="O4538:O4543" si="1149">MROUND(G4538*N4538,0.000001)</f>
        <v>45.338214000000001</v>
      </c>
      <c r="P4538" s="166"/>
      <c r="Q4538" s="166">
        <f t="shared" si="1146"/>
        <v>435428.20725600002</v>
      </c>
      <c r="R4538" s="71"/>
    </row>
    <row r="4539" spans="1:18" s="61" customFormat="1" ht="47.25" x14ac:dyDescent="0.25">
      <c r="A4539" s="358"/>
      <c r="B4539" s="361"/>
      <c r="C4539" s="366"/>
      <c r="D4539" s="156" t="s">
        <v>399</v>
      </c>
      <c r="E4539" s="156" t="s">
        <v>60</v>
      </c>
      <c r="F4539" s="156" t="s">
        <v>60</v>
      </c>
      <c r="G4539" s="238">
        <f>MROUND(H4539*L4539*I4539/K4539,0.000000001)</f>
        <v>1.715496E-2</v>
      </c>
      <c r="H4539" s="158">
        <f>H3939</f>
        <v>35</v>
      </c>
      <c r="I4539" s="159">
        <f t="shared" si="1131"/>
        <v>0.47073209999999999</v>
      </c>
      <c r="J4539" s="160"/>
      <c r="K4539" s="161">
        <f>K4538</f>
        <v>9604</v>
      </c>
      <c r="L4539" s="250">
        <v>10</v>
      </c>
      <c r="M4539" s="163" t="str">
        <f>CONCATENATE(H4539," ",F4539,"*",L4539,"мес.","*",I4539,"/",K4539,"чел.")</f>
        <v>35 шт.*10мес.*0,4707321/9604чел.</v>
      </c>
      <c r="N4539" s="164">
        <f>N3939</f>
        <v>3250.866542857143</v>
      </c>
      <c r="O4539" s="165">
        <f t="shared" si="1149"/>
        <v>55.768485999999996</v>
      </c>
      <c r="P4539" s="166"/>
      <c r="Q4539" s="166">
        <f t="shared" si="1146"/>
        <v>535600.53954399994</v>
      </c>
      <c r="R4539" s="71"/>
    </row>
    <row r="4540" spans="1:18" s="61" customFormat="1" ht="47.25" x14ac:dyDescent="0.25">
      <c r="A4540" s="358"/>
      <c r="B4540" s="361"/>
      <c r="C4540" s="366"/>
      <c r="D4540" s="156" t="s">
        <v>36</v>
      </c>
      <c r="E4540" s="156" t="s">
        <v>31</v>
      </c>
      <c r="F4540" s="156" t="s">
        <v>224</v>
      </c>
      <c r="G4540" s="238">
        <f>MROUND(H4540*L4540*I4540/K4540,0.00000001)</f>
        <v>2.1174120000000001E-2</v>
      </c>
      <c r="H4540" s="158">
        <f>H3820</f>
        <v>36</v>
      </c>
      <c r="I4540" s="159">
        <f t="shared" si="1131"/>
        <v>0.47073209999999999</v>
      </c>
      <c r="J4540" s="160"/>
      <c r="K4540" s="161">
        <f>K4539</f>
        <v>9604</v>
      </c>
      <c r="L4540" s="250">
        <v>12</v>
      </c>
      <c r="M4540" s="163" t="str">
        <f>CONCATENATE(H4540," ",F4540,"*",L4540,"мес.","*",I4540,"/",K4540,"чел.")</f>
        <v>36 устройств*12мес.*0,4707321/9604чел.</v>
      </c>
      <c r="N4540" s="164">
        <f>N3460</f>
        <v>2508.3083101851839</v>
      </c>
      <c r="O4540" s="165">
        <f t="shared" si="1149"/>
        <v>53.111221</v>
      </c>
      <c r="P4540" s="166"/>
      <c r="Q4540" s="166">
        <f t="shared" si="1146"/>
        <v>510080.16648399999</v>
      </c>
      <c r="R4540" s="71"/>
    </row>
    <row r="4541" spans="1:18" s="61" customFormat="1" ht="31.5" x14ac:dyDescent="0.25">
      <c r="A4541" s="358"/>
      <c r="B4541" s="361"/>
      <c r="C4541" s="366"/>
      <c r="D4541" s="156" t="s">
        <v>99</v>
      </c>
      <c r="E4541" s="156" t="s">
        <v>103</v>
      </c>
      <c r="F4541" s="156" t="s">
        <v>225</v>
      </c>
      <c r="G4541" s="238">
        <f>MROUND(H4541*L4541*I4541/K4541,0.00000001)</f>
        <v>1.225354E-2</v>
      </c>
      <c r="H4541" s="158">
        <f>H3461</f>
        <v>250</v>
      </c>
      <c r="I4541" s="159">
        <f t="shared" si="1131"/>
        <v>0.47073209999999999</v>
      </c>
      <c r="J4541" s="160"/>
      <c r="K4541" s="161">
        <f>K4540</f>
        <v>9604</v>
      </c>
      <c r="L4541" s="250">
        <v>1</v>
      </c>
      <c r="M4541" s="163" t="str">
        <f>CONCATENATE(H4541," ",F4541,"*",I4541,"/",K4541,"чел.")</f>
        <v>250 ед.*0,4707321/9604чел.</v>
      </c>
      <c r="N4541" s="164">
        <f>N3461</f>
        <v>15000</v>
      </c>
      <c r="O4541" s="165">
        <f t="shared" si="1149"/>
        <v>183.8031</v>
      </c>
      <c r="P4541" s="166"/>
      <c r="Q4541" s="166">
        <f t="shared" si="1146"/>
        <v>1765244.9724000001</v>
      </c>
      <c r="R4541" s="71"/>
    </row>
    <row r="4542" spans="1:18" s="61" customFormat="1" x14ac:dyDescent="0.25">
      <c r="A4542" s="358"/>
      <c r="B4542" s="361"/>
      <c r="C4542" s="366"/>
      <c r="D4542" s="156" t="s">
        <v>27</v>
      </c>
      <c r="E4542" s="156" t="s">
        <v>28</v>
      </c>
      <c r="F4542" s="156" t="s">
        <v>28</v>
      </c>
      <c r="G4542" s="238">
        <f>MROUND(H4542*L4542*I4542/K4542,0.00000001)</f>
        <v>0.17816651</v>
      </c>
      <c r="H4542" s="160">
        <f>H3462</f>
        <v>3635</v>
      </c>
      <c r="I4542" s="159">
        <f t="shared" si="1131"/>
        <v>0.47073209999999999</v>
      </c>
      <c r="J4542" s="160"/>
      <c r="K4542" s="161">
        <f>K4541</f>
        <v>9604</v>
      </c>
      <c r="L4542" s="250">
        <v>1</v>
      </c>
      <c r="M4542" s="163" t="str">
        <f>CONCATENATE(H4542," ",F4542,"*",I4542,"/",K4542,"чел.")</f>
        <v>3635 шт*0,4707321/9604чел.</v>
      </c>
      <c r="N4542" s="164">
        <f>N3582</f>
        <v>418.4</v>
      </c>
      <c r="O4542" s="165">
        <f t="shared" si="1149"/>
        <v>74.544867999999994</v>
      </c>
      <c r="P4542" s="166"/>
      <c r="Q4542" s="166">
        <f t="shared" si="1146"/>
        <v>715928.91227199999</v>
      </c>
      <c r="R4542" s="71"/>
    </row>
    <row r="4543" spans="1:18" s="61" customFormat="1" ht="31.5" x14ac:dyDescent="0.25">
      <c r="A4543" s="358"/>
      <c r="B4543" s="361"/>
      <c r="C4543" s="367"/>
      <c r="D4543" s="156" t="s">
        <v>104</v>
      </c>
      <c r="E4543" s="156" t="s">
        <v>105</v>
      </c>
      <c r="F4543" s="156" t="s">
        <v>226</v>
      </c>
      <c r="G4543" s="238">
        <f>MROUND(H4543*L4543*I4543/K4543,0.00000001)</f>
        <v>1.76451E-3</v>
      </c>
      <c r="H4543" s="160">
        <f>H3463</f>
        <v>36</v>
      </c>
      <c r="I4543" s="159">
        <f t="shared" si="1131"/>
        <v>0.47073209999999999</v>
      </c>
      <c r="J4543" s="160"/>
      <c r="K4543" s="161">
        <f>K4542</f>
        <v>9604</v>
      </c>
      <c r="L4543" s="250">
        <v>1</v>
      </c>
      <c r="M4543" s="163" t="str">
        <f>CONCATENATE(H4543," ",F4543,"*",I4543,"/",K4543,"чел.")</f>
        <v>36 отключений*0,4707321/9604чел.</v>
      </c>
      <c r="N4543" s="164">
        <f>N3463</f>
        <v>10261.260000000004</v>
      </c>
      <c r="O4543" s="165">
        <f t="shared" si="1149"/>
        <v>18.106096000000001</v>
      </c>
      <c r="P4543" s="166"/>
      <c r="Q4543" s="166">
        <f t="shared" si="1146"/>
        <v>173890.94598400002</v>
      </c>
      <c r="R4543" s="71"/>
    </row>
    <row r="4544" spans="1:18" s="62" customFormat="1" x14ac:dyDescent="0.25">
      <c r="A4544" s="358"/>
      <c r="B4544" s="361"/>
      <c r="C4544" s="249" t="s">
        <v>292</v>
      </c>
      <c r="D4544" s="240"/>
      <c r="E4544" s="240"/>
      <c r="F4544" s="240"/>
      <c r="G4544" s="227"/>
      <c r="H4544" s="228"/>
      <c r="I4544" s="206"/>
      <c r="J4544" s="228"/>
      <c r="K4544" s="207"/>
      <c r="L4544" s="257"/>
      <c r="M4544" s="209"/>
      <c r="N4544" s="210"/>
      <c r="O4544" s="198">
        <f>SUM(O4528:O4543)</f>
        <v>633.52670167999986</v>
      </c>
      <c r="P4544" s="267"/>
      <c r="Q4544" s="166"/>
      <c r="R4544" s="71"/>
    </row>
    <row r="4545" spans="1:18" s="61" customFormat="1" ht="31.5" x14ac:dyDescent="0.25">
      <c r="A4545" s="358"/>
      <c r="B4545" s="361"/>
      <c r="C4545" s="221" t="s">
        <v>79</v>
      </c>
      <c r="D4545" s="156" t="s">
        <v>37</v>
      </c>
      <c r="E4545" s="156" t="s">
        <v>61</v>
      </c>
      <c r="F4545" s="156" t="s">
        <v>227</v>
      </c>
      <c r="G4545" s="238">
        <f>MROUND(H4545*L4545*I4545/K4545,0.000000001)</f>
        <v>1.9605700000000002E-4</v>
      </c>
      <c r="H4545" s="158">
        <f>H3465</f>
        <v>4</v>
      </c>
      <c r="I4545" s="159">
        <f>I4543</f>
        <v>0.47073209999999999</v>
      </c>
      <c r="J4545" s="160"/>
      <c r="K4545" s="161">
        <f>K4543</f>
        <v>9604</v>
      </c>
      <c r="L4545" s="250">
        <v>1</v>
      </c>
      <c r="M4545" s="163" t="str">
        <f>CONCATENATE(H4545," ",F4545,"*",I4545,"/",K4545,"чел.")</f>
        <v>4 автобуса*0,4707321/9604чел.</v>
      </c>
      <c r="N4545" s="164">
        <f>N3465</f>
        <v>36442.65</v>
      </c>
      <c r="O4545" s="165">
        <f>MROUND(G4545*N4545,0.000001)</f>
        <v>7.1448369999999999</v>
      </c>
      <c r="P4545" s="166"/>
      <c r="Q4545" s="166">
        <f t="shared" ref="Q4545" si="1150">O4545*K4545</f>
        <v>68619.014547999992</v>
      </c>
      <c r="R4545" s="71"/>
    </row>
    <row r="4546" spans="1:18" s="62" customFormat="1" x14ac:dyDescent="0.25">
      <c r="A4546" s="358"/>
      <c r="B4546" s="361"/>
      <c r="C4546" s="218" t="s">
        <v>295</v>
      </c>
      <c r="D4546" s="240"/>
      <c r="E4546" s="240"/>
      <c r="F4546" s="240"/>
      <c r="G4546" s="227"/>
      <c r="H4546" s="241"/>
      <c r="I4546" s="206"/>
      <c r="J4546" s="228"/>
      <c r="K4546" s="207"/>
      <c r="L4546" s="257"/>
      <c r="M4546" s="209"/>
      <c r="N4546" s="210"/>
      <c r="O4546" s="198">
        <f>SUM(O4545)</f>
        <v>7.1448369999999999</v>
      </c>
      <c r="P4546" s="267"/>
      <c r="Q4546" s="166"/>
      <c r="R4546" s="71"/>
    </row>
    <row r="4547" spans="1:18" s="61" customFormat="1" x14ac:dyDescent="0.25">
      <c r="A4547" s="358"/>
      <c r="B4547" s="361"/>
      <c r="C4547" s="364" t="s">
        <v>80</v>
      </c>
      <c r="D4547" s="156" t="s">
        <v>38</v>
      </c>
      <c r="E4547" s="156" t="s">
        <v>57</v>
      </c>
      <c r="F4547" s="156" t="s">
        <v>228</v>
      </c>
      <c r="G4547" s="238">
        <f>MROUND(H4547*L4547*I4547/K4547,0.0000000001)</f>
        <v>2.1174121900000002E-2</v>
      </c>
      <c r="H4547" s="158">
        <f>H3467</f>
        <v>36</v>
      </c>
      <c r="I4547" s="159">
        <f>I4545</f>
        <v>0.47073209999999999</v>
      </c>
      <c r="J4547" s="160"/>
      <c r="K4547" s="161">
        <f>K4545</f>
        <v>9604</v>
      </c>
      <c r="L4547" s="250">
        <v>12</v>
      </c>
      <c r="M4547" s="163" t="str">
        <f>CONCATENATE(H4547," ",F4547,"*",L4547,"мес.","*",I4547,"/",K4547,"чел.")</f>
        <v>36 зданий*12мес.*0,4707321/9604чел.</v>
      </c>
      <c r="N4547" s="164">
        <f t="shared" ref="N4547:N4558" si="1151">N3467</f>
        <v>4910.5833101851858</v>
      </c>
      <c r="O4547" s="165">
        <f>MROUND(G4547*N4547,0.000001)</f>
        <v>103.97729</v>
      </c>
      <c r="P4547" s="166"/>
      <c r="Q4547" s="166">
        <f t="shared" ref="Q4547:Q4560" si="1152">O4547*K4547</f>
        <v>998597.89315999998</v>
      </c>
      <c r="R4547" s="71"/>
    </row>
    <row r="4548" spans="1:18" s="61" customFormat="1" ht="47.25" x14ac:dyDescent="0.25">
      <c r="A4548" s="358"/>
      <c r="B4548" s="361"/>
      <c r="C4548" s="364"/>
      <c r="D4548" s="156" t="s">
        <v>229</v>
      </c>
      <c r="E4548" s="156" t="s">
        <v>60</v>
      </c>
      <c r="F4548" s="156" t="s">
        <v>60</v>
      </c>
      <c r="G4548" s="238">
        <f>MROUND(H4548*L4548*I4548/K4548,0.000001)</f>
        <v>0.11734</v>
      </c>
      <c r="H4548" s="158">
        <f>H3468</f>
        <v>2394</v>
      </c>
      <c r="I4548" s="159">
        <f>I4547</f>
        <v>0.47073209999999999</v>
      </c>
      <c r="J4548" s="160"/>
      <c r="K4548" s="161">
        <f>K4547</f>
        <v>9604</v>
      </c>
      <c r="L4548" s="250">
        <v>1</v>
      </c>
      <c r="M4548" s="163" t="str">
        <f t="shared" ref="M4548:M4555" si="1153">CONCATENATE(H4548," ",F4548,"*",I4548,"/",K4548,"чел.")</f>
        <v>2394 шт.*0,4707321/9604чел.</v>
      </c>
      <c r="N4548" s="164">
        <f t="shared" si="1151"/>
        <v>171.02101921470341</v>
      </c>
      <c r="O4548" s="165">
        <f>MROUND(G4548*N4548,0.000001)</f>
        <v>20.067605999999998</v>
      </c>
      <c r="P4548" s="166"/>
      <c r="Q4548" s="166">
        <f t="shared" si="1152"/>
        <v>192729.28802399998</v>
      </c>
      <c r="R4548" s="71"/>
    </row>
    <row r="4549" spans="1:18" s="61" customFormat="1" ht="47.25" x14ac:dyDescent="0.25">
      <c r="A4549" s="358"/>
      <c r="B4549" s="361"/>
      <c r="C4549" s="364"/>
      <c r="D4549" s="156" t="s">
        <v>405</v>
      </c>
      <c r="E4549" s="156" t="s">
        <v>60</v>
      </c>
      <c r="F4549" s="156" t="s">
        <v>406</v>
      </c>
      <c r="G4549" s="238">
        <f>MROUND(H4549*L4549*I4549/K4549,0.00000001)</f>
        <v>1.76451E-3</v>
      </c>
      <c r="H4549" s="158">
        <f>H3709</f>
        <v>36</v>
      </c>
      <c r="I4549" s="159">
        <f>I4548</f>
        <v>0.47073209999999999</v>
      </c>
      <c r="J4549" s="160"/>
      <c r="K4549" s="161">
        <f>K4548</f>
        <v>9604</v>
      </c>
      <c r="L4549" s="250">
        <v>1</v>
      </c>
      <c r="M4549" s="163" t="str">
        <f t="shared" si="1153"/>
        <v>36 лицензий*0,4707321/9604чел.</v>
      </c>
      <c r="N4549" s="164">
        <f t="shared" si="1151"/>
        <v>12541.539999999994</v>
      </c>
      <c r="O4549" s="165">
        <f t="shared" ref="O4549:O4558" si="1154">MROUND(G4549*N4549,0.000001)</f>
        <v>22.129673</v>
      </c>
      <c r="P4549" s="166"/>
      <c r="Q4549" s="166">
        <f t="shared" si="1152"/>
        <v>212533.37949200001</v>
      </c>
      <c r="R4549" s="71"/>
    </row>
    <row r="4550" spans="1:18" s="61" customFormat="1" ht="63" x14ac:dyDescent="0.25">
      <c r="A4550" s="358"/>
      <c r="B4550" s="361"/>
      <c r="C4550" s="364"/>
      <c r="D4550" s="156" t="s">
        <v>39</v>
      </c>
      <c r="E4550" s="156" t="s">
        <v>20</v>
      </c>
      <c r="F4550" s="156" t="s">
        <v>234</v>
      </c>
      <c r="G4550" s="238">
        <f>MROUND(H4550*L4550*I4550/K4550,0.000000001)</f>
        <v>5.7836720000000001E-3</v>
      </c>
      <c r="H4550" s="158">
        <f>H4070</f>
        <v>118</v>
      </c>
      <c r="I4550" s="159">
        <f>I4548</f>
        <v>0.47073209999999999</v>
      </c>
      <c r="J4550" s="160"/>
      <c r="K4550" s="161">
        <f>K4548</f>
        <v>9604</v>
      </c>
      <c r="L4550" s="250">
        <v>1</v>
      </c>
      <c r="M4550" s="163" t="str">
        <f t="shared" si="1153"/>
        <v>118 чел(заявленная потребность руководителями учреждений)*0,4707321/9604чел.</v>
      </c>
      <c r="N4550" s="164">
        <f t="shared" si="1151"/>
        <v>798.09796610169519</v>
      </c>
      <c r="O4550" s="165">
        <f t="shared" si="1154"/>
        <v>4.6159369999999997</v>
      </c>
      <c r="P4550" s="166"/>
      <c r="Q4550" s="166">
        <f t="shared" si="1152"/>
        <v>44331.458948</v>
      </c>
      <c r="R4550" s="71"/>
    </row>
    <row r="4551" spans="1:18" s="61" customFormat="1" ht="63" x14ac:dyDescent="0.25">
      <c r="A4551" s="358"/>
      <c r="B4551" s="361"/>
      <c r="C4551" s="364"/>
      <c r="D4551" s="156" t="s">
        <v>40</v>
      </c>
      <c r="E4551" s="156" t="s">
        <v>20</v>
      </c>
      <c r="F4551" s="156" t="s">
        <v>234</v>
      </c>
      <c r="G4551" s="238">
        <f>MROUND(H4551*L4551*I4551/K4551,0.000000001)</f>
        <v>4.7053600000000004E-3</v>
      </c>
      <c r="H4551" s="158">
        <f>H4071</f>
        <v>96</v>
      </c>
      <c r="I4551" s="159">
        <f t="shared" ref="I4551:I4558" si="1155">I4550</f>
        <v>0.47073209999999999</v>
      </c>
      <c r="J4551" s="160"/>
      <c r="K4551" s="161">
        <f t="shared" ref="K4551:K4558" si="1156">K4550</f>
        <v>9604</v>
      </c>
      <c r="L4551" s="250">
        <v>1</v>
      </c>
      <c r="M4551" s="163" t="str">
        <f t="shared" si="1153"/>
        <v>96 чел(заявленная потребность руководителями учреждений)*0,4707321/9604чел.</v>
      </c>
      <c r="N4551" s="164">
        <f t="shared" si="1151"/>
        <v>1710.2100000000007</v>
      </c>
      <c r="O4551" s="165">
        <f t="shared" si="1154"/>
        <v>8.047153999999999</v>
      </c>
      <c r="P4551" s="166"/>
      <c r="Q4551" s="166">
        <f t="shared" si="1152"/>
        <v>77284.867015999989</v>
      </c>
      <c r="R4551" s="71"/>
    </row>
    <row r="4552" spans="1:18" s="61" customFormat="1" ht="63" x14ac:dyDescent="0.25">
      <c r="A4552" s="358"/>
      <c r="B4552" s="361"/>
      <c r="C4552" s="364"/>
      <c r="D4552" s="156" t="s">
        <v>100</v>
      </c>
      <c r="E4552" s="156" t="s">
        <v>20</v>
      </c>
      <c r="F4552" s="156" t="s">
        <v>234</v>
      </c>
      <c r="G4552" s="238">
        <f>MROUND(H4552*L4552*I4552/K4552,0.0000000001)</f>
        <v>3.9701479000000001E-3</v>
      </c>
      <c r="H4552" s="158">
        <f>H4072</f>
        <v>81</v>
      </c>
      <c r="I4552" s="159">
        <f t="shared" si="1155"/>
        <v>0.47073209999999999</v>
      </c>
      <c r="J4552" s="160"/>
      <c r="K4552" s="161">
        <f t="shared" si="1156"/>
        <v>9604</v>
      </c>
      <c r="L4552" s="250">
        <v>1</v>
      </c>
      <c r="M4552" s="163" t="str">
        <f t="shared" si="1153"/>
        <v>81 чел(заявленная потребность руководителями учреждений)*0,4707321/9604чел.</v>
      </c>
      <c r="N4552" s="164">
        <f t="shared" si="1151"/>
        <v>3648.448148148148</v>
      </c>
      <c r="O4552" s="165">
        <f t="shared" si="1154"/>
        <v>14.484878999999999</v>
      </c>
      <c r="P4552" s="166"/>
      <c r="Q4552" s="166">
        <f t="shared" si="1152"/>
        <v>139112.77791599999</v>
      </c>
      <c r="R4552" s="71"/>
    </row>
    <row r="4553" spans="1:18" s="61" customFormat="1" ht="110.25" x14ac:dyDescent="0.25">
      <c r="A4553" s="358"/>
      <c r="B4553" s="361"/>
      <c r="C4553" s="364"/>
      <c r="D4553" s="156" t="s">
        <v>235</v>
      </c>
      <c r="E4553" s="156" t="s">
        <v>50</v>
      </c>
      <c r="F4553" s="156" t="s">
        <v>230</v>
      </c>
      <c r="G4553" s="238">
        <f>MROUND(H4553*L4553*I4553/K4553,0.00000001)</f>
        <v>1.76451E-3</v>
      </c>
      <c r="H4553" s="158">
        <f>H4313</f>
        <v>36</v>
      </c>
      <c r="I4553" s="159">
        <f t="shared" si="1155"/>
        <v>0.47073209999999999</v>
      </c>
      <c r="J4553" s="160"/>
      <c r="K4553" s="161">
        <f t="shared" si="1156"/>
        <v>9604</v>
      </c>
      <c r="L4553" s="250">
        <v>1</v>
      </c>
      <c r="M4553" s="163" t="str">
        <f t="shared" si="1153"/>
        <v>36 отчетов*0,4707321/9604чел.</v>
      </c>
      <c r="N4553" s="164">
        <f t="shared" si="1151"/>
        <v>6840.8399999999974</v>
      </c>
      <c r="O4553" s="165">
        <f t="shared" si="1154"/>
        <v>12.070731</v>
      </c>
      <c r="P4553" s="166"/>
      <c r="Q4553" s="166">
        <f t="shared" si="1152"/>
        <v>115927.30052400001</v>
      </c>
      <c r="R4553" s="71"/>
    </row>
    <row r="4554" spans="1:18" s="61" customFormat="1" ht="63" x14ac:dyDescent="0.25">
      <c r="A4554" s="358"/>
      <c r="B4554" s="361"/>
      <c r="C4554" s="364"/>
      <c r="D4554" s="156" t="s">
        <v>42</v>
      </c>
      <c r="E4554" s="156" t="s">
        <v>51</v>
      </c>
      <c r="F4554" s="156" t="s">
        <v>407</v>
      </c>
      <c r="G4554" s="238">
        <f>MROUND(H4554*L4554*I4554/K4554,0.000001)</f>
        <v>9.9989999999999992E-3</v>
      </c>
      <c r="H4554" s="158">
        <f>H4074</f>
        <v>204</v>
      </c>
      <c r="I4554" s="159">
        <f t="shared" si="1155"/>
        <v>0.47073209999999999</v>
      </c>
      <c r="J4554" s="160"/>
      <c r="K4554" s="161">
        <f t="shared" si="1156"/>
        <v>9604</v>
      </c>
      <c r="L4554" s="250">
        <v>1</v>
      </c>
      <c r="M4554" s="163" t="str">
        <f t="shared" si="1153"/>
        <v>204 ед (заявленная потребность руководителями учреждений)*0,4707321/9604чел.</v>
      </c>
      <c r="N4554" s="164">
        <f t="shared" si="1151"/>
        <v>1140.1400000000001</v>
      </c>
      <c r="O4554" s="165">
        <f t="shared" si="1154"/>
        <v>11.400259999999999</v>
      </c>
      <c r="P4554" s="166"/>
      <c r="Q4554" s="166">
        <f t="shared" si="1152"/>
        <v>109488.09703999999</v>
      </c>
      <c r="R4554" s="71"/>
    </row>
    <row r="4555" spans="1:18" s="61" customFormat="1" ht="31.5" x14ac:dyDescent="0.25">
      <c r="A4555" s="358"/>
      <c r="B4555" s="361"/>
      <c r="C4555" s="364"/>
      <c r="D4555" s="156" t="s">
        <v>43</v>
      </c>
      <c r="E4555" s="156" t="s">
        <v>52</v>
      </c>
      <c r="F4555" s="156" t="s">
        <v>231</v>
      </c>
      <c r="G4555" s="238">
        <f>MROUND(H4555*L4555*I4555/K4555,0.000000001)</f>
        <v>1.7645100000000002E-3</v>
      </c>
      <c r="H4555" s="158">
        <f>H3475</f>
        <v>36</v>
      </c>
      <c r="I4555" s="159">
        <f t="shared" si="1155"/>
        <v>0.47073209999999999</v>
      </c>
      <c r="J4555" s="160"/>
      <c r="K4555" s="161">
        <f t="shared" si="1156"/>
        <v>9604</v>
      </c>
      <c r="L4555" s="250">
        <v>1</v>
      </c>
      <c r="M4555" s="163" t="str">
        <f t="shared" si="1153"/>
        <v>36 ЭЦП*0,4707321/9604чел.</v>
      </c>
      <c r="N4555" s="164">
        <f t="shared" si="1151"/>
        <v>8099.5499999999947</v>
      </c>
      <c r="O4555" s="165">
        <f t="shared" si="1154"/>
        <v>14.291736999999999</v>
      </c>
      <c r="P4555" s="166"/>
      <c r="Q4555" s="166">
        <f t="shared" si="1152"/>
        <v>137257.842148</v>
      </c>
      <c r="R4555" s="71"/>
    </row>
    <row r="4556" spans="1:18" s="61" customFormat="1" ht="47.25" x14ac:dyDescent="0.25">
      <c r="A4556" s="358"/>
      <c r="B4556" s="361"/>
      <c r="C4556" s="364"/>
      <c r="D4556" s="156" t="s">
        <v>44</v>
      </c>
      <c r="E4556" s="156" t="s">
        <v>85</v>
      </c>
      <c r="F4556" s="156" t="s">
        <v>232</v>
      </c>
      <c r="G4556" s="238">
        <f>MROUND(H4556*L4556*I4556/K4556,0.000001)</f>
        <v>5.9600999999999994E-2</v>
      </c>
      <c r="H4556" s="158">
        <f>H3476</f>
        <v>1216</v>
      </c>
      <c r="I4556" s="159">
        <f t="shared" si="1155"/>
        <v>0.47073209999999999</v>
      </c>
      <c r="J4556" s="160"/>
      <c r="K4556" s="161">
        <f t="shared" si="1156"/>
        <v>9604</v>
      </c>
      <c r="L4556" s="250">
        <v>1</v>
      </c>
      <c r="M4556" s="163" t="str">
        <f>CONCATENATE(H4556," ",F4556,"*",L4556,"мес.","*",I4556,"/",K4556,"чел.")</f>
        <v>1216 мед.осмотров в мес.*1мес.*0,4707321/9604чел.</v>
      </c>
      <c r="N4556" s="164">
        <f t="shared" si="1151"/>
        <v>59.287277960526318</v>
      </c>
      <c r="O4556" s="165">
        <f t="shared" si="1154"/>
        <v>3.5335809999999999</v>
      </c>
      <c r="P4556" s="166"/>
      <c r="Q4556" s="166">
        <f t="shared" si="1152"/>
        <v>33936.511923999999</v>
      </c>
      <c r="R4556" s="71"/>
    </row>
    <row r="4557" spans="1:18" s="61" customFormat="1" ht="63" x14ac:dyDescent="0.25">
      <c r="A4557" s="358"/>
      <c r="B4557" s="361"/>
      <c r="C4557" s="364"/>
      <c r="D4557" s="156" t="s">
        <v>45</v>
      </c>
      <c r="E4557" s="156" t="s">
        <v>53</v>
      </c>
      <c r="F4557" s="156" t="s">
        <v>233</v>
      </c>
      <c r="G4557" s="238">
        <f>MROUND(H4557*L4557*I4557/K4557,0.000000001)</f>
        <v>2.3526800000000002E-3</v>
      </c>
      <c r="H4557" s="158">
        <f>H4077</f>
        <v>4</v>
      </c>
      <c r="I4557" s="159">
        <f t="shared" si="1155"/>
        <v>0.47073209999999999</v>
      </c>
      <c r="J4557" s="160"/>
      <c r="K4557" s="161">
        <f t="shared" si="1156"/>
        <v>9604</v>
      </c>
      <c r="L4557" s="250">
        <v>12</v>
      </c>
      <c r="M4557" s="163" t="str">
        <f>CONCATENATE(H4557," ",F4557,"*",L4557,"мес.","*",I4557,"/",K4557,"чел.")</f>
        <v>4  машины, оборудованных системой ГЛОНАСС*12мес.*0,4707321/9604чел.</v>
      </c>
      <c r="N4557" s="164">
        <f t="shared" si="1151"/>
        <v>921.23312500000009</v>
      </c>
      <c r="O4557" s="165">
        <f t="shared" si="1154"/>
        <v>2.167367</v>
      </c>
      <c r="P4557" s="166"/>
      <c r="Q4557" s="166">
        <f t="shared" si="1152"/>
        <v>20815.392668</v>
      </c>
      <c r="R4557" s="71"/>
    </row>
    <row r="4558" spans="1:18" s="61" customFormat="1" ht="31.5" x14ac:dyDescent="0.25">
      <c r="A4558" s="358"/>
      <c r="B4558" s="361"/>
      <c r="C4558" s="364"/>
      <c r="D4558" s="156" t="s">
        <v>408</v>
      </c>
      <c r="E4558" s="156" t="s">
        <v>20</v>
      </c>
      <c r="F4558" s="156" t="s">
        <v>20</v>
      </c>
      <c r="G4558" s="238">
        <f>MROUND(H4558*L4558*I4558/K4558,0.000000001)</f>
        <v>8.3177048000000003E-2</v>
      </c>
      <c r="H4558" s="158">
        <f>H3478</f>
        <v>1697</v>
      </c>
      <c r="I4558" s="159">
        <f t="shared" si="1155"/>
        <v>0.47073209999999999</v>
      </c>
      <c r="J4558" s="160"/>
      <c r="K4558" s="161">
        <f t="shared" si="1156"/>
        <v>9604</v>
      </c>
      <c r="L4558" s="250">
        <v>1</v>
      </c>
      <c r="M4558" s="163" t="str">
        <f>CONCATENATE(H4558," ",F4558,"*",L4558," раз в год","*",I4558,"/",K4558,"чел.")</f>
        <v>1697 чел.*1 раз в год*0,4707321/9604чел.</v>
      </c>
      <c r="N4558" s="164">
        <f t="shared" si="1151"/>
        <v>570.06999999999994</v>
      </c>
      <c r="O4558" s="165">
        <f t="shared" si="1154"/>
        <v>47.416739999999997</v>
      </c>
      <c r="P4558" s="166"/>
      <c r="Q4558" s="166">
        <f t="shared" si="1152"/>
        <v>455390.37095999997</v>
      </c>
      <c r="R4558" s="71"/>
    </row>
    <row r="4559" spans="1:18" s="61" customFormat="1" x14ac:dyDescent="0.25">
      <c r="A4559" s="358"/>
      <c r="B4559" s="361"/>
      <c r="C4559" s="364"/>
      <c r="D4559" s="156" t="s">
        <v>373</v>
      </c>
      <c r="E4559" s="156" t="s">
        <v>28</v>
      </c>
      <c r="F4559" s="156" t="s">
        <v>28</v>
      </c>
      <c r="G4559" s="157">
        <f>MROUND(H4559*L4559*I4559/K4559,0.000000001)</f>
        <v>1.7645100000000002E-3</v>
      </c>
      <c r="H4559" s="158">
        <f>H3480</f>
        <v>36</v>
      </c>
      <c r="I4559" s="159">
        <f>I4557</f>
        <v>0.47073209999999999</v>
      </c>
      <c r="J4559" s="160"/>
      <c r="K4559" s="161">
        <f>K4557</f>
        <v>9604</v>
      </c>
      <c r="L4559" s="162">
        <v>1</v>
      </c>
      <c r="M4559" s="163" t="str">
        <f>CONCATENATE(H4559," ",F4559,"*",L4559,"мес.","*",I4559,"/",K4559,"чел.")</f>
        <v>36 шт*1мес.*0,4707321/9604чел.</v>
      </c>
      <c r="N4559" s="164">
        <f>N3480</f>
        <v>24000</v>
      </c>
      <c r="O4559" s="165">
        <f>MROUND(G4559*N4559,0.000000001)</f>
        <v>42.348240000000004</v>
      </c>
      <c r="P4559" s="166"/>
      <c r="Q4559" s="166">
        <f t="shared" si="1152"/>
        <v>406712.49696000002</v>
      </c>
      <c r="R4559" s="71"/>
    </row>
    <row r="4560" spans="1:18" s="61" customFormat="1" ht="31.5" x14ac:dyDescent="0.25">
      <c r="A4560" s="358"/>
      <c r="B4560" s="361"/>
      <c r="C4560" s="364"/>
      <c r="D4560" s="156" t="s">
        <v>106</v>
      </c>
      <c r="E4560" s="156" t="s">
        <v>107</v>
      </c>
      <c r="F4560" s="156"/>
      <c r="G4560" s="238">
        <f>MROUND(H4560*L4560*I4560/K4560,0.000000001)</f>
        <v>0</v>
      </c>
      <c r="H4560" s="158">
        <f>H3479</f>
        <v>0</v>
      </c>
      <c r="I4560" s="159">
        <f>I4557</f>
        <v>0.47073209999999999</v>
      </c>
      <c r="J4560" s="160"/>
      <c r="K4560" s="161">
        <f>K4557</f>
        <v>9604</v>
      </c>
      <c r="L4560" s="250">
        <f>L3479</f>
        <v>0</v>
      </c>
      <c r="M4560" s="163"/>
      <c r="N4560" s="164">
        <f>N3479</f>
        <v>6.0000000000000002E-5</v>
      </c>
      <c r="O4560" s="165">
        <f>MROUND(G4560*N4560,0.000000001)</f>
        <v>0</v>
      </c>
      <c r="P4560" s="166"/>
      <c r="Q4560" s="166">
        <f t="shared" si="1152"/>
        <v>0</v>
      </c>
      <c r="R4560" s="71"/>
    </row>
    <row r="4561" spans="1:18" s="62" customFormat="1" x14ac:dyDescent="0.25">
      <c r="A4561" s="358"/>
      <c r="B4561" s="361"/>
      <c r="C4561" s="245" t="s">
        <v>296</v>
      </c>
      <c r="D4561" s="240"/>
      <c r="E4561" s="240"/>
      <c r="F4561" s="240"/>
      <c r="G4561" s="227"/>
      <c r="H4561" s="241"/>
      <c r="I4561" s="206"/>
      <c r="J4561" s="228"/>
      <c r="K4561" s="207"/>
      <c r="L4561" s="257"/>
      <c r="M4561" s="209"/>
      <c r="N4561" s="210"/>
      <c r="O4561" s="198">
        <f>SUM(O4547:O4560)</f>
        <v>306.55119500000001</v>
      </c>
      <c r="P4561" s="267"/>
      <c r="Q4561" s="166"/>
      <c r="R4561" s="71"/>
    </row>
    <row r="4562" spans="1:18" s="61" customFormat="1" ht="31.5" x14ac:dyDescent="0.25">
      <c r="A4562" s="358"/>
      <c r="B4562" s="361"/>
      <c r="C4562" s="252" t="s">
        <v>237</v>
      </c>
      <c r="D4562" s="156" t="s">
        <v>41</v>
      </c>
      <c r="E4562" s="156" t="s">
        <v>61</v>
      </c>
      <c r="F4562" s="156" t="s">
        <v>227</v>
      </c>
      <c r="G4562" s="238">
        <f>MROUND(H4562*L4562*I4562/K4562,0.000000001)</f>
        <v>1.9605700000000002E-4</v>
      </c>
      <c r="H4562" s="158">
        <f>H3482</f>
        <v>4</v>
      </c>
      <c r="I4562" s="159">
        <f>I4560</f>
        <v>0.47073209999999999</v>
      </c>
      <c r="J4562" s="160"/>
      <c r="K4562" s="161">
        <f>K4560</f>
        <v>9604</v>
      </c>
      <c r="L4562" s="250">
        <v>1</v>
      </c>
      <c r="M4562" s="163" t="str">
        <f>CONCATENATE(H4562," ",F4562,"*",I4562,"/",K4562,"чел.")</f>
        <v>4 автобуса*0,4707321/9604чел.</v>
      </c>
      <c r="N4562" s="164">
        <f>N3482</f>
        <v>26907.305</v>
      </c>
      <c r="O4562" s="165">
        <f>MROUND(G4562*N4562,0.000001)</f>
        <v>5.2753649999999999</v>
      </c>
      <c r="P4562" s="166"/>
      <c r="Q4562" s="166">
        <f t="shared" ref="Q4562" si="1157">O4562*K4562</f>
        <v>50664.605459999999</v>
      </c>
      <c r="R4562" s="71"/>
    </row>
    <row r="4563" spans="1:18" s="62" customFormat="1" x14ac:dyDescent="0.25">
      <c r="A4563" s="358"/>
      <c r="B4563" s="361"/>
      <c r="C4563" s="245" t="s">
        <v>297</v>
      </c>
      <c r="D4563" s="240"/>
      <c r="E4563" s="240"/>
      <c r="F4563" s="240"/>
      <c r="G4563" s="227"/>
      <c r="H4563" s="241"/>
      <c r="I4563" s="206"/>
      <c r="J4563" s="228"/>
      <c r="K4563" s="207"/>
      <c r="L4563" s="257"/>
      <c r="M4563" s="209"/>
      <c r="N4563" s="210"/>
      <c r="O4563" s="198">
        <f>SUM(O4562)</f>
        <v>5.2753649999999999</v>
      </c>
      <c r="P4563" s="267"/>
      <c r="Q4563" s="166"/>
      <c r="R4563" s="71"/>
    </row>
    <row r="4564" spans="1:18" s="61" customFormat="1" ht="78.75" x14ac:dyDescent="0.25">
      <c r="A4564" s="358"/>
      <c r="B4564" s="361"/>
      <c r="C4564" s="221" t="s">
        <v>236</v>
      </c>
      <c r="D4564" s="156" t="s">
        <v>19</v>
      </c>
      <c r="E4564" s="181" t="s">
        <v>20</v>
      </c>
      <c r="F4564" s="181" t="s">
        <v>238</v>
      </c>
      <c r="G4564" s="238">
        <f>MROUND(H4564*L4564*I4564/K4564,0.000001)</f>
        <v>0</v>
      </c>
      <c r="H4564" s="158"/>
      <c r="I4564" s="159">
        <f>I4560</f>
        <v>0.47073209999999999</v>
      </c>
      <c r="J4564" s="160"/>
      <c r="K4564" s="161">
        <f>K4560</f>
        <v>9604</v>
      </c>
      <c r="L4564" s="250"/>
      <c r="M4564" s="163"/>
      <c r="N4564" s="164"/>
      <c r="O4564" s="165">
        <f>MROUND(G4564*N4564,0.000001)</f>
        <v>0</v>
      </c>
      <c r="P4564" s="166"/>
      <c r="Q4564" s="166">
        <f t="shared" ref="Q4564" si="1158">O4564*K4564</f>
        <v>0</v>
      </c>
      <c r="R4564" s="71"/>
    </row>
    <row r="4565" spans="1:18" s="62" customFormat="1" x14ac:dyDescent="0.25">
      <c r="A4565" s="358"/>
      <c r="B4565" s="361"/>
      <c r="C4565" s="245" t="s">
        <v>298</v>
      </c>
      <c r="D4565" s="240"/>
      <c r="E4565" s="253"/>
      <c r="F4565" s="253"/>
      <c r="G4565" s="227"/>
      <c r="H4565" s="241"/>
      <c r="I4565" s="206"/>
      <c r="J4565" s="228"/>
      <c r="K4565" s="207"/>
      <c r="L4565" s="257"/>
      <c r="M4565" s="209"/>
      <c r="N4565" s="210"/>
      <c r="O4565" s="198">
        <f>SUM(O4564)</f>
        <v>0</v>
      </c>
      <c r="P4565" s="267"/>
      <c r="Q4565" s="166"/>
      <c r="R4565" s="71"/>
    </row>
    <row r="4566" spans="1:18" s="61" customFormat="1" ht="30" x14ac:dyDescent="0.25">
      <c r="A4566" s="358"/>
      <c r="B4566" s="361"/>
      <c r="C4566" s="365" t="s">
        <v>81</v>
      </c>
      <c r="D4566" s="254" t="s">
        <v>410</v>
      </c>
      <c r="E4566" s="156" t="s">
        <v>28</v>
      </c>
      <c r="F4566" s="156" t="s">
        <v>28</v>
      </c>
      <c r="G4566" s="238">
        <f>MROUND(H4566*L4566*I4566/K4566,0.0000000001)</f>
        <v>0</v>
      </c>
      <c r="H4566" s="158"/>
      <c r="I4566" s="159">
        <f>I4560</f>
        <v>0.47073209999999999</v>
      </c>
      <c r="J4566" s="160"/>
      <c r="K4566" s="161">
        <f>K4560</f>
        <v>9604</v>
      </c>
      <c r="L4566" s="250">
        <v>1</v>
      </c>
      <c r="M4566" s="163"/>
      <c r="N4566" s="164"/>
      <c r="O4566" s="165">
        <f>MROUND(G4566*N4566,0.000001)</f>
        <v>0</v>
      </c>
      <c r="P4566" s="166"/>
      <c r="Q4566" s="166">
        <f t="shared" ref="Q4566:Q4589" si="1159">O4566*K4566</f>
        <v>0</v>
      </c>
      <c r="R4566" s="71"/>
    </row>
    <row r="4567" spans="1:18" s="61" customFormat="1" x14ac:dyDescent="0.25">
      <c r="A4567" s="358"/>
      <c r="B4567" s="361"/>
      <c r="C4567" s="366"/>
      <c r="D4567" s="254" t="s">
        <v>325</v>
      </c>
      <c r="E4567" s="156" t="s">
        <v>28</v>
      </c>
      <c r="F4567" s="156" t="s">
        <v>28</v>
      </c>
      <c r="G4567" s="157">
        <f>MROUND(H4567*L4567*I4567/K4567,0.0000000001)</f>
        <v>0</v>
      </c>
      <c r="H4567" s="158"/>
      <c r="I4567" s="159">
        <f>I4566</f>
        <v>0.47073209999999999</v>
      </c>
      <c r="J4567" s="160"/>
      <c r="K4567" s="161">
        <f>K4566</f>
        <v>9604</v>
      </c>
      <c r="L4567" s="250">
        <v>1</v>
      </c>
      <c r="M4567" s="163"/>
      <c r="N4567" s="164"/>
      <c r="O4567" s="165">
        <f>MROUND(G4567*N4567,0.000001)</f>
        <v>0</v>
      </c>
      <c r="P4567" s="166"/>
      <c r="Q4567" s="166">
        <f t="shared" si="1159"/>
        <v>0</v>
      </c>
      <c r="R4567" s="71"/>
    </row>
    <row r="4568" spans="1:18" s="61" customFormat="1" ht="30" x14ac:dyDescent="0.25">
      <c r="A4568" s="358"/>
      <c r="B4568" s="361"/>
      <c r="C4568" s="366"/>
      <c r="D4568" s="254" t="s">
        <v>411</v>
      </c>
      <c r="E4568" s="156" t="s">
        <v>28</v>
      </c>
      <c r="F4568" s="156" t="s">
        <v>28</v>
      </c>
      <c r="G4568" s="238">
        <f>MROUND(H4568*L4568*I4568/K4568,0.00000001)</f>
        <v>0</v>
      </c>
      <c r="H4568" s="158"/>
      <c r="I4568" s="159">
        <f>I4566</f>
        <v>0.47073209999999999</v>
      </c>
      <c r="J4568" s="160"/>
      <c r="K4568" s="161">
        <f>K4566</f>
        <v>9604</v>
      </c>
      <c r="L4568" s="250">
        <v>1</v>
      </c>
      <c r="M4568" s="163"/>
      <c r="N4568" s="164"/>
      <c r="O4568" s="165">
        <f t="shared" ref="O4568:O4589" si="1160">MROUND(G4568*N4568,0.000001)</f>
        <v>0</v>
      </c>
      <c r="P4568" s="166"/>
      <c r="Q4568" s="166">
        <f t="shared" si="1159"/>
        <v>0</v>
      </c>
      <c r="R4568" s="71"/>
    </row>
    <row r="4569" spans="1:18" s="61" customFormat="1" x14ac:dyDescent="0.25">
      <c r="A4569" s="358"/>
      <c r="B4569" s="361"/>
      <c r="C4569" s="366"/>
      <c r="D4569" s="255" t="s">
        <v>412</v>
      </c>
      <c r="E4569" s="156" t="s">
        <v>28</v>
      </c>
      <c r="F4569" s="156" t="s">
        <v>28</v>
      </c>
      <c r="G4569" s="238">
        <f>MROUND(H4569*L4569*I4569/K4569,0.00000001)</f>
        <v>0</v>
      </c>
      <c r="H4569" s="158"/>
      <c r="I4569" s="159">
        <f>I4568</f>
        <v>0.47073209999999999</v>
      </c>
      <c r="J4569" s="160"/>
      <c r="K4569" s="161">
        <f>K4568</f>
        <v>9604</v>
      </c>
      <c r="L4569" s="250">
        <v>1</v>
      </c>
      <c r="M4569" s="163"/>
      <c r="N4569" s="164"/>
      <c r="O4569" s="165">
        <f t="shared" si="1160"/>
        <v>0</v>
      </c>
      <c r="P4569" s="166"/>
      <c r="Q4569" s="166">
        <f t="shared" si="1159"/>
        <v>0</v>
      </c>
      <c r="R4569" s="71"/>
    </row>
    <row r="4570" spans="1:18" s="61" customFormat="1" ht="31.5" x14ac:dyDescent="0.25">
      <c r="A4570" s="358"/>
      <c r="B4570" s="361"/>
      <c r="C4570" s="366"/>
      <c r="D4570" s="255" t="s">
        <v>413</v>
      </c>
      <c r="E4570" s="156" t="s">
        <v>28</v>
      </c>
      <c r="F4570" s="156" t="s">
        <v>28</v>
      </c>
      <c r="G4570" s="238">
        <f>MROUND(H4570*L4570*I4570/K4570,0.0000000001)</f>
        <v>0</v>
      </c>
      <c r="H4570" s="158"/>
      <c r="I4570" s="159">
        <f>I4569</f>
        <v>0.47073209999999999</v>
      </c>
      <c r="J4570" s="160"/>
      <c r="K4570" s="161">
        <f>K4569</f>
        <v>9604</v>
      </c>
      <c r="L4570" s="250">
        <v>1</v>
      </c>
      <c r="M4570" s="163"/>
      <c r="N4570" s="164"/>
      <c r="O4570" s="165">
        <f t="shared" si="1160"/>
        <v>0</v>
      </c>
      <c r="P4570" s="166"/>
      <c r="Q4570" s="166">
        <f t="shared" si="1159"/>
        <v>0</v>
      </c>
      <c r="R4570" s="71"/>
    </row>
    <row r="4571" spans="1:18" s="61" customFormat="1" x14ac:dyDescent="0.25">
      <c r="A4571" s="358"/>
      <c r="B4571" s="361"/>
      <c r="C4571" s="366"/>
      <c r="D4571" s="254" t="s">
        <v>109</v>
      </c>
      <c r="E4571" s="156" t="s">
        <v>28</v>
      </c>
      <c r="F4571" s="156" t="s">
        <v>28</v>
      </c>
      <c r="G4571" s="238">
        <f>MROUND(H4571*L4571*I4571/K4571,0.0000000001)</f>
        <v>0</v>
      </c>
      <c r="H4571" s="158"/>
      <c r="I4571" s="159">
        <f>I4570</f>
        <v>0.47073209999999999</v>
      </c>
      <c r="J4571" s="160"/>
      <c r="K4571" s="161">
        <f>K4570</f>
        <v>9604</v>
      </c>
      <c r="L4571" s="250">
        <v>1</v>
      </c>
      <c r="M4571" s="163"/>
      <c r="N4571" s="164"/>
      <c r="O4571" s="165">
        <f t="shared" si="1160"/>
        <v>0</v>
      </c>
      <c r="P4571" s="166"/>
      <c r="Q4571" s="166">
        <f t="shared" si="1159"/>
        <v>0</v>
      </c>
      <c r="R4571" s="71"/>
    </row>
    <row r="4572" spans="1:18" s="61" customFormat="1" x14ac:dyDescent="0.25">
      <c r="A4572" s="358"/>
      <c r="B4572" s="361"/>
      <c r="C4572" s="366"/>
      <c r="D4572" s="254" t="s">
        <v>414</v>
      </c>
      <c r="E4572" s="156" t="s">
        <v>28</v>
      </c>
      <c r="F4572" s="156" t="s">
        <v>28</v>
      </c>
      <c r="G4572" s="238">
        <f>MROUND(H4572*L4572*I4572/K4572,0.0000000001)</f>
        <v>0</v>
      </c>
      <c r="H4572" s="158"/>
      <c r="I4572" s="159">
        <f>I4570</f>
        <v>0.47073209999999999</v>
      </c>
      <c r="J4572" s="160"/>
      <c r="K4572" s="161">
        <f>K4570</f>
        <v>9604</v>
      </c>
      <c r="L4572" s="250">
        <v>1</v>
      </c>
      <c r="M4572" s="163"/>
      <c r="N4572" s="164"/>
      <c r="O4572" s="165">
        <f t="shared" si="1160"/>
        <v>0</v>
      </c>
      <c r="P4572" s="166"/>
      <c r="Q4572" s="166">
        <f t="shared" si="1159"/>
        <v>0</v>
      </c>
      <c r="R4572" s="71"/>
    </row>
    <row r="4573" spans="1:18" s="61" customFormat="1" x14ac:dyDescent="0.25">
      <c r="A4573" s="358"/>
      <c r="B4573" s="361"/>
      <c r="C4573" s="366"/>
      <c r="D4573" s="254" t="s">
        <v>415</v>
      </c>
      <c r="E4573" s="156" t="s">
        <v>28</v>
      </c>
      <c r="F4573" s="156" t="s">
        <v>28</v>
      </c>
      <c r="G4573" s="238">
        <f>MROUND(H4573*L4573*I4573/K4573,0.00000001)</f>
        <v>0</v>
      </c>
      <c r="H4573" s="158"/>
      <c r="I4573" s="159">
        <f t="shared" ref="I4573:I4582" si="1161">I4571</f>
        <v>0.47073209999999999</v>
      </c>
      <c r="J4573" s="160"/>
      <c r="K4573" s="161">
        <f t="shared" ref="K4573:K4582" si="1162">K4571</f>
        <v>9604</v>
      </c>
      <c r="L4573" s="250">
        <v>1</v>
      </c>
      <c r="M4573" s="163"/>
      <c r="N4573" s="164"/>
      <c r="O4573" s="165">
        <f t="shared" si="1160"/>
        <v>0</v>
      </c>
      <c r="P4573" s="166"/>
      <c r="Q4573" s="166">
        <f t="shared" si="1159"/>
        <v>0</v>
      </c>
      <c r="R4573" s="71"/>
    </row>
    <row r="4574" spans="1:18" s="61" customFormat="1" x14ac:dyDescent="0.25">
      <c r="A4574" s="358"/>
      <c r="B4574" s="361"/>
      <c r="C4574" s="366"/>
      <c r="D4574" s="254" t="s">
        <v>416</v>
      </c>
      <c r="E4574" s="156" t="s">
        <v>28</v>
      </c>
      <c r="F4574" s="156" t="s">
        <v>28</v>
      </c>
      <c r="G4574" s="238">
        <f>MROUND(H4574*L4574*I4574/K4574,0.000000001)</f>
        <v>0</v>
      </c>
      <c r="H4574" s="246"/>
      <c r="I4574" s="159">
        <f t="shared" si="1161"/>
        <v>0.47073209999999999</v>
      </c>
      <c r="J4574" s="160"/>
      <c r="K4574" s="161">
        <f t="shared" si="1162"/>
        <v>9604</v>
      </c>
      <c r="L4574" s="250">
        <v>1</v>
      </c>
      <c r="M4574" s="163"/>
      <c r="N4574" s="164"/>
      <c r="O4574" s="165">
        <f t="shared" si="1160"/>
        <v>0</v>
      </c>
      <c r="P4574" s="166"/>
      <c r="Q4574" s="166">
        <f t="shared" si="1159"/>
        <v>0</v>
      </c>
      <c r="R4574" s="71"/>
    </row>
    <row r="4575" spans="1:18" s="61" customFormat="1" x14ac:dyDescent="0.25">
      <c r="A4575" s="358"/>
      <c r="B4575" s="361"/>
      <c r="C4575" s="366"/>
      <c r="D4575" s="254" t="s">
        <v>417</v>
      </c>
      <c r="E4575" s="156" t="s">
        <v>28</v>
      </c>
      <c r="F4575" s="156" t="s">
        <v>28</v>
      </c>
      <c r="G4575" s="238">
        <f>MROUND(H4575*L4575*I4575/K4575,0.00000001)</f>
        <v>0</v>
      </c>
      <c r="H4575" s="158"/>
      <c r="I4575" s="159">
        <f t="shared" si="1161"/>
        <v>0.47073209999999999</v>
      </c>
      <c r="J4575" s="160"/>
      <c r="K4575" s="161">
        <f t="shared" si="1162"/>
        <v>9604</v>
      </c>
      <c r="L4575" s="250">
        <v>1</v>
      </c>
      <c r="M4575" s="163"/>
      <c r="N4575" s="164"/>
      <c r="O4575" s="165">
        <f t="shared" si="1160"/>
        <v>0</v>
      </c>
      <c r="P4575" s="166"/>
      <c r="Q4575" s="166">
        <f t="shared" si="1159"/>
        <v>0</v>
      </c>
      <c r="R4575" s="71"/>
    </row>
    <row r="4576" spans="1:18" s="61" customFormat="1" ht="30" x14ac:dyDescent="0.25">
      <c r="A4576" s="358"/>
      <c r="B4576" s="361"/>
      <c r="C4576" s="366"/>
      <c r="D4576" s="254" t="s">
        <v>418</v>
      </c>
      <c r="E4576" s="156" t="s">
        <v>28</v>
      </c>
      <c r="F4576" s="156" t="s">
        <v>28</v>
      </c>
      <c r="G4576" s="238">
        <f>MROUND(H4576*L4576*I4576/K4576,0.00000001)</f>
        <v>0</v>
      </c>
      <c r="H4576" s="158"/>
      <c r="I4576" s="159">
        <f t="shared" si="1161"/>
        <v>0.47073209999999999</v>
      </c>
      <c r="J4576" s="160"/>
      <c r="K4576" s="161">
        <f t="shared" si="1162"/>
        <v>9604</v>
      </c>
      <c r="L4576" s="250">
        <v>1</v>
      </c>
      <c r="M4576" s="163"/>
      <c r="N4576" s="164"/>
      <c r="O4576" s="165">
        <f t="shared" si="1160"/>
        <v>0</v>
      </c>
      <c r="P4576" s="166"/>
      <c r="Q4576" s="166">
        <f t="shared" si="1159"/>
        <v>0</v>
      </c>
      <c r="R4576" s="71"/>
    </row>
    <row r="4577" spans="1:18" s="61" customFormat="1" x14ac:dyDescent="0.25">
      <c r="A4577" s="358"/>
      <c r="B4577" s="361"/>
      <c r="C4577" s="366"/>
      <c r="D4577" s="254" t="s">
        <v>324</v>
      </c>
      <c r="E4577" s="156" t="s">
        <v>28</v>
      </c>
      <c r="F4577" s="156" t="s">
        <v>28</v>
      </c>
      <c r="G4577" s="238">
        <f>MROUND(H4577*L4577*I4577/K4577,0.000000001)</f>
        <v>0</v>
      </c>
      <c r="H4577" s="158"/>
      <c r="I4577" s="159">
        <f t="shared" si="1161"/>
        <v>0.47073209999999999</v>
      </c>
      <c r="J4577" s="160"/>
      <c r="K4577" s="161">
        <f t="shared" si="1162"/>
        <v>9604</v>
      </c>
      <c r="L4577" s="250">
        <v>1</v>
      </c>
      <c r="M4577" s="163"/>
      <c r="N4577" s="164"/>
      <c r="O4577" s="165">
        <f t="shared" si="1160"/>
        <v>0</v>
      </c>
      <c r="P4577" s="166"/>
      <c r="Q4577" s="166">
        <f t="shared" si="1159"/>
        <v>0</v>
      </c>
      <c r="R4577" s="71"/>
    </row>
    <row r="4578" spans="1:18" s="61" customFormat="1" x14ac:dyDescent="0.25">
      <c r="A4578" s="358"/>
      <c r="B4578" s="361"/>
      <c r="C4578" s="366"/>
      <c r="D4578" s="254" t="s">
        <v>419</v>
      </c>
      <c r="E4578" s="156" t="s">
        <v>28</v>
      </c>
      <c r="F4578" s="156" t="s">
        <v>28</v>
      </c>
      <c r="G4578" s="238">
        <f>MROUND(H4578*L4578*I4578/K4578,0.000000001)</f>
        <v>0</v>
      </c>
      <c r="H4578" s="246"/>
      <c r="I4578" s="159">
        <f t="shared" si="1161"/>
        <v>0.47073209999999999</v>
      </c>
      <c r="J4578" s="160"/>
      <c r="K4578" s="161">
        <f t="shared" si="1162"/>
        <v>9604</v>
      </c>
      <c r="L4578" s="250">
        <v>1</v>
      </c>
      <c r="M4578" s="163"/>
      <c r="N4578" s="164"/>
      <c r="O4578" s="165">
        <f t="shared" si="1160"/>
        <v>0</v>
      </c>
      <c r="P4578" s="166"/>
      <c r="Q4578" s="166">
        <f t="shared" si="1159"/>
        <v>0</v>
      </c>
      <c r="R4578" s="71"/>
    </row>
    <row r="4579" spans="1:18" s="61" customFormat="1" x14ac:dyDescent="0.25">
      <c r="A4579" s="358"/>
      <c r="B4579" s="361"/>
      <c r="C4579" s="366"/>
      <c r="D4579" s="254" t="s">
        <v>420</v>
      </c>
      <c r="E4579" s="156" t="s">
        <v>28</v>
      </c>
      <c r="F4579" s="156" t="s">
        <v>28</v>
      </c>
      <c r="G4579" s="238">
        <f>MROUND(H4579*L4579*I4579/K4579,0.000000001)</f>
        <v>0</v>
      </c>
      <c r="H4579" s="158"/>
      <c r="I4579" s="159">
        <f t="shared" si="1161"/>
        <v>0.47073209999999999</v>
      </c>
      <c r="J4579" s="160"/>
      <c r="K4579" s="161">
        <f t="shared" si="1162"/>
        <v>9604</v>
      </c>
      <c r="L4579" s="250">
        <v>1</v>
      </c>
      <c r="M4579" s="163"/>
      <c r="N4579" s="164"/>
      <c r="O4579" s="165">
        <f t="shared" si="1160"/>
        <v>0</v>
      </c>
      <c r="P4579" s="166"/>
      <c r="Q4579" s="166">
        <f t="shared" si="1159"/>
        <v>0</v>
      </c>
      <c r="R4579" s="71"/>
    </row>
    <row r="4580" spans="1:18" s="61" customFormat="1" x14ac:dyDescent="0.25">
      <c r="A4580" s="358"/>
      <c r="B4580" s="361"/>
      <c r="C4580" s="366"/>
      <c r="D4580" s="254" t="s">
        <v>421</v>
      </c>
      <c r="E4580" s="156" t="s">
        <v>28</v>
      </c>
      <c r="F4580" s="156" t="s">
        <v>28</v>
      </c>
      <c r="G4580" s="238">
        <f>MROUND(H4580*L4580*I4580/K4580,0.00000001)</f>
        <v>0</v>
      </c>
      <c r="H4580" s="158"/>
      <c r="I4580" s="159">
        <f t="shared" si="1161"/>
        <v>0.47073209999999999</v>
      </c>
      <c r="J4580" s="160"/>
      <c r="K4580" s="161">
        <f t="shared" si="1162"/>
        <v>9604</v>
      </c>
      <c r="L4580" s="250">
        <v>1</v>
      </c>
      <c r="M4580" s="163"/>
      <c r="N4580" s="164"/>
      <c r="O4580" s="165">
        <f t="shared" si="1160"/>
        <v>0</v>
      </c>
      <c r="P4580" s="166"/>
      <c r="Q4580" s="166">
        <f t="shared" si="1159"/>
        <v>0</v>
      </c>
      <c r="R4580" s="71"/>
    </row>
    <row r="4581" spans="1:18" s="61" customFormat="1" ht="30" x14ac:dyDescent="0.25">
      <c r="A4581" s="358"/>
      <c r="B4581" s="361"/>
      <c r="C4581" s="366"/>
      <c r="D4581" s="254" t="s">
        <v>422</v>
      </c>
      <c r="E4581" s="156" t="s">
        <v>28</v>
      </c>
      <c r="F4581" s="156" t="s">
        <v>28</v>
      </c>
      <c r="G4581" s="266">
        <f>MROUND(H4581*L4581*I4581/K4581,0.00000001)</f>
        <v>0</v>
      </c>
      <c r="H4581" s="158"/>
      <c r="I4581" s="159">
        <f t="shared" si="1161"/>
        <v>0.47073209999999999</v>
      </c>
      <c r="J4581" s="160"/>
      <c r="K4581" s="161">
        <f t="shared" si="1162"/>
        <v>9604</v>
      </c>
      <c r="L4581" s="250">
        <v>1</v>
      </c>
      <c r="M4581" s="163"/>
      <c r="N4581" s="164"/>
      <c r="O4581" s="165">
        <f t="shared" si="1160"/>
        <v>0</v>
      </c>
      <c r="P4581" s="166"/>
      <c r="Q4581" s="166">
        <f t="shared" si="1159"/>
        <v>0</v>
      </c>
      <c r="R4581" s="71"/>
    </row>
    <row r="4582" spans="1:18" s="61" customFormat="1" x14ac:dyDescent="0.25">
      <c r="A4582" s="358"/>
      <c r="B4582" s="361"/>
      <c r="C4582" s="366"/>
      <c r="D4582" s="254" t="s">
        <v>423</v>
      </c>
      <c r="E4582" s="156" t="s">
        <v>28</v>
      </c>
      <c r="F4582" s="156" t="s">
        <v>28</v>
      </c>
      <c r="G4582" s="238">
        <f>MROUND(H4582*L4582*I4582/K4582,0.000000001)</f>
        <v>0</v>
      </c>
      <c r="H4582" s="158"/>
      <c r="I4582" s="159">
        <f t="shared" si="1161"/>
        <v>0.47073209999999999</v>
      </c>
      <c r="J4582" s="160"/>
      <c r="K4582" s="161">
        <f t="shared" si="1162"/>
        <v>9604</v>
      </c>
      <c r="L4582" s="250">
        <v>1</v>
      </c>
      <c r="M4582" s="163"/>
      <c r="N4582" s="164"/>
      <c r="O4582" s="165">
        <f t="shared" si="1160"/>
        <v>0</v>
      </c>
      <c r="P4582" s="166"/>
      <c r="Q4582" s="166">
        <f t="shared" si="1159"/>
        <v>0</v>
      </c>
      <c r="R4582" s="71"/>
    </row>
    <row r="4583" spans="1:18" s="61" customFormat="1" x14ac:dyDescent="0.25">
      <c r="A4583" s="358"/>
      <c r="B4583" s="361"/>
      <c r="C4583" s="366"/>
      <c r="D4583" s="254" t="s">
        <v>424</v>
      </c>
      <c r="E4583" s="156" t="s">
        <v>28</v>
      </c>
      <c r="F4583" s="156" t="s">
        <v>28</v>
      </c>
      <c r="G4583" s="238">
        <f t="shared" ref="G4583:G4589" si="1163">MROUND(H4583*L4583*I4583/K4583,0.00000001)</f>
        <v>0</v>
      </c>
      <c r="H4583" s="158"/>
      <c r="I4583" s="159">
        <f>I4572</f>
        <v>0.47073209999999999</v>
      </c>
      <c r="J4583" s="160"/>
      <c r="K4583" s="161">
        <f>K4572</f>
        <v>9604</v>
      </c>
      <c r="L4583" s="250">
        <v>1</v>
      </c>
      <c r="M4583" s="163"/>
      <c r="N4583" s="164"/>
      <c r="O4583" s="165">
        <f t="shared" si="1160"/>
        <v>0</v>
      </c>
      <c r="P4583" s="166"/>
      <c r="Q4583" s="166">
        <f t="shared" si="1159"/>
        <v>0</v>
      </c>
      <c r="R4583" s="71"/>
    </row>
    <row r="4584" spans="1:18" s="61" customFormat="1" x14ac:dyDescent="0.25">
      <c r="A4584" s="358"/>
      <c r="B4584" s="361"/>
      <c r="C4584" s="366"/>
      <c r="D4584" s="254" t="s">
        <v>425</v>
      </c>
      <c r="E4584" s="156" t="s">
        <v>28</v>
      </c>
      <c r="F4584" s="156" t="s">
        <v>28</v>
      </c>
      <c r="G4584" s="277">
        <f t="shared" si="1163"/>
        <v>0</v>
      </c>
      <c r="H4584" s="158"/>
      <c r="I4584" s="159">
        <f t="shared" ref="I4584:I4589" si="1164">I4583</f>
        <v>0.47073209999999999</v>
      </c>
      <c r="J4584" s="160"/>
      <c r="K4584" s="161">
        <f t="shared" ref="K4584:K4589" si="1165">K4583</f>
        <v>9604</v>
      </c>
      <c r="L4584" s="250">
        <v>1</v>
      </c>
      <c r="M4584" s="163"/>
      <c r="N4584" s="164"/>
      <c r="O4584" s="165">
        <f t="shared" si="1160"/>
        <v>0</v>
      </c>
      <c r="P4584" s="166"/>
      <c r="Q4584" s="166">
        <f t="shared" si="1159"/>
        <v>0</v>
      </c>
      <c r="R4584" s="71"/>
    </row>
    <row r="4585" spans="1:18" s="61" customFormat="1" x14ac:dyDescent="0.25">
      <c r="A4585" s="358"/>
      <c r="B4585" s="361"/>
      <c r="C4585" s="366"/>
      <c r="D4585" s="254" t="s">
        <v>108</v>
      </c>
      <c r="E4585" s="156" t="s">
        <v>28</v>
      </c>
      <c r="F4585" s="156" t="s">
        <v>28</v>
      </c>
      <c r="G4585" s="238">
        <f t="shared" si="1163"/>
        <v>0</v>
      </c>
      <c r="H4585" s="158"/>
      <c r="I4585" s="159">
        <f t="shared" si="1164"/>
        <v>0.47073209999999999</v>
      </c>
      <c r="J4585" s="160"/>
      <c r="K4585" s="161">
        <f t="shared" si="1165"/>
        <v>9604</v>
      </c>
      <c r="L4585" s="250">
        <v>1</v>
      </c>
      <c r="M4585" s="163"/>
      <c r="N4585" s="164"/>
      <c r="O4585" s="165">
        <f t="shared" si="1160"/>
        <v>0</v>
      </c>
      <c r="P4585" s="166"/>
      <c r="Q4585" s="166">
        <f t="shared" si="1159"/>
        <v>0</v>
      </c>
      <c r="R4585" s="71"/>
    </row>
    <row r="4586" spans="1:18" s="61" customFormat="1" x14ac:dyDescent="0.25">
      <c r="A4586" s="358"/>
      <c r="B4586" s="361"/>
      <c r="C4586" s="366"/>
      <c r="D4586" s="254" t="s">
        <v>426</v>
      </c>
      <c r="E4586" s="156" t="s">
        <v>28</v>
      </c>
      <c r="F4586" s="156" t="s">
        <v>28</v>
      </c>
      <c r="G4586" s="238">
        <f t="shared" si="1163"/>
        <v>0</v>
      </c>
      <c r="H4586" s="158"/>
      <c r="I4586" s="159">
        <f t="shared" si="1164"/>
        <v>0.47073209999999999</v>
      </c>
      <c r="J4586" s="160"/>
      <c r="K4586" s="161">
        <f t="shared" si="1165"/>
        <v>9604</v>
      </c>
      <c r="L4586" s="250">
        <v>1</v>
      </c>
      <c r="M4586" s="163"/>
      <c r="N4586" s="164"/>
      <c r="O4586" s="165">
        <f t="shared" si="1160"/>
        <v>0</v>
      </c>
      <c r="P4586" s="166"/>
      <c r="Q4586" s="166">
        <f t="shared" si="1159"/>
        <v>0</v>
      </c>
      <c r="R4586" s="71"/>
    </row>
    <row r="4587" spans="1:18" s="61" customFormat="1" x14ac:dyDescent="0.25">
      <c r="A4587" s="358"/>
      <c r="B4587" s="361"/>
      <c r="C4587" s="366"/>
      <c r="D4587" s="254" t="s">
        <v>427</v>
      </c>
      <c r="E4587" s="156" t="s">
        <v>28</v>
      </c>
      <c r="F4587" s="156" t="s">
        <v>28</v>
      </c>
      <c r="G4587" s="238">
        <f t="shared" si="1163"/>
        <v>0</v>
      </c>
      <c r="H4587" s="158"/>
      <c r="I4587" s="159">
        <f t="shared" si="1164"/>
        <v>0.47073209999999999</v>
      </c>
      <c r="J4587" s="160"/>
      <c r="K4587" s="161">
        <f t="shared" si="1165"/>
        <v>9604</v>
      </c>
      <c r="L4587" s="250">
        <v>1</v>
      </c>
      <c r="M4587" s="163"/>
      <c r="N4587" s="164"/>
      <c r="O4587" s="165">
        <f t="shared" si="1160"/>
        <v>0</v>
      </c>
      <c r="P4587" s="166"/>
      <c r="Q4587" s="166">
        <f t="shared" si="1159"/>
        <v>0</v>
      </c>
      <c r="R4587" s="71"/>
    </row>
    <row r="4588" spans="1:18" s="61" customFormat="1" x14ac:dyDescent="0.25">
      <c r="A4588" s="358"/>
      <c r="B4588" s="361"/>
      <c r="C4588" s="366"/>
      <c r="D4588" s="254" t="s">
        <v>428</v>
      </c>
      <c r="E4588" s="156" t="s">
        <v>28</v>
      </c>
      <c r="F4588" s="156" t="s">
        <v>28</v>
      </c>
      <c r="G4588" s="238">
        <f t="shared" si="1163"/>
        <v>0</v>
      </c>
      <c r="H4588" s="158"/>
      <c r="I4588" s="159">
        <f t="shared" si="1164"/>
        <v>0.47073209999999999</v>
      </c>
      <c r="J4588" s="160"/>
      <c r="K4588" s="161">
        <f t="shared" si="1165"/>
        <v>9604</v>
      </c>
      <c r="L4588" s="250">
        <v>1</v>
      </c>
      <c r="M4588" s="163"/>
      <c r="N4588" s="164"/>
      <c r="O4588" s="165">
        <f t="shared" si="1160"/>
        <v>0</v>
      </c>
      <c r="P4588" s="166"/>
      <c r="Q4588" s="166">
        <f t="shared" si="1159"/>
        <v>0</v>
      </c>
      <c r="R4588" s="71"/>
    </row>
    <row r="4589" spans="1:18" s="61" customFormat="1" x14ac:dyDescent="0.25">
      <c r="A4589" s="358"/>
      <c r="B4589" s="361"/>
      <c r="C4589" s="366"/>
      <c r="D4589" s="255" t="s">
        <v>429</v>
      </c>
      <c r="E4589" s="156" t="s">
        <v>28</v>
      </c>
      <c r="F4589" s="156" t="s">
        <v>28</v>
      </c>
      <c r="G4589" s="238">
        <f t="shared" si="1163"/>
        <v>0</v>
      </c>
      <c r="H4589" s="158"/>
      <c r="I4589" s="159">
        <f t="shared" si="1164"/>
        <v>0.47073209999999999</v>
      </c>
      <c r="J4589" s="160"/>
      <c r="K4589" s="161">
        <f t="shared" si="1165"/>
        <v>9604</v>
      </c>
      <c r="L4589" s="250">
        <v>1</v>
      </c>
      <c r="M4589" s="163"/>
      <c r="N4589" s="164"/>
      <c r="O4589" s="165">
        <f t="shared" si="1160"/>
        <v>0</v>
      </c>
      <c r="P4589" s="166"/>
      <c r="Q4589" s="166">
        <f t="shared" si="1159"/>
        <v>0</v>
      </c>
      <c r="R4589" s="71"/>
    </row>
    <row r="4590" spans="1:18" s="62" customFormat="1" x14ac:dyDescent="0.25">
      <c r="A4590" s="358"/>
      <c r="B4590" s="361"/>
      <c r="C4590" s="249" t="s">
        <v>299</v>
      </c>
      <c r="D4590" s="256"/>
      <c r="E4590" s="240"/>
      <c r="F4590" s="240"/>
      <c r="G4590" s="227"/>
      <c r="H4590" s="241"/>
      <c r="I4590" s="206"/>
      <c r="J4590" s="228"/>
      <c r="K4590" s="207"/>
      <c r="L4590" s="257"/>
      <c r="M4590" s="209"/>
      <c r="N4590" s="210"/>
      <c r="O4590" s="198">
        <f>SUM(O4566:O4589)</f>
        <v>0</v>
      </c>
      <c r="P4590" s="267"/>
      <c r="Q4590" s="166"/>
      <c r="R4590" s="71"/>
    </row>
    <row r="4591" spans="1:18" s="61" customFormat="1" ht="110.25" x14ac:dyDescent="0.25">
      <c r="A4591" s="358"/>
      <c r="B4591" s="361"/>
      <c r="C4591" s="221" t="s">
        <v>82</v>
      </c>
      <c r="D4591" s="156" t="s">
        <v>46</v>
      </c>
      <c r="E4591" s="156" t="s">
        <v>54</v>
      </c>
      <c r="F4591" s="156" t="s">
        <v>285</v>
      </c>
      <c r="G4591" s="238">
        <f>MROUND(H4591*L4591*I4591/K4591,0.000001)</f>
        <v>0.55435000000000001</v>
      </c>
      <c r="H4591" s="242">
        <f>H4111</f>
        <v>1028.181818181818</v>
      </c>
      <c r="I4591" s="159">
        <f>I4589</f>
        <v>0.47073209999999999</v>
      </c>
      <c r="J4591" s="160"/>
      <c r="K4591" s="161">
        <f>K4589</f>
        <v>9604</v>
      </c>
      <c r="L4591" s="225">
        <f>L4231</f>
        <v>11</v>
      </c>
      <c r="M4591" s="163" t="str">
        <f>CONCATENATE(H4591," ",F4591,"*",L4591,"автобуса","*",I4591,"/",K4591,"чел.")</f>
        <v>1028,18181818182 л бензина АИ 92 (12,5л/день(зимой)*20дней*7мес+10л/день(летом)*20дней*4мес)*11автобуса*0,4707321/9604чел.</v>
      </c>
      <c r="N4591" s="164">
        <f>N3511</f>
        <v>57.007000000000005</v>
      </c>
      <c r="O4591" s="165">
        <f>MROUND(G4591*N4591,0.000001)</f>
        <v>31.60183</v>
      </c>
      <c r="P4591" s="166"/>
      <c r="Q4591" s="166">
        <f t="shared" ref="Q4591" si="1166">O4591*K4591</f>
        <v>303503.97531999997</v>
      </c>
      <c r="R4591" s="71"/>
    </row>
    <row r="4592" spans="1:18" s="62" customFormat="1" x14ac:dyDescent="0.25">
      <c r="A4592" s="358"/>
      <c r="B4592" s="361"/>
      <c r="C4592" s="218" t="s">
        <v>300</v>
      </c>
      <c r="D4592" s="240"/>
      <c r="E4592" s="240"/>
      <c r="F4592" s="240"/>
      <c r="G4592" s="227"/>
      <c r="H4592" s="241"/>
      <c r="I4592" s="206"/>
      <c r="J4592" s="228"/>
      <c r="K4592" s="207"/>
      <c r="L4592" s="257"/>
      <c r="M4592" s="209"/>
      <c r="N4592" s="210"/>
      <c r="O4592" s="198">
        <f>SUM(O4591)</f>
        <v>31.60183</v>
      </c>
      <c r="P4592" s="267"/>
      <c r="Q4592" s="166"/>
      <c r="R4592" s="71"/>
    </row>
    <row r="4593" spans="1:18" s="61" customFormat="1" ht="47.25" x14ac:dyDescent="0.25">
      <c r="A4593" s="358"/>
      <c r="B4593" s="361"/>
      <c r="C4593" s="221" t="s">
        <v>434</v>
      </c>
      <c r="D4593" s="156" t="s">
        <v>436</v>
      </c>
      <c r="E4593" s="156" t="s">
        <v>28</v>
      </c>
      <c r="F4593" s="156" t="s">
        <v>437</v>
      </c>
      <c r="G4593" s="157">
        <f>MROUND(H4593*L4593*I4593/K4593,0.000001)</f>
        <v>1.4213999999999999E-2</v>
      </c>
      <c r="H4593" s="242">
        <f>$H$125</f>
        <v>290</v>
      </c>
      <c r="I4593" s="159">
        <f>I4591</f>
        <v>0.47073209999999999</v>
      </c>
      <c r="J4593" s="160"/>
      <c r="K4593" s="161">
        <f>K4591</f>
        <v>9604</v>
      </c>
      <c r="L4593" s="162">
        <v>1</v>
      </c>
      <c r="M4593" s="163" t="str">
        <f>CONCATENATE(H4593," ",F4593,"*",L4593,"автобуса","*",I4593,"/",K4593,"чел.")</f>
        <v>290 огнетушителей (потребность учреждений) *1автобуса*0,4707321/9604чел.</v>
      </c>
      <c r="N4593" s="164">
        <f>$N$125</f>
        <v>2000</v>
      </c>
      <c r="O4593" s="165">
        <f>MROUND(G4593*N4593,0.000001)</f>
        <v>28.427999999999997</v>
      </c>
      <c r="P4593" s="166"/>
      <c r="Q4593" s="166">
        <f t="shared" ref="Q4593" si="1167">O4593*K4593</f>
        <v>273022.51199999999</v>
      </c>
      <c r="R4593" s="71"/>
    </row>
    <row r="4594" spans="1:18" s="61" customFormat="1" x14ac:dyDescent="0.25">
      <c r="A4594" s="358"/>
      <c r="B4594" s="361"/>
      <c r="C4594" s="218" t="s">
        <v>435</v>
      </c>
      <c r="D4594" s="240"/>
      <c r="E4594" s="240"/>
      <c r="F4594" s="240"/>
      <c r="G4594" s="251"/>
      <c r="H4594" s="241"/>
      <c r="I4594" s="206"/>
      <c r="J4594" s="228"/>
      <c r="K4594" s="207"/>
      <c r="L4594" s="229"/>
      <c r="M4594" s="209"/>
      <c r="N4594" s="210"/>
      <c r="O4594" s="198">
        <f>SUM(O4593)</f>
        <v>28.427999999999997</v>
      </c>
      <c r="P4594" s="166"/>
      <c r="Q4594" s="166"/>
      <c r="R4594" s="71"/>
    </row>
    <row r="4595" spans="1:18" s="61" customFormat="1" ht="47.25" x14ac:dyDescent="0.25">
      <c r="A4595" s="358"/>
      <c r="B4595" s="361"/>
      <c r="C4595" s="364" t="s">
        <v>118</v>
      </c>
      <c r="D4595" s="156" t="s">
        <v>47</v>
      </c>
      <c r="E4595" s="156" t="s">
        <v>28</v>
      </c>
      <c r="F4595" s="156" t="s">
        <v>239</v>
      </c>
      <c r="G4595" s="238">
        <f>MROUND(H4595*L4595*I4595/K4595,0.00000001)</f>
        <v>7.0580399999999998E-3</v>
      </c>
      <c r="H4595" s="158">
        <f>H3515</f>
        <v>144</v>
      </c>
      <c r="I4595" s="159">
        <f>I4591</f>
        <v>0.47073209999999999</v>
      </c>
      <c r="J4595" s="160"/>
      <c r="K4595" s="161">
        <f>K4591</f>
        <v>9604</v>
      </c>
      <c r="L4595" s="250">
        <v>1</v>
      </c>
      <c r="M4595" s="163" t="str">
        <f>CONCATENATE(H4595," ",F4595,"*",I4595,"/",K4595,"чел.")</f>
        <v>144 манометров (потребность учреждений) *0,4707321/9604чел.</v>
      </c>
      <c r="N4595" s="164">
        <f>N3515</f>
        <v>720.50416666666672</v>
      </c>
      <c r="O4595" s="165">
        <f>MROUND(G4595*N4595,0.000001)</f>
        <v>5.0853469999999996</v>
      </c>
      <c r="P4595" s="166"/>
      <c r="Q4595" s="166">
        <f t="shared" ref="Q4595:Q4596" si="1168">O4595*K4595</f>
        <v>48839.672587999994</v>
      </c>
      <c r="R4595" s="71"/>
    </row>
    <row r="4596" spans="1:18" s="61" customFormat="1" ht="47.25" x14ac:dyDescent="0.25">
      <c r="A4596" s="358"/>
      <c r="B4596" s="361"/>
      <c r="C4596" s="364"/>
      <c r="D4596" s="255" t="s">
        <v>113</v>
      </c>
      <c r="E4596" s="156" t="s">
        <v>28</v>
      </c>
      <c r="F4596" s="156" t="s">
        <v>240</v>
      </c>
      <c r="G4596" s="238">
        <f>MROUND(H4596*L4596*I4596/K4596,0.00000001)</f>
        <v>0.28011598999999998</v>
      </c>
      <c r="H4596" s="158">
        <f>H3516</f>
        <v>5715</v>
      </c>
      <c r="I4596" s="159">
        <f>I4595</f>
        <v>0.47073209999999999</v>
      </c>
      <c r="J4596" s="160"/>
      <c r="K4596" s="161">
        <f>K4595</f>
        <v>9604</v>
      </c>
      <c r="L4596" s="250">
        <v>1</v>
      </c>
      <c r="M4596" s="163" t="str">
        <f>CONCATENATE(H4596," ",F4596,"*",I4596,"/",K4596,"чел.")</f>
        <v>5715 светильников (потребность учреждений)*0,4707321/9604чел.</v>
      </c>
      <c r="N4596" s="164">
        <f>N3516</f>
        <v>111.16365879265086</v>
      </c>
      <c r="O4596" s="165">
        <f>MROUND(G4596*N4596,0.000001)</f>
        <v>31.138717999999997</v>
      </c>
      <c r="P4596" s="166"/>
      <c r="Q4596" s="166">
        <f t="shared" si="1168"/>
        <v>299056.24767199997</v>
      </c>
      <c r="R4596" s="71"/>
    </row>
    <row r="4597" spans="1:18" s="62" customFormat="1" x14ac:dyDescent="0.25">
      <c r="A4597" s="359"/>
      <c r="B4597" s="362"/>
      <c r="C4597" s="218" t="s">
        <v>301</v>
      </c>
      <c r="D4597" s="256"/>
      <c r="E4597" s="240"/>
      <c r="F4597" s="240"/>
      <c r="G4597" s="227"/>
      <c r="H4597" s="241"/>
      <c r="I4597" s="206"/>
      <c r="J4597" s="228"/>
      <c r="K4597" s="207"/>
      <c r="L4597" s="257"/>
      <c r="M4597" s="209"/>
      <c r="N4597" s="210"/>
      <c r="O4597" s="198">
        <f>SUM(O4595:O4596)</f>
        <v>36.224064999999996</v>
      </c>
      <c r="P4597" s="267"/>
      <c r="Q4597" s="166"/>
      <c r="R4597" s="71"/>
    </row>
    <row r="4598" spans="1:18" s="61" customFormat="1" x14ac:dyDescent="0.25">
      <c r="A4598" s="357" t="str">
        <f>CONCATENATE(школы!$B$16,", ",школы!$C$16,", ",школы!$D$16)</f>
        <v>Реализация основных общеобразовательных программ основного общего образования, образовательная программа, обеспечивающая углубленное изучение отдельных учебных предметов, предметных областей (профильное обучение), дети-инвалиды</v>
      </c>
      <c r="B4598" s="360" t="str">
        <f>школы!$A$16</f>
        <v>802111О.99.0.БА96АО26001</v>
      </c>
      <c r="C4598" s="194"/>
      <c r="D4598" s="363" t="s">
        <v>15</v>
      </c>
      <c r="E4598" s="363"/>
      <c r="F4598" s="363"/>
      <c r="G4598" s="363"/>
      <c r="H4598" s="195"/>
      <c r="I4598" s="195"/>
      <c r="J4598" s="195"/>
      <c r="K4598" s="195"/>
      <c r="L4598" s="196"/>
      <c r="M4598" s="197"/>
      <c r="N4598" s="164"/>
      <c r="O4598" s="198">
        <f>O4599+O4604+O4606</f>
        <v>9362.0525904220012</v>
      </c>
      <c r="P4598" s="166"/>
      <c r="Q4598" s="166"/>
      <c r="R4598" s="71"/>
    </row>
    <row r="4599" spans="1:18" s="61" customFormat="1" x14ac:dyDescent="0.25">
      <c r="A4599" s="358"/>
      <c r="B4599" s="361"/>
      <c r="C4599" s="194"/>
      <c r="D4599" s="350" t="s">
        <v>62</v>
      </c>
      <c r="E4599" s="350"/>
      <c r="F4599" s="350"/>
      <c r="G4599" s="350"/>
      <c r="H4599" s="195"/>
      <c r="I4599" s="195"/>
      <c r="J4599" s="195"/>
      <c r="K4599" s="195"/>
      <c r="L4599" s="196"/>
      <c r="M4599" s="197"/>
      <c r="N4599" s="164"/>
      <c r="O4599" s="165">
        <f>O4601+O4603</f>
        <v>9362.0525904220012</v>
      </c>
      <c r="P4599" s="166"/>
      <c r="Q4599" s="166"/>
      <c r="R4599" s="71"/>
    </row>
    <row r="4600" spans="1:18" s="61" customFormat="1" x14ac:dyDescent="0.25">
      <c r="A4600" s="358"/>
      <c r="B4600" s="361"/>
      <c r="C4600" s="194">
        <v>211</v>
      </c>
      <c r="D4600" s="194" t="s">
        <v>86</v>
      </c>
      <c r="E4600" s="199" t="s">
        <v>95</v>
      </c>
      <c r="F4600" s="199" t="s">
        <v>95</v>
      </c>
      <c r="G4600" s="275">
        <f>MROUND(H4600*L4600*I4600/K4600,0.0000000001)</f>
        <v>0.55811302800000007</v>
      </c>
      <c r="H4600" s="201">
        <f>H3760</f>
        <v>921.8</v>
      </c>
      <c r="I4600" s="159">
        <f>школы!$K$16</f>
        <v>3.0273000000000002E-4</v>
      </c>
      <c r="J4600" s="159"/>
      <c r="K4600" s="161">
        <f>школы!$G$16</f>
        <v>6</v>
      </c>
      <c r="L4600" s="202">
        <v>12</v>
      </c>
      <c r="M4600" s="163" t="str">
        <f>CONCATENATE(H4600," ",F4600," ","в мес.","*",L4600,"мес.","*",I4600,"/",K4600,"чел.")</f>
        <v>921,8 шт.ед в мес.*12мес.*0,00030273/6чел.</v>
      </c>
      <c r="N4600" s="164">
        <f>N3760</f>
        <v>12883.620739314385</v>
      </c>
      <c r="O4600" s="165">
        <f>MROUND(G4600*N4600,0.000000001)</f>
        <v>7190.5165824220003</v>
      </c>
      <c r="P4600" s="166"/>
      <c r="Q4600" s="166">
        <f t="shared" ref="Q4600" si="1169">O4600*K4600</f>
        <v>43143.099494531998</v>
      </c>
      <c r="R4600" s="71"/>
    </row>
    <row r="4601" spans="1:18" s="62" customFormat="1" x14ac:dyDescent="0.25">
      <c r="A4601" s="358"/>
      <c r="B4601" s="361"/>
      <c r="C4601" s="203" t="s">
        <v>288</v>
      </c>
      <c r="D4601" s="203"/>
      <c r="E4601" s="204"/>
      <c r="F4601" s="204"/>
      <c r="G4601" s="205"/>
      <c r="H4601" s="206"/>
      <c r="I4601" s="206"/>
      <c r="J4601" s="206"/>
      <c r="K4601" s="207"/>
      <c r="L4601" s="208"/>
      <c r="M4601" s="209"/>
      <c r="N4601" s="210">
        <f>N4600</f>
        <v>12883.620739314385</v>
      </c>
      <c r="O4601" s="198">
        <f>O4600</f>
        <v>7190.5165824220003</v>
      </c>
      <c r="P4601" s="267"/>
      <c r="Q4601" s="166"/>
      <c r="R4601" s="71"/>
    </row>
    <row r="4602" spans="1:18" s="61" customFormat="1" x14ac:dyDescent="0.25">
      <c r="A4602" s="358"/>
      <c r="B4602" s="361"/>
      <c r="C4602" s="194">
        <v>213</v>
      </c>
      <c r="D4602" s="194" t="s">
        <v>87</v>
      </c>
      <c r="E4602" s="194" t="s">
        <v>88</v>
      </c>
      <c r="F4602" s="194"/>
      <c r="G4602" s="211">
        <v>30.2</v>
      </c>
      <c r="H4602" s="159"/>
      <c r="I4602" s="159"/>
      <c r="J4602" s="159"/>
      <c r="K4602" s="161">
        <f>K4600</f>
        <v>6</v>
      </c>
      <c r="L4602" s="202"/>
      <c r="M4602" s="212"/>
      <c r="N4602" s="164"/>
      <c r="O4602" s="165">
        <f>MROUND(O4600*0.302,0.000001)</f>
        <v>2171.536008</v>
      </c>
      <c r="P4602" s="166"/>
      <c r="Q4602" s="166">
        <f>O4602*K4602</f>
        <v>13029.216048</v>
      </c>
      <c r="R4602" s="71"/>
    </row>
    <row r="4603" spans="1:18" s="62" customFormat="1" x14ac:dyDescent="0.25">
      <c r="A4603" s="358"/>
      <c r="B4603" s="361"/>
      <c r="C4603" s="203" t="s">
        <v>289</v>
      </c>
      <c r="D4603" s="203"/>
      <c r="E4603" s="203"/>
      <c r="F4603" s="203"/>
      <c r="G4603" s="213"/>
      <c r="H4603" s="214"/>
      <c r="I4603" s="206"/>
      <c r="J4603" s="214"/>
      <c r="K4603" s="207"/>
      <c r="L4603" s="215"/>
      <c r="M4603" s="216"/>
      <c r="N4603" s="210"/>
      <c r="O4603" s="198">
        <f>O4602</f>
        <v>2171.536008</v>
      </c>
      <c r="P4603" s="267"/>
      <c r="Q4603" s="166"/>
      <c r="R4603" s="71"/>
    </row>
    <row r="4604" spans="1:18" s="61" customFormat="1" x14ac:dyDescent="0.25">
      <c r="A4604" s="358"/>
      <c r="B4604" s="361"/>
      <c r="C4604" s="194"/>
      <c r="D4604" s="356" t="s">
        <v>63</v>
      </c>
      <c r="E4604" s="356"/>
      <c r="F4604" s="356"/>
      <c r="G4604" s="356"/>
      <c r="H4604" s="195"/>
      <c r="I4604" s="159"/>
      <c r="J4604" s="195"/>
      <c r="K4604" s="161"/>
      <c r="L4604" s="196"/>
      <c r="M4604" s="197"/>
      <c r="N4604" s="164"/>
      <c r="O4604" s="165"/>
      <c r="P4604" s="166"/>
      <c r="Q4604" s="166"/>
      <c r="R4604" s="71"/>
    </row>
    <row r="4605" spans="1:18" s="61" customFormat="1" x14ac:dyDescent="0.25">
      <c r="A4605" s="358"/>
      <c r="B4605" s="361"/>
      <c r="C4605" s="194"/>
      <c r="D4605" s="194"/>
      <c r="E4605" s="194"/>
      <c r="F4605" s="194"/>
      <c r="G4605" s="217"/>
      <c r="H4605" s="195"/>
      <c r="I4605" s="159"/>
      <c r="J4605" s="195"/>
      <c r="K4605" s="161"/>
      <c r="L4605" s="196"/>
      <c r="M4605" s="197"/>
      <c r="N4605" s="164"/>
      <c r="O4605" s="165"/>
      <c r="P4605" s="166"/>
      <c r="Q4605" s="166"/>
      <c r="R4605" s="71"/>
    </row>
    <row r="4606" spans="1:18" s="61" customFormat="1" x14ac:dyDescent="0.25">
      <c r="A4606" s="358"/>
      <c r="B4606" s="361"/>
      <c r="C4606" s="194"/>
      <c r="D4606" s="350" t="s">
        <v>64</v>
      </c>
      <c r="E4606" s="350"/>
      <c r="F4606" s="350"/>
      <c r="G4606" s="350"/>
      <c r="H4606" s="195"/>
      <c r="I4606" s="159"/>
      <c r="J4606" s="195"/>
      <c r="K4606" s="161"/>
      <c r="L4606" s="196"/>
      <c r="M4606" s="197"/>
      <c r="N4606" s="164"/>
      <c r="O4606" s="165"/>
      <c r="P4606" s="166"/>
      <c r="Q4606" s="166"/>
      <c r="R4606" s="71"/>
    </row>
    <row r="4607" spans="1:18" s="61" customFormat="1" x14ac:dyDescent="0.25">
      <c r="A4607" s="358"/>
      <c r="B4607" s="361"/>
      <c r="C4607" s="194"/>
      <c r="D4607" s="194"/>
      <c r="E4607" s="194"/>
      <c r="F4607" s="194"/>
      <c r="G4607" s="217"/>
      <c r="H4607" s="195"/>
      <c r="I4607" s="159"/>
      <c r="J4607" s="195"/>
      <c r="K4607" s="161"/>
      <c r="L4607" s="196"/>
      <c r="M4607" s="197"/>
      <c r="N4607" s="164"/>
      <c r="O4607" s="165"/>
      <c r="P4607" s="166"/>
      <c r="Q4607" s="166"/>
      <c r="R4607" s="71"/>
    </row>
    <row r="4608" spans="1:18" s="61" customFormat="1" x14ac:dyDescent="0.25">
      <c r="A4608" s="358"/>
      <c r="B4608" s="361"/>
      <c r="C4608" s="194"/>
      <c r="D4608" s="355" t="s">
        <v>5</v>
      </c>
      <c r="E4608" s="355"/>
      <c r="F4608" s="355"/>
      <c r="G4608" s="355"/>
      <c r="H4608" s="195"/>
      <c r="I4608" s="159"/>
      <c r="J4608" s="195"/>
      <c r="K4608" s="161"/>
      <c r="L4608" s="196"/>
      <c r="M4608" s="197"/>
      <c r="N4608" s="164"/>
      <c r="O4608" s="198">
        <f>O4609+O4619+O4630+O4632+O4634+O4636+O4638</f>
        <v>19877.204940299998</v>
      </c>
      <c r="P4608" s="166"/>
      <c r="Q4608" s="166"/>
      <c r="R4608" s="71"/>
    </row>
    <row r="4609" spans="1:18" s="61" customFormat="1" x14ac:dyDescent="0.25">
      <c r="A4609" s="358"/>
      <c r="B4609" s="361"/>
      <c r="C4609" s="218" t="s">
        <v>70</v>
      </c>
      <c r="D4609" s="355" t="s">
        <v>6</v>
      </c>
      <c r="E4609" s="355"/>
      <c r="F4609" s="355"/>
      <c r="G4609" s="355"/>
      <c r="H4609" s="189"/>
      <c r="I4609" s="159"/>
      <c r="J4609" s="189"/>
      <c r="K4609" s="161"/>
      <c r="L4609" s="190"/>
      <c r="M4609" s="197"/>
      <c r="N4609" s="210"/>
      <c r="O4609" s="198">
        <f>O4618</f>
        <v>9130.2383275799984</v>
      </c>
      <c r="P4609" s="166"/>
      <c r="Q4609" s="166"/>
      <c r="R4609" s="71"/>
    </row>
    <row r="4610" spans="1:18" s="61" customFormat="1" ht="31.5" x14ac:dyDescent="0.25">
      <c r="A4610" s="358"/>
      <c r="B4610" s="361"/>
      <c r="C4610" s="221" t="s">
        <v>72</v>
      </c>
      <c r="D4610" s="222" t="s">
        <v>7</v>
      </c>
      <c r="E4610" s="223" t="s">
        <v>8</v>
      </c>
      <c r="F4610" s="223" t="s">
        <v>8</v>
      </c>
      <c r="G4610" s="238">
        <f>MROUND(H4610*L4610*I4610/K4610,0.00000000001)</f>
        <v>167.16354157065999</v>
      </c>
      <c r="H4610" s="160">
        <f>H3890</f>
        <v>3313121.4264326878</v>
      </c>
      <c r="I4610" s="159">
        <f>I4600</f>
        <v>3.0273000000000002E-4</v>
      </c>
      <c r="J4610" s="160"/>
      <c r="K4610" s="161">
        <f>K4600</f>
        <v>6</v>
      </c>
      <c r="L4610" s="250">
        <v>1</v>
      </c>
      <c r="M4610" s="163" t="str">
        <f t="shared" ref="M4610:M4615" si="1170">CONCATENATE(H4610," ",F4610,"(лимиты выделенные УЖКХ) ","*",I4610,"/",K4610,"чел.")</f>
        <v>3313121,42643269 кВт час.(лимиты выделенные УЖКХ) *0,00030273/6чел.</v>
      </c>
      <c r="N4610" s="164">
        <f>N3890</f>
        <v>10.897694685122204</v>
      </c>
      <c r="O4610" s="165">
        <f t="shared" ref="O4610:O4613" si="1171">MROUND(G4610*N4610,0.000001)</f>
        <v>1821.6972389999999</v>
      </c>
      <c r="P4610" s="166"/>
      <c r="Q4610" s="166">
        <f t="shared" ref="Q4610:Q4617" si="1172">O4610*K4610</f>
        <v>10930.183433999999</v>
      </c>
      <c r="R4610" s="71"/>
    </row>
    <row r="4611" spans="1:18" s="61" customFormat="1" ht="31.5" x14ac:dyDescent="0.25">
      <c r="A4611" s="358"/>
      <c r="B4611" s="361"/>
      <c r="C4611" s="221" t="s">
        <v>73</v>
      </c>
      <c r="D4611" s="222" t="s">
        <v>9</v>
      </c>
      <c r="E4611" s="223" t="s">
        <v>10</v>
      </c>
      <c r="F4611" s="223" t="s">
        <v>10</v>
      </c>
      <c r="G4611" s="238">
        <f>MROUND(H4611*L4611*I4611/K4611,0.00000000001)</f>
        <v>1.6093828124499998</v>
      </c>
      <c r="H4611" s="160">
        <f>H3531</f>
        <v>31897.39</v>
      </c>
      <c r="I4611" s="159">
        <f t="shared" ref="I4611:I4663" si="1173">I4610</f>
        <v>3.0273000000000002E-4</v>
      </c>
      <c r="J4611" s="160"/>
      <c r="K4611" s="161">
        <f t="shared" ref="K4611:K4617" si="1174">K4610</f>
        <v>6</v>
      </c>
      <c r="L4611" s="250">
        <v>1</v>
      </c>
      <c r="M4611" s="163" t="str">
        <f t="shared" si="1170"/>
        <v>31897,39 Гкал(лимиты выделенные УЖКХ) *0,00030273/6чел.</v>
      </c>
      <c r="N4611" s="164">
        <f>N3531</f>
        <v>2976.2517908205036</v>
      </c>
      <c r="O4611" s="165">
        <f t="shared" si="1171"/>
        <v>4789.9284779999998</v>
      </c>
      <c r="P4611" s="166"/>
      <c r="Q4611" s="166">
        <f t="shared" si="1172"/>
        <v>28739.570867999999</v>
      </c>
      <c r="R4611" s="71"/>
    </row>
    <row r="4612" spans="1:18" s="61" customFormat="1" ht="31.5" x14ac:dyDescent="0.25">
      <c r="A4612" s="358"/>
      <c r="B4612" s="361"/>
      <c r="C4612" s="364" t="s">
        <v>74</v>
      </c>
      <c r="D4612" s="222" t="s">
        <v>12</v>
      </c>
      <c r="E4612" s="222" t="s">
        <v>11</v>
      </c>
      <c r="F4612" s="222" t="s">
        <v>11</v>
      </c>
      <c r="G4612" s="238">
        <f>MROUND(H4612*L4612*I4612/K4612,0.00000000001)</f>
        <v>9.3203084523499999</v>
      </c>
      <c r="H4612" s="224">
        <f>H3412</f>
        <v>184725.17</v>
      </c>
      <c r="I4612" s="159">
        <f t="shared" si="1173"/>
        <v>3.0273000000000002E-4</v>
      </c>
      <c r="J4612" s="160"/>
      <c r="K4612" s="161">
        <f t="shared" si="1174"/>
        <v>6</v>
      </c>
      <c r="L4612" s="250">
        <v>1</v>
      </c>
      <c r="M4612" s="163" t="str">
        <f t="shared" si="1170"/>
        <v>184725,17 м3(лимиты выделенные УЖКХ) *0,00030273/6чел.</v>
      </c>
      <c r="N4612" s="164">
        <f>N3412</f>
        <v>54.214180016724306</v>
      </c>
      <c r="O4612" s="165">
        <f t="shared" si="1171"/>
        <v>505.29287999999997</v>
      </c>
      <c r="P4612" s="166"/>
      <c r="Q4612" s="166">
        <f t="shared" si="1172"/>
        <v>3031.7572799999998</v>
      </c>
      <c r="R4612" s="71"/>
    </row>
    <row r="4613" spans="1:18" s="61" customFormat="1" ht="47.25" x14ac:dyDescent="0.25">
      <c r="A4613" s="358"/>
      <c r="B4613" s="361"/>
      <c r="C4613" s="364"/>
      <c r="D4613" s="222" t="s">
        <v>17</v>
      </c>
      <c r="E4613" s="222" t="s">
        <v>11</v>
      </c>
      <c r="F4613" s="222" t="s">
        <v>11</v>
      </c>
      <c r="G4613" s="238">
        <f>MROUND(H4613*L4613*I4613/K4613,0.00000000001)</f>
        <v>9.3203084523499999</v>
      </c>
      <c r="H4613" s="160">
        <f>H3533</f>
        <v>184725.17</v>
      </c>
      <c r="I4613" s="159">
        <f t="shared" si="1173"/>
        <v>3.0273000000000002E-4</v>
      </c>
      <c r="J4613" s="160"/>
      <c r="K4613" s="161">
        <f t="shared" si="1174"/>
        <v>6</v>
      </c>
      <c r="L4613" s="162">
        <f>$L$25</f>
        <v>1</v>
      </c>
      <c r="M4613" s="163" t="str">
        <f t="shared" si="1170"/>
        <v>184725,17 м3(лимиты выделенные УЖКХ) *0,00030273/6чел.</v>
      </c>
      <c r="N4613" s="164">
        <f>N3413</f>
        <v>82.384170780821918</v>
      </c>
      <c r="O4613" s="165">
        <f t="shared" si="1171"/>
        <v>767.84588299999996</v>
      </c>
      <c r="P4613" s="166"/>
      <c r="Q4613" s="166">
        <f t="shared" si="1172"/>
        <v>4607.0752979999997</v>
      </c>
      <c r="R4613" s="71"/>
    </row>
    <row r="4614" spans="1:18" s="61" customFormat="1" ht="31.5" x14ac:dyDescent="0.25">
      <c r="A4614" s="358"/>
      <c r="B4614" s="361"/>
      <c r="C4614" s="364"/>
      <c r="D4614" s="222" t="s">
        <v>13</v>
      </c>
      <c r="E4614" s="222" t="s">
        <v>11</v>
      </c>
      <c r="F4614" s="222" t="s">
        <v>11</v>
      </c>
      <c r="G4614" s="238">
        <f>MROUND(H4614*L4614*I4614/K4614,0.00000000001)</f>
        <v>9.3203084523499999</v>
      </c>
      <c r="H4614" s="160">
        <f>H3414</f>
        <v>184725.17</v>
      </c>
      <c r="I4614" s="159">
        <f t="shared" si="1173"/>
        <v>3.0273000000000002E-4</v>
      </c>
      <c r="J4614" s="160"/>
      <c r="K4614" s="161">
        <f t="shared" si="1174"/>
        <v>6</v>
      </c>
      <c r="L4614" s="162">
        <v>1</v>
      </c>
      <c r="M4614" s="163" t="str">
        <f t="shared" si="1170"/>
        <v>184725,17 м3(лимиты выделенные УЖКХ) *0,00030273/6чел.</v>
      </c>
      <c r="N4614" s="164">
        <f>N3414</f>
        <v>112.36110334722464</v>
      </c>
      <c r="O4614" s="165">
        <f>MROUND(G4614*N4614,0.00000001)</f>
        <v>1047.24014124</v>
      </c>
      <c r="P4614" s="166"/>
      <c r="Q4614" s="166">
        <f t="shared" si="1172"/>
        <v>6283.4408474399997</v>
      </c>
      <c r="R4614" s="71"/>
    </row>
    <row r="4615" spans="1:18" s="61" customFormat="1" ht="31.5" x14ac:dyDescent="0.25">
      <c r="A4615" s="358"/>
      <c r="B4615" s="361"/>
      <c r="C4615" s="221" t="s">
        <v>75</v>
      </c>
      <c r="D4615" s="222" t="s">
        <v>18</v>
      </c>
      <c r="E4615" s="222" t="s">
        <v>48</v>
      </c>
      <c r="F4615" s="222" t="s">
        <v>48</v>
      </c>
      <c r="G4615" s="238">
        <f>MROUND(H4615*L4615*I4615/K4615,0.0000000001)</f>
        <v>0.70069885799999998</v>
      </c>
      <c r="H4615" s="160">
        <f>H3415</f>
        <v>13887.6</v>
      </c>
      <c r="I4615" s="159">
        <f t="shared" si="1173"/>
        <v>3.0273000000000002E-4</v>
      </c>
      <c r="J4615" s="160"/>
      <c r="K4615" s="161">
        <f t="shared" si="1174"/>
        <v>6</v>
      </c>
      <c r="L4615" s="250">
        <v>1</v>
      </c>
      <c r="M4615" s="163" t="str">
        <f t="shared" si="1170"/>
        <v>13887,6 тыс. м3(лимиты выделенные УЖКХ) *0,00030273/6чел.</v>
      </c>
      <c r="N4615" s="164">
        <f>N3415</f>
        <v>30.576235634666901</v>
      </c>
      <c r="O4615" s="165">
        <f t="shared" ref="O4615" si="1175">MROUND(G4615*N4615,0.000001)</f>
        <v>21.424733</v>
      </c>
      <c r="P4615" s="166"/>
      <c r="Q4615" s="166">
        <f t="shared" si="1172"/>
        <v>128.54839799999999</v>
      </c>
      <c r="R4615" s="71"/>
    </row>
    <row r="4616" spans="1:18" s="61" customFormat="1" x14ac:dyDescent="0.25">
      <c r="A4616" s="358"/>
      <c r="B4616" s="361"/>
      <c r="C4616" s="364" t="s">
        <v>216</v>
      </c>
      <c r="D4616" s="222" t="s">
        <v>23</v>
      </c>
      <c r="E4616" s="222" t="s">
        <v>11</v>
      </c>
      <c r="F4616" s="222" t="s">
        <v>11</v>
      </c>
      <c r="G4616" s="238">
        <f>MROUND(H4616*L4616*I4616/K4616,0.000000000001)</f>
        <v>0.1699647312</v>
      </c>
      <c r="H4616" s="160">
        <f>H3416</f>
        <v>3368.6400000000003</v>
      </c>
      <c r="I4616" s="159">
        <f t="shared" si="1173"/>
        <v>3.0273000000000002E-4</v>
      </c>
      <c r="J4616" s="160"/>
      <c r="K4616" s="161">
        <f t="shared" si="1174"/>
        <v>6</v>
      </c>
      <c r="L4616" s="162">
        <f>L4615</f>
        <v>1</v>
      </c>
      <c r="M4616" s="163" t="str">
        <f>CONCATENATE(H4616," ",F4616," ","*",I4616,"/",K4616,"чел.")</f>
        <v>3368,64 м3 *0,00030273/6чел.</v>
      </c>
      <c r="N4616" s="164">
        <f>N3416</f>
        <v>776.35552626579261</v>
      </c>
      <c r="O4616" s="165">
        <f>MROUND(G4616*N4616,0.00000001)</f>
        <v>131.95305834000001</v>
      </c>
      <c r="P4616" s="166"/>
      <c r="Q4616" s="166">
        <f t="shared" si="1172"/>
        <v>791.71835004000013</v>
      </c>
      <c r="R4616" s="71"/>
    </row>
    <row r="4617" spans="1:18" s="61" customFormat="1" ht="47.25" x14ac:dyDescent="0.25">
      <c r="A4617" s="358"/>
      <c r="B4617" s="361"/>
      <c r="C4617" s="364"/>
      <c r="D4617" s="222" t="s">
        <v>24</v>
      </c>
      <c r="E4617" s="222" t="s">
        <v>25</v>
      </c>
      <c r="F4617" s="222" t="s">
        <v>217</v>
      </c>
      <c r="G4617" s="238">
        <f>MROUND(H4617*L4617*I4617/K4617,0.000000000001)</f>
        <v>7.4168849999999998E-3</v>
      </c>
      <c r="H4617" s="160">
        <f>H3897</f>
        <v>147</v>
      </c>
      <c r="I4617" s="159">
        <f t="shared" si="1173"/>
        <v>3.0273000000000002E-4</v>
      </c>
      <c r="J4617" s="160"/>
      <c r="K4617" s="161">
        <f t="shared" si="1174"/>
        <v>6</v>
      </c>
      <c r="L4617" s="250">
        <f>L4616</f>
        <v>1</v>
      </c>
      <c r="M4617" s="163" t="str">
        <f>CONCATENATE(H4617," ",F4617,"(потребность из расчета 4 контейнера для уборки территории весной и осенью на 1 учреждение)","*",I4617,"/",K4617,"чел.")</f>
        <v>147 контейнера(потребность из расчета 4 контейнера для уборки территории весной и осенью на 1 учреждение)*0,00030273/6чел.</v>
      </c>
      <c r="N4617" s="164">
        <f>N3897</f>
        <v>6047.8105442176911</v>
      </c>
      <c r="O4617" s="165">
        <f t="shared" ref="O4617" si="1176">MROUND(G4617*N4617,0.000001)</f>
        <v>44.855914999999996</v>
      </c>
      <c r="P4617" s="166"/>
      <c r="Q4617" s="166">
        <f t="shared" si="1172"/>
        <v>269.13549</v>
      </c>
      <c r="R4617" s="71"/>
    </row>
    <row r="4618" spans="1:18" s="62" customFormat="1" x14ac:dyDescent="0.25">
      <c r="A4618" s="358"/>
      <c r="B4618" s="361"/>
      <c r="C4618" s="218" t="s">
        <v>290</v>
      </c>
      <c r="D4618" s="226"/>
      <c r="E4618" s="226"/>
      <c r="F4618" s="226"/>
      <c r="G4618" s="227"/>
      <c r="H4618" s="228"/>
      <c r="I4618" s="206"/>
      <c r="J4618" s="228"/>
      <c r="K4618" s="207"/>
      <c r="L4618" s="257"/>
      <c r="M4618" s="209"/>
      <c r="N4618" s="210"/>
      <c r="O4618" s="198">
        <f>SUM(O4610:O4617)</f>
        <v>9130.2383275799984</v>
      </c>
      <c r="P4618" s="267"/>
      <c r="Q4618" s="166"/>
      <c r="R4618" s="71"/>
    </row>
    <row r="4619" spans="1:18" s="61" customFormat="1" x14ac:dyDescent="0.25">
      <c r="A4619" s="358"/>
      <c r="B4619" s="361"/>
      <c r="C4619" s="221"/>
      <c r="D4619" s="356" t="s">
        <v>14</v>
      </c>
      <c r="E4619" s="356"/>
      <c r="F4619" s="356"/>
      <c r="G4619" s="356"/>
      <c r="H4619" s="188"/>
      <c r="I4619" s="159"/>
      <c r="J4619" s="188"/>
      <c r="K4619" s="161"/>
      <c r="L4619" s="250"/>
      <c r="M4619" s="230"/>
      <c r="N4619" s="164"/>
      <c r="O4619" s="198">
        <f>O4627+O4628+O4623</f>
        <v>9552.9609982999991</v>
      </c>
      <c r="P4619" s="166"/>
      <c r="Q4619" s="166"/>
      <c r="R4619" s="71"/>
    </row>
    <row r="4620" spans="1:18" s="61" customFormat="1" x14ac:dyDescent="0.25">
      <c r="A4620" s="358"/>
      <c r="B4620" s="361"/>
      <c r="C4620" s="221" t="s">
        <v>379</v>
      </c>
      <c r="D4620" s="231" t="s">
        <v>49</v>
      </c>
      <c r="E4620" s="231" t="s">
        <v>22</v>
      </c>
      <c r="F4620" s="231" t="s">
        <v>22</v>
      </c>
      <c r="G4620" s="238">
        <f>MROUND(H4620*L4620*I4620/K4620,0.000000001)</f>
        <v>0</v>
      </c>
      <c r="H4620" s="160"/>
      <c r="I4620" s="159">
        <f>I4615</f>
        <v>3.0273000000000002E-4</v>
      </c>
      <c r="J4620" s="160"/>
      <c r="K4620" s="161">
        <f>K4615</f>
        <v>6</v>
      </c>
      <c r="L4620" s="250"/>
      <c r="M4620" s="163"/>
      <c r="N4620" s="164"/>
      <c r="O4620" s="165">
        <f>MROUND(G4620*N4620,0.00000001)</f>
        <v>0</v>
      </c>
      <c r="P4620" s="166"/>
      <c r="Q4620" s="166">
        <f t="shared" ref="Q4620:Q4622" si="1177">O4620*K4620</f>
        <v>0</v>
      </c>
      <c r="R4620" s="71"/>
    </row>
    <row r="4621" spans="1:18" s="61" customFormat="1" x14ac:dyDescent="0.25">
      <c r="A4621" s="358"/>
      <c r="B4621" s="361"/>
      <c r="C4621" s="221" t="s">
        <v>379</v>
      </c>
      <c r="D4621" s="231" t="s">
        <v>49</v>
      </c>
      <c r="E4621" s="231" t="s">
        <v>28</v>
      </c>
      <c r="F4621" s="231" t="s">
        <v>28</v>
      </c>
      <c r="G4621" s="238">
        <f>MROUND(H4621*L4621*I4621/K4621,0.000000000000001)</f>
        <v>0</v>
      </c>
      <c r="H4621" s="160"/>
      <c r="I4621" s="159">
        <f t="shared" si="1173"/>
        <v>3.0273000000000002E-4</v>
      </c>
      <c r="J4621" s="160"/>
      <c r="K4621" s="161">
        <f>K4620</f>
        <v>6</v>
      </c>
      <c r="L4621" s="250">
        <v>1</v>
      </c>
      <c r="M4621" s="163"/>
      <c r="N4621" s="164"/>
      <c r="O4621" s="165">
        <f>MROUND(G4621*N4621,0.00000001)</f>
        <v>0</v>
      </c>
      <c r="P4621" s="166"/>
      <c r="Q4621" s="166">
        <f t="shared" si="1177"/>
        <v>0</v>
      </c>
      <c r="R4621" s="71"/>
    </row>
    <row r="4622" spans="1:18" s="61" customFormat="1" x14ac:dyDescent="0.25">
      <c r="A4622" s="358"/>
      <c r="B4622" s="361"/>
      <c r="C4622" s="221" t="s">
        <v>379</v>
      </c>
      <c r="D4622" s="231" t="s">
        <v>49</v>
      </c>
      <c r="E4622" s="231" t="s">
        <v>101</v>
      </c>
      <c r="F4622" s="231" t="s">
        <v>101</v>
      </c>
      <c r="G4622" s="238">
        <f>MROUND(H4622*L4622*I4622/K4622,0.000000001)</f>
        <v>0</v>
      </c>
      <c r="H4622" s="160"/>
      <c r="I4622" s="159">
        <f t="shared" si="1173"/>
        <v>3.0273000000000002E-4</v>
      </c>
      <c r="J4622" s="160"/>
      <c r="K4622" s="161">
        <f>K4621</f>
        <v>6</v>
      </c>
      <c r="L4622" s="250"/>
      <c r="M4622" s="163"/>
      <c r="N4622" s="164"/>
      <c r="O4622" s="165">
        <f>MROUND(G4622*N4622,0.00000001)</f>
        <v>0</v>
      </c>
      <c r="P4622" s="166"/>
      <c r="Q4622" s="166">
        <f t="shared" si="1177"/>
        <v>0</v>
      </c>
      <c r="R4622" s="71"/>
    </row>
    <row r="4623" spans="1:18" s="62" customFormat="1" x14ac:dyDescent="0.25">
      <c r="A4623" s="358"/>
      <c r="B4623" s="361"/>
      <c r="C4623" s="218" t="s">
        <v>380</v>
      </c>
      <c r="D4623" s="232"/>
      <c r="E4623" s="232"/>
      <c r="F4623" s="232"/>
      <c r="G4623" s="227"/>
      <c r="H4623" s="228"/>
      <c r="I4623" s="206"/>
      <c r="J4623" s="228"/>
      <c r="K4623" s="207"/>
      <c r="L4623" s="257"/>
      <c r="M4623" s="209"/>
      <c r="N4623" s="210"/>
      <c r="O4623" s="198">
        <f>SUM(O4620:O4622)</f>
        <v>0</v>
      </c>
      <c r="P4623" s="267"/>
      <c r="Q4623" s="166"/>
      <c r="R4623" s="71"/>
    </row>
    <row r="4624" spans="1:18" s="61" customFormat="1" x14ac:dyDescent="0.25">
      <c r="A4624" s="358"/>
      <c r="B4624" s="361"/>
      <c r="C4624" s="221" t="s">
        <v>76</v>
      </c>
      <c r="D4624" s="231" t="s">
        <v>49</v>
      </c>
      <c r="E4624" s="231" t="s">
        <v>22</v>
      </c>
      <c r="F4624" s="231" t="s">
        <v>22</v>
      </c>
      <c r="G4624" s="238">
        <f>MROUND(H4624*L4624*I4624/K4624,0.000000000000001)</f>
        <v>61.758411954350009</v>
      </c>
      <c r="H4624" s="160">
        <f>H3784</f>
        <v>1224029.57</v>
      </c>
      <c r="I4624" s="159">
        <f>I4620</f>
        <v>3.0273000000000002E-4</v>
      </c>
      <c r="J4624" s="160"/>
      <c r="K4624" s="161">
        <f>K4622</f>
        <v>6</v>
      </c>
      <c r="L4624" s="250">
        <v>1</v>
      </c>
      <c r="M4624" s="163" t="str">
        <f>CONCATENATE(H4624," ",F4624,"*",I4624,"/",K4624,"чел.")</f>
        <v>1224029,57 м2*0,00030273/6чел.</v>
      </c>
      <c r="N4624" s="164">
        <f>N3784</f>
        <v>37.50494361014497</v>
      </c>
      <c r="O4624" s="165">
        <f>MROUND(G4624*N4624,0.00000000001)</f>
        <v>2316.2457577999999</v>
      </c>
      <c r="P4624" s="166"/>
      <c r="Q4624" s="166">
        <f t="shared" ref="Q4624:Q4626" si="1178">O4624*K4624</f>
        <v>13897.4745468</v>
      </c>
      <c r="R4624" s="71"/>
    </row>
    <row r="4625" spans="1:18" s="61" customFormat="1" x14ac:dyDescent="0.25">
      <c r="A4625" s="358"/>
      <c r="B4625" s="361"/>
      <c r="C4625" s="221"/>
      <c r="D4625" s="231" t="s">
        <v>49</v>
      </c>
      <c r="E4625" s="231" t="s">
        <v>28</v>
      </c>
      <c r="F4625" s="231" t="s">
        <v>28</v>
      </c>
      <c r="G4625" s="238">
        <f>MROUND(H4625*L4625*I4625/K4625,0.0000000000001)</f>
        <v>5.5803230000000002E-2</v>
      </c>
      <c r="H4625" s="160">
        <f>H3785</f>
        <v>1106</v>
      </c>
      <c r="I4625" s="159">
        <f t="shared" si="1173"/>
        <v>3.0273000000000002E-4</v>
      </c>
      <c r="J4625" s="160"/>
      <c r="K4625" s="161">
        <f>K4624</f>
        <v>6</v>
      </c>
      <c r="L4625" s="250">
        <v>1</v>
      </c>
      <c r="M4625" s="163" t="str">
        <f>CONCATENATE(H4625," ",F4625,"*",I4625,"/",K4625,"чел.")</f>
        <v>1106 шт*0,00030273/6чел.</v>
      </c>
      <c r="N4625" s="164">
        <f>N3785</f>
        <v>86192.676311030737</v>
      </c>
      <c r="O4625" s="165">
        <f>MROUND(G4625*N4625,0.00000000001)</f>
        <v>4809.8297404999994</v>
      </c>
      <c r="P4625" s="166"/>
      <c r="Q4625" s="166">
        <f t="shared" si="1178"/>
        <v>28858.978442999996</v>
      </c>
      <c r="R4625" s="71"/>
    </row>
    <row r="4626" spans="1:18" s="61" customFormat="1" x14ac:dyDescent="0.25">
      <c r="A4626" s="358"/>
      <c r="B4626" s="361"/>
      <c r="C4626" s="221"/>
      <c r="D4626" s="231" t="s">
        <v>49</v>
      </c>
      <c r="E4626" s="231" t="s">
        <v>101</v>
      </c>
      <c r="F4626" s="231" t="s">
        <v>101</v>
      </c>
      <c r="G4626" s="238">
        <f>MROUND(H4626*L4626*I4626/K4626,0.000000001)</f>
        <v>1.8501848500000002</v>
      </c>
      <c r="H4626" s="160">
        <f>H3786</f>
        <v>36670</v>
      </c>
      <c r="I4626" s="159">
        <f t="shared" si="1173"/>
        <v>3.0273000000000002E-4</v>
      </c>
      <c r="J4626" s="160"/>
      <c r="K4626" s="161">
        <f>K4625</f>
        <v>6</v>
      </c>
      <c r="L4626" s="250">
        <v>1</v>
      </c>
      <c r="M4626" s="163" t="str">
        <f>CONCATENATE(H4626," ",F4626,"*",I4626,"/",K4626,"чел.")</f>
        <v>36670 погон.м.*0,00030273/6чел.</v>
      </c>
      <c r="N4626" s="164">
        <f>N3786</f>
        <v>1311.6989364603219</v>
      </c>
      <c r="O4626" s="165">
        <f>MROUND(G4626*N4626,0.00000001)</f>
        <v>2426.8854999999999</v>
      </c>
      <c r="P4626" s="166"/>
      <c r="Q4626" s="166">
        <f t="shared" si="1178"/>
        <v>14561.312999999998</v>
      </c>
      <c r="R4626" s="71"/>
    </row>
    <row r="4627" spans="1:18" s="62" customFormat="1" x14ac:dyDescent="0.25">
      <c r="A4627" s="358"/>
      <c r="B4627" s="361"/>
      <c r="C4627" s="218" t="s">
        <v>291</v>
      </c>
      <c r="D4627" s="232"/>
      <c r="E4627" s="232"/>
      <c r="F4627" s="232"/>
      <c r="G4627" s="227"/>
      <c r="H4627" s="228"/>
      <c r="I4627" s="206"/>
      <c r="J4627" s="228"/>
      <c r="K4627" s="207"/>
      <c r="L4627" s="257"/>
      <c r="M4627" s="209"/>
      <c r="N4627" s="210"/>
      <c r="O4627" s="198">
        <f>SUM(O4624:O4626)</f>
        <v>9552.9609982999991</v>
      </c>
      <c r="P4627" s="267"/>
      <c r="Q4627" s="166"/>
      <c r="R4627" s="71"/>
    </row>
    <row r="4628" spans="1:18" s="61" customFormat="1" x14ac:dyDescent="0.25">
      <c r="A4628" s="358"/>
      <c r="B4628" s="361"/>
      <c r="C4628" s="221" t="s">
        <v>77</v>
      </c>
      <c r="D4628" s="231"/>
      <c r="E4628" s="231"/>
      <c r="F4628" s="231"/>
      <c r="G4628" s="238">
        <f>MROUND(H4628*L4628*I4628/K4628,0.00000000001)</f>
        <v>0</v>
      </c>
      <c r="H4628" s="160">
        <f>H4388</f>
        <v>0</v>
      </c>
      <c r="I4628" s="159">
        <f>I4626</f>
        <v>3.0273000000000002E-4</v>
      </c>
      <c r="J4628" s="160"/>
      <c r="K4628" s="161">
        <f>K4626</f>
        <v>6</v>
      </c>
      <c r="L4628" s="250"/>
      <c r="M4628" s="163"/>
      <c r="N4628" s="164">
        <f>N4388</f>
        <v>0</v>
      </c>
      <c r="O4628" s="165">
        <f>MROUND(G4628*N4628,0.000000001)</f>
        <v>0</v>
      </c>
      <c r="P4628" s="166"/>
      <c r="Q4628" s="166">
        <f t="shared" ref="Q4628" si="1179">O4628*K4628</f>
        <v>0</v>
      </c>
      <c r="R4628" s="71"/>
    </row>
    <row r="4629" spans="1:18" s="62" customFormat="1" x14ac:dyDescent="0.25">
      <c r="A4629" s="358"/>
      <c r="B4629" s="361"/>
      <c r="C4629" s="218" t="s">
        <v>292</v>
      </c>
      <c r="D4629" s="232"/>
      <c r="E4629" s="232"/>
      <c r="F4629" s="232"/>
      <c r="G4629" s="227"/>
      <c r="H4629" s="228"/>
      <c r="I4629" s="206"/>
      <c r="J4629" s="228"/>
      <c r="K4629" s="207"/>
      <c r="L4629" s="257"/>
      <c r="M4629" s="209"/>
      <c r="N4629" s="210"/>
      <c r="O4629" s="198">
        <f>O4628</f>
        <v>0</v>
      </c>
      <c r="P4629" s="267"/>
      <c r="Q4629" s="166"/>
      <c r="R4629" s="71"/>
    </row>
    <row r="4630" spans="1:18" s="61" customFormat="1" x14ac:dyDescent="0.25">
      <c r="A4630" s="358"/>
      <c r="B4630" s="361"/>
      <c r="C4630" s="221"/>
      <c r="D4630" s="350" t="s">
        <v>65</v>
      </c>
      <c r="E4630" s="350"/>
      <c r="F4630" s="350"/>
      <c r="G4630" s="350"/>
      <c r="H4630" s="195"/>
      <c r="I4630" s="159"/>
      <c r="J4630" s="195"/>
      <c r="K4630" s="161"/>
      <c r="L4630" s="196"/>
      <c r="M4630" s="230"/>
      <c r="N4630" s="164"/>
      <c r="O4630" s="165">
        <f t="shared" ref="O4630:O4631" si="1180">MROUND(G4630*N4630,0.000001)</f>
        <v>0</v>
      </c>
      <c r="P4630" s="166"/>
      <c r="Q4630" s="166"/>
      <c r="R4630" s="71"/>
    </row>
    <row r="4631" spans="1:18" s="61" customFormat="1" x14ac:dyDescent="0.25">
      <c r="A4631" s="358"/>
      <c r="B4631" s="361"/>
      <c r="C4631" s="221"/>
      <c r="D4631" s="194"/>
      <c r="E4631" s="194"/>
      <c r="F4631" s="194"/>
      <c r="G4631" s="217"/>
      <c r="H4631" s="195"/>
      <c r="I4631" s="159"/>
      <c r="J4631" s="195"/>
      <c r="K4631" s="161"/>
      <c r="L4631" s="196"/>
      <c r="M4631" s="230"/>
      <c r="N4631" s="164"/>
      <c r="O4631" s="165">
        <f t="shared" si="1180"/>
        <v>0</v>
      </c>
      <c r="P4631" s="166"/>
      <c r="Q4631" s="166"/>
      <c r="R4631" s="71"/>
    </row>
    <row r="4632" spans="1:18" s="61" customFormat="1" x14ac:dyDescent="0.25">
      <c r="A4632" s="358"/>
      <c r="B4632" s="361"/>
      <c r="C4632" s="221" t="s">
        <v>357</v>
      </c>
      <c r="D4632" s="368" t="s">
        <v>66</v>
      </c>
      <c r="E4632" s="368"/>
      <c r="F4632" s="368"/>
      <c r="G4632" s="368"/>
      <c r="H4632" s="195"/>
      <c r="I4632" s="159"/>
      <c r="J4632" s="195"/>
      <c r="K4632" s="161"/>
      <c r="L4632" s="234"/>
      <c r="M4632" s="230"/>
      <c r="N4632" s="164"/>
      <c r="O4632" s="198">
        <f>O4633</f>
        <v>28.636702</v>
      </c>
      <c r="P4632" s="166"/>
      <c r="Q4632" s="166"/>
      <c r="R4632" s="71"/>
    </row>
    <row r="4633" spans="1:18" s="61" customFormat="1" ht="47.25" x14ac:dyDescent="0.25">
      <c r="A4633" s="358"/>
      <c r="B4633" s="361"/>
      <c r="C4633" s="221"/>
      <c r="D4633" s="222" t="s">
        <v>374</v>
      </c>
      <c r="E4633" s="194" t="s">
        <v>28</v>
      </c>
      <c r="F4633" s="194" t="s">
        <v>28</v>
      </c>
      <c r="G4633" s="217">
        <f>MROUND(H4633*L4633*I4633/K4633,0.000000001)</f>
        <v>7.2655200000000001E-3</v>
      </c>
      <c r="H4633" s="201">
        <f>H4033</f>
        <v>36</v>
      </c>
      <c r="I4633" s="159">
        <f>I4628</f>
        <v>3.0273000000000002E-4</v>
      </c>
      <c r="J4633" s="195"/>
      <c r="K4633" s="161">
        <f>K4628</f>
        <v>6</v>
      </c>
      <c r="L4633" s="235">
        <f>L4033</f>
        <v>4</v>
      </c>
      <c r="M4633" s="163" t="str">
        <f>CONCATENATE(H4633," ",F4633,"*",I4633,"/",K4633,"чел.")</f>
        <v>36 шт*0,00030273/6чел.</v>
      </c>
      <c r="N4633" s="164">
        <f>N4033</f>
        <v>3941.4525000000012</v>
      </c>
      <c r="O4633" s="165">
        <f>MROUND(G4633*N4633,0.000001)</f>
        <v>28.636702</v>
      </c>
      <c r="P4633" s="166"/>
      <c r="Q4633" s="166">
        <f t="shared" ref="Q4633" si="1181">O4633*K4633</f>
        <v>171.820212</v>
      </c>
      <c r="R4633" s="71"/>
    </row>
    <row r="4634" spans="1:18" s="61" customFormat="1" x14ac:dyDescent="0.25">
      <c r="A4634" s="358"/>
      <c r="B4634" s="361"/>
      <c r="C4634" s="221"/>
      <c r="D4634" s="368" t="s">
        <v>67</v>
      </c>
      <c r="E4634" s="368"/>
      <c r="F4634" s="368"/>
      <c r="G4634" s="368"/>
      <c r="H4634" s="195"/>
      <c r="I4634" s="159"/>
      <c r="J4634" s="195"/>
      <c r="K4634" s="161"/>
      <c r="L4634" s="196"/>
      <c r="M4634" s="230"/>
      <c r="N4634" s="164"/>
      <c r="O4634" s="165">
        <f t="shared" ref="O4634:O4637" si="1182">MROUND(G4634*N4634,0.000001)</f>
        <v>0</v>
      </c>
      <c r="P4634" s="166"/>
      <c r="Q4634" s="166"/>
      <c r="R4634" s="71"/>
    </row>
    <row r="4635" spans="1:18" s="61" customFormat="1" x14ac:dyDescent="0.25">
      <c r="A4635" s="358"/>
      <c r="B4635" s="361"/>
      <c r="C4635" s="221"/>
      <c r="D4635" s="194"/>
      <c r="E4635" s="194"/>
      <c r="F4635" s="194"/>
      <c r="G4635" s="217"/>
      <c r="H4635" s="195"/>
      <c r="I4635" s="159"/>
      <c r="J4635" s="195"/>
      <c r="K4635" s="161"/>
      <c r="L4635" s="196"/>
      <c r="M4635" s="230"/>
      <c r="N4635" s="164"/>
      <c r="O4635" s="165">
        <f t="shared" si="1182"/>
        <v>0</v>
      </c>
      <c r="P4635" s="166"/>
      <c r="Q4635" s="166"/>
      <c r="R4635" s="71"/>
    </row>
    <row r="4636" spans="1:18" s="61" customFormat="1" x14ac:dyDescent="0.25">
      <c r="A4636" s="358"/>
      <c r="B4636" s="361"/>
      <c r="C4636" s="221"/>
      <c r="D4636" s="350" t="s">
        <v>68</v>
      </c>
      <c r="E4636" s="350"/>
      <c r="F4636" s="350"/>
      <c r="G4636" s="350"/>
      <c r="H4636" s="195"/>
      <c r="I4636" s="159"/>
      <c r="J4636" s="195"/>
      <c r="K4636" s="161"/>
      <c r="L4636" s="196"/>
      <c r="M4636" s="230"/>
      <c r="N4636" s="164"/>
      <c r="O4636" s="165">
        <f t="shared" si="1182"/>
        <v>0</v>
      </c>
      <c r="P4636" s="166"/>
      <c r="Q4636" s="166"/>
      <c r="R4636" s="71"/>
    </row>
    <row r="4637" spans="1:18" s="61" customFormat="1" x14ac:dyDescent="0.25">
      <c r="A4637" s="358"/>
      <c r="B4637" s="361"/>
      <c r="C4637" s="221"/>
      <c r="D4637" s="156"/>
      <c r="E4637" s="156"/>
      <c r="F4637" s="156"/>
      <c r="G4637" s="236"/>
      <c r="H4637" s="195"/>
      <c r="I4637" s="159"/>
      <c r="J4637" s="195"/>
      <c r="K4637" s="161"/>
      <c r="L4637" s="196"/>
      <c r="M4637" s="230"/>
      <c r="N4637" s="164"/>
      <c r="O4637" s="165">
        <f t="shared" si="1182"/>
        <v>0</v>
      </c>
      <c r="P4637" s="166"/>
      <c r="Q4637" s="166"/>
      <c r="R4637" s="71"/>
    </row>
    <row r="4638" spans="1:18" s="61" customFormat="1" x14ac:dyDescent="0.25">
      <c r="A4638" s="358"/>
      <c r="B4638" s="361"/>
      <c r="C4638" s="221"/>
      <c r="D4638" s="368" t="s">
        <v>69</v>
      </c>
      <c r="E4638" s="368"/>
      <c r="F4638" s="368"/>
      <c r="G4638" s="368"/>
      <c r="H4638" s="187"/>
      <c r="I4638" s="159"/>
      <c r="J4638" s="187"/>
      <c r="K4638" s="161"/>
      <c r="L4638" s="276"/>
      <c r="M4638" s="230"/>
      <c r="N4638" s="164"/>
      <c r="O4638" s="198">
        <f>O4640+O4647+O4664+O4666+O4681+O4683+O4685+O4710+O4712+O4717+O4714</f>
        <v>1165.36891242</v>
      </c>
      <c r="P4638" s="166"/>
      <c r="Q4638" s="166"/>
      <c r="R4638" s="71"/>
    </row>
    <row r="4639" spans="1:18" s="61" customFormat="1" x14ac:dyDescent="0.25">
      <c r="A4639" s="358"/>
      <c r="B4639" s="361"/>
      <c r="C4639" s="221">
        <v>224</v>
      </c>
      <c r="D4639" s="156" t="s">
        <v>21</v>
      </c>
      <c r="E4639" s="156" t="s">
        <v>22</v>
      </c>
      <c r="F4639" s="156" t="s">
        <v>22</v>
      </c>
      <c r="G4639" s="238">
        <f>MROUND(H4639*L4639*I4639/K4639,0.000001)</f>
        <v>0</v>
      </c>
      <c r="H4639" s="158"/>
      <c r="I4639" s="159">
        <f>I4633</f>
        <v>3.0273000000000002E-4</v>
      </c>
      <c r="J4639" s="160"/>
      <c r="K4639" s="161">
        <f>K4633</f>
        <v>6</v>
      </c>
      <c r="L4639" s="250"/>
      <c r="M4639" s="163"/>
      <c r="N4639" s="164"/>
      <c r="O4639" s="165">
        <f>MROUND(G4639*N4639,0.000001)</f>
        <v>0</v>
      </c>
      <c r="P4639" s="166"/>
      <c r="Q4639" s="166">
        <f t="shared" ref="Q4639" si="1183">O4639*K4639</f>
        <v>0</v>
      </c>
      <c r="R4639" s="71"/>
    </row>
    <row r="4640" spans="1:18" s="62" customFormat="1" x14ac:dyDescent="0.25">
      <c r="A4640" s="358"/>
      <c r="B4640" s="361"/>
      <c r="C4640" s="218" t="s">
        <v>293</v>
      </c>
      <c r="D4640" s="240"/>
      <c r="E4640" s="240"/>
      <c r="F4640" s="240"/>
      <c r="G4640" s="227"/>
      <c r="H4640" s="241"/>
      <c r="I4640" s="206"/>
      <c r="J4640" s="228"/>
      <c r="K4640" s="207"/>
      <c r="L4640" s="257"/>
      <c r="M4640" s="209"/>
      <c r="N4640" s="210"/>
      <c r="O4640" s="198">
        <f>SUM(O4639)</f>
        <v>0</v>
      </c>
      <c r="P4640" s="267"/>
      <c r="Q4640" s="166"/>
      <c r="R4640" s="71"/>
    </row>
    <row r="4641" spans="1:41" s="61" customFormat="1" ht="31.5" x14ac:dyDescent="0.25">
      <c r="A4641" s="358"/>
      <c r="B4641" s="361"/>
      <c r="C4641" s="364" t="s">
        <v>78</v>
      </c>
      <c r="D4641" s="156" t="s">
        <v>26</v>
      </c>
      <c r="E4641" s="156" t="s">
        <v>22</v>
      </c>
      <c r="F4641" s="156" t="s">
        <v>22</v>
      </c>
      <c r="G4641" s="238">
        <f>MROUND(H4641*L4641*I4641/K4641,0.000001)</f>
        <v>15.645085999999999</v>
      </c>
      <c r="H4641" s="158">
        <f>H3441</f>
        <v>25840</v>
      </c>
      <c r="I4641" s="159">
        <f>I4639</f>
        <v>3.0273000000000002E-4</v>
      </c>
      <c r="J4641" s="160"/>
      <c r="K4641" s="161">
        <f>K4639</f>
        <v>6</v>
      </c>
      <c r="L4641" s="250">
        <v>12</v>
      </c>
      <c r="M4641" s="163" t="str">
        <f>CONCATENATE(H4641," ",F4641,"(обрабатываемая площадь в мес.)","*",L4641,"мес.","*",I4641,"/",K4641,"чел.")</f>
        <v>25840 м2(обрабатываемая площадь в мес.)*12мес.*0,00030273/6чел.</v>
      </c>
      <c r="N4641" s="164">
        <f>N3441</f>
        <v>1.208548374613003</v>
      </c>
      <c r="O4641" s="165">
        <f t="shared" ref="O4641:O4646" si="1184">MROUND(G4641*N4641,0.000001)</f>
        <v>18.907843</v>
      </c>
      <c r="P4641" s="166"/>
      <c r="Q4641" s="166">
        <f t="shared" ref="Q4641:Q4646" si="1185">O4641*K4641</f>
        <v>113.447058</v>
      </c>
      <c r="R4641" s="71"/>
    </row>
    <row r="4642" spans="1:41" s="61" customFormat="1" ht="31.5" x14ac:dyDescent="0.25">
      <c r="A4642" s="358"/>
      <c r="B4642" s="361"/>
      <c r="C4642" s="364"/>
      <c r="D4642" s="156" t="s">
        <v>96</v>
      </c>
      <c r="E4642" s="156" t="s">
        <v>22</v>
      </c>
      <c r="F4642" s="156" t="s">
        <v>22</v>
      </c>
      <c r="G4642" s="238">
        <f>MROUND(H4642*L4642*I4642/K4642,0.000001)</f>
        <v>8.0980279999999993</v>
      </c>
      <c r="H4642" s="158">
        <f>H3442</f>
        <v>13375</v>
      </c>
      <c r="I4642" s="159">
        <f t="shared" si="1173"/>
        <v>3.0273000000000002E-4</v>
      </c>
      <c r="J4642" s="160"/>
      <c r="K4642" s="161">
        <f>K4641</f>
        <v>6</v>
      </c>
      <c r="L4642" s="250">
        <v>12</v>
      </c>
      <c r="M4642" s="163" t="str">
        <f>CONCATENATE(H4642," ",F4642,"(обрабатываемая площадь в мес.)","*",L4642,"мес.","*",I4642,"/",K4642,"чел.")</f>
        <v>13375 м2(обрабатываемая площадь в мес.)*12мес.*0,00030273/6чел.</v>
      </c>
      <c r="N4642" s="164">
        <f>N3442</f>
        <v>1.93823800623053</v>
      </c>
      <c r="O4642" s="165">
        <f t="shared" si="1184"/>
        <v>15.695905999999999</v>
      </c>
      <c r="P4642" s="166"/>
      <c r="Q4642" s="166">
        <f t="shared" si="1185"/>
        <v>94.175435999999991</v>
      </c>
      <c r="R4642" s="71"/>
    </row>
    <row r="4643" spans="1:41" s="135" customFormat="1" ht="31.5" x14ac:dyDescent="0.25">
      <c r="A4643" s="358"/>
      <c r="B4643" s="361"/>
      <c r="C4643" s="364"/>
      <c r="D4643" s="156" t="s">
        <v>385</v>
      </c>
      <c r="E4643" s="156" t="s">
        <v>22</v>
      </c>
      <c r="F4643" s="156" t="s">
        <v>22</v>
      </c>
      <c r="G4643" s="238">
        <f>MROUND(H4643*L4643*I4643/K4643,0.000001)</f>
        <v>16.196054999999998</v>
      </c>
      <c r="H4643" s="242">
        <f>$H$55</f>
        <v>13375</v>
      </c>
      <c r="I4643" s="159">
        <f t="shared" si="1173"/>
        <v>3.0273000000000002E-4</v>
      </c>
      <c r="J4643" s="160"/>
      <c r="K4643" s="161">
        <f>K4642</f>
        <v>6</v>
      </c>
      <c r="L4643" s="162">
        <v>24</v>
      </c>
      <c r="M4643" s="163" t="str">
        <f>CONCATENATE(H4643," ",F4643,"(обрабатываемая площадь в год)","*",L4643," раза в год.","*",I4643,"/",K4643,"чел.")</f>
        <v>13375 м2(обрабатываемая площадь в год)*24 раза в год.*0,00030273/6чел.</v>
      </c>
      <c r="N4643" s="164">
        <f>$N$3443</f>
        <v>2.3942939563862917</v>
      </c>
      <c r="O4643" s="165">
        <f t="shared" si="1184"/>
        <v>38.778117000000002</v>
      </c>
      <c r="P4643" s="166"/>
      <c r="Q4643" s="166">
        <f t="shared" si="1185"/>
        <v>232.668702</v>
      </c>
      <c r="R4643" s="71"/>
      <c r="S4643" s="61"/>
      <c r="T4643" s="61"/>
      <c r="U4643" s="61"/>
      <c r="V4643" s="61"/>
      <c r="W4643" s="61"/>
      <c r="X4643" s="61"/>
      <c r="Y4643" s="61"/>
      <c r="Z4643" s="61"/>
      <c r="AA4643" s="61"/>
      <c r="AB4643" s="61"/>
      <c r="AC4643" s="61"/>
      <c r="AD4643" s="61"/>
      <c r="AE4643" s="61"/>
      <c r="AF4643" s="61"/>
      <c r="AG4643" s="61"/>
      <c r="AH4643" s="61"/>
      <c r="AI4643" s="61"/>
      <c r="AJ4643" s="61"/>
      <c r="AK4643" s="61"/>
      <c r="AL4643" s="61"/>
      <c r="AM4643" s="61"/>
      <c r="AN4643" s="61"/>
      <c r="AO4643" s="61"/>
    </row>
    <row r="4644" spans="1:41" s="135" customFormat="1" ht="31.5" x14ac:dyDescent="0.25">
      <c r="A4644" s="358"/>
      <c r="B4644" s="361"/>
      <c r="C4644" s="364"/>
      <c r="D4644" s="156" t="s">
        <v>394</v>
      </c>
      <c r="E4644" s="156" t="s">
        <v>22</v>
      </c>
      <c r="F4644" s="156" t="s">
        <v>22</v>
      </c>
      <c r="G4644" s="238">
        <f>MROUND(H4644*L4644*I4644/K4644,0.000001)</f>
        <v>15.645085999999999</v>
      </c>
      <c r="H4644" s="243">
        <f>$H$56</f>
        <v>25840</v>
      </c>
      <c r="I4644" s="159">
        <f t="shared" si="1173"/>
        <v>3.0273000000000002E-4</v>
      </c>
      <c r="J4644" s="160"/>
      <c r="K4644" s="161">
        <f>K4643</f>
        <v>6</v>
      </c>
      <c r="L4644" s="162">
        <v>12</v>
      </c>
      <c r="M4644" s="163" t="str">
        <f>CONCATENATE(H4644," ",F4644,"(обрабатываемая площадь в мес.)","*",L4644,"мес.","*",I4644,"/",K4644,"чел.")</f>
        <v>25840 м2(обрабатываемая площадь в мес.)*12мес.*0,00030273/6чел.</v>
      </c>
      <c r="N4644" s="164">
        <f>$N$3444</f>
        <v>0.57007004643962855</v>
      </c>
      <c r="O4644" s="165">
        <f t="shared" si="1184"/>
        <v>8.9187949999999994</v>
      </c>
      <c r="P4644" s="166"/>
      <c r="Q4644" s="166">
        <f t="shared" si="1185"/>
        <v>53.512769999999996</v>
      </c>
      <c r="R4644" s="71"/>
      <c r="S4644" s="61"/>
      <c r="T4644" s="61"/>
      <c r="U4644" s="61"/>
      <c r="V4644" s="61"/>
      <c r="W4644" s="61"/>
      <c r="X4644" s="61"/>
      <c r="Y4644" s="61"/>
      <c r="Z4644" s="61"/>
      <c r="AA4644" s="61"/>
      <c r="AB4644" s="61"/>
      <c r="AC4644" s="61"/>
      <c r="AD4644" s="61"/>
      <c r="AE4644" s="61"/>
      <c r="AF4644" s="61"/>
      <c r="AG4644" s="61"/>
      <c r="AH4644" s="61"/>
      <c r="AI4644" s="61"/>
      <c r="AJ4644" s="61"/>
      <c r="AK4644" s="61"/>
      <c r="AL4644" s="61"/>
      <c r="AM4644" s="61"/>
      <c r="AN4644" s="61"/>
      <c r="AO4644" s="61"/>
    </row>
    <row r="4645" spans="1:41" s="135" customFormat="1" ht="31.5" x14ac:dyDescent="0.25">
      <c r="A4645" s="358"/>
      <c r="B4645" s="361"/>
      <c r="C4645" s="364"/>
      <c r="D4645" s="156" t="s">
        <v>395</v>
      </c>
      <c r="E4645" s="156" t="s">
        <v>98</v>
      </c>
      <c r="F4645" s="156" t="s">
        <v>98</v>
      </c>
      <c r="G4645" s="238">
        <f>MROUND(H4645*L4645*I4645/K4645,0.000000001)</f>
        <v>9.5561800000000009E-4</v>
      </c>
      <c r="H4645" s="242">
        <f>$H$57</f>
        <v>18.939999999999998</v>
      </c>
      <c r="I4645" s="159">
        <f t="shared" si="1173"/>
        <v>3.0273000000000002E-4</v>
      </c>
      <c r="J4645" s="160"/>
      <c r="K4645" s="161">
        <f>K4644</f>
        <v>6</v>
      </c>
      <c r="L4645" s="162">
        <v>1</v>
      </c>
      <c r="M4645" s="163" t="str">
        <f>CONCATENATE(H4645," ",F4645,"(обрабатываемая площадь в год)","*",L4645," раз в год","*",I4645,"/",K4645,"чел.")</f>
        <v>18,94 Га(обрабатываемая площадь в год)*1 раз в год*0,00030273/6чел.</v>
      </c>
      <c r="N4645" s="164">
        <f>$N$57</f>
        <v>545</v>
      </c>
      <c r="O4645" s="165">
        <f t="shared" si="1184"/>
        <v>0.52081199999999994</v>
      </c>
      <c r="P4645" s="166"/>
      <c r="Q4645" s="166">
        <f t="shared" si="1185"/>
        <v>3.1248719999999999</v>
      </c>
      <c r="R4645" s="71"/>
      <c r="S4645" s="61"/>
      <c r="T4645" s="61"/>
      <c r="U4645" s="61"/>
      <c r="V4645" s="61"/>
      <c r="W4645" s="61"/>
      <c r="X4645" s="61"/>
      <c r="Y4645" s="61"/>
      <c r="Z4645" s="61"/>
      <c r="AA4645" s="61"/>
      <c r="AB4645" s="61"/>
      <c r="AC4645" s="61"/>
      <c r="AD4645" s="61"/>
      <c r="AE4645" s="61"/>
      <c r="AF4645" s="61"/>
      <c r="AG4645" s="61"/>
      <c r="AH4645" s="61"/>
      <c r="AI4645" s="61"/>
      <c r="AJ4645" s="61"/>
      <c r="AK4645" s="61"/>
      <c r="AL4645" s="61"/>
      <c r="AM4645" s="61"/>
      <c r="AN4645" s="61"/>
      <c r="AO4645" s="61"/>
    </row>
    <row r="4646" spans="1:41" s="61" customFormat="1" ht="31.5" x14ac:dyDescent="0.25">
      <c r="A4646" s="358"/>
      <c r="B4646" s="361"/>
      <c r="C4646" s="364"/>
      <c r="D4646" s="156" t="s">
        <v>97</v>
      </c>
      <c r="E4646" s="156" t="s">
        <v>98</v>
      </c>
      <c r="F4646" s="156" t="s">
        <v>98</v>
      </c>
      <c r="G4646" s="238">
        <f>MROUND(H4646*L4646*I4646/K4646,0.000000001)</f>
        <v>9.5561800000000009E-4</v>
      </c>
      <c r="H4646" s="242">
        <f>H3566</f>
        <v>18.939999999999998</v>
      </c>
      <c r="I4646" s="244">
        <f>I4642</f>
        <v>3.0273000000000002E-4</v>
      </c>
      <c r="J4646" s="160"/>
      <c r="K4646" s="161">
        <f>K4642</f>
        <v>6</v>
      </c>
      <c r="L4646" s="250">
        <v>1</v>
      </c>
      <c r="M4646" s="163" t="str">
        <f>CONCATENATE(H4646," ",F4646,"(обрабатываемая площадь в мес.)","*",L4646,"мес.","*",I4646,"/",K4646,"чел.")</f>
        <v>18,94 Га(обрабатываемая площадь в мес.)*1мес.*0,00030273/6чел.</v>
      </c>
      <c r="N4646" s="164">
        <f>N3566</f>
        <v>3102.4186906018999</v>
      </c>
      <c r="O4646" s="165">
        <f t="shared" si="1184"/>
        <v>2.9647269999999999</v>
      </c>
      <c r="P4646" s="166"/>
      <c r="Q4646" s="166">
        <f t="shared" si="1185"/>
        <v>17.788361999999999</v>
      </c>
      <c r="R4646" s="71"/>
    </row>
    <row r="4647" spans="1:41" s="62" customFormat="1" x14ac:dyDescent="0.25">
      <c r="A4647" s="358"/>
      <c r="B4647" s="361"/>
      <c r="C4647" s="245" t="s">
        <v>294</v>
      </c>
      <c r="D4647" s="240"/>
      <c r="E4647" s="240"/>
      <c r="F4647" s="240"/>
      <c r="G4647" s="227"/>
      <c r="H4647" s="241"/>
      <c r="I4647" s="206"/>
      <c r="J4647" s="228"/>
      <c r="K4647" s="207"/>
      <c r="L4647" s="257"/>
      <c r="M4647" s="209"/>
      <c r="N4647" s="210"/>
      <c r="O4647" s="198">
        <f>SUM(O4641:O4646)</f>
        <v>85.786200000000008</v>
      </c>
      <c r="P4647" s="267"/>
      <c r="Q4647" s="166"/>
      <c r="R4647" s="71"/>
    </row>
    <row r="4648" spans="1:41" s="61" customFormat="1" ht="63" x14ac:dyDescent="0.25">
      <c r="A4648" s="358"/>
      <c r="B4648" s="361"/>
      <c r="C4648" s="365" t="s">
        <v>77</v>
      </c>
      <c r="D4648" s="156" t="s">
        <v>29</v>
      </c>
      <c r="E4648" s="156" t="s">
        <v>58</v>
      </c>
      <c r="F4648" s="156" t="s">
        <v>218</v>
      </c>
      <c r="G4648" s="238">
        <f>MROUND(H4648*L4648*I4648/K4648,0.00000001)</f>
        <v>3.0273000000000001E-3</v>
      </c>
      <c r="H4648" s="158">
        <v>15</v>
      </c>
      <c r="I4648" s="159">
        <f>I4646</f>
        <v>3.0273000000000002E-4</v>
      </c>
      <c r="J4648" s="160"/>
      <c r="K4648" s="161">
        <f>K4646</f>
        <v>6</v>
      </c>
      <c r="L4648" s="162">
        <v>4</v>
      </c>
      <c r="M4648" s="163" t="str">
        <f>CONCATENATE(H4648," ",F4648,"*",L4648," раза в год","*",I4648,"/",K4648,"чел.")</f>
        <v>15 установок*4 раза в год*0,00030273/6чел.</v>
      </c>
      <c r="N4648" s="164">
        <f>N3448</f>
        <v>2264.8651666666669</v>
      </c>
      <c r="O4648" s="165">
        <f t="shared" ref="O4648:O4656" si="1186">MROUND(G4648*N4648,0.000001)</f>
        <v>6.8564259999999999</v>
      </c>
      <c r="P4648" s="166"/>
      <c r="Q4648" s="166">
        <f t="shared" ref="Q4648:Q4663" si="1187">O4648*K4648</f>
        <v>41.138556000000001</v>
      </c>
      <c r="R4648" s="71"/>
    </row>
    <row r="4649" spans="1:41" s="61" customFormat="1" ht="47.25" x14ac:dyDescent="0.25">
      <c r="A4649" s="358"/>
      <c r="B4649" s="361"/>
      <c r="C4649" s="366"/>
      <c r="D4649" s="156" t="s">
        <v>30</v>
      </c>
      <c r="E4649" s="156" t="s">
        <v>58</v>
      </c>
      <c r="F4649" s="156" t="s">
        <v>218</v>
      </c>
      <c r="G4649" s="238">
        <f>MROUND(H4649*L4649*I4649/K4649,0.00000001)</f>
        <v>1.5136500000000001E-3</v>
      </c>
      <c r="H4649" s="158">
        <v>15</v>
      </c>
      <c r="I4649" s="159">
        <f t="shared" si="1173"/>
        <v>3.0273000000000002E-4</v>
      </c>
      <c r="J4649" s="160"/>
      <c r="K4649" s="161">
        <f t="shared" ref="K4649:K4657" si="1188">K4648</f>
        <v>6</v>
      </c>
      <c r="L4649" s="250">
        <v>2</v>
      </c>
      <c r="M4649" s="163" t="str">
        <f>CONCATENATE(H4649," ",F4649,"*",L4649,"полуг.","*",I4649,"/",K4649,"чел.")</f>
        <v>15 установок*2полуг.*0,00030273/6чел.</v>
      </c>
      <c r="N4649" s="164">
        <f>N3929</f>
        <v>4529.7303333333339</v>
      </c>
      <c r="O4649" s="165">
        <f t="shared" si="1186"/>
        <v>6.8564259999999999</v>
      </c>
      <c r="P4649" s="166"/>
      <c r="Q4649" s="166">
        <f t="shared" si="1187"/>
        <v>41.138556000000001</v>
      </c>
      <c r="R4649" s="71"/>
    </row>
    <row r="4650" spans="1:41" s="61" customFormat="1" ht="31.5" x14ac:dyDescent="0.25">
      <c r="A4650" s="358"/>
      <c r="B4650" s="361"/>
      <c r="C4650" s="366"/>
      <c r="D4650" s="156" t="s">
        <v>397</v>
      </c>
      <c r="E4650" s="156" t="s">
        <v>433</v>
      </c>
      <c r="F4650" s="156" t="s">
        <v>433</v>
      </c>
      <c r="G4650" s="238">
        <f>MROUND(H4650*L4650*I4650/K4650,0.000001)</f>
        <v>1.5136999999999999E-2</v>
      </c>
      <c r="H4650" s="158">
        <f>H3570</f>
        <v>300</v>
      </c>
      <c r="I4650" s="159">
        <f t="shared" si="1173"/>
        <v>3.0273000000000002E-4</v>
      </c>
      <c r="J4650" s="160"/>
      <c r="K4650" s="161">
        <f t="shared" si="1188"/>
        <v>6</v>
      </c>
      <c r="L4650" s="162">
        <v>1</v>
      </c>
      <c r="M4650" s="163" t="str">
        <f>CONCATENATE(H4650," ",F4650,"(обрабатываемая площадь в год)","*",L4650," раз в год","*",I4650,"/",K4650,"чел.")</f>
        <v>300 м2.(обрабатываемая площадь в год)*1 раз в год*0,00030273/6чел.</v>
      </c>
      <c r="N4650" s="164">
        <f>N3570</f>
        <v>300</v>
      </c>
      <c r="O4650" s="165">
        <f t="shared" si="1186"/>
        <v>4.5411000000000001</v>
      </c>
      <c r="P4650" s="166"/>
      <c r="Q4650" s="166">
        <f t="shared" si="1187"/>
        <v>27.246600000000001</v>
      </c>
      <c r="R4650" s="71"/>
    </row>
    <row r="4651" spans="1:41" s="61" customFormat="1" ht="47.25" x14ac:dyDescent="0.25">
      <c r="A4651" s="358"/>
      <c r="B4651" s="361"/>
      <c r="C4651" s="366"/>
      <c r="D4651" s="156" t="s">
        <v>32</v>
      </c>
      <c r="E4651" s="156" t="s">
        <v>55</v>
      </c>
      <c r="F4651" s="156" t="s">
        <v>219</v>
      </c>
      <c r="G4651" s="238">
        <f>MROUND(H4651*L4651*I4651/K4651,0.000000001)</f>
        <v>7.2655200000000001E-3</v>
      </c>
      <c r="H4651" s="158">
        <f>H3931</f>
        <v>36</v>
      </c>
      <c r="I4651" s="159">
        <f>I4650</f>
        <v>3.0273000000000002E-4</v>
      </c>
      <c r="J4651" s="160"/>
      <c r="K4651" s="161">
        <f t="shared" si="1188"/>
        <v>6</v>
      </c>
      <c r="L4651" s="250">
        <v>4</v>
      </c>
      <c r="M4651" s="163" t="str">
        <f>CONCATENATE(H4651," ",F4651,"*",L4651,"кв.","*",I4651,"/",K4651,"чел.")</f>
        <v>36 системы*4кв.*0,00030273/6чел.</v>
      </c>
      <c r="N4651" s="164">
        <f>N3931</f>
        <v>7243.0565277777823</v>
      </c>
      <c r="O4651" s="165">
        <f t="shared" si="1186"/>
        <v>52.624572000000001</v>
      </c>
      <c r="P4651" s="166"/>
      <c r="Q4651" s="166">
        <f t="shared" si="1187"/>
        <v>315.747432</v>
      </c>
      <c r="R4651" s="71"/>
    </row>
    <row r="4652" spans="1:41" s="61" customFormat="1" ht="63" x14ac:dyDescent="0.25">
      <c r="A4652" s="358"/>
      <c r="B4652" s="361"/>
      <c r="C4652" s="366"/>
      <c r="D4652" s="156" t="s">
        <v>33</v>
      </c>
      <c r="E4652" s="156" t="s">
        <v>56</v>
      </c>
      <c r="F4652" s="156" t="s">
        <v>220</v>
      </c>
      <c r="G4652" s="238">
        <f>MROUND(H4652*L4652*I4652/K4652,0.000000001)</f>
        <v>1.81638E-3</v>
      </c>
      <c r="H4652" s="158">
        <f>$H$64</f>
        <v>36</v>
      </c>
      <c r="I4652" s="159">
        <f>I4651</f>
        <v>3.0273000000000002E-4</v>
      </c>
      <c r="J4652" s="160"/>
      <c r="K4652" s="161">
        <f t="shared" si="1188"/>
        <v>6</v>
      </c>
      <c r="L4652" s="162">
        <v>1</v>
      </c>
      <c r="M4652" s="163" t="str">
        <f>CONCATENATE(H4652," ",F4652,"*",L4652," раз в год","*",I4652,"/",K4652,"чел.")</f>
        <v>36 дымоходов*1 раз в год*0,00030273/6чел.</v>
      </c>
      <c r="N4652" s="164">
        <f>N3452</f>
        <v>7030.863333333331</v>
      </c>
      <c r="O4652" s="165">
        <f t="shared" si="1186"/>
        <v>12.770719999999999</v>
      </c>
      <c r="P4652" s="166"/>
      <c r="Q4652" s="166">
        <f t="shared" si="1187"/>
        <v>76.624319999999997</v>
      </c>
      <c r="R4652" s="71"/>
    </row>
    <row r="4653" spans="1:41" s="61" customFormat="1" x14ac:dyDescent="0.25">
      <c r="A4653" s="358"/>
      <c r="B4653" s="361"/>
      <c r="C4653" s="366"/>
      <c r="D4653" s="194" t="s">
        <v>398</v>
      </c>
      <c r="E4653" s="156" t="s">
        <v>60</v>
      </c>
      <c r="F4653" s="156" t="s">
        <v>60</v>
      </c>
      <c r="G4653" s="238">
        <f>MROUND(H4653*L4653*I4653/K4653,0.000000001)</f>
        <v>1.765925E-3</v>
      </c>
      <c r="H4653" s="246">
        <f>H3453</f>
        <v>35</v>
      </c>
      <c r="I4653" s="159">
        <f t="shared" si="1173"/>
        <v>3.0273000000000002E-4</v>
      </c>
      <c r="J4653" s="160"/>
      <c r="K4653" s="161">
        <f t="shared" si="1188"/>
        <v>6</v>
      </c>
      <c r="L4653" s="250">
        <v>1</v>
      </c>
      <c r="M4653" s="163" t="str">
        <f>CONCATENATE(H4653," ",F4653,"*",I4653,"/",K4653,"чел.")</f>
        <v>35 шт.*0,00030273/6чел.</v>
      </c>
      <c r="N4653" s="164">
        <f>N3453</f>
        <v>12173.433428571419</v>
      </c>
      <c r="O4653" s="165">
        <f t="shared" si="1186"/>
        <v>21.49737</v>
      </c>
      <c r="P4653" s="166"/>
      <c r="Q4653" s="166">
        <f t="shared" si="1187"/>
        <v>128.98421999999999</v>
      </c>
      <c r="R4653" s="71"/>
    </row>
    <row r="4654" spans="1:41" s="61" customFormat="1" ht="47.25" x14ac:dyDescent="0.25">
      <c r="A4654" s="358"/>
      <c r="B4654" s="361"/>
      <c r="C4654" s="366"/>
      <c r="D4654" s="156" t="s">
        <v>401</v>
      </c>
      <c r="E4654" s="156" t="s">
        <v>60</v>
      </c>
      <c r="F4654" s="156" t="s">
        <v>402</v>
      </c>
      <c r="G4654" s="238">
        <f>MROUND(H4654*L4654*I4654/K4654,0.000001)</f>
        <v>3.532E-3</v>
      </c>
      <c r="H4654" s="246">
        <f>H3454</f>
        <v>35</v>
      </c>
      <c r="I4654" s="159">
        <f t="shared" si="1173"/>
        <v>3.0273000000000002E-4</v>
      </c>
      <c r="J4654" s="160"/>
      <c r="K4654" s="161">
        <f t="shared" si="1188"/>
        <v>6</v>
      </c>
      <c r="L4654" s="162">
        <v>2</v>
      </c>
      <c r="M4654" s="163" t="str">
        <f>CONCATENATE(H4654," ",F4654,"*",L4654," раз в год","*",I4654,"/",K4654,"чел.")</f>
        <v>35 противопожарных водопроводов*2 раз в год*0,00030273/6чел.</v>
      </c>
      <c r="N4654" s="164">
        <f>N3454</f>
        <v>5700.7000000000025</v>
      </c>
      <c r="O4654" s="165">
        <f t="shared" si="1186"/>
        <v>20.134871999999998</v>
      </c>
      <c r="P4654" s="166"/>
      <c r="Q4654" s="166">
        <f t="shared" si="1187"/>
        <v>120.80923199999998</v>
      </c>
      <c r="R4654" s="71"/>
    </row>
    <row r="4655" spans="1:41" s="61" customFormat="1" ht="31.5" x14ac:dyDescent="0.25">
      <c r="A4655" s="358"/>
      <c r="B4655" s="361"/>
      <c r="C4655" s="366"/>
      <c r="D4655" s="156" t="s">
        <v>221</v>
      </c>
      <c r="E4655" s="156" t="s">
        <v>60</v>
      </c>
      <c r="F4655" s="156" t="s">
        <v>60</v>
      </c>
      <c r="G4655" s="238">
        <f>MROUND(H4655*L4655*I4655/K4655,0.000000001)</f>
        <v>1.0898280000000002E-2</v>
      </c>
      <c r="H4655" s="158">
        <f>H3455</f>
        <v>18</v>
      </c>
      <c r="I4655" s="159">
        <f t="shared" si="1173"/>
        <v>3.0273000000000002E-4</v>
      </c>
      <c r="J4655" s="160"/>
      <c r="K4655" s="161">
        <f t="shared" si="1188"/>
        <v>6</v>
      </c>
      <c r="L4655" s="250">
        <v>12</v>
      </c>
      <c r="M4655" s="163" t="str">
        <f>CONCATENATE(H4655," ",F4655,"*",L4655,"мес.","*",I4655,"/",K4655,"чел.")</f>
        <v>18 шт.*12мес.*0,00030273/6чел.</v>
      </c>
      <c r="N4655" s="164">
        <f>N3575</f>
        <v>6577.3408796296308</v>
      </c>
      <c r="O4655" s="165">
        <f t="shared" si="1186"/>
        <v>71.681702999999999</v>
      </c>
      <c r="P4655" s="166"/>
      <c r="Q4655" s="166">
        <f t="shared" si="1187"/>
        <v>430.09021799999999</v>
      </c>
      <c r="R4655" s="71"/>
    </row>
    <row r="4656" spans="1:41" s="61" customFormat="1" ht="47.25" x14ac:dyDescent="0.25">
      <c r="A4656" s="358"/>
      <c r="B4656" s="361"/>
      <c r="C4656" s="366"/>
      <c r="D4656" s="156" t="s">
        <v>34</v>
      </c>
      <c r="E4656" s="156" t="s">
        <v>59</v>
      </c>
      <c r="F4656" s="156" t="s">
        <v>28</v>
      </c>
      <c r="G4656" s="238">
        <f>MROUND(H4656*L4656*I4656/K4656,0.0000000001)</f>
        <v>1.0091000000000001E-4</v>
      </c>
      <c r="H4656" s="158">
        <f>H3456</f>
        <v>2</v>
      </c>
      <c r="I4656" s="159">
        <f t="shared" si="1173"/>
        <v>3.0273000000000002E-4</v>
      </c>
      <c r="J4656" s="160"/>
      <c r="K4656" s="161">
        <f t="shared" si="1188"/>
        <v>6</v>
      </c>
      <c r="L4656" s="250">
        <v>1</v>
      </c>
      <c r="M4656" s="163" t="str">
        <f>CONCATENATE(H4656," ",F4656,"*",I4656,"/",K4656,"чел.")</f>
        <v>2 шт*0,00030273/6чел.</v>
      </c>
      <c r="N4656" s="164">
        <f>N3456</f>
        <v>7845</v>
      </c>
      <c r="O4656" s="165">
        <f t="shared" si="1186"/>
        <v>0.79163899999999998</v>
      </c>
      <c r="P4656" s="166"/>
      <c r="Q4656" s="166">
        <f t="shared" si="1187"/>
        <v>4.7498339999999999</v>
      </c>
      <c r="R4656" s="71"/>
    </row>
    <row r="4657" spans="1:18" s="61" customFormat="1" ht="47.25" x14ac:dyDescent="0.25">
      <c r="A4657" s="358"/>
      <c r="B4657" s="361"/>
      <c r="C4657" s="366"/>
      <c r="D4657" s="156" t="s">
        <v>222</v>
      </c>
      <c r="E4657" s="156" t="s">
        <v>60</v>
      </c>
      <c r="F4657" s="156" t="s">
        <v>60</v>
      </c>
      <c r="G4657" s="238">
        <f>MROUND(H4657*L4657*I4657/K4657,0.00000000001)</f>
        <v>2.5227499999999999E-4</v>
      </c>
      <c r="H4657" s="248">
        <f>H3937</f>
        <v>5</v>
      </c>
      <c r="I4657" s="159">
        <f t="shared" si="1173"/>
        <v>3.0273000000000002E-4</v>
      </c>
      <c r="J4657" s="160"/>
      <c r="K4657" s="161">
        <f t="shared" si="1188"/>
        <v>6</v>
      </c>
      <c r="L4657" s="250">
        <v>1</v>
      </c>
      <c r="M4657" s="163" t="str">
        <f>CONCATENATE(H4657," ",F4657,"*",I4657,"/",K4657,"чел.")</f>
        <v>5 шт.*0,00030273/6чел.</v>
      </c>
      <c r="N4657" s="164">
        <f>N3457</f>
        <v>43857.106</v>
      </c>
      <c r="O4657" s="165">
        <f>MROUND(G4657*N4657,0.00000001)</f>
        <v>11.06405142</v>
      </c>
      <c r="P4657" s="166"/>
      <c r="Q4657" s="166">
        <f t="shared" si="1187"/>
        <v>66.384308520000005</v>
      </c>
      <c r="R4657" s="71"/>
    </row>
    <row r="4658" spans="1:18" s="61" customFormat="1" ht="31.5" x14ac:dyDescent="0.25">
      <c r="A4658" s="358"/>
      <c r="B4658" s="361"/>
      <c r="C4658" s="366"/>
      <c r="D4658" s="156" t="s">
        <v>35</v>
      </c>
      <c r="E4658" s="156" t="s">
        <v>102</v>
      </c>
      <c r="F4658" s="156" t="s">
        <v>223</v>
      </c>
      <c r="G4658" s="238">
        <f>MROUND(H4658*L4658*I4658/K4658,0.00000001)</f>
        <v>1.76593E-3</v>
      </c>
      <c r="H4658" s="158">
        <f>H3458</f>
        <v>35</v>
      </c>
      <c r="I4658" s="159">
        <f>I4656</f>
        <v>3.0273000000000002E-4</v>
      </c>
      <c r="J4658" s="160"/>
      <c r="K4658" s="161">
        <f>K4656</f>
        <v>6</v>
      </c>
      <c r="L4658" s="250">
        <v>1</v>
      </c>
      <c r="M4658" s="163" t="str">
        <f>CONCATENATE(H4658," ",F4658,"*",I4658,"/",K4658,"чел.")</f>
        <v>35 замеров*0,00030273/6чел.</v>
      </c>
      <c r="N4658" s="164">
        <f>N3458</f>
        <v>26428.571428571428</v>
      </c>
      <c r="O4658" s="165">
        <f t="shared" ref="O4658:O4663" si="1189">MROUND(G4658*N4658,0.000001)</f>
        <v>46.671006999999996</v>
      </c>
      <c r="P4658" s="166"/>
      <c r="Q4658" s="166">
        <f t="shared" si="1187"/>
        <v>280.02604199999996</v>
      </c>
      <c r="R4658" s="71"/>
    </row>
    <row r="4659" spans="1:18" s="61" customFormat="1" ht="47.25" x14ac:dyDescent="0.25">
      <c r="A4659" s="358"/>
      <c r="B4659" s="361"/>
      <c r="C4659" s="366"/>
      <c r="D4659" s="156" t="s">
        <v>399</v>
      </c>
      <c r="E4659" s="156" t="s">
        <v>60</v>
      </c>
      <c r="F4659" s="156" t="s">
        <v>60</v>
      </c>
      <c r="G4659" s="238">
        <f>MROUND(H4659*L4659*I4659/K4659,0.000000001)</f>
        <v>1.7659250000000001E-2</v>
      </c>
      <c r="H4659" s="158">
        <f>H4059</f>
        <v>35</v>
      </c>
      <c r="I4659" s="159">
        <f t="shared" si="1173"/>
        <v>3.0273000000000002E-4</v>
      </c>
      <c r="J4659" s="160"/>
      <c r="K4659" s="161">
        <f>K4658</f>
        <v>6</v>
      </c>
      <c r="L4659" s="250">
        <v>10</v>
      </c>
      <c r="M4659" s="163" t="str">
        <f>CONCATENATE(H4659," ",F4659,"*",L4659,"мес.","*",I4659,"/",K4659,"чел.")</f>
        <v>35 шт.*10мес.*0,00030273/6чел.</v>
      </c>
      <c r="N4659" s="164">
        <f>N4059</f>
        <v>3250.866542857143</v>
      </c>
      <c r="O4659" s="165">
        <f t="shared" si="1189"/>
        <v>57.407864999999994</v>
      </c>
      <c r="P4659" s="166"/>
      <c r="Q4659" s="166">
        <f t="shared" si="1187"/>
        <v>344.44718999999998</v>
      </c>
      <c r="R4659" s="71"/>
    </row>
    <row r="4660" spans="1:18" s="61" customFormat="1" ht="47.25" x14ac:dyDescent="0.25">
      <c r="A4660" s="358"/>
      <c r="B4660" s="361"/>
      <c r="C4660" s="366"/>
      <c r="D4660" s="156" t="s">
        <v>36</v>
      </c>
      <c r="E4660" s="156" t="s">
        <v>31</v>
      </c>
      <c r="F4660" s="156" t="s">
        <v>224</v>
      </c>
      <c r="G4660" s="238">
        <f>MROUND(H4660*L4660*I4660/K4660,0.00000001)</f>
        <v>2.179656E-2</v>
      </c>
      <c r="H4660" s="158">
        <f>H3940</f>
        <v>36</v>
      </c>
      <c r="I4660" s="159">
        <f t="shared" si="1173"/>
        <v>3.0273000000000002E-4</v>
      </c>
      <c r="J4660" s="160"/>
      <c r="K4660" s="161">
        <f>K4659</f>
        <v>6</v>
      </c>
      <c r="L4660" s="250">
        <v>12</v>
      </c>
      <c r="M4660" s="163" t="str">
        <f>CONCATENATE(H4660," ",F4660,"*",L4660,"мес.","*",I4660,"/",K4660,"чел.")</f>
        <v>36 устройств*12мес.*0,00030273/6чел.</v>
      </c>
      <c r="N4660" s="164">
        <f>N3460</f>
        <v>2508.3083101851839</v>
      </c>
      <c r="O4660" s="165">
        <f t="shared" si="1189"/>
        <v>54.672492999999996</v>
      </c>
      <c r="P4660" s="166"/>
      <c r="Q4660" s="166">
        <f t="shared" si="1187"/>
        <v>328.03495799999996</v>
      </c>
      <c r="R4660" s="71"/>
    </row>
    <row r="4661" spans="1:18" s="61" customFormat="1" ht="31.5" x14ac:dyDescent="0.25">
      <c r="A4661" s="358"/>
      <c r="B4661" s="361"/>
      <c r="C4661" s="366"/>
      <c r="D4661" s="156" t="s">
        <v>99</v>
      </c>
      <c r="E4661" s="156" t="s">
        <v>103</v>
      </c>
      <c r="F4661" s="156" t="s">
        <v>225</v>
      </c>
      <c r="G4661" s="238">
        <f>MROUND(H4661*L4661*I4661/K4661,0.00000001)</f>
        <v>1.261375E-2</v>
      </c>
      <c r="H4661" s="158">
        <f>H3461</f>
        <v>250</v>
      </c>
      <c r="I4661" s="159">
        <f t="shared" si="1173"/>
        <v>3.0273000000000002E-4</v>
      </c>
      <c r="J4661" s="160"/>
      <c r="K4661" s="161">
        <f>K4660</f>
        <v>6</v>
      </c>
      <c r="L4661" s="250">
        <v>1</v>
      </c>
      <c r="M4661" s="163" t="str">
        <f>CONCATENATE(H4661," ",F4661,"*",I4661,"/",K4661,"чел.")</f>
        <v>250 ед.*0,00030273/6чел.</v>
      </c>
      <c r="N4661" s="164">
        <f>N3461</f>
        <v>15000</v>
      </c>
      <c r="O4661" s="165">
        <f t="shared" si="1189"/>
        <v>189.20624999999998</v>
      </c>
      <c r="P4661" s="166"/>
      <c r="Q4661" s="166">
        <f t="shared" si="1187"/>
        <v>1135.2375</v>
      </c>
      <c r="R4661" s="71"/>
    </row>
    <row r="4662" spans="1:18" s="61" customFormat="1" x14ac:dyDescent="0.25">
      <c r="A4662" s="358"/>
      <c r="B4662" s="361"/>
      <c r="C4662" s="366"/>
      <c r="D4662" s="156" t="s">
        <v>27</v>
      </c>
      <c r="E4662" s="156" t="s">
        <v>28</v>
      </c>
      <c r="F4662" s="156" t="s">
        <v>28</v>
      </c>
      <c r="G4662" s="238">
        <f>MROUND(H4662*L4662*I4662/K4662,0.000000001)</f>
        <v>0.18340392500000002</v>
      </c>
      <c r="H4662" s="160">
        <f>H3462</f>
        <v>3635</v>
      </c>
      <c r="I4662" s="159">
        <f t="shared" si="1173"/>
        <v>3.0273000000000002E-4</v>
      </c>
      <c r="J4662" s="160"/>
      <c r="K4662" s="161">
        <f>K4661</f>
        <v>6</v>
      </c>
      <c r="L4662" s="250">
        <v>1</v>
      </c>
      <c r="M4662" s="163" t="str">
        <f>CONCATENATE(H4662," ",F4662,"*",I4662,"/",K4662,"чел.")</f>
        <v>3635 шт*0,00030273/6чел.</v>
      </c>
      <c r="N4662" s="164">
        <f>N3462</f>
        <v>418.4</v>
      </c>
      <c r="O4662" s="165">
        <f t="shared" si="1189"/>
        <v>76.736201999999992</v>
      </c>
      <c r="P4662" s="166"/>
      <c r="Q4662" s="166">
        <f t="shared" si="1187"/>
        <v>460.41721199999995</v>
      </c>
      <c r="R4662" s="71"/>
    </row>
    <row r="4663" spans="1:18" s="61" customFormat="1" ht="31.5" x14ac:dyDescent="0.25">
      <c r="A4663" s="358"/>
      <c r="B4663" s="361"/>
      <c r="C4663" s="367"/>
      <c r="D4663" s="156" t="s">
        <v>104</v>
      </c>
      <c r="E4663" s="156" t="s">
        <v>105</v>
      </c>
      <c r="F4663" s="156" t="s">
        <v>226</v>
      </c>
      <c r="G4663" s="238">
        <f>MROUND(H4663*L4663*I4663/K4663,0.00000001)</f>
        <v>1.81638E-3</v>
      </c>
      <c r="H4663" s="160">
        <f>H3583</f>
        <v>36</v>
      </c>
      <c r="I4663" s="159">
        <f t="shared" si="1173"/>
        <v>3.0273000000000002E-4</v>
      </c>
      <c r="J4663" s="160"/>
      <c r="K4663" s="161">
        <f>K4662</f>
        <v>6</v>
      </c>
      <c r="L4663" s="250">
        <v>1</v>
      </c>
      <c r="M4663" s="163" t="str">
        <f>CONCATENATE(H4663," ",F4663,"*",I4663,"/",K4663,"чел.")</f>
        <v>36 отключений*0,00030273/6чел.</v>
      </c>
      <c r="N4663" s="164">
        <f>N3463</f>
        <v>10261.260000000004</v>
      </c>
      <c r="O4663" s="165">
        <f t="shared" si="1189"/>
        <v>18.638347</v>
      </c>
      <c r="P4663" s="166"/>
      <c r="Q4663" s="166">
        <f t="shared" si="1187"/>
        <v>111.830082</v>
      </c>
      <c r="R4663" s="71"/>
    </row>
    <row r="4664" spans="1:18" s="62" customFormat="1" x14ac:dyDescent="0.25">
      <c r="A4664" s="358"/>
      <c r="B4664" s="361"/>
      <c r="C4664" s="249" t="s">
        <v>292</v>
      </c>
      <c r="D4664" s="240"/>
      <c r="E4664" s="240"/>
      <c r="F4664" s="240"/>
      <c r="G4664" s="227"/>
      <c r="H4664" s="228"/>
      <c r="I4664" s="206"/>
      <c r="J4664" s="228"/>
      <c r="K4664" s="207"/>
      <c r="L4664" s="257"/>
      <c r="M4664" s="209"/>
      <c r="N4664" s="210"/>
      <c r="O4664" s="198">
        <f>SUM(O4648:O4663)</f>
        <v>652.15104341999984</v>
      </c>
      <c r="P4664" s="267"/>
      <c r="Q4664" s="166"/>
      <c r="R4664" s="71"/>
    </row>
    <row r="4665" spans="1:18" s="61" customFormat="1" ht="31.5" x14ac:dyDescent="0.25">
      <c r="A4665" s="358"/>
      <c r="B4665" s="361"/>
      <c r="C4665" s="221" t="s">
        <v>79</v>
      </c>
      <c r="D4665" s="156" t="s">
        <v>37</v>
      </c>
      <c r="E4665" s="156" t="s">
        <v>61</v>
      </c>
      <c r="F4665" s="156" t="s">
        <v>227</v>
      </c>
      <c r="G4665" s="238">
        <f>MROUND(H4665*L4665*I4665/K4665,0.000000001)</f>
        <v>2.0182000000000002E-4</v>
      </c>
      <c r="H4665" s="158">
        <f>H3465</f>
        <v>4</v>
      </c>
      <c r="I4665" s="159">
        <f>I4663</f>
        <v>3.0273000000000002E-4</v>
      </c>
      <c r="J4665" s="160"/>
      <c r="K4665" s="161">
        <f>K4663</f>
        <v>6</v>
      </c>
      <c r="L4665" s="250">
        <v>1</v>
      </c>
      <c r="M4665" s="163" t="str">
        <f>CONCATENATE(H4665," ",F4665,"*",I4665,"/",K4665,"чел.")</f>
        <v>4 автобуса*0,00030273/6чел.</v>
      </c>
      <c r="N4665" s="164">
        <f>N3465</f>
        <v>36442.65</v>
      </c>
      <c r="O4665" s="165">
        <f>MROUND(G4665*N4665,0.000001)</f>
        <v>7.3548559999999998</v>
      </c>
      <c r="P4665" s="166"/>
      <c r="Q4665" s="166">
        <f t="shared" ref="Q4665" si="1190">O4665*K4665</f>
        <v>44.129136000000003</v>
      </c>
      <c r="R4665" s="71"/>
    </row>
    <row r="4666" spans="1:18" s="62" customFormat="1" x14ac:dyDescent="0.25">
      <c r="A4666" s="358"/>
      <c r="B4666" s="361"/>
      <c r="C4666" s="218" t="s">
        <v>295</v>
      </c>
      <c r="D4666" s="240"/>
      <c r="E4666" s="240"/>
      <c r="F4666" s="240"/>
      <c r="G4666" s="227"/>
      <c r="H4666" s="241"/>
      <c r="I4666" s="206"/>
      <c r="J4666" s="228"/>
      <c r="K4666" s="207"/>
      <c r="L4666" s="257"/>
      <c r="M4666" s="209"/>
      <c r="N4666" s="210"/>
      <c r="O4666" s="198">
        <f>SUM(O4665)</f>
        <v>7.3548559999999998</v>
      </c>
      <c r="P4666" s="267"/>
      <c r="Q4666" s="166"/>
      <c r="R4666" s="71"/>
    </row>
    <row r="4667" spans="1:18" s="61" customFormat="1" x14ac:dyDescent="0.25">
      <c r="A4667" s="358"/>
      <c r="B4667" s="361"/>
      <c r="C4667" s="364" t="s">
        <v>80</v>
      </c>
      <c r="D4667" s="156" t="s">
        <v>38</v>
      </c>
      <c r="E4667" s="156" t="s">
        <v>57</v>
      </c>
      <c r="F4667" s="156" t="s">
        <v>228</v>
      </c>
      <c r="G4667" s="238">
        <f>MROUND(H4667*L4667*I4667/K4667,0.0000000001)</f>
        <v>2.179656E-2</v>
      </c>
      <c r="H4667" s="158">
        <f>H3467</f>
        <v>36</v>
      </c>
      <c r="I4667" s="159">
        <f>I4665</f>
        <v>3.0273000000000002E-4</v>
      </c>
      <c r="J4667" s="160"/>
      <c r="K4667" s="161">
        <f>K4665</f>
        <v>6</v>
      </c>
      <c r="L4667" s="250">
        <v>12</v>
      </c>
      <c r="M4667" s="163" t="str">
        <f>CONCATENATE(H4667," ",F4667,"*",L4667,"мес.","*",I4667,"/",K4667,"чел.")</f>
        <v>36 зданий*12мес.*0,00030273/6чел.</v>
      </c>
      <c r="N4667" s="164">
        <f t="shared" ref="N4667:N4675" si="1191">N3467</f>
        <v>4910.5833101851858</v>
      </c>
      <c r="O4667" s="165">
        <f>MROUND(G4667*N4667,0.000001)</f>
        <v>107.033824</v>
      </c>
      <c r="P4667" s="166"/>
      <c r="Q4667" s="166">
        <f t="shared" ref="Q4667:Q4680" si="1192">O4667*K4667</f>
        <v>642.202944</v>
      </c>
      <c r="R4667" s="71"/>
    </row>
    <row r="4668" spans="1:18" s="61" customFormat="1" ht="47.25" x14ac:dyDescent="0.25">
      <c r="A4668" s="358"/>
      <c r="B4668" s="361"/>
      <c r="C4668" s="364"/>
      <c r="D4668" s="156" t="s">
        <v>229</v>
      </c>
      <c r="E4668" s="156" t="s">
        <v>60</v>
      </c>
      <c r="F4668" s="156" t="s">
        <v>60</v>
      </c>
      <c r="G4668" s="238">
        <f>MROUND(H4668*L4668*I4668/K4668,0.000001)</f>
        <v>0.12078899999999999</v>
      </c>
      <c r="H4668" s="158">
        <f>H3468</f>
        <v>2394</v>
      </c>
      <c r="I4668" s="159">
        <f>I4667</f>
        <v>3.0273000000000002E-4</v>
      </c>
      <c r="J4668" s="160"/>
      <c r="K4668" s="161">
        <f>K4667</f>
        <v>6</v>
      </c>
      <c r="L4668" s="250">
        <v>1</v>
      </c>
      <c r="M4668" s="163" t="str">
        <f t="shared" ref="M4668:M4675" si="1193">CONCATENATE(H4668," ",F4668,"*",I4668,"/",K4668,"чел.")</f>
        <v>2394 шт.*0,00030273/6чел.</v>
      </c>
      <c r="N4668" s="164">
        <f t="shared" si="1191"/>
        <v>171.02101921470341</v>
      </c>
      <c r="O4668" s="165">
        <f>MROUND(G4668*N4668,0.000001)</f>
        <v>20.657457999999998</v>
      </c>
      <c r="P4668" s="166"/>
      <c r="Q4668" s="166">
        <f t="shared" si="1192"/>
        <v>123.94474799999999</v>
      </c>
      <c r="R4668" s="71"/>
    </row>
    <row r="4669" spans="1:18" s="61" customFormat="1" ht="47.25" x14ac:dyDescent="0.25">
      <c r="A4669" s="358"/>
      <c r="B4669" s="361"/>
      <c r="C4669" s="364"/>
      <c r="D4669" s="156" t="s">
        <v>405</v>
      </c>
      <c r="E4669" s="156" t="s">
        <v>60</v>
      </c>
      <c r="F4669" s="156" t="s">
        <v>406</v>
      </c>
      <c r="G4669" s="238">
        <f>MROUND(H4669*L4669*I4669/K4669,0.00000001)</f>
        <v>1.81638E-3</v>
      </c>
      <c r="H4669" s="158">
        <f>H3709</f>
        <v>36</v>
      </c>
      <c r="I4669" s="159">
        <f>I4668</f>
        <v>3.0273000000000002E-4</v>
      </c>
      <c r="J4669" s="160"/>
      <c r="K4669" s="161">
        <f>K4668</f>
        <v>6</v>
      </c>
      <c r="L4669" s="250">
        <v>1</v>
      </c>
      <c r="M4669" s="163" t="str">
        <f t="shared" si="1193"/>
        <v>36 лицензий*0,00030273/6чел.</v>
      </c>
      <c r="N4669" s="164">
        <f t="shared" si="1191"/>
        <v>12541.539999999994</v>
      </c>
      <c r="O4669" s="165">
        <f t="shared" ref="O4669:O4678" si="1194">MROUND(G4669*N4669,0.000001)</f>
        <v>22.780201999999999</v>
      </c>
      <c r="P4669" s="166"/>
      <c r="Q4669" s="166">
        <f t="shared" si="1192"/>
        <v>136.68121199999999</v>
      </c>
      <c r="R4669" s="71"/>
    </row>
    <row r="4670" spans="1:18" s="61" customFormat="1" ht="63" x14ac:dyDescent="0.25">
      <c r="A4670" s="358"/>
      <c r="B4670" s="361"/>
      <c r="C4670" s="364"/>
      <c r="D4670" s="156" t="s">
        <v>39</v>
      </c>
      <c r="E4670" s="156" t="s">
        <v>20</v>
      </c>
      <c r="F4670" s="156" t="s">
        <v>234</v>
      </c>
      <c r="G4670" s="238">
        <f>MROUND(H4670*L4670*I4670/K4670,0.000000001)</f>
        <v>5.9536900000000002E-3</v>
      </c>
      <c r="H4670" s="158">
        <f>H4190</f>
        <v>118</v>
      </c>
      <c r="I4670" s="159">
        <f>I4668</f>
        <v>3.0273000000000002E-4</v>
      </c>
      <c r="J4670" s="160"/>
      <c r="K4670" s="161">
        <f>K4668</f>
        <v>6</v>
      </c>
      <c r="L4670" s="250">
        <v>1</v>
      </c>
      <c r="M4670" s="163" t="str">
        <f t="shared" si="1193"/>
        <v>118 чел(заявленная потребность руководителями учреждений)*0,00030273/6чел.</v>
      </c>
      <c r="N4670" s="164">
        <f t="shared" si="1191"/>
        <v>798.09796610169519</v>
      </c>
      <c r="O4670" s="165">
        <f t="shared" si="1194"/>
        <v>4.7516280000000002</v>
      </c>
      <c r="P4670" s="166"/>
      <c r="Q4670" s="166">
        <f t="shared" si="1192"/>
        <v>28.509768000000001</v>
      </c>
      <c r="R4670" s="71"/>
    </row>
    <row r="4671" spans="1:18" s="61" customFormat="1" ht="63" x14ac:dyDescent="0.25">
      <c r="A4671" s="358"/>
      <c r="B4671" s="361"/>
      <c r="C4671" s="364"/>
      <c r="D4671" s="156" t="s">
        <v>40</v>
      </c>
      <c r="E4671" s="156" t="s">
        <v>20</v>
      </c>
      <c r="F4671" s="156" t="s">
        <v>234</v>
      </c>
      <c r="G4671" s="238">
        <f>MROUND(H4671*L4671*I4671/K4671,0.000000001)</f>
        <v>4.8436800000000004E-3</v>
      </c>
      <c r="H4671" s="158">
        <f>H4191</f>
        <v>96</v>
      </c>
      <c r="I4671" s="159">
        <f t="shared" ref="I4671:I4678" si="1195">I4670</f>
        <v>3.0273000000000002E-4</v>
      </c>
      <c r="J4671" s="160"/>
      <c r="K4671" s="161">
        <f t="shared" ref="K4671:K4678" si="1196">K4670</f>
        <v>6</v>
      </c>
      <c r="L4671" s="250">
        <v>1</v>
      </c>
      <c r="M4671" s="163" t="str">
        <f t="shared" si="1193"/>
        <v>96 чел(заявленная потребность руководителями учреждений)*0,00030273/6чел.</v>
      </c>
      <c r="N4671" s="164">
        <f t="shared" si="1191"/>
        <v>1710.2100000000007</v>
      </c>
      <c r="O4671" s="165">
        <f t="shared" si="1194"/>
        <v>8.2837099999999992</v>
      </c>
      <c r="P4671" s="166"/>
      <c r="Q4671" s="166">
        <f t="shared" si="1192"/>
        <v>49.702259999999995</v>
      </c>
      <c r="R4671" s="71"/>
    </row>
    <row r="4672" spans="1:18" s="61" customFormat="1" ht="63" x14ac:dyDescent="0.25">
      <c r="A4672" s="358"/>
      <c r="B4672" s="361"/>
      <c r="C4672" s="364"/>
      <c r="D4672" s="156" t="s">
        <v>100</v>
      </c>
      <c r="E4672" s="156" t="s">
        <v>20</v>
      </c>
      <c r="F4672" s="156" t="s">
        <v>234</v>
      </c>
      <c r="G4672" s="238">
        <f>MROUND(H4672*L4672*I4672/K4672,0.0000000001)</f>
        <v>4.0868550000000003E-3</v>
      </c>
      <c r="H4672" s="158">
        <f>H4192</f>
        <v>81</v>
      </c>
      <c r="I4672" s="159">
        <f t="shared" si="1195"/>
        <v>3.0273000000000002E-4</v>
      </c>
      <c r="J4672" s="160"/>
      <c r="K4672" s="161">
        <f t="shared" si="1196"/>
        <v>6</v>
      </c>
      <c r="L4672" s="250">
        <v>1</v>
      </c>
      <c r="M4672" s="163" t="str">
        <f t="shared" si="1193"/>
        <v>81 чел(заявленная потребность руководителями учреждений)*0,00030273/6чел.</v>
      </c>
      <c r="N4672" s="164">
        <f t="shared" si="1191"/>
        <v>3648.448148148148</v>
      </c>
      <c r="O4672" s="165">
        <f t="shared" si="1194"/>
        <v>14.910679</v>
      </c>
      <c r="P4672" s="166"/>
      <c r="Q4672" s="166">
        <f t="shared" si="1192"/>
        <v>89.464073999999997</v>
      </c>
      <c r="R4672" s="71"/>
    </row>
    <row r="4673" spans="1:18" s="61" customFormat="1" ht="110.25" x14ac:dyDescent="0.25">
      <c r="A4673" s="358"/>
      <c r="B4673" s="361"/>
      <c r="C4673" s="364"/>
      <c r="D4673" s="156" t="s">
        <v>235</v>
      </c>
      <c r="E4673" s="156" t="s">
        <v>50</v>
      </c>
      <c r="F4673" s="156" t="s">
        <v>230</v>
      </c>
      <c r="G4673" s="238">
        <f>MROUND(H4673*L4673*I4673/K4673,0.00000001)</f>
        <v>1.81638E-3</v>
      </c>
      <c r="H4673" s="158">
        <f>H4433</f>
        <v>36</v>
      </c>
      <c r="I4673" s="159">
        <f t="shared" si="1195"/>
        <v>3.0273000000000002E-4</v>
      </c>
      <c r="J4673" s="160"/>
      <c r="K4673" s="161">
        <f t="shared" si="1196"/>
        <v>6</v>
      </c>
      <c r="L4673" s="250">
        <v>1</v>
      </c>
      <c r="M4673" s="163" t="str">
        <f t="shared" si="1193"/>
        <v>36 отчетов*0,00030273/6чел.</v>
      </c>
      <c r="N4673" s="164">
        <f t="shared" si="1191"/>
        <v>6840.8399999999974</v>
      </c>
      <c r="O4673" s="165">
        <f t="shared" si="1194"/>
        <v>12.425564999999999</v>
      </c>
      <c r="P4673" s="166"/>
      <c r="Q4673" s="166">
        <f t="shared" si="1192"/>
        <v>74.553389999999993</v>
      </c>
      <c r="R4673" s="71"/>
    </row>
    <row r="4674" spans="1:18" s="61" customFormat="1" ht="63" x14ac:dyDescent="0.25">
      <c r="A4674" s="358"/>
      <c r="B4674" s="361"/>
      <c r="C4674" s="364"/>
      <c r="D4674" s="156" t="s">
        <v>42</v>
      </c>
      <c r="E4674" s="156" t="s">
        <v>51</v>
      </c>
      <c r="F4674" s="156" t="s">
        <v>407</v>
      </c>
      <c r="G4674" s="238">
        <f>MROUND(H4674*L4674*I4674/K4674,0.000001)</f>
        <v>1.0293E-2</v>
      </c>
      <c r="H4674" s="158">
        <f>H4194</f>
        <v>204</v>
      </c>
      <c r="I4674" s="159">
        <f t="shared" si="1195"/>
        <v>3.0273000000000002E-4</v>
      </c>
      <c r="J4674" s="160"/>
      <c r="K4674" s="161">
        <f t="shared" si="1196"/>
        <v>6</v>
      </c>
      <c r="L4674" s="250">
        <v>1</v>
      </c>
      <c r="M4674" s="163" t="str">
        <f t="shared" si="1193"/>
        <v>204 ед (заявленная потребность руководителями учреждений)*0,00030273/6чел.</v>
      </c>
      <c r="N4674" s="164">
        <f t="shared" si="1191"/>
        <v>1140.1400000000001</v>
      </c>
      <c r="O4674" s="165">
        <f t="shared" si="1194"/>
        <v>11.735460999999999</v>
      </c>
      <c r="P4674" s="166"/>
      <c r="Q4674" s="166">
        <f t="shared" si="1192"/>
        <v>70.412765999999991</v>
      </c>
      <c r="R4674" s="71"/>
    </row>
    <row r="4675" spans="1:18" s="61" customFormat="1" ht="31.5" x14ac:dyDescent="0.25">
      <c r="A4675" s="358"/>
      <c r="B4675" s="361"/>
      <c r="C4675" s="364"/>
      <c r="D4675" s="156" t="s">
        <v>43</v>
      </c>
      <c r="E4675" s="156" t="s">
        <v>52</v>
      </c>
      <c r="F4675" s="156" t="s">
        <v>231</v>
      </c>
      <c r="G4675" s="238">
        <f>MROUND(H4675*L4675*I4675/K4675,0.000000001)</f>
        <v>1.81638E-3</v>
      </c>
      <c r="H4675" s="158">
        <f>H3595</f>
        <v>36</v>
      </c>
      <c r="I4675" s="159">
        <f t="shared" si="1195"/>
        <v>3.0273000000000002E-4</v>
      </c>
      <c r="J4675" s="160"/>
      <c r="K4675" s="161">
        <f t="shared" si="1196"/>
        <v>6</v>
      </c>
      <c r="L4675" s="250">
        <v>1</v>
      </c>
      <c r="M4675" s="163" t="str">
        <f t="shared" si="1193"/>
        <v>36 ЭЦП*0,00030273/6чел.</v>
      </c>
      <c r="N4675" s="164">
        <f t="shared" si="1191"/>
        <v>8099.5499999999947</v>
      </c>
      <c r="O4675" s="165">
        <f t="shared" si="1194"/>
        <v>14.711860999999999</v>
      </c>
      <c r="P4675" s="166"/>
      <c r="Q4675" s="166">
        <f t="shared" si="1192"/>
        <v>88.271165999999994</v>
      </c>
      <c r="R4675" s="71"/>
    </row>
    <row r="4676" spans="1:18" s="61" customFormat="1" ht="47.25" x14ac:dyDescent="0.25">
      <c r="A4676" s="358"/>
      <c r="B4676" s="361"/>
      <c r="C4676" s="364"/>
      <c r="D4676" s="156" t="s">
        <v>44</v>
      </c>
      <c r="E4676" s="156" t="s">
        <v>85</v>
      </c>
      <c r="F4676" s="156" t="s">
        <v>232</v>
      </c>
      <c r="G4676" s="238">
        <f>MROUND(H4676*L4676*I4676/K4676,0.000001)</f>
        <v>6.1352999999999998E-2</v>
      </c>
      <c r="H4676" s="158">
        <f>H3596</f>
        <v>1216</v>
      </c>
      <c r="I4676" s="159">
        <f t="shared" si="1195"/>
        <v>3.0273000000000002E-4</v>
      </c>
      <c r="J4676" s="160"/>
      <c r="K4676" s="161">
        <f t="shared" si="1196"/>
        <v>6</v>
      </c>
      <c r="L4676" s="250">
        <v>1</v>
      </c>
      <c r="M4676" s="163" t="str">
        <f>CONCATENATE(H4676," ",F4676,"*",L4676,"мес.","*",I4676,"/",K4676,"чел.")</f>
        <v>1216 мед.осмотров в мес.*1мес.*0,00030273/6чел.</v>
      </c>
      <c r="N4676" s="164">
        <f>N3596</f>
        <v>59.287277960526318</v>
      </c>
      <c r="O4676" s="165">
        <f t="shared" si="1194"/>
        <v>3.6374519999999997</v>
      </c>
      <c r="P4676" s="166"/>
      <c r="Q4676" s="166">
        <f t="shared" si="1192"/>
        <v>21.824711999999998</v>
      </c>
      <c r="R4676" s="71"/>
    </row>
    <row r="4677" spans="1:18" s="61" customFormat="1" ht="63" x14ac:dyDescent="0.25">
      <c r="A4677" s="358"/>
      <c r="B4677" s="361"/>
      <c r="C4677" s="364"/>
      <c r="D4677" s="156" t="s">
        <v>45</v>
      </c>
      <c r="E4677" s="156" t="s">
        <v>53</v>
      </c>
      <c r="F4677" s="156" t="s">
        <v>233</v>
      </c>
      <c r="G4677" s="238">
        <f>MROUND(H4677*L4677*I4677/K4677,0.000000001)</f>
        <v>2.4218400000000002E-3</v>
      </c>
      <c r="H4677" s="158">
        <f>H4197</f>
        <v>4</v>
      </c>
      <c r="I4677" s="159">
        <f t="shared" si="1195"/>
        <v>3.0273000000000002E-4</v>
      </c>
      <c r="J4677" s="160"/>
      <c r="K4677" s="161">
        <f t="shared" si="1196"/>
        <v>6</v>
      </c>
      <c r="L4677" s="250">
        <v>12</v>
      </c>
      <c r="M4677" s="163" t="str">
        <f>CONCATENATE(H4677," ",F4677,"*",L4677,"мес.","*",I4677,"/",K4677,"чел.")</f>
        <v>4  машины, оборудованных системой ГЛОНАСС*12мес.*0,00030273/6чел.</v>
      </c>
      <c r="N4677" s="164">
        <f>N3477</f>
        <v>921.23312500000009</v>
      </c>
      <c r="O4677" s="165">
        <f t="shared" si="1194"/>
        <v>2.2310789999999998</v>
      </c>
      <c r="P4677" s="166"/>
      <c r="Q4677" s="166">
        <f t="shared" si="1192"/>
        <v>13.386474</v>
      </c>
      <c r="R4677" s="71"/>
    </row>
    <row r="4678" spans="1:18" s="61" customFormat="1" ht="31.5" x14ac:dyDescent="0.25">
      <c r="A4678" s="358"/>
      <c r="B4678" s="361"/>
      <c r="C4678" s="364"/>
      <c r="D4678" s="156" t="s">
        <v>408</v>
      </c>
      <c r="E4678" s="156" t="s">
        <v>20</v>
      </c>
      <c r="F4678" s="156" t="s">
        <v>20</v>
      </c>
      <c r="G4678" s="238">
        <f>MROUND(H4678*L4678*I4678/K4678,0.000000001)</f>
        <v>8.5622135000000002E-2</v>
      </c>
      <c r="H4678" s="158">
        <f>H3478</f>
        <v>1697</v>
      </c>
      <c r="I4678" s="159">
        <f t="shared" si="1195"/>
        <v>3.0273000000000002E-4</v>
      </c>
      <c r="J4678" s="160"/>
      <c r="K4678" s="161">
        <f t="shared" si="1196"/>
        <v>6</v>
      </c>
      <c r="L4678" s="250">
        <v>1</v>
      </c>
      <c r="M4678" s="163" t="str">
        <f>CONCATENATE(H4678," ",F4678,"*",L4678," раз в год","*",I4678,"/",K4678,"чел.")</f>
        <v>1697 чел.*1 раз в год*0,00030273/6чел.</v>
      </c>
      <c r="N4678" s="164">
        <f>N3478</f>
        <v>570.06999999999994</v>
      </c>
      <c r="O4678" s="165">
        <f t="shared" si="1194"/>
        <v>48.810609999999997</v>
      </c>
      <c r="P4678" s="166"/>
      <c r="Q4678" s="166">
        <f t="shared" si="1192"/>
        <v>292.86365999999998</v>
      </c>
      <c r="R4678" s="71"/>
    </row>
    <row r="4679" spans="1:18" s="61" customFormat="1" x14ac:dyDescent="0.25">
      <c r="A4679" s="358"/>
      <c r="B4679" s="361"/>
      <c r="C4679" s="364"/>
      <c r="D4679" s="156" t="s">
        <v>373</v>
      </c>
      <c r="E4679" s="156" t="s">
        <v>28</v>
      </c>
      <c r="F4679" s="156" t="s">
        <v>28</v>
      </c>
      <c r="G4679" s="157">
        <f>MROUND(H4679*L4679*I4679/K4679,0.000000001)</f>
        <v>1.81638E-3</v>
      </c>
      <c r="H4679" s="158">
        <f>H3480</f>
        <v>36</v>
      </c>
      <c r="I4679" s="159">
        <f>I4677</f>
        <v>3.0273000000000002E-4</v>
      </c>
      <c r="J4679" s="160"/>
      <c r="K4679" s="161">
        <f>K4677</f>
        <v>6</v>
      </c>
      <c r="L4679" s="162">
        <v>1</v>
      </c>
      <c r="M4679" s="163" t="str">
        <f>CONCATENATE(H4679," ",F4679,"*",L4679,"мес.","*",I4679,"/",K4679,"чел.")</f>
        <v>36 шт*1мес.*0,00030273/6чел.</v>
      </c>
      <c r="N4679" s="164">
        <f>N3480</f>
        <v>24000</v>
      </c>
      <c r="O4679" s="165">
        <f>MROUND(G4679*N4679,0.000000001)</f>
        <v>43.593120000000006</v>
      </c>
      <c r="P4679" s="166"/>
      <c r="Q4679" s="166">
        <f t="shared" si="1192"/>
        <v>261.55872000000005</v>
      </c>
      <c r="R4679" s="71"/>
    </row>
    <row r="4680" spans="1:18" s="61" customFormat="1" ht="31.5" x14ac:dyDescent="0.25">
      <c r="A4680" s="358"/>
      <c r="B4680" s="361"/>
      <c r="C4680" s="364"/>
      <c r="D4680" s="156" t="s">
        <v>106</v>
      </c>
      <c r="E4680" s="156" t="s">
        <v>107</v>
      </c>
      <c r="F4680" s="156"/>
      <c r="G4680" s="238">
        <f>MROUND(H4680*L4680*I4680/K4680,0.000000001)</f>
        <v>0</v>
      </c>
      <c r="H4680" s="158">
        <f>H3479</f>
        <v>0</v>
      </c>
      <c r="I4680" s="159">
        <f>I4677</f>
        <v>3.0273000000000002E-4</v>
      </c>
      <c r="J4680" s="160"/>
      <c r="K4680" s="161">
        <f>K4677</f>
        <v>6</v>
      </c>
      <c r="L4680" s="250">
        <f>L3840</f>
        <v>0</v>
      </c>
      <c r="M4680" s="163"/>
      <c r="N4680" s="164">
        <f>N3479</f>
        <v>6.0000000000000002E-5</v>
      </c>
      <c r="O4680" s="165">
        <f>MROUND(G4680*N4680,0.000000001)</f>
        <v>0</v>
      </c>
      <c r="P4680" s="166"/>
      <c r="Q4680" s="166">
        <f t="shared" si="1192"/>
        <v>0</v>
      </c>
      <c r="R4680" s="71"/>
    </row>
    <row r="4681" spans="1:18" s="62" customFormat="1" x14ac:dyDescent="0.25">
      <c r="A4681" s="358"/>
      <c r="B4681" s="361"/>
      <c r="C4681" s="245" t="s">
        <v>296</v>
      </c>
      <c r="D4681" s="240"/>
      <c r="E4681" s="240"/>
      <c r="F4681" s="240"/>
      <c r="G4681" s="227"/>
      <c r="H4681" s="241"/>
      <c r="I4681" s="206"/>
      <c r="J4681" s="228"/>
      <c r="K4681" s="207"/>
      <c r="L4681" s="257"/>
      <c r="M4681" s="209"/>
      <c r="N4681" s="210"/>
      <c r="O4681" s="198">
        <f>SUM(O4667:O4680)</f>
        <v>315.56264899999996</v>
      </c>
      <c r="P4681" s="267"/>
      <c r="Q4681" s="166"/>
      <c r="R4681" s="71"/>
    </row>
    <row r="4682" spans="1:18" s="61" customFormat="1" ht="31.5" x14ac:dyDescent="0.25">
      <c r="A4682" s="358"/>
      <c r="B4682" s="361"/>
      <c r="C4682" s="252" t="s">
        <v>237</v>
      </c>
      <c r="D4682" s="156" t="s">
        <v>41</v>
      </c>
      <c r="E4682" s="156" t="s">
        <v>61</v>
      </c>
      <c r="F4682" s="156" t="s">
        <v>227</v>
      </c>
      <c r="G4682" s="238">
        <f>MROUND(H4682*L4682*I4682/K4682,0.000000001)</f>
        <v>2.0182000000000002E-4</v>
      </c>
      <c r="H4682" s="158">
        <f>H3602</f>
        <v>4</v>
      </c>
      <c r="I4682" s="159">
        <f>I4680</f>
        <v>3.0273000000000002E-4</v>
      </c>
      <c r="J4682" s="160"/>
      <c r="K4682" s="161">
        <f>K4680</f>
        <v>6</v>
      </c>
      <c r="L4682" s="250">
        <v>1</v>
      </c>
      <c r="M4682" s="163" t="str">
        <f>CONCATENATE(H4682," ",F4682,"*",I4682,"/",K4682,"чел.")</f>
        <v>4 автобуса*0,00030273/6чел.</v>
      </c>
      <c r="N4682" s="164">
        <f>N3482</f>
        <v>26907.305</v>
      </c>
      <c r="O4682" s="165">
        <f>MROUND(G4682*N4682,0.000001)</f>
        <v>5.4304319999999997</v>
      </c>
      <c r="P4682" s="166"/>
      <c r="Q4682" s="166">
        <f t="shared" ref="Q4682" si="1197">O4682*K4682</f>
        <v>32.582591999999998</v>
      </c>
      <c r="R4682" s="71"/>
    </row>
    <row r="4683" spans="1:18" s="62" customFormat="1" x14ac:dyDescent="0.25">
      <c r="A4683" s="358"/>
      <c r="B4683" s="361"/>
      <c r="C4683" s="245" t="s">
        <v>297</v>
      </c>
      <c r="D4683" s="240"/>
      <c r="E4683" s="240"/>
      <c r="F4683" s="240"/>
      <c r="G4683" s="227"/>
      <c r="H4683" s="241"/>
      <c r="I4683" s="206"/>
      <c r="J4683" s="228"/>
      <c r="K4683" s="207"/>
      <c r="L4683" s="257"/>
      <c r="M4683" s="209"/>
      <c r="N4683" s="210"/>
      <c r="O4683" s="198">
        <f>SUM(O4682)</f>
        <v>5.4304319999999997</v>
      </c>
      <c r="P4683" s="267"/>
      <c r="Q4683" s="166"/>
      <c r="R4683" s="71"/>
    </row>
    <row r="4684" spans="1:18" s="61" customFormat="1" ht="78.75" x14ac:dyDescent="0.25">
      <c r="A4684" s="358"/>
      <c r="B4684" s="361"/>
      <c r="C4684" s="221" t="s">
        <v>236</v>
      </c>
      <c r="D4684" s="156" t="s">
        <v>19</v>
      </c>
      <c r="E4684" s="181" t="s">
        <v>20</v>
      </c>
      <c r="F4684" s="181" t="s">
        <v>238</v>
      </c>
      <c r="G4684" s="238">
        <f>MROUND(H4684*L4684*I4684/K4684,0.000001)</f>
        <v>0</v>
      </c>
      <c r="H4684" s="158"/>
      <c r="I4684" s="159">
        <f>I4680</f>
        <v>3.0273000000000002E-4</v>
      </c>
      <c r="J4684" s="160"/>
      <c r="K4684" s="161">
        <f>K4680</f>
        <v>6</v>
      </c>
      <c r="L4684" s="250"/>
      <c r="M4684" s="163"/>
      <c r="N4684" s="164"/>
      <c r="O4684" s="165">
        <f>MROUND(G4684*N4684,0.000001)</f>
        <v>0</v>
      </c>
      <c r="P4684" s="166"/>
      <c r="Q4684" s="166">
        <f t="shared" ref="Q4684" si="1198">O4684*K4684</f>
        <v>0</v>
      </c>
      <c r="R4684" s="71"/>
    </row>
    <row r="4685" spans="1:18" s="62" customFormat="1" x14ac:dyDescent="0.25">
      <c r="A4685" s="358"/>
      <c r="B4685" s="361"/>
      <c r="C4685" s="245" t="s">
        <v>298</v>
      </c>
      <c r="D4685" s="240"/>
      <c r="E4685" s="253"/>
      <c r="F4685" s="253"/>
      <c r="G4685" s="227"/>
      <c r="H4685" s="241"/>
      <c r="I4685" s="206"/>
      <c r="J4685" s="228"/>
      <c r="K4685" s="207"/>
      <c r="L4685" s="257"/>
      <c r="M4685" s="209"/>
      <c r="N4685" s="210"/>
      <c r="O4685" s="198">
        <f>SUM(O4684)</f>
        <v>0</v>
      </c>
      <c r="P4685" s="267"/>
      <c r="Q4685" s="166"/>
      <c r="R4685" s="71"/>
    </row>
    <row r="4686" spans="1:18" s="61" customFormat="1" ht="30" x14ac:dyDescent="0.25">
      <c r="A4686" s="358"/>
      <c r="B4686" s="361"/>
      <c r="C4686" s="365" t="s">
        <v>81</v>
      </c>
      <c r="D4686" s="254" t="s">
        <v>410</v>
      </c>
      <c r="E4686" s="156" t="s">
        <v>28</v>
      </c>
      <c r="F4686" s="156" t="s">
        <v>28</v>
      </c>
      <c r="G4686" s="238">
        <f>MROUND(H4686*L4686*I4686/K4686,0.0000000001)</f>
        <v>0</v>
      </c>
      <c r="H4686" s="158"/>
      <c r="I4686" s="159">
        <f>I4680</f>
        <v>3.0273000000000002E-4</v>
      </c>
      <c r="J4686" s="160"/>
      <c r="K4686" s="161">
        <f>K4680</f>
        <v>6</v>
      </c>
      <c r="L4686" s="250">
        <v>1</v>
      </c>
      <c r="M4686" s="163"/>
      <c r="N4686" s="164"/>
      <c r="O4686" s="165">
        <f>MROUND(G4686*N4686,0.000001)</f>
        <v>0</v>
      </c>
      <c r="P4686" s="166"/>
      <c r="Q4686" s="166">
        <f t="shared" ref="Q4686:Q4709" si="1199">O4686*K4686</f>
        <v>0</v>
      </c>
      <c r="R4686" s="71"/>
    </row>
    <row r="4687" spans="1:18" s="61" customFormat="1" x14ac:dyDescent="0.25">
      <c r="A4687" s="358"/>
      <c r="B4687" s="361"/>
      <c r="C4687" s="366"/>
      <c r="D4687" s="254" t="s">
        <v>325</v>
      </c>
      <c r="E4687" s="156" t="s">
        <v>28</v>
      </c>
      <c r="F4687" s="156" t="s">
        <v>28</v>
      </c>
      <c r="G4687" s="157">
        <f>MROUND(H4687*L4687*I4687/K4687,0.0000000001)</f>
        <v>0</v>
      </c>
      <c r="H4687" s="158"/>
      <c r="I4687" s="159">
        <f>I4686</f>
        <v>3.0273000000000002E-4</v>
      </c>
      <c r="J4687" s="160"/>
      <c r="K4687" s="161">
        <f>K4686</f>
        <v>6</v>
      </c>
      <c r="L4687" s="250">
        <v>1</v>
      </c>
      <c r="M4687" s="163"/>
      <c r="N4687" s="164"/>
      <c r="O4687" s="165">
        <f>MROUND(G4687*N4687,0.000001)</f>
        <v>0</v>
      </c>
      <c r="P4687" s="166"/>
      <c r="Q4687" s="166">
        <f t="shared" si="1199"/>
        <v>0</v>
      </c>
      <c r="R4687" s="71"/>
    </row>
    <row r="4688" spans="1:18" s="61" customFormat="1" ht="30" x14ac:dyDescent="0.25">
      <c r="A4688" s="358"/>
      <c r="B4688" s="361"/>
      <c r="C4688" s="366"/>
      <c r="D4688" s="254" t="s">
        <v>411</v>
      </c>
      <c r="E4688" s="156" t="s">
        <v>28</v>
      </c>
      <c r="F4688" s="156" t="s">
        <v>28</v>
      </c>
      <c r="G4688" s="238">
        <f>MROUND(H4688*L4688*I4688/K4688,0.00000001)</f>
        <v>0</v>
      </c>
      <c r="H4688" s="158"/>
      <c r="I4688" s="159">
        <f>I4686</f>
        <v>3.0273000000000002E-4</v>
      </c>
      <c r="J4688" s="160"/>
      <c r="K4688" s="161">
        <f>K4686</f>
        <v>6</v>
      </c>
      <c r="L4688" s="250">
        <v>1</v>
      </c>
      <c r="M4688" s="163"/>
      <c r="N4688" s="164"/>
      <c r="O4688" s="165">
        <f t="shared" ref="O4688:O4709" si="1200">MROUND(G4688*N4688,0.000001)</f>
        <v>0</v>
      </c>
      <c r="P4688" s="166"/>
      <c r="Q4688" s="166">
        <f t="shared" si="1199"/>
        <v>0</v>
      </c>
      <c r="R4688" s="71"/>
    </row>
    <row r="4689" spans="1:18" s="61" customFormat="1" x14ac:dyDescent="0.25">
      <c r="A4689" s="358"/>
      <c r="B4689" s="361"/>
      <c r="C4689" s="366"/>
      <c r="D4689" s="255" t="s">
        <v>412</v>
      </c>
      <c r="E4689" s="156" t="s">
        <v>28</v>
      </c>
      <c r="F4689" s="156" t="s">
        <v>28</v>
      </c>
      <c r="G4689" s="238">
        <f>MROUND(H4689*L4689*I4689/K4689,0.00000001)</f>
        <v>0</v>
      </c>
      <c r="H4689" s="158"/>
      <c r="I4689" s="159">
        <f>I4688</f>
        <v>3.0273000000000002E-4</v>
      </c>
      <c r="J4689" s="160"/>
      <c r="K4689" s="161">
        <f>K4688</f>
        <v>6</v>
      </c>
      <c r="L4689" s="250">
        <v>1</v>
      </c>
      <c r="M4689" s="163"/>
      <c r="N4689" s="164"/>
      <c r="O4689" s="165">
        <f t="shared" si="1200"/>
        <v>0</v>
      </c>
      <c r="P4689" s="166"/>
      <c r="Q4689" s="166">
        <f t="shared" si="1199"/>
        <v>0</v>
      </c>
      <c r="R4689" s="71"/>
    </row>
    <row r="4690" spans="1:18" s="61" customFormat="1" ht="31.5" x14ac:dyDescent="0.25">
      <c r="A4690" s="358"/>
      <c r="B4690" s="361"/>
      <c r="C4690" s="366"/>
      <c r="D4690" s="255" t="s">
        <v>413</v>
      </c>
      <c r="E4690" s="156" t="s">
        <v>28</v>
      </c>
      <c r="F4690" s="156" t="s">
        <v>28</v>
      </c>
      <c r="G4690" s="238">
        <f>MROUND(H4690*L4690*I4690/K4690,0.0000000001)</f>
        <v>0</v>
      </c>
      <c r="H4690" s="158"/>
      <c r="I4690" s="159">
        <f>I4689</f>
        <v>3.0273000000000002E-4</v>
      </c>
      <c r="J4690" s="160"/>
      <c r="K4690" s="161">
        <f>K4689</f>
        <v>6</v>
      </c>
      <c r="L4690" s="250">
        <v>1</v>
      </c>
      <c r="M4690" s="163"/>
      <c r="N4690" s="164"/>
      <c r="O4690" s="165">
        <f t="shared" si="1200"/>
        <v>0</v>
      </c>
      <c r="P4690" s="166"/>
      <c r="Q4690" s="166">
        <f t="shared" si="1199"/>
        <v>0</v>
      </c>
      <c r="R4690" s="71"/>
    </row>
    <row r="4691" spans="1:18" s="61" customFormat="1" x14ac:dyDescent="0.25">
      <c r="A4691" s="358"/>
      <c r="B4691" s="361"/>
      <c r="C4691" s="366"/>
      <c r="D4691" s="254" t="s">
        <v>109</v>
      </c>
      <c r="E4691" s="156" t="s">
        <v>28</v>
      </c>
      <c r="F4691" s="156" t="s">
        <v>28</v>
      </c>
      <c r="G4691" s="238">
        <f>MROUND(H4691*L4691*I4691/K4691,0.0000000001)</f>
        <v>0</v>
      </c>
      <c r="H4691" s="158"/>
      <c r="I4691" s="159">
        <f>I4690</f>
        <v>3.0273000000000002E-4</v>
      </c>
      <c r="J4691" s="160"/>
      <c r="K4691" s="161">
        <f>K4690</f>
        <v>6</v>
      </c>
      <c r="L4691" s="250">
        <v>1</v>
      </c>
      <c r="M4691" s="163"/>
      <c r="N4691" s="164"/>
      <c r="O4691" s="165">
        <f t="shared" si="1200"/>
        <v>0</v>
      </c>
      <c r="P4691" s="166"/>
      <c r="Q4691" s="166">
        <f t="shared" si="1199"/>
        <v>0</v>
      </c>
      <c r="R4691" s="71"/>
    </row>
    <row r="4692" spans="1:18" s="61" customFormat="1" x14ac:dyDescent="0.25">
      <c r="A4692" s="358"/>
      <c r="B4692" s="361"/>
      <c r="C4692" s="366"/>
      <c r="D4692" s="254" t="s">
        <v>414</v>
      </c>
      <c r="E4692" s="156" t="s">
        <v>28</v>
      </c>
      <c r="F4692" s="156" t="s">
        <v>28</v>
      </c>
      <c r="G4692" s="238">
        <f>MROUND(H4692*L4692*I4692/K4692,0.0000000001)</f>
        <v>0</v>
      </c>
      <c r="H4692" s="158"/>
      <c r="I4692" s="159">
        <f>I4690</f>
        <v>3.0273000000000002E-4</v>
      </c>
      <c r="J4692" s="160"/>
      <c r="K4692" s="161">
        <f>K4690</f>
        <v>6</v>
      </c>
      <c r="L4692" s="250">
        <v>1</v>
      </c>
      <c r="M4692" s="163"/>
      <c r="N4692" s="164"/>
      <c r="O4692" s="165">
        <f t="shared" si="1200"/>
        <v>0</v>
      </c>
      <c r="P4692" s="166"/>
      <c r="Q4692" s="166">
        <f t="shared" si="1199"/>
        <v>0</v>
      </c>
      <c r="R4692" s="71"/>
    </row>
    <row r="4693" spans="1:18" s="61" customFormat="1" x14ac:dyDescent="0.25">
      <c r="A4693" s="358"/>
      <c r="B4693" s="361"/>
      <c r="C4693" s="366"/>
      <c r="D4693" s="254" t="s">
        <v>415</v>
      </c>
      <c r="E4693" s="156" t="s">
        <v>28</v>
      </c>
      <c r="F4693" s="156" t="s">
        <v>28</v>
      </c>
      <c r="G4693" s="238">
        <f>MROUND(H4693*L4693*I4693/K4693,0.00000001)</f>
        <v>0</v>
      </c>
      <c r="H4693" s="158"/>
      <c r="I4693" s="159">
        <f t="shared" ref="I4693:I4702" si="1201">I4691</f>
        <v>3.0273000000000002E-4</v>
      </c>
      <c r="J4693" s="160"/>
      <c r="K4693" s="161">
        <f t="shared" ref="K4693:K4702" si="1202">K4691</f>
        <v>6</v>
      </c>
      <c r="L4693" s="250">
        <v>1</v>
      </c>
      <c r="M4693" s="163"/>
      <c r="N4693" s="164"/>
      <c r="O4693" s="165">
        <f t="shared" si="1200"/>
        <v>0</v>
      </c>
      <c r="P4693" s="166"/>
      <c r="Q4693" s="166">
        <f t="shared" si="1199"/>
        <v>0</v>
      </c>
      <c r="R4693" s="71"/>
    </row>
    <row r="4694" spans="1:18" s="61" customFormat="1" x14ac:dyDescent="0.25">
      <c r="A4694" s="358"/>
      <c r="B4694" s="361"/>
      <c r="C4694" s="366"/>
      <c r="D4694" s="254" t="s">
        <v>416</v>
      </c>
      <c r="E4694" s="156" t="s">
        <v>28</v>
      </c>
      <c r="F4694" s="156" t="s">
        <v>28</v>
      </c>
      <c r="G4694" s="238">
        <f>MROUND(H4694*L4694*I4694/K4694,0.000000001)</f>
        <v>0</v>
      </c>
      <c r="H4694" s="246"/>
      <c r="I4694" s="159">
        <f t="shared" si="1201"/>
        <v>3.0273000000000002E-4</v>
      </c>
      <c r="J4694" s="160"/>
      <c r="K4694" s="161">
        <f t="shared" si="1202"/>
        <v>6</v>
      </c>
      <c r="L4694" s="250">
        <v>1</v>
      </c>
      <c r="M4694" s="163"/>
      <c r="N4694" s="164"/>
      <c r="O4694" s="165">
        <f t="shared" si="1200"/>
        <v>0</v>
      </c>
      <c r="P4694" s="166"/>
      <c r="Q4694" s="166">
        <f t="shared" si="1199"/>
        <v>0</v>
      </c>
      <c r="R4694" s="71"/>
    </row>
    <row r="4695" spans="1:18" s="61" customFormat="1" x14ac:dyDescent="0.25">
      <c r="A4695" s="358"/>
      <c r="B4695" s="361"/>
      <c r="C4695" s="366"/>
      <c r="D4695" s="254" t="s">
        <v>417</v>
      </c>
      <c r="E4695" s="156" t="s">
        <v>28</v>
      </c>
      <c r="F4695" s="156" t="s">
        <v>28</v>
      </c>
      <c r="G4695" s="238">
        <f>MROUND(H4695*L4695*I4695/K4695,0.00000001)</f>
        <v>0</v>
      </c>
      <c r="H4695" s="158"/>
      <c r="I4695" s="159">
        <f t="shared" si="1201"/>
        <v>3.0273000000000002E-4</v>
      </c>
      <c r="J4695" s="160"/>
      <c r="K4695" s="161">
        <f t="shared" si="1202"/>
        <v>6</v>
      </c>
      <c r="L4695" s="250">
        <v>1</v>
      </c>
      <c r="M4695" s="163"/>
      <c r="N4695" s="164"/>
      <c r="O4695" s="165">
        <f t="shared" si="1200"/>
        <v>0</v>
      </c>
      <c r="P4695" s="166"/>
      <c r="Q4695" s="166">
        <f t="shared" si="1199"/>
        <v>0</v>
      </c>
      <c r="R4695" s="71"/>
    </row>
    <row r="4696" spans="1:18" s="61" customFormat="1" ht="30" x14ac:dyDescent="0.25">
      <c r="A4696" s="358"/>
      <c r="B4696" s="361"/>
      <c r="C4696" s="366"/>
      <c r="D4696" s="254" t="s">
        <v>418</v>
      </c>
      <c r="E4696" s="156" t="s">
        <v>28</v>
      </c>
      <c r="F4696" s="156" t="s">
        <v>28</v>
      </c>
      <c r="G4696" s="238">
        <f>MROUND(H4696*L4696*I4696/K4696,0.00000001)</f>
        <v>0</v>
      </c>
      <c r="H4696" s="158"/>
      <c r="I4696" s="159">
        <f t="shared" si="1201"/>
        <v>3.0273000000000002E-4</v>
      </c>
      <c r="J4696" s="160"/>
      <c r="K4696" s="161">
        <f t="shared" si="1202"/>
        <v>6</v>
      </c>
      <c r="L4696" s="250">
        <v>1</v>
      </c>
      <c r="M4696" s="163"/>
      <c r="N4696" s="164"/>
      <c r="O4696" s="165">
        <f t="shared" si="1200"/>
        <v>0</v>
      </c>
      <c r="P4696" s="166"/>
      <c r="Q4696" s="166">
        <f t="shared" si="1199"/>
        <v>0</v>
      </c>
      <c r="R4696" s="71"/>
    </row>
    <row r="4697" spans="1:18" s="61" customFormat="1" x14ac:dyDescent="0.25">
      <c r="A4697" s="358"/>
      <c r="B4697" s="361"/>
      <c r="C4697" s="366"/>
      <c r="D4697" s="254" t="s">
        <v>324</v>
      </c>
      <c r="E4697" s="156" t="s">
        <v>28</v>
      </c>
      <c r="F4697" s="156" t="s">
        <v>28</v>
      </c>
      <c r="G4697" s="238">
        <f>MROUND(H4697*L4697*I4697/K4697,0.000000001)</f>
        <v>0</v>
      </c>
      <c r="H4697" s="158"/>
      <c r="I4697" s="159">
        <f t="shared" si="1201"/>
        <v>3.0273000000000002E-4</v>
      </c>
      <c r="J4697" s="160"/>
      <c r="K4697" s="161">
        <f t="shared" si="1202"/>
        <v>6</v>
      </c>
      <c r="L4697" s="250">
        <v>1</v>
      </c>
      <c r="M4697" s="163"/>
      <c r="N4697" s="164"/>
      <c r="O4697" s="165">
        <f t="shared" si="1200"/>
        <v>0</v>
      </c>
      <c r="P4697" s="166"/>
      <c r="Q4697" s="166">
        <f t="shared" si="1199"/>
        <v>0</v>
      </c>
      <c r="R4697" s="71"/>
    </row>
    <row r="4698" spans="1:18" s="61" customFormat="1" x14ac:dyDescent="0.25">
      <c r="A4698" s="358"/>
      <c r="B4698" s="361"/>
      <c r="C4698" s="366"/>
      <c r="D4698" s="254" t="s">
        <v>419</v>
      </c>
      <c r="E4698" s="156" t="s">
        <v>28</v>
      </c>
      <c r="F4698" s="156" t="s">
        <v>28</v>
      </c>
      <c r="G4698" s="238">
        <f>MROUND(H4698*L4698*I4698/K4698,0.000000001)</f>
        <v>0</v>
      </c>
      <c r="H4698" s="246"/>
      <c r="I4698" s="159">
        <f t="shared" si="1201"/>
        <v>3.0273000000000002E-4</v>
      </c>
      <c r="J4698" s="160"/>
      <c r="K4698" s="161">
        <f t="shared" si="1202"/>
        <v>6</v>
      </c>
      <c r="L4698" s="250">
        <v>1</v>
      </c>
      <c r="M4698" s="163"/>
      <c r="N4698" s="164"/>
      <c r="O4698" s="165">
        <f t="shared" si="1200"/>
        <v>0</v>
      </c>
      <c r="P4698" s="166"/>
      <c r="Q4698" s="166">
        <f t="shared" si="1199"/>
        <v>0</v>
      </c>
      <c r="R4698" s="71"/>
    </row>
    <row r="4699" spans="1:18" s="61" customFormat="1" x14ac:dyDescent="0.25">
      <c r="A4699" s="358"/>
      <c r="B4699" s="361"/>
      <c r="C4699" s="366"/>
      <c r="D4699" s="254" t="s">
        <v>420</v>
      </c>
      <c r="E4699" s="156" t="s">
        <v>28</v>
      </c>
      <c r="F4699" s="156" t="s">
        <v>28</v>
      </c>
      <c r="G4699" s="238">
        <f>MROUND(H4699*L4699*I4699/K4699,0.000000001)</f>
        <v>0</v>
      </c>
      <c r="H4699" s="158"/>
      <c r="I4699" s="159">
        <f t="shared" si="1201"/>
        <v>3.0273000000000002E-4</v>
      </c>
      <c r="J4699" s="160"/>
      <c r="K4699" s="161">
        <f t="shared" si="1202"/>
        <v>6</v>
      </c>
      <c r="L4699" s="250">
        <v>1</v>
      </c>
      <c r="M4699" s="163"/>
      <c r="N4699" s="164"/>
      <c r="O4699" s="165">
        <f t="shared" si="1200"/>
        <v>0</v>
      </c>
      <c r="P4699" s="166"/>
      <c r="Q4699" s="166">
        <f t="shared" si="1199"/>
        <v>0</v>
      </c>
      <c r="R4699" s="71"/>
    </row>
    <row r="4700" spans="1:18" s="61" customFormat="1" x14ac:dyDescent="0.25">
      <c r="A4700" s="358"/>
      <c r="B4700" s="361"/>
      <c r="C4700" s="366"/>
      <c r="D4700" s="254" t="s">
        <v>421</v>
      </c>
      <c r="E4700" s="156" t="s">
        <v>28</v>
      </c>
      <c r="F4700" s="156" t="s">
        <v>28</v>
      </c>
      <c r="G4700" s="238">
        <f>MROUND(H4700*L4700*I4700/K4700,0.00000001)</f>
        <v>0</v>
      </c>
      <c r="H4700" s="158"/>
      <c r="I4700" s="159">
        <f t="shared" si="1201"/>
        <v>3.0273000000000002E-4</v>
      </c>
      <c r="J4700" s="160"/>
      <c r="K4700" s="161">
        <f t="shared" si="1202"/>
        <v>6</v>
      </c>
      <c r="L4700" s="250">
        <v>1</v>
      </c>
      <c r="M4700" s="163"/>
      <c r="N4700" s="164"/>
      <c r="O4700" s="165">
        <f t="shared" si="1200"/>
        <v>0</v>
      </c>
      <c r="P4700" s="166"/>
      <c r="Q4700" s="166">
        <f t="shared" si="1199"/>
        <v>0</v>
      </c>
      <c r="R4700" s="71"/>
    </row>
    <row r="4701" spans="1:18" s="61" customFormat="1" ht="30" x14ac:dyDescent="0.25">
      <c r="A4701" s="358"/>
      <c r="B4701" s="361"/>
      <c r="C4701" s="366"/>
      <c r="D4701" s="254" t="s">
        <v>422</v>
      </c>
      <c r="E4701" s="156" t="s">
        <v>28</v>
      </c>
      <c r="F4701" s="156" t="s">
        <v>28</v>
      </c>
      <c r="G4701" s="266">
        <f>MROUND(H4701*L4701*I4701/K4701,0.00000001)</f>
        <v>0</v>
      </c>
      <c r="H4701" s="158"/>
      <c r="I4701" s="159">
        <f t="shared" si="1201"/>
        <v>3.0273000000000002E-4</v>
      </c>
      <c r="J4701" s="160"/>
      <c r="K4701" s="161">
        <f t="shared" si="1202"/>
        <v>6</v>
      </c>
      <c r="L4701" s="250">
        <v>1</v>
      </c>
      <c r="M4701" s="163"/>
      <c r="N4701" s="164"/>
      <c r="O4701" s="165">
        <f t="shared" si="1200"/>
        <v>0</v>
      </c>
      <c r="P4701" s="166"/>
      <c r="Q4701" s="166">
        <f t="shared" si="1199"/>
        <v>0</v>
      </c>
      <c r="R4701" s="71"/>
    </row>
    <row r="4702" spans="1:18" s="61" customFormat="1" x14ac:dyDescent="0.25">
      <c r="A4702" s="358"/>
      <c r="B4702" s="361"/>
      <c r="C4702" s="366"/>
      <c r="D4702" s="254" t="s">
        <v>423</v>
      </c>
      <c r="E4702" s="156" t="s">
        <v>28</v>
      </c>
      <c r="F4702" s="156" t="s">
        <v>28</v>
      </c>
      <c r="G4702" s="238">
        <f>MROUND(H4702*L4702*I4702/K4702,0.000000001)</f>
        <v>0</v>
      </c>
      <c r="H4702" s="158"/>
      <c r="I4702" s="159">
        <f t="shared" si="1201"/>
        <v>3.0273000000000002E-4</v>
      </c>
      <c r="J4702" s="160"/>
      <c r="K4702" s="161">
        <f t="shared" si="1202"/>
        <v>6</v>
      </c>
      <c r="L4702" s="250">
        <v>1</v>
      </c>
      <c r="M4702" s="163"/>
      <c r="N4702" s="164"/>
      <c r="O4702" s="165">
        <f t="shared" si="1200"/>
        <v>0</v>
      </c>
      <c r="P4702" s="166"/>
      <c r="Q4702" s="166">
        <f t="shared" si="1199"/>
        <v>0</v>
      </c>
      <c r="R4702" s="71"/>
    </row>
    <row r="4703" spans="1:18" s="61" customFormat="1" x14ac:dyDescent="0.25">
      <c r="A4703" s="358"/>
      <c r="B4703" s="361"/>
      <c r="C4703" s="366"/>
      <c r="D4703" s="254" t="s">
        <v>424</v>
      </c>
      <c r="E4703" s="156" t="s">
        <v>28</v>
      </c>
      <c r="F4703" s="156" t="s">
        <v>28</v>
      </c>
      <c r="G4703" s="238">
        <f t="shared" ref="G4703:G4709" si="1203">MROUND(H4703*L4703*I4703/K4703,0.00000001)</f>
        <v>0</v>
      </c>
      <c r="H4703" s="158"/>
      <c r="I4703" s="159">
        <f>I4692</f>
        <v>3.0273000000000002E-4</v>
      </c>
      <c r="J4703" s="160"/>
      <c r="K4703" s="161">
        <f>K4692</f>
        <v>6</v>
      </c>
      <c r="L4703" s="250">
        <v>1</v>
      </c>
      <c r="M4703" s="163"/>
      <c r="N4703" s="164"/>
      <c r="O4703" s="165">
        <f t="shared" si="1200"/>
        <v>0</v>
      </c>
      <c r="P4703" s="166"/>
      <c r="Q4703" s="166">
        <f t="shared" si="1199"/>
        <v>0</v>
      </c>
      <c r="R4703" s="71"/>
    </row>
    <row r="4704" spans="1:18" s="61" customFormat="1" x14ac:dyDescent="0.25">
      <c r="A4704" s="358"/>
      <c r="B4704" s="361"/>
      <c r="C4704" s="366"/>
      <c r="D4704" s="254" t="s">
        <v>425</v>
      </c>
      <c r="E4704" s="156" t="s">
        <v>28</v>
      </c>
      <c r="F4704" s="156" t="s">
        <v>28</v>
      </c>
      <c r="G4704" s="277">
        <f t="shared" si="1203"/>
        <v>0</v>
      </c>
      <c r="H4704" s="158"/>
      <c r="I4704" s="159">
        <f t="shared" ref="I4704:I4709" si="1204">I4703</f>
        <v>3.0273000000000002E-4</v>
      </c>
      <c r="J4704" s="160"/>
      <c r="K4704" s="161">
        <f t="shared" ref="K4704:K4709" si="1205">K4703</f>
        <v>6</v>
      </c>
      <c r="L4704" s="250">
        <v>1</v>
      </c>
      <c r="M4704" s="163"/>
      <c r="N4704" s="164"/>
      <c r="O4704" s="165">
        <f t="shared" si="1200"/>
        <v>0</v>
      </c>
      <c r="P4704" s="166"/>
      <c r="Q4704" s="166">
        <f t="shared" si="1199"/>
        <v>0</v>
      </c>
      <c r="R4704" s="71"/>
    </row>
    <row r="4705" spans="1:18" s="61" customFormat="1" x14ac:dyDescent="0.25">
      <c r="A4705" s="358"/>
      <c r="B4705" s="361"/>
      <c r="C4705" s="366"/>
      <c r="D4705" s="254" t="s">
        <v>108</v>
      </c>
      <c r="E4705" s="156" t="s">
        <v>28</v>
      </c>
      <c r="F4705" s="156" t="s">
        <v>28</v>
      </c>
      <c r="G4705" s="238">
        <f t="shared" si="1203"/>
        <v>0</v>
      </c>
      <c r="H4705" s="158"/>
      <c r="I4705" s="159">
        <f t="shared" si="1204"/>
        <v>3.0273000000000002E-4</v>
      </c>
      <c r="J4705" s="160"/>
      <c r="K4705" s="161">
        <f t="shared" si="1205"/>
        <v>6</v>
      </c>
      <c r="L4705" s="250">
        <v>1</v>
      </c>
      <c r="M4705" s="163"/>
      <c r="N4705" s="164"/>
      <c r="O4705" s="165">
        <f t="shared" si="1200"/>
        <v>0</v>
      </c>
      <c r="P4705" s="166"/>
      <c r="Q4705" s="166">
        <f t="shared" si="1199"/>
        <v>0</v>
      </c>
      <c r="R4705" s="71"/>
    </row>
    <row r="4706" spans="1:18" s="61" customFormat="1" x14ac:dyDescent="0.25">
      <c r="A4706" s="358"/>
      <c r="B4706" s="361"/>
      <c r="C4706" s="366"/>
      <c r="D4706" s="254" t="s">
        <v>426</v>
      </c>
      <c r="E4706" s="156" t="s">
        <v>28</v>
      </c>
      <c r="F4706" s="156" t="s">
        <v>28</v>
      </c>
      <c r="G4706" s="238">
        <f t="shared" si="1203"/>
        <v>0</v>
      </c>
      <c r="H4706" s="158"/>
      <c r="I4706" s="159">
        <f t="shared" si="1204"/>
        <v>3.0273000000000002E-4</v>
      </c>
      <c r="J4706" s="160"/>
      <c r="K4706" s="161">
        <f t="shared" si="1205"/>
        <v>6</v>
      </c>
      <c r="L4706" s="250">
        <v>1</v>
      </c>
      <c r="M4706" s="163"/>
      <c r="N4706" s="164"/>
      <c r="O4706" s="165">
        <f t="shared" si="1200"/>
        <v>0</v>
      </c>
      <c r="P4706" s="166"/>
      <c r="Q4706" s="166">
        <f t="shared" si="1199"/>
        <v>0</v>
      </c>
      <c r="R4706" s="71"/>
    </row>
    <row r="4707" spans="1:18" s="61" customFormat="1" x14ac:dyDescent="0.25">
      <c r="A4707" s="358"/>
      <c r="B4707" s="361"/>
      <c r="C4707" s="366"/>
      <c r="D4707" s="254" t="s">
        <v>427</v>
      </c>
      <c r="E4707" s="156" t="s">
        <v>28</v>
      </c>
      <c r="F4707" s="156" t="s">
        <v>28</v>
      </c>
      <c r="G4707" s="238">
        <f t="shared" si="1203"/>
        <v>0</v>
      </c>
      <c r="H4707" s="158"/>
      <c r="I4707" s="159">
        <f t="shared" si="1204"/>
        <v>3.0273000000000002E-4</v>
      </c>
      <c r="J4707" s="160"/>
      <c r="K4707" s="161">
        <f t="shared" si="1205"/>
        <v>6</v>
      </c>
      <c r="L4707" s="250">
        <v>1</v>
      </c>
      <c r="M4707" s="163"/>
      <c r="N4707" s="164"/>
      <c r="O4707" s="165">
        <f t="shared" si="1200"/>
        <v>0</v>
      </c>
      <c r="P4707" s="166"/>
      <c r="Q4707" s="166">
        <f t="shared" si="1199"/>
        <v>0</v>
      </c>
      <c r="R4707" s="71"/>
    </row>
    <row r="4708" spans="1:18" s="61" customFormat="1" x14ac:dyDescent="0.25">
      <c r="A4708" s="358"/>
      <c r="B4708" s="361"/>
      <c r="C4708" s="366"/>
      <c r="D4708" s="254" t="s">
        <v>428</v>
      </c>
      <c r="E4708" s="156" t="s">
        <v>28</v>
      </c>
      <c r="F4708" s="156" t="s">
        <v>28</v>
      </c>
      <c r="G4708" s="238">
        <f t="shared" si="1203"/>
        <v>0</v>
      </c>
      <c r="H4708" s="158"/>
      <c r="I4708" s="159">
        <f t="shared" si="1204"/>
        <v>3.0273000000000002E-4</v>
      </c>
      <c r="J4708" s="160"/>
      <c r="K4708" s="161">
        <f t="shared" si="1205"/>
        <v>6</v>
      </c>
      <c r="L4708" s="250">
        <v>1</v>
      </c>
      <c r="M4708" s="163"/>
      <c r="N4708" s="164"/>
      <c r="O4708" s="165">
        <f t="shared" si="1200"/>
        <v>0</v>
      </c>
      <c r="P4708" s="166"/>
      <c r="Q4708" s="166">
        <f t="shared" si="1199"/>
        <v>0</v>
      </c>
      <c r="R4708" s="71"/>
    </row>
    <row r="4709" spans="1:18" s="61" customFormat="1" x14ac:dyDescent="0.25">
      <c r="A4709" s="358"/>
      <c r="B4709" s="361"/>
      <c r="C4709" s="366"/>
      <c r="D4709" s="255" t="s">
        <v>429</v>
      </c>
      <c r="E4709" s="156" t="s">
        <v>28</v>
      </c>
      <c r="F4709" s="156" t="s">
        <v>28</v>
      </c>
      <c r="G4709" s="238">
        <f t="shared" si="1203"/>
        <v>0</v>
      </c>
      <c r="H4709" s="158"/>
      <c r="I4709" s="159">
        <f t="shared" si="1204"/>
        <v>3.0273000000000002E-4</v>
      </c>
      <c r="J4709" s="160"/>
      <c r="K4709" s="161">
        <f t="shared" si="1205"/>
        <v>6</v>
      </c>
      <c r="L4709" s="250">
        <v>1</v>
      </c>
      <c r="M4709" s="163"/>
      <c r="N4709" s="164"/>
      <c r="O4709" s="165">
        <f t="shared" si="1200"/>
        <v>0</v>
      </c>
      <c r="P4709" s="166"/>
      <c r="Q4709" s="166">
        <f t="shared" si="1199"/>
        <v>0</v>
      </c>
      <c r="R4709" s="71"/>
    </row>
    <row r="4710" spans="1:18" s="62" customFormat="1" x14ac:dyDescent="0.25">
      <c r="A4710" s="358"/>
      <c r="B4710" s="361"/>
      <c r="C4710" s="249" t="s">
        <v>299</v>
      </c>
      <c r="D4710" s="256"/>
      <c r="E4710" s="240"/>
      <c r="F4710" s="240"/>
      <c r="G4710" s="227"/>
      <c r="H4710" s="241"/>
      <c r="I4710" s="206"/>
      <c r="J4710" s="228"/>
      <c r="K4710" s="207"/>
      <c r="L4710" s="257"/>
      <c r="M4710" s="209"/>
      <c r="N4710" s="210"/>
      <c r="O4710" s="198">
        <f>SUM(O4686:O4709)</f>
        <v>0</v>
      </c>
      <c r="P4710" s="267"/>
      <c r="Q4710" s="166"/>
      <c r="R4710" s="71"/>
    </row>
    <row r="4711" spans="1:18" s="61" customFormat="1" ht="110.25" x14ac:dyDescent="0.25">
      <c r="A4711" s="358"/>
      <c r="B4711" s="361"/>
      <c r="C4711" s="221" t="s">
        <v>82</v>
      </c>
      <c r="D4711" s="156" t="s">
        <v>46</v>
      </c>
      <c r="E4711" s="156" t="s">
        <v>54</v>
      </c>
      <c r="F4711" s="156" t="s">
        <v>285</v>
      </c>
      <c r="G4711" s="238">
        <f>MROUND(H4711*L4711*I4711/K4711,0.000001)</f>
        <v>0.57064599999999999</v>
      </c>
      <c r="H4711" s="242">
        <f>H4231</f>
        <v>1028.181818181818</v>
      </c>
      <c r="I4711" s="159">
        <f>I4709</f>
        <v>3.0273000000000002E-4</v>
      </c>
      <c r="J4711" s="160"/>
      <c r="K4711" s="161">
        <f>K4709</f>
        <v>6</v>
      </c>
      <c r="L4711" s="225">
        <f>L4471</f>
        <v>11</v>
      </c>
      <c r="M4711" s="163" t="str">
        <f>CONCATENATE(H4711," ",F4711,"*",L4711,"автобуса","*",I4711,"/",K4711,"чел.")</f>
        <v>1028,18181818182 л бензина АИ 92 (12,5л/день(зимой)*20дней*7мес+10л/день(летом)*20дней*4мес)*11автобуса*0,00030273/6чел.</v>
      </c>
      <c r="N4711" s="164">
        <f>N3511</f>
        <v>57.007000000000005</v>
      </c>
      <c r="O4711" s="165">
        <f>MROUND(G4711*N4711,0.000001)</f>
        <v>32.530816999999999</v>
      </c>
      <c r="P4711" s="166"/>
      <c r="Q4711" s="166">
        <f t="shared" ref="Q4711" si="1206">O4711*K4711</f>
        <v>195.18490199999999</v>
      </c>
      <c r="R4711" s="71"/>
    </row>
    <row r="4712" spans="1:18" s="62" customFormat="1" x14ac:dyDescent="0.25">
      <c r="A4712" s="358"/>
      <c r="B4712" s="361"/>
      <c r="C4712" s="218" t="s">
        <v>300</v>
      </c>
      <c r="D4712" s="240"/>
      <c r="E4712" s="240"/>
      <c r="F4712" s="240"/>
      <c r="G4712" s="227"/>
      <c r="H4712" s="241"/>
      <c r="I4712" s="206"/>
      <c r="J4712" s="228"/>
      <c r="K4712" s="207"/>
      <c r="L4712" s="257"/>
      <c r="M4712" s="209"/>
      <c r="N4712" s="210"/>
      <c r="O4712" s="198">
        <f>SUM(O4711)</f>
        <v>32.530816999999999</v>
      </c>
      <c r="P4712" s="267"/>
      <c r="Q4712" s="166"/>
      <c r="R4712" s="71"/>
    </row>
    <row r="4713" spans="1:18" s="61" customFormat="1" ht="47.25" x14ac:dyDescent="0.25">
      <c r="A4713" s="358"/>
      <c r="B4713" s="361"/>
      <c r="C4713" s="221" t="s">
        <v>434</v>
      </c>
      <c r="D4713" s="156" t="s">
        <v>436</v>
      </c>
      <c r="E4713" s="156" t="s">
        <v>28</v>
      </c>
      <c r="F4713" s="156" t="s">
        <v>437</v>
      </c>
      <c r="G4713" s="157">
        <f>MROUND(H4713*L4713*I4713/K4713,0.000001)</f>
        <v>1.4631999999999999E-2</v>
      </c>
      <c r="H4713" s="242">
        <f>$H$125</f>
        <v>290</v>
      </c>
      <c r="I4713" s="159">
        <f>I4711</f>
        <v>3.0273000000000002E-4</v>
      </c>
      <c r="J4713" s="160"/>
      <c r="K4713" s="161">
        <f>K4711</f>
        <v>6</v>
      </c>
      <c r="L4713" s="162">
        <v>1</v>
      </c>
      <c r="M4713" s="163" t="str">
        <f>CONCATENATE(H4713," ",F4713,"*",L4713,"автобуса","*",I4713,"/",K4713,"чел.")</f>
        <v>290 огнетушителей (потребность учреждений) *1автобуса*0,00030273/6чел.</v>
      </c>
      <c r="N4713" s="164">
        <f>$N$125</f>
        <v>2000</v>
      </c>
      <c r="O4713" s="165">
        <f>MROUND(G4713*N4713,0.000001)</f>
        <v>29.263999999999999</v>
      </c>
      <c r="P4713" s="166"/>
      <c r="Q4713" s="166">
        <f t="shared" ref="Q4713" si="1207">O4713*K4713</f>
        <v>175.584</v>
      </c>
      <c r="R4713" s="71"/>
    </row>
    <row r="4714" spans="1:18" s="61" customFormat="1" x14ac:dyDescent="0.25">
      <c r="A4714" s="358"/>
      <c r="B4714" s="361"/>
      <c r="C4714" s="218" t="s">
        <v>435</v>
      </c>
      <c r="D4714" s="240"/>
      <c r="E4714" s="240"/>
      <c r="F4714" s="240"/>
      <c r="G4714" s="251"/>
      <c r="H4714" s="241"/>
      <c r="I4714" s="206"/>
      <c r="J4714" s="228"/>
      <c r="K4714" s="207"/>
      <c r="L4714" s="229"/>
      <c r="M4714" s="209"/>
      <c r="N4714" s="210"/>
      <c r="O4714" s="198">
        <f>SUM(O4713)</f>
        <v>29.263999999999999</v>
      </c>
      <c r="P4714" s="166"/>
      <c r="Q4714" s="166"/>
      <c r="R4714" s="71"/>
    </row>
    <row r="4715" spans="1:18" s="61" customFormat="1" ht="47.25" x14ac:dyDescent="0.25">
      <c r="A4715" s="358"/>
      <c r="B4715" s="361"/>
      <c r="C4715" s="364" t="s">
        <v>118</v>
      </c>
      <c r="D4715" s="156" t="s">
        <v>47</v>
      </c>
      <c r="E4715" s="156" t="s">
        <v>28</v>
      </c>
      <c r="F4715" s="156" t="s">
        <v>239</v>
      </c>
      <c r="G4715" s="238">
        <f>MROUND(H4715*L4715*I4715/K4715,0.00000001)</f>
        <v>7.2655200000000001E-3</v>
      </c>
      <c r="H4715" s="158">
        <f>H3635</f>
        <v>144</v>
      </c>
      <c r="I4715" s="159">
        <f>I4711</f>
        <v>3.0273000000000002E-4</v>
      </c>
      <c r="J4715" s="160"/>
      <c r="K4715" s="161">
        <f>K4711</f>
        <v>6</v>
      </c>
      <c r="L4715" s="250">
        <v>1</v>
      </c>
      <c r="M4715" s="163" t="str">
        <f>CONCATENATE(H4715," ",F4715,"*",I4715,"/",K4715,"чел.")</f>
        <v>144 манометров (потребность учреждений) *0,00030273/6чел.</v>
      </c>
      <c r="N4715" s="164">
        <f>N3515</f>
        <v>720.50416666666672</v>
      </c>
      <c r="O4715" s="165">
        <f>MROUND(G4715*N4715,0.000001)</f>
        <v>5.2348369999999997</v>
      </c>
      <c r="P4715" s="166"/>
      <c r="Q4715" s="166">
        <f t="shared" ref="Q4715:Q4716" si="1208">O4715*K4715</f>
        <v>31.409022</v>
      </c>
      <c r="R4715" s="71"/>
    </row>
    <row r="4716" spans="1:18" s="61" customFormat="1" ht="47.25" x14ac:dyDescent="0.25">
      <c r="A4716" s="358"/>
      <c r="B4716" s="361"/>
      <c r="C4716" s="364"/>
      <c r="D4716" s="255" t="s">
        <v>113</v>
      </c>
      <c r="E4716" s="156" t="s">
        <v>28</v>
      </c>
      <c r="F4716" s="156" t="s">
        <v>240</v>
      </c>
      <c r="G4716" s="238">
        <f>MROUND(H4716*L4716*I4716/K4716,0.00000001)</f>
        <v>0.28835032999999999</v>
      </c>
      <c r="H4716" s="158">
        <f>H3516</f>
        <v>5715</v>
      </c>
      <c r="I4716" s="159">
        <f>I4715</f>
        <v>3.0273000000000002E-4</v>
      </c>
      <c r="J4716" s="160"/>
      <c r="K4716" s="161">
        <f>K4715</f>
        <v>6</v>
      </c>
      <c r="L4716" s="250">
        <v>1</v>
      </c>
      <c r="M4716" s="163" t="str">
        <f>CONCATENATE(H4716," ",F4716,"*",I4716,"/",K4716,"чел.")</f>
        <v>5715 светильников (потребность учреждений)*0,00030273/6чел.</v>
      </c>
      <c r="N4716" s="164">
        <f>N3516</f>
        <v>111.16365879265086</v>
      </c>
      <c r="O4716" s="165">
        <f>MROUND(G4716*N4716,0.000001)</f>
        <v>32.054077999999997</v>
      </c>
      <c r="P4716" s="166"/>
      <c r="Q4716" s="166">
        <f t="shared" si="1208"/>
        <v>192.32446799999997</v>
      </c>
      <c r="R4716" s="71"/>
    </row>
    <row r="4717" spans="1:18" s="62" customFormat="1" x14ac:dyDescent="0.25">
      <c r="A4717" s="359"/>
      <c r="B4717" s="362"/>
      <c r="C4717" s="218" t="s">
        <v>301</v>
      </c>
      <c r="D4717" s="256"/>
      <c r="E4717" s="240"/>
      <c r="F4717" s="240"/>
      <c r="G4717" s="227"/>
      <c r="H4717" s="241"/>
      <c r="I4717" s="206"/>
      <c r="J4717" s="228"/>
      <c r="K4717" s="207"/>
      <c r="L4717" s="257"/>
      <c r="M4717" s="209"/>
      <c r="N4717" s="210"/>
      <c r="O4717" s="198">
        <f>SUM(O4715:O4716)</f>
        <v>37.288914999999996</v>
      </c>
      <c r="P4717" s="267"/>
      <c r="Q4717" s="166"/>
      <c r="R4717" s="71"/>
    </row>
    <row r="4718" spans="1:18" s="61" customFormat="1" x14ac:dyDescent="0.25">
      <c r="A4718" s="357" t="str">
        <f>CONCATENATE(школы!$B$17,", ",школы!$C$17,", ",школы!$D$17)</f>
        <v xml:space="preserve">Реализация основных общеобразовательных программ основного общего образования, образовательная программа, обеспечивающая углубленное изучение отдельных учебных предметов, предметных областей (профильное обучение), </v>
      </c>
      <c r="B4718" s="360" t="str">
        <f>школы!$A$17</f>
        <v>802111О.99.0.БА96АП76001</v>
      </c>
      <c r="C4718" s="194"/>
      <c r="D4718" s="363" t="s">
        <v>15</v>
      </c>
      <c r="E4718" s="363"/>
      <c r="F4718" s="363"/>
      <c r="G4718" s="363"/>
      <c r="H4718" s="195"/>
      <c r="I4718" s="195"/>
      <c r="J4718" s="195"/>
      <c r="K4718" s="195"/>
      <c r="L4718" s="196"/>
      <c r="M4718" s="197"/>
      <c r="N4718" s="164"/>
      <c r="O4718" s="198">
        <f>O4719+O4724+O4726</f>
        <v>9362.1929946159999</v>
      </c>
      <c r="P4718" s="166"/>
      <c r="Q4718" s="166"/>
      <c r="R4718" s="71"/>
    </row>
    <row r="4719" spans="1:18" s="61" customFormat="1" x14ac:dyDescent="0.25">
      <c r="A4719" s="358"/>
      <c r="B4719" s="361"/>
      <c r="C4719" s="194"/>
      <c r="D4719" s="350" t="s">
        <v>62</v>
      </c>
      <c r="E4719" s="350"/>
      <c r="F4719" s="350"/>
      <c r="G4719" s="350"/>
      <c r="H4719" s="195"/>
      <c r="I4719" s="195"/>
      <c r="J4719" s="195"/>
      <c r="K4719" s="195"/>
      <c r="L4719" s="196"/>
      <c r="M4719" s="197"/>
      <c r="N4719" s="164"/>
      <c r="O4719" s="165">
        <f>O4721+O4723</f>
        <v>9362.1929946159999</v>
      </c>
      <c r="P4719" s="166"/>
      <c r="Q4719" s="166"/>
      <c r="R4719" s="71"/>
    </row>
    <row r="4720" spans="1:18" s="61" customFormat="1" ht="31.5" x14ac:dyDescent="0.25">
      <c r="A4720" s="358"/>
      <c r="B4720" s="361"/>
      <c r="C4720" s="194">
        <v>211</v>
      </c>
      <c r="D4720" s="194" t="s">
        <v>86</v>
      </c>
      <c r="E4720" s="199" t="s">
        <v>95</v>
      </c>
      <c r="F4720" s="199" t="s">
        <v>95</v>
      </c>
      <c r="G4720" s="275">
        <f>MROUND(H4720*L4720*I4720/K4720,0.0000000001)</f>
        <v>0.55812139810000005</v>
      </c>
      <c r="H4720" s="201">
        <f>H3880</f>
        <v>921.8</v>
      </c>
      <c r="I4720" s="159">
        <f>школы!$K$17</f>
        <v>6.8014359999999996E-2</v>
      </c>
      <c r="J4720" s="159"/>
      <c r="K4720" s="161">
        <f>школы!$G$17</f>
        <v>1348</v>
      </c>
      <c r="L4720" s="202">
        <v>12</v>
      </c>
      <c r="M4720" s="163" t="str">
        <f>CONCATENATE(H4720," ",F4720," ","в мес.","*",L4720,"мес.","*",I4720,"/",K4720,"чел.")</f>
        <v>921,8 шт.ед в мес.*12мес.*0,06801436/1348чел.</v>
      </c>
      <c r="N4720" s="164">
        <f>N3880</f>
        <v>12883.620739314385</v>
      </c>
      <c r="O4720" s="165">
        <f>MROUND(G4720*N4720,0.000000001)</f>
        <v>7190.6244196160005</v>
      </c>
      <c r="P4720" s="166"/>
      <c r="Q4720" s="166">
        <f t="shared" ref="Q4720" si="1209">O4720*K4720</f>
        <v>9692961.7176423687</v>
      </c>
      <c r="R4720" s="71"/>
    </row>
    <row r="4721" spans="1:18" s="62" customFormat="1" x14ac:dyDescent="0.25">
      <c r="A4721" s="358"/>
      <c r="B4721" s="361"/>
      <c r="C4721" s="203" t="s">
        <v>288</v>
      </c>
      <c r="D4721" s="203"/>
      <c r="E4721" s="204"/>
      <c r="F4721" s="204"/>
      <c r="G4721" s="205"/>
      <c r="H4721" s="206"/>
      <c r="I4721" s="206"/>
      <c r="J4721" s="206"/>
      <c r="K4721" s="207"/>
      <c r="L4721" s="208"/>
      <c r="M4721" s="209"/>
      <c r="N4721" s="210">
        <f>N4720</f>
        <v>12883.620739314385</v>
      </c>
      <c r="O4721" s="198">
        <f>O4720</f>
        <v>7190.6244196160005</v>
      </c>
      <c r="P4721" s="267"/>
      <c r="Q4721" s="166"/>
      <c r="R4721" s="71"/>
    </row>
    <row r="4722" spans="1:18" s="61" customFormat="1" x14ac:dyDescent="0.25">
      <c r="A4722" s="358"/>
      <c r="B4722" s="361"/>
      <c r="C4722" s="194">
        <v>213</v>
      </c>
      <c r="D4722" s="194" t="s">
        <v>87</v>
      </c>
      <c r="E4722" s="194" t="s">
        <v>88</v>
      </c>
      <c r="F4722" s="194"/>
      <c r="G4722" s="211">
        <v>30.2</v>
      </c>
      <c r="H4722" s="159"/>
      <c r="I4722" s="159"/>
      <c r="J4722" s="159"/>
      <c r="K4722" s="161">
        <f>K4720</f>
        <v>1348</v>
      </c>
      <c r="L4722" s="202"/>
      <c r="M4722" s="212"/>
      <c r="N4722" s="164"/>
      <c r="O4722" s="165">
        <f>MROUND(O4720*0.302,0.000001)</f>
        <v>2171.5685749999998</v>
      </c>
      <c r="P4722" s="166"/>
      <c r="Q4722" s="166">
        <f>O4722*K4722</f>
        <v>2927274.4390999996</v>
      </c>
      <c r="R4722" s="71"/>
    </row>
    <row r="4723" spans="1:18" s="62" customFormat="1" x14ac:dyDescent="0.25">
      <c r="A4723" s="358"/>
      <c r="B4723" s="361"/>
      <c r="C4723" s="203" t="s">
        <v>289</v>
      </c>
      <c r="D4723" s="203"/>
      <c r="E4723" s="203"/>
      <c r="F4723" s="203"/>
      <c r="G4723" s="213"/>
      <c r="H4723" s="214"/>
      <c r="I4723" s="206"/>
      <c r="J4723" s="214"/>
      <c r="K4723" s="207"/>
      <c r="L4723" s="215"/>
      <c r="M4723" s="216"/>
      <c r="N4723" s="210"/>
      <c r="O4723" s="198">
        <f>O4722</f>
        <v>2171.5685749999998</v>
      </c>
      <c r="P4723" s="267"/>
      <c r="Q4723" s="166"/>
      <c r="R4723" s="71"/>
    </row>
    <row r="4724" spans="1:18" s="61" customFormat="1" x14ac:dyDescent="0.25">
      <c r="A4724" s="358"/>
      <c r="B4724" s="361"/>
      <c r="C4724" s="194"/>
      <c r="D4724" s="356" t="s">
        <v>63</v>
      </c>
      <c r="E4724" s="356"/>
      <c r="F4724" s="356"/>
      <c r="G4724" s="356"/>
      <c r="H4724" s="195"/>
      <c r="I4724" s="159"/>
      <c r="J4724" s="195"/>
      <c r="K4724" s="161"/>
      <c r="L4724" s="196"/>
      <c r="M4724" s="197"/>
      <c r="N4724" s="164"/>
      <c r="O4724" s="165"/>
      <c r="P4724" s="166"/>
      <c r="Q4724" s="166"/>
      <c r="R4724" s="71"/>
    </row>
    <row r="4725" spans="1:18" s="61" customFormat="1" x14ac:dyDescent="0.25">
      <c r="A4725" s="358"/>
      <c r="B4725" s="361"/>
      <c r="C4725" s="194"/>
      <c r="D4725" s="194"/>
      <c r="E4725" s="194"/>
      <c r="F4725" s="194"/>
      <c r="G4725" s="217"/>
      <c r="H4725" s="195"/>
      <c r="I4725" s="159"/>
      <c r="J4725" s="195"/>
      <c r="K4725" s="161"/>
      <c r="L4725" s="196"/>
      <c r="M4725" s="197"/>
      <c r="N4725" s="164"/>
      <c r="O4725" s="165"/>
      <c r="P4725" s="166"/>
      <c r="Q4725" s="166"/>
      <c r="R4725" s="71"/>
    </row>
    <row r="4726" spans="1:18" s="61" customFormat="1" x14ac:dyDescent="0.25">
      <c r="A4726" s="358"/>
      <c r="B4726" s="361"/>
      <c r="C4726" s="194"/>
      <c r="D4726" s="350" t="s">
        <v>64</v>
      </c>
      <c r="E4726" s="350"/>
      <c r="F4726" s="350"/>
      <c r="G4726" s="350"/>
      <c r="H4726" s="195"/>
      <c r="I4726" s="159"/>
      <c r="J4726" s="195"/>
      <c r="K4726" s="161"/>
      <c r="L4726" s="196"/>
      <c r="M4726" s="197"/>
      <c r="N4726" s="164"/>
      <c r="O4726" s="165"/>
      <c r="P4726" s="166"/>
      <c r="Q4726" s="166"/>
      <c r="R4726" s="71"/>
    </row>
    <row r="4727" spans="1:18" s="61" customFormat="1" x14ac:dyDescent="0.25">
      <c r="A4727" s="358"/>
      <c r="B4727" s="361"/>
      <c r="C4727" s="194"/>
      <c r="D4727" s="194"/>
      <c r="E4727" s="194"/>
      <c r="F4727" s="194"/>
      <c r="G4727" s="217"/>
      <c r="H4727" s="195"/>
      <c r="I4727" s="159"/>
      <c r="J4727" s="195"/>
      <c r="K4727" s="161"/>
      <c r="L4727" s="196"/>
      <c r="M4727" s="197"/>
      <c r="N4727" s="164"/>
      <c r="O4727" s="165"/>
      <c r="P4727" s="166"/>
      <c r="Q4727" s="166"/>
      <c r="R4727" s="71"/>
    </row>
    <row r="4728" spans="1:18" s="61" customFormat="1" x14ac:dyDescent="0.25">
      <c r="A4728" s="358"/>
      <c r="B4728" s="361"/>
      <c r="C4728" s="194"/>
      <c r="D4728" s="355" t="s">
        <v>5</v>
      </c>
      <c r="E4728" s="355"/>
      <c r="F4728" s="355"/>
      <c r="G4728" s="355"/>
      <c r="H4728" s="195"/>
      <c r="I4728" s="159"/>
      <c r="J4728" s="195"/>
      <c r="K4728" s="161"/>
      <c r="L4728" s="196"/>
      <c r="M4728" s="197"/>
      <c r="N4728" s="164"/>
      <c r="O4728" s="198">
        <f>O4729+O4739+O4750+O4752+O4754+O4756+O4758</f>
        <v>19877.502028389386</v>
      </c>
      <c r="P4728" s="166"/>
      <c r="Q4728" s="166"/>
      <c r="R4728" s="71"/>
    </row>
    <row r="4729" spans="1:18" s="61" customFormat="1" x14ac:dyDescent="0.25">
      <c r="A4729" s="358"/>
      <c r="B4729" s="361"/>
      <c r="C4729" s="218" t="s">
        <v>70</v>
      </c>
      <c r="D4729" s="355" t="s">
        <v>6</v>
      </c>
      <c r="E4729" s="355"/>
      <c r="F4729" s="355"/>
      <c r="G4729" s="355"/>
      <c r="H4729" s="189"/>
      <c r="I4729" s="159"/>
      <c r="J4729" s="189"/>
      <c r="K4729" s="161"/>
      <c r="L4729" s="190"/>
      <c r="M4729" s="197"/>
      <c r="N4729" s="210"/>
      <c r="O4729" s="198">
        <f>O4738</f>
        <v>9130.3752560099983</v>
      </c>
      <c r="P4729" s="166"/>
      <c r="Q4729" s="166"/>
      <c r="R4729" s="71"/>
    </row>
    <row r="4730" spans="1:18" s="61" customFormat="1" ht="31.5" x14ac:dyDescent="0.25">
      <c r="A4730" s="358"/>
      <c r="B4730" s="361"/>
      <c r="C4730" s="221" t="s">
        <v>72</v>
      </c>
      <c r="D4730" s="222" t="s">
        <v>7</v>
      </c>
      <c r="E4730" s="223" t="s">
        <v>8</v>
      </c>
      <c r="F4730" s="223" t="s">
        <v>8</v>
      </c>
      <c r="G4730" s="238">
        <f>MROUND(H4730*L4730*I4730/K4730,0.00000000001)</f>
        <v>167.16604853197998</v>
      </c>
      <c r="H4730" s="160">
        <f>H4010</f>
        <v>3313121.4264326878</v>
      </c>
      <c r="I4730" s="159">
        <f>I4720</f>
        <v>6.8014359999999996E-2</v>
      </c>
      <c r="J4730" s="160"/>
      <c r="K4730" s="161">
        <f>K4720</f>
        <v>1348</v>
      </c>
      <c r="L4730" s="250">
        <v>1</v>
      </c>
      <c r="M4730" s="163" t="str">
        <f t="shared" ref="M4730:M4735" si="1210">CONCATENATE(H4730," ",F4730,"(лимиты выделенные УЖКХ) ","*",I4730,"/",K4730,"чел.")</f>
        <v>3313121,42643269 кВт час.(лимиты выделенные УЖКХ) *0,06801436/1348чел.</v>
      </c>
      <c r="N4730" s="164">
        <f>N4010</f>
        <v>10.897694685122204</v>
      </c>
      <c r="O4730" s="165">
        <f t="shared" ref="O4730:O4733" si="1211">MROUND(G4730*N4730,0.000001)</f>
        <v>1821.724559</v>
      </c>
      <c r="P4730" s="166"/>
      <c r="Q4730" s="166">
        <f t="shared" ref="Q4730:Q4737" si="1212">O4730*K4730</f>
        <v>2455684.7055319999</v>
      </c>
      <c r="R4730" s="71"/>
    </row>
    <row r="4731" spans="1:18" s="61" customFormat="1" ht="31.5" x14ac:dyDescent="0.25">
      <c r="A4731" s="358"/>
      <c r="B4731" s="361"/>
      <c r="C4731" s="221" t="s">
        <v>73</v>
      </c>
      <c r="D4731" s="222" t="s">
        <v>9</v>
      </c>
      <c r="E4731" s="223" t="s">
        <v>10</v>
      </c>
      <c r="F4731" s="223" t="s">
        <v>10</v>
      </c>
      <c r="G4731" s="238">
        <f>MROUND(H4731*L4731*I4731/K4731,0.00000000001)</f>
        <v>1.60940694846</v>
      </c>
      <c r="H4731" s="160">
        <f>H3651</f>
        <v>31897.39</v>
      </c>
      <c r="I4731" s="159">
        <f t="shared" ref="I4731:I4783" si="1213">I4730</f>
        <v>6.8014359999999996E-2</v>
      </c>
      <c r="J4731" s="160"/>
      <c r="K4731" s="161">
        <f t="shared" ref="K4731:K4737" si="1214">K4730</f>
        <v>1348</v>
      </c>
      <c r="L4731" s="250">
        <v>1</v>
      </c>
      <c r="M4731" s="163" t="str">
        <f t="shared" si="1210"/>
        <v>31897,39 Гкал(лимиты выделенные УЖКХ) *0,06801436/1348чел.</v>
      </c>
      <c r="N4731" s="164">
        <f>N3651</f>
        <v>2976.2517908205036</v>
      </c>
      <c r="O4731" s="165">
        <f t="shared" si="1211"/>
        <v>4790.0003129999996</v>
      </c>
      <c r="P4731" s="166"/>
      <c r="Q4731" s="166">
        <f t="shared" si="1212"/>
        <v>6456920.4219239997</v>
      </c>
      <c r="R4731" s="71"/>
    </row>
    <row r="4732" spans="1:18" s="61" customFormat="1" ht="31.5" x14ac:dyDescent="0.25">
      <c r="A4732" s="358"/>
      <c r="B4732" s="361"/>
      <c r="C4732" s="364" t="s">
        <v>74</v>
      </c>
      <c r="D4732" s="222" t="s">
        <v>12</v>
      </c>
      <c r="E4732" s="222" t="s">
        <v>11</v>
      </c>
      <c r="F4732" s="222" t="s">
        <v>11</v>
      </c>
      <c r="G4732" s="238">
        <f>MROUND(H4732*L4732*I4732/K4732,0.00000000001)</f>
        <v>9.3204482295600002</v>
      </c>
      <c r="H4732" s="224">
        <f>H3412</f>
        <v>184725.17</v>
      </c>
      <c r="I4732" s="159">
        <f t="shared" si="1213"/>
        <v>6.8014359999999996E-2</v>
      </c>
      <c r="J4732" s="160"/>
      <c r="K4732" s="161">
        <f t="shared" si="1214"/>
        <v>1348</v>
      </c>
      <c r="L4732" s="250">
        <v>1</v>
      </c>
      <c r="M4732" s="163" t="str">
        <f t="shared" si="1210"/>
        <v>184725,17 м3(лимиты выделенные УЖКХ) *0,06801436/1348чел.</v>
      </c>
      <c r="N4732" s="164">
        <f>N3412</f>
        <v>54.214180016724306</v>
      </c>
      <c r="O4732" s="165">
        <f t="shared" si="1211"/>
        <v>505.30045799999999</v>
      </c>
      <c r="P4732" s="166"/>
      <c r="Q4732" s="166">
        <f t="shared" si="1212"/>
        <v>681145.01738400001</v>
      </c>
      <c r="R4732" s="71"/>
    </row>
    <row r="4733" spans="1:18" s="61" customFormat="1" ht="47.25" x14ac:dyDescent="0.25">
      <c r="A4733" s="358"/>
      <c r="B4733" s="361"/>
      <c r="C4733" s="364"/>
      <c r="D4733" s="222" t="s">
        <v>17</v>
      </c>
      <c r="E4733" s="222" t="s">
        <v>11</v>
      </c>
      <c r="F4733" s="222" t="s">
        <v>11</v>
      </c>
      <c r="G4733" s="238">
        <f>MROUND(H4733*L4733*I4733/K4733,0.00000000001)</f>
        <v>9.3204482295600002</v>
      </c>
      <c r="H4733" s="160">
        <f>H3653</f>
        <v>184725.17</v>
      </c>
      <c r="I4733" s="159">
        <f t="shared" si="1213"/>
        <v>6.8014359999999996E-2</v>
      </c>
      <c r="J4733" s="160"/>
      <c r="K4733" s="161">
        <f t="shared" si="1214"/>
        <v>1348</v>
      </c>
      <c r="L4733" s="162">
        <f>$L$25</f>
        <v>1</v>
      </c>
      <c r="M4733" s="163" t="str">
        <f t="shared" si="1210"/>
        <v>184725,17 м3(лимиты выделенные УЖКХ) *0,06801436/1348чел.</v>
      </c>
      <c r="N4733" s="164">
        <f>N3413</f>
        <v>82.384170780821918</v>
      </c>
      <c r="O4733" s="165">
        <f t="shared" si="1211"/>
        <v>767.85739899999999</v>
      </c>
      <c r="P4733" s="166"/>
      <c r="Q4733" s="166">
        <f t="shared" si="1212"/>
        <v>1035071.773852</v>
      </c>
      <c r="R4733" s="71"/>
    </row>
    <row r="4734" spans="1:18" s="61" customFormat="1" ht="31.5" x14ac:dyDescent="0.25">
      <c r="A4734" s="358"/>
      <c r="B4734" s="361"/>
      <c r="C4734" s="364"/>
      <c r="D4734" s="222" t="s">
        <v>13</v>
      </c>
      <c r="E4734" s="222" t="s">
        <v>11</v>
      </c>
      <c r="F4734" s="222" t="s">
        <v>11</v>
      </c>
      <c r="G4734" s="238">
        <f>MROUND(H4734*L4734*I4734/K4734,0.00000000001)</f>
        <v>9.3204482295600002</v>
      </c>
      <c r="H4734" s="160">
        <f>H3414</f>
        <v>184725.17</v>
      </c>
      <c r="I4734" s="159">
        <f t="shared" si="1213"/>
        <v>6.8014359999999996E-2</v>
      </c>
      <c r="J4734" s="160"/>
      <c r="K4734" s="161">
        <f t="shared" si="1214"/>
        <v>1348</v>
      </c>
      <c r="L4734" s="162">
        <v>1</v>
      </c>
      <c r="M4734" s="163" t="str">
        <f t="shared" si="1210"/>
        <v>184725,17 м3(лимиты выделенные УЖКХ) *0,06801436/1348чел.</v>
      </c>
      <c r="N4734" s="164">
        <f>N3414</f>
        <v>112.36110334722464</v>
      </c>
      <c r="O4734" s="165">
        <f>MROUND(G4734*N4734,0.00000001)</f>
        <v>1047.2558467599999</v>
      </c>
      <c r="P4734" s="166"/>
      <c r="Q4734" s="166">
        <f t="shared" si="1212"/>
        <v>1411700.8814324799</v>
      </c>
      <c r="R4734" s="71"/>
    </row>
    <row r="4735" spans="1:18" s="61" customFormat="1" ht="31.5" x14ac:dyDescent="0.25">
      <c r="A4735" s="358"/>
      <c r="B4735" s="361"/>
      <c r="C4735" s="221" t="s">
        <v>75</v>
      </c>
      <c r="D4735" s="222" t="s">
        <v>18</v>
      </c>
      <c r="E4735" s="222" t="s">
        <v>48</v>
      </c>
      <c r="F4735" s="222" t="s">
        <v>48</v>
      </c>
      <c r="G4735" s="238">
        <f>MROUND(H4735*L4735*I4735/K4735,0.0000000001)</f>
        <v>0.70070936640000003</v>
      </c>
      <c r="H4735" s="160">
        <f>H3415</f>
        <v>13887.6</v>
      </c>
      <c r="I4735" s="159">
        <f t="shared" si="1213"/>
        <v>6.8014359999999996E-2</v>
      </c>
      <c r="J4735" s="160"/>
      <c r="K4735" s="161">
        <f t="shared" si="1214"/>
        <v>1348</v>
      </c>
      <c r="L4735" s="250">
        <v>1</v>
      </c>
      <c r="M4735" s="163" t="str">
        <f t="shared" si="1210"/>
        <v>13887,6 тыс. м3(лимиты выделенные УЖКХ) *0,06801436/1348чел.</v>
      </c>
      <c r="N4735" s="164">
        <f>N3415</f>
        <v>30.576235634666901</v>
      </c>
      <c r="O4735" s="165">
        <f t="shared" ref="O4735" si="1215">MROUND(G4735*N4735,0.000001)</f>
        <v>21.425055</v>
      </c>
      <c r="P4735" s="166"/>
      <c r="Q4735" s="166">
        <f t="shared" si="1212"/>
        <v>28880.974140000002</v>
      </c>
      <c r="R4735" s="71"/>
    </row>
    <row r="4736" spans="1:18" s="61" customFormat="1" x14ac:dyDescent="0.25">
      <c r="A4736" s="358"/>
      <c r="B4736" s="361"/>
      <c r="C4736" s="364" t="s">
        <v>216</v>
      </c>
      <c r="D4736" s="222" t="s">
        <v>23</v>
      </c>
      <c r="E4736" s="222" t="s">
        <v>11</v>
      </c>
      <c r="F4736" s="222" t="s">
        <v>11</v>
      </c>
      <c r="G4736" s="238">
        <f>MROUND(H4736*L4736*I4736/K4736,0.000000000001)</f>
        <v>0.16996728017099999</v>
      </c>
      <c r="H4736" s="160">
        <f>H3416</f>
        <v>3368.6400000000003</v>
      </c>
      <c r="I4736" s="159">
        <f t="shared" si="1213"/>
        <v>6.8014359999999996E-2</v>
      </c>
      <c r="J4736" s="160"/>
      <c r="K4736" s="161">
        <f t="shared" si="1214"/>
        <v>1348</v>
      </c>
      <c r="L4736" s="162">
        <f>L4735</f>
        <v>1</v>
      </c>
      <c r="M4736" s="163" t="str">
        <f>CONCATENATE(H4736," ",F4736," ","*",I4736,"/",K4736,"чел.")</f>
        <v>3368,64 м3 *0,06801436/1348чел.</v>
      </c>
      <c r="N4736" s="164">
        <f>N3416</f>
        <v>776.35552626579261</v>
      </c>
      <c r="O4736" s="165">
        <f>MROUND(G4736*N4736,0.00000001)</f>
        <v>131.95503725</v>
      </c>
      <c r="P4736" s="166"/>
      <c r="Q4736" s="166">
        <f t="shared" si="1212"/>
        <v>177875.39021300001</v>
      </c>
      <c r="R4736" s="71"/>
    </row>
    <row r="4737" spans="1:18" s="61" customFormat="1" ht="63" x14ac:dyDescent="0.25">
      <c r="A4737" s="358"/>
      <c r="B4737" s="361"/>
      <c r="C4737" s="364"/>
      <c r="D4737" s="222" t="s">
        <v>24</v>
      </c>
      <c r="E4737" s="222" t="s">
        <v>25</v>
      </c>
      <c r="F4737" s="222" t="s">
        <v>217</v>
      </c>
      <c r="G4737" s="238">
        <f>MROUND(H4737*L4737*I4737/K4737,0.000000000001)</f>
        <v>7.4169962309999999E-3</v>
      </c>
      <c r="H4737" s="160">
        <f>H4017</f>
        <v>147</v>
      </c>
      <c r="I4737" s="159">
        <f t="shared" si="1213"/>
        <v>6.8014359999999996E-2</v>
      </c>
      <c r="J4737" s="160"/>
      <c r="K4737" s="161">
        <f t="shared" si="1214"/>
        <v>1348</v>
      </c>
      <c r="L4737" s="250">
        <f>L4736</f>
        <v>1</v>
      </c>
      <c r="M4737" s="163" t="str">
        <f>CONCATENATE(H4737," ",F4737,"(потребность из расчета 4 контейнера для уборки территории весной и осенью на 1 учреждение)","*",I4737,"/",K4737,"чел.")</f>
        <v>147 контейнера(потребность из расчета 4 контейнера для уборки территории весной и осенью на 1 учреждение)*0,06801436/1348чел.</v>
      </c>
      <c r="N4737" s="164">
        <f>N4017</f>
        <v>6047.8105442176911</v>
      </c>
      <c r="O4737" s="165">
        <f t="shared" ref="O4737" si="1216">MROUND(G4737*N4737,0.000001)</f>
        <v>44.856587999999995</v>
      </c>
      <c r="P4737" s="166"/>
      <c r="Q4737" s="166">
        <f t="shared" si="1212"/>
        <v>60466.680623999993</v>
      </c>
      <c r="R4737" s="71"/>
    </row>
    <row r="4738" spans="1:18" s="62" customFormat="1" x14ac:dyDescent="0.25">
      <c r="A4738" s="358"/>
      <c r="B4738" s="361"/>
      <c r="C4738" s="218" t="s">
        <v>290</v>
      </c>
      <c r="D4738" s="226"/>
      <c r="E4738" s="226"/>
      <c r="F4738" s="226"/>
      <c r="G4738" s="227"/>
      <c r="H4738" s="228"/>
      <c r="I4738" s="206"/>
      <c r="J4738" s="228"/>
      <c r="K4738" s="207"/>
      <c r="L4738" s="257"/>
      <c r="M4738" s="209"/>
      <c r="N4738" s="210"/>
      <c r="O4738" s="198">
        <f>SUM(O4730:O4737)</f>
        <v>9130.3752560099983</v>
      </c>
      <c r="P4738" s="267"/>
      <c r="Q4738" s="166"/>
      <c r="R4738" s="71"/>
    </row>
    <row r="4739" spans="1:18" s="61" customFormat="1" x14ac:dyDescent="0.25">
      <c r="A4739" s="358"/>
      <c r="B4739" s="361"/>
      <c r="C4739" s="221"/>
      <c r="D4739" s="356" t="s">
        <v>14</v>
      </c>
      <c r="E4739" s="356"/>
      <c r="F4739" s="356"/>
      <c r="G4739" s="356"/>
      <c r="H4739" s="188"/>
      <c r="I4739" s="159"/>
      <c r="J4739" s="188"/>
      <c r="K4739" s="161"/>
      <c r="L4739" s="250"/>
      <c r="M4739" s="230"/>
      <c r="N4739" s="164"/>
      <c r="O4739" s="198">
        <f>O4747+O4748+O4743</f>
        <v>9553.1042641793902</v>
      </c>
      <c r="P4739" s="166"/>
      <c r="Q4739" s="166"/>
      <c r="R4739" s="71"/>
    </row>
    <row r="4740" spans="1:18" s="61" customFormat="1" x14ac:dyDescent="0.25">
      <c r="A4740" s="358"/>
      <c r="B4740" s="361"/>
      <c r="C4740" s="221" t="s">
        <v>379</v>
      </c>
      <c r="D4740" s="231" t="s">
        <v>49</v>
      </c>
      <c r="E4740" s="231" t="s">
        <v>22</v>
      </c>
      <c r="F4740" s="231" t="s">
        <v>22</v>
      </c>
      <c r="G4740" s="238">
        <f>MROUND(H4740*L4740*I4740/K4740,0.000000001)</f>
        <v>0</v>
      </c>
      <c r="H4740" s="160"/>
      <c r="I4740" s="159">
        <f>I4735</f>
        <v>6.8014359999999996E-2</v>
      </c>
      <c r="J4740" s="160"/>
      <c r="K4740" s="161">
        <f>K4735</f>
        <v>1348</v>
      </c>
      <c r="L4740" s="250"/>
      <c r="M4740" s="163"/>
      <c r="N4740" s="164"/>
      <c r="O4740" s="165">
        <f>MROUND(G4740*N4740,0.00000001)</f>
        <v>0</v>
      </c>
      <c r="P4740" s="166"/>
      <c r="Q4740" s="166">
        <f t="shared" ref="Q4740:Q4742" si="1217">O4740*K4740</f>
        <v>0</v>
      </c>
      <c r="R4740" s="71"/>
    </row>
    <row r="4741" spans="1:18" s="61" customFormat="1" x14ac:dyDescent="0.25">
      <c r="A4741" s="358"/>
      <c r="B4741" s="361"/>
      <c r="C4741" s="221" t="s">
        <v>379</v>
      </c>
      <c r="D4741" s="231" t="s">
        <v>49</v>
      </c>
      <c r="E4741" s="231" t="s">
        <v>28</v>
      </c>
      <c r="F4741" s="231" t="s">
        <v>28</v>
      </c>
      <c r="G4741" s="238">
        <f>MROUND(H4741*L4741*I4741/K4741,0.0000000000000001)</f>
        <v>0</v>
      </c>
      <c r="H4741" s="160"/>
      <c r="I4741" s="159">
        <f t="shared" si="1213"/>
        <v>6.8014359999999996E-2</v>
      </c>
      <c r="J4741" s="160"/>
      <c r="K4741" s="161">
        <f>K4740</f>
        <v>1348</v>
      </c>
      <c r="L4741" s="250">
        <v>1</v>
      </c>
      <c r="M4741" s="163"/>
      <c r="N4741" s="164"/>
      <c r="O4741" s="165">
        <f>MROUND(G4741*N4741,0.00000001)</f>
        <v>0</v>
      </c>
      <c r="P4741" s="166"/>
      <c r="Q4741" s="166">
        <f t="shared" si="1217"/>
        <v>0</v>
      </c>
      <c r="R4741" s="71"/>
    </row>
    <row r="4742" spans="1:18" s="61" customFormat="1" x14ac:dyDescent="0.25">
      <c r="A4742" s="358"/>
      <c r="B4742" s="361"/>
      <c r="C4742" s="221" t="s">
        <v>379</v>
      </c>
      <c r="D4742" s="231" t="s">
        <v>49</v>
      </c>
      <c r="E4742" s="231" t="s">
        <v>101</v>
      </c>
      <c r="F4742" s="231" t="s">
        <v>101</v>
      </c>
      <c r="G4742" s="238">
        <f>MROUND(H4742*L4742*I4742/K4742,0.000000001)</f>
        <v>0</v>
      </c>
      <c r="H4742" s="160"/>
      <c r="I4742" s="159">
        <f t="shared" si="1213"/>
        <v>6.8014359999999996E-2</v>
      </c>
      <c r="J4742" s="160"/>
      <c r="K4742" s="161">
        <f>K4741</f>
        <v>1348</v>
      </c>
      <c r="L4742" s="250"/>
      <c r="M4742" s="163"/>
      <c r="N4742" s="164"/>
      <c r="O4742" s="165">
        <f>MROUND(G4742*N4742,0.00000001)</f>
        <v>0</v>
      </c>
      <c r="P4742" s="166"/>
      <c r="Q4742" s="166">
        <f t="shared" si="1217"/>
        <v>0</v>
      </c>
      <c r="R4742" s="71"/>
    </row>
    <row r="4743" spans="1:18" s="62" customFormat="1" x14ac:dyDescent="0.25">
      <c r="A4743" s="358"/>
      <c r="B4743" s="361"/>
      <c r="C4743" s="218" t="s">
        <v>380</v>
      </c>
      <c r="D4743" s="232"/>
      <c r="E4743" s="232"/>
      <c r="F4743" s="232"/>
      <c r="G4743" s="227"/>
      <c r="H4743" s="228"/>
      <c r="I4743" s="206"/>
      <c r="J4743" s="228"/>
      <c r="K4743" s="207"/>
      <c r="L4743" s="257"/>
      <c r="M4743" s="209"/>
      <c r="N4743" s="210"/>
      <c r="O4743" s="198">
        <f>SUM(O4740:O4742)</f>
        <v>0</v>
      </c>
      <c r="P4743" s="267"/>
      <c r="Q4743" s="166"/>
      <c r="R4743" s="71"/>
    </row>
    <row r="4744" spans="1:18" s="61" customFormat="1" x14ac:dyDescent="0.25">
      <c r="A4744" s="358"/>
      <c r="B4744" s="361"/>
      <c r="C4744" s="221" t="s">
        <v>76</v>
      </c>
      <c r="D4744" s="231" t="s">
        <v>49</v>
      </c>
      <c r="E4744" s="231" t="s">
        <v>22</v>
      </c>
      <c r="F4744" s="231" t="s">
        <v>22</v>
      </c>
      <c r="G4744" s="238">
        <f>MROUND(H4744*L4744*I4744/K4744,0.000000000000001)</f>
        <v>61.759338148831738</v>
      </c>
      <c r="H4744" s="160">
        <f>H3904</f>
        <v>1224029.57</v>
      </c>
      <c r="I4744" s="159">
        <f>I4740</f>
        <v>6.8014359999999996E-2</v>
      </c>
      <c r="J4744" s="160"/>
      <c r="K4744" s="161">
        <f>K4742</f>
        <v>1348</v>
      </c>
      <c r="L4744" s="250">
        <v>1</v>
      </c>
      <c r="M4744" s="163" t="str">
        <f>CONCATENATE(H4744," ",F4744,"*",I4744,"/",K4744,"чел.")</f>
        <v>1224029,57 м2*0,06801436/1348чел.</v>
      </c>
      <c r="N4744" s="164">
        <f>N3904</f>
        <v>37.50494361014497</v>
      </c>
      <c r="O4744" s="165">
        <f>MROUND(G4744*N4744,0.00000000001)</f>
        <v>2316.2804946718097</v>
      </c>
      <c r="P4744" s="166"/>
      <c r="Q4744" s="166">
        <f t="shared" ref="Q4744:Q4746" si="1218">O4744*K4744</f>
        <v>3122346.1068175994</v>
      </c>
      <c r="R4744" s="71"/>
    </row>
    <row r="4745" spans="1:18" s="61" customFormat="1" x14ac:dyDescent="0.25">
      <c r="A4745" s="358"/>
      <c r="B4745" s="361"/>
      <c r="C4745" s="221"/>
      <c r="D4745" s="231" t="s">
        <v>49</v>
      </c>
      <c r="E4745" s="231" t="s">
        <v>28</v>
      </c>
      <c r="F4745" s="231" t="s">
        <v>28</v>
      </c>
      <c r="G4745" s="238">
        <f>MROUND(H4745*L4745*I4745/K4745,0.0000000000001)</f>
        <v>5.5804066884300001E-2</v>
      </c>
      <c r="H4745" s="160">
        <f>H3905</f>
        <v>1106</v>
      </c>
      <c r="I4745" s="159">
        <f t="shared" si="1213"/>
        <v>6.8014359999999996E-2</v>
      </c>
      <c r="J4745" s="160"/>
      <c r="K4745" s="161">
        <f>K4744</f>
        <v>1348</v>
      </c>
      <c r="L4745" s="250">
        <v>1</v>
      </c>
      <c r="M4745" s="163" t="str">
        <f>CONCATENATE(H4745," ",F4745,"*",I4745,"/",K4745,"чел.")</f>
        <v>1106 шт*0,06801436/1348чел.</v>
      </c>
      <c r="N4745" s="164">
        <f>N3905</f>
        <v>86192.676311030737</v>
      </c>
      <c r="O4745" s="165">
        <f>MROUND(G4745*N4745,0.00000000001)</f>
        <v>4809.9018737975794</v>
      </c>
      <c r="P4745" s="166"/>
      <c r="Q4745" s="166">
        <f t="shared" si="1218"/>
        <v>6483747.7258791374</v>
      </c>
      <c r="R4745" s="71"/>
    </row>
    <row r="4746" spans="1:18" s="61" customFormat="1" x14ac:dyDescent="0.25">
      <c r="A4746" s="358"/>
      <c r="B4746" s="361"/>
      <c r="C4746" s="221"/>
      <c r="D4746" s="231" t="s">
        <v>49</v>
      </c>
      <c r="E4746" s="231" t="s">
        <v>101</v>
      </c>
      <c r="F4746" s="231" t="s">
        <v>101</v>
      </c>
      <c r="G4746" s="238">
        <f>MROUND(H4746*L4746*I4746/K4746,0.000000001)</f>
        <v>1.8502125970000001</v>
      </c>
      <c r="H4746" s="160">
        <f>H3906</f>
        <v>36670</v>
      </c>
      <c r="I4746" s="159">
        <f t="shared" si="1213"/>
        <v>6.8014359999999996E-2</v>
      </c>
      <c r="J4746" s="160"/>
      <c r="K4746" s="161">
        <f>K4745</f>
        <v>1348</v>
      </c>
      <c r="L4746" s="250">
        <v>1</v>
      </c>
      <c r="M4746" s="163" t="str">
        <f>CONCATENATE(H4746," ",F4746,"*",I4746,"/",K4746,"чел.")</f>
        <v>36670 погон.м.*0,06801436/1348чел.</v>
      </c>
      <c r="N4746" s="164">
        <f>N3906</f>
        <v>1311.6989364603219</v>
      </c>
      <c r="O4746" s="165">
        <f>MROUND(G4746*N4746,0.00000001)</f>
        <v>2426.9218957100002</v>
      </c>
      <c r="P4746" s="166"/>
      <c r="Q4746" s="166">
        <f t="shared" si="1218"/>
        <v>3271490.7154170801</v>
      </c>
      <c r="R4746" s="71"/>
    </row>
    <row r="4747" spans="1:18" s="62" customFormat="1" x14ac:dyDescent="0.25">
      <c r="A4747" s="358"/>
      <c r="B4747" s="361"/>
      <c r="C4747" s="218" t="s">
        <v>291</v>
      </c>
      <c r="D4747" s="232"/>
      <c r="E4747" s="232"/>
      <c r="F4747" s="232"/>
      <c r="G4747" s="227"/>
      <c r="H4747" s="228"/>
      <c r="I4747" s="206"/>
      <c r="J4747" s="228"/>
      <c r="K4747" s="207"/>
      <c r="L4747" s="257"/>
      <c r="M4747" s="209"/>
      <c r="N4747" s="210"/>
      <c r="O4747" s="198">
        <f>SUM(O4744:O4746)</f>
        <v>9553.1042641793902</v>
      </c>
      <c r="P4747" s="267"/>
      <c r="Q4747" s="166"/>
      <c r="R4747" s="71"/>
    </row>
    <row r="4748" spans="1:18" s="61" customFormat="1" x14ac:dyDescent="0.25">
      <c r="A4748" s="358"/>
      <c r="B4748" s="361"/>
      <c r="C4748" s="221" t="s">
        <v>77</v>
      </c>
      <c r="D4748" s="231"/>
      <c r="E4748" s="231"/>
      <c r="F4748" s="231"/>
      <c r="G4748" s="238">
        <f>MROUND(H4748*L4748*I4748/K4748,0.00000000001)</f>
        <v>0</v>
      </c>
      <c r="H4748" s="160">
        <f>H4508</f>
        <v>0</v>
      </c>
      <c r="I4748" s="159">
        <f>I4746</f>
        <v>6.8014359999999996E-2</v>
      </c>
      <c r="J4748" s="160"/>
      <c r="K4748" s="161">
        <f>K4746</f>
        <v>1348</v>
      </c>
      <c r="L4748" s="250"/>
      <c r="M4748" s="163"/>
      <c r="N4748" s="164">
        <f>N4508</f>
        <v>0</v>
      </c>
      <c r="O4748" s="165">
        <f>MROUND(G4748*N4748,0.000000001)</f>
        <v>0</v>
      </c>
      <c r="P4748" s="166"/>
      <c r="Q4748" s="166">
        <f t="shared" ref="Q4748" si="1219">O4748*K4748</f>
        <v>0</v>
      </c>
      <c r="R4748" s="71"/>
    </row>
    <row r="4749" spans="1:18" s="62" customFormat="1" x14ac:dyDescent="0.25">
      <c r="A4749" s="358"/>
      <c r="B4749" s="361"/>
      <c r="C4749" s="218" t="s">
        <v>292</v>
      </c>
      <c r="D4749" s="232"/>
      <c r="E4749" s="232"/>
      <c r="F4749" s="232"/>
      <c r="G4749" s="227"/>
      <c r="H4749" s="228"/>
      <c r="I4749" s="206"/>
      <c r="J4749" s="228"/>
      <c r="K4749" s="207"/>
      <c r="L4749" s="257"/>
      <c r="M4749" s="209"/>
      <c r="N4749" s="210"/>
      <c r="O4749" s="198">
        <f>O4748</f>
        <v>0</v>
      </c>
      <c r="P4749" s="267"/>
      <c r="Q4749" s="166"/>
      <c r="R4749" s="71"/>
    </row>
    <row r="4750" spans="1:18" s="61" customFormat="1" x14ac:dyDescent="0.25">
      <c r="A4750" s="358"/>
      <c r="B4750" s="361"/>
      <c r="C4750" s="221"/>
      <c r="D4750" s="350" t="s">
        <v>65</v>
      </c>
      <c r="E4750" s="350"/>
      <c r="F4750" s="350"/>
      <c r="G4750" s="350"/>
      <c r="H4750" s="195"/>
      <c r="I4750" s="159"/>
      <c r="J4750" s="195"/>
      <c r="K4750" s="161"/>
      <c r="L4750" s="196"/>
      <c r="M4750" s="230"/>
      <c r="N4750" s="164"/>
      <c r="O4750" s="165">
        <f t="shared" ref="O4750:O4751" si="1220">MROUND(G4750*N4750,0.000001)</f>
        <v>0</v>
      </c>
      <c r="P4750" s="166"/>
      <c r="Q4750" s="166"/>
      <c r="R4750" s="71"/>
    </row>
    <row r="4751" spans="1:18" s="61" customFormat="1" x14ac:dyDescent="0.25">
      <c r="A4751" s="358"/>
      <c r="B4751" s="361"/>
      <c r="C4751" s="221"/>
      <c r="D4751" s="194"/>
      <c r="E4751" s="194"/>
      <c r="F4751" s="194"/>
      <c r="G4751" s="217"/>
      <c r="H4751" s="195"/>
      <c r="I4751" s="159"/>
      <c r="J4751" s="195"/>
      <c r="K4751" s="161"/>
      <c r="L4751" s="196"/>
      <c r="M4751" s="230"/>
      <c r="N4751" s="164"/>
      <c r="O4751" s="165">
        <f t="shared" si="1220"/>
        <v>0</v>
      </c>
      <c r="P4751" s="166"/>
      <c r="Q4751" s="166"/>
      <c r="R4751" s="71"/>
    </row>
    <row r="4752" spans="1:18" s="61" customFormat="1" x14ac:dyDescent="0.25">
      <c r="A4752" s="358"/>
      <c r="B4752" s="361"/>
      <c r="C4752" s="221" t="s">
        <v>357</v>
      </c>
      <c r="D4752" s="368" t="s">
        <v>66</v>
      </c>
      <c r="E4752" s="368"/>
      <c r="F4752" s="368"/>
      <c r="G4752" s="368"/>
      <c r="H4752" s="195"/>
      <c r="I4752" s="159"/>
      <c r="J4752" s="195"/>
      <c r="K4752" s="161"/>
      <c r="L4752" s="234"/>
      <c r="M4752" s="230"/>
      <c r="N4752" s="164"/>
      <c r="O4752" s="198">
        <f>O4753</f>
        <v>28.637131999999998</v>
      </c>
      <c r="P4752" s="166"/>
      <c r="Q4752" s="166"/>
      <c r="R4752" s="71"/>
    </row>
    <row r="4753" spans="1:41" s="61" customFormat="1" ht="47.25" x14ac:dyDescent="0.25">
      <c r="A4753" s="358"/>
      <c r="B4753" s="361"/>
      <c r="C4753" s="221"/>
      <c r="D4753" s="222" t="s">
        <v>374</v>
      </c>
      <c r="E4753" s="194" t="s">
        <v>28</v>
      </c>
      <c r="F4753" s="194" t="s">
        <v>28</v>
      </c>
      <c r="G4753" s="217">
        <f>MROUND(H4753*L4753*I4753/K4753,0.000000001)</f>
        <v>7.2656290000000009E-3</v>
      </c>
      <c r="H4753" s="201">
        <f>H4153</f>
        <v>36</v>
      </c>
      <c r="I4753" s="159">
        <f>I4748</f>
        <v>6.8014359999999996E-2</v>
      </c>
      <c r="J4753" s="195"/>
      <c r="K4753" s="161">
        <f>K4748</f>
        <v>1348</v>
      </c>
      <c r="L4753" s="235">
        <f>L4153</f>
        <v>4</v>
      </c>
      <c r="M4753" s="163" t="str">
        <f>CONCATENATE(H4753," ",F4753,"*",I4753,"/",K4753,"чел.")</f>
        <v>36 шт*0,06801436/1348чел.</v>
      </c>
      <c r="N4753" s="164">
        <f>N4153</f>
        <v>3941.4525000000012</v>
      </c>
      <c r="O4753" s="165">
        <f>MROUND(G4753*N4753,0.000001)</f>
        <v>28.637131999999998</v>
      </c>
      <c r="P4753" s="166"/>
      <c r="Q4753" s="166">
        <f t="shared" ref="Q4753" si="1221">O4753*K4753</f>
        <v>38602.853936</v>
      </c>
      <c r="R4753" s="71"/>
    </row>
    <row r="4754" spans="1:41" s="61" customFormat="1" x14ac:dyDescent="0.25">
      <c r="A4754" s="358"/>
      <c r="B4754" s="361"/>
      <c r="C4754" s="221"/>
      <c r="D4754" s="368" t="s">
        <v>67</v>
      </c>
      <c r="E4754" s="368"/>
      <c r="F4754" s="368"/>
      <c r="G4754" s="368"/>
      <c r="H4754" s="195"/>
      <c r="I4754" s="159"/>
      <c r="J4754" s="195"/>
      <c r="K4754" s="161"/>
      <c r="L4754" s="196"/>
      <c r="M4754" s="230"/>
      <c r="N4754" s="164"/>
      <c r="O4754" s="165">
        <f t="shared" ref="O4754:O4757" si="1222">MROUND(G4754*N4754,0.000001)</f>
        <v>0</v>
      </c>
      <c r="P4754" s="166"/>
      <c r="Q4754" s="166"/>
      <c r="R4754" s="71"/>
    </row>
    <row r="4755" spans="1:41" s="61" customFormat="1" x14ac:dyDescent="0.25">
      <c r="A4755" s="358"/>
      <c r="B4755" s="361"/>
      <c r="C4755" s="221"/>
      <c r="D4755" s="194"/>
      <c r="E4755" s="194"/>
      <c r="F4755" s="194"/>
      <c r="G4755" s="217"/>
      <c r="H4755" s="195"/>
      <c r="I4755" s="159"/>
      <c r="J4755" s="195"/>
      <c r="K4755" s="161"/>
      <c r="L4755" s="196"/>
      <c r="M4755" s="230"/>
      <c r="N4755" s="164"/>
      <c r="O4755" s="165">
        <f t="shared" si="1222"/>
        <v>0</v>
      </c>
      <c r="P4755" s="166"/>
      <c r="Q4755" s="166"/>
      <c r="R4755" s="71"/>
    </row>
    <row r="4756" spans="1:41" s="61" customFormat="1" x14ac:dyDescent="0.25">
      <c r="A4756" s="358"/>
      <c r="B4756" s="361"/>
      <c r="C4756" s="221"/>
      <c r="D4756" s="350" t="s">
        <v>68</v>
      </c>
      <c r="E4756" s="350"/>
      <c r="F4756" s="350"/>
      <c r="G4756" s="350"/>
      <c r="H4756" s="195"/>
      <c r="I4756" s="159"/>
      <c r="J4756" s="195"/>
      <c r="K4756" s="161"/>
      <c r="L4756" s="196"/>
      <c r="M4756" s="230"/>
      <c r="N4756" s="164"/>
      <c r="O4756" s="165">
        <f t="shared" si="1222"/>
        <v>0</v>
      </c>
      <c r="P4756" s="166"/>
      <c r="Q4756" s="166"/>
      <c r="R4756" s="71"/>
    </row>
    <row r="4757" spans="1:41" s="61" customFormat="1" x14ac:dyDescent="0.25">
      <c r="A4757" s="358"/>
      <c r="B4757" s="361"/>
      <c r="C4757" s="221"/>
      <c r="D4757" s="156"/>
      <c r="E4757" s="156"/>
      <c r="F4757" s="156"/>
      <c r="G4757" s="236"/>
      <c r="H4757" s="195"/>
      <c r="I4757" s="159"/>
      <c r="J4757" s="195"/>
      <c r="K4757" s="161"/>
      <c r="L4757" s="196"/>
      <c r="M4757" s="230"/>
      <c r="N4757" s="164"/>
      <c r="O4757" s="165">
        <f t="shared" si="1222"/>
        <v>0</v>
      </c>
      <c r="P4757" s="166"/>
      <c r="Q4757" s="166"/>
      <c r="R4757" s="71"/>
    </row>
    <row r="4758" spans="1:41" s="61" customFormat="1" x14ac:dyDescent="0.25">
      <c r="A4758" s="358"/>
      <c r="B4758" s="361"/>
      <c r="C4758" s="221"/>
      <c r="D4758" s="368" t="s">
        <v>69</v>
      </c>
      <c r="E4758" s="368"/>
      <c r="F4758" s="368"/>
      <c r="G4758" s="368"/>
      <c r="H4758" s="187"/>
      <c r="I4758" s="159"/>
      <c r="J4758" s="187"/>
      <c r="K4758" s="161"/>
      <c r="L4758" s="276"/>
      <c r="M4758" s="230"/>
      <c r="N4758" s="164"/>
      <c r="O4758" s="198">
        <f>O4760+O4767+O4784+O4786+O4801+O4803+O4805+O4830+O4832+O4837+O4834</f>
        <v>1165.3853761999997</v>
      </c>
      <c r="P4758" s="166"/>
      <c r="Q4758" s="166"/>
      <c r="R4758" s="71"/>
    </row>
    <row r="4759" spans="1:41" s="61" customFormat="1" x14ac:dyDescent="0.25">
      <c r="A4759" s="358"/>
      <c r="B4759" s="361"/>
      <c r="C4759" s="221">
        <v>224</v>
      </c>
      <c r="D4759" s="156" t="s">
        <v>21</v>
      </c>
      <c r="E4759" s="156" t="s">
        <v>22</v>
      </c>
      <c r="F4759" s="156" t="s">
        <v>22</v>
      </c>
      <c r="G4759" s="238">
        <f>MROUND(H4759*L4759*I4759/K4759,0.000001)</f>
        <v>0</v>
      </c>
      <c r="H4759" s="158"/>
      <c r="I4759" s="159">
        <f>I4753</f>
        <v>6.8014359999999996E-2</v>
      </c>
      <c r="J4759" s="160"/>
      <c r="K4759" s="161">
        <f>K4753</f>
        <v>1348</v>
      </c>
      <c r="L4759" s="250"/>
      <c r="M4759" s="163"/>
      <c r="N4759" s="164"/>
      <c r="O4759" s="165">
        <f>MROUND(G4759*N4759,0.000001)</f>
        <v>0</v>
      </c>
      <c r="P4759" s="166"/>
      <c r="Q4759" s="166">
        <f t="shared" ref="Q4759" si="1223">O4759*K4759</f>
        <v>0</v>
      </c>
      <c r="R4759" s="71"/>
    </row>
    <row r="4760" spans="1:41" s="62" customFormat="1" x14ac:dyDescent="0.25">
      <c r="A4760" s="358"/>
      <c r="B4760" s="361"/>
      <c r="C4760" s="218" t="s">
        <v>293</v>
      </c>
      <c r="D4760" s="240"/>
      <c r="E4760" s="240"/>
      <c r="F4760" s="240"/>
      <c r="G4760" s="227"/>
      <c r="H4760" s="241"/>
      <c r="I4760" s="206"/>
      <c r="J4760" s="228"/>
      <c r="K4760" s="207"/>
      <c r="L4760" s="257"/>
      <c r="M4760" s="209"/>
      <c r="N4760" s="210"/>
      <c r="O4760" s="198">
        <f>SUM(O4759)</f>
        <v>0</v>
      </c>
      <c r="P4760" s="267"/>
      <c r="Q4760" s="166"/>
      <c r="R4760" s="71"/>
    </row>
    <row r="4761" spans="1:41" s="61" customFormat="1" ht="31.5" x14ac:dyDescent="0.25">
      <c r="A4761" s="358"/>
      <c r="B4761" s="361"/>
      <c r="C4761" s="364" t="s">
        <v>78</v>
      </c>
      <c r="D4761" s="156" t="s">
        <v>26</v>
      </c>
      <c r="E4761" s="156" t="s">
        <v>22</v>
      </c>
      <c r="F4761" s="156" t="s">
        <v>22</v>
      </c>
      <c r="G4761" s="238">
        <f>MROUND(H4761*L4761*I4761/K4761,0.000001)</f>
        <v>15.645320999999999</v>
      </c>
      <c r="H4761" s="158">
        <f>H3441</f>
        <v>25840</v>
      </c>
      <c r="I4761" s="159">
        <f>I4759</f>
        <v>6.8014359999999996E-2</v>
      </c>
      <c r="J4761" s="160"/>
      <c r="K4761" s="161">
        <f>K4759</f>
        <v>1348</v>
      </c>
      <c r="L4761" s="250">
        <v>12</v>
      </c>
      <c r="M4761" s="163" t="str">
        <f>CONCATENATE(H4761," ",F4761,"(обрабатываемая площадь в мес.)","*",L4761,"мес.","*",I4761,"/",K4761,"чел.")</f>
        <v>25840 м2(обрабатываемая площадь в мес.)*12мес.*0,06801436/1348чел.</v>
      </c>
      <c r="N4761" s="164">
        <f>N3441</f>
        <v>1.208548374613003</v>
      </c>
      <c r="O4761" s="165">
        <f t="shared" ref="O4761:O4766" si="1224">MROUND(G4761*N4761,0.000001)</f>
        <v>18.908127</v>
      </c>
      <c r="P4761" s="166"/>
      <c r="Q4761" s="166">
        <f t="shared" ref="Q4761:Q4766" si="1225">O4761*K4761</f>
        <v>25488.155196</v>
      </c>
      <c r="R4761" s="71"/>
    </row>
    <row r="4762" spans="1:41" s="61" customFormat="1" ht="31.5" x14ac:dyDescent="0.25">
      <c r="A4762" s="358"/>
      <c r="B4762" s="361"/>
      <c r="C4762" s="364"/>
      <c r="D4762" s="156" t="s">
        <v>96</v>
      </c>
      <c r="E4762" s="156" t="s">
        <v>22</v>
      </c>
      <c r="F4762" s="156" t="s">
        <v>22</v>
      </c>
      <c r="G4762" s="238">
        <f>MROUND(H4762*L4762*I4762/K4762,0.000001)</f>
        <v>8.0981489999999994</v>
      </c>
      <c r="H4762" s="158">
        <f>H3442</f>
        <v>13375</v>
      </c>
      <c r="I4762" s="159">
        <f t="shared" si="1213"/>
        <v>6.8014359999999996E-2</v>
      </c>
      <c r="J4762" s="160"/>
      <c r="K4762" s="161">
        <f>K4761</f>
        <v>1348</v>
      </c>
      <c r="L4762" s="250">
        <v>12</v>
      </c>
      <c r="M4762" s="163" t="str">
        <f>CONCATENATE(H4762," ",F4762,"(обрабатываемая площадь в мес.)","*",L4762,"мес.","*",I4762,"/",K4762,"чел.")</f>
        <v>13375 м2(обрабатываемая площадь в мес.)*12мес.*0,06801436/1348чел.</v>
      </c>
      <c r="N4762" s="164">
        <f>N3442</f>
        <v>1.93823800623053</v>
      </c>
      <c r="O4762" s="165">
        <f t="shared" si="1224"/>
        <v>15.69614</v>
      </c>
      <c r="P4762" s="166"/>
      <c r="Q4762" s="166">
        <f t="shared" si="1225"/>
        <v>21158.396720000001</v>
      </c>
      <c r="R4762" s="71"/>
    </row>
    <row r="4763" spans="1:41" s="135" customFormat="1" ht="31.5" x14ac:dyDescent="0.25">
      <c r="A4763" s="358"/>
      <c r="B4763" s="361"/>
      <c r="C4763" s="364"/>
      <c r="D4763" s="156" t="s">
        <v>385</v>
      </c>
      <c r="E4763" s="156" t="s">
        <v>22</v>
      </c>
      <c r="F4763" s="156" t="s">
        <v>22</v>
      </c>
      <c r="G4763" s="238">
        <f>MROUND(H4763*L4763*I4763/K4763,0.000001)</f>
        <v>16.196297999999999</v>
      </c>
      <c r="H4763" s="242">
        <f>$H$55</f>
        <v>13375</v>
      </c>
      <c r="I4763" s="159">
        <f t="shared" si="1213"/>
        <v>6.8014359999999996E-2</v>
      </c>
      <c r="J4763" s="160"/>
      <c r="K4763" s="161">
        <f>K4762</f>
        <v>1348</v>
      </c>
      <c r="L4763" s="162">
        <v>24</v>
      </c>
      <c r="M4763" s="163" t="str">
        <f>CONCATENATE(H4763," ",F4763,"(обрабатываемая площадь в год)","*",L4763," раза в год.","*",I4763,"/",K4763,"чел.")</f>
        <v>13375 м2(обрабатываемая площадь в год)*24 раза в год.*0,06801436/1348чел.</v>
      </c>
      <c r="N4763" s="164">
        <f>$N$3443</f>
        <v>2.3942939563862917</v>
      </c>
      <c r="O4763" s="165">
        <f t="shared" si="1224"/>
        <v>38.778697999999999</v>
      </c>
      <c r="P4763" s="166"/>
      <c r="Q4763" s="166">
        <f t="shared" si="1225"/>
        <v>52273.684904000002</v>
      </c>
      <c r="R4763" s="71"/>
      <c r="S4763" s="61"/>
      <c r="T4763" s="61"/>
      <c r="U4763" s="61"/>
      <c r="V4763" s="61"/>
      <c r="W4763" s="61"/>
      <c r="X4763" s="61"/>
      <c r="Y4763" s="61"/>
      <c r="Z4763" s="61"/>
      <c r="AA4763" s="61"/>
      <c r="AB4763" s="61"/>
      <c r="AC4763" s="61"/>
      <c r="AD4763" s="61"/>
      <c r="AE4763" s="61"/>
      <c r="AF4763" s="61"/>
      <c r="AG4763" s="61"/>
      <c r="AH4763" s="61"/>
      <c r="AI4763" s="61"/>
      <c r="AJ4763" s="61"/>
      <c r="AK4763" s="61"/>
      <c r="AL4763" s="61"/>
      <c r="AM4763" s="61"/>
      <c r="AN4763" s="61"/>
      <c r="AO4763" s="61"/>
    </row>
    <row r="4764" spans="1:41" s="135" customFormat="1" ht="31.5" x14ac:dyDescent="0.25">
      <c r="A4764" s="358"/>
      <c r="B4764" s="361"/>
      <c r="C4764" s="364"/>
      <c r="D4764" s="156" t="s">
        <v>394</v>
      </c>
      <c r="E4764" s="156" t="s">
        <v>22</v>
      </c>
      <c r="F4764" s="156" t="s">
        <v>22</v>
      </c>
      <c r="G4764" s="238">
        <f>MROUND(H4764*L4764*I4764/K4764,0.000001)</f>
        <v>15.645320999999999</v>
      </c>
      <c r="H4764" s="243">
        <f>$H$56</f>
        <v>25840</v>
      </c>
      <c r="I4764" s="159">
        <f t="shared" si="1213"/>
        <v>6.8014359999999996E-2</v>
      </c>
      <c r="J4764" s="160"/>
      <c r="K4764" s="161">
        <f>K4763</f>
        <v>1348</v>
      </c>
      <c r="L4764" s="162">
        <v>12</v>
      </c>
      <c r="M4764" s="163" t="str">
        <f>CONCATENATE(H4764," ",F4764,"(обрабатываемая площадь в мес.)","*",L4764,"мес.","*",I4764,"/",K4764,"чел.")</f>
        <v>25840 м2(обрабатываемая площадь в мес.)*12мес.*0,06801436/1348чел.</v>
      </c>
      <c r="N4764" s="164">
        <f>$N$3444</f>
        <v>0.57007004643962855</v>
      </c>
      <c r="O4764" s="165">
        <f t="shared" si="1224"/>
        <v>8.9189290000000003</v>
      </c>
      <c r="P4764" s="166"/>
      <c r="Q4764" s="166">
        <f t="shared" si="1225"/>
        <v>12022.716292000001</v>
      </c>
      <c r="R4764" s="71"/>
      <c r="S4764" s="61"/>
      <c r="T4764" s="61"/>
      <c r="U4764" s="61"/>
      <c r="V4764" s="61"/>
      <c r="W4764" s="61"/>
      <c r="X4764" s="61"/>
      <c r="Y4764" s="61"/>
      <c r="Z4764" s="61"/>
      <c r="AA4764" s="61"/>
      <c r="AB4764" s="61"/>
      <c r="AC4764" s="61"/>
      <c r="AD4764" s="61"/>
      <c r="AE4764" s="61"/>
      <c r="AF4764" s="61"/>
      <c r="AG4764" s="61"/>
      <c r="AH4764" s="61"/>
      <c r="AI4764" s="61"/>
      <c r="AJ4764" s="61"/>
      <c r="AK4764" s="61"/>
      <c r="AL4764" s="61"/>
      <c r="AM4764" s="61"/>
      <c r="AN4764" s="61"/>
      <c r="AO4764" s="61"/>
    </row>
    <row r="4765" spans="1:41" s="135" customFormat="1" ht="31.5" x14ac:dyDescent="0.25">
      <c r="A4765" s="358"/>
      <c r="B4765" s="361"/>
      <c r="C4765" s="364"/>
      <c r="D4765" s="156" t="s">
        <v>395</v>
      </c>
      <c r="E4765" s="156" t="s">
        <v>98</v>
      </c>
      <c r="F4765" s="156" t="s">
        <v>98</v>
      </c>
      <c r="G4765" s="238">
        <f>MROUND(H4765*L4765*I4765/K4765,0.0000000001)</f>
        <v>9.5563199999999999E-4</v>
      </c>
      <c r="H4765" s="242">
        <f>$H$57</f>
        <v>18.939999999999998</v>
      </c>
      <c r="I4765" s="159">
        <f t="shared" si="1213"/>
        <v>6.8014359999999996E-2</v>
      </c>
      <c r="J4765" s="160"/>
      <c r="K4765" s="161">
        <f>K4764</f>
        <v>1348</v>
      </c>
      <c r="L4765" s="162">
        <v>1</v>
      </c>
      <c r="M4765" s="163" t="str">
        <f>CONCATENATE(H4765," ",F4765,"(обрабатываемая площадь в год)","*",L4765," раз в год","*",I4765,"/",K4765,"чел.")</f>
        <v>18,94 Га(обрабатываемая площадь в год)*1 раз в год*0,06801436/1348чел.</v>
      </c>
      <c r="N4765" s="164">
        <f>$N$57</f>
        <v>545</v>
      </c>
      <c r="O4765" s="165">
        <f t="shared" si="1224"/>
        <v>0.52081899999999992</v>
      </c>
      <c r="P4765" s="166"/>
      <c r="Q4765" s="166">
        <f t="shared" si="1225"/>
        <v>702.06401199999993</v>
      </c>
      <c r="R4765" s="71"/>
      <c r="S4765" s="61"/>
      <c r="T4765" s="61"/>
      <c r="U4765" s="61"/>
      <c r="V4765" s="61"/>
      <c r="W4765" s="61"/>
      <c r="X4765" s="61"/>
      <c r="Y4765" s="61"/>
      <c r="Z4765" s="61"/>
      <c r="AA4765" s="61"/>
      <c r="AB4765" s="61"/>
      <c r="AC4765" s="61"/>
      <c r="AD4765" s="61"/>
      <c r="AE4765" s="61"/>
      <c r="AF4765" s="61"/>
      <c r="AG4765" s="61"/>
      <c r="AH4765" s="61"/>
      <c r="AI4765" s="61"/>
      <c r="AJ4765" s="61"/>
      <c r="AK4765" s="61"/>
      <c r="AL4765" s="61"/>
      <c r="AM4765" s="61"/>
      <c r="AN4765" s="61"/>
      <c r="AO4765" s="61"/>
    </row>
    <row r="4766" spans="1:41" s="61" customFormat="1" ht="31.5" x14ac:dyDescent="0.25">
      <c r="A4766" s="358"/>
      <c r="B4766" s="361"/>
      <c r="C4766" s="364"/>
      <c r="D4766" s="156" t="s">
        <v>97</v>
      </c>
      <c r="E4766" s="156" t="s">
        <v>98</v>
      </c>
      <c r="F4766" s="156" t="s">
        <v>98</v>
      </c>
      <c r="G4766" s="238">
        <f>MROUND(H4766*L4766*I4766/K4766,0.000000001)</f>
        <v>9.556320000000001E-4</v>
      </c>
      <c r="H4766" s="242">
        <f>H3686</f>
        <v>18.939999999999998</v>
      </c>
      <c r="I4766" s="244">
        <f>I4762</f>
        <v>6.8014359999999996E-2</v>
      </c>
      <c r="J4766" s="160"/>
      <c r="K4766" s="161">
        <f>K4762</f>
        <v>1348</v>
      </c>
      <c r="L4766" s="250">
        <v>1</v>
      </c>
      <c r="M4766" s="163" t="str">
        <f>CONCATENATE(H4766," ",F4766,"(обрабатываемая площадь в мес.)","*",L4766,"мес.","*",I4766,"/",K4766,"чел.")</f>
        <v>18,94 Га(обрабатываемая площадь в мес.)*1мес.*0,06801436/1348чел.</v>
      </c>
      <c r="N4766" s="164">
        <f>N3686</f>
        <v>3102.4186906018999</v>
      </c>
      <c r="O4766" s="165">
        <f t="shared" si="1224"/>
        <v>2.9647709999999998</v>
      </c>
      <c r="P4766" s="166"/>
      <c r="Q4766" s="166">
        <f t="shared" si="1225"/>
        <v>3996.5113079999996</v>
      </c>
      <c r="R4766" s="71"/>
    </row>
    <row r="4767" spans="1:41" s="62" customFormat="1" x14ac:dyDescent="0.25">
      <c r="A4767" s="358"/>
      <c r="B4767" s="361"/>
      <c r="C4767" s="245" t="s">
        <v>294</v>
      </c>
      <c r="D4767" s="240"/>
      <c r="E4767" s="240"/>
      <c r="F4767" s="240"/>
      <c r="G4767" s="227"/>
      <c r="H4767" s="241"/>
      <c r="I4767" s="206"/>
      <c r="J4767" s="228"/>
      <c r="K4767" s="207"/>
      <c r="L4767" s="257"/>
      <c r="M4767" s="209"/>
      <c r="N4767" s="210"/>
      <c r="O4767" s="198">
        <f>SUM(O4761:O4766)</f>
        <v>85.787484000000006</v>
      </c>
      <c r="P4767" s="267"/>
      <c r="Q4767" s="166"/>
      <c r="R4767" s="71"/>
    </row>
    <row r="4768" spans="1:41" s="61" customFormat="1" ht="63" x14ac:dyDescent="0.25">
      <c r="A4768" s="358"/>
      <c r="B4768" s="361"/>
      <c r="C4768" s="365" t="s">
        <v>77</v>
      </c>
      <c r="D4768" s="156" t="s">
        <v>29</v>
      </c>
      <c r="E4768" s="156" t="s">
        <v>58</v>
      </c>
      <c r="F4768" s="156" t="s">
        <v>218</v>
      </c>
      <c r="G4768" s="238">
        <f>MROUND(H4768*L4768*I4768/K4768,0.00000001)</f>
        <v>3.0273500000000003E-3</v>
      </c>
      <c r="H4768" s="158">
        <v>15</v>
      </c>
      <c r="I4768" s="159">
        <f>I4766</f>
        <v>6.8014359999999996E-2</v>
      </c>
      <c r="J4768" s="160"/>
      <c r="K4768" s="161">
        <f>K4766</f>
        <v>1348</v>
      </c>
      <c r="L4768" s="162">
        <v>4</v>
      </c>
      <c r="M4768" s="163" t="str">
        <f>CONCATENATE(H4768," ",F4768,"*",L4768," раза в год","*",I4768,"/",K4768,"чел.")</f>
        <v>15 установок*4 раза в год*0,06801436/1348чел.</v>
      </c>
      <c r="N4768" s="164">
        <f>N3448</f>
        <v>2264.8651666666669</v>
      </c>
      <c r="O4768" s="165">
        <f t="shared" ref="O4768:O4776" si="1226">MROUND(G4768*N4768,0.000001)</f>
        <v>6.8565399999999999</v>
      </c>
      <c r="P4768" s="166"/>
      <c r="Q4768" s="166">
        <f t="shared" ref="Q4768:Q4783" si="1227">O4768*K4768</f>
        <v>9242.6159200000002</v>
      </c>
      <c r="R4768" s="71"/>
    </row>
    <row r="4769" spans="1:18" s="61" customFormat="1" ht="47.25" x14ac:dyDescent="0.25">
      <c r="A4769" s="358"/>
      <c r="B4769" s="361"/>
      <c r="C4769" s="366"/>
      <c r="D4769" s="156" t="s">
        <v>30</v>
      </c>
      <c r="E4769" s="156" t="s">
        <v>58</v>
      </c>
      <c r="F4769" s="156" t="s">
        <v>218</v>
      </c>
      <c r="G4769" s="238">
        <f>MROUND(H4769*L4769*I4769/K4769,0.00000001)</f>
        <v>1.5136699999999999E-3</v>
      </c>
      <c r="H4769" s="158">
        <v>15</v>
      </c>
      <c r="I4769" s="159">
        <f t="shared" si="1213"/>
        <v>6.8014359999999996E-2</v>
      </c>
      <c r="J4769" s="160"/>
      <c r="K4769" s="161">
        <f t="shared" ref="K4769:K4777" si="1228">K4768</f>
        <v>1348</v>
      </c>
      <c r="L4769" s="250">
        <v>2</v>
      </c>
      <c r="M4769" s="163" t="str">
        <f>CONCATENATE(H4769," ",F4769,"*",L4769,"полуг.","*",I4769,"/",K4769,"чел.")</f>
        <v>15 установок*2полуг.*0,06801436/1348чел.</v>
      </c>
      <c r="N4769" s="164">
        <f>N4049</f>
        <v>4529.7303333333339</v>
      </c>
      <c r="O4769" s="165">
        <f t="shared" si="1226"/>
        <v>6.8565169999999993</v>
      </c>
      <c r="P4769" s="166"/>
      <c r="Q4769" s="166">
        <f t="shared" si="1227"/>
        <v>9242.5849159999998</v>
      </c>
      <c r="R4769" s="71"/>
    </row>
    <row r="4770" spans="1:18" s="61" customFormat="1" ht="31.5" x14ac:dyDescent="0.25">
      <c r="A4770" s="358"/>
      <c r="B4770" s="361"/>
      <c r="C4770" s="366"/>
      <c r="D4770" s="156" t="s">
        <v>397</v>
      </c>
      <c r="E4770" s="156" t="s">
        <v>433</v>
      </c>
      <c r="F4770" s="156" t="s">
        <v>433</v>
      </c>
      <c r="G4770" s="238">
        <f>MROUND(H4770*L4770*I4770/K4770,0.000001)</f>
        <v>1.5136999999999999E-2</v>
      </c>
      <c r="H4770" s="158">
        <f>H3690</f>
        <v>300</v>
      </c>
      <c r="I4770" s="159">
        <f t="shared" si="1213"/>
        <v>6.8014359999999996E-2</v>
      </c>
      <c r="J4770" s="160"/>
      <c r="K4770" s="161">
        <f t="shared" si="1228"/>
        <v>1348</v>
      </c>
      <c r="L4770" s="162">
        <v>1</v>
      </c>
      <c r="M4770" s="163" t="str">
        <f>CONCATENATE(H4770," ",F4770,"(обрабатываемая площадь в год)","*",L4770," раз в год","*",I4770,"/",K4770,"чел.")</f>
        <v>300 м2.(обрабатываемая площадь в год)*1 раз в год*0,06801436/1348чел.</v>
      </c>
      <c r="N4770" s="164">
        <f>N3690</f>
        <v>300</v>
      </c>
      <c r="O4770" s="165">
        <f t="shared" si="1226"/>
        <v>4.5411000000000001</v>
      </c>
      <c r="P4770" s="166"/>
      <c r="Q4770" s="166">
        <f t="shared" si="1227"/>
        <v>6121.4027999999998</v>
      </c>
      <c r="R4770" s="71"/>
    </row>
    <row r="4771" spans="1:18" s="61" customFormat="1" ht="47.25" x14ac:dyDescent="0.25">
      <c r="A4771" s="358"/>
      <c r="B4771" s="361"/>
      <c r="C4771" s="366"/>
      <c r="D4771" s="156" t="s">
        <v>32</v>
      </c>
      <c r="E4771" s="156" t="s">
        <v>55</v>
      </c>
      <c r="F4771" s="156" t="s">
        <v>219</v>
      </c>
      <c r="G4771" s="238">
        <f>MROUND(H4771*L4771*I4771/K4771,0.000000001)</f>
        <v>7.2656290000000009E-3</v>
      </c>
      <c r="H4771" s="158">
        <f>H4051</f>
        <v>36</v>
      </c>
      <c r="I4771" s="159">
        <f>I4770</f>
        <v>6.8014359999999996E-2</v>
      </c>
      <c r="J4771" s="160"/>
      <c r="K4771" s="161">
        <f t="shared" si="1228"/>
        <v>1348</v>
      </c>
      <c r="L4771" s="250">
        <v>4</v>
      </c>
      <c r="M4771" s="163" t="str">
        <f>CONCATENATE(H4771," ",F4771,"*",L4771,"кв.","*",I4771,"/",K4771,"чел.")</f>
        <v>36 системы*4кв.*0,06801436/1348чел.</v>
      </c>
      <c r="N4771" s="164">
        <f>N4051</f>
        <v>7243.0565277777823</v>
      </c>
      <c r="O4771" s="165">
        <f t="shared" si="1226"/>
        <v>52.625361999999996</v>
      </c>
      <c r="P4771" s="166"/>
      <c r="Q4771" s="166">
        <f t="shared" si="1227"/>
        <v>70938.987975999989</v>
      </c>
      <c r="R4771" s="71"/>
    </row>
    <row r="4772" spans="1:18" s="61" customFormat="1" ht="63" x14ac:dyDescent="0.25">
      <c r="A4772" s="358"/>
      <c r="B4772" s="361"/>
      <c r="C4772" s="366"/>
      <c r="D4772" s="156" t="s">
        <v>33</v>
      </c>
      <c r="E4772" s="156" t="s">
        <v>56</v>
      </c>
      <c r="F4772" s="156" t="s">
        <v>220</v>
      </c>
      <c r="G4772" s="238">
        <f>MROUND(H4772*L4772*I4772/K4772,0.000000001)</f>
        <v>1.8164070000000001E-3</v>
      </c>
      <c r="H4772" s="158">
        <f>$H$64</f>
        <v>36</v>
      </c>
      <c r="I4772" s="159">
        <f>I4771</f>
        <v>6.8014359999999996E-2</v>
      </c>
      <c r="J4772" s="160"/>
      <c r="K4772" s="161">
        <f t="shared" si="1228"/>
        <v>1348</v>
      </c>
      <c r="L4772" s="162">
        <v>1</v>
      </c>
      <c r="M4772" s="163" t="str">
        <f>CONCATENATE(H4772," ",F4772,"*",L4772," раз в год","*",I4772,"/",K4772,"чел.")</f>
        <v>36 дымоходов*1 раз в год*0,06801436/1348чел.</v>
      </c>
      <c r="N4772" s="164">
        <f>N3452</f>
        <v>7030.863333333331</v>
      </c>
      <c r="O4772" s="165">
        <f t="shared" si="1226"/>
        <v>12.770909</v>
      </c>
      <c r="P4772" s="166"/>
      <c r="Q4772" s="166">
        <f t="shared" si="1227"/>
        <v>17215.185332000001</v>
      </c>
      <c r="R4772" s="71"/>
    </row>
    <row r="4773" spans="1:18" s="61" customFormat="1" x14ac:dyDescent="0.25">
      <c r="A4773" s="358"/>
      <c r="B4773" s="361"/>
      <c r="C4773" s="366"/>
      <c r="D4773" s="194" t="s">
        <v>398</v>
      </c>
      <c r="E4773" s="156" t="s">
        <v>60</v>
      </c>
      <c r="F4773" s="156" t="s">
        <v>60</v>
      </c>
      <c r="G4773" s="238">
        <f>MROUND(H4773*L4773*I4773/K4773,0.000000001)</f>
        <v>1.7659510000000002E-3</v>
      </c>
      <c r="H4773" s="246">
        <f>H3453</f>
        <v>35</v>
      </c>
      <c r="I4773" s="159">
        <f t="shared" si="1213"/>
        <v>6.8014359999999996E-2</v>
      </c>
      <c r="J4773" s="160"/>
      <c r="K4773" s="161">
        <f t="shared" si="1228"/>
        <v>1348</v>
      </c>
      <c r="L4773" s="250">
        <v>1</v>
      </c>
      <c r="M4773" s="163" t="str">
        <f>CONCATENATE(H4773," ",F4773,"*",I4773,"/",K4773,"чел.")</f>
        <v>35 шт.*0,06801436/1348чел.</v>
      </c>
      <c r="N4773" s="164">
        <f>N3453</f>
        <v>12173.433428571419</v>
      </c>
      <c r="O4773" s="165">
        <f t="shared" si="1226"/>
        <v>21.497686999999999</v>
      </c>
      <c r="P4773" s="166"/>
      <c r="Q4773" s="166">
        <f t="shared" si="1227"/>
        <v>28978.882075999998</v>
      </c>
      <c r="R4773" s="71"/>
    </row>
    <row r="4774" spans="1:18" s="61" customFormat="1" ht="47.25" x14ac:dyDescent="0.25">
      <c r="A4774" s="358"/>
      <c r="B4774" s="361"/>
      <c r="C4774" s="366"/>
      <c r="D4774" s="156" t="s">
        <v>401</v>
      </c>
      <c r="E4774" s="156" t="s">
        <v>60</v>
      </c>
      <c r="F4774" s="156" t="s">
        <v>402</v>
      </c>
      <c r="G4774" s="238">
        <f>MROUND(H4774*L4774*I4774/K4774,0.000001)</f>
        <v>3.532E-3</v>
      </c>
      <c r="H4774" s="246">
        <f>H3454</f>
        <v>35</v>
      </c>
      <c r="I4774" s="159">
        <f t="shared" si="1213"/>
        <v>6.8014359999999996E-2</v>
      </c>
      <c r="J4774" s="160"/>
      <c r="K4774" s="161">
        <f t="shared" si="1228"/>
        <v>1348</v>
      </c>
      <c r="L4774" s="162">
        <v>2</v>
      </c>
      <c r="M4774" s="163" t="str">
        <f>CONCATENATE(H4774," ",F4774,"*",L4774," раз в год","*",I4774,"/",K4774,"чел.")</f>
        <v>35 противопожарных водопроводов*2 раз в год*0,06801436/1348чел.</v>
      </c>
      <c r="N4774" s="164">
        <f>N3454</f>
        <v>5700.7000000000025</v>
      </c>
      <c r="O4774" s="165">
        <f t="shared" si="1226"/>
        <v>20.134871999999998</v>
      </c>
      <c r="P4774" s="166"/>
      <c r="Q4774" s="166">
        <f t="shared" si="1227"/>
        <v>27141.807455999999</v>
      </c>
      <c r="R4774" s="71"/>
    </row>
    <row r="4775" spans="1:18" s="61" customFormat="1" ht="31.5" x14ac:dyDescent="0.25">
      <c r="A4775" s="358"/>
      <c r="B4775" s="361"/>
      <c r="C4775" s="366"/>
      <c r="D4775" s="156" t="s">
        <v>221</v>
      </c>
      <c r="E4775" s="156" t="s">
        <v>60</v>
      </c>
      <c r="F4775" s="156" t="s">
        <v>60</v>
      </c>
      <c r="G4775" s="238">
        <f>MROUND(H4775*L4775*I4775/K4775,0.000000001)</f>
        <v>1.0898443000000001E-2</v>
      </c>
      <c r="H4775" s="158">
        <f>H3455</f>
        <v>18</v>
      </c>
      <c r="I4775" s="159">
        <f t="shared" si="1213"/>
        <v>6.8014359999999996E-2</v>
      </c>
      <c r="J4775" s="160"/>
      <c r="K4775" s="161">
        <f t="shared" si="1228"/>
        <v>1348</v>
      </c>
      <c r="L4775" s="250">
        <v>12</v>
      </c>
      <c r="M4775" s="163" t="str">
        <f>CONCATENATE(H4775," ",F4775,"*",L4775,"мес.","*",I4775,"/",K4775,"чел.")</f>
        <v>18 шт.*12мес.*0,06801436/1348чел.</v>
      </c>
      <c r="N4775" s="164">
        <f>N3695</f>
        <v>6577.3408796296308</v>
      </c>
      <c r="O4775" s="165">
        <f t="shared" si="1226"/>
        <v>71.682774999999992</v>
      </c>
      <c r="P4775" s="166"/>
      <c r="Q4775" s="166">
        <f t="shared" si="1227"/>
        <v>96628.380699999994</v>
      </c>
      <c r="R4775" s="71"/>
    </row>
    <row r="4776" spans="1:18" s="61" customFormat="1" ht="47.25" x14ac:dyDescent="0.25">
      <c r="A4776" s="358"/>
      <c r="B4776" s="361"/>
      <c r="C4776" s="366"/>
      <c r="D4776" s="156" t="s">
        <v>34</v>
      </c>
      <c r="E4776" s="156" t="s">
        <v>59</v>
      </c>
      <c r="F4776" s="156" t="s">
        <v>28</v>
      </c>
      <c r="G4776" s="238">
        <f>MROUND(H4776*L4776*I4776/K4776,0.0000000001)</f>
        <v>1.009115E-4</v>
      </c>
      <c r="H4776" s="158">
        <f>H3456</f>
        <v>2</v>
      </c>
      <c r="I4776" s="159">
        <f t="shared" si="1213"/>
        <v>6.8014359999999996E-2</v>
      </c>
      <c r="J4776" s="160"/>
      <c r="K4776" s="161">
        <f t="shared" si="1228"/>
        <v>1348</v>
      </c>
      <c r="L4776" s="250">
        <v>1</v>
      </c>
      <c r="M4776" s="163" t="str">
        <f>CONCATENATE(H4776," ",F4776,"*",I4776,"/",K4776,"чел.")</f>
        <v>2 шт*0,06801436/1348чел.</v>
      </c>
      <c r="N4776" s="164">
        <f>N3456</f>
        <v>7845</v>
      </c>
      <c r="O4776" s="165">
        <f t="shared" si="1226"/>
        <v>0.79165099999999999</v>
      </c>
      <c r="P4776" s="166"/>
      <c r="Q4776" s="166">
        <f t="shared" si="1227"/>
        <v>1067.145548</v>
      </c>
      <c r="R4776" s="71"/>
    </row>
    <row r="4777" spans="1:18" s="61" customFormat="1" ht="47.25" x14ac:dyDescent="0.25">
      <c r="A4777" s="358"/>
      <c r="B4777" s="361"/>
      <c r="C4777" s="366"/>
      <c r="D4777" s="156" t="s">
        <v>222</v>
      </c>
      <c r="E4777" s="156" t="s">
        <v>60</v>
      </c>
      <c r="F4777" s="156" t="s">
        <v>60</v>
      </c>
      <c r="G4777" s="238">
        <f>MROUND(H4777*L4777*I4777/K4777,0.00000000001)</f>
        <v>2.5227877999999996E-4</v>
      </c>
      <c r="H4777" s="248">
        <f>H4057</f>
        <v>5</v>
      </c>
      <c r="I4777" s="159">
        <f t="shared" si="1213"/>
        <v>6.8014359999999996E-2</v>
      </c>
      <c r="J4777" s="160"/>
      <c r="K4777" s="161">
        <f t="shared" si="1228"/>
        <v>1348</v>
      </c>
      <c r="L4777" s="250">
        <v>1</v>
      </c>
      <c r="M4777" s="163" t="str">
        <f>CONCATENATE(H4777," ",F4777,"*",I4777,"/",K4777,"чел.")</f>
        <v>5 шт.*0,06801436/1348чел.</v>
      </c>
      <c r="N4777" s="164">
        <f>N3457</f>
        <v>43857.106</v>
      </c>
      <c r="O4777" s="165">
        <f>MROUND(G4777*N4777,0.00000001)</f>
        <v>11.0642172</v>
      </c>
      <c r="P4777" s="166"/>
      <c r="Q4777" s="166">
        <f t="shared" si="1227"/>
        <v>14914.5647856</v>
      </c>
      <c r="R4777" s="71"/>
    </row>
    <row r="4778" spans="1:18" s="61" customFormat="1" ht="31.5" x14ac:dyDescent="0.25">
      <c r="A4778" s="358"/>
      <c r="B4778" s="361"/>
      <c r="C4778" s="366"/>
      <c r="D4778" s="156" t="s">
        <v>35</v>
      </c>
      <c r="E4778" s="156" t="s">
        <v>102</v>
      </c>
      <c r="F4778" s="156" t="s">
        <v>223</v>
      </c>
      <c r="G4778" s="238">
        <f>MROUND(H4778*L4778*I4778/K4778,0.00000001)</f>
        <v>1.7659500000000001E-3</v>
      </c>
      <c r="H4778" s="158">
        <f>H3458</f>
        <v>35</v>
      </c>
      <c r="I4778" s="159">
        <f>I4776</f>
        <v>6.8014359999999996E-2</v>
      </c>
      <c r="J4778" s="160"/>
      <c r="K4778" s="161">
        <f>K4776</f>
        <v>1348</v>
      </c>
      <c r="L4778" s="250">
        <v>1</v>
      </c>
      <c r="M4778" s="163" t="str">
        <f>CONCATENATE(H4778," ",F4778,"*",I4778,"/",K4778,"чел.")</f>
        <v>35 замеров*0,06801436/1348чел.</v>
      </c>
      <c r="N4778" s="164">
        <f>N3458</f>
        <v>26428.571428571428</v>
      </c>
      <c r="O4778" s="165">
        <f t="shared" ref="O4778:O4783" si="1229">MROUND(G4778*N4778,0.000001)</f>
        <v>46.671535999999996</v>
      </c>
      <c r="P4778" s="166"/>
      <c r="Q4778" s="166">
        <f t="shared" si="1227"/>
        <v>62913.230527999993</v>
      </c>
      <c r="R4778" s="71"/>
    </row>
    <row r="4779" spans="1:18" s="61" customFormat="1" ht="47.25" x14ac:dyDescent="0.25">
      <c r="A4779" s="358"/>
      <c r="B4779" s="361"/>
      <c r="C4779" s="366"/>
      <c r="D4779" s="156" t="s">
        <v>399</v>
      </c>
      <c r="E4779" s="156" t="s">
        <v>60</v>
      </c>
      <c r="F4779" s="156" t="s">
        <v>60</v>
      </c>
      <c r="G4779" s="238">
        <f>MROUND(H4779*L4779*I4779/K4779,0.000000001)</f>
        <v>1.7659515000000001E-2</v>
      </c>
      <c r="H4779" s="158">
        <f>H4179</f>
        <v>35</v>
      </c>
      <c r="I4779" s="159">
        <f t="shared" si="1213"/>
        <v>6.8014359999999996E-2</v>
      </c>
      <c r="J4779" s="160"/>
      <c r="K4779" s="161">
        <f>K4778</f>
        <v>1348</v>
      </c>
      <c r="L4779" s="250">
        <v>10</v>
      </c>
      <c r="M4779" s="163" t="str">
        <f>CONCATENATE(H4779," ",F4779,"*",L4779,"мес.","*",I4779,"/",K4779,"чел.")</f>
        <v>35 шт.*10мес.*0,06801436/1348чел.</v>
      </c>
      <c r="N4779" s="164">
        <f>N4179</f>
        <v>3250.866542857143</v>
      </c>
      <c r="O4779" s="165">
        <f t="shared" si="1229"/>
        <v>57.408725999999994</v>
      </c>
      <c r="P4779" s="166"/>
      <c r="Q4779" s="166">
        <f t="shared" si="1227"/>
        <v>77386.962647999986</v>
      </c>
      <c r="R4779" s="71"/>
    </row>
    <row r="4780" spans="1:18" s="61" customFormat="1" ht="47.25" x14ac:dyDescent="0.25">
      <c r="A4780" s="358"/>
      <c r="B4780" s="361"/>
      <c r="C4780" s="366"/>
      <c r="D4780" s="156" t="s">
        <v>36</v>
      </c>
      <c r="E4780" s="156" t="s">
        <v>31</v>
      </c>
      <c r="F4780" s="156" t="s">
        <v>224</v>
      </c>
      <c r="G4780" s="238">
        <f>MROUND(H4780*L4780*I4780/K4780,0.00000001)</f>
        <v>2.1796889999999999E-2</v>
      </c>
      <c r="H4780" s="158">
        <f>H4060</f>
        <v>36</v>
      </c>
      <c r="I4780" s="159">
        <f t="shared" si="1213"/>
        <v>6.8014359999999996E-2</v>
      </c>
      <c r="J4780" s="160"/>
      <c r="K4780" s="161">
        <f>K4779</f>
        <v>1348</v>
      </c>
      <c r="L4780" s="250">
        <v>12</v>
      </c>
      <c r="M4780" s="163" t="str">
        <f>CONCATENATE(H4780," ",F4780,"*",L4780,"мес.","*",I4780,"/",K4780,"чел.")</f>
        <v>36 устройств*12мес.*0,06801436/1348чел.</v>
      </c>
      <c r="N4780" s="164">
        <f>N3460</f>
        <v>2508.3083101851839</v>
      </c>
      <c r="O4780" s="165">
        <f t="shared" si="1229"/>
        <v>54.673319999999997</v>
      </c>
      <c r="P4780" s="166"/>
      <c r="Q4780" s="166">
        <f t="shared" si="1227"/>
        <v>73699.63536</v>
      </c>
      <c r="R4780" s="71"/>
    </row>
    <row r="4781" spans="1:18" s="61" customFormat="1" ht="31.5" x14ac:dyDescent="0.25">
      <c r="A4781" s="358"/>
      <c r="B4781" s="361"/>
      <c r="C4781" s="366"/>
      <c r="D4781" s="156" t="s">
        <v>99</v>
      </c>
      <c r="E4781" s="156" t="s">
        <v>103</v>
      </c>
      <c r="F4781" s="156" t="s">
        <v>225</v>
      </c>
      <c r="G4781" s="238">
        <f>MROUND(H4781*L4781*I4781/K4781,0.00000001)</f>
        <v>1.2613940000000001E-2</v>
      </c>
      <c r="H4781" s="158">
        <f>H3461</f>
        <v>250</v>
      </c>
      <c r="I4781" s="159">
        <f t="shared" si="1213"/>
        <v>6.8014359999999996E-2</v>
      </c>
      <c r="J4781" s="160"/>
      <c r="K4781" s="161">
        <f>K4780</f>
        <v>1348</v>
      </c>
      <c r="L4781" s="250">
        <v>1</v>
      </c>
      <c r="M4781" s="163" t="str">
        <f>CONCATENATE(H4781," ",F4781,"*",I4781,"/",K4781,"чел.")</f>
        <v>250 ед.*0,06801436/1348чел.</v>
      </c>
      <c r="N4781" s="164">
        <f>N3461</f>
        <v>15000</v>
      </c>
      <c r="O4781" s="165">
        <f t="shared" si="1229"/>
        <v>189.20909999999998</v>
      </c>
      <c r="P4781" s="166"/>
      <c r="Q4781" s="166">
        <f t="shared" si="1227"/>
        <v>255053.86679999996</v>
      </c>
      <c r="R4781" s="71"/>
    </row>
    <row r="4782" spans="1:18" s="61" customFormat="1" x14ac:dyDescent="0.25">
      <c r="A4782" s="358"/>
      <c r="B4782" s="361"/>
      <c r="C4782" s="366"/>
      <c r="D4782" s="156" t="s">
        <v>27</v>
      </c>
      <c r="E4782" s="156" t="s">
        <v>28</v>
      </c>
      <c r="F4782" s="156" t="s">
        <v>28</v>
      </c>
      <c r="G4782" s="238">
        <f>MROUND(H4782*L4782*I4782/K4782,0.0000000001)</f>
        <v>0.1834066755</v>
      </c>
      <c r="H4782" s="160">
        <f>H3462</f>
        <v>3635</v>
      </c>
      <c r="I4782" s="159">
        <f t="shared" si="1213"/>
        <v>6.8014359999999996E-2</v>
      </c>
      <c r="J4782" s="160"/>
      <c r="K4782" s="161">
        <f>K4781</f>
        <v>1348</v>
      </c>
      <c r="L4782" s="250">
        <v>1</v>
      </c>
      <c r="M4782" s="163" t="str">
        <f>CONCATENATE(H4782," ",F4782,"*",I4782,"/",K4782,"чел.")</f>
        <v>3635 шт*0,06801436/1348чел.</v>
      </c>
      <c r="N4782" s="164">
        <f>N3462</f>
        <v>418.4</v>
      </c>
      <c r="O4782" s="165">
        <f t="shared" si="1229"/>
        <v>76.737352999999999</v>
      </c>
      <c r="P4782" s="166"/>
      <c r="Q4782" s="166">
        <f t="shared" si="1227"/>
        <v>103441.951844</v>
      </c>
      <c r="R4782" s="71"/>
    </row>
    <row r="4783" spans="1:18" s="61" customFormat="1" ht="31.5" x14ac:dyDescent="0.25">
      <c r="A4783" s="358"/>
      <c r="B4783" s="361"/>
      <c r="C4783" s="367"/>
      <c r="D4783" s="156" t="s">
        <v>104</v>
      </c>
      <c r="E4783" s="156" t="s">
        <v>105</v>
      </c>
      <c r="F4783" s="156" t="s">
        <v>226</v>
      </c>
      <c r="G4783" s="238">
        <f>MROUND(H4783*L4783*I4783/K4783,0.00000001)</f>
        <v>1.8164100000000001E-3</v>
      </c>
      <c r="H4783" s="160">
        <f>H3703</f>
        <v>36</v>
      </c>
      <c r="I4783" s="159">
        <f t="shared" si="1213"/>
        <v>6.8014359999999996E-2</v>
      </c>
      <c r="J4783" s="160"/>
      <c r="K4783" s="161">
        <f>K4782</f>
        <v>1348</v>
      </c>
      <c r="L4783" s="250">
        <v>1</v>
      </c>
      <c r="M4783" s="163" t="str">
        <f>CONCATENATE(H4783," ",F4783,"*",I4783,"/",K4783,"чел.")</f>
        <v>36 отключений*0,06801436/1348чел.</v>
      </c>
      <c r="N4783" s="164">
        <f>N3463</f>
        <v>10261.260000000004</v>
      </c>
      <c r="O4783" s="165">
        <f t="shared" si="1229"/>
        <v>18.638655</v>
      </c>
      <c r="P4783" s="166"/>
      <c r="Q4783" s="166">
        <f t="shared" si="1227"/>
        <v>25124.906940000001</v>
      </c>
      <c r="R4783" s="71"/>
    </row>
    <row r="4784" spans="1:18" s="62" customFormat="1" x14ac:dyDescent="0.25">
      <c r="A4784" s="358"/>
      <c r="B4784" s="361"/>
      <c r="C4784" s="249" t="s">
        <v>292</v>
      </c>
      <c r="D4784" s="240"/>
      <c r="E4784" s="240"/>
      <c r="F4784" s="240"/>
      <c r="G4784" s="227"/>
      <c r="H4784" s="228"/>
      <c r="I4784" s="206"/>
      <c r="J4784" s="228"/>
      <c r="K4784" s="207"/>
      <c r="L4784" s="257"/>
      <c r="M4784" s="209"/>
      <c r="N4784" s="210"/>
      <c r="O4784" s="198">
        <f>SUM(O4768:O4783)</f>
        <v>652.16032019999989</v>
      </c>
      <c r="P4784" s="267"/>
      <c r="Q4784" s="166"/>
      <c r="R4784" s="71"/>
    </row>
    <row r="4785" spans="1:18" s="61" customFormat="1" ht="31.5" x14ac:dyDescent="0.25">
      <c r="A4785" s="358"/>
      <c r="B4785" s="361"/>
      <c r="C4785" s="221" t="s">
        <v>79</v>
      </c>
      <c r="D4785" s="156" t="s">
        <v>37</v>
      </c>
      <c r="E4785" s="156" t="s">
        <v>61</v>
      </c>
      <c r="F4785" s="156" t="s">
        <v>227</v>
      </c>
      <c r="G4785" s="238">
        <f>MROUND(H4785*L4785*I4785/K4785,0.000000001)</f>
        <v>2.0182300000000001E-4</v>
      </c>
      <c r="H4785" s="158">
        <f>H3465</f>
        <v>4</v>
      </c>
      <c r="I4785" s="159">
        <f>I4783</f>
        <v>6.8014359999999996E-2</v>
      </c>
      <c r="J4785" s="160"/>
      <c r="K4785" s="161">
        <f>K4783</f>
        <v>1348</v>
      </c>
      <c r="L4785" s="250">
        <v>1</v>
      </c>
      <c r="M4785" s="163" t="str">
        <f>CONCATENATE(H4785," ",F4785,"*",I4785,"/",K4785,"чел.")</f>
        <v>4 автобуса*0,06801436/1348чел.</v>
      </c>
      <c r="N4785" s="164">
        <f>N3465</f>
        <v>36442.65</v>
      </c>
      <c r="O4785" s="165">
        <f>MROUND(G4785*N4785,0.000001)</f>
        <v>7.354965</v>
      </c>
      <c r="P4785" s="166"/>
      <c r="Q4785" s="166">
        <f t="shared" ref="Q4785" si="1230">O4785*K4785</f>
        <v>9914.4928199999995</v>
      </c>
      <c r="R4785" s="71"/>
    </row>
    <row r="4786" spans="1:18" s="62" customFormat="1" x14ac:dyDescent="0.25">
      <c r="A4786" s="358"/>
      <c r="B4786" s="361"/>
      <c r="C4786" s="218" t="s">
        <v>295</v>
      </c>
      <c r="D4786" s="240"/>
      <c r="E4786" s="240"/>
      <c r="F4786" s="240"/>
      <c r="G4786" s="227"/>
      <c r="H4786" s="241"/>
      <c r="I4786" s="206"/>
      <c r="J4786" s="228"/>
      <c r="K4786" s="207"/>
      <c r="L4786" s="257"/>
      <c r="M4786" s="209"/>
      <c r="N4786" s="210"/>
      <c r="O4786" s="198">
        <f>SUM(O4785)</f>
        <v>7.354965</v>
      </c>
      <c r="P4786" s="267"/>
      <c r="Q4786" s="166"/>
      <c r="R4786" s="71"/>
    </row>
    <row r="4787" spans="1:18" s="61" customFormat="1" x14ac:dyDescent="0.25">
      <c r="A4787" s="358"/>
      <c r="B4787" s="361"/>
      <c r="C4787" s="364" t="s">
        <v>80</v>
      </c>
      <c r="D4787" s="156" t="s">
        <v>38</v>
      </c>
      <c r="E4787" s="156" t="s">
        <v>57</v>
      </c>
      <c r="F4787" s="156" t="s">
        <v>228</v>
      </c>
      <c r="G4787" s="238">
        <f>MROUND(H4787*L4787*I4787/K4787,0.0000000001)</f>
        <v>2.17968869E-2</v>
      </c>
      <c r="H4787" s="158">
        <f>H3467</f>
        <v>36</v>
      </c>
      <c r="I4787" s="159">
        <f>I4785</f>
        <v>6.8014359999999996E-2</v>
      </c>
      <c r="J4787" s="160"/>
      <c r="K4787" s="161">
        <f>K4785</f>
        <v>1348</v>
      </c>
      <c r="L4787" s="250">
        <v>12</v>
      </c>
      <c r="M4787" s="163" t="str">
        <f>CONCATENATE(H4787," ",F4787,"*",L4787,"мес.","*",I4787,"/",K4787,"чел.")</f>
        <v>36 зданий*12мес.*0,06801436/1348чел.</v>
      </c>
      <c r="N4787" s="164">
        <f t="shared" ref="N4787:N4795" si="1231">N3467</f>
        <v>4910.5833101851858</v>
      </c>
      <c r="O4787" s="165">
        <f>MROUND(G4787*N4787,0.000001)</f>
        <v>107.03542899999999</v>
      </c>
      <c r="P4787" s="166"/>
      <c r="Q4787" s="166">
        <f t="shared" ref="Q4787:Q4800" si="1232">O4787*K4787</f>
        <v>144283.75829199998</v>
      </c>
      <c r="R4787" s="71"/>
    </row>
    <row r="4788" spans="1:18" s="61" customFormat="1" ht="47.25" x14ac:dyDescent="0.25">
      <c r="A4788" s="358"/>
      <c r="B4788" s="361"/>
      <c r="C4788" s="364"/>
      <c r="D4788" s="156" t="s">
        <v>229</v>
      </c>
      <c r="E4788" s="156" t="s">
        <v>60</v>
      </c>
      <c r="F4788" s="156" t="s">
        <v>60</v>
      </c>
      <c r="G4788" s="238">
        <f>MROUND(H4788*L4788*I4788/K4788,0.000001)</f>
        <v>0.120791</v>
      </c>
      <c r="H4788" s="158">
        <f>H3468</f>
        <v>2394</v>
      </c>
      <c r="I4788" s="159">
        <f>I4787</f>
        <v>6.8014359999999996E-2</v>
      </c>
      <c r="J4788" s="160"/>
      <c r="K4788" s="161">
        <f>K4787</f>
        <v>1348</v>
      </c>
      <c r="L4788" s="250">
        <v>1</v>
      </c>
      <c r="M4788" s="163" t="str">
        <f t="shared" ref="M4788:M4795" si="1233">CONCATENATE(H4788," ",F4788,"*",I4788,"/",K4788,"чел.")</f>
        <v>2394 шт.*0,06801436/1348чел.</v>
      </c>
      <c r="N4788" s="164">
        <f t="shared" si="1231"/>
        <v>171.02101921470341</v>
      </c>
      <c r="O4788" s="165">
        <f>MROUND(G4788*N4788,0.000001)</f>
        <v>20.657799999999998</v>
      </c>
      <c r="P4788" s="166"/>
      <c r="Q4788" s="166">
        <f t="shared" si="1232"/>
        <v>27846.714399999997</v>
      </c>
      <c r="R4788" s="71"/>
    </row>
    <row r="4789" spans="1:18" s="61" customFormat="1" ht="47.25" x14ac:dyDescent="0.25">
      <c r="A4789" s="358"/>
      <c r="B4789" s="361"/>
      <c r="C4789" s="364"/>
      <c r="D4789" s="156" t="s">
        <v>405</v>
      </c>
      <c r="E4789" s="156" t="s">
        <v>60</v>
      </c>
      <c r="F4789" s="156" t="s">
        <v>406</v>
      </c>
      <c r="G4789" s="238">
        <f>MROUND(H4789*L4789*I4789/K4789,0.00000001)</f>
        <v>1.8164100000000001E-3</v>
      </c>
      <c r="H4789" s="158">
        <f>H3709</f>
        <v>36</v>
      </c>
      <c r="I4789" s="159">
        <f>I4788</f>
        <v>6.8014359999999996E-2</v>
      </c>
      <c r="J4789" s="160"/>
      <c r="K4789" s="161">
        <f>K4788</f>
        <v>1348</v>
      </c>
      <c r="L4789" s="250">
        <v>1</v>
      </c>
      <c r="M4789" s="163" t="str">
        <f t="shared" si="1233"/>
        <v>36 лицензий*0,06801436/1348чел.</v>
      </c>
      <c r="N4789" s="164">
        <f t="shared" si="1231"/>
        <v>12541.539999999994</v>
      </c>
      <c r="O4789" s="165">
        <f t="shared" ref="O4789:O4798" si="1234">MROUND(G4789*N4789,0.000001)</f>
        <v>22.780578999999999</v>
      </c>
      <c r="P4789" s="166"/>
      <c r="Q4789" s="166">
        <f t="shared" si="1232"/>
        <v>30708.220492</v>
      </c>
      <c r="R4789" s="71"/>
    </row>
    <row r="4790" spans="1:18" s="61" customFormat="1" ht="63" x14ac:dyDescent="0.25">
      <c r="A4790" s="358"/>
      <c r="B4790" s="361"/>
      <c r="C4790" s="364"/>
      <c r="D4790" s="156" t="s">
        <v>39</v>
      </c>
      <c r="E4790" s="156" t="s">
        <v>20</v>
      </c>
      <c r="F4790" s="156" t="s">
        <v>234</v>
      </c>
      <c r="G4790" s="238">
        <f>MROUND(H4790*L4790*I4790/K4790,0.000000001)</f>
        <v>5.9537790000000002E-3</v>
      </c>
      <c r="H4790" s="158">
        <f>H4310</f>
        <v>118</v>
      </c>
      <c r="I4790" s="159">
        <f>I4788</f>
        <v>6.8014359999999996E-2</v>
      </c>
      <c r="J4790" s="160"/>
      <c r="K4790" s="161">
        <f>K4788</f>
        <v>1348</v>
      </c>
      <c r="L4790" s="250">
        <v>1</v>
      </c>
      <c r="M4790" s="163" t="str">
        <f t="shared" si="1233"/>
        <v>118 чел(заявленная потребность руководителями учреждений)*0,06801436/1348чел.</v>
      </c>
      <c r="N4790" s="164">
        <f t="shared" si="1231"/>
        <v>798.09796610169519</v>
      </c>
      <c r="O4790" s="165">
        <f t="shared" si="1234"/>
        <v>4.7516989999999995</v>
      </c>
      <c r="P4790" s="166"/>
      <c r="Q4790" s="166">
        <f t="shared" si="1232"/>
        <v>6405.2902519999989</v>
      </c>
      <c r="R4790" s="71"/>
    </row>
    <row r="4791" spans="1:18" s="61" customFormat="1" ht="63" x14ac:dyDescent="0.25">
      <c r="A4791" s="358"/>
      <c r="B4791" s="361"/>
      <c r="C4791" s="364"/>
      <c r="D4791" s="156" t="s">
        <v>40</v>
      </c>
      <c r="E4791" s="156" t="s">
        <v>20</v>
      </c>
      <c r="F4791" s="156" t="s">
        <v>234</v>
      </c>
      <c r="G4791" s="238">
        <f>MROUND(H4791*L4791*I4791/K4791,0.000000001)</f>
        <v>4.8437530000000001E-3</v>
      </c>
      <c r="H4791" s="158">
        <f>H4311</f>
        <v>96</v>
      </c>
      <c r="I4791" s="159">
        <f t="shared" ref="I4791:I4798" si="1235">I4790</f>
        <v>6.8014359999999996E-2</v>
      </c>
      <c r="J4791" s="160"/>
      <c r="K4791" s="161">
        <f t="shared" ref="K4791:K4798" si="1236">K4790</f>
        <v>1348</v>
      </c>
      <c r="L4791" s="250">
        <v>1</v>
      </c>
      <c r="M4791" s="163" t="str">
        <f t="shared" si="1233"/>
        <v>96 чел(заявленная потребность руководителями учреждений)*0,06801436/1348чел.</v>
      </c>
      <c r="N4791" s="164">
        <f t="shared" si="1231"/>
        <v>1710.2100000000007</v>
      </c>
      <c r="O4791" s="165">
        <f t="shared" si="1234"/>
        <v>8.2838349999999998</v>
      </c>
      <c r="P4791" s="166"/>
      <c r="Q4791" s="166">
        <f t="shared" si="1232"/>
        <v>11166.60958</v>
      </c>
      <c r="R4791" s="71"/>
    </row>
    <row r="4792" spans="1:18" s="61" customFormat="1" ht="63" x14ac:dyDescent="0.25">
      <c r="A4792" s="358"/>
      <c r="B4792" s="361"/>
      <c r="C4792" s="364"/>
      <c r="D4792" s="156" t="s">
        <v>100</v>
      </c>
      <c r="E4792" s="156" t="s">
        <v>20</v>
      </c>
      <c r="F4792" s="156" t="s">
        <v>234</v>
      </c>
      <c r="G4792" s="238">
        <f>MROUND(H4792*L4792*I4792/K4792,0.0000000001)</f>
        <v>4.0869163E-3</v>
      </c>
      <c r="H4792" s="158">
        <f>H4312</f>
        <v>81</v>
      </c>
      <c r="I4792" s="159">
        <f t="shared" si="1235"/>
        <v>6.8014359999999996E-2</v>
      </c>
      <c r="J4792" s="160"/>
      <c r="K4792" s="161">
        <f t="shared" si="1236"/>
        <v>1348</v>
      </c>
      <c r="L4792" s="250">
        <v>1</v>
      </c>
      <c r="M4792" s="163" t="str">
        <f t="shared" si="1233"/>
        <v>81 чел(заявленная потребность руководителями учреждений)*0,06801436/1348чел.</v>
      </c>
      <c r="N4792" s="164">
        <f t="shared" si="1231"/>
        <v>3648.448148148148</v>
      </c>
      <c r="O4792" s="165">
        <f t="shared" si="1234"/>
        <v>14.910902</v>
      </c>
      <c r="P4792" s="166"/>
      <c r="Q4792" s="166">
        <f t="shared" si="1232"/>
        <v>20099.895896000002</v>
      </c>
      <c r="R4792" s="71"/>
    </row>
    <row r="4793" spans="1:18" s="61" customFormat="1" ht="110.25" x14ac:dyDescent="0.25">
      <c r="A4793" s="358"/>
      <c r="B4793" s="361"/>
      <c r="C4793" s="364"/>
      <c r="D4793" s="156" t="s">
        <v>235</v>
      </c>
      <c r="E4793" s="156" t="s">
        <v>50</v>
      </c>
      <c r="F4793" s="156" t="s">
        <v>230</v>
      </c>
      <c r="G4793" s="238">
        <f>MROUND(H4793*L4793*I4793/K4793,0.00000001)</f>
        <v>1.8164100000000001E-3</v>
      </c>
      <c r="H4793" s="158">
        <f>H4553</f>
        <v>36</v>
      </c>
      <c r="I4793" s="159">
        <f t="shared" si="1235"/>
        <v>6.8014359999999996E-2</v>
      </c>
      <c r="J4793" s="160"/>
      <c r="K4793" s="161">
        <f t="shared" si="1236"/>
        <v>1348</v>
      </c>
      <c r="L4793" s="250">
        <v>1</v>
      </c>
      <c r="M4793" s="163" t="str">
        <f t="shared" si="1233"/>
        <v>36 отчетов*0,06801436/1348чел.</v>
      </c>
      <c r="N4793" s="164">
        <f t="shared" si="1231"/>
        <v>6840.8399999999974</v>
      </c>
      <c r="O4793" s="165">
        <f t="shared" si="1234"/>
        <v>12.42577</v>
      </c>
      <c r="P4793" s="166"/>
      <c r="Q4793" s="166">
        <f t="shared" si="1232"/>
        <v>16749.937959999999</v>
      </c>
      <c r="R4793" s="71"/>
    </row>
    <row r="4794" spans="1:18" s="61" customFormat="1" ht="63" x14ac:dyDescent="0.25">
      <c r="A4794" s="358"/>
      <c r="B4794" s="361"/>
      <c r="C4794" s="364"/>
      <c r="D4794" s="156" t="s">
        <v>42</v>
      </c>
      <c r="E4794" s="156" t="s">
        <v>51</v>
      </c>
      <c r="F4794" s="156" t="s">
        <v>407</v>
      </c>
      <c r="G4794" s="238">
        <f>MROUND(H4794*L4794*I4794/K4794,0.000001)</f>
        <v>1.0293E-2</v>
      </c>
      <c r="H4794" s="158">
        <f>H4314</f>
        <v>204</v>
      </c>
      <c r="I4794" s="159">
        <f t="shared" si="1235"/>
        <v>6.8014359999999996E-2</v>
      </c>
      <c r="J4794" s="160"/>
      <c r="K4794" s="161">
        <f t="shared" si="1236"/>
        <v>1348</v>
      </c>
      <c r="L4794" s="250">
        <v>1</v>
      </c>
      <c r="M4794" s="163" t="str">
        <f t="shared" si="1233"/>
        <v>204 ед (заявленная потребность руководителями учреждений)*0,06801436/1348чел.</v>
      </c>
      <c r="N4794" s="164">
        <f t="shared" si="1231"/>
        <v>1140.1400000000001</v>
      </c>
      <c r="O4794" s="165">
        <f t="shared" si="1234"/>
        <v>11.735460999999999</v>
      </c>
      <c r="P4794" s="166"/>
      <c r="Q4794" s="166">
        <f t="shared" si="1232"/>
        <v>15819.401427999999</v>
      </c>
      <c r="R4794" s="71"/>
    </row>
    <row r="4795" spans="1:18" s="61" customFormat="1" ht="31.5" x14ac:dyDescent="0.25">
      <c r="A4795" s="358"/>
      <c r="B4795" s="361"/>
      <c r="C4795" s="364"/>
      <c r="D4795" s="156" t="s">
        <v>43</v>
      </c>
      <c r="E4795" s="156" t="s">
        <v>52</v>
      </c>
      <c r="F4795" s="156" t="s">
        <v>231</v>
      </c>
      <c r="G4795" s="238">
        <f>MROUND(H4795*L4795*I4795/K4795,0.000000001)</f>
        <v>1.8164070000000001E-3</v>
      </c>
      <c r="H4795" s="158">
        <f>H3715</f>
        <v>36</v>
      </c>
      <c r="I4795" s="159">
        <f t="shared" si="1235"/>
        <v>6.8014359999999996E-2</v>
      </c>
      <c r="J4795" s="160"/>
      <c r="K4795" s="161">
        <f t="shared" si="1236"/>
        <v>1348</v>
      </c>
      <c r="L4795" s="250">
        <v>1</v>
      </c>
      <c r="M4795" s="163" t="str">
        <f t="shared" si="1233"/>
        <v>36 ЭЦП*0,06801436/1348чел.</v>
      </c>
      <c r="N4795" s="164">
        <f t="shared" si="1231"/>
        <v>8099.5499999999947</v>
      </c>
      <c r="O4795" s="165">
        <f t="shared" si="1234"/>
        <v>14.712078999999999</v>
      </c>
      <c r="P4795" s="166"/>
      <c r="Q4795" s="166">
        <f t="shared" si="1232"/>
        <v>19831.882492000001</v>
      </c>
      <c r="R4795" s="71"/>
    </row>
    <row r="4796" spans="1:18" s="61" customFormat="1" ht="47.25" x14ac:dyDescent="0.25">
      <c r="A4796" s="358"/>
      <c r="B4796" s="361"/>
      <c r="C4796" s="364"/>
      <c r="D4796" s="156" t="s">
        <v>44</v>
      </c>
      <c r="E4796" s="156" t="s">
        <v>85</v>
      </c>
      <c r="F4796" s="156" t="s">
        <v>232</v>
      </c>
      <c r="G4796" s="238">
        <f>MROUND(H4796*L4796*I4796/K4796,0.000001)</f>
        <v>6.1353999999999999E-2</v>
      </c>
      <c r="H4796" s="158">
        <f>H3716</f>
        <v>1216</v>
      </c>
      <c r="I4796" s="159">
        <f t="shared" si="1235"/>
        <v>6.8014359999999996E-2</v>
      </c>
      <c r="J4796" s="160"/>
      <c r="K4796" s="161">
        <f t="shared" si="1236"/>
        <v>1348</v>
      </c>
      <c r="L4796" s="250">
        <v>1</v>
      </c>
      <c r="M4796" s="163" t="str">
        <f>CONCATENATE(H4796," ",F4796,"*",L4796,"мес.","*",I4796,"/",K4796,"чел.")</f>
        <v>1216 мед.осмотров в мес.*1мес.*0,06801436/1348чел.</v>
      </c>
      <c r="N4796" s="164">
        <f>N3716</f>
        <v>59.287277960526318</v>
      </c>
      <c r="O4796" s="165">
        <f t="shared" si="1234"/>
        <v>3.6375119999999996</v>
      </c>
      <c r="P4796" s="166"/>
      <c r="Q4796" s="166">
        <f t="shared" si="1232"/>
        <v>4903.3661759999995</v>
      </c>
      <c r="R4796" s="71"/>
    </row>
    <row r="4797" spans="1:18" s="61" customFormat="1" ht="63" x14ac:dyDescent="0.25">
      <c r="A4797" s="358"/>
      <c r="B4797" s="361"/>
      <c r="C4797" s="364"/>
      <c r="D4797" s="156" t="s">
        <v>45</v>
      </c>
      <c r="E4797" s="156" t="s">
        <v>53</v>
      </c>
      <c r="F4797" s="156" t="s">
        <v>233</v>
      </c>
      <c r="G4797" s="238">
        <f>MROUND(H4797*L4797*I4797/K4797,0.000000001)</f>
        <v>2.4218760000000003E-3</v>
      </c>
      <c r="H4797" s="158">
        <f>H4317</f>
        <v>4</v>
      </c>
      <c r="I4797" s="159">
        <f t="shared" si="1235"/>
        <v>6.8014359999999996E-2</v>
      </c>
      <c r="J4797" s="160"/>
      <c r="K4797" s="161">
        <f t="shared" si="1236"/>
        <v>1348</v>
      </c>
      <c r="L4797" s="250">
        <v>12</v>
      </c>
      <c r="M4797" s="163" t="str">
        <f>CONCATENATE(H4797," ",F4797,"*",L4797,"мес.","*",I4797,"/",K4797,"чел.")</f>
        <v>4  машины, оборудованных системой ГЛОНАСС*12мес.*0,06801436/1348чел.</v>
      </c>
      <c r="N4797" s="164">
        <f>N3477</f>
        <v>921.23312500000009</v>
      </c>
      <c r="O4797" s="165">
        <f t="shared" si="1234"/>
        <v>2.231112</v>
      </c>
      <c r="P4797" s="166"/>
      <c r="Q4797" s="166">
        <f t="shared" si="1232"/>
        <v>3007.5389759999998</v>
      </c>
      <c r="R4797" s="71"/>
    </row>
    <row r="4798" spans="1:18" s="61" customFormat="1" ht="31.5" x14ac:dyDescent="0.25">
      <c r="A4798" s="358"/>
      <c r="B4798" s="361"/>
      <c r="C4798" s="364"/>
      <c r="D4798" s="156" t="s">
        <v>408</v>
      </c>
      <c r="E4798" s="156" t="s">
        <v>20</v>
      </c>
      <c r="F4798" s="156" t="s">
        <v>20</v>
      </c>
      <c r="G4798" s="238">
        <f>MROUND(H4798*L4798*I4798/K4798,0.0000000001)</f>
        <v>8.5623419100000001E-2</v>
      </c>
      <c r="H4798" s="158">
        <f>H3478</f>
        <v>1697</v>
      </c>
      <c r="I4798" s="159">
        <f t="shared" si="1235"/>
        <v>6.8014359999999996E-2</v>
      </c>
      <c r="J4798" s="160"/>
      <c r="K4798" s="161">
        <f t="shared" si="1236"/>
        <v>1348</v>
      </c>
      <c r="L4798" s="250">
        <v>1</v>
      </c>
      <c r="M4798" s="163" t="str">
        <f>CONCATENATE(H4798," ",F4798,"*",L4798," раз в год","*",I4798,"/",K4798,"чел.")</f>
        <v>1697 чел.*1 раз в год*0,06801436/1348чел.</v>
      </c>
      <c r="N4798" s="164">
        <f>N3478</f>
        <v>570.06999999999994</v>
      </c>
      <c r="O4798" s="165">
        <f t="shared" si="1234"/>
        <v>48.811343000000001</v>
      </c>
      <c r="P4798" s="166"/>
      <c r="Q4798" s="166">
        <f t="shared" si="1232"/>
        <v>65797.690363999995</v>
      </c>
      <c r="R4798" s="71"/>
    </row>
    <row r="4799" spans="1:18" s="61" customFormat="1" x14ac:dyDescent="0.25">
      <c r="A4799" s="358"/>
      <c r="B4799" s="361"/>
      <c r="C4799" s="364"/>
      <c r="D4799" s="156" t="s">
        <v>373</v>
      </c>
      <c r="E4799" s="156" t="s">
        <v>28</v>
      </c>
      <c r="F4799" s="156" t="s">
        <v>28</v>
      </c>
      <c r="G4799" s="157">
        <f>MROUND(H4799*L4799*I4799/K4799,0.000000001)</f>
        <v>1.8164070000000001E-3</v>
      </c>
      <c r="H4799" s="158">
        <f>H3480</f>
        <v>36</v>
      </c>
      <c r="I4799" s="159">
        <f>I4797</f>
        <v>6.8014359999999996E-2</v>
      </c>
      <c r="J4799" s="160"/>
      <c r="K4799" s="161">
        <f>K4797</f>
        <v>1348</v>
      </c>
      <c r="L4799" s="162">
        <v>1</v>
      </c>
      <c r="M4799" s="163" t="str">
        <f>CONCATENATE(H4799," ",F4799,"*",L4799,"мес.","*",I4799,"/",K4799,"чел.")</f>
        <v>36 шт*1мес.*0,06801436/1348чел.</v>
      </c>
      <c r="N4799" s="164">
        <f>N3480</f>
        <v>24000</v>
      </c>
      <c r="O4799" s="165">
        <f>MROUND(G4799*N4799,0.000000001)</f>
        <v>43.593768000000004</v>
      </c>
      <c r="P4799" s="166"/>
      <c r="Q4799" s="166">
        <f t="shared" si="1232"/>
        <v>58764.399264000007</v>
      </c>
      <c r="R4799" s="71"/>
    </row>
    <row r="4800" spans="1:18" s="61" customFormat="1" ht="31.5" x14ac:dyDescent="0.25">
      <c r="A4800" s="358"/>
      <c r="B4800" s="361"/>
      <c r="C4800" s="364"/>
      <c r="D4800" s="156" t="s">
        <v>106</v>
      </c>
      <c r="E4800" s="156" t="s">
        <v>107</v>
      </c>
      <c r="F4800" s="156"/>
      <c r="G4800" s="238">
        <f>MROUND(H4800*L4800*I4800/K4800,0.000000001)</f>
        <v>0</v>
      </c>
      <c r="H4800" s="158">
        <f>H3479</f>
        <v>0</v>
      </c>
      <c r="I4800" s="159">
        <f>I4797</f>
        <v>6.8014359999999996E-2</v>
      </c>
      <c r="J4800" s="160"/>
      <c r="K4800" s="161">
        <f>K4797</f>
        <v>1348</v>
      </c>
      <c r="L4800" s="250">
        <f>L3840</f>
        <v>0</v>
      </c>
      <c r="M4800" s="163"/>
      <c r="N4800" s="164">
        <f>N3479</f>
        <v>6.0000000000000002E-5</v>
      </c>
      <c r="O4800" s="165">
        <f>MROUND(G4800*N4800,0.000000001)</f>
        <v>0</v>
      </c>
      <c r="P4800" s="166"/>
      <c r="Q4800" s="166">
        <f t="shared" si="1232"/>
        <v>0</v>
      </c>
      <c r="R4800" s="71"/>
    </row>
    <row r="4801" spans="1:18" s="62" customFormat="1" x14ac:dyDescent="0.25">
      <c r="A4801" s="358"/>
      <c r="B4801" s="361"/>
      <c r="C4801" s="245" t="s">
        <v>296</v>
      </c>
      <c r="D4801" s="240"/>
      <c r="E4801" s="240"/>
      <c r="F4801" s="240"/>
      <c r="G4801" s="227"/>
      <c r="H4801" s="241"/>
      <c r="I4801" s="206"/>
      <c r="J4801" s="228"/>
      <c r="K4801" s="207"/>
      <c r="L4801" s="257"/>
      <c r="M4801" s="209"/>
      <c r="N4801" s="210"/>
      <c r="O4801" s="198">
        <f>SUM(O4787:O4800)</f>
        <v>315.56728899999996</v>
      </c>
      <c r="P4801" s="267"/>
      <c r="Q4801" s="166"/>
      <c r="R4801" s="71"/>
    </row>
    <row r="4802" spans="1:18" s="61" customFormat="1" ht="31.5" x14ac:dyDescent="0.25">
      <c r="A4802" s="358"/>
      <c r="B4802" s="361"/>
      <c r="C4802" s="252" t="s">
        <v>237</v>
      </c>
      <c r="D4802" s="156" t="s">
        <v>41</v>
      </c>
      <c r="E4802" s="156" t="s">
        <v>61</v>
      </c>
      <c r="F4802" s="156" t="s">
        <v>227</v>
      </c>
      <c r="G4802" s="238">
        <f>MROUND(H4802*L4802*I4802/K4802,0.000000001)</f>
        <v>2.0182300000000001E-4</v>
      </c>
      <c r="H4802" s="158">
        <f>H3722</f>
        <v>4</v>
      </c>
      <c r="I4802" s="159">
        <f>I4800</f>
        <v>6.8014359999999996E-2</v>
      </c>
      <c r="J4802" s="160"/>
      <c r="K4802" s="161">
        <f>K4800</f>
        <v>1348</v>
      </c>
      <c r="L4802" s="250">
        <v>1</v>
      </c>
      <c r="M4802" s="163" t="str">
        <f>CONCATENATE(H4802," ",F4802,"*",I4802,"/",K4802,"чел.")</f>
        <v>4 автобуса*0,06801436/1348чел.</v>
      </c>
      <c r="N4802" s="164">
        <f>N3482</f>
        <v>26907.305</v>
      </c>
      <c r="O4802" s="165">
        <f>MROUND(G4802*N4802,0.000001)</f>
        <v>5.4305129999999995</v>
      </c>
      <c r="P4802" s="166"/>
      <c r="Q4802" s="166">
        <f t="shared" ref="Q4802" si="1237">O4802*K4802</f>
        <v>7320.3315239999993</v>
      </c>
      <c r="R4802" s="71"/>
    </row>
    <row r="4803" spans="1:18" s="62" customFormat="1" x14ac:dyDescent="0.25">
      <c r="A4803" s="358"/>
      <c r="B4803" s="361"/>
      <c r="C4803" s="245" t="s">
        <v>297</v>
      </c>
      <c r="D4803" s="240"/>
      <c r="E4803" s="240"/>
      <c r="F4803" s="240"/>
      <c r="G4803" s="227"/>
      <c r="H4803" s="241"/>
      <c r="I4803" s="206"/>
      <c r="J4803" s="228"/>
      <c r="K4803" s="207"/>
      <c r="L4803" s="257"/>
      <c r="M4803" s="209"/>
      <c r="N4803" s="210"/>
      <c r="O4803" s="198">
        <f>SUM(O4802)</f>
        <v>5.4305129999999995</v>
      </c>
      <c r="P4803" s="267"/>
      <c r="Q4803" s="166"/>
      <c r="R4803" s="71"/>
    </row>
    <row r="4804" spans="1:18" s="61" customFormat="1" ht="78.75" x14ac:dyDescent="0.25">
      <c r="A4804" s="358"/>
      <c r="B4804" s="361"/>
      <c r="C4804" s="221" t="s">
        <v>236</v>
      </c>
      <c r="D4804" s="156" t="s">
        <v>19</v>
      </c>
      <c r="E4804" s="181" t="s">
        <v>20</v>
      </c>
      <c r="F4804" s="181" t="s">
        <v>238</v>
      </c>
      <c r="G4804" s="238">
        <f>MROUND(H4804*L4804*I4804/K4804,0.000001)</f>
        <v>0</v>
      </c>
      <c r="H4804" s="158"/>
      <c r="I4804" s="159">
        <f>I4800</f>
        <v>6.8014359999999996E-2</v>
      </c>
      <c r="J4804" s="160"/>
      <c r="K4804" s="161">
        <f>K4800</f>
        <v>1348</v>
      </c>
      <c r="L4804" s="250"/>
      <c r="M4804" s="163"/>
      <c r="N4804" s="164"/>
      <c r="O4804" s="165">
        <f>MROUND(G4804*N4804,0.000001)</f>
        <v>0</v>
      </c>
      <c r="P4804" s="166"/>
      <c r="Q4804" s="166">
        <f t="shared" ref="Q4804" si="1238">O4804*K4804</f>
        <v>0</v>
      </c>
      <c r="R4804" s="71"/>
    </row>
    <row r="4805" spans="1:18" s="62" customFormat="1" x14ac:dyDescent="0.25">
      <c r="A4805" s="358"/>
      <c r="B4805" s="361"/>
      <c r="C4805" s="245" t="s">
        <v>298</v>
      </c>
      <c r="D4805" s="240"/>
      <c r="E4805" s="253"/>
      <c r="F4805" s="253"/>
      <c r="G4805" s="227"/>
      <c r="H4805" s="241"/>
      <c r="I4805" s="206"/>
      <c r="J4805" s="228"/>
      <c r="K4805" s="207"/>
      <c r="L4805" s="257"/>
      <c r="M4805" s="209"/>
      <c r="N4805" s="210"/>
      <c r="O4805" s="198">
        <f>SUM(O4804)</f>
        <v>0</v>
      </c>
      <c r="P4805" s="267"/>
      <c r="Q4805" s="166"/>
      <c r="R4805" s="71"/>
    </row>
    <row r="4806" spans="1:18" s="61" customFormat="1" ht="30" x14ac:dyDescent="0.25">
      <c r="A4806" s="358"/>
      <c r="B4806" s="361"/>
      <c r="C4806" s="365" t="s">
        <v>81</v>
      </c>
      <c r="D4806" s="254" t="s">
        <v>410</v>
      </c>
      <c r="E4806" s="156" t="s">
        <v>28</v>
      </c>
      <c r="F4806" s="156" t="s">
        <v>28</v>
      </c>
      <c r="G4806" s="238">
        <f>MROUND(H4806*L4806*I4806/K4806,0.0000000001)</f>
        <v>0</v>
      </c>
      <c r="H4806" s="158"/>
      <c r="I4806" s="159">
        <f>I4800</f>
        <v>6.8014359999999996E-2</v>
      </c>
      <c r="J4806" s="160"/>
      <c r="K4806" s="161">
        <f>K4800</f>
        <v>1348</v>
      </c>
      <c r="L4806" s="250">
        <v>1</v>
      </c>
      <c r="M4806" s="163"/>
      <c r="N4806" s="164"/>
      <c r="O4806" s="165">
        <f>MROUND(G4806*N4806,0.000001)</f>
        <v>0</v>
      </c>
      <c r="P4806" s="166"/>
      <c r="Q4806" s="166">
        <f t="shared" ref="Q4806:Q4829" si="1239">O4806*K4806</f>
        <v>0</v>
      </c>
      <c r="R4806" s="71"/>
    </row>
    <row r="4807" spans="1:18" s="61" customFormat="1" x14ac:dyDescent="0.25">
      <c r="A4807" s="358"/>
      <c r="B4807" s="361"/>
      <c r="C4807" s="366"/>
      <c r="D4807" s="254" t="s">
        <v>325</v>
      </c>
      <c r="E4807" s="156" t="s">
        <v>28</v>
      </c>
      <c r="F4807" s="156" t="s">
        <v>28</v>
      </c>
      <c r="G4807" s="157">
        <f>MROUND(H4807*L4807*I4807/K4807,0.0000000001)</f>
        <v>0</v>
      </c>
      <c r="H4807" s="158"/>
      <c r="I4807" s="159">
        <f>I4806</f>
        <v>6.8014359999999996E-2</v>
      </c>
      <c r="J4807" s="160"/>
      <c r="K4807" s="161">
        <f>K4806</f>
        <v>1348</v>
      </c>
      <c r="L4807" s="250">
        <v>1</v>
      </c>
      <c r="M4807" s="163"/>
      <c r="N4807" s="164"/>
      <c r="O4807" s="165">
        <f>MROUND(G4807*N4807,0.000001)</f>
        <v>0</v>
      </c>
      <c r="P4807" s="166"/>
      <c r="Q4807" s="166">
        <f t="shared" si="1239"/>
        <v>0</v>
      </c>
      <c r="R4807" s="71"/>
    </row>
    <row r="4808" spans="1:18" s="61" customFormat="1" ht="30" x14ac:dyDescent="0.25">
      <c r="A4808" s="358"/>
      <c r="B4808" s="361"/>
      <c r="C4808" s="366"/>
      <c r="D4808" s="254" t="s">
        <v>411</v>
      </c>
      <c r="E4808" s="156" t="s">
        <v>28</v>
      </c>
      <c r="F4808" s="156" t="s">
        <v>28</v>
      </c>
      <c r="G4808" s="238">
        <f>MROUND(H4808*L4808*I4808/K4808,0.00000001)</f>
        <v>0</v>
      </c>
      <c r="H4808" s="158"/>
      <c r="I4808" s="159">
        <f>I4806</f>
        <v>6.8014359999999996E-2</v>
      </c>
      <c r="J4808" s="160"/>
      <c r="K4808" s="161">
        <f>K4806</f>
        <v>1348</v>
      </c>
      <c r="L4808" s="250">
        <v>1</v>
      </c>
      <c r="M4808" s="163"/>
      <c r="N4808" s="164"/>
      <c r="O4808" s="165">
        <f t="shared" ref="O4808:O4829" si="1240">MROUND(G4808*N4808,0.000001)</f>
        <v>0</v>
      </c>
      <c r="P4808" s="166"/>
      <c r="Q4808" s="166">
        <f t="shared" si="1239"/>
        <v>0</v>
      </c>
      <c r="R4808" s="71"/>
    </row>
    <row r="4809" spans="1:18" s="61" customFormat="1" x14ac:dyDescent="0.25">
      <c r="A4809" s="358"/>
      <c r="B4809" s="361"/>
      <c r="C4809" s="366"/>
      <c r="D4809" s="255" t="s">
        <v>412</v>
      </c>
      <c r="E4809" s="156" t="s">
        <v>28</v>
      </c>
      <c r="F4809" s="156" t="s">
        <v>28</v>
      </c>
      <c r="G4809" s="238">
        <f>MROUND(H4809*L4809*I4809/K4809,0.00000001)</f>
        <v>0</v>
      </c>
      <c r="H4809" s="158"/>
      <c r="I4809" s="159">
        <f>I4808</f>
        <v>6.8014359999999996E-2</v>
      </c>
      <c r="J4809" s="160"/>
      <c r="K4809" s="161">
        <f>K4808</f>
        <v>1348</v>
      </c>
      <c r="L4809" s="250">
        <v>1</v>
      </c>
      <c r="M4809" s="163"/>
      <c r="N4809" s="164"/>
      <c r="O4809" s="165">
        <f t="shared" si="1240"/>
        <v>0</v>
      </c>
      <c r="P4809" s="166"/>
      <c r="Q4809" s="166">
        <f t="shared" si="1239"/>
        <v>0</v>
      </c>
      <c r="R4809" s="71"/>
    </row>
    <row r="4810" spans="1:18" s="61" customFormat="1" ht="31.5" x14ac:dyDescent="0.25">
      <c r="A4810" s="358"/>
      <c r="B4810" s="361"/>
      <c r="C4810" s="366"/>
      <c r="D4810" s="255" t="s">
        <v>413</v>
      </c>
      <c r="E4810" s="156" t="s">
        <v>28</v>
      </c>
      <c r="F4810" s="156" t="s">
        <v>28</v>
      </c>
      <c r="G4810" s="238">
        <f>MROUND(H4810*L4810*I4810/K4810,0.0000000001)</f>
        <v>0</v>
      </c>
      <c r="H4810" s="158"/>
      <c r="I4810" s="159">
        <f>I4809</f>
        <v>6.8014359999999996E-2</v>
      </c>
      <c r="J4810" s="160"/>
      <c r="K4810" s="161">
        <f>K4809</f>
        <v>1348</v>
      </c>
      <c r="L4810" s="250">
        <v>1</v>
      </c>
      <c r="M4810" s="163"/>
      <c r="N4810" s="164"/>
      <c r="O4810" s="165">
        <f t="shared" si="1240"/>
        <v>0</v>
      </c>
      <c r="P4810" s="166"/>
      <c r="Q4810" s="166">
        <f t="shared" si="1239"/>
        <v>0</v>
      </c>
      <c r="R4810" s="71"/>
    </row>
    <row r="4811" spans="1:18" s="61" customFormat="1" x14ac:dyDescent="0.25">
      <c r="A4811" s="358"/>
      <c r="B4811" s="361"/>
      <c r="C4811" s="366"/>
      <c r="D4811" s="254" t="s">
        <v>109</v>
      </c>
      <c r="E4811" s="156" t="s">
        <v>28</v>
      </c>
      <c r="F4811" s="156" t="s">
        <v>28</v>
      </c>
      <c r="G4811" s="238">
        <f>MROUND(H4811*L4811*I4811/K4811,0.0000000001)</f>
        <v>0</v>
      </c>
      <c r="H4811" s="158"/>
      <c r="I4811" s="159">
        <f>I4810</f>
        <v>6.8014359999999996E-2</v>
      </c>
      <c r="J4811" s="160"/>
      <c r="K4811" s="161">
        <f>K4810</f>
        <v>1348</v>
      </c>
      <c r="L4811" s="250">
        <v>1</v>
      </c>
      <c r="M4811" s="163"/>
      <c r="N4811" s="164"/>
      <c r="O4811" s="165">
        <f t="shared" si="1240"/>
        <v>0</v>
      </c>
      <c r="P4811" s="166"/>
      <c r="Q4811" s="166">
        <f t="shared" si="1239"/>
        <v>0</v>
      </c>
      <c r="R4811" s="71"/>
    </row>
    <row r="4812" spans="1:18" s="61" customFormat="1" x14ac:dyDescent="0.25">
      <c r="A4812" s="358"/>
      <c r="B4812" s="361"/>
      <c r="C4812" s="366"/>
      <c r="D4812" s="254" t="s">
        <v>414</v>
      </c>
      <c r="E4812" s="156" t="s">
        <v>28</v>
      </c>
      <c r="F4812" s="156" t="s">
        <v>28</v>
      </c>
      <c r="G4812" s="238">
        <f>MROUND(H4812*L4812*I4812/K4812,0.0000000001)</f>
        <v>0</v>
      </c>
      <c r="H4812" s="158"/>
      <c r="I4812" s="159">
        <f>I4810</f>
        <v>6.8014359999999996E-2</v>
      </c>
      <c r="J4812" s="160"/>
      <c r="K4812" s="161">
        <f>K4810</f>
        <v>1348</v>
      </c>
      <c r="L4812" s="250">
        <v>1</v>
      </c>
      <c r="M4812" s="163"/>
      <c r="N4812" s="164"/>
      <c r="O4812" s="165">
        <f t="shared" si="1240"/>
        <v>0</v>
      </c>
      <c r="P4812" s="166"/>
      <c r="Q4812" s="166">
        <f t="shared" si="1239"/>
        <v>0</v>
      </c>
      <c r="R4812" s="71"/>
    </row>
    <row r="4813" spans="1:18" s="61" customFormat="1" x14ac:dyDescent="0.25">
      <c r="A4813" s="358"/>
      <c r="B4813" s="361"/>
      <c r="C4813" s="366"/>
      <c r="D4813" s="254" t="s">
        <v>415</v>
      </c>
      <c r="E4813" s="156" t="s">
        <v>28</v>
      </c>
      <c r="F4813" s="156" t="s">
        <v>28</v>
      </c>
      <c r="G4813" s="238">
        <f>MROUND(H4813*L4813*I4813/K4813,0.00000001)</f>
        <v>0</v>
      </c>
      <c r="H4813" s="158"/>
      <c r="I4813" s="159">
        <f t="shared" ref="I4813:I4822" si="1241">I4811</f>
        <v>6.8014359999999996E-2</v>
      </c>
      <c r="J4813" s="160"/>
      <c r="K4813" s="161">
        <f t="shared" ref="K4813:K4822" si="1242">K4811</f>
        <v>1348</v>
      </c>
      <c r="L4813" s="250">
        <v>1</v>
      </c>
      <c r="M4813" s="163"/>
      <c r="N4813" s="164"/>
      <c r="O4813" s="165">
        <f t="shared" si="1240"/>
        <v>0</v>
      </c>
      <c r="P4813" s="166"/>
      <c r="Q4813" s="166">
        <f t="shared" si="1239"/>
        <v>0</v>
      </c>
      <c r="R4813" s="71"/>
    </row>
    <row r="4814" spans="1:18" s="61" customFormat="1" x14ac:dyDescent="0.25">
      <c r="A4814" s="358"/>
      <c r="B4814" s="361"/>
      <c r="C4814" s="366"/>
      <c r="D4814" s="254" t="s">
        <v>416</v>
      </c>
      <c r="E4814" s="156" t="s">
        <v>28</v>
      </c>
      <c r="F4814" s="156" t="s">
        <v>28</v>
      </c>
      <c r="G4814" s="238">
        <f>MROUND(H4814*L4814*I4814/K4814,0.000000001)</f>
        <v>0</v>
      </c>
      <c r="H4814" s="246"/>
      <c r="I4814" s="159">
        <f t="shared" si="1241"/>
        <v>6.8014359999999996E-2</v>
      </c>
      <c r="J4814" s="160"/>
      <c r="K4814" s="161">
        <f t="shared" si="1242"/>
        <v>1348</v>
      </c>
      <c r="L4814" s="250">
        <v>1</v>
      </c>
      <c r="M4814" s="163"/>
      <c r="N4814" s="164"/>
      <c r="O4814" s="165">
        <f t="shared" si="1240"/>
        <v>0</v>
      </c>
      <c r="P4814" s="166"/>
      <c r="Q4814" s="166">
        <f t="shared" si="1239"/>
        <v>0</v>
      </c>
      <c r="R4814" s="71"/>
    </row>
    <row r="4815" spans="1:18" s="61" customFormat="1" x14ac:dyDescent="0.25">
      <c r="A4815" s="358"/>
      <c r="B4815" s="361"/>
      <c r="C4815" s="366"/>
      <c r="D4815" s="254" t="s">
        <v>417</v>
      </c>
      <c r="E4815" s="156" t="s">
        <v>28</v>
      </c>
      <c r="F4815" s="156" t="s">
        <v>28</v>
      </c>
      <c r="G4815" s="238">
        <f>MROUND(H4815*L4815*I4815/K4815,0.00000001)</f>
        <v>0</v>
      </c>
      <c r="H4815" s="158"/>
      <c r="I4815" s="159">
        <f t="shared" si="1241"/>
        <v>6.8014359999999996E-2</v>
      </c>
      <c r="J4815" s="160"/>
      <c r="K4815" s="161">
        <f t="shared" si="1242"/>
        <v>1348</v>
      </c>
      <c r="L4815" s="250">
        <v>1</v>
      </c>
      <c r="M4815" s="163"/>
      <c r="N4815" s="164"/>
      <c r="O4815" s="165">
        <f t="shared" si="1240"/>
        <v>0</v>
      </c>
      <c r="P4815" s="166"/>
      <c r="Q4815" s="166">
        <f t="shared" si="1239"/>
        <v>0</v>
      </c>
      <c r="R4815" s="71"/>
    </row>
    <row r="4816" spans="1:18" s="61" customFormat="1" ht="30" x14ac:dyDescent="0.25">
      <c r="A4816" s="358"/>
      <c r="B4816" s="361"/>
      <c r="C4816" s="366"/>
      <c r="D4816" s="254" t="s">
        <v>418</v>
      </c>
      <c r="E4816" s="156" t="s">
        <v>28</v>
      </c>
      <c r="F4816" s="156" t="s">
        <v>28</v>
      </c>
      <c r="G4816" s="238">
        <f>MROUND(H4816*L4816*I4816/K4816,0.00000001)</f>
        <v>0</v>
      </c>
      <c r="H4816" s="158"/>
      <c r="I4816" s="159">
        <f t="shared" si="1241"/>
        <v>6.8014359999999996E-2</v>
      </c>
      <c r="J4816" s="160"/>
      <c r="K4816" s="161">
        <f t="shared" si="1242"/>
        <v>1348</v>
      </c>
      <c r="L4816" s="250">
        <v>1</v>
      </c>
      <c r="M4816" s="163"/>
      <c r="N4816" s="164"/>
      <c r="O4816" s="165">
        <f t="shared" si="1240"/>
        <v>0</v>
      </c>
      <c r="P4816" s="166"/>
      <c r="Q4816" s="166">
        <f t="shared" si="1239"/>
        <v>0</v>
      </c>
      <c r="R4816" s="71"/>
    </row>
    <row r="4817" spans="1:18" s="61" customFormat="1" x14ac:dyDescent="0.25">
      <c r="A4817" s="358"/>
      <c r="B4817" s="361"/>
      <c r="C4817" s="366"/>
      <c r="D4817" s="254" t="s">
        <v>324</v>
      </c>
      <c r="E4817" s="156" t="s">
        <v>28</v>
      </c>
      <c r="F4817" s="156" t="s">
        <v>28</v>
      </c>
      <c r="G4817" s="238">
        <f>MROUND(H4817*L4817*I4817/K4817,0.000000001)</f>
        <v>0</v>
      </c>
      <c r="H4817" s="158"/>
      <c r="I4817" s="159">
        <f t="shared" si="1241"/>
        <v>6.8014359999999996E-2</v>
      </c>
      <c r="J4817" s="160"/>
      <c r="K4817" s="161">
        <f t="shared" si="1242"/>
        <v>1348</v>
      </c>
      <c r="L4817" s="250">
        <v>1</v>
      </c>
      <c r="M4817" s="163"/>
      <c r="N4817" s="164"/>
      <c r="O4817" s="165">
        <f t="shared" si="1240"/>
        <v>0</v>
      </c>
      <c r="P4817" s="166"/>
      <c r="Q4817" s="166">
        <f t="shared" si="1239"/>
        <v>0</v>
      </c>
      <c r="R4817" s="71"/>
    </row>
    <row r="4818" spans="1:18" s="61" customFormat="1" x14ac:dyDescent="0.25">
      <c r="A4818" s="358"/>
      <c r="B4818" s="361"/>
      <c r="C4818" s="366"/>
      <c r="D4818" s="254" t="s">
        <v>419</v>
      </c>
      <c r="E4818" s="156" t="s">
        <v>28</v>
      </c>
      <c r="F4818" s="156" t="s">
        <v>28</v>
      </c>
      <c r="G4818" s="238">
        <f>MROUND(H4818*L4818*I4818/K4818,0.000000001)</f>
        <v>0</v>
      </c>
      <c r="H4818" s="246"/>
      <c r="I4818" s="159">
        <f t="shared" si="1241"/>
        <v>6.8014359999999996E-2</v>
      </c>
      <c r="J4818" s="160"/>
      <c r="K4818" s="161">
        <f t="shared" si="1242"/>
        <v>1348</v>
      </c>
      <c r="L4818" s="250">
        <v>1</v>
      </c>
      <c r="M4818" s="163"/>
      <c r="N4818" s="164"/>
      <c r="O4818" s="165">
        <f t="shared" si="1240"/>
        <v>0</v>
      </c>
      <c r="P4818" s="166"/>
      <c r="Q4818" s="166">
        <f t="shared" si="1239"/>
        <v>0</v>
      </c>
      <c r="R4818" s="71"/>
    </row>
    <row r="4819" spans="1:18" s="61" customFormat="1" x14ac:dyDescent="0.25">
      <c r="A4819" s="358"/>
      <c r="B4819" s="361"/>
      <c r="C4819" s="366"/>
      <c r="D4819" s="254" t="s">
        <v>420</v>
      </c>
      <c r="E4819" s="156" t="s">
        <v>28</v>
      </c>
      <c r="F4819" s="156" t="s">
        <v>28</v>
      </c>
      <c r="G4819" s="238">
        <f>MROUND(H4819*L4819*I4819/K4819,0.000000001)</f>
        <v>0</v>
      </c>
      <c r="H4819" s="158"/>
      <c r="I4819" s="159">
        <f t="shared" si="1241"/>
        <v>6.8014359999999996E-2</v>
      </c>
      <c r="J4819" s="160"/>
      <c r="K4819" s="161">
        <f t="shared" si="1242"/>
        <v>1348</v>
      </c>
      <c r="L4819" s="250">
        <v>1</v>
      </c>
      <c r="M4819" s="163"/>
      <c r="N4819" s="164"/>
      <c r="O4819" s="165">
        <f t="shared" si="1240"/>
        <v>0</v>
      </c>
      <c r="P4819" s="166"/>
      <c r="Q4819" s="166">
        <f t="shared" si="1239"/>
        <v>0</v>
      </c>
      <c r="R4819" s="71"/>
    </row>
    <row r="4820" spans="1:18" s="61" customFormat="1" x14ac:dyDescent="0.25">
      <c r="A4820" s="358"/>
      <c r="B4820" s="361"/>
      <c r="C4820" s="366"/>
      <c r="D4820" s="254" t="s">
        <v>421</v>
      </c>
      <c r="E4820" s="156" t="s">
        <v>28</v>
      </c>
      <c r="F4820" s="156" t="s">
        <v>28</v>
      </c>
      <c r="G4820" s="238">
        <f>MROUND(H4820*L4820*I4820/K4820,0.00000001)</f>
        <v>0</v>
      </c>
      <c r="H4820" s="158"/>
      <c r="I4820" s="159">
        <f t="shared" si="1241"/>
        <v>6.8014359999999996E-2</v>
      </c>
      <c r="J4820" s="160"/>
      <c r="K4820" s="161">
        <f t="shared" si="1242"/>
        <v>1348</v>
      </c>
      <c r="L4820" s="250">
        <v>1</v>
      </c>
      <c r="M4820" s="163"/>
      <c r="N4820" s="164"/>
      <c r="O4820" s="165">
        <f t="shared" si="1240"/>
        <v>0</v>
      </c>
      <c r="P4820" s="166"/>
      <c r="Q4820" s="166">
        <f t="shared" si="1239"/>
        <v>0</v>
      </c>
      <c r="R4820" s="71"/>
    </row>
    <row r="4821" spans="1:18" s="61" customFormat="1" ht="30" x14ac:dyDescent="0.25">
      <c r="A4821" s="358"/>
      <c r="B4821" s="361"/>
      <c r="C4821" s="366"/>
      <c r="D4821" s="254" t="s">
        <v>422</v>
      </c>
      <c r="E4821" s="156" t="s">
        <v>28</v>
      </c>
      <c r="F4821" s="156" t="s">
        <v>28</v>
      </c>
      <c r="G4821" s="266">
        <f>MROUND(H4821*L4821*I4821/K4821,0.00000001)</f>
        <v>0</v>
      </c>
      <c r="H4821" s="158"/>
      <c r="I4821" s="159">
        <f t="shared" si="1241"/>
        <v>6.8014359999999996E-2</v>
      </c>
      <c r="J4821" s="160"/>
      <c r="K4821" s="161">
        <f t="shared" si="1242"/>
        <v>1348</v>
      </c>
      <c r="L4821" s="250">
        <v>1</v>
      </c>
      <c r="M4821" s="163"/>
      <c r="N4821" s="164"/>
      <c r="O4821" s="165">
        <f t="shared" si="1240"/>
        <v>0</v>
      </c>
      <c r="P4821" s="166"/>
      <c r="Q4821" s="166">
        <f t="shared" si="1239"/>
        <v>0</v>
      </c>
      <c r="R4821" s="71"/>
    </row>
    <row r="4822" spans="1:18" s="61" customFormat="1" x14ac:dyDescent="0.25">
      <c r="A4822" s="358"/>
      <c r="B4822" s="361"/>
      <c r="C4822" s="366"/>
      <c r="D4822" s="254" t="s">
        <v>423</v>
      </c>
      <c r="E4822" s="156" t="s">
        <v>28</v>
      </c>
      <c r="F4822" s="156" t="s">
        <v>28</v>
      </c>
      <c r="G4822" s="238">
        <f>MROUND(H4822*L4822*I4822/K4822,0.000000001)</f>
        <v>0</v>
      </c>
      <c r="H4822" s="158"/>
      <c r="I4822" s="159">
        <f t="shared" si="1241"/>
        <v>6.8014359999999996E-2</v>
      </c>
      <c r="J4822" s="160"/>
      <c r="K4822" s="161">
        <f t="shared" si="1242"/>
        <v>1348</v>
      </c>
      <c r="L4822" s="250">
        <v>1</v>
      </c>
      <c r="M4822" s="163"/>
      <c r="N4822" s="164"/>
      <c r="O4822" s="165">
        <f t="shared" si="1240"/>
        <v>0</v>
      </c>
      <c r="P4822" s="166"/>
      <c r="Q4822" s="166">
        <f t="shared" si="1239"/>
        <v>0</v>
      </c>
      <c r="R4822" s="71"/>
    </row>
    <row r="4823" spans="1:18" s="61" customFormat="1" x14ac:dyDescent="0.25">
      <c r="A4823" s="358"/>
      <c r="B4823" s="361"/>
      <c r="C4823" s="366"/>
      <c r="D4823" s="254" t="s">
        <v>424</v>
      </c>
      <c r="E4823" s="156" t="s">
        <v>28</v>
      </c>
      <c r="F4823" s="156" t="s">
        <v>28</v>
      </c>
      <c r="G4823" s="238">
        <f t="shared" ref="G4823:G4829" si="1243">MROUND(H4823*L4823*I4823/K4823,0.00000001)</f>
        <v>0</v>
      </c>
      <c r="H4823" s="158"/>
      <c r="I4823" s="159">
        <f>I4812</f>
        <v>6.8014359999999996E-2</v>
      </c>
      <c r="J4823" s="160"/>
      <c r="K4823" s="161">
        <f>K4812</f>
        <v>1348</v>
      </c>
      <c r="L4823" s="250">
        <v>1</v>
      </c>
      <c r="M4823" s="163"/>
      <c r="N4823" s="164"/>
      <c r="O4823" s="165">
        <f t="shared" si="1240"/>
        <v>0</v>
      </c>
      <c r="P4823" s="166"/>
      <c r="Q4823" s="166">
        <f t="shared" si="1239"/>
        <v>0</v>
      </c>
      <c r="R4823" s="71"/>
    </row>
    <row r="4824" spans="1:18" s="61" customFormat="1" x14ac:dyDescent="0.25">
      <c r="A4824" s="358"/>
      <c r="B4824" s="361"/>
      <c r="C4824" s="366"/>
      <c r="D4824" s="254" t="s">
        <v>425</v>
      </c>
      <c r="E4824" s="156" t="s">
        <v>28</v>
      </c>
      <c r="F4824" s="156" t="s">
        <v>28</v>
      </c>
      <c r="G4824" s="277">
        <f t="shared" si="1243"/>
        <v>0</v>
      </c>
      <c r="H4824" s="158"/>
      <c r="I4824" s="159">
        <f t="shared" ref="I4824:I4829" si="1244">I4823</f>
        <v>6.8014359999999996E-2</v>
      </c>
      <c r="J4824" s="160"/>
      <c r="K4824" s="161">
        <f t="shared" ref="K4824:K4829" si="1245">K4823</f>
        <v>1348</v>
      </c>
      <c r="L4824" s="250">
        <v>1</v>
      </c>
      <c r="M4824" s="163"/>
      <c r="N4824" s="164"/>
      <c r="O4824" s="165">
        <f t="shared" si="1240"/>
        <v>0</v>
      </c>
      <c r="P4824" s="166"/>
      <c r="Q4824" s="166">
        <f t="shared" si="1239"/>
        <v>0</v>
      </c>
      <c r="R4824" s="71"/>
    </row>
    <row r="4825" spans="1:18" s="61" customFormat="1" x14ac:dyDescent="0.25">
      <c r="A4825" s="358"/>
      <c r="B4825" s="361"/>
      <c r="C4825" s="366"/>
      <c r="D4825" s="254" t="s">
        <v>108</v>
      </c>
      <c r="E4825" s="156" t="s">
        <v>28</v>
      </c>
      <c r="F4825" s="156" t="s">
        <v>28</v>
      </c>
      <c r="G4825" s="238">
        <f t="shared" si="1243"/>
        <v>0</v>
      </c>
      <c r="H4825" s="158"/>
      <c r="I4825" s="159">
        <f t="shared" si="1244"/>
        <v>6.8014359999999996E-2</v>
      </c>
      <c r="J4825" s="160"/>
      <c r="K4825" s="161">
        <f t="shared" si="1245"/>
        <v>1348</v>
      </c>
      <c r="L4825" s="250">
        <v>1</v>
      </c>
      <c r="M4825" s="163"/>
      <c r="N4825" s="164"/>
      <c r="O4825" s="165">
        <f t="shared" si="1240"/>
        <v>0</v>
      </c>
      <c r="P4825" s="166"/>
      <c r="Q4825" s="166">
        <f t="shared" si="1239"/>
        <v>0</v>
      </c>
      <c r="R4825" s="71"/>
    </row>
    <row r="4826" spans="1:18" s="61" customFormat="1" x14ac:dyDescent="0.25">
      <c r="A4826" s="358"/>
      <c r="B4826" s="361"/>
      <c r="C4826" s="366"/>
      <c r="D4826" s="254" t="s">
        <v>426</v>
      </c>
      <c r="E4826" s="156" t="s">
        <v>28</v>
      </c>
      <c r="F4826" s="156" t="s">
        <v>28</v>
      </c>
      <c r="G4826" s="238">
        <f t="shared" si="1243"/>
        <v>0</v>
      </c>
      <c r="H4826" s="158"/>
      <c r="I4826" s="159">
        <f t="shared" si="1244"/>
        <v>6.8014359999999996E-2</v>
      </c>
      <c r="J4826" s="160"/>
      <c r="K4826" s="161">
        <f t="shared" si="1245"/>
        <v>1348</v>
      </c>
      <c r="L4826" s="250">
        <v>1</v>
      </c>
      <c r="M4826" s="163"/>
      <c r="N4826" s="164"/>
      <c r="O4826" s="165">
        <f t="shared" si="1240"/>
        <v>0</v>
      </c>
      <c r="P4826" s="166"/>
      <c r="Q4826" s="166">
        <f t="shared" si="1239"/>
        <v>0</v>
      </c>
      <c r="R4826" s="71"/>
    </row>
    <row r="4827" spans="1:18" s="61" customFormat="1" x14ac:dyDescent="0.25">
      <c r="A4827" s="358"/>
      <c r="B4827" s="361"/>
      <c r="C4827" s="366"/>
      <c r="D4827" s="254" t="s">
        <v>427</v>
      </c>
      <c r="E4827" s="156" t="s">
        <v>28</v>
      </c>
      <c r="F4827" s="156" t="s">
        <v>28</v>
      </c>
      <c r="G4827" s="238">
        <f t="shared" si="1243"/>
        <v>0</v>
      </c>
      <c r="H4827" s="158"/>
      <c r="I4827" s="159">
        <f t="shared" si="1244"/>
        <v>6.8014359999999996E-2</v>
      </c>
      <c r="J4827" s="160"/>
      <c r="K4827" s="161">
        <f t="shared" si="1245"/>
        <v>1348</v>
      </c>
      <c r="L4827" s="250">
        <v>1</v>
      </c>
      <c r="M4827" s="163"/>
      <c r="N4827" s="164"/>
      <c r="O4827" s="165">
        <f t="shared" si="1240"/>
        <v>0</v>
      </c>
      <c r="P4827" s="166"/>
      <c r="Q4827" s="166">
        <f t="shared" si="1239"/>
        <v>0</v>
      </c>
      <c r="R4827" s="71"/>
    </row>
    <row r="4828" spans="1:18" s="61" customFormat="1" x14ac:dyDescent="0.25">
      <c r="A4828" s="358"/>
      <c r="B4828" s="361"/>
      <c r="C4828" s="366"/>
      <c r="D4828" s="254" t="s">
        <v>428</v>
      </c>
      <c r="E4828" s="156" t="s">
        <v>28</v>
      </c>
      <c r="F4828" s="156" t="s">
        <v>28</v>
      </c>
      <c r="G4828" s="238">
        <f t="shared" si="1243"/>
        <v>0</v>
      </c>
      <c r="H4828" s="158"/>
      <c r="I4828" s="159">
        <f t="shared" si="1244"/>
        <v>6.8014359999999996E-2</v>
      </c>
      <c r="J4828" s="160"/>
      <c r="K4828" s="161">
        <f t="shared" si="1245"/>
        <v>1348</v>
      </c>
      <c r="L4828" s="250">
        <v>1</v>
      </c>
      <c r="M4828" s="163"/>
      <c r="N4828" s="164"/>
      <c r="O4828" s="165">
        <f t="shared" si="1240"/>
        <v>0</v>
      </c>
      <c r="P4828" s="166"/>
      <c r="Q4828" s="166">
        <f t="shared" si="1239"/>
        <v>0</v>
      </c>
      <c r="R4828" s="71"/>
    </row>
    <row r="4829" spans="1:18" s="61" customFormat="1" x14ac:dyDescent="0.25">
      <c r="A4829" s="358"/>
      <c r="B4829" s="361"/>
      <c r="C4829" s="366"/>
      <c r="D4829" s="255" t="s">
        <v>429</v>
      </c>
      <c r="E4829" s="156" t="s">
        <v>28</v>
      </c>
      <c r="F4829" s="156" t="s">
        <v>28</v>
      </c>
      <c r="G4829" s="238">
        <f t="shared" si="1243"/>
        <v>0</v>
      </c>
      <c r="H4829" s="158"/>
      <c r="I4829" s="159">
        <f t="shared" si="1244"/>
        <v>6.8014359999999996E-2</v>
      </c>
      <c r="J4829" s="160"/>
      <c r="K4829" s="161">
        <f t="shared" si="1245"/>
        <v>1348</v>
      </c>
      <c r="L4829" s="250">
        <v>1</v>
      </c>
      <c r="M4829" s="163"/>
      <c r="N4829" s="164"/>
      <c r="O4829" s="165">
        <f t="shared" si="1240"/>
        <v>0</v>
      </c>
      <c r="P4829" s="166"/>
      <c r="Q4829" s="166">
        <f t="shared" si="1239"/>
        <v>0</v>
      </c>
      <c r="R4829" s="71"/>
    </row>
    <row r="4830" spans="1:18" s="62" customFormat="1" x14ac:dyDescent="0.25">
      <c r="A4830" s="358"/>
      <c r="B4830" s="361"/>
      <c r="C4830" s="249" t="s">
        <v>299</v>
      </c>
      <c r="D4830" s="256"/>
      <c r="E4830" s="240"/>
      <c r="F4830" s="240"/>
      <c r="G4830" s="227"/>
      <c r="H4830" s="241"/>
      <c r="I4830" s="206"/>
      <c r="J4830" s="228"/>
      <c r="K4830" s="207"/>
      <c r="L4830" s="257"/>
      <c r="M4830" s="209"/>
      <c r="N4830" s="210"/>
      <c r="O4830" s="198">
        <f>SUM(O4806:O4829)</f>
        <v>0</v>
      </c>
      <c r="P4830" s="267"/>
      <c r="Q4830" s="166"/>
      <c r="R4830" s="71"/>
    </row>
    <row r="4831" spans="1:18" s="61" customFormat="1" ht="110.25" x14ac:dyDescent="0.25">
      <c r="A4831" s="358"/>
      <c r="B4831" s="361"/>
      <c r="C4831" s="221" t="s">
        <v>82</v>
      </c>
      <c r="D4831" s="156" t="s">
        <v>46</v>
      </c>
      <c r="E4831" s="156" t="s">
        <v>54</v>
      </c>
      <c r="F4831" s="156" t="s">
        <v>285</v>
      </c>
      <c r="G4831" s="238">
        <f>MROUND(H4831*L4831*I4831/K4831,0.000001)</f>
        <v>0.57065500000000002</v>
      </c>
      <c r="H4831" s="242">
        <f>H4351</f>
        <v>1028.181818181818</v>
      </c>
      <c r="I4831" s="159">
        <f>I4829</f>
        <v>6.8014359999999996E-2</v>
      </c>
      <c r="J4831" s="160"/>
      <c r="K4831" s="161">
        <f>K4829</f>
        <v>1348</v>
      </c>
      <c r="L4831" s="225">
        <f>L4591</f>
        <v>11</v>
      </c>
      <c r="M4831" s="163" t="str">
        <f>CONCATENATE(H4831," ",F4831,"*",L4831,"автобуса","*",I4831,"/",K4831,"чел.")</f>
        <v>1028,18181818182 л бензина АИ 92 (12,5л/день(зимой)*20дней*7мес+10л/день(летом)*20дней*4мес)*11автобуса*0,06801436/1348чел.</v>
      </c>
      <c r="N4831" s="164">
        <f>N3511</f>
        <v>57.007000000000005</v>
      </c>
      <c r="O4831" s="165">
        <f>MROUND(G4831*N4831,0.000001)</f>
        <v>32.531329999999997</v>
      </c>
      <c r="P4831" s="166"/>
      <c r="Q4831" s="166">
        <f t="shared" ref="Q4831" si="1246">O4831*K4831</f>
        <v>43852.232839999997</v>
      </c>
      <c r="R4831" s="71"/>
    </row>
    <row r="4832" spans="1:18" s="62" customFormat="1" x14ac:dyDescent="0.25">
      <c r="A4832" s="358"/>
      <c r="B4832" s="361"/>
      <c r="C4832" s="218" t="s">
        <v>300</v>
      </c>
      <c r="D4832" s="240"/>
      <c r="E4832" s="240"/>
      <c r="F4832" s="240"/>
      <c r="G4832" s="227"/>
      <c r="H4832" s="241"/>
      <c r="I4832" s="206"/>
      <c r="J4832" s="228"/>
      <c r="K4832" s="207"/>
      <c r="L4832" s="257"/>
      <c r="M4832" s="209"/>
      <c r="N4832" s="210"/>
      <c r="O4832" s="198">
        <f>SUM(O4831)</f>
        <v>32.531329999999997</v>
      </c>
      <c r="P4832" s="267"/>
      <c r="Q4832" s="166"/>
      <c r="R4832" s="71"/>
    </row>
    <row r="4833" spans="1:18" s="61" customFormat="1" ht="47.25" x14ac:dyDescent="0.25">
      <c r="A4833" s="358"/>
      <c r="B4833" s="361"/>
      <c r="C4833" s="221" t="s">
        <v>434</v>
      </c>
      <c r="D4833" s="156" t="s">
        <v>436</v>
      </c>
      <c r="E4833" s="156" t="s">
        <v>28</v>
      </c>
      <c r="F4833" s="156" t="s">
        <v>437</v>
      </c>
      <c r="G4833" s="157">
        <f>MROUND(H4833*L4833*I4833/K4833,0.000001)</f>
        <v>1.4631999999999999E-2</v>
      </c>
      <c r="H4833" s="242">
        <f>$H$125</f>
        <v>290</v>
      </c>
      <c r="I4833" s="159">
        <f>I4831</f>
        <v>6.8014359999999996E-2</v>
      </c>
      <c r="J4833" s="160"/>
      <c r="K4833" s="161">
        <f>K4831</f>
        <v>1348</v>
      </c>
      <c r="L4833" s="162">
        <v>1</v>
      </c>
      <c r="M4833" s="163" t="str">
        <f>CONCATENATE(H4833," ",F4833,"*",L4833,"автобуса","*",I4833,"/",K4833,"чел.")</f>
        <v>290 огнетушителей (потребность учреждений) *1автобуса*0,06801436/1348чел.</v>
      </c>
      <c r="N4833" s="164">
        <f>$N$125</f>
        <v>2000</v>
      </c>
      <c r="O4833" s="165">
        <f>MROUND(G4833*N4833,0.000001)</f>
        <v>29.263999999999999</v>
      </c>
      <c r="P4833" s="166"/>
      <c r="Q4833" s="166">
        <f t="shared" ref="Q4833" si="1247">O4833*K4833</f>
        <v>39447.871999999996</v>
      </c>
      <c r="R4833" s="71"/>
    </row>
    <row r="4834" spans="1:18" s="61" customFormat="1" x14ac:dyDescent="0.25">
      <c r="A4834" s="358"/>
      <c r="B4834" s="361"/>
      <c r="C4834" s="218" t="s">
        <v>435</v>
      </c>
      <c r="D4834" s="240"/>
      <c r="E4834" s="240"/>
      <c r="F4834" s="240"/>
      <c r="G4834" s="251"/>
      <c r="H4834" s="241"/>
      <c r="I4834" s="206"/>
      <c r="J4834" s="228"/>
      <c r="K4834" s="207"/>
      <c r="L4834" s="229"/>
      <c r="M4834" s="209"/>
      <c r="N4834" s="210"/>
      <c r="O4834" s="198">
        <f>SUM(O4833)</f>
        <v>29.263999999999999</v>
      </c>
      <c r="P4834" s="166"/>
      <c r="Q4834" s="166"/>
      <c r="R4834" s="71"/>
    </row>
    <row r="4835" spans="1:18" s="61" customFormat="1" ht="47.25" x14ac:dyDescent="0.25">
      <c r="A4835" s="358"/>
      <c r="B4835" s="361"/>
      <c r="C4835" s="364" t="s">
        <v>118</v>
      </c>
      <c r="D4835" s="156" t="s">
        <v>47</v>
      </c>
      <c r="E4835" s="156" t="s">
        <v>28</v>
      </c>
      <c r="F4835" s="156" t="s">
        <v>239</v>
      </c>
      <c r="G4835" s="238">
        <f>MROUND(H4835*L4835*I4835/K4835,0.00000001)</f>
        <v>7.2656300000000004E-3</v>
      </c>
      <c r="H4835" s="158">
        <f>H3755</f>
        <v>144</v>
      </c>
      <c r="I4835" s="159">
        <f>I4831</f>
        <v>6.8014359999999996E-2</v>
      </c>
      <c r="J4835" s="160"/>
      <c r="K4835" s="161">
        <f>K4831</f>
        <v>1348</v>
      </c>
      <c r="L4835" s="250">
        <v>1</v>
      </c>
      <c r="M4835" s="163" t="str">
        <f>CONCATENATE(H4835," ",F4835,"*",I4835,"/",K4835,"чел.")</f>
        <v>144 манометров (потребность учреждений) *0,06801436/1348чел.</v>
      </c>
      <c r="N4835" s="164">
        <f>N3515</f>
        <v>720.50416666666672</v>
      </c>
      <c r="O4835" s="165">
        <f>MROUND(G4835*N4835,0.000001)</f>
        <v>5.2349169999999994</v>
      </c>
      <c r="P4835" s="166"/>
      <c r="Q4835" s="166">
        <f t="shared" ref="Q4835:Q4836" si="1248">O4835*K4835</f>
        <v>7056.6681159999989</v>
      </c>
      <c r="R4835" s="71"/>
    </row>
    <row r="4836" spans="1:18" s="61" customFormat="1" ht="47.25" x14ac:dyDescent="0.25">
      <c r="A4836" s="358"/>
      <c r="B4836" s="361"/>
      <c r="C4836" s="364"/>
      <c r="D4836" s="255" t="s">
        <v>113</v>
      </c>
      <c r="E4836" s="156" t="s">
        <v>28</v>
      </c>
      <c r="F4836" s="156" t="s">
        <v>240</v>
      </c>
      <c r="G4836" s="238">
        <f>MROUND(H4836*L4836*I4836/K4836,0.00000001)</f>
        <v>0.28835464999999999</v>
      </c>
      <c r="H4836" s="158">
        <f>H3516</f>
        <v>5715</v>
      </c>
      <c r="I4836" s="159">
        <f>I4835</f>
        <v>6.8014359999999996E-2</v>
      </c>
      <c r="J4836" s="160"/>
      <c r="K4836" s="161">
        <f>K4835</f>
        <v>1348</v>
      </c>
      <c r="L4836" s="250">
        <v>1</v>
      </c>
      <c r="M4836" s="163" t="str">
        <f>CONCATENATE(H4836," ",F4836,"*",I4836,"/",K4836,"чел.")</f>
        <v>5715 светильников (потребность учреждений)*0,06801436/1348чел.</v>
      </c>
      <c r="N4836" s="164">
        <f>N3516</f>
        <v>111.16365879265086</v>
      </c>
      <c r="O4836" s="165">
        <f>MROUND(G4836*N4836,0.000001)</f>
        <v>32.054558</v>
      </c>
      <c r="P4836" s="166"/>
      <c r="Q4836" s="166">
        <f t="shared" si="1248"/>
        <v>43209.544183999998</v>
      </c>
      <c r="R4836" s="71"/>
    </row>
    <row r="4837" spans="1:18" s="62" customFormat="1" x14ac:dyDescent="0.25">
      <c r="A4837" s="359"/>
      <c r="B4837" s="362"/>
      <c r="C4837" s="218" t="s">
        <v>301</v>
      </c>
      <c r="D4837" s="256"/>
      <c r="E4837" s="240"/>
      <c r="F4837" s="240"/>
      <c r="G4837" s="227"/>
      <c r="H4837" s="241"/>
      <c r="I4837" s="206"/>
      <c r="J4837" s="228"/>
      <c r="K4837" s="207"/>
      <c r="L4837" s="257"/>
      <c r="M4837" s="209"/>
      <c r="N4837" s="210"/>
      <c r="O4837" s="198">
        <f>SUM(O4835:O4836)</f>
        <v>37.289474999999996</v>
      </c>
      <c r="P4837" s="267"/>
      <c r="Q4837" s="166"/>
      <c r="R4837" s="71"/>
    </row>
    <row r="4838" spans="1:18" s="61" customFormat="1" x14ac:dyDescent="0.25">
      <c r="A4838" s="357" t="str">
        <f>CONCATENATE(школы!$B$19,", ",школы!$C$19,", ",школы!$D$19)</f>
        <v>Реализация основных общеобразовательных программ среднего общего образования, , дети-инвалиды</v>
      </c>
      <c r="B4838" s="360" t="str">
        <f>школы!$A$19</f>
        <v>802112О.99.0.ББ11АЭ08001</v>
      </c>
      <c r="C4838" s="194"/>
      <c r="D4838" s="363" t="s">
        <v>15</v>
      </c>
      <c r="E4838" s="363"/>
      <c r="F4838" s="363"/>
      <c r="G4838" s="363"/>
      <c r="H4838" s="195"/>
      <c r="I4838" s="195"/>
      <c r="J4838" s="195"/>
      <c r="K4838" s="195"/>
      <c r="L4838" s="196"/>
      <c r="M4838" s="197"/>
      <c r="N4838" s="164"/>
      <c r="O4838" s="198">
        <f>O4839+O4844+O4846</f>
        <v>9362.2845312459995</v>
      </c>
      <c r="P4838" s="166"/>
      <c r="Q4838" s="166"/>
      <c r="R4838" s="71"/>
    </row>
    <row r="4839" spans="1:18" s="61" customFormat="1" x14ac:dyDescent="0.25">
      <c r="A4839" s="358"/>
      <c r="B4839" s="361"/>
      <c r="C4839" s="194"/>
      <c r="D4839" s="350" t="s">
        <v>62</v>
      </c>
      <c r="E4839" s="350"/>
      <c r="F4839" s="350"/>
      <c r="G4839" s="350"/>
      <c r="H4839" s="195"/>
      <c r="I4839" s="195"/>
      <c r="J4839" s="195"/>
      <c r="K4839" s="195"/>
      <c r="L4839" s="196"/>
      <c r="M4839" s="197"/>
      <c r="N4839" s="164"/>
      <c r="O4839" s="165">
        <f>O4841+O4843</f>
        <v>9362.2845312459995</v>
      </c>
      <c r="P4839" s="166"/>
      <c r="Q4839" s="166"/>
      <c r="R4839" s="71"/>
    </row>
    <row r="4840" spans="1:18" s="61" customFormat="1" x14ac:dyDescent="0.25">
      <c r="A4840" s="358"/>
      <c r="B4840" s="361"/>
      <c r="C4840" s="194">
        <v>211</v>
      </c>
      <c r="D4840" s="194" t="s">
        <v>86</v>
      </c>
      <c r="E4840" s="199" t="s">
        <v>95</v>
      </c>
      <c r="F4840" s="199" t="s">
        <v>95</v>
      </c>
      <c r="G4840" s="275">
        <f>MROUND(H4840*L4840*I4840/K4840,0.0000000001)</f>
        <v>0.55812685500000003</v>
      </c>
      <c r="H4840" s="201">
        <f>H4000</f>
        <v>921.8</v>
      </c>
      <c r="I4840" s="159">
        <f>школы!$K$19</f>
        <v>4.0365000000000003E-4</v>
      </c>
      <c r="J4840" s="159"/>
      <c r="K4840" s="161">
        <f>школы!$G$19</f>
        <v>8</v>
      </c>
      <c r="L4840" s="202">
        <v>12</v>
      </c>
      <c r="M4840" s="163" t="str">
        <f>CONCATENATE(H4840," ",F4840," ","в мес.","*",L4840,"мес.","*",I4840,"/",K4840,"чел.")</f>
        <v>921,8 шт.ед в мес.*12мес.*0,00040365/8чел.</v>
      </c>
      <c r="N4840" s="164">
        <f>N4000</f>
        <v>12883.620739314385</v>
      </c>
      <c r="O4840" s="165">
        <f>MROUND(G4840*N4840,0.000000001)</f>
        <v>7190.6947242460001</v>
      </c>
      <c r="P4840" s="166"/>
      <c r="Q4840" s="166">
        <f t="shared" ref="Q4840" si="1249">O4840*K4840</f>
        <v>57525.557793968001</v>
      </c>
      <c r="R4840" s="71"/>
    </row>
    <row r="4841" spans="1:18" s="62" customFormat="1" x14ac:dyDescent="0.25">
      <c r="A4841" s="358"/>
      <c r="B4841" s="361"/>
      <c r="C4841" s="203" t="s">
        <v>288</v>
      </c>
      <c r="D4841" s="203"/>
      <c r="E4841" s="204"/>
      <c r="F4841" s="204"/>
      <c r="G4841" s="205"/>
      <c r="H4841" s="206"/>
      <c r="I4841" s="206"/>
      <c r="J4841" s="206"/>
      <c r="K4841" s="207"/>
      <c r="L4841" s="208"/>
      <c r="M4841" s="209"/>
      <c r="N4841" s="210">
        <f>N4840</f>
        <v>12883.620739314385</v>
      </c>
      <c r="O4841" s="198">
        <f>O4840</f>
        <v>7190.6947242460001</v>
      </c>
      <c r="P4841" s="267"/>
      <c r="Q4841" s="166"/>
      <c r="R4841" s="71"/>
    </row>
    <row r="4842" spans="1:18" s="61" customFormat="1" x14ac:dyDescent="0.25">
      <c r="A4842" s="358"/>
      <c r="B4842" s="361"/>
      <c r="C4842" s="194">
        <v>213</v>
      </c>
      <c r="D4842" s="194" t="s">
        <v>87</v>
      </c>
      <c r="E4842" s="194" t="s">
        <v>88</v>
      </c>
      <c r="F4842" s="194"/>
      <c r="G4842" s="211">
        <v>30.2</v>
      </c>
      <c r="H4842" s="159"/>
      <c r="I4842" s="159"/>
      <c r="J4842" s="159"/>
      <c r="K4842" s="161">
        <f>K4840</f>
        <v>8</v>
      </c>
      <c r="L4842" s="202"/>
      <c r="M4842" s="212"/>
      <c r="N4842" s="164"/>
      <c r="O4842" s="165">
        <f>MROUND(O4840*0.302,0.000001)</f>
        <v>2171.5898069999998</v>
      </c>
      <c r="P4842" s="166"/>
      <c r="Q4842" s="166">
        <f>O4842*K4842</f>
        <v>17372.718455999999</v>
      </c>
      <c r="R4842" s="71"/>
    </row>
    <row r="4843" spans="1:18" s="62" customFormat="1" x14ac:dyDescent="0.25">
      <c r="A4843" s="358"/>
      <c r="B4843" s="361"/>
      <c r="C4843" s="203" t="s">
        <v>289</v>
      </c>
      <c r="D4843" s="203"/>
      <c r="E4843" s="203"/>
      <c r="F4843" s="203"/>
      <c r="G4843" s="213"/>
      <c r="H4843" s="214"/>
      <c r="I4843" s="206"/>
      <c r="J4843" s="214"/>
      <c r="K4843" s="207"/>
      <c r="L4843" s="215"/>
      <c r="M4843" s="216"/>
      <c r="N4843" s="210"/>
      <c r="O4843" s="198">
        <f>O4842</f>
        <v>2171.5898069999998</v>
      </c>
      <c r="P4843" s="267"/>
      <c r="Q4843" s="166"/>
      <c r="R4843" s="71"/>
    </row>
    <row r="4844" spans="1:18" s="61" customFormat="1" x14ac:dyDescent="0.25">
      <c r="A4844" s="358"/>
      <c r="B4844" s="361"/>
      <c r="C4844" s="194"/>
      <c r="D4844" s="356" t="s">
        <v>63</v>
      </c>
      <c r="E4844" s="356"/>
      <c r="F4844" s="356"/>
      <c r="G4844" s="356"/>
      <c r="H4844" s="195"/>
      <c r="I4844" s="159"/>
      <c r="J4844" s="195"/>
      <c r="K4844" s="161"/>
      <c r="L4844" s="196"/>
      <c r="M4844" s="197"/>
      <c r="N4844" s="164"/>
      <c r="O4844" s="165"/>
      <c r="P4844" s="166"/>
      <c r="Q4844" s="166"/>
      <c r="R4844" s="71"/>
    </row>
    <row r="4845" spans="1:18" s="61" customFormat="1" x14ac:dyDescent="0.25">
      <c r="A4845" s="358"/>
      <c r="B4845" s="361"/>
      <c r="C4845" s="194"/>
      <c r="D4845" s="194"/>
      <c r="E4845" s="194"/>
      <c r="F4845" s="194"/>
      <c r="G4845" s="217"/>
      <c r="H4845" s="195"/>
      <c r="I4845" s="159"/>
      <c r="J4845" s="195"/>
      <c r="K4845" s="161"/>
      <c r="L4845" s="196"/>
      <c r="M4845" s="197"/>
      <c r="N4845" s="164"/>
      <c r="O4845" s="165"/>
      <c r="P4845" s="166"/>
      <c r="Q4845" s="166"/>
      <c r="R4845" s="71"/>
    </row>
    <row r="4846" spans="1:18" s="61" customFormat="1" x14ac:dyDescent="0.25">
      <c r="A4846" s="358"/>
      <c r="B4846" s="361"/>
      <c r="C4846" s="194"/>
      <c r="D4846" s="350" t="s">
        <v>64</v>
      </c>
      <c r="E4846" s="350"/>
      <c r="F4846" s="350"/>
      <c r="G4846" s="350"/>
      <c r="H4846" s="195"/>
      <c r="I4846" s="159"/>
      <c r="J4846" s="195"/>
      <c r="K4846" s="161"/>
      <c r="L4846" s="196"/>
      <c r="M4846" s="197"/>
      <c r="N4846" s="164"/>
      <c r="O4846" s="165"/>
      <c r="P4846" s="166"/>
      <c r="Q4846" s="166"/>
      <c r="R4846" s="71"/>
    </row>
    <row r="4847" spans="1:18" s="61" customFormat="1" x14ac:dyDescent="0.25">
      <c r="A4847" s="358"/>
      <c r="B4847" s="361"/>
      <c r="C4847" s="194"/>
      <c r="D4847" s="194"/>
      <c r="E4847" s="194"/>
      <c r="F4847" s="194"/>
      <c r="G4847" s="217"/>
      <c r="H4847" s="195"/>
      <c r="I4847" s="159"/>
      <c r="J4847" s="195"/>
      <c r="K4847" s="161"/>
      <c r="L4847" s="196"/>
      <c r="M4847" s="197"/>
      <c r="N4847" s="164"/>
      <c r="O4847" s="165"/>
      <c r="P4847" s="166"/>
      <c r="Q4847" s="166"/>
      <c r="R4847" s="71"/>
    </row>
    <row r="4848" spans="1:18" s="61" customFormat="1" x14ac:dyDescent="0.25">
      <c r="A4848" s="358"/>
      <c r="B4848" s="361"/>
      <c r="C4848" s="194"/>
      <c r="D4848" s="355" t="s">
        <v>5</v>
      </c>
      <c r="E4848" s="355"/>
      <c r="F4848" s="355"/>
      <c r="G4848" s="355"/>
      <c r="H4848" s="195"/>
      <c r="I4848" s="159"/>
      <c r="J4848" s="195"/>
      <c r="K4848" s="161"/>
      <c r="L4848" s="196"/>
      <c r="M4848" s="197"/>
      <c r="N4848" s="164"/>
      <c r="O4848" s="198">
        <f>O4849+O4859+O4870+O4872+O4874+O4876+O4878</f>
        <v>19877.695821375</v>
      </c>
      <c r="P4848" s="166"/>
      <c r="Q4848" s="166"/>
      <c r="R4848" s="71"/>
    </row>
    <row r="4849" spans="1:18" s="61" customFormat="1" x14ac:dyDescent="0.25">
      <c r="A4849" s="358"/>
      <c r="B4849" s="361"/>
      <c r="C4849" s="218" t="s">
        <v>70</v>
      </c>
      <c r="D4849" s="355" t="s">
        <v>6</v>
      </c>
      <c r="E4849" s="355"/>
      <c r="F4849" s="355"/>
      <c r="G4849" s="355"/>
      <c r="H4849" s="189"/>
      <c r="I4849" s="159"/>
      <c r="J4849" s="189"/>
      <c r="K4849" s="161"/>
      <c r="L4849" s="190"/>
      <c r="M4849" s="197"/>
      <c r="N4849" s="210"/>
      <c r="O4849" s="198">
        <f>O4858</f>
        <v>9130.4645255699998</v>
      </c>
      <c r="P4849" s="166"/>
      <c r="Q4849" s="166"/>
      <c r="R4849" s="71"/>
    </row>
    <row r="4850" spans="1:18" s="61" customFormat="1" ht="31.5" x14ac:dyDescent="0.25">
      <c r="A4850" s="358"/>
      <c r="B4850" s="361"/>
      <c r="C4850" s="221" t="s">
        <v>72</v>
      </c>
      <c r="D4850" s="222" t="s">
        <v>7</v>
      </c>
      <c r="E4850" s="223" t="s">
        <v>8</v>
      </c>
      <c r="F4850" s="223" t="s">
        <v>8</v>
      </c>
      <c r="G4850" s="238">
        <f>MROUND(H4850*L4850*I4850/K4850,0.00000000001)</f>
        <v>167.16768297243999</v>
      </c>
      <c r="H4850" s="160">
        <f>H4130</f>
        <v>3313121.4264326878</v>
      </c>
      <c r="I4850" s="159">
        <f>I4840</f>
        <v>4.0365000000000003E-4</v>
      </c>
      <c r="J4850" s="160"/>
      <c r="K4850" s="161">
        <f>K4840</f>
        <v>8</v>
      </c>
      <c r="L4850" s="250">
        <v>1</v>
      </c>
      <c r="M4850" s="163" t="str">
        <f t="shared" ref="M4850:M4855" si="1250">CONCATENATE(H4850," ",F4850,"(лимиты выделенные УЖКХ) ","*",I4850,"/",K4850,"чел.")</f>
        <v>3313121,42643269 кВт час.(лимиты выделенные УЖКХ) *0,00040365/8чел.</v>
      </c>
      <c r="N4850" s="164">
        <f>N4130</f>
        <v>10.897694685122204</v>
      </c>
      <c r="O4850" s="165">
        <f t="shared" ref="O4850:O4853" si="1251">MROUND(G4850*N4850,0.000001)</f>
        <v>1821.7423699999999</v>
      </c>
      <c r="P4850" s="166"/>
      <c r="Q4850" s="166">
        <f t="shared" ref="Q4850:Q4857" si="1252">O4850*K4850</f>
        <v>14573.938959999999</v>
      </c>
      <c r="R4850" s="71"/>
    </row>
    <row r="4851" spans="1:18" s="61" customFormat="1" ht="31.5" x14ac:dyDescent="0.25">
      <c r="A4851" s="358"/>
      <c r="B4851" s="361"/>
      <c r="C4851" s="221" t="s">
        <v>73</v>
      </c>
      <c r="D4851" s="222" t="s">
        <v>9</v>
      </c>
      <c r="E4851" s="223" t="s">
        <v>10</v>
      </c>
      <c r="F4851" s="223" t="s">
        <v>10</v>
      </c>
      <c r="G4851" s="238">
        <f>MROUND(H4851*L4851*I4851/K4851,0.00000000001)</f>
        <v>1.6094226841899999</v>
      </c>
      <c r="H4851" s="160">
        <f>H3771</f>
        <v>31897.39</v>
      </c>
      <c r="I4851" s="159">
        <f t="shared" ref="I4851:I4903" si="1253">I4850</f>
        <v>4.0365000000000003E-4</v>
      </c>
      <c r="J4851" s="160"/>
      <c r="K4851" s="161">
        <f t="shared" ref="K4851:K4857" si="1254">K4850</f>
        <v>8</v>
      </c>
      <c r="L4851" s="250">
        <v>1</v>
      </c>
      <c r="M4851" s="163" t="str">
        <f t="shared" si="1250"/>
        <v>31897,39 Гкал(лимиты выделенные УЖКХ) *0,00040365/8чел.</v>
      </c>
      <c r="N4851" s="164">
        <f>N3771</f>
        <v>2976.2517908205036</v>
      </c>
      <c r="O4851" s="165">
        <f t="shared" si="1251"/>
        <v>4790.0471459999999</v>
      </c>
      <c r="P4851" s="166"/>
      <c r="Q4851" s="166">
        <f t="shared" si="1252"/>
        <v>38320.377167999999</v>
      </c>
      <c r="R4851" s="71"/>
    </row>
    <row r="4852" spans="1:18" s="61" customFormat="1" ht="31.5" x14ac:dyDescent="0.25">
      <c r="A4852" s="358"/>
      <c r="B4852" s="361"/>
      <c r="C4852" s="364" t="s">
        <v>74</v>
      </c>
      <c r="D4852" s="222" t="s">
        <v>12</v>
      </c>
      <c r="E4852" s="222" t="s">
        <v>11</v>
      </c>
      <c r="F4852" s="222" t="s">
        <v>11</v>
      </c>
      <c r="G4852" s="238">
        <f>MROUND(H4852*L4852*I4852/K4852,0.00000000001)</f>
        <v>9.3205393588099987</v>
      </c>
      <c r="H4852" s="224">
        <f>H3412</f>
        <v>184725.17</v>
      </c>
      <c r="I4852" s="159">
        <f t="shared" si="1253"/>
        <v>4.0365000000000003E-4</v>
      </c>
      <c r="J4852" s="160"/>
      <c r="K4852" s="161">
        <f t="shared" si="1254"/>
        <v>8</v>
      </c>
      <c r="L4852" s="250">
        <v>1</v>
      </c>
      <c r="M4852" s="163" t="str">
        <f t="shared" si="1250"/>
        <v>184725,17 м3(лимиты выделенные УЖКХ) *0,00040365/8чел.</v>
      </c>
      <c r="N4852" s="164">
        <f>N3412</f>
        <v>54.214180016724306</v>
      </c>
      <c r="O4852" s="165">
        <f t="shared" si="1251"/>
        <v>505.30539899999997</v>
      </c>
      <c r="P4852" s="166"/>
      <c r="Q4852" s="166">
        <f t="shared" si="1252"/>
        <v>4042.4431919999997</v>
      </c>
      <c r="R4852" s="71"/>
    </row>
    <row r="4853" spans="1:18" s="61" customFormat="1" ht="47.25" x14ac:dyDescent="0.25">
      <c r="A4853" s="358"/>
      <c r="B4853" s="361"/>
      <c r="C4853" s="364"/>
      <c r="D4853" s="222" t="s">
        <v>17</v>
      </c>
      <c r="E4853" s="222" t="s">
        <v>11</v>
      </c>
      <c r="F4853" s="222" t="s">
        <v>11</v>
      </c>
      <c r="G4853" s="238">
        <f>MROUND(H4853*L4853*I4853/K4853,0.00000000001)</f>
        <v>9.3205393588099987</v>
      </c>
      <c r="H4853" s="160">
        <f>H3773</f>
        <v>184725.17</v>
      </c>
      <c r="I4853" s="159">
        <f t="shared" si="1253"/>
        <v>4.0365000000000003E-4</v>
      </c>
      <c r="J4853" s="160"/>
      <c r="K4853" s="161">
        <f t="shared" si="1254"/>
        <v>8</v>
      </c>
      <c r="L4853" s="162">
        <f>$L$25</f>
        <v>1</v>
      </c>
      <c r="M4853" s="163" t="str">
        <f t="shared" si="1250"/>
        <v>184725,17 м3(лимиты выделенные УЖКХ) *0,00040365/8чел.</v>
      </c>
      <c r="N4853" s="164">
        <f>N3413</f>
        <v>82.384170780821918</v>
      </c>
      <c r="O4853" s="165">
        <f t="shared" si="1251"/>
        <v>767.86490600000002</v>
      </c>
      <c r="P4853" s="166"/>
      <c r="Q4853" s="166">
        <f t="shared" si="1252"/>
        <v>6142.9192480000002</v>
      </c>
      <c r="R4853" s="71"/>
    </row>
    <row r="4854" spans="1:18" s="61" customFormat="1" ht="31.5" x14ac:dyDescent="0.25">
      <c r="A4854" s="358"/>
      <c r="B4854" s="361"/>
      <c r="C4854" s="364"/>
      <c r="D4854" s="222" t="s">
        <v>13</v>
      </c>
      <c r="E4854" s="222" t="s">
        <v>11</v>
      </c>
      <c r="F4854" s="222" t="s">
        <v>11</v>
      </c>
      <c r="G4854" s="238">
        <f>MROUND(H4854*L4854*I4854/K4854,0.00000000001)</f>
        <v>9.3205393588099987</v>
      </c>
      <c r="H4854" s="160">
        <f>H3414</f>
        <v>184725.17</v>
      </c>
      <c r="I4854" s="159">
        <f t="shared" si="1253"/>
        <v>4.0365000000000003E-4</v>
      </c>
      <c r="J4854" s="160"/>
      <c r="K4854" s="161">
        <f t="shared" si="1254"/>
        <v>8</v>
      </c>
      <c r="L4854" s="162">
        <v>1</v>
      </c>
      <c r="M4854" s="163" t="str">
        <f t="shared" si="1250"/>
        <v>184725,17 м3(лимиты выделенные УЖКХ) *0,00040365/8чел.</v>
      </c>
      <c r="N4854" s="164">
        <f>N3414</f>
        <v>112.36110334722464</v>
      </c>
      <c r="O4854" s="165">
        <f>MROUND(G4854*N4854,0.00000001)</f>
        <v>1047.2660861500001</v>
      </c>
      <c r="P4854" s="166"/>
      <c r="Q4854" s="166">
        <f t="shared" si="1252"/>
        <v>8378.1286892000007</v>
      </c>
      <c r="R4854" s="71"/>
    </row>
    <row r="4855" spans="1:18" s="61" customFormat="1" ht="31.5" x14ac:dyDescent="0.25">
      <c r="A4855" s="358"/>
      <c r="B4855" s="361"/>
      <c r="C4855" s="221" t="s">
        <v>75</v>
      </c>
      <c r="D4855" s="222" t="s">
        <v>18</v>
      </c>
      <c r="E4855" s="222" t="s">
        <v>48</v>
      </c>
      <c r="F4855" s="222" t="s">
        <v>48</v>
      </c>
      <c r="G4855" s="238">
        <f>MROUND(H4855*L4855*I4855/K4855,0.0000000001)</f>
        <v>0.70071621750000002</v>
      </c>
      <c r="H4855" s="160">
        <f>H3415</f>
        <v>13887.6</v>
      </c>
      <c r="I4855" s="159">
        <f t="shared" si="1253"/>
        <v>4.0365000000000003E-4</v>
      </c>
      <c r="J4855" s="160"/>
      <c r="K4855" s="161">
        <f t="shared" si="1254"/>
        <v>8</v>
      </c>
      <c r="L4855" s="250">
        <v>1</v>
      </c>
      <c r="M4855" s="163" t="str">
        <f t="shared" si="1250"/>
        <v>13887,6 тыс. м3(лимиты выделенные УЖКХ) *0,00040365/8чел.</v>
      </c>
      <c r="N4855" s="164">
        <f>N3415</f>
        <v>30.576235634666901</v>
      </c>
      <c r="O4855" s="165">
        <f t="shared" ref="O4855" si="1255">MROUND(G4855*N4855,0.000001)</f>
        <v>21.425263999999999</v>
      </c>
      <c r="P4855" s="166"/>
      <c r="Q4855" s="166">
        <f t="shared" si="1252"/>
        <v>171.40211199999999</v>
      </c>
      <c r="R4855" s="71"/>
    </row>
    <row r="4856" spans="1:18" s="61" customFormat="1" x14ac:dyDescent="0.25">
      <c r="A4856" s="358"/>
      <c r="B4856" s="361"/>
      <c r="C4856" s="364" t="s">
        <v>216</v>
      </c>
      <c r="D4856" s="222" t="s">
        <v>23</v>
      </c>
      <c r="E4856" s="222" t="s">
        <v>11</v>
      </c>
      <c r="F4856" s="222" t="s">
        <v>11</v>
      </c>
      <c r="G4856" s="238">
        <f>MROUND(H4856*L4856*I4856/K4856,0.000000000001)</f>
        <v>0.16996894199999998</v>
      </c>
      <c r="H4856" s="160">
        <f>H3416</f>
        <v>3368.6400000000003</v>
      </c>
      <c r="I4856" s="159">
        <f t="shared" si="1253"/>
        <v>4.0365000000000003E-4</v>
      </c>
      <c r="J4856" s="160"/>
      <c r="K4856" s="161">
        <f t="shared" si="1254"/>
        <v>8</v>
      </c>
      <c r="L4856" s="162">
        <f>L4855</f>
        <v>1</v>
      </c>
      <c r="M4856" s="163" t="str">
        <f>CONCATENATE(H4856," ",F4856," ","*",I4856,"/",K4856,"чел.")</f>
        <v>3368,64 м3 *0,00040365/8чел.</v>
      </c>
      <c r="N4856" s="164">
        <f>N3416</f>
        <v>776.35552626579261</v>
      </c>
      <c r="O4856" s="165">
        <f>MROUND(G4856*N4856,0.00000001)</f>
        <v>131.95632742000001</v>
      </c>
      <c r="P4856" s="166"/>
      <c r="Q4856" s="166">
        <f t="shared" si="1252"/>
        <v>1055.6506193600001</v>
      </c>
      <c r="R4856" s="71"/>
    </row>
    <row r="4857" spans="1:18" s="61" customFormat="1" ht="47.25" x14ac:dyDescent="0.25">
      <c r="A4857" s="358"/>
      <c r="B4857" s="361"/>
      <c r="C4857" s="364"/>
      <c r="D4857" s="222" t="s">
        <v>24</v>
      </c>
      <c r="E4857" s="222" t="s">
        <v>25</v>
      </c>
      <c r="F4857" s="222" t="s">
        <v>217</v>
      </c>
      <c r="G4857" s="238">
        <f>MROUND(H4857*L4857*I4857/K4857,0.000000000001)</f>
        <v>7.4170687500000002E-3</v>
      </c>
      <c r="H4857" s="160">
        <f>H4137</f>
        <v>147</v>
      </c>
      <c r="I4857" s="159">
        <f t="shared" si="1253"/>
        <v>4.0365000000000003E-4</v>
      </c>
      <c r="J4857" s="160"/>
      <c r="K4857" s="161">
        <f t="shared" si="1254"/>
        <v>8</v>
      </c>
      <c r="L4857" s="250">
        <f>L4856</f>
        <v>1</v>
      </c>
      <c r="M4857" s="163" t="str">
        <f>CONCATENATE(H4857," ",F4857,"(потребность из расчета 4 контейнера для уборки территории весной и осенью на 1 учреждение)","*",I4857,"/",K4857,"чел.")</f>
        <v>147 контейнера(потребность из расчета 4 контейнера для уборки территории весной и осенью на 1 учреждение)*0,00040365/8чел.</v>
      </c>
      <c r="N4857" s="164">
        <f>N4137</f>
        <v>6047.8105442176911</v>
      </c>
      <c r="O4857" s="165">
        <f t="shared" ref="O4857" si="1256">MROUND(G4857*N4857,0.000001)</f>
        <v>44.857026999999995</v>
      </c>
      <c r="P4857" s="166"/>
      <c r="Q4857" s="166">
        <f t="shared" si="1252"/>
        <v>358.85621599999996</v>
      </c>
      <c r="R4857" s="71"/>
    </row>
    <row r="4858" spans="1:18" s="62" customFormat="1" x14ac:dyDescent="0.25">
      <c r="A4858" s="358"/>
      <c r="B4858" s="361"/>
      <c r="C4858" s="218" t="s">
        <v>290</v>
      </c>
      <c r="D4858" s="226"/>
      <c r="E4858" s="226"/>
      <c r="F4858" s="226"/>
      <c r="G4858" s="227"/>
      <c r="H4858" s="228"/>
      <c r="I4858" s="206"/>
      <c r="J4858" s="228"/>
      <c r="K4858" s="207"/>
      <c r="L4858" s="257"/>
      <c r="M4858" s="209"/>
      <c r="N4858" s="210"/>
      <c r="O4858" s="198">
        <f>SUM(O4850:O4857)</f>
        <v>9130.4645255699998</v>
      </c>
      <c r="P4858" s="267"/>
      <c r="Q4858" s="166"/>
      <c r="R4858" s="71"/>
    </row>
    <row r="4859" spans="1:18" s="61" customFormat="1" x14ac:dyDescent="0.25">
      <c r="A4859" s="358"/>
      <c r="B4859" s="361"/>
      <c r="C4859" s="221"/>
      <c r="D4859" s="356" t="s">
        <v>14</v>
      </c>
      <c r="E4859" s="356"/>
      <c r="F4859" s="356"/>
      <c r="G4859" s="356"/>
      <c r="H4859" s="188"/>
      <c r="I4859" s="159"/>
      <c r="J4859" s="188"/>
      <c r="K4859" s="161"/>
      <c r="L4859" s="250"/>
      <c r="M4859" s="230"/>
      <c r="N4859" s="164"/>
      <c r="O4859" s="198">
        <f>O4867+O4868+O4863</f>
        <v>9553.1976692850003</v>
      </c>
      <c r="P4859" s="166"/>
      <c r="Q4859" s="166"/>
      <c r="R4859" s="71"/>
    </row>
    <row r="4860" spans="1:18" s="61" customFormat="1" x14ac:dyDescent="0.25">
      <c r="A4860" s="358"/>
      <c r="B4860" s="361"/>
      <c r="C4860" s="221" t="s">
        <v>379</v>
      </c>
      <c r="D4860" s="231" t="s">
        <v>49</v>
      </c>
      <c r="E4860" s="231" t="s">
        <v>22</v>
      </c>
      <c r="F4860" s="231" t="s">
        <v>22</v>
      </c>
      <c r="G4860" s="238">
        <f>MROUND(H4860*L4860*I4860/K4860,0.000000001)</f>
        <v>0</v>
      </c>
      <c r="H4860" s="160"/>
      <c r="I4860" s="159">
        <f>I4855</f>
        <v>4.0365000000000003E-4</v>
      </c>
      <c r="J4860" s="160"/>
      <c r="K4860" s="161">
        <f>K4855</f>
        <v>8</v>
      </c>
      <c r="L4860" s="250"/>
      <c r="M4860" s="163"/>
      <c r="N4860" s="164"/>
      <c r="O4860" s="165">
        <f>MROUND(G4860*N4860,0.00000001)</f>
        <v>0</v>
      </c>
      <c r="P4860" s="166"/>
      <c r="Q4860" s="166">
        <f t="shared" ref="Q4860:Q4862" si="1257">O4860*K4860</f>
        <v>0</v>
      </c>
      <c r="R4860" s="71"/>
    </row>
    <row r="4861" spans="1:18" s="61" customFormat="1" x14ac:dyDescent="0.25">
      <c r="A4861" s="358"/>
      <c r="B4861" s="361"/>
      <c r="C4861" s="221" t="s">
        <v>379</v>
      </c>
      <c r="D4861" s="231" t="s">
        <v>49</v>
      </c>
      <c r="E4861" s="231" t="s">
        <v>28</v>
      </c>
      <c r="F4861" s="231" t="s">
        <v>28</v>
      </c>
      <c r="G4861" s="238">
        <f>MROUND(H4861*L4861*I4861/K4861,0.000000000000001)</f>
        <v>0</v>
      </c>
      <c r="H4861" s="160"/>
      <c r="I4861" s="159">
        <f t="shared" si="1253"/>
        <v>4.0365000000000003E-4</v>
      </c>
      <c r="J4861" s="160"/>
      <c r="K4861" s="161">
        <f>K4860</f>
        <v>8</v>
      </c>
      <c r="L4861" s="250">
        <v>1</v>
      </c>
      <c r="M4861" s="163"/>
      <c r="N4861" s="164"/>
      <c r="O4861" s="165">
        <f>MROUND(G4861*N4861,0.00000001)</f>
        <v>0</v>
      </c>
      <c r="P4861" s="166"/>
      <c r="Q4861" s="166">
        <f t="shared" si="1257"/>
        <v>0</v>
      </c>
      <c r="R4861" s="71"/>
    </row>
    <row r="4862" spans="1:18" s="61" customFormat="1" x14ac:dyDescent="0.25">
      <c r="A4862" s="358"/>
      <c r="B4862" s="361"/>
      <c r="C4862" s="221" t="s">
        <v>379</v>
      </c>
      <c r="D4862" s="231" t="s">
        <v>49</v>
      </c>
      <c r="E4862" s="231" t="s">
        <v>101</v>
      </c>
      <c r="F4862" s="231" t="s">
        <v>101</v>
      </c>
      <c r="G4862" s="238">
        <f>MROUND(H4862*L4862*I4862/K4862,0.000000001)</f>
        <v>0</v>
      </c>
      <c r="H4862" s="160"/>
      <c r="I4862" s="159">
        <f t="shared" si="1253"/>
        <v>4.0365000000000003E-4</v>
      </c>
      <c r="J4862" s="160"/>
      <c r="K4862" s="161">
        <f>K4861</f>
        <v>8</v>
      </c>
      <c r="L4862" s="250"/>
      <c r="M4862" s="163"/>
      <c r="N4862" s="164"/>
      <c r="O4862" s="165">
        <f>MROUND(G4862*N4862,0.00000001)</f>
        <v>0</v>
      </c>
      <c r="P4862" s="166"/>
      <c r="Q4862" s="166">
        <f t="shared" si="1257"/>
        <v>0</v>
      </c>
      <c r="R4862" s="71"/>
    </row>
    <row r="4863" spans="1:18" s="62" customFormat="1" x14ac:dyDescent="0.25">
      <c r="A4863" s="358"/>
      <c r="B4863" s="361"/>
      <c r="C4863" s="218" t="s">
        <v>380</v>
      </c>
      <c r="D4863" s="232"/>
      <c r="E4863" s="232"/>
      <c r="F4863" s="232"/>
      <c r="G4863" s="227"/>
      <c r="H4863" s="228"/>
      <c r="I4863" s="206"/>
      <c r="J4863" s="228"/>
      <c r="K4863" s="207"/>
      <c r="L4863" s="257"/>
      <c r="M4863" s="209"/>
      <c r="N4863" s="210"/>
      <c r="O4863" s="198">
        <f>SUM(O4860:O4862)</f>
        <v>0</v>
      </c>
      <c r="P4863" s="267"/>
      <c r="Q4863" s="166"/>
      <c r="R4863" s="71"/>
    </row>
    <row r="4864" spans="1:18" s="61" customFormat="1" x14ac:dyDescent="0.25">
      <c r="A4864" s="358"/>
      <c r="B4864" s="361"/>
      <c r="C4864" s="221" t="s">
        <v>76</v>
      </c>
      <c r="D4864" s="231" t="s">
        <v>49</v>
      </c>
      <c r="E4864" s="231" t="s">
        <v>22</v>
      </c>
      <c r="F4864" s="231" t="s">
        <v>22</v>
      </c>
      <c r="G4864" s="238">
        <f>MROUND(H4864*L4864*I4864/K4864,0.000000000000001)</f>
        <v>61.759941991312509</v>
      </c>
      <c r="H4864" s="160">
        <f>H4024</f>
        <v>1224029.57</v>
      </c>
      <c r="I4864" s="159">
        <f>I4860</f>
        <v>4.0365000000000003E-4</v>
      </c>
      <c r="J4864" s="160"/>
      <c r="K4864" s="161">
        <f>K4862</f>
        <v>8</v>
      </c>
      <c r="L4864" s="250">
        <v>1</v>
      </c>
      <c r="M4864" s="163" t="str">
        <f>CONCATENATE(H4864," ",F4864,"*",I4864,"/",K4864,"чел.")</f>
        <v>1224029,57 м2*0,00040365/8чел.</v>
      </c>
      <c r="N4864" s="164">
        <f>N4024</f>
        <v>37.50494361014497</v>
      </c>
      <c r="O4864" s="165">
        <f>MROUND(G4864*N4864,0.00000000001)</f>
        <v>2316.3031417499997</v>
      </c>
      <c r="P4864" s="166"/>
      <c r="Q4864" s="166">
        <f t="shared" ref="Q4864:Q4866" si="1258">O4864*K4864</f>
        <v>18530.425133999997</v>
      </c>
      <c r="R4864" s="71"/>
    </row>
    <row r="4865" spans="1:18" s="61" customFormat="1" x14ac:dyDescent="0.25">
      <c r="A4865" s="358"/>
      <c r="B4865" s="361"/>
      <c r="C4865" s="221"/>
      <c r="D4865" s="231" t="s">
        <v>49</v>
      </c>
      <c r="E4865" s="231" t="s">
        <v>28</v>
      </c>
      <c r="F4865" s="231" t="s">
        <v>28</v>
      </c>
      <c r="G4865" s="238">
        <f>MROUND(H4865*L4865*I4865/K4865,0.0000000000001)</f>
        <v>5.5804612500000003E-2</v>
      </c>
      <c r="H4865" s="160">
        <f>H4025</f>
        <v>1106</v>
      </c>
      <c r="I4865" s="159">
        <f t="shared" si="1253"/>
        <v>4.0365000000000003E-4</v>
      </c>
      <c r="J4865" s="160"/>
      <c r="K4865" s="161">
        <f>K4864</f>
        <v>8</v>
      </c>
      <c r="L4865" s="250">
        <v>1</v>
      </c>
      <c r="M4865" s="163" t="str">
        <f>CONCATENATE(H4865," ",F4865,"*",I4865,"/",K4865,"чел.")</f>
        <v>1106 шт*0,00040365/8чел.</v>
      </c>
      <c r="N4865" s="164">
        <f>N4025</f>
        <v>86192.676311030737</v>
      </c>
      <c r="O4865" s="165">
        <f>MROUND(G4865*N4865,0.00000000001)</f>
        <v>4809.948901875</v>
      </c>
      <c r="P4865" s="166"/>
      <c r="Q4865" s="166">
        <f t="shared" si="1258"/>
        <v>38479.591215</v>
      </c>
      <c r="R4865" s="71"/>
    </row>
    <row r="4866" spans="1:18" s="61" customFormat="1" x14ac:dyDescent="0.25">
      <c r="A4866" s="358"/>
      <c r="B4866" s="361"/>
      <c r="C4866" s="221"/>
      <c r="D4866" s="231" t="s">
        <v>49</v>
      </c>
      <c r="E4866" s="231" t="s">
        <v>101</v>
      </c>
      <c r="F4866" s="231" t="s">
        <v>101</v>
      </c>
      <c r="G4866" s="238">
        <f>MROUND(H4866*L4866*I4866/K4866,0.000000001)</f>
        <v>1.8502306880000001</v>
      </c>
      <c r="H4866" s="160">
        <f>H4026</f>
        <v>36670</v>
      </c>
      <c r="I4866" s="159">
        <f t="shared" si="1253"/>
        <v>4.0365000000000003E-4</v>
      </c>
      <c r="J4866" s="160"/>
      <c r="K4866" s="161">
        <f>K4865</f>
        <v>8</v>
      </c>
      <c r="L4866" s="250">
        <v>1</v>
      </c>
      <c r="M4866" s="163" t="str">
        <f>CONCATENATE(H4866," ",F4866,"*",I4866,"/",K4866,"чел.")</f>
        <v>36670 погон.м.*0,00040365/8чел.</v>
      </c>
      <c r="N4866" s="164">
        <f>N4026</f>
        <v>1311.6989364603219</v>
      </c>
      <c r="O4866" s="165">
        <f>MROUND(G4866*N4866,0.00000001)</f>
        <v>2426.9456256600001</v>
      </c>
      <c r="P4866" s="166"/>
      <c r="Q4866" s="166">
        <f t="shared" si="1258"/>
        <v>19415.565005280001</v>
      </c>
      <c r="R4866" s="71"/>
    </row>
    <row r="4867" spans="1:18" s="62" customFormat="1" x14ac:dyDescent="0.25">
      <c r="A4867" s="358"/>
      <c r="B4867" s="361"/>
      <c r="C4867" s="218" t="s">
        <v>291</v>
      </c>
      <c r="D4867" s="232"/>
      <c r="E4867" s="232"/>
      <c r="F4867" s="232"/>
      <c r="G4867" s="227"/>
      <c r="H4867" s="228"/>
      <c r="I4867" s="206"/>
      <c r="J4867" s="228"/>
      <c r="K4867" s="207"/>
      <c r="L4867" s="257"/>
      <c r="M4867" s="209"/>
      <c r="N4867" s="210"/>
      <c r="O4867" s="198">
        <f>SUM(O4864:O4866)</f>
        <v>9553.1976692850003</v>
      </c>
      <c r="P4867" s="267"/>
      <c r="Q4867" s="166"/>
      <c r="R4867" s="71"/>
    </row>
    <row r="4868" spans="1:18" s="61" customFormat="1" x14ac:dyDescent="0.25">
      <c r="A4868" s="358"/>
      <c r="B4868" s="361"/>
      <c r="C4868" s="221" t="s">
        <v>77</v>
      </c>
      <c r="D4868" s="231"/>
      <c r="E4868" s="231"/>
      <c r="F4868" s="231"/>
      <c r="G4868" s="238">
        <f>MROUND(H4868*L4868*I4868/K4868,0.00000000001)</f>
        <v>0</v>
      </c>
      <c r="H4868" s="160">
        <f>H4628</f>
        <v>0</v>
      </c>
      <c r="I4868" s="159">
        <f>I4866</f>
        <v>4.0365000000000003E-4</v>
      </c>
      <c r="J4868" s="160"/>
      <c r="K4868" s="161">
        <f>K4866</f>
        <v>8</v>
      </c>
      <c r="L4868" s="250"/>
      <c r="M4868" s="163"/>
      <c r="N4868" s="164">
        <f>N4628</f>
        <v>0</v>
      </c>
      <c r="O4868" s="165">
        <f>MROUND(G4868*N4868,0.000000001)</f>
        <v>0</v>
      </c>
      <c r="P4868" s="166"/>
      <c r="Q4868" s="166">
        <f t="shared" ref="Q4868" si="1259">O4868*K4868</f>
        <v>0</v>
      </c>
      <c r="R4868" s="71"/>
    </row>
    <row r="4869" spans="1:18" s="62" customFormat="1" x14ac:dyDescent="0.25">
      <c r="A4869" s="358"/>
      <c r="B4869" s="361"/>
      <c r="C4869" s="218" t="s">
        <v>292</v>
      </c>
      <c r="D4869" s="232"/>
      <c r="E4869" s="232"/>
      <c r="F4869" s="232"/>
      <c r="G4869" s="227"/>
      <c r="H4869" s="228"/>
      <c r="I4869" s="206"/>
      <c r="J4869" s="228"/>
      <c r="K4869" s="207"/>
      <c r="L4869" s="257"/>
      <c r="M4869" s="209"/>
      <c r="N4869" s="210"/>
      <c r="O4869" s="198">
        <f>O4868</f>
        <v>0</v>
      </c>
      <c r="P4869" s="267"/>
      <c r="Q4869" s="166"/>
      <c r="R4869" s="71"/>
    </row>
    <row r="4870" spans="1:18" s="61" customFormat="1" x14ac:dyDescent="0.25">
      <c r="A4870" s="358"/>
      <c r="B4870" s="361"/>
      <c r="C4870" s="221"/>
      <c r="D4870" s="350" t="s">
        <v>65</v>
      </c>
      <c r="E4870" s="350"/>
      <c r="F4870" s="350"/>
      <c r="G4870" s="350"/>
      <c r="H4870" s="195"/>
      <c r="I4870" s="159"/>
      <c r="J4870" s="195"/>
      <c r="K4870" s="161"/>
      <c r="L4870" s="196"/>
      <c r="M4870" s="230"/>
      <c r="N4870" s="164"/>
      <c r="O4870" s="165">
        <f t="shared" ref="O4870:O4871" si="1260">MROUND(G4870*N4870,0.000001)</f>
        <v>0</v>
      </c>
      <c r="P4870" s="166"/>
      <c r="Q4870" s="166"/>
      <c r="R4870" s="71"/>
    </row>
    <row r="4871" spans="1:18" s="61" customFormat="1" x14ac:dyDescent="0.25">
      <c r="A4871" s="358"/>
      <c r="B4871" s="361"/>
      <c r="C4871" s="221"/>
      <c r="D4871" s="194"/>
      <c r="E4871" s="194"/>
      <c r="F4871" s="194"/>
      <c r="G4871" s="217"/>
      <c r="H4871" s="195"/>
      <c r="I4871" s="159"/>
      <c r="J4871" s="195"/>
      <c r="K4871" s="161"/>
      <c r="L4871" s="196"/>
      <c r="M4871" s="230"/>
      <c r="N4871" s="164"/>
      <c r="O4871" s="165">
        <f t="shared" si="1260"/>
        <v>0</v>
      </c>
      <c r="P4871" s="166"/>
      <c r="Q4871" s="166"/>
      <c r="R4871" s="71"/>
    </row>
    <row r="4872" spans="1:18" s="61" customFormat="1" x14ac:dyDescent="0.25">
      <c r="A4872" s="358"/>
      <c r="B4872" s="361"/>
      <c r="C4872" s="221" t="s">
        <v>357</v>
      </c>
      <c r="D4872" s="368" t="s">
        <v>66</v>
      </c>
      <c r="E4872" s="368"/>
      <c r="F4872" s="368"/>
      <c r="G4872" s="368"/>
      <c r="H4872" s="195"/>
      <c r="I4872" s="159"/>
      <c r="J4872" s="195"/>
      <c r="K4872" s="161"/>
      <c r="L4872" s="234"/>
      <c r="M4872" s="230"/>
      <c r="N4872" s="164"/>
      <c r="O4872" s="198">
        <f>O4873</f>
        <v>28.637411</v>
      </c>
      <c r="P4872" s="166"/>
      <c r="Q4872" s="166"/>
      <c r="R4872" s="71"/>
    </row>
    <row r="4873" spans="1:18" s="61" customFormat="1" ht="47.25" x14ac:dyDescent="0.25">
      <c r="A4873" s="358"/>
      <c r="B4873" s="361"/>
      <c r="C4873" s="221"/>
      <c r="D4873" s="222" t="s">
        <v>374</v>
      </c>
      <c r="E4873" s="194" t="s">
        <v>28</v>
      </c>
      <c r="F4873" s="194" t="s">
        <v>28</v>
      </c>
      <c r="G4873" s="217">
        <f>MROUND(H4873*L4873*I4873/K4873,0.000000001)</f>
        <v>7.2657000000000008E-3</v>
      </c>
      <c r="H4873" s="201">
        <f>H4273</f>
        <v>36</v>
      </c>
      <c r="I4873" s="159">
        <f>I4868</f>
        <v>4.0365000000000003E-4</v>
      </c>
      <c r="J4873" s="195"/>
      <c r="K4873" s="161">
        <f>K4868</f>
        <v>8</v>
      </c>
      <c r="L4873" s="235">
        <f>L4273</f>
        <v>4</v>
      </c>
      <c r="M4873" s="163" t="str">
        <f>CONCATENATE(H4873," ",F4873,"*",I4873,"/",K4873,"чел.")</f>
        <v>36 шт*0,00040365/8чел.</v>
      </c>
      <c r="N4873" s="164">
        <f>N4273</f>
        <v>3941.4525000000012</v>
      </c>
      <c r="O4873" s="165">
        <f>MROUND(G4873*N4873,0.000001)</f>
        <v>28.637411</v>
      </c>
      <c r="P4873" s="166"/>
      <c r="Q4873" s="166">
        <f t="shared" ref="Q4873" si="1261">O4873*K4873</f>
        <v>229.099288</v>
      </c>
      <c r="R4873" s="71"/>
    </row>
    <row r="4874" spans="1:18" s="61" customFormat="1" x14ac:dyDescent="0.25">
      <c r="A4874" s="358"/>
      <c r="B4874" s="361"/>
      <c r="C4874" s="221"/>
      <c r="D4874" s="368" t="s">
        <v>67</v>
      </c>
      <c r="E4874" s="368"/>
      <c r="F4874" s="368"/>
      <c r="G4874" s="368"/>
      <c r="H4874" s="195"/>
      <c r="I4874" s="159"/>
      <c r="J4874" s="195"/>
      <c r="K4874" s="161"/>
      <c r="L4874" s="196"/>
      <c r="M4874" s="230"/>
      <c r="N4874" s="164"/>
      <c r="O4874" s="165">
        <f t="shared" ref="O4874:O4877" si="1262">MROUND(G4874*N4874,0.000001)</f>
        <v>0</v>
      </c>
      <c r="P4874" s="166"/>
      <c r="Q4874" s="166"/>
      <c r="R4874" s="71"/>
    </row>
    <row r="4875" spans="1:18" s="61" customFormat="1" x14ac:dyDescent="0.25">
      <c r="A4875" s="358"/>
      <c r="B4875" s="361"/>
      <c r="C4875" s="221"/>
      <c r="D4875" s="194"/>
      <c r="E4875" s="194"/>
      <c r="F4875" s="194"/>
      <c r="G4875" s="217"/>
      <c r="H4875" s="195"/>
      <c r="I4875" s="159"/>
      <c r="J4875" s="195"/>
      <c r="K4875" s="161"/>
      <c r="L4875" s="196"/>
      <c r="M4875" s="230"/>
      <c r="N4875" s="164"/>
      <c r="O4875" s="165">
        <f t="shared" si="1262"/>
        <v>0</v>
      </c>
      <c r="P4875" s="166"/>
      <c r="Q4875" s="166"/>
      <c r="R4875" s="71"/>
    </row>
    <row r="4876" spans="1:18" s="61" customFormat="1" x14ac:dyDescent="0.25">
      <c r="A4876" s="358"/>
      <c r="B4876" s="361"/>
      <c r="C4876" s="221"/>
      <c r="D4876" s="350" t="s">
        <v>68</v>
      </c>
      <c r="E4876" s="350"/>
      <c r="F4876" s="350"/>
      <c r="G4876" s="350"/>
      <c r="H4876" s="195"/>
      <c r="I4876" s="159"/>
      <c r="J4876" s="195"/>
      <c r="K4876" s="161"/>
      <c r="L4876" s="196"/>
      <c r="M4876" s="230"/>
      <c r="N4876" s="164"/>
      <c r="O4876" s="165">
        <f t="shared" si="1262"/>
        <v>0</v>
      </c>
      <c r="P4876" s="166"/>
      <c r="Q4876" s="166"/>
      <c r="R4876" s="71"/>
    </row>
    <row r="4877" spans="1:18" s="61" customFormat="1" x14ac:dyDescent="0.25">
      <c r="A4877" s="358"/>
      <c r="B4877" s="361"/>
      <c r="C4877" s="221"/>
      <c r="D4877" s="156"/>
      <c r="E4877" s="156"/>
      <c r="F4877" s="156"/>
      <c r="G4877" s="236"/>
      <c r="H4877" s="195"/>
      <c r="I4877" s="159"/>
      <c r="J4877" s="195"/>
      <c r="K4877" s="161"/>
      <c r="L4877" s="196"/>
      <c r="M4877" s="230"/>
      <c r="N4877" s="164"/>
      <c r="O4877" s="165">
        <f t="shared" si="1262"/>
        <v>0</v>
      </c>
      <c r="P4877" s="166"/>
      <c r="Q4877" s="166"/>
      <c r="R4877" s="71"/>
    </row>
    <row r="4878" spans="1:18" s="61" customFormat="1" x14ac:dyDescent="0.25">
      <c r="A4878" s="358"/>
      <c r="B4878" s="361"/>
      <c r="C4878" s="221"/>
      <c r="D4878" s="368" t="s">
        <v>69</v>
      </c>
      <c r="E4878" s="368"/>
      <c r="F4878" s="368"/>
      <c r="G4878" s="368"/>
      <c r="H4878" s="187"/>
      <c r="I4878" s="159"/>
      <c r="J4878" s="187"/>
      <c r="K4878" s="161"/>
      <c r="L4878" s="276"/>
      <c r="M4878" s="230"/>
      <c r="N4878" s="164"/>
      <c r="O4878" s="198">
        <f>O4880+O4887+O4904+O4906+O4921+O4923+O4925+O4950+O4952+O4957+O4954</f>
        <v>1165.3962155199999</v>
      </c>
      <c r="P4878" s="166"/>
      <c r="Q4878" s="166"/>
      <c r="R4878" s="71"/>
    </row>
    <row r="4879" spans="1:18" s="61" customFormat="1" x14ac:dyDescent="0.25">
      <c r="A4879" s="358"/>
      <c r="B4879" s="361"/>
      <c r="C4879" s="221">
        <v>224</v>
      </c>
      <c r="D4879" s="156" t="s">
        <v>21</v>
      </c>
      <c r="E4879" s="156" t="s">
        <v>22</v>
      </c>
      <c r="F4879" s="156" t="s">
        <v>22</v>
      </c>
      <c r="G4879" s="238">
        <f>MROUND(H4879*L4879*I4879/K4879,0.000001)</f>
        <v>0</v>
      </c>
      <c r="H4879" s="158"/>
      <c r="I4879" s="159">
        <f>I4873</f>
        <v>4.0365000000000003E-4</v>
      </c>
      <c r="J4879" s="160"/>
      <c r="K4879" s="161">
        <f>K4873</f>
        <v>8</v>
      </c>
      <c r="L4879" s="250"/>
      <c r="M4879" s="163"/>
      <c r="N4879" s="164"/>
      <c r="O4879" s="165">
        <f>MROUND(G4879*N4879,0.000001)</f>
        <v>0</v>
      </c>
      <c r="P4879" s="166"/>
      <c r="Q4879" s="166">
        <f t="shared" ref="Q4879" si="1263">O4879*K4879</f>
        <v>0</v>
      </c>
      <c r="R4879" s="71"/>
    </row>
    <row r="4880" spans="1:18" s="62" customFormat="1" x14ac:dyDescent="0.25">
      <c r="A4880" s="358"/>
      <c r="B4880" s="361"/>
      <c r="C4880" s="218" t="s">
        <v>293</v>
      </c>
      <c r="D4880" s="240"/>
      <c r="E4880" s="240"/>
      <c r="F4880" s="240"/>
      <c r="G4880" s="227"/>
      <c r="H4880" s="241"/>
      <c r="I4880" s="206"/>
      <c r="J4880" s="228"/>
      <c r="K4880" s="207"/>
      <c r="L4880" s="257"/>
      <c r="M4880" s="209"/>
      <c r="N4880" s="210"/>
      <c r="O4880" s="198">
        <f>SUM(O4879)</f>
        <v>0</v>
      </c>
      <c r="P4880" s="267"/>
      <c r="Q4880" s="166"/>
      <c r="R4880" s="71"/>
    </row>
    <row r="4881" spans="1:41" s="61" customFormat="1" ht="31.5" x14ac:dyDescent="0.25">
      <c r="A4881" s="358"/>
      <c r="B4881" s="361"/>
      <c r="C4881" s="364" t="s">
        <v>78</v>
      </c>
      <c r="D4881" s="156" t="s">
        <v>26</v>
      </c>
      <c r="E4881" s="156" t="s">
        <v>22</v>
      </c>
      <c r="F4881" s="156" t="s">
        <v>22</v>
      </c>
      <c r="G4881" s="238">
        <f>MROUND(H4881*L4881*I4881/K4881,0.000001)</f>
        <v>15.645474</v>
      </c>
      <c r="H4881" s="158">
        <f>H3441</f>
        <v>25840</v>
      </c>
      <c r="I4881" s="159">
        <f>I4879</f>
        <v>4.0365000000000003E-4</v>
      </c>
      <c r="J4881" s="160"/>
      <c r="K4881" s="161">
        <f>K4879</f>
        <v>8</v>
      </c>
      <c r="L4881" s="250">
        <v>12</v>
      </c>
      <c r="M4881" s="163" t="str">
        <f>CONCATENATE(H4881," ",F4881,"(обрабатываемая площадь в мес.)","*",L4881,"мес.","*",I4881,"/",K4881,"чел.")</f>
        <v>25840 м2(обрабатываемая площадь в мес.)*12мес.*0,00040365/8чел.</v>
      </c>
      <c r="N4881" s="164">
        <f>N3441</f>
        <v>1.208548374613003</v>
      </c>
      <c r="O4881" s="165">
        <f t="shared" ref="O4881:O4886" si="1264">MROUND(G4881*N4881,0.000001)</f>
        <v>18.908311999999999</v>
      </c>
      <c r="P4881" s="166"/>
      <c r="Q4881" s="166">
        <f t="shared" ref="Q4881:Q4886" si="1265">O4881*K4881</f>
        <v>151.26649599999999</v>
      </c>
      <c r="R4881" s="71"/>
    </row>
    <row r="4882" spans="1:41" s="61" customFormat="1" ht="31.5" x14ac:dyDescent="0.25">
      <c r="A4882" s="358"/>
      <c r="B4882" s="361"/>
      <c r="C4882" s="364"/>
      <c r="D4882" s="156" t="s">
        <v>96</v>
      </c>
      <c r="E4882" s="156" t="s">
        <v>22</v>
      </c>
      <c r="F4882" s="156" t="s">
        <v>22</v>
      </c>
      <c r="G4882" s="238">
        <f>MROUND(H4882*L4882*I4882/K4882,0.000001)</f>
        <v>8.0982279999999989</v>
      </c>
      <c r="H4882" s="158">
        <f>H3442</f>
        <v>13375</v>
      </c>
      <c r="I4882" s="159">
        <f t="shared" si="1253"/>
        <v>4.0365000000000003E-4</v>
      </c>
      <c r="J4882" s="160"/>
      <c r="K4882" s="161">
        <f>K4881</f>
        <v>8</v>
      </c>
      <c r="L4882" s="250">
        <v>12</v>
      </c>
      <c r="M4882" s="163" t="str">
        <f>CONCATENATE(H4882," ",F4882,"(обрабатываемая площадь в мес.)","*",L4882,"мес.","*",I4882,"/",K4882,"чел.")</f>
        <v>13375 м2(обрабатываемая площадь в мес.)*12мес.*0,00040365/8чел.</v>
      </c>
      <c r="N4882" s="164">
        <f>N3442</f>
        <v>1.93823800623053</v>
      </c>
      <c r="O4882" s="165">
        <f t="shared" si="1264"/>
        <v>15.696292999999999</v>
      </c>
      <c r="P4882" s="166"/>
      <c r="Q4882" s="166">
        <f t="shared" si="1265"/>
        <v>125.57034399999999</v>
      </c>
      <c r="R4882" s="71"/>
    </row>
    <row r="4883" spans="1:41" s="135" customFormat="1" ht="31.5" x14ac:dyDescent="0.25">
      <c r="A4883" s="358"/>
      <c r="B4883" s="361"/>
      <c r="C4883" s="364"/>
      <c r="D4883" s="156" t="s">
        <v>385</v>
      </c>
      <c r="E4883" s="156" t="s">
        <v>22</v>
      </c>
      <c r="F4883" s="156" t="s">
        <v>22</v>
      </c>
      <c r="G4883" s="238">
        <f>MROUND(H4883*L4883*I4883/K4883,0.000001)</f>
        <v>16.196455999999998</v>
      </c>
      <c r="H4883" s="242">
        <f>$H$55</f>
        <v>13375</v>
      </c>
      <c r="I4883" s="159">
        <f t="shared" si="1253"/>
        <v>4.0365000000000003E-4</v>
      </c>
      <c r="J4883" s="160"/>
      <c r="K4883" s="161">
        <f>K4882</f>
        <v>8</v>
      </c>
      <c r="L4883" s="162">
        <v>24</v>
      </c>
      <c r="M4883" s="163" t="str">
        <f>CONCATENATE(H4883," ",F4883,"(обрабатываемая площадь в год)","*",L4883," раза в год.","*",I4883,"/",K4883,"чел.")</f>
        <v>13375 м2(обрабатываемая площадь в год)*24 раза в год.*0,00040365/8чел.</v>
      </c>
      <c r="N4883" s="164">
        <f>$N$3443</f>
        <v>2.3942939563862917</v>
      </c>
      <c r="O4883" s="165">
        <f t="shared" si="1264"/>
        <v>38.779077000000001</v>
      </c>
      <c r="P4883" s="166"/>
      <c r="Q4883" s="166">
        <f t="shared" si="1265"/>
        <v>310.23261600000001</v>
      </c>
      <c r="R4883" s="71"/>
      <c r="S4883" s="61"/>
      <c r="T4883" s="61"/>
      <c r="U4883" s="61"/>
      <c r="V4883" s="61"/>
      <c r="W4883" s="61"/>
      <c r="X4883" s="61"/>
      <c r="Y4883" s="61"/>
      <c r="Z4883" s="61"/>
      <c r="AA4883" s="61"/>
      <c r="AB4883" s="61"/>
      <c r="AC4883" s="61"/>
      <c r="AD4883" s="61"/>
      <c r="AE4883" s="61"/>
      <c r="AF4883" s="61"/>
      <c r="AG4883" s="61"/>
      <c r="AH4883" s="61"/>
      <c r="AI4883" s="61"/>
      <c r="AJ4883" s="61"/>
      <c r="AK4883" s="61"/>
      <c r="AL4883" s="61"/>
      <c r="AM4883" s="61"/>
      <c r="AN4883" s="61"/>
      <c r="AO4883" s="61"/>
    </row>
    <row r="4884" spans="1:41" s="135" customFormat="1" ht="31.5" x14ac:dyDescent="0.25">
      <c r="A4884" s="358"/>
      <c r="B4884" s="361"/>
      <c r="C4884" s="364"/>
      <c r="D4884" s="156" t="s">
        <v>394</v>
      </c>
      <c r="E4884" s="156" t="s">
        <v>22</v>
      </c>
      <c r="F4884" s="156" t="s">
        <v>22</v>
      </c>
      <c r="G4884" s="238">
        <f>MROUND(H4884*L4884*I4884/K4884,0.000001)</f>
        <v>15.645474</v>
      </c>
      <c r="H4884" s="243">
        <f>$H$56</f>
        <v>25840</v>
      </c>
      <c r="I4884" s="159">
        <f t="shared" si="1253"/>
        <v>4.0365000000000003E-4</v>
      </c>
      <c r="J4884" s="160"/>
      <c r="K4884" s="161">
        <f>K4883</f>
        <v>8</v>
      </c>
      <c r="L4884" s="162">
        <v>12</v>
      </c>
      <c r="M4884" s="163" t="str">
        <f>CONCATENATE(H4884," ",F4884,"(обрабатываемая площадь в мес.)","*",L4884,"мес.","*",I4884,"/",K4884,"чел.")</f>
        <v>25840 м2(обрабатываемая площадь в мес.)*12мес.*0,00040365/8чел.</v>
      </c>
      <c r="N4884" s="164">
        <f>$N$3444</f>
        <v>0.57007004643962855</v>
      </c>
      <c r="O4884" s="165">
        <f t="shared" si="1264"/>
        <v>8.9190159999999992</v>
      </c>
      <c r="P4884" s="166"/>
      <c r="Q4884" s="166">
        <f t="shared" si="1265"/>
        <v>71.352127999999993</v>
      </c>
      <c r="R4884" s="71"/>
      <c r="S4884" s="61"/>
      <c r="T4884" s="61"/>
      <c r="U4884" s="61"/>
      <c r="V4884" s="61"/>
      <c r="W4884" s="61"/>
      <c r="X4884" s="61"/>
      <c r="Y4884" s="61"/>
      <c r="Z4884" s="61"/>
      <c r="AA4884" s="61"/>
      <c r="AB4884" s="61"/>
      <c r="AC4884" s="61"/>
      <c r="AD4884" s="61"/>
      <c r="AE4884" s="61"/>
      <c r="AF4884" s="61"/>
      <c r="AG4884" s="61"/>
      <c r="AH4884" s="61"/>
      <c r="AI4884" s="61"/>
      <c r="AJ4884" s="61"/>
      <c r="AK4884" s="61"/>
      <c r="AL4884" s="61"/>
      <c r="AM4884" s="61"/>
      <c r="AN4884" s="61"/>
      <c r="AO4884" s="61"/>
    </row>
    <row r="4885" spans="1:41" s="135" customFormat="1" ht="31.5" x14ac:dyDescent="0.25">
      <c r="A4885" s="358"/>
      <c r="B4885" s="361"/>
      <c r="C4885" s="364"/>
      <c r="D4885" s="156" t="s">
        <v>395</v>
      </c>
      <c r="E4885" s="156" t="s">
        <v>98</v>
      </c>
      <c r="F4885" s="156" t="s">
        <v>98</v>
      </c>
      <c r="G4885" s="238">
        <f>MROUND(H4885*L4885*I4885/K4885,0.0000000001)</f>
        <v>9.5564140000000005E-4</v>
      </c>
      <c r="H4885" s="242">
        <f>$H$57</f>
        <v>18.939999999999998</v>
      </c>
      <c r="I4885" s="159">
        <f t="shared" si="1253"/>
        <v>4.0365000000000003E-4</v>
      </c>
      <c r="J4885" s="160"/>
      <c r="K4885" s="161">
        <f>K4884</f>
        <v>8</v>
      </c>
      <c r="L4885" s="162">
        <v>1</v>
      </c>
      <c r="M4885" s="163" t="str">
        <f>CONCATENATE(H4885," ",F4885,"(обрабатываемая площадь в год)","*",L4885," раз в год","*",I4885,"/",K4885,"чел.")</f>
        <v>18,94 Га(обрабатываемая площадь в год)*1 раз в год*0,00040365/8чел.</v>
      </c>
      <c r="N4885" s="164">
        <f>$N$57</f>
        <v>545</v>
      </c>
      <c r="O4885" s="165">
        <f t="shared" si="1264"/>
        <v>0.52082499999999998</v>
      </c>
      <c r="P4885" s="166"/>
      <c r="Q4885" s="166">
        <f t="shared" si="1265"/>
        <v>4.1665999999999999</v>
      </c>
      <c r="R4885" s="71"/>
      <c r="S4885" s="61"/>
      <c r="T4885" s="61"/>
      <c r="U4885" s="61"/>
      <c r="V4885" s="61"/>
      <c r="W4885" s="61"/>
      <c r="X4885" s="61"/>
      <c r="Y4885" s="61"/>
      <c r="Z4885" s="61"/>
      <c r="AA4885" s="61"/>
      <c r="AB4885" s="61"/>
      <c r="AC4885" s="61"/>
      <c r="AD4885" s="61"/>
      <c r="AE4885" s="61"/>
      <c r="AF4885" s="61"/>
      <c r="AG4885" s="61"/>
      <c r="AH4885" s="61"/>
      <c r="AI4885" s="61"/>
      <c r="AJ4885" s="61"/>
      <c r="AK4885" s="61"/>
      <c r="AL4885" s="61"/>
      <c r="AM4885" s="61"/>
      <c r="AN4885" s="61"/>
      <c r="AO4885" s="61"/>
    </row>
    <row r="4886" spans="1:41" s="61" customFormat="1" ht="31.5" x14ac:dyDescent="0.25">
      <c r="A4886" s="358"/>
      <c r="B4886" s="361"/>
      <c r="C4886" s="364"/>
      <c r="D4886" s="156" t="s">
        <v>97</v>
      </c>
      <c r="E4886" s="156" t="s">
        <v>98</v>
      </c>
      <c r="F4886" s="156" t="s">
        <v>98</v>
      </c>
      <c r="G4886" s="238">
        <f>MROUND(H4886*L4886*I4886/K4886,0.000000001)</f>
        <v>9.5564100000000002E-4</v>
      </c>
      <c r="H4886" s="242">
        <f>H3806</f>
        <v>18.939999999999998</v>
      </c>
      <c r="I4886" s="244">
        <f>I4882</f>
        <v>4.0365000000000003E-4</v>
      </c>
      <c r="J4886" s="160"/>
      <c r="K4886" s="161">
        <f>K4882</f>
        <v>8</v>
      </c>
      <c r="L4886" s="250">
        <v>1</v>
      </c>
      <c r="M4886" s="163" t="str">
        <f>CONCATENATE(H4886," ",F4886,"(обрабатываемая площадь в мес.)","*",L4886,"мес.","*",I4886,"/",K4886,"чел.")</f>
        <v>18,94 Га(обрабатываемая площадь в мес.)*1мес.*0,00040365/8чел.</v>
      </c>
      <c r="N4886" s="164">
        <f>N3806</f>
        <v>3102.4186906018999</v>
      </c>
      <c r="O4886" s="165">
        <f t="shared" si="1264"/>
        <v>2.964798</v>
      </c>
      <c r="P4886" s="166"/>
      <c r="Q4886" s="166">
        <f t="shared" si="1265"/>
        <v>23.718384</v>
      </c>
      <c r="R4886" s="71"/>
    </row>
    <row r="4887" spans="1:41" s="62" customFormat="1" x14ac:dyDescent="0.25">
      <c r="A4887" s="358"/>
      <c r="B4887" s="361"/>
      <c r="C4887" s="245" t="s">
        <v>294</v>
      </c>
      <c r="D4887" s="240"/>
      <c r="E4887" s="240"/>
      <c r="F4887" s="240"/>
      <c r="G4887" s="227"/>
      <c r="H4887" s="241"/>
      <c r="I4887" s="206"/>
      <c r="J4887" s="228"/>
      <c r="K4887" s="207"/>
      <c r="L4887" s="257"/>
      <c r="M4887" s="209"/>
      <c r="N4887" s="210"/>
      <c r="O4887" s="198">
        <f>SUM(O4881:O4886)</f>
        <v>85.788320999999996</v>
      </c>
      <c r="P4887" s="267"/>
      <c r="Q4887" s="166"/>
      <c r="R4887" s="71"/>
    </row>
    <row r="4888" spans="1:41" s="61" customFormat="1" ht="63" x14ac:dyDescent="0.25">
      <c r="A4888" s="358"/>
      <c r="B4888" s="361"/>
      <c r="C4888" s="365" t="s">
        <v>77</v>
      </c>
      <c r="D4888" s="156" t="s">
        <v>29</v>
      </c>
      <c r="E4888" s="156" t="s">
        <v>58</v>
      </c>
      <c r="F4888" s="156" t="s">
        <v>218</v>
      </c>
      <c r="G4888" s="157">
        <f>MROUND(H4888*L4888*I4888/K4888,0.00000001)</f>
        <v>3.0273800000000001E-3</v>
      </c>
      <c r="H4888" s="158">
        <v>15</v>
      </c>
      <c r="I4888" s="159">
        <f>I4886</f>
        <v>4.0365000000000003E-4</v>
      </c>
      <c r="J4888" s="160"/>
      <c r="K4888" s="161">
        <f>K4886</f>
        <v>8</v>
      </c>
      <c r="L4888" s="162">
        <v>4</v>
      </c>
      <c r="M4888" s="163" t="str">
        <f>CONCATENATE(H4888," ",F4888,"*",L4888," раза в год","*",I4888,"/",K4888,"чел.")</f>
        <v>15 установок*4 раза в год*0,00040365/8чел.</v>
      </c>
      <c r="N4888" s="164">
        <f>N3448</f>
        <v>2264.8651666666669</v>
      </c>
      <c r="O4888" s="165">
        <f t="shared" ref="O4888:O4896" si="1266">MROUND(G4888*N4888,0.000001)</f>
        <v>6.8566079999999996</v>
      </c>
      <c r="P4888" s="166"/>
      <c r="Q4888" s="166">
        <f t="shared" ref="Q4888:Q4903" si="1267">O4888*K4888</f>
        <v>54.852863999999997</v>
      </c>
      <c r="R4888" s="71"/>
    </row>
    <row r="4889" spans="1:41" s="61" customFormat="1" ht="47.25" x14ac:dyDescent="0.25">
      <c r="A4889" s="358"/>
      <c r="B4889" s="361"/>
      <c r="C4889" s="366"/>
      <c r="D4889" s="156" t="s">
        <v>30</v>
      </c>
      <c r="E4889" s="156" t="s">
        <v>58</v>
      </c>
      <c r="F4889" s="156" t="s">
        <v>218</v>
      </c>
      <c r="G4889" s="238">
        <f>MROUND(H4889*L4889*I4889/K4889,0.00000001)</f>
        <v>1.51369E-3</v>
      </c>
      <c r="H4889" s="158">
        <v>15</v>
      </c>
      <c r="I4889" s="159">
        <f t="shared" si="1253"/>
        <v>4.0365000000000003E-4</v>
      </c>
      <c r="J4889" s="160"/>
      <c r="K4889" s="161">
        <f t="shared" ref="K4889:K4897" si="1268">K4888</f>
        <v>8</v>
      </c>
      <c r="L4889" s="250">
        <v>2</v>
      </c>
      <c r="M4889" s="163" t="str">
        <f>CONCATENATE(H4889," ",F4889,"*",L4889,"полуг.","*",I4889,"/",K4889,"чел.")</f>
        <v>15 установок*2полуг.*0,00040365/8чел.</v>
      </c>
      <c r="N4889" s="164">
        <f>N4169</f>
        <v>4529.7303333333339</v>
      </c>
      <c r="O4889" s="165">
        <f t="shared" si="1266"/>
        <v>6.8566079999999996</v>
      </c>
      <c r="P4889" s="166"/>
      <c r="Q4889" s="166">
        <f t="shared" si="1267"/>
        <v>54.852863999999997</v>
      </c>
      <c r="R4889" s="71"/>
    </row>
    <row r="4890" spans="1:41" s="61" customFormat="1" ht="31.5" x14ac:dyDescent="0.25">
      <c r="A4890" s="358"/>
      <c r="B4890" s="361"/>
      <c r="C4890" s="366"/>
      <c r="D4890" s="156" t="s">
        <v>397</v>
      </c>
      <c r="E4890" s="156" t="s">
        <v>433</v>
      </c>
      <c r="F4890" s="156" t="s">
        <v>433</v>
      </c>
      <c r="G4890" s="238">
        <f>MROUND(H4890*L4890*I4890/K4890,0.000001)</f>
        <v>1.5136999999999999E-2</v>
      </c>
      <c r="H4890" s="158">
        <f>H3810</f>
        <v>300</v>
      </c>
      <c r="I4890" s="159">
        <f t="shared" si="1253"/>
        <v>4.0365000000000003E-4</v>
      </c>
      <c r="J4890" s="160"/>
      <c r="K4890" s="161">
        <f t="shared" si="1268"/>
        <v>8</v>
      </c>
      <c r="L4890" s="162">
        <v>1</v>
      </c>
      <c r="M4890" s="163" t="str">
        <f>CONCATENATE(H4890," ",F4890,"(обрабатываемая площадь в год)","*",L4890," раз в год","*",I4890,"/",K4890,"чел.")</f>
        <v>300 м2.(обрабатываемая площадь в год)*1 раз в год*0,00040365/8чел.</v>
      </c>
      <c r="N4890" s="164">
        <f>N3810</f>
        <v>300</v>
      </c>
      <c r="O4890" s="165">
        <f t="shared" si="1266"/>
        <v>4.5411000000000001</v>
      </c>
      <c r="P4890" s="166"/>
      <c r="Q4890" s="166">
        <f t="shared" si="1267"/>
        <v>36.328800000000001</v>
      </c>
      <c r="R4890" s="71"/>
    </row>
    <row r="4891" spans="1:41" s="61" customFormat="1" ht="47.25" x14ac:dyDescent="0.25">
      <c r="A4891" s="358"/>
      <c r="B4891" s="361"/>
      <c r="C4891" s="366"/>
      <c r="D4891" s="156" t="s">
        <v>32</v>
      </c>
      <c r="E4891" s="156" t="s">
        <v>55</v>
      </c>
      <c r="F4891" s="156" t="s">
        <v>219</v>
      </c>
      <c r="G4891" s="238">
        <f>MROUND(H4891*L4891*I4891/K4891,0.000000001)</f>
        <v>7.2657000000000008E-3</v>
      </c>
      <c r="H4891" s="158">
        <f>H4171</f>
        <v>36</v>
      </c>
      <c r="I4891" s="159">
        <f>I4890</f>
        <v>4.0365000000000003E-4</v>
      </c>
      <c r="J4891" s="160"/>
      <c r="K4891" s="161">
        <f t="shared" si="1268"/>
        <v>8</v>
      </c>
      <c r="L4891" s="250">
        <v>4</v>
      </c>
      <c r="M4891" s="163" t="str">
        <f>CONCATENATE(H4891," ",F4891,"*",L4891,"кв.","*",I4891,"/",K4891,"чел.")</f>
        <v>36 системы*4кв.*0,00040365/8чел.</v>
      </c>
      <c r="N4891" s="164">
        <f>N4171</f>
        <v>7243.0565277777823</v>
      </c>
      <c r="O4891" s="165">
        <f t="shared" si="1266"/>
        <v>52.625875999999998</v>
      </c>
      <c r="P4891" s="166"/>
      <c r="Q4891" s="166">
        <f t="shared" si="1267"/>
        <v>421.00700799999998</v>
      </c>
      <c r="R4891" s="71"/>
    </row>
    <row r="4892" spans="1:41" s="61" customFormat="1" ht="63" x14ac:dyDescent="0.25">
      <c r="A4892" s="358"/>
      <c r="B4892" s="361"/>
      <c r="C4892" s="366"/>
      <c r="D4892" s="156" t="s">
        <v>33</v>
      </c>
      <c r="E4892" s="156" t="s">
        <v>56</v>
      </c>
      <c r="F4892" s="156" t="s">
        <v>220</v>
      </c>
      <c r="G4892" s="238">
        <f>MROUND(H4892*L4892*I4892/K4892,0.000000001)</f>
        <v>1.8164250000000002E-3</v>
      </c>
      <c r="H4892" s="158">
        <f>$H$64</f>
        <v>36</v>
      </c>
      <c r="I4892" s="159">
        <f>I4891</f>
        <v>4.0365000000000003E-4</v>
      </c>
      <c r="J4892" s="160"/>
      <c r="K4892" s="161">
        <f t="shared" si="1268"/>
        <v>8</v>
      </c>
      <c r="L4892" s="162">
        <v>1</v>
      </c>
      <c r="M4892" s="163" t="str">
        <f>CONCATENATE(H4892," ",F4892,"*",L4892," раз в год","*",I4892,"/",K4892,"чел.")</f>
        <v>36 дымоходов*1 раз в год*0,00040365/8чел.</v>
      </c>
      <c r="N4892" s="164">
        <f>N3452</f>
        <v>7030.863333333331</v>
      </c>
      <c r="O4892" s="165">
        <f t="shared" si="1266"/>
        <v>12.771035999999999</v>
      </c>
      <c r="P4892" s="166"/>
      <c r="Q4892" s="166">
        <f t="shared" si="1267"/>
        <v>102.16828799999999</v>
      </c>
      <c r="R4892" s="71"/>
    </row>
    <row r="4893" spans="1:41" s="61" customFormat="1" x14ac:dyDescent="0.25">
      <c r="A4893" s="358"/>
      <c r="B4893" s="361"/>
      <c r="C4893" s="366"/>
      <c r="D4893" s="194" t="s">
        <v>398</v>
      </c>
      <c r="E4893" s="156" t="s">
        <v>60</v>
      </c>
      <c r="F4893" s="156" t="s">
        <v>60</v>
      </c>
      <c r="G4893" s="238">
        <f>MROUND(H4893*L4893*I4893/K4893,0.000000001)</f>
        <v>1.765969E-3</v>
      </c>
      <c r="H4893" s="246">
        <f>H3453</f>
        <v>35</v>
      </c>
      <c r="I4893" s="159">
        <f t="shared" si="1253"/>
        <v>4.0365000000000003E-4</v>
      </c>
      <c r="J4893" s="160"/>
      <c r="K4893" s="161">
        <f t="shared" si="1268"/>
        <v>8</v>
      </c>
      <c r="L4893" s="250">
        <v>1</v>
      </c>
      <c r="M4893" s="163" t="str">
        <f>CONCATENATE(H4893," ",F4893,"*",I4893,"/",K4893,"чел.")</f>
        <v>35 шт.*0,00040365/8чел.</v>
      </c>
      <c r="N4893" s="164">
        <f>N3453</f>
        <v>12173.433428571419</v>
      </c>
      <c r="O4893" s="165">
        <f t="shared" si="1266"/>
        <v>21.497906</v>
      </c>
      <c r="P4893" s="166"/>
      <c r="Q4893" s="166">
        <f t="shared" si="1267"/>
        <v>171.983248</v>
      </c>
      <c r="R4893" s="71"/>
    </row>
    <row r="4894" spans="1:41" s="61" customFormat="1" ht="47.25" x14ac:dyDescent="0.25">
      <c r="A4894" s="358"/>
      <c r="B4894" s="361"/>
      <c r="C4894" s="366"/>
      <c r="D4894" s="156" t="s">
        <v>401</v>
      </c>
      <c r="E4894" s="156" t="s">
        <v>60</v>
      </c>
      <c r="F4894" s="156" t="s">
        <v>402</v>
      </c>
      <c r="G4894" s="238">
        <f>MROUND(H4894*L4894*I4894/K4894,0.000001)</f>
        <v>3.532E-3</v>
      </c>
      <c r="H4894" s="246">
        <f>H3454</f>
        <v>35</v>
      </c>
      <c r="I4894" s="159">
        <f t="shared" si="1253"/>
        <v>4.0365000000000003E-4</v>
      </c>
      <c r="J4894" s="160"/>
      <c r="K4894" s="161">
        <f t="shared" si="1268"/>
        <v>8</v>
      </c>
      <c r="L4894" s="162">
        <v>2</v>
      </c>
      <c r="M4894" s="163" t="str">
        <f>CONCATENATE(H4894," ",F4894,"*",L4894," раз в год","*",I4894,"/",K4894,"чел.")</f>
        <v>35 противопожарных водопроводов*2 раз в год*0,00040365/8чел.</v>
      </c>
      <c r="N4894" s="164">
        <f>N3454</f>
        <v>5700.7000000000025</v>
      </c>
      <c r="O4894" s="165">
        <f t="shared" si="1266"/>
        <v>20.134871999999998</v>
      </c>
      <c r="P4894" s="166"/>
      <c r="Q4894" s="166">
        <f t="shared" si="1267"/>
        <v>161.07897599999998</v>
      </c>
      <c r="R4894" s="71"/>
    </row>
    <row r="4895" spans="1:41" s="61" customFormat="1" ht="31.5" x14ac:dyDescent="0.25">
      <c r="A4895" s="358"/>
      <c r="B4895" s="361"/>
      <c r="C4895" s="366"/>
      <c r="D4895" s="156" t="s">
        <v>221</v>
      </c>
      <c r="E4895" s="156" t="s">
        <v>60</v>
      </c>
      <c r="F4895" s="156" t="s">
        <v>60</v>
      </c>
      <c r="G4895" s="238">
        <f>MROUND(H4895*L4895*I4895/K4895,0.00000001)</f>
        <v>1.089855E-2</v>
      </c>
      <c r="H4895" s="158">
        <f>H3455</f>
        <v>18</v>
      </c>
      <c r="I4895" s="159">
        <f t="shared" si="1253"/>
        <v>4.0365000000000003E-4</v>
      </c>
      <c r="J4895" s="160"/>
      <c r="K4895" s="161">
        <f t="shared" si="1268"/>
        <v>8</v>
      </c>
      <c r="L4895" s="250">
        <v>12</v>
      </c>
      <c r="M4895" s="163" t="str">
        <f>CONCATENATE(H4895," ",F4895,"*",L4895,"мес.","*",I4895,"/",K4895,"чел.")</f>
        <v>18 шт.*12мес.*0,00040365/8чел.</v>
      </c>
      <c r="N4895" s="164">
        <f>N3815</f>
        <v>6577.3408796296308</v>
      </c>
      <c r="O4895" s="165">
        <f t="shared" si="1266"/>
        <v>71.683477999999994</v>
      </c>
      <c r="P4895" s="166"/>
      <c r="Q4895" s="166">
        <f t="shared" si="1267"/>
        <v>573.46782399999995</v>
      </c>
      <c r="R4895" s="71"/>
    </row>
    <row r="4896" spans="1:41" s="61" customFormat="1" ht="47.25" x14ac:dyDescent="0.25">
      <c r="A4896" s="358"/>
      <c r="B4896" s="361"/>
      <c r="C4896" s="366"/>
      <c r="D4896" s="156" t="s">
        <v>34</v>
      </c>
      <c r="E4896" s="156" t="s">
        <v>59</v>
      </c>
      <c r="F4896" s="156" t="s">
        <v>28</v>
      </c>
      <c r="G4896" s="238">
        <f>MROUND(H4896*L4896*I4896/K4896,0.0000000001)</f>
        <v>1.0091250000000001E-4</v>
      </c>
      <c r="H4896" s="158">
        <f>H3456</f>
        <v>2</v>
      </c>
      <c r="I4896" s="159">
        <f t="shared" si="1253"/>
        <v>4.0365000000000003E-4</v>
      </c>
      <c r="J4896" s="160"/>
      <c r="K4896" s="161">
        <f t="shared" si="1268"/>
        <v>8</v>
      </c>
      <c r="L4896" s="250">
        <v>1</v>
      </c>
      <c r="M4896" s="163" t="str">
        <f>CONCATENATE(H4896," ",F4896,"*",I4896,"/",K4896,"чел.")</f>
        <v>2 шт*0,00040365/8чел.</v>
      </c>
      <c r="N4896" s="164">
        <f>N3456</f>
        <v>7845</v>
      </c>
      <c r="O4896" s="165">
        <f t="shared" si="1266"/>
        <v>0.791659</v>
      </c>
      <c r="P4896" s="166"/>
      <c r="Q4896" s="166">
        <f t="shared" si="1267"/>
        <v>6.333272</v>
      </c>
      <c r="R4896" s="71"/>
    </row>
    <row r="4897" spans="1:18" s="61" customFormat="1" ht="47.25" x14ac:dyDescent="0.25">
      <c r="A4897" s="358"/>
      <c r="B4897" s="361"/>
      <c r="C4897" s="366"/>
      <c r="D4897" s="156" t="s">
        <v>222</v>
      </c>
      <c r="E4897" s="156" t="s">
        <v>60</v>
      </c>
      <c r="F4897" s="156" t="s">
        <v>60</v>
      </c>
      <c r="G4897" s="238">
        <f>MROUND(H4897*L4897*I4897/K4897,0.00000000001)</f>
        <v>2.5228125000000001E-4</v>
      </c>
      <c r="H4897" s="248">
        <f>H4177</f>
        <v>5</v>
      </c>
      <c r="I4897" s="159">
        <f t="shared" si="1253"/>
        <v>4.0365000000000003E-4</v>
      </c>
      <c r="J4897" s="160"/>
      <c r="K4897" s="161">
        <f t="shared" si="1268"/>
        <v>8</v>
      </c>
      <c r="L4897" s="250">
        <v>1</v>
      </c>
      <c r="M4897" s="163" t="str">
        <f>CONCATENATE(H4897," ",F4897,"*",I4897,"/",K4897,"чел.")</f>
        <v>5 шт.*0,00040365/8чел.</v>
      </c>
      <c r="N4897" s="164">
        <f>N3457</f>
        <v>43857.106</v>
      </c>
      <c r="O4897" s="165">
        <f>MROUND(G4897*N4897,0.00000001)</f>
        <v>11.064325520000001</v>
      </c>
      <c r="P4897" s="166"/>
      <c r="Q4897" s="166">
        <f t="shared" si="1267"/>
        <v>88.514604160000005</v>
      </c>
      <c r="R4897" s="71"/>
    </row>
    <row r="4898" spans="1:18" s="61" customFormat="1" ht="31.5" x14ac:dyDescent="0.25">
      <c r="A4898" s="358"/>
      <c r="B4898" s="361"/>
      <c r="C4898" s="366"/>
      <c r="D4898" s="156" t="s">
        <v>35</v>
      </c>
      <c r="E4898" s="156" t="s">
        <v>102</v>
      </c>
      <c r="F4898" s="156" t="s">
        <v>223</v>
      </c>
      <c r="G4898" s="238">
        <f>MROUND(H4898*L4898*I4898/K4898,0.00000001)</f>
        <v>1.76597E-3</v>
      </c>
      <c r="H4898" s="158">
        <f>H3458</f>
        <v>35</v>
      </c>
      <c r="I4898" s="159">
        <f>I4896</f>
        <v>4.0365000000000003E-4</v>
      </c>
      <c r="J4898" s="160"/>
      <c r="K4898" s="161">
        <f>K4896</f>
        <v>8</v>
      </c>
      <c r="L4898" s="250">
        <v>1</v>
      </c>
      <c r="M4898" s="163" t="str">
        <f>CONCATENATE(H4898," ",F4898,"*",I4898,"/",K4898,"чел.")</f>
        <v>35 замеров*0,00040365/8чел.</v>
      </c>
      <c r="N4898" s="164">
        <f>N3458</f>
        <v>26428.571428571428</v>
      </c>
      <c r="O4898" s="165">
        <f t="shared" ref="O4898:O4903" si="1269">MROUND(G4898*N4898,0.000001)</f>
        <v>46.672063999999999</v>
      </c>
      <c r="P4898" s="166"/>
      <c r="Q4898" s="166">
        <f t="shared" si="1267"/>
        <v>373.37651199999999</v>
      </c>
      <c r="R4898" s="71"/>
    </row>
    <row r="4899" spans="1:18" s="61" customFormat="1" ht="47.25" x14ac:dyDescent="0.25">
      <c r="A4899" s="358"/>
      <c r="B4899" s="361"/>
      <c r="C4899" s="366"/>
      <c r="D4899" s="156" t="s">
        <v>399</v>
      </c>
      <c r="E4899" s="156" t="s">
        <v>60</v>
      </c>
      <c r="F4899" s="156" t="s">
        <v>60</v>
      </c>
      <c r="G4899" s="238">
        <f>MROUND(H4899*L4899*I4899/K4899,0.000000001)</f>
        <v>1.7659688E-2</v>
      </c>
      <c r="H4899" s="158">
        <f>H4299</f>
        <v>35</v>
      </c>
      <c r="I4899" s="159">
        <f t="shared" si="1253"/>
        <v>4.0365000000000003E-4</v>
      </c>
      <c r="J4899" s="160"/>
      <c r="K4899" s="161">
        <f>K4898</f>
        <v>8</v>
      </c>
      <c r="L4899" s="250">
        <v>10</v>
      </c>
      <c r="M4899" s="163" t="str">
        <f>CONCATENATE(H4899," ",F4899,"*",L4899,"мес.","*",I4899,"/",K4899,"чел.")</f>
        <v>35 шт.*10мес.*0,00040365/8чел.</v>
      </c>
      <c r="N4899" s="164">
        <f>N4299</f>
        <v>3250.866542857143</v>
      </c>
      <c r="O4899" s="165">
        <f t="shared" si="1269"/>
        <v>57.409288999999994</v>
      </c>
      <c r="P4899" s="166"/>
      <c r="Q4899" s="166">
        <f t="shared" si="1267"/>
        <v>459.27431199999995</v>
      </c>
      <c r="R4899" s="71"/>
    </row>
    <row r="4900" spans="1:18" s="61" customFormat="1" ht="47.25" x14ac:dyDescent="0.25">
      <c r="A4900" s="358"/>
      <c r="B4900" s="361"/>
      <c r="C4900" s="366"/>
      <c r="D4900" s="156" t="s">
        <v>36</v>
      </c>
      <c r="E4900" s="156" t="s">
        <v>31</v>
      </c>
      <c r="F4900" s="156" t="s">
        <v>224</v>
      </c>
      <c r="G4900" s="238">
        <f>MROUND(H4900*L4900*I4900/K4900,0.00000001)</f>
        <v>2.17971E-2</v>
      </c>
      <c r="H4900" s="158">
        <f>H4180</f>
        <v>36</v>
      </c>
      <c r="I4900" s="159">
        <f t="shared" si="1253"/>
        <v>4.0365000000000003E-4</v>
      </c>
      <c r="J4900" s="160"/>
      <c r="K4900" s="161">
        <f>K4899</f>
        <v>8</v>
      </c>
      <c r="L4900" s="250">
        <v>12</v>
      </c>
      <c r="M4900" s="163" t="str">
        <f>CONCATENATE(H4900," ",F4900,"*",L4900,"мес.","*",I4900,"/",K4900,"чел.")</f>
        <v>36 устройств*12мес.*0,00040365/8чел.</v>
      </c>
      <c r="N4900" s="164">
        <f>N3460</f>
        <v>2508.3083101851839</v>
      </c>
      <c r="O4900" s="165">
        <f t="shared" si="1269"/>
        <v>54.673846999999995</v>
      </c>
      <c r="P4900" s="166"/>
      <c r="Q4900" s="166">
        <f t="shared" si="1267"/>
        <v>437.39077599999996</v>
      </c>
      <c r="R4900" s="71"/>
    </row>
    <row r="4901" spans="1:18" s="61" customFormat="1" ht="31.5" x14ac:dyDescent="0.25">
      <c r="A4901" s="358"/>
      <c r="B4901" s="361"/>
      <c r="C4901" s="366"/>
      <c r="D4901" s="156" t="s">
        <v>99</v>
      </c>
      <c r="E4901" s="156" t="s">
        <v>103</v>
      </c>
      <c r="F4901" s="156" t="s">
        <v>225</v>
      </c>
      <c r="G4901" s="238">
        <f>MROUND(H4901*L4901*I4901/K4901,0.00000001)</f>
        <v>1.261406E-2</v>
      </c>
      <c r="H4901" s="158">
        <f>H3461</f>
        <v>250</v>
      </c>
      <c r="I4901" s="159">
        <f t="shared" si="1253"/>
        <v>4.0365000000000003E-4</v>
      </c>
      <c r="J4901" s="160"/>
      <c r="K4901" s="161">
        <f>K4900</f>
        <v>8</v>
      </c>
      <c r="L4901" s="250">
        <v>1</v>
      </c>
      <c r="M4901" s="163" t="str">
        <f>CONCATENATE(H4901," ",F4901,"*",I4901,"/",K4901,"чел.")</f>
        <v>250 ед.*0,00040365/8чел.</v>
      </c>
      <c r="N4901" s="164">
        <f>N3461</f>
        <v>15000</v>
      </c>
      <c r="O4901" s="165">
        <f t="shared" si="1269"/>
        <v>189.21089999999998</v>
      </c>
      <c r="P4901" s="166"/>
      <c r="Q4901" s="166">
        <f t="shared" si="1267"/>
        <v>1513.6871999999998</v>
      </c>
      <c r="R4901" s="71"/>
    </row>
    <row r="4902" spans="1:18" s="61" customFormat="1" x14ac:dyDescent="0.25">
      <c r="A4902" s="358"/>
      <c r="B4902" s="361"/>
      <c r="C4902" s="366"/>
      <c r="D4902" s="156" t="s">
        <v>27</v>
      </c>
      <c r="E4902" s="156" t="s">
        <v>28</v>
      </c>
      <c r="F4902" s="156" t="s">
        <v>28</v>
      </c>
      <c r="G4902" s="238">
        <f>MROUND(H4902*L4902*I4902/K4902,0.0000000001)</f>
        <v>0.1834084688</v>
      </c>
      <c r="H4902" s="160">
        <f>H3462</f>
        <v>3635</v>
      </c>
      <c r="I4902" s="159">
        <f t="shared" si="1253"/>
        <v>4.0365000000000003E-4</v>
      </c>
      <c r="J4902" s="160"/>
      <c r="K4902" s="161">
        <f>K4901</f>
        <v>8</v>
      </c>
      <c r="L4902" s="250">
        <v>1</v>
      </c>
      <c r="M4902" s="163" t="str">
        <f>CONCATENATE(H4902," ",F4902,"*",I4902,"/",K4902,"чел.")</f>
        <v>3635 шт*0,00040365/8чел.</v>
      </c>
      <c r="N4902" s="164">
        <f>N3462</f>
        <v>418.4</v>
      </c>
      <c r="O4902" s="165">
        <f t="shared" si="1269"/>
        <v>76.738102999999995</v>
      </c>
      <c r="P4902" s="166"/>
      <c r="Q4902" s="166">
        <f t="shared" si="1267"/>
        <v>613.90482399999996</v>
      </c>
      <c r="R4902" s="71"/>
    </row>
    <row r="4903" spans="1:18" s="61" customFormat="1" ht="31.5" x14ac:dyDescent="0.25">
      <c r="A4903" s="358"/>
      <c r="B4903" s="361"/>
      <c r="C4903" s="367"/>
      <c r="D4903" s="156" t="s">
        <v>104</v>
      </c>
      <c r="E4903" s="156" t="s">
        <v>105</v>
      </c>
      <c r="F4903" s="156" t="s">
        <v>226</v>
      </c>
      <c r="G4903" s="238">
        <f>MROUND(H4903*L4903*I4903/K4903,0.00000001)</f>
        <v>1.81643E-3</v>
      </c>
      <c r="H4903" s="160">
        <f>H3823</f>
        <v>36</v>
      </c>
      <c r="I4903" s="159">
        <f t="shared" si="1253"/>
        <v>4.0365000000000003E-4</v>
      </c>
      <c r="J4903" s="160"/>
      <c r="K4903" s="161">
        <f>K4902</f>
        <v>8</v>
      </c>
      <c r="L4903" s="250">
        <v>1</v>
      </c>
      <c r="M4903" s="163" t="str">
        <f>CONCATENATE(H4903," ",F4903,"*",I4903,"/",K4903,"чел.")</f>
        <v>36 отключений*0,00040365/8чел.</v>
      </c>
      <c r="N4903" s="164">
        <f>N3463</f>
        <v>10261.260000000004</v>
      </c>
      <c r="O4903" s="165">
        <f t="shared" si="1269"/>
        <v>18.638860999999999</v>
      </c>
      <c r="P4903" s="166"/>
      <c r="Q4903" s="166">
        <f t="shared" si="1267"/>
        <v>149.11088799999999</v>
      </c>
      <c r="R4903" s="71"/>
    </row>
    <row r="4904" spans="1:18" s="62" customFormat="1" x14ac:dyDescent="0.25">
      <c r="A4904" s="358"/>
      <c r="B4904" s="361"/>
      <c r="C4904" s="249" t="s">
        <v>292</v>
      </c>
      <c r="D4904" s="240"/>
      <c r="E4904" s="240"/>
      <c r="F4904" s="240"/>
      <c r="G4904" s="227"/>
      <c r="H4904" s="228"/>
      <c r="I4904" s="206"/>
      <c r="J4904" s="228"/>
      <c r="K4904" s="207"/>
      <c r="L4904" s="257"/>
      <c r="M4904" s="209"/>
      <c r="N4904" s="210"/>
      <c r="O4904" s="198">
        <f>SUM(O4888:O4903)</f>
        <v>652.16653251999992</v>
      </c>
      <c r="P4904" s="267"/>
      <c r="Q4904" s="166"/>
      <c r="R4904" s="71"/>
    </row>
    <row r="4905" spans="1:18" s="61" customFormat="1" ht="31.5" x14ac:dyDescent="0.25">
      <c r="A4905" s="358"/>
      <c r="B4905" s="361"/>
      <c r="C4905" s="221" t="s">
        <v>79</v>
      </c>
      <c r="D4905" s="156" t="s">
        <v>37</v>
      </c>
      <c r="E4905" s="156" t="s">
        <v>61</v>
      </c>
      <c r="F4905" s="156" t="s">
        <v>227</v>
      </c>
      <c r="G4905" s="238">
        <f>MROUND(H4905*L4905*I4905/K4905,0.000000001)</f>
        <v>2.0182500000000001E-4</v>
      </c>
      <c r="H4905" s="158">
        <f>H3465</f>
        <v>4</v>
      </c>
      <c r="I4905" s="159">
        <f>I4903</f>
        <v>4.0365000000000003E-4</v>
      </c>
      <c r="J4905" s="160"/>
      <c r="K4905" s="161">
        <f>K4903</f>
        <v>8</v>
      </c>
      <c r="L4905" s="250">
        <v>1</v>
      </c>
      <c r="M4905" s="163" t="str">
        <f>CONCATENATE(H4905," ",F4905,"*",I4905,"/",K4905,"чел.")</f>
        <v>4 автобуса*0,00040365/8чел.</v>
      </c>
      <c r="N4905" s="164">
        <f>N3465</f>
        <v>36442.65</v>
      </c>
      <c r="O4905" s="165">
        <f>MROUND(G4905*N4905,0.000001)</f>
        <v>7.3550379999999995</v>
      </c>
      <c r="P4905" s="166"/>
      <c r="Q4905" s="166">
        <f t="shared" ref="Q4905" si="1270">O4905*K4905</f>
        <v>58.840303999999996</v>
      </c>
      <c r="R4905" s="71"/>
    </row>
    <row r="4906" spans="1:18" s="62" customFormat="1" x14ac:dyDescent="0.25">
      <c r="A4906" s="358"/>
      <c r="B4906" s="361"/>
      <c r="C4906" s="218" t="s">
        <v>295</v>
      </c>
      <c r="D4906" s="240"/>
      <c r="E4906" s="240"/>
      <c r="F4906" s="240"/>
      <c r="G4906" s="227"/>
      <c r="H4906" s="241"/>
      <c r="I4906" s="206"/>
      <c r="J4906" s="228"/>
      <c r="K4906" s="207"/>
      <c r="L4906" s="257"/>
      <c r="M4906" s="209"/>
      <c r="N4906" s="210"/>
      <c r="O4906" s="198">
        <f>SUM(O4905)</f>
        <v>7.3550379999999995</v>
      </c>
      <c r="P4906" s="267"/>
      <c r="Q4906" s="166"/>
      <c r="R4906" s="71"/>
    </row>
    <row r="4907" spans="1:18" s="61" customFormat="1" x14ac:dyDescent="0.25">
      <c r="A4907" s="358"/>
      <c r="B4907" s="361"/>
      <c r="C4907" s="364" t="s">
        <v>80</v>
      </c>
      <c r="D4907" s="156" t="s">
        <v>38</v>
      </c>
      <c r="E4907" s="156" t="s">
        <v>57</v>
      </c>
      <c r="F4907" s="156" t="s">
        <v>228</v>
      </c>
      <c r="G4907" s="238">
        <f>MROUND(H4907*L4907*I4907/K4907,0.0000000001)</f>
        <v>2.17971E-2</v>
      </c>
      <c r="H4907" s="158">
        <f>H3467</f>
        <v>36</v>
      </c>
      <c r="I4907" s="159">
        <f>I4905</f>
        <v>4.0365000000000003E-4</v>
      </c>
      <c r="J4907" s="160"/>
      <c r="K4907" s="161">
        <f>K4905</f>
        <v>8</v>
      </c>
      <c r="L4907" s="250">
        <v>12</v>
      </c>
      <c r="M4907" s="163" t="str">
        <f>CONCATENATE(H4907," ",F4907,"*",L4907,"мес.","*",I4907,"/",K4907,"чел.")</f>
        <v>36 зданий*12мес.*0,00040365/8чел.</v>
      </c>
      <c r="N4907" s="164">
        <f t="shared" ref="N4907:N4915" si="1271">N3467</f>
        <v>4910.5833101851858</v>
      </c>
      <c r="O4907" s="165">
        <f>MROUND(G4907*N4907,0.000001)</f>
        <v>107.036475</v>
      </c>
      <c r="P4907" s="166"/>
      <c r="Q4907" s="166">
        <f t="shared" ref="Q4907:Q4920" si="1272">O4907*K4907</f>
        <v>856.29179999999997</v>
      </c>
      <c r="R4907" s="71"/>
    </row>
    <row r="4908" spans="1:18" s="61" customFormat="1" ht="47.25" x14ac:dyDescent="0.25">
      <c r="A4908" s="358"/>
      <c r="B4908" s="361"/>
      <c r="C4908" s="364"/>
      <c r="D4908" s="156" t="s">
        <v>229</v>
      </c>
      <c r="E4908" s="156" t="s">
        <v>60</v>
      </c>
      <c r="F4908" s="156" t="s">
        <v>60</v>
      </c>
      <c r="G4908" s="238">
        <f>MROUND(H4908*L4908*I4908/K4908,0.000001)</f>
        <v>0.120792</v>
      </c>
      <c r="H4908" s="158">
        <f>H3468</f>
        <v>2394</v>
      </c>
      <c r="I4908" s="159">
        <f>I4907</f>
        <v>4.0365000000000003E-4</v>
      </c>
      <c r="J4908" s="160"/>
      <c r="K4908" s="161">
        <f>K4907</f>
        <v>8</v>
      </c>
      <c r="L4908" s="250">
        <v>1</v>
      </c>
      <c r="M4908" s="163" t="str">
        <f t="shared" ref="M4908:M4915" si="1273">CONCATENATE(H4908," ",F4908,"*",I4908,"/",K4908,"чел.")</f>
        <v>2394 шт.*0,00040365/8чел.</v>
      </c>
      <c r="N4908" s="164">
        <f t="shared" si="1271"/>
        <v>171.02101921470341</v>
      </c>
      <c r="O4908" s="165">
        <f>MROUND(G4908*N4908,0.000001)</f>
        <v>20.657971</v>
      </c>
      <c r="P4908" s="166"/>
      <c r="Q4908" s="166">
        <f t="shared" si="1272"/>
        <v>165.263768</v>
      </c>
      <c r="R4908" s="71"/>
    </row>
    <row r="4909" spans="1:18" s="61" customFormat="1" ht="47.25" x14ac:dyDescent="0.25">
      <c r="A4909" s="358"/>
      <c r="B4909" s="361"/>
      <c r="C4909" s="364"/>
      <c r="D4909" s="156" t="s">
        <v>405</v>
      </c>
      <c r="E4909" s="156" t="s">
        <v>60</v>
      </c>
      <c r="F4909" s="156" t="s">
        <v>406</v>
      </c>
      <c r="G4909" s="238">
        <f>MROUND(H4909*L4909*I4909/K4909,0.00000001)</f>
        <v>1.81643E-3</v>
      </c>
      <c r="H4909" s="158">
        <f>H3589</f>
        <v>36</v>
      </c>
      <c r="I4909" s="159">
        <f>I4908</f>
        <v>4.0365000000000003E-4</v>
      </c>
      <c r="J4909" s="160"/>
      <c r="K4909" s="161">
        <f>K4908</f>
        <v>8</v>
      </c>
      <c r="L4909" s="250">
        <v>1</v>
      </c>
      <c r="M4909" s="163" t="str">
        <f t="shared" si="1273"/>
        <v>36 лицензий*0,00040365/8чел.</v>
      </c>
      <c r="N4909" s="164">
        <f t="shared" si="1271"/>
        <v>12541.539999999994</v>
      </c>
      <c r="O4909" s="165">
        <f t="shared" ref="O4909:O4918" si="1274">MROUND(G4909*N4909,0.000001)</f>
        <v>22.780829999999998</v>
      </c>
      <c r="P4909" s="166"/>
      <c r="Q4909" s="166">
        <f t="shared" si="1272"/>
        <v>182.24663999999999</v>
      </c>
      <c r="R4909" s="71"/>
    </row>
    <row r="4910" spans="1:18" s="61" customFormat="1" ht="63" x14ac:dyDescent="0.25">
      <c r="A4910" s="358"/>
      <c r="B4910" s="361"/>
      <c r="C4910" s="364"/>
      <c r="D4910" s="156" t="s">
        <v>39</v>
      </c>
      <c r="E4910" s="156" t="s">
        <v>20</v>
      </c>
      <c r="F4910" s="156" t="s">
        <v>234</v>
      </c>
      <c r="G4910" s="238">
        <f>MROUND(H4910*L4910*I4910/K4910,0.000000001)</f>
        <v>5.9538380000000004E-3</v>
      </c>
      <c r="H4910" s="158">
        <f>H4430</f>
        <v>118</v>
      </c>
      <c r="I4910" s="159">
        <f>I4908</f>
        <v>4.0365000000000003E-4</v>
      </c>
      <c r="J4910" s="160"/>
      <c r="K4910" s="161">
        <f>K4908</f>
        <v>8</v>
      </c>
      <c r="L4910" s="250">
        <v>1</v>
      </c>
      <c r="M4910" s="163" t="str">
        <f t="shared" si="1273"/>
        <v>118 чел(заявленная потребность руководителями учреждений)*0,00040365/8чел.</v>
      </c>
      <c r="N4910" s="164">
        <f t="shared" si="1271"/>
        <v>798.09796610169519</v>
      </c>
      <c r="O4910" s="165">
        <f t="shared" si="1274"/>
        <v>4.7517459999999998</v>
      </c>
      <c r="P4910" s="166"/>
      <c r="Q4910" s="166">
        <f t="shared" si="1272"/>
        <v>38.013967999999998</v>
      </c>
      <c r="R4910" s="71"/>
    </row>
    <row r="4911" spans="1:18" s="61" customFormat="1" ht="63" x14ac:dyDescent="0.25">
      <c r="A4911" s="358"/>
      <c r="B4911" s="361"/>
      <c r="C4911" s="364"/>
      <c r="D4911" s="156" t="s">
        <v>40</v>
      </c>
      <c r="E4911" s="156" t="s">
        <v>20</v>
      </c>
      <c r="F4911" s="156" t="s">
        <v>234</v>
      </c>
      <c r="G4911" s="238">
        <f>MROUND(H4911*L4911*I4911/K4911,0.000000001)</f>
        <v>4.8438000000000005E-3</v>
      </c>
      <c r="H4911" s="158">
        <f>H4431</f>
        <v>96</v>
      </c>
      <c r="I4911" s="159">
        <f t="shared" ref="I4911:I4918" si="1275">I4910</f>
        <v>4.0365000000000003E-4</v>
      </c>
      <c r="J4911" s="160"/>
      <c r="K4911" s="161">
        <f t="shared" ref="K4911:K4918" si="1276">K4910</f>
        <v>8</v>
      </c>
      <c r="L4911" s="250">
        <v>1</v>
      </c>
      <c r="M4911" s="163" t="str">
        <f t="shared" si="1273"/>
        <v>96 чел(заявленная потребность руководителями учреждений)*0,00040365/8чел.</v>
      </c>
      <c r="N4911" s="164">
        <f t="shared" si="1271"/>
        <v>1710.2100000000007</v>
      </c>
      <c r="O4911" s="165">
        <f t="shared" si="1274"/>
        <v>8.2839150000000004</v>
      </c>
      <c r="P4911" s="166"/>
      <c r="Q4911" s="166">
        <f t="shared" si="1272"/>
        <v>66.271320000000003</v>
      </c>
      <c r="R4911" s="71"/>
    </row>
    <row r="4912" spans="1:18" s="61" customFormat="1" ht="63" x14ac:dyDescent="0.25">
      <c r="A4912" s="358"/>
      <c r="B4912" s="361"/>
      <c r="C4912" s="364"/>
      <c r="D4912" s="156" t="s">
        <v>100</v>
      </c>
      <c r="E4912" s="156" t="s">
        <v>20</v>
      </c>
      <c r="F4912" s="156" t="s">
        <v>234</v>
      </c>
      <c r="G4912" s="238">
        <f>MROUND(H4912*L4912*I4912/K4912,0.0000000001)</f>
        <v>4.0869562999999998E-3</v>
      </c>
      <c r="H4912" s="158">
        <f>H4432</f>
        <v>81</v>
      </c>
      <c r="I4912" s="159">
        <f t="shared" si="1275"/>
        <v>4.0365000000000003E-4</v>
      </c>
      <c r="J4912" s="160"/>
      <c r="K4912" s="161">
        <f t="shared" si="1276"/>
        <v>8</v>
      </c>
      <c r="L4912" s="250">
        <v>1</v>
      </c>
      <c r="M4912" s="163" t="str">
        <f t="shared" si="1273"/>
        <v>81 чел(заявленная потребность руководителями учреждений)*0,00040365/8чел.</v>
      </c>
      <c r="N4912" s="164">
        <f t="shared" si="1271"/>
        <v>3648.448148148148</v>
      </c>
      <c r="O4912" s="165">
        <f t="shared" si="1274"/>
        <v>14.911047999999999</v>
      </c>
      <c r="P4912" s="166"/>
      <c r="Q4912" s="166">
        <f t="shared" si="1272"/>
        <v>119.28838399999999</v>
      </c>
      <c r="R4912" s="71"/>
    </row>
    <row r="4913" spans="1:18" s="61" customFormat="1" ht="110.25" x14ac:dyDescent="0.25">
      <c r="A4913" s="358"/>
      <c r="B4913" s="361"/>
      <c r="C4913" s="364"/>
      <c r="D4913" s="156" t="s">
        <v>235</v>
      </c>
      <c r="E4913" s="156" t="s">
        <v>50</v>
      </c>
      <c r="F4913" s="156" t="s">
        <v>230</v>
      </c>
      <c r="G4913" s="238">
        <f>MROUND(H4913*L4913*I4913/K4913,0.00000001)</f>
        <v>1.81643E-3</v>
      </c>
      <c r="H4913" s="158">
        <f>H4673</f>
        <v>36</v>
      </c>
      <c r="I4913" s="159">
        <f t="shared" si="1275"/>
        <v>4.0365000000000003E-4</v>
      </c>
      <c r="J4913" s="160"/>
      <c r="K4913" s="161">
        <f t="shared" si="1276"/>
        <v>8</v>
      </c>
      <c r="L4913" s="250">
        <v>1</v>
      </c>
      <c r="M4913" s="163" t="str">
        <f t="shared" si="1273"/>
        <v>36 отчетов*0,00040365/8чел.</v>
      </c>
      <c r="N4913" s="164">
        <f t="shared" si="1271"/>
        <v>6840.8399999999974</v>
      </c>
      <c r="O4913" s="165">
        <f t="shared" si="1274"/>
        <v>12.425906999999999</v>
      </c>
      <c r="P4913" s="166"/>
      <c r="Q4913" s="166">
        <f t="shared" si="1272"/>
        <v>99.40725599999999</v>
      </c>
      <c r="R4913" s="71"/>
    </row>
    <row r="4914" spans="1:18" s="61" customFormat="1" ht="63" x14ac:dyDescent="0.25">
      <c r="A4914" s="358"/>
      <c r="B4914" s="361"/>
      <c r="C4914" s="364"/>
      <c r="D4914" s="156" t="s">
        <v>42</v>
      </c>
      <c r="E4914" s="156" t="s">
        <v>51</v>
      </c>
      <c r="F4914" s="156" t="s">
        <v>407</v>
      </c>
      <c r="G4914" s="238">
        <f>MROUND(H4914*L4914*I4914/K4914,0.000001)</f>
        <v>1.0293E-2</v>
      </c>
      <c r="H4914" s="158">
        <f>H4434</f>
        <v>204</v>
      </c>
      <c r="I4914" s="159">
        <f t="shared" si="1275"/>
        <v>4.0365000000000003E-4</v>
      </c>
      <c r="J4914" s="160"/>
      <c r="K4914" s="161">
        <f t="shared" si="1276"/>
        <v>8</v>
      </c>
      <c r="L4914" s="250">
        <v>1</v>
      </c>
      <c r="M4914" s="163" t="str">
        <f t="shared" si="1273"/>
        <v>204 ед (заявленная потребность руководителями учреждений)*0,00040365/8чел.</v>
      </c>
      <c r="N4914" s="164">
        <f t="shared" si="1271"/>
        <v>1140.1400000000001</v>
      </c>
      <c r="O4914" s="165">
        <f t="shared" si="1274"/>
        <v>11.735460999999999</v>
      </c>
      <c r="P4914" s="166"/>
      <c r="Q4914" s="166">
        <f t="shared" si="1272"/>
        <v>93.883687999999992</v>
      </c>
      <c r="R4914" s="71"/>
    </row>
    <row r="4915" spans="1:18" s="61" customFormat="1" ht="31.5" x14ac:dyDescent="0.25">
      <c r="A4915" s="358"/>
      <c r="B4915" s="361"/>
      <c r="C4915" s="364"/>
      <c r="D4915" s="156" t="s">
        <v>43</v>
      </c>
      <c r="E4915" s="156" t="s">
        <v>52</v>
      </c>
      <c r="F4915" s="156" t="s">
        <v>231</v>
      </c>
      <c r="G4915" s="238">
        <f>MROUND(H4915*L4915*I4915/K4915,0.000000001)</f>
        <v>1.8164250000000002E-3</v>
      </c>
      <c r="H4915" s="158">
        <f>H3835</f>
        <v>36</v>
      </c>
      <c r="I4915" s="159">
        <f t="shared" si="1275"/>
        <v>4.0365000000000003E-4</v>
      </c>
      <c r="J4915" s="160"/>
      <c r="K4915" s="161">
        <f t="shared" si="1276"/>
        <v>8</v>
      </c>
      <c r="L4915" s="250">
        <v>1</v>
      </c>
      <c r="M4915" s="163" t="str">
        <f t="shared" si="1273"/>
        <v>36 ЭЦП*0,00040365/8чел.</v>
      </c>
      <c r="N4915" s="164">
        <f t="shared" si="1271"/>
        <v>8099.5499999999947</v>
      </c>
      <c r="O4915" s="165">
        <f t="shared" si="1274"/>
        <v>14.712225</v>
      </c>
      <c r="P4915" s="166"/>
      <c r="Q4915" s="166">
        <f t="shared" si="1272"/>
        <v>117.6978</v>
      </c>
      <c r="R4915" s="71"/>
    </row>
    <row r="4916" spans="1:18" s="61" customFormat="1" ht="47.25" x14ac:dyDescent="0.25">
      <c r="A4916" s="358"/>
      <c r="B4916" s="361"/>
      <c r="C4916" s="364"/>
      <c r="D4916" s="156" t="s">
        <v>44</v>
      </c>
      <c r="E4916" s="156" t="s">
        <v>85</v>
      </c>
      <c r="F4916" s="156" t="s">
        <v>232</v>
      </c>
      <c r="G4916" s="238">
        <f>MROUND(H4916*L4916*I4916/K4916,0.000001)</f>
        <v>6.1355E-2</v>
      </c>
      <c r="H4916" s="158">
        <f>H3836</f>
        <v>1216</v>
      </c>
      <c r="I4916" s="159">
        <f t="shared" si="1275"/>
        <v>4.0365000000000003E-4</v>
      </c>
      <c r="J4916" s="160"/>
      <c r="K4916" s="161">
        <f t="shared" si="1276"/>
        <v>8</v>
      </c>
      <c r="L4916" s="250">
        <v>1</v>
      </c>
      <c r="M4916" s="163" t="str">
        <f>CONCATENATE(H4916," ",F4916,"*",L4916,"мес.","*",I4916,"/",K4916,"чел.")</f>
        <v>1216 мед.осмотров в мес.*1мес.*0,00040365/8чел.</v>
      </c>
      <c r="N4916" s="164">
        <f>N3836</f>
        <v>59.287277960526318</v>
      </c>
      <c r="O4916" s="165">
        <f t="shared" si="1274"/>
        <v>3.6375709999999999</v>
      </c>
      <c r="P4916" s="166"/>
      <c r="Q4916" s="166">
        <f t="shared" si="1272"/>
        <v>29.100567999999999</v>
      </c>
      <c r="R4916" s="71"/>
    </row>
    <row r="4917" spans="1:18" s="61" customFormat="1" ht="63" x14ac:dyDescent="0.25">
      <c r="A4917" s="358"/>
      <c r="B4917" s="361"/>
      <c r="C4917" s="364"/>
      <c r="D4917" s="156" t="s">
        <v>45</v>
      </c>
      <c r="E4917" s="156" t="s">
        <v>53</v>
      </c>
      <c r="F4917" s="156" t="s">
        <v>233</v>
      </c>
      <c r="G4917" s="238">
        <f>MROUND(H4917*L4917*I4917/K4917,0.000000001)</f>
        <v>2.4219000000000003E-3</v>
      </c>
      <c r="H4917" s="158">
        <f>H4437</f>
        <v>4</v>
      </c>
      <c r="I4917" s="159">
        <f t="shared" si="1275"/>
        <v>4.0365000000000003E-4</v>
      </c>
      <c r="J4917" s="160"/>
      <c r="K4917" s="161">
        <f t="shared" si="1276"/>
        <v>8</v>
      </c>
      <c r="L4917" s="250">
        <v>12</v>
      </c>
      <c r="M4917" s="163" t="str">
        <f>CONCATENATE(H4917," ",F4917,"*",L4917,"мес.","*",I4917,"/",K4917,"чел.")</f>
        <v>4  машины, оборудованных системой ГЛОНАСС*12мес.*0,00040365/8чел.</v>
      </c>
      <c r="N4917" s="164">
        <f>N3477</f>
        <v>921.23312500000009</v>
      </c>
      <c r="O4917" s="165">
        <f t="shared" si="1274"/>
        <v>2.2311350000000001</v>
      </c>
      <c r="P4917" s="166"/>
      <c r="Q4917" s="166">
        <f t="shared" si="1272"/>
        <v>17.849080000000001</v>
      </c>
      <c r="R4917" s="71"/>
    </row>
    <row r="4918" spans="1:18" s="61" customFormat="1" ht="31.5" x14ac:dyDescent="0.25">
      <c r="A4918" s="358"/>
      <c r="B4918" s="361"/>
      <c r="C4918" s="364"/>
      <c r="D4918" s="156" t="s">
        <v>408</v>
      </c>
      <c r="E4918" s="156" t="s">
        <v>20</v>
      </c>
      <c r="F4918" s="156" t="s">
        <v>20</v>
      </c>
      <c r="G4918" s="238">
        <f>MROUND(H4918*L4918*I4918/K4918,0.000000001)</f>
        <v>8.562425600000001E-2</v>
      </c>
      <c r="H4918" s="158">
        <f>H3478</f>
        <v>1697</v>
      </c>
      <c r="I4918" s="159">
        <f t="shared" si="1275"/>
        <v>4.0365000000000003E-4</v>
      </c>
      <c r="J4918" s="160"/>
      <c r="K4918" s="161">
        <f t="shared" si="1276"/>
        <v>8</v>
      </c>
      <c r="L4918" s="250">
        <v>1</v>
      </c>
      <c r="M4918" s="163" t="str">
        <f>CONCATENATE(H4918," ",F4918,"*",L4918," раз в год","*",I4918,"/",K4918,"чел.")</f>
        <v>1697 чел.*1 раз в год*0,00040365/8чел.</v>
      </c>
      <c r="N4918" s="164">
        <f>N3478</f>
        <v>570.06999999999994</v>
      </c>
      <c r="O4918" s="165">
        <f t="shared" si="1274"/>
        <v>48.811819999999997</v>
      </c>
      <c r="P4918" s="166"/>
      <c r="Q4918" s="166">
        <f t="shared" si="1272"/>
        <v>390.49455999999998</v>
      </c>
      <c r="R4918" s="71"/>
    </row>
    <row r="4919" spans="1:18" s="61" customFormat="1" x14ac:dyDescent="0.25">
      <c r="A4919" s="358"/>
      <c r="B4919" s="361"/>
      <c r="C4919" s="364"/>
      <c r="D4919" s="156" t="s">
        <v>373</v>
      </c>
      <c r="E4919" s="156" t="s">
        <v>28</v>
      </c>
      <c r="F4919" s="156" t="s">
        <v>28</v>
      </c>
      <c r="G4919" s="157">
        <f>MROUND(H4919*L4919*I4919/K4919,0.000000001)</f>
        <v>1.8164250000000002E-3</v>
      </c>
      <c r="H4919" s="158">
        <f>H3480</f>
        <v>36</v>
      </c>
      <c r="I4919" s="159">
        <f>I4917</f>
        <v>4.0365000000000003E-4</v>
      </c>
      <c r="J4919" s="160"/>
      <c r="K4919" s="161">
        <f>K4917</f>
        <v>8</v>
      </c>
      <c r="L4919" s="162">
        <v>1</v>
      </c>
      <c r="M4919" s="163" t="str">
        <f>CONCATENATE(H4919," ",F4919,"*",L4919,"мес.","*",I4919,"/",K4919,"чел.")</f>
        <v>36 шт*1мес.*0,00040365/8чел.</v>
      </c>
      <c r="N4919" s="164">
        <f>N3480</f>
        <v>24000</v>
      </c>
      <c r="O4919" s="165">
        <f>MROUND(G4919*N4919,0.000000001)</f>
        <v>43.594200000000001</v>
      </c>
      <c r="P4919" s="166"/>
      <c r="Q4919" s="166">
        <f t="shared" si="1272"/>
        <v>348.75360000000001</v>
      </c>
      <c r="R4919" s="71"/>
    </row>
    <row r="4920" spans="1:18" s="61" customFormat="1" ht="31.5" x14ac:dyDescent="0.25">
      <c r="A4920" s="358"/>
      <c r="B4920" s="361"/>
      <c r="C4920" s="364"/>
      <c r="D4920" s="156" t="s">
        <v>106</v>
      </c>
      <c r="E4920" s="156" t="s">
        <v>107</v>
      </c>
      <c r="F4920" s="156"/>
      <c r="G4920" s="238">
        <f>MROUND(H4920*L4920*I4920/K4920,0.000000001)</f>
        <v>0</v>
      </c>
      <c r="H4920" s="158">
        <f>H3479</f>
        <v>0</v>
      </c>
      <c r="I4920" s="159">
        <f>I4917</f>
        <v>4.0365000000000003E-4</v>
      </c>
      <c r="J4920" s="160"/>
      <c r="K4920" s="161">
        <f>K4917</f>
        <v>8</v>
      </c>
      <c r="L4920" s="250">
        <f>L3840</f>
        <v>0</v>
      </c>
      <c r="M4920" s="163"/>
      <c r="N4920" s="164">
        <f>N3479</f>
        <v>6.0000000000000002E-5</v>
      </c>
      <c r="O4920" s="165">
        <f>MROUND(G4920*N4920,0.000000001)</f>
        <v>0</v>
      </c>
      <c r="P4920" s="166"/>
      <c r="Q4920" s="166">
        <f t="shared" si="1272"/>
        <v>0</v>
      </c>
      <c r="R4920" s="71"/>
    </row>
    <row r="4921" spans="1:18" s="62" customFormat="1" x14ac:dyDescent="0.25">
      <c r="A4921" s="358"/>
      <c r="B4921" s="361"/>
      <c r="C4921" s="245" t="s">
        <v>296</v>
      </c>
      <c r="D4921" s="240"/>
      <c r="E4921" s="240"/>
      <c r="F4921" s="240"/>
      <c r="G4921" s="227"/>
      <c r="H4921" s="241"/>
      <c r="I4921" s="206"/>
      <c r="J4921" s="228"/>
      <c r="K4921" s="207"/>
      <c r="L4921" s="257"/>
      <c r="M4921" s="209"/>
      <c r="N4921" s="210"/>
      <c r="O4921" s="198">
        <f>SUM(O4907:O4920)</f>
        <v>315.57030399999996</v>
      </c>
      <c r="P4921" s="267"/>
      <c r="Q4921" s="166"/>
      <c r="R4921" s="71"/>
    </row>
    <row r="4922" spans="1:18" s="61" customFormat="1" ht="31.5" x14ac:dyDescent="0.25">
      <c r="A4922" s="358"/>
      <c r="B4922" s="361"/>
      <c r="C4922" s="252" t="s">
        <v>237</v>
      </c>
      <c r="D4922" s="156" t="s">
        <v>41</v>
      </c>
      <c r="E4922" s="156" t="s">
        <v>61</v>
      </c>
      <c r="F4922" s="156" t="s">
        <v>227</v>
      </c>
      <c r="G4922" s="238">
        <f>MROUND(H4922*L4922*I4922/K4922,0.000000001)</f>
        <v>2.0182500000000001E-4</v>
      </c>
      <c r="H4922" s="158">
        <f>H3842</f>
        <v>4</v>
      </c>
      <c r="I4922" s="159">
        <f>I4920</f>
        <v>4.0365000000000003E-4</v>
      </c>
      <c r="J4922" s="160"/>
      <c r="K4922" s="161">
        <f>K4920</f>
        <v>8</v>
      </c>
      <c r="L4922" s="250">
        <v>1</v>
      </c>
      <c r="M4922" s="163" t="str">
        <f>CONCATENATE(H4922," ",F4922,"*",I4922,"/",K4922,"чел.")</f>
        <v>4 автобуса*0,00040365/8чел.</v>
      </c>
      <c r="N4922" s="164">
        <f>N3482</f>
        <v>26907.305</v>
      </c>
      <c r="O4922" s="165">
        <f>MROUND(G4922*N4922,0.000001)</f>
        <v>5.4305669999999999</v>
      </c>
      <c r="P4922" s="166"/>
      <c r="Q4922" s="166">
        <f t="shared" ref="Q4922" si="1277">O4922*K4922</f>
        <v>43.444535999999999</v>
      </c>
      <c r="R4922" s="71"/>
    </row>
    <row r="4923" spans="1:18" s="62" customFormat="1" x14ac:dyDescent="0.25">
      <c r="A4923" s="358"/>
      <c r="B4923" s="361"/>
      <c r="C4923" s="245" t="s">
        <v>297</v>
      </c>
      <c r="D4923" s="240"/>
      <c r="E4923" s="240"/>
      <c r="F4923" s="240"/>
      <c r="G4923" s="227"/>
      <c r="H4923" s="241"/>
      <c r="I4923" s="206"/>
      <c r="J4923" s="228"/>
      <c r="K4923" s="207"/>
      <c r="L4923" s="257"/>
      <c r="M4923" s="209"/>
      <c r="N4923" s="210"/>
      <c r="O4923" s="198">
        <f>SUM(O4922)</f>
        <v>5.4305669999999999</v>
      </c>
      <c r="P4923" s="267"/>
      <c r="Q4923" s="166"/>
      <c r="R4923" s="71"/>
    </row>
    <row r="4924" spans="1:18" s="61" customFormat="1" ht="78.75" x14ac:dyDescent="0.25">
      <c r="A4924" s="358"/>
      <c r="B4924" s="361"/>
      <c r="C4924" s="221" t="s">
        <v>236</v>
      </c>
      <c r="D4924" s="156" t="s">
        <v>19</v>
      </c>
      <c r="E4924" s="181" t="s">
        <v>20</v>
      </c>
      <c r="F4924" s="181" t="s">
        <v>238</v>
      </c>
      <c r="G4924" s="238">
        <f>MROUND(H4924*L4924*I4924/K4924,0.000001)</f>
        <v>0</v>
      </c>
      <c r="H4924" s="158"/>
      <c r="I4924" s="159">
        <f>I4920</f>
        <v>4.0365000000000003E-4</v>
      </c>
      <c r="J4924" s="160"/>
      <c r="K4924" s="161">
        <f>K4920</f>
        <v>8</v>
      </c>
      <c r="L4924" s="250"/>
      <c r="M4924" s="163"/>
      <c r="N4924" s="164"/>
      <c r="O4924" s="165">
        <f>MROUND(G4924*N4924,0.000001)</f>
        <v>0</v>
      </c>
      <c r="P4924" s="166"/>
      <c r="Q4924" s="166">
        <f t="shared" ref="Q4924" si="1278">O4924*K4924</f>
        <v>0</v>
      </c>
      <c r="R4924" s="71"/>
    </row>
    <row r="4925" spans="1:18" s="62" customFormat="1" x14ac:dyDescent="0.25">
      <c r="A4925" s="358"/>
      <c r="B4925" s="361"/>
      <c r="C4925" s="245" t="s">
        <v>298</v>
      </c>
      <c r="D4925" s="240"/>
      <c r="E4925" s="253"/>
      <c r="F4925" s="253"/>
      <c r="G4925" s="227"/>
      <c r="H4925" s="241"/>
      <c r="I4925" s="206"/>
      <c r="J4925" s="228"/>
      <c r="K4925" s="207"/>
      <c r="L4925" s="257"/>
      <c r="M4925" s="209"/>
      <c r="N4925" s="210"/>
      <c r="O4925" s="198">
        <f>SUM(O4924)</f>
        <v>0</v>
      </c>
      <c r="P4925" s="267"/>
      <c r="Q4925" s="166"/>
      <c r="R4925" s="71"/>
    </row>
    <row r="4926" spans="1:18" s="61" customFormat="1" ht="30" x14ac:dyDescent="0.25">
      <c r="A4926" s="358"/>
      <c r="B4926" s="361"/>
      <c r="C4926" s="365" t="s">
        <v>81</v>
      </c>
      <c r="D4926" s="254" t="s">
        <v>410</v>
      </c>
      <c r="E4926" s="156" t="s">
        <v>28</v>
      </c>
      <c r="F4926" s="156" t="s">
        <v>28</v>
      </c>
      <c r="G4926" s="238">
        <f>MROUND(H4926*L4926*I4926/K4926,0.0000000001)</f>
        <v>0</v>
      </c>
      <c r="H4926" s="158"/>
      <c r="I4926" s="159">
        <f>I4920</f>
        <v>4.0365000000000003E-4</v>
      </c>
      <c r="J4926" s="160"/>
      <c r="K4926" s="161">
        <f>K4920</f>
        <v>8</v>
      </c>
      <c r="L4926" s="250">
        <v>1</v>
      </c>
      <c r="M4926" s="163"/>
      <c r="N4926" s="164"/>
      <c r="O4926" s="165">
        <f>MROUND(G4926*N4926,0.000001)</f>
        <v>0</v>
      </c>
      <c r="P4926" s="166"/>
      <c r="Q4926" s="166">
        <f t="shared" ref="Q4926:Q4949" si="1279">O4926*K4926</f>
        <v>0</v>
      </c>
      <c r="R4926" s="71"/>
    </row>
    <row r="4927" spans="1:18" s="61" customFormat="1" x14ac:dyDescent="0.25">
      <c r="A4927" s="358"/>
      <c r="B4927" s="361"/>
      <c r="C4927" s="366"/>
      <c r="D4927" s="254" t="s">
        <v>325</v>
      </c>
      <c r="E4927" s="156" t="s">
        <v>28</v>
      </c>
      <c r="F4927" s="156" t="s">
        <v>28</v>
      </c>
      <c r="G4927" s="157">
        <f>MROUND(H4927*L4927*I4927/K4927,0.0000000001)</f>
        <v>0</v>
      </c>
      <c r="H4927" s="158"/>
      <c r="I4927" s="159">
        <f>I4926</f>
        <v>4.0365000000000003E-4</v>
      </c>
      <c r="J4927" s="160"/>
      <c r="K4927" s="161">
        <f>K4926</f>
        <v>8</v>
      </c>
      <c r="L4927" s="250">
        <v>1</v>
      </c>
      <c r="M4927" s="163"/>
      <c r="N4927" s="164"/>
      <c r="O4927" s="165">
        <f>MROUND(G4927*N4927,0.000001)</f>
        <v>0</v>
      </c>
      <c r="P4927" s="166"/>
      <c r="Q4927" s="166">
        <f t="shared" si="1279"/>
        <v>0</v>
      </c>
      <c r="R4927" s="71"/>
    </row>
    <row r="4928" spans="1:18" s="61" customFormat="1" ht="30" x14ac:dyDescent="0.25">
      <c r="A4928" s="358"/>
      <c r="B4928" s="361"/>
      <c r="C4928" s="366"/>
      <c r="D4928" s="254" t="s">
        <v>411</v>
      </c>
      <c r="E4928" s="156" t="s">
        <v>28</v>
      </c>
      <c r="F4928" s="156" t="s">
        <v>28</v>
      </c>
      <c r="G4928" s="238">
        <f>MROUND(H4928*L4928*I4928/K4928,0.00000001)</f>
        <v>0</v>
      </c>
      <c r="H4928" s="158"/>
      <c r="I4928" s="159">
        <f>I4926</f>
        <v>4.0365000000000003E-4</v>
      </c>
      <c r="J4928" s="160"/>
      <c r="K4928" s="161">
        <f>K4926</f>
        <v>8</v>
      </c>
      <c r="L4928" s="250">
        <v>1</v>
      </c>
      <c r="M4928" s="163"/>
      <c r="N4928" s="164"/>
      <c r="O4928" s="165">
        <f t="shared" ref="O4928:O4949" si="1280">MROUND(G4928*N4928,0.000001)</f>
        <v>0</v>
      </c>
      <c r="P4928" s="166"/>
      <c r="Q4928" s="166">
        <f t="shared" si="1279"/>
        <v>0</v>
      </c>
      <c r="R4928" s="71"/>
    </row>
    <row r="4929" spans="1:18" s="61" customFormat="1" x14ac:dyDescent="0.25">
      <c r="A4929" s="358"/>
      <c r="B4929" s="361"/>
      <c r="C4929" s="366"/>
      <c r="D4929" s="255" t="s">
        <v>412</v>
      </c>
      <c r="E4929" s="156" t="s">
        <v>28</v>
      </c>
      <c r="F4929" s="156" t="s">
        <v>28</v>
      </c>
      <c r="G4929" s="238">
        <f>MROUND(H4929*L4929*I4929/K4929,0.00000001)</f>
        <v>0</v>
      </c>
      <c r="H4929" s="158"/>
      <c r="I4929" s="159">
        <f>I4928</f>
        <v>4.0365000000000003E-4</v>
      </c>
      <c r="J4929" s="160"/>
      <c r="K4929" s="161">
        <f>K4928</f>
        <v>8</v>
      </c>
      <c r="L4929" s="250">
        <v>1</v>
      </c>
      <c r="M4929" s="163"/>
      <c r="N4929" s="164"/>
      <c r="O4929" s="165">
        <f t="shared" si="1280"/>
        <v>0</v>
      </c>
      <c r="P4929" s="166"/>
      <c r="Q4929" s="166">
        <f t="shared" si="1279"/>
        <v>0</v>
      </c>
      <c r="R4929" s="71"/>
    </row>
    <row r="4930" spans="1:18" s="61" customFormat="1" ht="31.5" x14ac:dyDescent="0.25">
      <c r="A4930" s="358"/>
      <c r="B4930" s="361"/>
      <c r="C4930" s="366"/>
      <c r="D4930" s="255" t="s">
        <v>413</v>
      </c>
      <c r="E4930" s="156" t="s">
        <v>28</v>
      </c>
      <c r="F4930" s="156" t="s">
        <v>28</v>
      </c>
      <c r="G4930" s="238">
        <f>MROUND(H4930*L4930*I4930/K4930,0.0000000001)</f>
        <v>0</v>
      </c>
      <c r="H4930" s="158"/>
      <c r="I4930" s="159">
        <f>I4929</f>
        <v>4.0365000000000003E-4</v>
      </c>
      <c r="J4930" s="160"/>
      <c r="K4930" s="161">
        <f>K4929</f>
        <v>8</v>
      </c>
      <c r="L4930" s="250">
        <v>1</v>
      </c>
      <c r="M4930" s="163"/>
      <c r="N4930" s="164"/>
      <c r="O4930" s="165">
        <f t="shared" si="1280"/>
        <v>0</v>
      </c>
      <c r="P4930" s="166"/>
      <c r="Q4930" s="166">
        <f t="shared" si="1279"/>
        <v>0</v>
      </c>
      <c r="R4930" s="71"/>
    </row>
    <row r="4931" spans="1:18" s="61" customFormat="1" x14ac:dyDescent="0.25">
      <c r="A4931" s="358"/>
      <c r="B4931" s="361"/>
      <c r="C4931" s="366"/>
      <c r="D4931" s="254" t="s">
        <v>109</v>
      </c>
      <c r="E4931" s="156" t="s">
        <v>28</v>
      </c>
      <c r="F4931" s="156" t="s">
        <v>28</v>
      </c>
      <c r="G4931" s="238">
        <f>MROUND(H4931*L4931*I4931/K4931,0.0000000001)</f>
        <v>0</v>
      </c>
      <c r="H4931" s="158"/>
      <c r="I4931" s="159">
        <f>I4930</f>
        <v>4.0365000000000003E-4</v>
      </c>
      <c r="J4931" s="160"/>
      <c r="K4931" s="161">
        <f>K4930</f>
        <v>8</v>
      </c>
      <c r="L4931" s="250">
        <v>1</v>
      </c>
      <c r="M4931" s="163"/>
      <c r="N4931" s="164"/>
      <c r="O4931" s="165">
        <f t="shared" si="1280"/>
        <v>0</v>
      </c>
      <c r="P4931" s="166"/>
      <c r="Q4931" s="166">
        <f t="shared" si="1279"/>
        <v>0</v>
      </c>
      <c r="R4931" s="71"/>
    </row>
    <row r="4932" spans="1:18" s="61" customFormat="1" x14ac:dyDescent="0.25">
      <c r="A4932" s="358"/>
      <c r="B4932" s="361"/>
      <c r="C4932" s="366"/>
      <c r="D4932" s="254" t="s">
        <v>414</v>
      </c>
      <c r="E4932" s="156" t="s">
        <v>28</v>
      </c>
      <c r="F4932" s="156" t="s">
        <v>28</v>
      </c>
      <c r="G4932" s="238">
        <f>MROUND(H4932*L4932*I4932/K4932,0.0000000001)</f>
        <v>0</v>
      </c>
      <c r="H4932" s="158"/>
      <c r="I4932" s="159">
        <f>I4930</f>
        <v>4.0365000000000003E-4</v>
      </c>
      <c r="J4932" s="160"/>
      <c r="K4932" s="161">
        <f>K4930</f>
        <v>8</v>
      </c>
      <c r="L4932" s="250">
        <v>1</v>
      </c>
      <c r="M4932" s="163"/>
      <c r="N4932" s="164"/>
      <c r="O4932" s="165">
        <f t="shared" si="1280"/>
        <v>0</v>
      </c>
      <c r="P4932" s="166"/>
      <c r="Q4932" s="166">
        <f t="shared" si="1279"/>
        <v>0</v>
      </c>
      <c r="R4932" s="71"/>
    </row>
    <row r="4933" spans="1:18" s="61" customFormat="1" x14ac:dyDescent="0.25">
      <c r="A4933" s="358"/>
      <c r="B4933" s="361"/>
      <c r="C4933" s="366"/>
      <c r="D4933" s="254" t="s">
        <v>415</v>
      </c>
      <c r="E4933" s="156" t="s">
        <v>28</v>
      </c>
      <c r="F4933" s="156" t="s">
        <v>28</v>
      </c>
      <c r="G4933" s="238">
        <f>MROUND(H4933*L4933*I4933/K4933,0.00000001)</f>
        <v>0</v>
      </c>
      <c r="H4933" s="158"/>
      <c r="I4933" s="159">
        <f t="shared" ref="I4933:I4942" si="1281">I4931</f>
        <v>4.0365000000000003E-4</v>
      </c>
      <c r="J4933" s="160"/>
      <c r="K4933" s="161">
        <f t="shared" ref="K4933:K4942" si="1282">K4931</f>
        <v>8</v>
      </c>
      <c r="L4933" s="250">
        <v>1</v>
      </c>
      <c r="M4933" s="163"/>
      <c r="N4933" s="164"/>
      <c r="O4933" s="165">
        <f t="shared" si="1280"/>
        <v>0</v>
      </c>
      <c r="P4933" s="166"/>
      <c r="Q4933" s="166">
        <f t="shared" si="1279"/>
        <v>0</v>
      </c>
      <c r="R4933" s="71"/>
    </row>
    <row r="4934" spans="1:18" s="61" customFormat="1" x14ac:dyDescent="0.25">
      <c r="A4934" s="358"/>
      <c r="B4934" s="361"/>
      <c r="C4934" s="366"/>
      <c r="D4934" s="254" t="s">
        <v>416</v>
      </c>
      <c r="E4934" s="156" t="s">
        <v>28</v>
      </c>
      <c r="F4934" s="156" t="s">
        <v>28</v>
      </c>
      <c r="G4934" s="238">
        <f>MROUND(H4934*L4934*I4934/K4934,0.000000001)</f>
        <v>0</v>
      </c>
      <c r="H4934" s="246"/>
      <c r="I4934" s="159">
        <f t="shared" si="1281"/>
        <v>4.0365000000000003E-4</v>
      </c>
      <c r="J4934" s="160"/>
      <c r="K4934" s="161">
        <f t="shared" si="1282"/>
        <v>8</v>
      </c>
      <c r="L4934" s="250">
        <v>1</v>
      </c>
      <c r="M4934" s="163"/>
      <c r="N4934" s="164"/>
      <c r="O4934" s="165">
        <f t="shared" si="1280"/>
        <v>0</v>
      </c>
      <c r="P4934" s="166"/>
      <c r="Q4934" s="166">
        <f t="shared" si="1279"/>
        <v>0</v>
      </c>
      <c r="R4934" s="71"/>
    </row>
    <row r="4935" spans="1:18" s="61" customFormat="1" x14ac:dyDescent="0.25">
      <c r="A4935" s="358"/>
      <c r="B4935" s="361"/>
      <c r="C4935" s="366"/>
      <c r="D4935" s="254" t="s">
        <v>417</v>
      </c>
      <c r="E4935" s="156" t="s">
        <v>28</v>
      </c>
      <c r="F4935" s="156" t="s">
        <v>28</v>
      </c>
      <c r="G4935" s="238">
        <f>MROUND(H4935*L4935*I4935/K4935,0.00000001)</f>
        <v>0</v>
      </c>
      <c r="H4935" s="158"/>
      <c r="I4935" s="159">
        <f t="shared" si="1281"/>
        <v>4.0365000000000003E-4</v>
      </c>
      <c r="J4935" s="160"/>
      <c r="K4935" s="161">
        <f t="shared" si="1282"/>
        <v>8</v>
      </c>
      <c r="L4935" s="250">
        <v>1</v>
      </c>
      <c r="M4935" s="163"/>
      <c r="N4935" s="164"/>
      <c r="O4935" s="165">
        <f t="shared" si="1280"/>
        <v>0</v>
      </c>
      <c r="P4935" s="166"/>
      <c r="Q4935" s="166">
        <f t="shared" si="1279"/>
        <v>0</v>
      </c>
      <c r="R4935" s="71"/>
    </row>
    <row r="4936" spans="1:18" s="61" customFormat="1" ht="30" x14ac:dyDescent="0.25">
      <c r="A4936" s="358"/>
      <c r="B4936" s="361"/>
      <c r="C4936" s="366"/>
      <c r="D4936" s="254" t="s">
        <v>418</v>
      </c>
      <c r="E4936" s="156" t="s">
        <v>28</v>
      </c>
      <c r="F4936" s="156" t="s">
        <v>28</v>
      </c>
      <c r="G4936" s="238">
        <f>MROUND(H4936*L4936*I4936/K4936,0.00000001)</f>
        <v>0</v>
      </c>
      <c r="H4936" s="158"/>
      <c r="I4936" s="159">
        <f t="shared" si="1281"/>
        <v>4.0365000000000003E-4</v>
      </c>
      <c r="J4936" s="160"/>
      <c r="K4936" s="161">
        <f t="shared" si="1282"/>
        <v>8</v>
      </c>
      <c r="L4936" s="250">
        <v>1</v>
      </c>
      <c r="M4936" s="163"/>
      <c r="N4936" s="164"/>
      <c r="O4936" s="165">
        <f t="shared" si="1280"/>
        <v>0</v>
      </c>
      <c r="P4936" s="166"/>
      <c r="Q4936" s="166">
        <f t="shared" si="1279"/>
        <v>0</v>
      </c>
      <c r="R4936" s="71"/>
    </row>
    <row r="4937" spans="1:18" s="61" customFormat="1" x14ac:dyDescent="0.25">
      <c r="A4937" s="358"/>
      <c r="B4937" s="361"/>
      <c r="C4937" s="366"/>
      <c r="D4937" s="254" t="s">
        <v>324</v>
      </c>
      <c r="E4937" s="156" t="s">
        <v>28</v>
      </c>
      <c r="F4937" s="156" t="s">
        <v>28</v>
      </c>
      <c r="G4937" s="238">
        <f>MROUND(H4937*L4937*I4937/K4937,0.000000001)</f>
        <v>0</v>
      </c>
      <c r="H4937" s="158"/>
      <c r="I4937" s="159">
        <f t="shared" si="1281"/>
        <v>4.0365000000000003E-4</v>
      </c>
      <c r="J4937" s="160"/>
      <c r="K4937" s="161">
        <f t="shared" si="1282"/>
        <v>8</v>
      </c>
      <c r="L4937" s="250">
        <v>1</v>
      </c>
      <c r="M4937" s="163"/>
      <c r="N4937" s="164"/>
      <c r="O4937" s="165">
        <f t="shared" si="1280"/>
        <v>0</v>
      </c>
      <c r="P4937" s="166"/>
      <c r="Q4937" s="166">
        <f t="shared" si="1279"/>
        <v>0</v>
      </c>
      <c r="R4937" s="71"/>
    </row>
    <row r="4938" spans="1:18" s="61" customFormat="1" x14ac:dyDescent="0.25">
      <c r="A4938" s="358"/>
      <c r="B4938" s="361"/>
      <c r="C4938" s="366"/>
      <c r="D4938" s="254" t="s">
        <v>419</v>
      </c>
      <c r="E4938" s="156" t="s">
        <v>28</v>
      </c>
      <c r="F4938" s="156" t="s">
        <v>28</v>
      </c>
      <c r="G4938" s="238">
        <f>MROUND(H4938*L4938*I4938/K4938,0.000000001)</f>
        <v>0</v>
      </c>
      <c r="H4938" s="246"/>
      <c r="I4938" s="159">
        <f t="shared" si="1281"/>
        <v>4.0365000000000003E-4</v>
      </c>
      <c r="J4938" s="160"/>
      <c r="K4938" s="161">
        <f t="shared" si="1282"/>
        <v>8</v>
      </c>
      <c r="L4938" s="250">
        <v>1</v>
      </c>
      <c r="M4938" s="163"/>
      <c r="N4938" s="164"/>
      <c r="O4938" s="165">
        <f t="shared" si="1280"/>
        <v>0</v>
      </c>
      <c r="P4938" s="166"/>
      <c r="Q4938" s="166">
        <f t="shared" si="1279"/>
        <v>0</v>
      </c>
      <c r="R4938" s="71"/>
    </row>
    <row r="4939" spans="1:18" s="61" customFormat="1" x14ac:dyDescent="0.25">
      <c r="A4939" s="358"/>
      <c r="B4939" s="361"/>
      <c r="C4939" s="366"/>
      <c r="D4939" s="254" t="s">
        <v>420</v>
      </c>
      <c r="E4939" s="156" t="s">
        <v>28</v>
      </c>
      <c r="F4939" s="156" t="s">
        <v>28</v>
      </c>
      <c r="G4939" s="238">
        <f>MROUND(H4939*L4939*I4939/K4939,0.000000001)</f>
        <v>0</v>
      </c>
      <c r="H4939" s="158"/>
      <c r="I4939" s="159">
        <f t="shared" si="1281"/>
        <v>4.0365000000000003E-4</v>
      </c>
      <c r="J4939" s="160"/>
      <c r="K4939" s="161">
        <f t="shared" si="1282"/>
        <v>8</v>
      </c>
      <c r="L4939" s="250">
        <v>1</v>
      </c>
      <c r="M4939" s="163"/>
      <c r="N4939" s="164"/>
      <c r="O4939" s="165">
        <f t="shared" si="1280"/>
        <v>0</v>
      </c>
      <c r="P4939" s="166"/>
      <c r="Q4939" s="166">
        <f t="shared" si="1279"/>
        <v>0</v>
      </c>
      <c r="R4939" s="71"/>
    </row>
    <row r="4940" spans="1:18" s="61" customFormat="1" x14ac:dyDescent="0.25">
      <c r="A4940" s="358"/>
      <c r="B4940" s="361"/>
      <c r="C4940" s="366"/>
      <c r="D4940" s="254" t="s">
        <v>421</v>
      </c>
      <c r="E4940" s="156" t="s">
        <v>28</v>
      </c>
      <c r="F4940" s="156" t="s">
        <v>28</v>
      </c>
      <c r="G4940" s="238">
        <f>MROUND(H4940*L4940*I4940/K4940,0.00000001)</f>
        <v>0</v>
      </c>
      <c r="H4940" s="158"/>
      <c r="I4940" s="159">
        <f t="shared" si="1281"/>
        <v>4.0365000000000003E-4</v>
      </c>
      <c r="J4940" s="160"/>
      <c r="K4940" s="161">
        <f t="shared" si="1282"/>
        <v>8</v>
      </c>
      <c r="L4940" s="250">
        <v>1</v>
      </c>
      <c r="M4940" s="163"/>
      <c r="N4940" s="164"/>
      <c r="O4940" s="165">
        <f t="shared" si="1280"/>
        <v>0</v>
      </c>
      <c r="P4940" s="166"/>
      <c r="Q4940" s="166">
        <f t="shared" si="1279"/>
        <v>0</v>
      </c>
      <c r="R4940" s="71"/>
    </row>
    <row r="4941" spans="1:18" s="61" customFormat="1" ht="30" x14ac:dyDescent="0.25">
      <c r="A4941" s="358"/>
      <c r="B4941" s="361"/>
      <c r="C4941" s="366"/>
      <c r="D4941" s="254" t="s">
        <v>422</v>
      </c>
      <c r="E4941" s="156" t="s">
        <v>28</v>
      </c>
      <c r="F4941" s="156" t="s">
        <v>28</v>
      </c>
      <c r="G4941" s="266">
        <f>MROUND(H4941*L4941*I4941/K4941,0.00000001)</f>
        <v>0</v>
      </c>
      <c r="H4941" s="158"/>
      <c r="I4941" s="159">
        <f t="shared" si="1281"/>
        <v>4.0365000000000003E-4</v>
      </c>
      <c r="J4941" s="160"/>
      <c r="K4941" s="161">
        <f t="shared" si="1282"/>
        <v>8</v>
      </c>
      <c r="L4941" s="250">
        <v>1</v>
      </c>
      <c r="M4941" s="163"/>
      <c r="N4941" s="164"/>
      <c r="O4941" s="165">
        <f t="shared" si="1280"/>
        <v>0</v>
      </c>
      <c r="P4941" s="166"/>
      <c r="Q4941" s="166">
        <f t="shared" si="1279"/>
        <v>0</v>
      </c>
      <c r="R4941" s="71"/>
    </row>
    <row r="4942" spans="1:18" s="61" customFormat="1" x14ac:dyDescent="0.25">
      <c r="A4942" s="358"/>
      <c r="B4942" s="361"/>
      <c r="C4942" s="366"/>
      <c r="D4942" s="254" t="s">
        <v>423</v>
      </c>
      <c r="E4942" s="156" t="s">
        <v>28</v>
      </c>
      <c r="F4942" s="156" t="s">
        <v>28</v>
      </c>
      <c r="G4942" s="238">
        <f>MROUND(H4942*L4942*I4942/K4942,0.000000001)</f>
        <v>0</v>
      </c>
      <c r="H4942" s="158"/>
      <c r="I4942" s="159">
        <f t="shared" si="1281"/>
        <v>4.0365000000000003E-4</v>
      </c>
      <c r="J4942" s="160"/>
      <c r="K4942" s="161">
        <f t="shared" si="1282"/>
        <v>8</v>
      </c>
      <c r="L4942" s="250">
        <v>1</v>
      </c>
      <c r="M4942" s="163"/>
      <c r="N4942" s="164"/>
      <c r="O4942" s="165">
        <f t="shared" si="1280"/>
        <v>0</v>
      </c>
      <c r="P4942" s="166"/>
      <c r="Q4942" s="166">
        <f t="shared" si="1279"/>
        <v>0</v>
      </c>
      <c r="R4942" s="71"/>
    </row>
    <row r="4943" spans="1:18" s="61" customFormat="1" x14ac:dyDescent="0.25">
      <c r="A4943" s="358"/>
      <c r="B4943" s="361"/>
      <c r="C4943" s="366"/>
      <c r="D4943" s="254" t="s">
        <v>424</v>
      </c>
      <c r="E4943" s="156" t="s">
        <v>28</v>
      </c>
      <c r="F4943" s="156" t="s">
        <v>28</v>
      </c>
      <c r="G4943" s="238">
        <f t="shared" ref="G4943:G4949" si="1283">MROUND(H4943*L4943*I4943/K4943,0.00000001)</f>
        <v>0</v>
      </c>
      <c r="H4943" s="158"/>
      <c r="I4943" s="159">
        <f>I4932</f>
        <v>4.0365000000000003E-4</v>
      </c>
      <c r="J4943" s="160"/>
      <c r="K4943" s="161">
        <f>K4932</f>
        <v>8</v>
      </c>
      <c r="L4943" s="250">
        <v>1</v>
      </c>
      <c r="M4943" s="163"/>
      <c r="N4943" s="164"/>
      <c r="O4943" s="165">
        <f t="shared" si="1280"/>
        <v>0</v>
      </c>
      <c r="P4943" s="166"/>
      <c r="Q4943" s="166">
        <f t="shared" si="1279"/>
        <v>0</v>
      </c>
      <c r="R4943" s="71"/>
    </row>
    <row r="4944" spans="1:18" s="61" customFormat="1" x14ac:dyDescent="0.25">
      <c r="A4944" s="358"/>
      <c r="B4944" s="361"/>
      <c r="C4944" s="366"/>
      <c r="D4944" s="254" t="s">
        <v>425</v>
      </c>
      <c r="E4944" s="156" t="s">
        <v>28</v>
      </c>
      <c r="F4944" s="156" t="s">
        <v>28</v>
      </c>
      <c r="G4944" s="277">
        <f t="shared" si="1283"/>
        <v>0</v>
      </c>
      <c r="H4944" s="158"/>
      <c r="I4944" s="159">
        <f t="shared" ref="I4944:I4949" si="1284">I4943</f>
        <v>4.0365000000000003E-4</v>
      </c>
      <c r="J4944" s="160"/>
      <c r="K4944" s="161">
        <f t="shared" ref="K4944:K4949" si="1285">K4943</f>
        <v>8</v>
      </c>
      <c r="L4944" s="250">
        <v>1</v>
      </c>
      <c r="M4944" s="163"/>
      <c r="N4944" s="164"/>
      <c r="O4944" s="165">
        <f t="shared" si="1280"/>
        <v>0</v>
      </c>
      <c r="P4944" s="166"/>
      <c r="Q4944" s="166">
        <f t="shared" si="1279"/>
        <v>0</v>
      </c>
      <c r="R4944" s="71"/>
    </row>
    <row r="4945" spans="1:18" s="61" customFormat="1" x14ac:dyDescent="0.25">
      <c r="A4945" s="358"/>
      <c r="B4945" s="361"/>
      <c r="C4945" s="366"/>
      <c r="D4945" s="254" t="s">
        <v>108</v>
      </c>
      <c r="E4945" s="156" t="s">
        <v>28</v>
      </c>
      <c r="F4945" s="156" t="s">
        <v>28</v>
      </c>
      <c r="G4945" s="238">
        <f t="shared" si="1283"/>
        <v>0</v>
      </c>
      <c r="H4945" s="158"/>
      <c r="I4945" s="159">
        <f t="shared" si="1284"/>
        <v>4.0365000000000003E-4</v>
      </c>
      <c r="J4945" s="160"/>
      <c r="K4945" s="161">
        <f t="shared" si="1285"/>
        <v>8</v>
      </c>
      <c r="L4945" s="250">
        <v>1</v>
      </c>
      <c r="M4945" s="163"/>
      <c r="N4945" s="164"/>
      <c r="O4945" s="165">
        <f t="shared" si="1280"/>
        <v>0</v>
      </c>
      <c r="P4945" s="166"/>
      <c r="Q4945" s="166">
        <f t="shared" si="1279"/>
        <v>0</v>
      </c>
      <c r="R4945" s="71"/>
    </row>
    <row r="4946" spans="1:18" s="61" customFormat="1" x14ac:dyDescent="0.25">
      <c r="A4946" s="358"/>
      <c r="B4946" s="361"/>
      <c r="C4946" s="366"/>
      <c r="D4946" s="254" t="s">
        <v>426</v>
      </c>
      <c r="E4946" s="156" t="s">
        <v>28</v>
      </c>
      <c r="F4946" s="156" t="s">
        <v>28</v>
      </c>
      <c r="G4946" s="238">
        <f t="shared" si="1283"/>
        <v>0</v>
      </c>
      <c r="H4946" s="158"/>
      <c r="I4946" s="159">
        <f t="shared" si="1284"/>
        <v>4.0365000000000003E-4</v>
      </c>
      <c r="J4946" s="160"/>
      <c r="K4946" s="161">
        <f t="shared" si="1285"/>
        <v>8</v>
      </c>
      <c r="L4946" s="250">
        <v>1</v>
      </c>
      <c r="M4946" s="163"/>
      <c r="N4946" s="164"/>
      <c r="O4946" s="165">
        <f t="shared" si="1280"/>
        <v>0</v>
      </c>
      <c r="P4946" s="166"/>
      <c r="Q4946" s="166">
        <f t="shared" si="1279"/>
        <v>0</v>
      </c>
      <c r="R4946" s="71"/>
    </row>
    <row r="4947" spans="1:18" s="61" customFormat="1" x14ac:dyDescent="0.25">
      <c r="A4947" s="358"/>
      <c r="B4947" s="361"/>
      <c r="C4947" s="366"/>
      <c r="D4947" s="254" t="s">
        <v>427</v>
      </c>
      <c r="E4947" s="156" t="s">
        <v>28</v>
      </c>
      <c r="F4947" s="156" t="s">
        <v>28</v>
      </c>
      <c r="G4947" s="238">
        <f t="shared" si="1283"/>
        <v>0</v>
      </c>
      <c r="H4947" s="158"/>
      <c r="I4947" s="159">
        <f t="shared" si="1284"/>
        <v>4.0365000000000003E-4</v>
      </c>
      <c r="J4947" s="160"/>
      <c r="K4947" s="161">
        <f t="shared" si="1285"/>
        <v>8</v>
      </c>
      <c r="L4947" s="250">
        <v>1</v>
      </c>
      <c r="M4947" s="163"/>
      <c r="N4947" s="164"/>
      <c r="O4947" s="165">
        <f t="shared" si="1280"/>
        <v>0</v>
      </c>
      <c r="P4947" s="166"/>
      <c r="Q4947" s="166">
        <f t="shared" si="1279"/>
        <v>0</v>
      </c>
      <c r="R4947" s="71"/>
    </row>
    <row r="4948" spans="1:18" s="61" customFormat="1" x14ac:dyDescent="0.25">
      <c r="A4948" s="358"/>
      <c r="B4948" s="361"/>
      <c r="C4948" s="366"/>
      <c r="D4948" s="254" t="s">
        <v>428</v>
      </c>
      <c r="E4948" s="156" t="s">
        <v>28</v>
      </c>
      <c r="F4948" s="156" t="s">
        <v>28</v>
      </c>
      <c r="G4948" s="238">
        <f t="shared" si="1283"/>
        <v>0</v>
      </c>
      <c r="H4948" s="158"/>
      <c r="I4948" s="159">
        <f t="shared" si="1284"/>
        <v>4.0365000000000003E-4</v>
      </c>
      <c r="J4948" s="160"/>
      <c r="K4948" s="161">
        <f t="shared" si="1285"/>
        <v>8</v>
      </c>
      <c r="L4948" s="250">
        <v>1</v>
      </c>
      <c r="M4948" s="163"/>
      <c r="N4948" s="164"/>
      <c r="O4948" s="165">
        <f t="shared" si="1280"/>
        <v>0</v>
      </c>
      <c r="P4948" s="166"/>
      <c r="Q4948" s="166">
        <f t="shared" si="1279"/>
        <v>0</v>
      </c>
      <c r="R4948" s="71"/>
    </row>
    <row r="4949" spans="1:18" s="61" customFormat="1" x14ac:dyDescent="0.25">
      <c r="A4949" s="358"/>
      <c r="B4949" s="361"/>
      <c r="C4949" s="366"/>
      <c r="D4949" s="255" t="s">
        <v>429</v>
      </c>
      <c r="E4949" s="156" t="s">
        <v>28</v>
      </c>
      <c r="F4949" s="156" t="s">
        <v>28</v>
      </c>
      <c r="G4949" s="238">
        <f t="shared" si="1283"/>
        <v>0</v>
      </c>
      <c r="H4949" s="158"/>
      <c r="I4949" s="159">
        <f t="shared" si="1284"/>
        <v>4.0365000000000003E-4</v>
      </c>
      <c r="J4949" s="160"/>
      <c r="K4949" s="161">
        <f t="shared" si="1285"/>
        <v>8</v>
      </c>
      <c r="L4949" s="250">
        <v>1</v>
      </c>
      <c r="M4949" s="163"/>
      <c r="N4949" s="164"/>
      <c r="O4949" s="165">
        <f t="shared" si="1280"/>
        <v>0</v>
      </c>
      <c r="P4949" s="166"/>
      <c r="Q4949" s="166">
        <f t="shared" si="1279"/>
        <v>0</v>
      </c>
      <c r="R4949" s="71"/>
    </row>
    <row r="4950" spans="1:18" s="62" customFormat="1" x14ac:dyDescent="0.25">
      <c r="A4950" s="358"/>
      <c r="B4950" s="361"/>
      <c r="C4950" s="249" t="s">
        <v>299</v>
      </c>
      <c r="D4950" s="256"/>
      <c r="E4950" s="240"/>
      <c r="F4950" s="240"/>
      <c r="G4950" s="227"/>
      <c r="H4950" s="241"/>
      <c r="I4950" s="206"/>
      <c r="J4950" s="228"/>
      <c r="K4950" s="207"/>
      <c r="L4950" s="257"/>
      <c r="M4950" s="209"/>
      <c r="N4950" s="210"/>
      <c r="O4950" s="198">
        <f>SUM(O4926:O4949)</f>
        <v>0</v>
      </c>
      <c r="P4950" s="267"/>
      <c r="Q4950" s="166"/>
      <c r="R4950" s="71"/>
    </row>
    <row r="4951" spans="1:18" s="61" customFormat="1" ht="110.25" x14ac:dyDescent="0.25">
      <c r="A4951" s="358"/>
      <c r="B4951" s="361"/>
      <c r="C4951" s="221" t="s">
        <v>82</v>
      </c>
      <c r="D4951" s="156" t="s">
        <v>46</v>
      </c>
      <c r="E4951" s="156" t="s">
        <v>54</v>
      </c>
      <c r="F4951" s="156" t="s">
        <v>285</v>
      </c>
      <c r="G4951" s="238">
        <f>MROUND(H4951*L4951*I4951/K4951,0.000001)</f>
        <v>0.57065999999999995</v>
      </c>
      <c r="H4951" s="242">
        <f>H4471</f>
        <v>1028.181818181818</v>
      </c>
      <c r="I4951" s="159">
        <f>I4949</f>
        <v>4.0365000000000003E-4</v>
      </c>
      <c r="J4951" s="160"/>
      <c r="K4951" s="161">
        <f>K4949</f>
        <v>8</v>
      </c>
      <c r="L4951" s="225">
        <f>L4711</f>
        <v>11</v>
      </c>
      <c r="M4951" s="163" t="str">
        <f>CONCATENATE(H4951," ",F4951,"*",L4951,"автобуса","*",I4951,"/",K4951,"чел.")</f>
        <v>1028,18181818182 л бензина АИ 92 (12,5л/день(зимой)*20дней*7мес+10л/день(летом)*20дней*4мес)*11автобуса*0,00040365/8чел.</v>
      </c>
      <c r="N4951" s="164">
        <f>N3511</f>
        <v>57.007000000000005</v>
      </c>
      <c r="O4951" s="165">
        <f>MROUND(G4951*N4951,0.000001)</f>
        <v>32.531614999999995</v>
      </c>
      <c r="P4951" s="166"/>
      <c r="Q4951" s="166">
        <f t="shared" ref="Q4951" si="1286">O4951*K4951</f>
        <v>260.25291999999996</v>
      </c>
      <c r="R4951" s="71"/>
    </row>
    <row r="4952" spans="1:18" s="62" customFormat="1" x14ac:dyDescent="0.25">
      <c r="A4952" s="358"/>
      <c r="B4952" s="361"/>
      <c r="C4952" s="218" t="s">
        <v>300</v>
      </c>
      <c r="D4952" s="240"/>
      <c r="E4952" s="240"/>
      <c r="F4952" s="240"/>
      <c r="G4952" s="227"/>
      <c r="H4952" s="241"/>
      <c r="I4952" s="206"/>
      <c r="J4952" s="228"/>
      <c r="K4952" s="207"/>
      <c r="L4952" s="257"/>
      <c r="M4952" s="209"/>
      <c r="N4952" s="210"/>
      <c r="O4952" s="198">
        <f>SUM(O4951)</f>
        <v>32.531614999999995</v>
      </c>
      <c r="P4952" s="267"/>
      <c r="Q4952" s="166"/>
      <c r="R4952" s="71"/>
    </row>
    <row r="4953" spans="1:18" s="61" customFormat="1" ht="47.25" x14ac:dyDescent="0.25">
      <c r="A4953" s="358"/>
      <c r="B4953" s="361"/>
      <c r="C4953" s="221" t="s">
        <v>434</v>
      </c>
      <c r="D4953" s="156" t="s">
        <v>436</v>
      </c>
      <c r="E4953" s="156" t="s">
        <v>28</v>
      </c>
      <c r="F4953" s="156" t="s">
        <v>437</v>
      </c>
      <c r="G4953" s="157">
        <f>MROUND(H4953*L4953*I4953/K4953,0.000001)</f>
        <v>1.4631999999999999E-2</v>
      </c>
      <c r="H4953" s="242">
        <f>$H$125</f>
        <v>290</v>
      </c>
      <c r="I4953" s="159">
        <f>I4951</f>
        <v>4.0365000000000003E-4</v>
      </c>
      <c r="J4953" s="160"/>
      <c r="K4953" s="161">
        <f>K4951</f>
        <v>8</v>
      </c>
      <c r="L4953" s="162">
        <v>1</v>
      </c>
      <c r="M4953" s="163" t="str">
        <f>CONCATENATE(H4953," ",F4953,"*",L4953,"автобуса","*",I4953,"/",K4953,"чел.")</f>
        <v>290 огнетушителей (потребность учреждений) *1автобуса*0,00040365/8чел.</v>
      </c>
      <c r="N4953" s="164">
        <f>$N$125</f>
        <v>2000</v>
      </c>
      <c r="O4953" s="165">
        <f>MROUND(G4953*N4953,0.000001)</f>
        <v>29.263999999999999</v>
      </c>
      <c r="P4953" s="166"/>
      <c r="Q4953" s="166">
        <f t="shared" ref="Q4953" si="1287">O4953*K4953</f>
        <v>234.11199999999999</v>
      </c>
      <c r="R4953" s="71"/>
    </row>
    <row r="4954" spans="1:18" s="61" customFormat="1" x14ac:dyDescent="0.25">
      <c r="A4954" s="358"/>
      <c r="B4954" s="361"/>
      <c r="C4954" s="218" t="s">
        <v>435</v>
      </c>
      <c r="D4954" s="240"/>
      <c r="E4954" s="240"/>
      <c r="F4954" s="240"/>
      <c r="G4954" s="251"/>
      <c r="H4954" s="241"/>
      <c r="I4954" s="206"/>
      <c r="J4954" s="228"/>
      <c r="K4954" s="207"/>
      <c r="L4954" s="229"/>
      <c r="M4954" s="209"/>
      <c r="N4954" s="210"/>
      <c r="O4954" s="198">
        <f>SUM(O4953)</f>
        <v>29.263999999999999</v>
      </c>
      <c r="P4954" s="166"/>
      <c r="Q4954" s="166"/>
      <c r="R4954" s="71"/>
    </row>
    <row r="4955" spans="1:18" s="61" customFormat="1" ht="47.25" x14ac:dyDescent="0.25">
      <c r="A4955" s="358"/>
      <c r="B4955" s="361"/>
      <c r="C4955" s="364" t="s">
        <v>118</v>
      </c>
      <c r="D4955" s="156" t="s">
        <v>47</v>
      </c>
      <c r="E4955" s="156" t="s">
        <v>28</v>
      </c>
      <c r="F4955" s="156" t="s">
        <v>239</v>
      </c>
      <c r="G4955" s="238">
        <f>MROUND(H4955*L4955*I4955/K4955,0.00000001)</f>
        <v>7.2656999999999999E-3</v>
      </c>
      <c r="H4955" s="158">
        <f>H3875</f>
        <v>144</v>
      </c>
      <c r="I4955" s="159">
        <f>I4951</f>
        <v>4.0365000000000003E-4</v>
      </c>
      <c r="J4955" s="160"/>
      <c r="K4955" s="161">
        <f>K4951</f>
        <v>8</v>
      </c>
      <c r="L4955" s="250">
        <v>1</v>
      </c>
      <c r="M4955" s="163" t="str">
        <f>CONCATENATE(H4955," ",F4955,"*",I4955,"/",K4955,"чел.")</f>
        <v>144 манометров (потребность учреждений) *0,00040365/8чел.</v>
      </c>
      <c r="N4955" s="164">
        <f>N3515</f>
        <v>720.50416666666672</v>
      </c>
      <c r="O4955" s="165">
        <f>MROUND(G4955*N4955,0.000001)</f>
        <v>5.2349670000000001</v>
      </c>
      <c r="P4955" s="166"/>
      <c r="Q4955" s="166">
        <f t="shared" ref="Q4955:Q4956" si="1288">O4955*K4955</f>
        <v>41.879736000000001</v>
      </c>
      <c r="R4955" s="71"/>
    </row>
    <row r="4956" spans="1:18" s="61" customFormat="1" ht="47.25" x14ac:dyDescent="0.25">
      <c r="A4956" s="358"/>
      <c r="B4956" s="361"/>
      <c r="C4956" s="364"/>
      <c r="D4956" s="255" t="s">
        <v>113</v>
      </c>
      <c r="E4956" s="156" t="s">
        <v>28</v>
      </c>
      <c r="F4956" s="156" t="s">
        <v>240</v>
      </c>
      <c r="G4956" s="238">
        <f>MROUND(H4956*L4956*I4956/K4956,0.00000001)</f>
        <v>0.28835747</v>
      </c>
      <c r="H4956" s="158">
        <f>H3516</f>
        <v>5715</v>
      </c>
      <c r="I4956" s="159">
        <f>I4955</f>
        <v>4.0365000000000003E-4</v>
      </c>
      <c r="J4956" s="160"/>
      <c r="K4956" s="161">
        <f>K4955</f>
        <v>8</v>
      </c>
      <c r="L4956" s="250">
        <v>1</v>
      </c>
      <c r="M4956" s="163" t="str">
        <f>CONCATENATE(H4956," ",F4956,"*",I4956,"/",K4956,"чел.")</f>
        <v>5715 светильников (потребность учреждений)*0,00040365/8чел.</v>
      </c>
      <c r="N4956" s="164">
        <f>N3516</f>
        <v>111.16365879265086</v>
      </c>
      <c r="O4956" s="165">
        <f>MROUND(G4956*N4956,0.000001)</f>
        <v>32.054870999999999</v>
      </c>
      <c r="P4956" s="166"/>
      <c r="Q4956" s="166">
        <f t="shared" si="1288"/>
        <v>256.43896799999999</v>
      </c>
      <c r="R4956" s="71"/>
    </row>
    <row r="4957" spans="1:18" s="62" customFormat="1" x14ac:dyDescent="0.25">
      <c r="A4957" s="359"/>
      <c r="B4957" s="362"/>
      <c r="C4957" s="218" t="s">
        <v>301</v>
      </c>
      <c r="D4957" s="256"/>
      <c r="E4957" s="240"/>
      <c r="F4957" s="240"/>
      <c r="G4957" s="227"/>
      <c r="H4957" s="241"/>
      <c r="I4957" s="206"/>
      <c r="J4957" s="228"/>
      <c r="K4957" s="207"/>
      <c r="L4957" s="257"/>
      <c r="M4957" s="209"/>
      <c r="N4957" s="210"/>
      <c r="O4957" s="198">
        <f>SUM(O4955:O4956)</f>
        <v>37.289837999999996</v>
      </c>
      <c r="P4957" s="267"/>
      <c r="Q4957" s="166"/>
      <c r="R4957" s="71"/>
    </row>
    <row r="4958" spans="1:18" s="61" customFormat="1" x14ac:dyDescent="0.25">
      <c r="A4958" s="357" t="str">
        <f>CONCATENATE(школы!$B$20,", ",школы!$C$20,", ",школы!$D$20)</f>
        <v xml:space="preserve">Реализация основных общеобразовательных программ среднего общего образования, , </v>
      </c>
      <c r="B4958" s="360" t="str">
        <f>школы!$A$20</f>
        <v>802112О.99.0.ББ11АЮ58001</v>
      </c>
      <c r="C4958" s="194"/>
      <c r="D4958" s="363" t="s">
        <v>15</v>
      </c>
      <c r="E4958" s="363"/>
      <c r="F4958" s="363"/>
      <c r="G4958" s="363"/>
      <c r="H4958" s="195"/>
      <c r="I4958" s="195"/>
      <c r="J4958" s="195"/>
      <c r="K4958" s="195"/>
      <c r="L4958" s="196"/>
      <c r="M4958" s="197"/>
      <c r="N4958" s="164"/>
      <c r="O4958" s="198">
        <f>O4959+O4964+O4966</f>
        <v>9362.1939256570004</v>
      </c>
      <c r="P4958" s="166"/>
      <c r="Q4958" s="166"/>
      <c r="R4958" s="71"/>
    </row>
    <row r="4959" spans="1:18" s="61" customFormat="1" x14ac:dyDescent="0.25">
      <c r="A4959" s="358"/>
      <c r="B4959" s="361"/>
      <c r="C4959" s="194"/>
      <c r="D4959" s="350" t="s">
        <v>62</v>
      </c>
      <c r="E4959" s="350"/>
      <c r="F4959" s="350"/>
      <c r="G4959" s="350"/>
      <c r="H4959" s="195"/>
      <c r="I4959" s="195"/>
      <c r="J4959" s="195"/>
      <c r="K4959" s="195"/>
      <c r="L4959" s="196"/>
      <c r="M4959" s="197"/>
      <c r="N4959" s="164"/>
      <c r="O4959" s="165">
        <f>O4961+O4963</f>
        <v>9362.1939256570004</v>
      </c>
      <c r="P4959" s="166"/>
      <c r="Q4959" s="166"/>
      <c r="R4959" s="71"/>
    </row>
    <row r="4960" spans="1:18" s="61" customFormat="1" ht="31.5" x14ac:dyDescent="0.25">
      <c r="A4960" s="358"/>
      <c r="B4960" s="361"/>
      <c r="C4960" s="194">
        <v>211</v>
      </c>
      <c r="D4960" s="194" t="s">
        <v>86</v>
      </c>
      <c r="E4960" s="199" t="s">
        <v>95</v>
      </c>
      <c r="F4960" s="199" t="s">
        <v>95</v>
      </c>
      <c r="G4960" s="275">
        <f>MROUND(H4960*L4960*I4960/K4960,0.0000000001)</f>
        <v>0.55812145359999998</v>
      </c>
      <c r="H4960" s="201">
        <f>H4120</f>
        <v>921.8</v>
      </c>
      <c r="I4960" s="159">
        <f>школы!$K$20</f>
        <v>5.9285520000000001E-2</v>
      </c>
      <c r="J4960" s="159"/>
      <c r="K4960" s="161">
        <f>школы!$G$20</f>
        <v>1175</v>
      </c>
      <c r="L4960" s="202">
        <v>12</v>
      </c>
      <c r="M4960" s="163" t="str">
        <f>CONCATENATE(H4960," ",F4960," ","в мес.","*",L4960,"мес.","*",I4960,"/",K4960,"чел.")</f>
        <v>921,8 шт.ед в мес.*12мес.*0,05928552/1175чел.</v>
      </c>
      <c r="N4960" s="164">
        <f>N4120</f>
        <v>12883.620739314385</v>
      </c>
      <c r="O4960" s="165">
        <f>MROUND(G4960*N4960,0.000000001)</f>
        <v>7190.6251346570007</v>
      </c>
      <c r="P4960" s="166"/>
      <c r="Q4960" s="166">
        <f t="shared" ref="Q4960" si="1289">O4960*K4960</f>
        <v>8448984.533221975</v>
      </c>
      <c r="R4960" s="71"/>
    </row>
    <row r="4961" spans="1:18" s="62" customFormat="1" x14ac:dyDescent="0.25">
      <c r="A4961" s="358"/>
      <c r="B4961" s="361"/>
      <c r="C4961" s="203" t="s">
        <v>288</v>
      </c>
      <c r="D4961" s="203"/>
      <c r="E4961" s="204"/>
      <c r="F4961" s="204"/>
      <c r="G4961" s="205"/>
      <c r="H4961" s="206"/>
      <c r="I4961" s="206"/>
      <c r="J4961" s="206"/>
      <c r="K4961" s="207"/>
      <c r="L4961" s="208"/>
      <c r="M4961" s="209"/>
      <c r="N4961" s="210">
        <f>N4960</f>
        <v>12883.620739314385</v>
      </c>
      <c r="O4961" s="198">
        <f>O4960</f>
        <v>7190.6251346570007</v>
      </c>
      <c r="P4961" s="267"/>
      <c r="Q4961" s="166"/>
      <c r="R4961" s="71"/>
    </row>
    <row r="4962" spans="1:18" s="61" customFormat="1" x14ac:dyDescent="0.25">
      <c r="A4962" s="358"/>
      <c r="B4962" s="361"/>
      <c r="C4962" s="194">
        <v>213</v>
      </c>
      <c r="D4962" s="194" t="s">
        <v>87</v>
      </c>
      <c r="E4962" s="194" t="s">
        <v>88</v>
      </c>
      <c r="F4962" s="194"/>
      <c r="G4962" s="211">
        <v>30.2</v>
      </c>
      <c r="H4962" s="159"/>
      <c r="I4962" s="159"/>
      <c r="J4962" s="159"/>
      <c r="K4962" s="161">
        <f>K4960</f>
        <v>1175</v>
      </c>
      <c r="L4962" s="202"/>
      <c r="M4962" s="212"/>
      <c r="N4962" s="164"/>
      <c r="O4962" s="165">
        <f>MROUND(O4960*0.302,0.000001)</f>
        <v>2171.5687909999997</v>
      </c>
      <c r="P4962" s="166"/>
      <c r="Q4962" s="166">
        <f>O4962*K4962</f>
        <v>2551593.3294249997</v>
      </c>
      <c r="R4962" s="71"/>
    </row>
    <row r="4963" spans="1:18" s="62" customFormat="1" x14ac:dyDescent="0.25">
      <c r="A4963" s="358"/>
      <c r="B4963" s="361"/>
      <c r="C4963" s="203" t="s">
        <v>289</v>
      </c>
      <c r="D4963" s="203"/>
      <c r="E4963" s="203"/>
      <c r="F4963" s="203"/>
      <c r="G4963" s="213"/>
      <c r="H4963" s="214"/>
      <c r="I4963" s="206"/>
      <c r="J4963" s="214"/>
      <c r="K4963" s="207"/>
      <c r="L4963" s="215"/>
      <c r="M4963" s="216"/>
      <c r="N4963" s="210"/>
      <c r="O4963" s="198">
        <f>O4962</f>
        <v>2171.5687909999997</v>
      </c>
      <c r="P4963" s="267"/>
      <c r="Q4963" s="166"/>
      <c r="R4963" s="71"/>
    </row>
    <row r="4964" spans="1:18" s="61" customFormat="1" x14ac:dyDescent="0.25">
      <c r="A4964" s="358"/>
      <c r="B4964" s="361"/>
      <c r="C4964" s="194"/>
      <c r="D4964" s="356" t="s">
        <v>63</v>
      </c>
      <c r="E4964" s="356"/>
      <c r="F4964" s="356"/>
      <c r="G4964" s="356"/>
      <c r="H4964" s="195"/>
      <c r="I4964" s="159"/>
      <c r="J4964" s="195"/>
      <c r="K4964" s="161"/>
      <c r="L4964" s="196"/>
      <c r="M4964" s="197"/>
      <c r="N4964" s="164"/>
      <c r="O4964" s="165"/>
      <c r="P4964" s="166"/>
      <c r="Q4964" s="166"/>
      <c r="R4964" s="71"/>
    </row>
    <row r="4965" spans="1:18" s="61" customFormat="1" x14ac:dyDescent="0.25">
      <c r="A4965" s="358"/>
      <c r="B4965" s="361"/>
      <c r="C4965" s="194"/>
      <c r="D4965" s="194"/>
      <c r="E4965" s="194"/>
      <c r="F4965" s="194"/>
      <c r="G4965" s="217"/>
      <c r="H4965" s="195"/>
      <c r="I4965" s="159"/>
      <c r="J4965" s="195"/>
      <c r="K4965" s="161"/>
      <c r="L4965" s="196"/>
      <c r="M4965" s="197"/>
      <c r="N4965" s="164"/>
      <c r="O4965" s="165"/>
      <c r="P4965" s="166"/>
      <c r="Q4965" s="166"/>
      <c r="R4965" s="71"/>
    </row>
    <row r="4966" spans="1:18" s="61" customFormat="1" x14ac:dyDescent="0.25">
      <c r="A4966" s="358"/>
      <c r="B4966" s="361"/>
      <c r="C4966" s="194"/>
      <c r="D4966" s="350" t="s">
        <v>64</v>
      </c>
      <c r="E4966" s="350"/>
      <c r="F4966" s="350"/>
      <c r="G4966" s="350"/>
      <c r="H4966" s="195"/>
      <c r="I4966" s="159"/>
      <c r="J4966" s="195"/>
      <c r="K4966" s="161"/>
      <c r="L4966" s="196"/>
      <c r="M4966" s="197"/>
      <c r="N4966" s="164"/>
      <c r="O4966" s="165"/>
      <c r="P4966" s="166"/>
      <c r="Q4966" s="166"/>
      <c r="R4966" s="71"/>
    </row>
    <row r="4967" spans="1:18" s="61" customFormat="1" x14ac:dyDescent="0.25">
      <c r="A4967" s="358"/>
      <c r="B4967" s="361"/>
      <c r="C4967" s="194"/>
      <c r="D4967" s="194"/>
      <c r="E4967" s="194"/>
      <c r="F4967" s="194"/>
      <c r="G4967" s="217"/>
      <c r="H4967" s="195"/>
      <c r="I4967" s="159"/>
      <c r="J4967" s="195"/>
      <c r="K4967" s="161"/>
      <c r="L4967" s="196"/>
      <c r="M4967" s="197"/>
      <c r="N4967" s="164"/>
      <c r="O4967" s="165"/>
      <c r="P4967" s="166"/>
      <c r="Q4967" s="166"/>
      <c r="R4967" s="71"/>
    </row>
    <row r="4968" spans="1:18" s="61" customFormat="1" x14ac:dyDescent="0.25">
      <c r="A4968" s="358"/>
      <c r="B4968" s="361"/>
      <c r="C4968" s="194"/>
      <c r="D4968" s="355" t="s">
        <v>5</v>
      </c>
      <c r="E4968" s="355"/>
      <c r="F4968" s="355"/>
      <c r="G4968" s="355"/>
      <c r="H4968" s="195"/>
      <c r="I4968" s="159"/>
      <c r="J4968" s="195"/>
      <c r="K4968" s="161"/>
      <c r="L4968" s="196"/>
      <c r="M4968" s="197"/>
      <c r="N4968" s="164"/>
      <c r="O4968" s="198">
        <f>O4969+O4979+O4990+O4992+O4994+O4996+O4998</f>
        <v>19877.50410360378</v>
      </c>
      <c r="P4968" s="166"/>
      <c r="Q4968" s="166"/>
      <c r="R4968" s="71"/>
    </row>
    <row r="4969" spans="1:18" s="61" customFormat="1" x14ac:dyDescent="0.25">
      <c r="A4969" s="358"/>
      <c r="B4969" s="361"/>
      <c r="C4969" s="218" t="s">
        <v>70</v>
      </c>
      <c r="D4969" s="355" t="s">
        <v>6</v>
      </c>
      <c r="E4969" s="355"/>
      <c r="F4969" s="355"/>
      <c r="G4969" s="355"/>
      <c r="H4969" s="189"/>
      <c r="I4969" s="159"/>
      <c r="J4969" s="189"/>
      <c r="K4969" s="161"/>
      <c r="L4969" s="190"/>
      <c r="M4969" s="197"/>
      <c r="N4969" s="210"/>
      <c r="O4969" s="198">
        <f>O4978</f>
        <v>9130.3761634600014</v>
      </c>
      <c r="P4969" s="166"/>
      <c r="Q4969" s="166"/>
      <c r="R4969" s="71"/>
    </row>
    <row r="4970" spans="1:18" s="61" customFormat="1" ht="31.5" x14ac:dyDescent="0.25">
      <c r="A4970" s="358"/>
      <c r="B4970" s="361"/>
      <c r="C4970" s="221" t="s">
        <v>72</v>
      </c>
      <c r="D4970" s="222" t="s">
        <v>7</v>
      </c>
      <c r="E4970" s="223" t="s">
        <v>8</v>
      </c>
      <c r="F4970" s="223" t="s">
        <v>8</v>
      </c>
      <c r="G4970" s="238">
        <f>MROUND(H4970*L4970*I4970/K4970,0.00000000001)</f>
        <v>167.1660651823</v>
      </c>
      <c r="H4970" s="160">
        <f>H4250</f>
        <v>3313121.4264326878</v>
      </c>
      <c r="I4970" s="159">
        <f>I4960</f>
        <v>5.9285520000000001E-2</v>
      </c>
      <c r="J4970" s="160"/>
      <c r="K4970" s="161">
        <f>K4960</f>
        <v>1175</v>
      </c>
      <c r="L4970" s="250">
        <v>1</v>
      </c>
      <c r="M4970" s="163" t="str">
        <f t="shared" ref="M4970:M4975" si="1290">CONCATENATE(H4970," ",F4970,"(лимиты выделенные УЖКХ) ","*",I4970,"/",K4970,"чел.")</f>
        <v>3313121,42643269 кВт час.(лимиты выделенные УЖКХ) *0,05928552/1175чел.</v>
      </c>
      <c r="N4970" s="164">
        <f>N4250</f>
        <v>10.897694685122204</v>
      </c>
      <c r="O4970" s="165">
        <f t="shared" ref="O4970:O4973" si="1291">MROUND(G4970*N4970,0.000001)</f>
        <v>1821.7247399999999</v>
      </c>
      <c r="P4970" s="166"/>
      <c r="Q4970" s="166">
        <f t="shared" ref="Q4970:Q4977" si="1292">O4970*K4970</f>
        <v>2140526.5694999998</v>
      </c>
      <c r="R4970" s="71"/>
    </row>
    <row r="4971" spans="1:18" s="61" customFormat="1" ht="31.5" x14ac:dyDescent="0.25">
      <c r="A4971" s="358"/>
      <c r="B4971" s="361"/>
      <c r="C4971" s="221" t="s">
        <v>73</v>
      </c>
      <c r="D4971" s="222" t="s">
        <v>9</v>
      </c>
      <c r="E4971" s="223" t="s">
        <v>10</v>
      </c>
      <c r="F4971" s="223" t="s">
        <v>10</v>
      </c>
      <c r="G4971" s="238">
        <f>MROUND(H4971*L4971*I4971/K4971,0.00000000001)</f>
        <v>1.6094071087599999</v>
      </c>
      <c r="H4971" s="160">
        <f>H3891</f>
        <v>31897.39</v>
      </c>
      <c r="I4971" s="159">
        <f t="shared" ref="I4971:I5023" si="1293">I4970</f>
        <v>5.9285520000000001E-2</v>
      </c>
      <c r="J4971" s="160"/>
      <c r="K4971" s="161">
        <f t="shared" ref="K4971:K4977" si="1294">K4970</f>
        <v>1175</v>
      </c>
      <c r="L4971" s="250">
        <v>1</v>
      </c>
      <c r="M4971" s="163" t="str">
        <f t="shared" si="1290"/>
        <v>31897,39 Гкал(лимиты выделенные УЖКХ) *0,05928552/1175чел.</v>
      </c>
      <c r="N4971" s="164">
        <f>N3891</f>
        <v>2976.2517908205036</v>
      </c>
      <c r="O4971" s="165">
        <f t="shared" si="1291"/>
        <v>4790.0007900000001</v>
      </c>
      <c r="P4971" s="166"/>
      <c r="Q4971" s="166">
        <f t="shared" si="1292"/>
        <v>5628250.9282499999</v>
      </c>
      <c r="R4971" s="71"/>
    </row>
    <row r="4972" spans="1:18" s="61" customFormat="1" ht="31.5" x14ac:dyDescent="0.25">
      <c r="A4972" s="358"/>
      <c r="B4972" s="361"/>
      <c r="C4972" s="364" t="s">
        <v>74</v>
      </c>
      <c r="D4972" s="222" t="s">
        <v>12</v>
      </c>
      <c r="E4972" s="222" t="s">
        <v>11</v>
      </c>
      <c r="F4972" s="222" t="s">
        <v>11</v>
      </c>
      <c r="G4972" s="238">
        <f>MROUND(H4972*L4972*I4972/K4972,0.00000000001)</f>
        <v>9.3204491579099997</v>
      </c>
      <c r="H4972" s="224">
        <f>H3412</f>
        <v>184725.17</v>
      </c>
      <c r="I4972" s="159">
        <f t="shared" si="1293"/>
        <v>5.9285520000000001E-2</v>
      </c>
      <c r="J4972" s="160"/>
      <c r="K4972" s="161">
        <f t="shared" si="1294"/>
        <v>1175</v>
      </c>
      <c r="L4972" s="250">
        <v>1</v>
      </c>
      <c r="M4972" s="163" t="str">
        <f t="shared" si="1290"/>
        <v>184725,17 м3(лимиты выделенные УЖКХ) *0,05928552/1175чел.</v>
      </c>
      <c r="N4972" s="164">
        <f>N3412</f>
        <v>54.214180016724306</v>
      </c>
      <c r="O4972" s="165">
        <f t="shared" si="1291"/>
        <v>505.30050799999998</v>
      </c>
      <c r="P4972" s="166"/>
      <c r="Q4972" s="166">
        <f t="shared" si="1292"/>
        <v>593728.0969</v>
      </c>
      <c r="R4972" s="71"/>
    </row>
    <row r="4973" spans="1:18" s="61" customFormat="1" ht="47.25" x14ac:dyDescent="0.25">
      <c r="A4973" s="358"/>
      <c r="B4973" s="361"/>
      <c r="C4973" s="364"/>
      <c r="D4973" s="222" t="s">
        <v>17</v>
      </c>
      <c r="E4973" s="222" t="s">
        <v>11</v>
      </c>
      <c r="F4973" s="222" t="s">
        <v>11</v>
      </c>
      <c r="G4973" s="238">
        <f>MROUND(H4973*L4973*I4973/K4973,0.00000000001)</f>
        <v>9.3204491579099997</v>
      </c>
      <c r="H4973" s="160">
        <f>H3893</f>
        <v>184725.17</v>
      </c>
      <c r="I4973" s="159">
        <f t="shared" si="1293"/>
        <v>5.9285520000000001E-2</v>
      </c>
      <c r="J4973" s="160"/>
      <c r="K4973" s="161">
        <f t="shared" si="1294"/>
        <v>1175</v>
      </c>
      <c r="L4973" s="162">
        <f>$L$25</f>
        <v>1</v>
      </c>
      <c r="M4973" s="163" t="str">
        <f t="shared" si="1290"/>
        <v>184725,17 м3(лимиты выделенные УЖКХ) *0,05928552/1175чел.</v>
      </c>
      <c r="N4973" s="164">
        <f>N3413</f>
        <v>82.384170780821918</v>
      </c>
      <c r="O4973" s="165">
        <f t="shared" si="1291"/>
        <v>767.85747499999991</v>
      </c>
      <c r="P4973" s="166"/>
      <c r="Q4973" s="166">
        <f t="shared" si="1292"/>
        <v>902232.53312499984</v>
      </c>
      <c r="R4973" s="71"/>
    </row>
    <row r="4974" spans="1:18" s="61" customFormat="1" ht="31.5" x14ac:dyDescent="0.25">
      <c r="A4974" s="358"/>
      <c r="B4974" s="361"/>
      <c r="C4974" s="364"/>
      <c r="D4974" s="222" t="s">
        <v>13</v>
      </c>
      <c r="E4974" s="222" t="s">
        <v>11</v>
      </c>
      <c r="F4974" s="222" t="s">
        <v>11</v>
      </c>
      <c r="G4974" s="238">
        <f>MROUND(H4974*L4974*I4974/K4974,0.00000000001)</f>
        <v>9.3204491579099997</v>
      </c>
      <c r="H4974" s="160">
        <f>H3414</f>
        <v>184725.17</v>
      </c>
      <c r="I4974" s="159">
        <f t="shared" si="1293"/>
        <v>5.9285520000000001E-2</v>
      </c>
      <c r="J4974" s="160"/>
      <c r="K4974" s="161">
        <f t="shared" si="1294"/>
        <v>1175</v>
      </c>
      <c r="L4974" s="162">
        <v>1</v>
      </c>
      <c r="M4974" s="163" t="str">
        <f t="shared" si="1290"/>
        <v>184725,17 м3(лимиты выделенные УЖКХ) *0,05928552/1175чел.</v>
      </c>
      <c r="N4974" s="164">
        <f>N3414</f>
        <v>112.36110334722464</v>
      </c>
      <c r="O4974" s="165">
        <f>MROUND(G4974*N4974,0.00000001)</f>
        <v>1047.25595107</v>
      </c>
      <c r="P4974" s="166"/>
      <c r="Q4974" s="166">
        <f t="shared" si="1292"/>
        <v>1230525.74250725</v>
      </c>
      <c r="R4974" s="71"/>
    </row>
    <row r="4975" spans="1:18" s="61" customFormat="1" ht="31.5" x14ac:dyDescent="0.25">
      <c r="A4975" s="358"/>
      <c r="B4975" s="361"/>
      <c r="C4975" s="221" t="s">
        <v>75</v>
      </c>
      <c r="D4975" s="222" t="s">
        <v>18</v>
      </c>
      <c r="E4975" s="222" t="s">
        <v>48</v>
      </c>
      <c r="F4975" s="222" t="s">
        <v>48</v>
      </c>
      <c r="G4975" s="238">
        <f>MROUND(H4975*L4975*I4975/K4975,0.0000000001)</f>
        <v>0.70070943620000004</v>
      </c>
      <c r="H4975" s="160">
        <f>H3415</f>
        <v>13887.6</v>
      </c>
      <c r="I4975" s="159">
        <f t="shared" si="1293"/>
        <v>5.9285520000000001E-2</v>
      </c>
      <c r="J4975" s="160"/>
      <c r="K4975" s="161">
        <f t="shared" si="1294"/>
        <v>1175</v>
      </c>
      <c r="L4975" s="250">
        <v>1</v>
      </c>
      <c r="M4975" s="163" t="str">
        <f t="shared" si="1290"/>
        <v>13887,6 тыс. м3(лимиты выделенные УЖКХ) *0,05928552/1175чел.</v>
      </c>
      <c r="N4975" s="164">
        <f>N3415</f>
        <v>30.576235634666901</v>
      </c>
      <c r="O4975" s="165">
        <f t="shared" ref="O4975" si="1295">MROUND(G4975*N4975,0.000001)</f>
        <v>21.425056999999999</v>
      </c>
      <c r="P4975" s="166"/>
      <c r="Q4975" s="166">
        <f t="shared" si="1292"/>
        <v>25174.441974999998</v>
      </c>
      <c r="R4975" s="71"/>
    </row>
    <row r="4976" spans="1:18" s="61" customFormat="1" x14ac:dyDescent="0.25">
      <c r="A4976" s="358"/>
      <c r="B4976" s="361"/>
      <c r="C4976" s="364" t="s">
        <v>216</v>
      </c>
      <c r="D4976" s="222" t="s">
        <v>23</v>
      </c>
      <c r="E4976" s="222" t="s">
        <v>11</v>
      </c>
      <c r="F4976" s="222" t="s">
        <v>11</v>
      </c>
      <c r="G4976" s="238">
        <f>MROUND(H4976*L4976*I4976/K4976,0.000000000001)</f>
        <v>0.1699672971</v>
      </c>
      <c r="H4976" s="160">
        <f>H3416</f>
        <v>3368.6400000000003</v>
      </c>
      <c r="I4976" s="159">
        <f t="shared" si="1293"/>
        <v>5.9285520000000001E-2</v>
      </c>
      <c r="J4976" s="160"/>
      <c r="K4976" s="161">
        <f t="shared" si="1294"/>
        <v>1175</v>
      </c>
      <c r="L4976" s="162">
        <f>L4975</f>
        <v>1</v>
      </c>
      <c r="M4976" s="163" t="str">
        <f>CONCATENATE(H4976," ",F4976," ","*",I4976,"/",K4976,"чел.")</f>
        <v>3368,64 м3 *0,05928552/1175чел.</v>
      </c>
      <c r="N4976" s="164">
        <f>N3416</f>
        <v>776.35552626579261</v>
      </c>
      <c r="O4976" s="165">
        <f>MROUND(G4976*N4976,0.00000001)</f>
        <v>131.95505039</v>
      </c>
      <c r="P4976" s="166"/>
      <c r="Q4976" s="166">
        <f t="shared" si="1292"/>
        <v>155047.18420824999</v>
      </c>
      <c r="R4976" s="71"/>
    </row>
    <row r="4977" spans="1:18" s="61" customFormat="1" ht="63" x14ac:dyDescent="0.25">
      <c r="A4977" s="358"/>
      <c r="B4977" s="361"/>
      <c r="C4977" s="364"/>
      <c r="D4977" s="222" t="s">
        <v>24</v>
      </c>
      <c r="E4977" s="222" t="s">
        <v>25</v>
      </c>
      <c r="F4977" s="222" t="s">
        <v>217</v>
      </c>
      <c r="G4977" s="238">
        <f>MROUND(H4977*L4977*I4977/K4977,0.000000000001)</f>
        <v>7.4169969699999999E-3</v>
      </c>
      <c r="H4977" s="160">
        <f>H4257</f>
        <v>147</v>
      </c>
      <c r="I4977" s="159">
        <f t="shared" si="1293"/>
        <v>5.9285520000000001E-2</v>
      </c>
      <c r="J4977" s="160"/>
      <c r="K4977" s="161">
        <f t="shared" si="1294"/>
        <v>1175</v>
      </c>
      <c r="L4977" s="250">
        <f>L4976</f>
        <v>1</v>
      </c>
      <c r="M4977" s="163" t="str">
        <f>CONCATENATE(H4977," ",F4977,"(потребность из расчета 4 контейнера для уборки территории весной и осенью на 1 учреждение)","*",I4977,"/",K4977,"чел.")</f>
        <v>147 контейнера(потребность из расчета 4 контейнера для уборки территории весной и осенью на 1 учреждение)*0,05928552/1175чел.</v>
      </c>
      <c r="N4977" s="164">
        <f>N4257</f>
        <v>6047.8105442176911</v>
      </c>
      <c r="O4977" s="165">
        <f t="shared" ref="O4977" si="1296">MROUND(G4977*N4977,0.000001)</f>
        <v>44.856591999999999</v>
      </c>
      <c r="P4977" s="166"/>
      <c r="Q4977" s="166">
        <f t="shared" si="1292"/>
        <v>52706.495600000002</v>
      </c>
      <c r="R4977" s="71"/>
    </row>
    <row r="4978" spans="1:18" s="62" customFormat="1" x14ac:dyDescent="0.25">
      <c r="A4978" s="358"/>
      <c r="B4978" s="361"/>
      <c r="C4978" s="218" t="s">
        <v>290</v>
      </c>
      <c r="D4978" s="226"/>
      <c r="E4978" s="226"/>
      <c r="F4978" s="226"/>
      <c r="G4978" s="227"/>
      <c r="H4978" s="228"/>
      <c r="I4978" s="206"/>
      <c r="J4978" s="228"/>
      <c r="K4978" s="207"/>
      <c r="L4978" s="257"/>
      <c r="M4978" s="209"/>
      <c r="N4978" s="210"/>
      <c r="O4978" s="198">
        <f>SUM(O4970:O4977)</f>
        <v>9130.3761634600014</v>
      </c>
      <c r="P4978" s="267"/>
      <c r="Q4978" s="166"/>
      <c r="R4978" s="71"/>
    </row>
    <row r="4979" spans="1:18" s="61" customFormat="1" x14ac:dyDescent="0.25">
      <c r="A4979" s="358"/>
      <c r="B4979" s="361"/>
      <c r="C4979" s="221"/>
      <c r="D4979" s="356" t="s">
        <v>14</v>
      </c>
      <c r="E4979" s="356"/>
      <c r="F4979" s="356"/>
      <c r="G4979" s="356"/>
      <c r="H4979" s="188"/>
      <c r="I4979" s="159"/>
      <c r="J4979" s="188"/>
      <c r="K4979" s="161"/>
      <c r="L4979" s="250"/>
      <c r="M4979" s="230"/>
      <c r="N4979" s="164"/>
      <c r="O4979" s="198">
        <f>O4987+O4988+O4983</f>
        <v>9553.1052166337795</v>
      </c>
      <c r="P4979" s="166"/>
      <c r="Q4979" s="166"/>
      <c r="R4979" s="71"/>
    </row>
    <row r="4980" spans="1:18" s="61" customFormat="1" x14ac:dyDescent="0.25">
      <c r="A4980" s="358"/>
      <c r="B4980" s="361"/>
      <c r="C4980" s="221" t="s">
        <v>379</v>
      </c>
      <c r="D4980" s="231" t="s">
        <v>49</v>
      </c>
      <c r="E4980" s="231" t="s">
        <v>22</v>
      </c>
      <c r="F4980" s="231" t="s">
        <v>22</v>
      </c>
      <c r="G4980" s="238">
        <f>MROUND(H4980*L4980*I4980/K4980,0.000000001)</f>
        <v>0</v>
      </c>
      <c r="H4980" s="160"/>
      <c r="I4980" s="159">
        <f>I4975</f>
        <v>5.9285520000000001E-2</v>
      </c>
      <c r="J4980" s="160"/>
      <c r="K4980" s="161">
        <f>K4975</f>
        <v>1175</v>
      </c>
      <c r="L4980" s="250"/>
      <c r="M4980" s="163"/>
      <c r="N4980" s="164"/>
      <c r="O4980" s="165">
        <f>MROUND(G4980*N4980,0.00000001)</f>
        <v>0</v>
      </c>
      <c r="P4980" s="166"/>
      <c r="Q4980" s="166">
        <f t="shared" ref="Q4980:Q4982" si="1297">O4980*K4980</f>
        <v>0</v>
      </c>
      <c r="R4980" s="71"/>
    </row>
    <row r="4981" spans="1:18" s="61" customFormat="1" x14ac:dyDescent="0.25">
      <c r="A4981" s="358"/>
      <c r="B4981" s="361"/>
      <c r="C4981" s="221" t="s">
        <v>379</v>
      </c>
      <c r="D4981" s="231" t="s">
        <v>49</v>
      </c>
      <c r="E4981" s="231" t="s">
        <v>28</v>
      </c>
      <c r="F4981" s="231" t="s">
        <v>28</v>
      </c>
      <c r="G4981" s="238">
        <f>MROUND(H4981*L4981*I4981/K4981,0.000000000000001)</f>
        <v>0</v>
      </c>
      <c r="H4981" s="160"/>
      <c r="I4981" s="159">
        <f t="shared" si="1293"/>
        <v>5.9285520000000001E-2</v>
      </c>
      <c r="J4981" s="160"/>
      <c r="K4981" s="161">
        <f>K4980</f>
        <v>1175</v>
      </c>
      <c r="L4981" s="250">
        <v>1</v>
      </c>
      <c r="M4981" s="163"/>
      <c r="N4981" s="164"/>
      <c r="O4981" s="165">
        <f>MROUND(G4981*N4981,0.00000001)</f>
        <v>0</v>
      </c>
      <c r="P4981" s="166"/>
      <c r="Q4981" s="166">
        <f t="shared" si="1297"/>
        <v>0</v>
      </c>
      <c r="R4981" s="71"/>
    </row>
    <row r="4982" spans="1:18" s="61" customFormat="1" x14ac:dyDescent="0.25">
      <c r="A4982" s="358"/>
      <c r="B4982" s="361"/>
      <c r="C4982" s="221" t="s">
        <v>379</v>
      </c>
      <c r="D4982" s="231" t="s">
        <v>49</v>
      </c>
      <c r="E4982" s="231" t="s">
        <v>101</v>
      </c>
      <c r="F4982" s="231" t="s">
        <v>101</v>
      </c>
      <c r="G4982" s="238">
        <f>MROUND(H4982*L4982*I4982/K4982,0.000000001)</f>
        <v>0</v>
      </c>
      <c r="H4982" s="160"/>
      <c r="I4982" s="159">
        <f t="shared" si="1293"/>
        <v>5.9285520000000001E-2</v>
      </c>
      <c r="J4982" s="160"/>
      <c r="K4982" s="161">
        <f>K4981</f>
        <v>1175</v>
      </c>
      <c r="L4982" s="250"/>
      <c r="M4982" s="163"/>
      <c r="N4982" s="164"/>
      <c r="O4982" s="165">
        <f>MROUND(G4982*N4982,0.00000001)</f>
        <v>0</v>
      </c>
      <c r="P4982" s="166"/>
      <c r="Q4982" s="166">
        <f t="shared" si="1297"/>
        <v>0</v>
      </c>
      <c r="R4982" s="71"/>
    </row>
    <row r="4983" spans="1:18" s="62" customFormat="1" x14ac:dyDescent="0.25">
      <c r="A4983" s="358"/>
      <c r="B4983" s="361"/>
      <c r="C4983" s="218" t="s">
        <v>380</v>
      </c>
      <c r="D4983" s="232"/>
      <c r="E4983" s="232"/>
      <c r="F4983" s="232"/>
      <c r="G4983" s="227"/>
      <c r="H4983" s="228"/>
      <c r="I4983" s="206"/>
      <c r="J4983" s="228"/>
      <c r="K4983" s="207"/>
      <c r="L4983" s="257"/>
      <c r="M4983" s="209"/>
      <c r="N4983" s="210"/>
      <c r="O4983" s="198">
        <f>SUM(O4980:O4982)</f>
        <v>0</v>
      </c>
      <c r="P4983" s="267"/>
      <c r="Q4983" s="166"/>
      <c r="R4983" s="71"/>
    </row>
    <row r="4984" spans="1:18" s="61" customFormat="1" x14ac:dyDescent="0.25">
      <c r="A4984" s="358"/>
      <c r="B4984" s="361"/>
      <c r="C4984" s="221" t="s">
        <v>76</v>
      </c>
      <c r="D4984" s="231" t="s">
        <v>49</v>
      </c>
      <c r="E4984" s="231" t="s">
        <v>22</v>
      </c>
      <c r="F4984" s="231" t="s">
        <v>22</v>
      </c>
      <c r="G4984" s="238">
        <f>MROUND(H4984*L4984*I4984/K4984,0.000000000000001)</f>
        <v>61.759344300277796</v>
      </c>
      <c r="H4984" s="160">
        <f>H4144</f>
        <v>1224029.57</v>
      </c>
      <c r="I4984" s="159">
        <f>I4980</f>
        <v>5.9285520000000001E-2</v>
      </c>
      <c r="J4984" s="160"/>
      <c r="K4984" s="161">
        <f>K4982</f>
        <v>1175</v>
      </c>
      <c r="L4984" s="250">
        <v>1</v>
      </c>
      <c r="M4984" s="163" t="str">
        <f>CONCATENATE(H4984," ",F4984,"*",I4984,"/",K4984,"чел.")</f>
        <v>1224029,57 м2*0,05928552/1175чел.</v>
      </c>
      <c r="N4984" s="164">
        <f>N4144</f>
        <v>37.50494361014497</v>
      </c>
      <c r="O4984" s="165">
        <f>MROUND(G4984*N4984,0.00000000001)</f>
        <v>2316.2807253814499</v>
      </c>
      <c r="P4984" s="166"/>
      <c r="Q4984" s="166">
        <f t="shared" ref="Q4984:Q4986" si="1298">O4984*K4984</f>
        <v>2721629.8523232038</v>
      </c>
      <c r="R4984" s="71"/>
    </row>
    <row r="4985" spans="1:18" s="61" customFormat="1" x14ac:dyDescent="0.25">
      <c r="A4985" s="358"/>
      <c r="B4985" s="361"/>
      <c r="C4985" s="221"/>
      <c r="D4985" s="231" t="s">
        <v>49</v>
      </c>
      <c r="E4985" s="231" t="s">
        <v>28</v>
      </c>
      <c r="F4985" s="231" t="s">
        <v>28</v>
      </c>
      <c r="G4985" s="238">
        <f>MROUND(H4985*L4985*I4985/K4985,0.0000000000001)</f>
        <v>5.5804072442600001E-2</v>
      </c>
      <c r="H4985" s="160">
        <f>H4145</f>
        <v>1106</v>
      </c>
      <c r="I4985" s="159">
        <f t="shared" si="1293"/>
        <v>5.9285520000000001E-2</v>
      </c>
      <c r="J4985" s="160"/>
      <c r="K4985" s="161">
        <f>K4984</f>
        <v>1175</v>
      </c>
      <c r="L4985" s="250">
        <v>1</v>
      </c>
      <c r="M4985" s="163" t="str">
        <f>CONCATENATE(H4985," ",F4985,"*",I4985,"/",K4985,"чел.")</f>
        <v>1106 шт*0,05928552/1175чел.</v>
      </c>
      <c r="N4985" s="164">
        <f>N4145</f>
        <v>86192.676311030737</v>
      </c>
      <c r="O4985" s="165">
        <f>MROUND(G4985*N4985,0.00000000001)</f>
        <v>4809.90235288233</v>
      </c>
      <c r="P4985" s="166"/>
      <c r="Q4985" s="166">
        <f t="shared" si="1298"/>
        <v>5651635.2646367373</v>
      </c>
      <c r="R4985" s="71"/>
    </row>
    <row r="4986" spans="1:18" s="61" customFormat="1" x14ac:dyDescent="0.25">
      <c r="A4986" s="358"/>
      <c r="B4986" s="361"/>
      <c r="C4986" s="221"/>
      <c r="D4986" s="231" t="s">
        <v>49</v>
      </c>
      <c r="E4986" s="231" t="s">
        <v>101</v>
      </c>
      <c r="F4986" s="231" t="s">
        <v>101</v>
      </c>
      <c r="G4986" s="238">
        <f>MROUND(H4986*L4986*I4986/K4986,0.000000001)</f>
        <v>1.8502127820000001</v>
      </c>
      <c r="H4986" s="160">
        <f>H4146</f>
        <v>36670</v>
      </c>
      <c r="I4986" s="159">
        <f t="shared" si="1293"/>
        <v>5.9285520000000001E-2</v>
      </c>
      <c r="J4986" s="160"/>
      <c r="K4986" s="161">
        <f>K4985</f>
        <v>1175</v>
      </c>
      <c r="L4986" s="250">
        <v>1</v>
      </c>
      <c r="M4986" s="163" t="str">
        <f>CONCATENATE(H4986," ",F4986,"*",I4986,"/",K4986,"чел.")</f>
        <v>36670 погон.м.*0,05928552/1175чел.</v>
      </c>
      <c r="N4986" s="164">
        <f>N4146</f>
        <v>1311.6989364603219</v>
      </c>
      <c r="O4986" s="165">
        <f>MROUND(G4986*N4986,0.00000001)</f>
        <v>2426.9221383700001</v>
      </c>
      <c r="P4986" s="166"/>
      <c r="Q4986" s="166">
        <f t="shared" si="1298"/>
        <v>2851633.5125847501</v>
      </c>
      <c r="R4986" s="71"/>
    </row>
    <row r="4987" spans="1:18" s="62" customFormat="1" x14ac:dyDescent="0.25">
      <c r="A4987" s="358"/>
      <c r="B4987" s="361"/>
      <c r="C4987" s="218" t="s">
        <v>291</v>
      </c>
      <c r="D4987" s="232"/>
      <c r="E4987" s="232"/>
      <c r="F4987" s="232"/>
      <c r="G4987" s="227"/>
      <c r="H4987" s="228"/>
      <c r="I4987" s="206"/>
      <c r="J4987" s="228"/>
      <c r="K4987" s="207"/>
      <c r="L4987" s="257"/>
      <c r="M4987" s="209"/>
      <c r="N4987" s="210"/>
      <c r="O4987" s="198">
        <f>SUM(O4984:O4986)</f>
        <v>9553.1052166337795</v>
      </c>
      <c r="P4987" s="267"/>
      <c r="Q4987" s="166"/>
      <c r="R4987" s="71"/>
    </row>
    <row r="4988" spans="1:18" s="61" customFormat="1" x14ac:dyDescent="0.25">
      <c r="A4988" s="358"/>
      <c r="B4988" s="361"/>
      <c r="C4988" s="221" t="s">
        <v>77</v>
      </c>
      <c r="D4988" s="231"/>
      <c r="E4988" s="231"/>
      <c r="F4988" s="231"/>
      <c r="G4988" s="238">
        <f>MROUND(H4988*L4988*I4988/K4988,0.00000000001)</f>
        <v>0</v>
      </c>
      <c r="H4988" s="160">
        <f>H4748</f>
        <v>0</v>
      </c>
      <c r="I4988" s="159">
        <f>I4986</f>
        <v>5.9285520000000001E-2</v>
      </c>
      <c r="J4988" s="160"/>
      <c r="K4988" s="161">
        <f>K4986</f>
        <v>1175</v>
      </c>
      <c r="L4988" s="250"/>
      <c r="M4988" s="163"/>
      <c r="N4988" s="164">
        <f>N4748</f>
        <v>0</v>
      </c>
      <c r="O4988" s="165">
        <f>MROUND(G4988*N4988,0.000000001)</f>
        <v>0</v>
      </c>
      <c r="P4988" s="166"/>
      <c r="Q4988" s="166">
        <f t="shared" ref="Q4988" si="1299">O4988*K4988</f>
        <v>0</v>
      </c>
      <c r="R4988" s="71"/>
    </row>
    <row r="4989" spans="1:18" s="62" customFormat="1" x14ac:dyDescent="0.25">
      <c r="A4989" s="358"/>
      <c r="B4989" s="361"/>
      <c r="C4989" s="218" t="s">
        <v>292</v>
      </c>
      <c r="D4989" s="232"/>
      <c r="E4989" s="232"/>
      <c r="F4989" s="232"/>
      <c r="G4989" s="227"/>
      <c r="H4989" s="228"/>
      <c r="I4989" s="206"/>
      <c r="J4989" s="228"/>
      <c r="K4989" s="207"/>
      <c r="L4989" s="257"/>
      <c r="M4989" s="209"/>
      <c r="N4989" s="210"/>
      <c r="O4989" s="198">
        <f>O4988</f>
        <v>0</v>
      </c>
      <c r="P4989" s="267"/>
      <c r="Q4989" s="166"/>
      <c r="R4989" s="71"/>
    </row>
    <row r="4990" spans="1:18" s="61" customFormat="1" x14ac:dyDescent="0.25">
      <c r="A4990" s="358"/>
      <c r="B4990" s="361"/>
      <c r="C4990" s="221"/>
      <c r="D4990" s="350" t="s">
        <v>65</v>
      </c>
      <c r="E4990" s="350"/>
      <c r="F4990" s="350"/>
      <c r="G4990" s="350"/>
      <c r="H4990" s="195"/>
      <c r="I4990" s="159"/>
      <c r="J4990" s="195"/>
      <c r="K4990" s="161"/>
      <c r="L4990" s="196"/>
      <c r="M4990" s="230"/>
      <c r="N4990" s="164"/>
      <c r="O4990" s="165">
        <f t="shared" ref="O4990:O4991" si="1300">MROUND(G4990*N4990,0.000001)</f>
        <v>0</v>
      </c>
      <c r="P4990" s="166"/>
      <c r="Q4990" s="166"/>
      <c r="R4990" s="71"/>
    </row>
    <row r="4991" spans="1:18" s="61" customFormat="1" x14ac:dyDescent="0.25">
      <c r="A4991" s="358"/>
      <c r="B4991" s="361"/>
      <c r="C4991" s="221"/>
      <c r="D4991" s="194"/>
      <c r="E4991" s="194"/>
      <c r="F4991" s="194"/>
      <c r="G4991" s="217"/>
      <c r="H4991" s="195"/>
      <c r="I4991" s="159"/>
      <c r="J4991" s="195"/>
      <c r="K4991" s="161"/>
      <c r="L4991" s="196"/>
      <c r="M4991" s="230"/>
      <c r="N4991" s="164"/>
      <c r="O4991" s="165">
        <f t="shared" si="1300"/>
        <v>0</v>
      </c>
      <c r="P4991" s="166"/>
      <c r="Q4991" s="166"/>
      <c r="R4991" s="71"/>
    </row>
    <row r="4992" spans="1:18" s="61" customFormat="1" x14ac:dyDescent="0.25">
      <c r="A4992" s="358"/>
      <c r="B4992" s="361"/>
      <c r="C4992" s="221" t="s">
        <v>357</v>
      </c>
      <c r="D4992" s="368" t="s">
        <v>66</v>
      </c>
      <c r="E4992" s="368"/>
      <c r="F4992" s="368"/>
      <c r="G4992" s="368"/>
      <c r="H4992" s="195"/>
      <c r="I4992" s="159"/>
      <c r="J4992" s="195"/>
      <c r="K4992" s="161"/>
      <c r="L4992" s="234"/>
      <c r="M4992" s="230"/>
      <c r="N4992" s="164"/>
      <c r="O4992" s="198">
        <f>O4993</f>
        <v>28.637135999999998</v>
      </c>
      <c r="P4992" s="166"/>
      <c r="Q4992" s="166"/>
      <c r="R4992" s="71"/>
    </row>
    <row r="4993" spans="1:41" s="61" customFormat="1" ht="47.25" x14ac:dyDescent="0.25">
      <c r="A4993" s="358"/>
      <c r="B4993" s="361"/>
      <c r="C4993" s="221"/>
      <c r="D4993" s="222" t="s">
        <v>374</v>
      </c>
      <c r="E4993" s="194" t="s">
        <v>28</v>
      </c>
      <c r="F4993" s="194" t="s">
        <v>28</v>
      </c>
      <c r="G4993" s="217">
        <f>MROUND(H4993*L4993*I4993/K4993,0.000000001)</f>
        <v>7.2656300000000004E-3</v>
      </c>
      <c r="H4993" s="201">
        <f>H4393</f>
        <v>36</v>
      </c>
      <c r="I4993" s="159">
        <f>I4988</f>
        <v>5.9285520000000001E-2</v>
      </c>
      <c r="J4993" s="195"/>
      <c r="K4993" s="161">
        <f>K4988</f>
        <v>1175</v>
      </c>
      <c r="L4993" s="235">
        <f>L4393</f>
        <v>4</v>
      </c>
      <c r="M4993" s="163" t="str">
        <f>CONCATENATE(H4993," ",F4993,"*",I4993,"/",K4993,"чел.")</f>
        <v>36 шт*0,05928552/1175чел.</v>
      </c>
      <c r="N4993" s="164">
        <f>N4393</f>
        <v>3941.4525000000012</v>
      </c>
      <c r="O4993" s="165">
        <f>MROUND(G4993*N4993,0.000001)</f>
        <v>28.637135999999998</v>
      </c>
      <c r="P4993" s="166"/>
      <c r="Q4993" s="166">
        <f t="shared" ref="Q4993" si="1301">O4993*K4993</f>
        <v>33648.6348</v>
      </c>
      <c r="R4993" s="71"/>
    </row>
    <row r="4994" spans="1:41" s="61" customFormat="1" x14ac:dyDescent="0.25">
      <c r="A4994" s="358"/>
      <c r="B4994" s="361"/>
      <c r="C4994" s="221"/>
      <c r="D4994" s="368" t="s">
        <v>67</v>
      </c>
      <c r="E4994" s="368"/>
      <c r="F4994" s="368"/>
      <c r="G4994" s="368"/>
      <c r="H4994" s="195"/>
      <c r="I4994" s="159"/>
      <c r="J4994" s="195"/>
      <c r="K4994" s="161"/>
      <c r="L4994" s="196"/>
      <c r="M4994" s="230"/>
      <c r="N4994" s="164"/>
      <c r="O4994" s="165">
        <f t="shared" ref="O4994:O4997" si="1302">MROUND(G4994*N4994,0.000001)</f>
        <v>0</v>
      </c>
      <c r="P4994" s="166"/>
      <c r="Q4994" s="166"/>
      <c r="R4994" s="71"/>
    </row>
    <row r="4995" spans="1:41" s="61" customFormat="1" x14ac:dyDescent="0.25">
      <c r="A4995" s="358"/>
      <c r="B4995" s="361"/>
      <c r="C4995" s="221"/>
      <c r="D4995" s="194"/>
      <c r="E4995" s="194"/>
      <c r="F4995" s="194"/>
      <c r="G4995" s="217"/>
      <c r="H4995" s="195"/>
      <c r="I4995" s="159"/>
      <c r="J4995" s="195"/>
      <c r="K4995" s="161"/>
      <c r="L4995" s="196"/>
      <c r="M4995" s="230"/>
      <c r="N4995" s="164"/>
      <c r="O4995" s="165">
        <f t="shared" si="1302"/>
        <v>0</v>
      </c>
      <c r="P4995" s="166"/>
      <c r="Q4995" s="166"/>
      <c r="R4995" s="71"/>
    </row>
    <row r="4996" spans="1:41" s="61" customFormat="1" x14ac:dyDescent="0.25">
      <c r="A4996" s="358"/>
      <c r="B4996" s="361"/>
      <c r="C4996" s="221"/>
      <c r="D4996" s="350" t="s">
        <v>68</v>
      </c>
      <c r="E4996" s="350"/>
      <c r="F4996" s="350"/>
      <c r="G4996" s="350"/>
      <c r="H4996" s="195"/>
      <c r="I4996" s="159"/>
      <c r="J4996" s="195"/>
      <c r="K4996" s="161"/>
      <c r="L4996" s="196"/>
      <c r="M4996" s="230"/>
      <c r="N4996" s="164"/>
      <c r="O4996" s="165">
        <f t="shared" si="1302"/>
        <v>0</v>
      </c>
      <c r="P4996" s="166"/>
      <c r="Q4996" s="166"/>
      <c r="R4996" s="71"/>
    </row>
    <row r="4997" spans="1:41" s="61" customFormat="1" x14ac:dyDescent="0.25">
      <c r="A4997" s="358"/>
      <c r="B4997" s="361"/>
      <c r="C4997" s="221"/>
      <c r="D4997" s="156"/>
      <c r="E4997" s="156"/>
      <c r="F4997" s="156"/>
      <c r="G4997" s="236"/>
      <c r="H4997" s="195"/>
      <c r="I4997" s="159"/>
      <c r="J4997" s="195"/>
      <c r="K4997" s="161"/>
      <c r="L4997" s="196"/>
      <c r="M4997" s="230"/>
      <c r="N4997" s="164"/>
      <c r="O4997" s="165">
        <f t="shared" si="1302"/>
        <v>0</v>
      </c>
      <c r="P4997" s="166"/>
      <c r="Q4997" s="166"/>
      <c r="R4997" s="71"/>
    </row>
    <row r="4998" spans="1:41" s="61" customFormat="1" x14ac:dyDescent="0.25">
      <c r="A4998" s="358"/>
      <c r="B4998" s="361"/>
      <c r="C4998" s="221"/>
      <c r="D4998" s="368" t="s">
        <v>69</v>
      </c>
      <c r="E4998" s="368"/>
      <c r="F4998" s="368"/>
      <c r="G4998" s="368"/>
      <c r="H4998" s="187"/>
      <c r="I4998" s="159"/>
      <c r="J4998" s="187"/>
      <c r="K4998" s="161"/>
      <c r="L4998" s="276"/>
      <c r="M4998" s="230"/>
      <c r="N4998" s="164"/>
      <c r="O4998" s="198">
        <f>O5000+O5007+O5024+O5026+O5041+O5043+O5045+O5070+O5072+O5077+O5074</f>
        <v>1165.3855875099998</v>
      </c>
      <c r="P4998" s="166"/>
      <c r="Q4998" s="166"/>
      <c r="R4998" s="71"/>
    </row>
    <row r="4999" spans="1:41" s="61" customFormat="1" x14ac:dyDescent="0.25">
      <c r="A4999" s="358"/>
      <c r="B4999" s="361"/>
      <c r="C4999" s="221">
        <v>224</v>
      </c>
      <c r="D4999" s="156" t="s">
        <v>21</v>
      </c>
      <c r="E4999" s="156" t="s">
        <v>22</v>
      </c>
      <c r="F4999" s="156" t="s">
        <v>22</v>
      </c>
      <c r="G4999" s="238">
        <f>MROUND(H4999*L4999*I4999/K4999,0.000001)</f>
        <v>0</v>
      </c>
      <c r="H4999" s="158"/>
      <c r="I4999" s="159">
        <f>I4993</f>
        <v>5.9285520000000001E-2</v>
      </c>
      <c r="J4999" s="160"/>
      <c r="K4999" s="161">
        <f>K4993</f>
        <v>1175</v>
      </c>
      <c r="L4999" s="250"/>
      <c r="M4999" s="163"/>
      <c r="N4999" s="164"/>
      <c r="O4999" s="165">
        <f>MROUND(G4999*N4999,0.000001)</f>
        <v>0</v>
      </c>
      <c r="P4999" s="166"/>
      <c r="Q4999" s="166">
        <f t="shared" ref="Q4999" si="1303">O4999*K4999</f>
        <v>0</v>
      </c>
      <c r="R4999" s="71"/>
    </row>
    <row r="5000" spans="1:41" s="62" customFormat="1" x14ac:dyDescent="0.25">
      <c r="A5000" s="358"/>
      <c r="B5000" s="361"/>
      <c r="C5000" s="218" t="s">
        <v>293</v>
      </c>
      <c r="D5000" s="240"/>
      <c r="E5000" s="240"/>
      <c r="F5000" s="240"/>
      <c r="G5000" s="227"/>
      <c r="H5000" s="241"/>
      <c r="I5000" s="206"/>
      <c r="J5000" s="228"/>
      <c r="K5000" s="207"/>
      <c r="L5000" s="257"/>
      <c r="M5000" s="209"/>
      <c r="N5000" s="210"/>
      <c r="O5000" s="198">
        <f>SUM(O4999)</f>
        <v>0</v>
      </c>
      <c r="P5000" s="267"/>
      <c r="Q5000" s="166"/>
      <c r="R5000" s="71"/>
    </row>
    <row r="5001" spans="1:41" s="61" customFormat="1" ht="31.5" x14ac:dyDescent="0.25">
      <c r="A5001" s="358"/>
      <c r="B5001" s="361"/>
      <c r="C5001" s="364" t="s">
        <v>78</v>
      </c>
      <c r="D5001" s="156" t="s">
        <v>26</v>
      </c>
      <c r="E5001" s="156" t="s">
        <v>22</v>
      </c>
      <c r="F5001" s="156" t="s">
        <v>22</v>
      </c>
      <c r="G5001" s="238">
        <f>MROUND(H5001*L5001*I5001/K5001,0.000001)</f>
        <v>15.645322999999999</v>
      </c>
      <c r="H5001" s="158">
        <f>H3441</f>
        <v>25840</v>
      </c>
      <c r="I5001" s="159">
        <f>I4999</f>
        <v>5.9285520000000001E-2</v>
      </c>
      <c r="J5001" s="160"/>
      <c r="K5001" s="161">
        <f>K4999</f>
        <v>1175</v>
      </c>
      <c r="L5001" s="250">
        <v>12</v>
      </c>
      <c r="M5001" s="163" t="str">
        <f>CONCATENATE(H5001," ",F5001,"(обрабатываемая площадь в мес.)","*",L5001,"мес.","*",I5001,"/",K5001,"чел.")</f>
        <v>25840 м2(обрабатываемая площадь в мес.)*12мес.*0,05928552/1175чел.</v>
      </c>
      <c r="N5001" s="164">
        <f>N3441</f>
        <v>1.208548374613003</v>
      </c>
      <c r="O5001" s="165">
        <f t="shared" ref="O5001:O5006" si="1304">MROUND(G5001*N5001,0.000001)</f>
        <v>18.90813</v>
      </c>
      <c r="P5001" s="166"/>
      <c r="Q5001" s="166">
        <f t="shared" ref="Q5001:Q5006" si="1305">O5001*K5001</f>
        <v>22217.052749999999</v>
      </c>
      <c r="R5001" s="71"/>
    </row>
    <row r="5002" spans="1:41" s="61" customFormat="1" ht="31.5" x14ac:dyDescent="0.25">
      <c r="A5002" s="358"/>
      <c r="B5002" s="361"/>
      <c r="C5002" s="364"/>
      <c r="D5002" s="156" t="s">
        <v>96</v>
      </c>
      <c r="E5002" s="156" t="s">
        <v>22</v>
      </c>
      <c r="F5002" s="156" t="s">
        <v>22</v>
      </c>
      <c r="G5002" s="238">
        <f>MROUND(H5002*L5002*I5002/K5002,0.000001)</f>
        <v>8.0981500000000004</v>
      </c>
      <c r="H5002" s="158">
        <f>H3442</f>
        <v>13375</v>
      </c>
      <c r="I5002" s="159">
        <f t="shared" si="1293"/>
        <v>5.9285520000000001E-2</v>
      </c>
      <c r="J5002" s="160"/>
      <c r="K5002" s="161">
        <f>K5001</f>
        <v>1175</v>
      </c>
      <c r="L5002" s="250">
        <v>12</v>
      </c>
      <c r="M5002" s="163" t="str">
        <f>CONCATENATE(H5002," ",F5002,"(обрабатываемая площадь в мес.)","*",L5002,"мес.","*",I5002,"/",K5002,"чел.")</f>
        <v>13375 м2(обрабатываемая площадь в мес.)*12мес.*0,05928552/1175чел.</v>
      </c>
      <c r="N5002" s="164">
        <f>N3442</f>
        <v>1.93823800623053</v>
      </c>
      <c r="O5002" s="165">
        <f t="shared" si="1304"/>
        <v>15.696142</v>
      </c>
      <c r="P5002" s="166"/>
      <c r="Q5002" s="166">
        <f t="shared" si="1305"/>
        <v>18442.966850000001</v>
      </c>
      <c r="R5002" s="71"/>
    </row>
    <row r="5003" spans="1:41" s="135" customFormat="1" ht="31.5" x14ac:dyDescent="0.25">
      <c r="A5003" s="358"/>
      <c r="B5003" s="361"/>
      <c r="C5003" s="364"/>
      <c r="D5003" s="156" t="s">
        <v>385</v>
      </c>
      <c r="E5003" s="156" t="s">
        <v>22</v>
      </c>
      <c r="F5003" s="156" t="s">
        <v>22</v>
      </c>
      <c r="G5003" s="238">
        <f>MROUND(H5003*L5003*I5003/K5003,0.000001)</f>
        <v>16.196300000000001</v>
      </c>
      <c r="H5003" s="242">
        <f>$H$55</f>
        <v>13375</v>
      </c>
      <c r="I5003" s="159">
        <f t="shared" si="1293"/>
        <v>5.9285520000000001E-2</v>
      </c>
      <c r="J5003" s="160"/>
      <c r="K5003" s="161">
        <f>K5002</f>
        <v>1175</v>
      </c>
      <c r="L5003" s="162">
        <v>24</v>
      </c>
      <c r="M5003" s="163" t="str">
        <f>CONCATENATE(H5003," ",F5003,"(обрабатываемая площадь в год)","*",L5003," раза в год.","*",I5003,"/",K5003,"чел.")</f>
        <v>13375 м2(обрабатываемая площадь в год)*24 раза в год.*0,05928552/1175чел.</v>
      </c>
      <c r="N5003" s="164">
        <f>$N$3443</f>
        <v>2.3942939563862917</v>
      </c>
      <c r="O5003" s="165">
        <f t="shared" si="1304"/>
        <v>38.778703</v>
      </c>
      <c r="P5003" s="166"/>
      <c r="Q5003" s="166">
        <f t="shared" si="1305"/>
        <v>45564.976025000004</v>
      </c>
      <c r="R5003" s="71"/>
      <c r="S5003" s="61"/>
      <c r="T5003" s="61"/>
      <c r="U5003" s="61"/>
      <c r="V5003" s="61"/>
      <c r="W5003" s="61"/>
      <c r="X5003" s="61"/>
      <c r="Y5003" s="61"/>
      <c r="Z5003" s="61"/>
      <c r="AA5003" s="61"/>
      <c r="AB5003" s="61"/>
      <c r="AC5003" s="61"/>
      <c r="AD5003" s="61"/>
      <c r="AE5003" s="61"/>
      <c r="AF5003" s="61"/>
      <c r="AG5003" s="61"/>
      <c r="AH5003" s="61"/>
      <c r="AI5003" s="61"/>
      <c r="AJ5003" s="61"/>
      <c r="AK5003" s="61"/>
      <c r="AL5003" s="61"/>
      <c r="AM5003" s="61"/>
      <c r="AN5003" s="61"/>
      <c r="AO5003" s="61"/>
    </row>
    <row r="5004" spans="1:41" s="135" customFormat="1" ht="31.5" x14ac:dyDescent="0.25">
      <c r="A5004" s="358"/>
      <c r="B5004" s="361"/>
      <c r="C5004" s="364"/>
      <c r="D5004" s="156" t="s">
        <v>394</v>
      </c>
      <c r="E5004" s="156" t="s">
        <v>22</v>
      </c>
      <c r="F5004" s="156" t="s">
        <v>22</v>
      </c>
      <c r="G5004" s="238">
        <f>MROUND(H5004*L5004*I5004/K5004,0.000001)</f>
        <v>15.645322999999999</v>
      </c>
      <c r="H5004" s="243">
        <f>$H$56</f>
        <v>25840</v>
      </c>
      <c r="I5004" s="159">
        <f t="shared" si="1293"/>
        <v>5.9285520000000001E-2</v>
      </c>
      <c r="J5004" s="160"/>
      <c r="K5004" s="161">
        <f>K5003</f>
        <v>1175</v>
      </c>
      <c r="L5004" s="162">
        <v>12</v>
      </c>
      <c r="M5004" s="163" t="str">
        <f>CONCATENATE(H5004," ",F5004,"(обрабатываемая площадь в мес.)","*",L5004,"мес.","*",I5004,"/",K5004,"чел.")</f>
        <v>25840 м2(обрабатываемая площадь в мес.)*12мес.*0,05928552/1175чел.</v>
      </c>
      <c r="N5004" s="164">
        <f>$N$3444</f>
        <v>0.57007004643962855</v>
      </c>
      <c r="O5004" s="165">
        <f t="shared" si="1304"/>
        <v>8.9189299999999996</v>
      </c>
      <c r="P5004" s="166"/>
      <c r="Q5004" s="166">
        <f t="shared" si="1305"/>
        <v>10479.742749999999</v>
      </c>
      <c r="R5004" s="71"/>
      <c r="S5004" s="61"/>
      <c r="T5004" s="61"/>
      <c r="U5004" s="61"/>
      <c r="V5004" s="61"/>
      <c r="W5004" s="61"/>
      <c r="X5004" s="61"/>
      <c r="Y5004" s="61"/>
      <c r="Z5004" s="61"/>
      <c r="AA5004" s="61"/>
      <c r="AB5004" s="61"/>
      <c r="AC5004" s="61"/>
      <c r="AD5004" s="61"/>
      <c r="AE5004" s="61"/>
      <c r="AF5004" s="61"/>
      <c r="AG5004" s="61"/>
      <c r="AH5004" s="61"/>
      <c r="AI5004" s="61"/>
      <c r="AJ5004" s="61"/>
      <c r="AK5004" s="61"/>
      <c r="AL5004" s="61"/>
      <c r="AM5004" s="61"/>
      <c r="AN5004" s="61"/>
      <c r="AO5004" s="61"/>
    </row>
    <row r="5005" spans="1:41" s="135" customFormat="1" ht="31.5" x14ac:dyDescent="0.25">
      <c r="A5005" s="358"/>
      <c r="B5005" s="361"/>
      <c r="C5005" s="364"/>
      <c r="D5005" s="156" t="s">
        <v>395</v>
      </c>
      <c r="E5005" s="156" t="s">
        <v>98</v>
      </c>
      <c r="F5005" s="156" t="s">
        <v>98</v>
      </c>
      <c r="G5005" s="238">
        <f>MROUND(H5005*L5005*I5005/K5005,0.0000000001)</f>
        <v>9.5563210000000002E-4</v>
      </c>
      <c r="H5005" s="242">
        <f>$H$57</f>
        <v>18.939999999999998</v>
      </c>
      <c r="I5005" s="159">
        <f t="shared" si="1293"/>
        <v>5.9285520000000001E-2</v>
      </c>
      <c r="J5005" s="160"/>
      <c r="K5005" s="161">
        <f>K5004</f>
        <v>1175</v>
      </c>
      <c r="L5005" s="162">
        <v>1</v>
      </c>
      <c r="M5005" s="163" t="str">
        <f>CONCATENATE(H5005," ",F5005,"(обрабатываемая площадь в год)","*",L5005," раз в год","*",I5005,"/",K5005,"чел.")</f>
        <v>18,94 Га(обрабатываемая площадь в год)*1 раз в год*0,05928552/1175чел.</v>
      </c>
      <c r="N5005" s="164">
        <f>$N$57</f>
        <v>545</v>
      </c>
      <c r="O5005" s="165">
        <f t="shared" si="1304"/>
        <v>0.52081899999999992</v>
      </c>
      <c r="P5005" s="166"/>
      <c r="Q5005" s="166">
        <f t="shared" si="1305"/>
        <v>611.96232499999985</v>
      </c>
      <c r="R5005" s="71"/>
      <c r="S5005" s="61"/>
      <c r="T5005" s="61"/>
      <c r="U5005" s="61"/>
      <c r="V5005" s="61"/>
      <c r="W5005" s="61"/>
      <c r="X5005" s="61"/>
      <c r="Y5005" s="61"/>
      <c r="Z5005" s="61"/>
      <c r="AA5005" s="61"/>
      <c r="AB5005" s="61"/>
      <c r="AC5005" s="61"/>
      <c r="AD5005" s="61"/>
      <c r="AE5005" s="61"/>
      <c r="AF5005" s="61"/>
      <c r="AG5005" s="61"/>
      <c r="AH5005" s="61"/>
      <c r="AI5005" s="61"/>
      <c r="AJ5005" s="61"/>
      <c r="AK5005" s="61"/>
      <c r="AL5005" s="61"/>
      <c r="AM5005" s="61"/>
      <c r="AN5005" s="61"/>
      <c r="AO5005" s="61"/>
    </row>
    <row r="5006" spans="1:41" s="61" customFormat="1" ht="31.5" x14ac:dyDescent="0.25">
      <c r="A5006" s="358"/>
      <c r="B5006" s="361"/>
      <c r="C5006" s="364"/>
      <c r="D5006" s="156" t="s">
        <v>97</v>
      </c>
      <c r="E5006" s="156" t="s">
        <v>98</v>
      </c>
      <c r="F5006" s="156" t="s">
        <v>98</v>
      </c>
      <c r="G5006" s="238">
        <f>MROUND(H5006*L5006*I5006/K5006,0.000000001)</f>
        <v>9.556320000000001E-4</v>
      </c>
      <c r="H5006" s="242">
        <f>H3926</f>
        <v>18.939999999999998</v>
      </c>
      <c r="I5006" s="244">
        <f>I5002</f>
        <v>5.9285520000000001E-2</v>
      </c>
      <c r="J5006" s="160"/>
      <c r="K5006" s="161">
        <f>K5002</f>
        <v>1175</v>
      </c>
      <c r="L5006" s="250">
        <v>1</v>
      </c>
      <c r="M5006" s="163" t="str">
        <f>CONCATENATE(H5006," ",F5006,"(обрабатываемая площадь в мес.)","*",L5006,"мес.","*",I5006,"/",K5006,"чел.")</f>
        <v>18,94 Га(обрабатываемая площадь в мес.)*1мес.*0,05928552/1175чел.</v>
      </c>
      <c r="N5006" s="164">
        <f>N3926</f>
        <v>3102.4186906018999</v>
      </c>
      <c r="O5006" s="165">
        <f t="shared" si="1304"/>
        <v>2.9647709999999998</v>
      </c>
      <c r="P5006" s="166"/>
      <c r="Q5006" s="166">
        <f t="shared" si="1305"/>
        <v>3483.6059249999998</v>
      </c>
      <c r="R5006" s="71"/>
    </row>
    <row r="5007" spans="1:41" s="62" customFormat="1" x14ac:dyDescent="0.25">
      <c r="A5007" s="358"/>
      <c r="B5007" s="361"/>
      <c r="C5007" s="245" t="s">
        <v>294</v>
      </c>
      <c r="D5007" s="240"/>
      <c r="E5007" s="240"/>
      <c r="F5007" s="240"/>
      <c r="G5007" s="227"/>
      <c r="H5007" s="241"/>
      <c r="I5007" s="206"/>
      <c r="J5007" s="228"/>
      <c r="K5007" s="207"/>
      <c r="L5007" s="257"/>
      <c r="M5007" s="209"/>
      <c r="N5007" s="210"/>
      <c r="O5007" s="198">
        <f>SUM(O5001:O5006)</f>
        <v>85.787495000000007</v>
      </c>
      <c r="P5007" s="267"/>
      <c r="Q5007" s="166"/>
      <c r="R5007" s="71"/>
    </row>
    <row r="5008" spans="1:41" s="61" customFormat="1" ht="63" x14ac:dyDescent="0.25">
      <c r="A5008" s="358"/>
      <c r="B5008" s="361"/>
      <c r="C5008" s="365" t="s">
        <v>77</v>
      </c>
      <c r="D5008" s="156" t="s">
        <v>29</v>
      </c>
      <c r="E5008" s="156" t="s">
        <v>58</v>
      </c>
      <c r="F5008" s="156" t="s">
        <v>218</v>
      </c>
      <c r="G5008" s="238">
        <f>MROUND(H5008*L5008*I5008/K5008,0.00000001)</f>
        <v>3.0273500000000003E-3</v>
      </c>
      <c r="H5008" s="158">
        <v>15</v>
      </c>
      <c r="I5008" s="159">
        <f>I5006</f>
        <v>5.9285520000000001E-2</v>
      </c>
      <c r="J5008" s="160"/>
      <c r="K5008" s="161">
        <f>K5006</f>
        <v>1175</v>
      </c>
      <c r="L5008" s="162">
        <v>4</v>
      </c>
      <c r="M5008" s="163" t="str">
        <f>CONCATENATE(H5008," ",F5008,"*",L5008," раза в год","*",I5008,"/",K5008,"чел.")</f>
        <v>15 установок*4 раза в год*0,05928552/1175чел.</v>
      </c>
      <c r="N5008" s="164">
        <f>N3448</f>
        <v>2264.8651666666669</v>
      </c>
      <c r="O5008" s="165">
        <f t="shared" ref="O5008:O5016" si="1306">MROUND(G5008*N5008,0.000001)</f>
        <v>6.8565399999999999</v>
      </c>
      <c r="P5008" s="166"/>
      <c r="Q5008" s="166">
        <f t="shared" ref="Q5008:Q5023" si="1307">O5008*K5008</f>
        <v>8056.4344999999994</v>
      </c>
      <c r="R5008" s="71"/>
    </row>
    <row r="5009" spans="1:18" s="61" customFormat="1" ht="47.25" x14ac:dyDescent="0.25">
      <c r="A5009" s="358"/>
      <c r="B5009" s="361"/>
      <c r="C5009" s="366"/>
      <c r="D5009" s="156" t="s">
        <v>30</v>
      </c>
      <c r="E5009" s="156" t="s">
        <v>58</v>
      </c>
      <c r="F5009" s="156" t="s">
        <v>218</v>
      </c>
      <c r="G5009" s="238">
        <f>MROUND(H5009*L5009*I5009/K5009,0.00000001)</f>
        <v>1.5136699999999999E-3</v>
      </c>
      <c r="H5009" s="158">
        <v>15</v>
      </c>
      <c r="I5009" s="159">
        <f t="shared" si="1293"/>
        <v>5.9285520000000001E-2</v>
      </c>
      <c r="J5009" s="160"/>
      <c r="K5009" s="161">
        <f t="shared" ref="K5009:K5017" si="1308">K5008</f>
        <v>1175</v>
      </c>
      <c r="L5009" s="250">
        <v>2</v>
      </c>
      <c r="M5009" s="163" t="str">
        <f>CONCATENATE(H5009," ",F5009,"*",L5009,"полуг.","*",I5009,"/",K5009,"чел.")</f>
        <v>15 установок*2полуг.*0,05928552/1175чел.</v>
      </c>
      <c r="N5009" s="164">
        <f>N4289</f>
        <v>4529.7303333333339</v>
      </c>
      <c r="O5009" s="165">
        <f t="shared" si="1306"/>
        <v>6.8565169999999993</v>
      </c>
      <c r="P5009" s="166"/>
      <c r="Q5009" s="166">
        <f t="shared" si="1307"/>
        <v>8056.4074749999991</v>
      </c>
      <c r="R5009" s="71"/>
    </row>
    <row r="5010" spans="1:18" s="61" customFormat="1" ht="31.5" x14ac:dyDescent="0.25">
      <c r="A5010" s="358"/>
      <c r="B5010" s="361"/>
      <c r="C5010" s="366"/>
      <c r="D5010" s="156" t="s">
        <v>397</v>
      </c>
      <c r="E5010" s="156" t="s">
        <v>433</v>
      </c>
      <c r="F5010" s="156" t="s">
        <v>433</v>
      </c>
      <c r="G5010" s="238">
        <f>MROUND(H5010*L5010*I5010/K5010,0.000001)</f>
        <v>1.5136999999999999E-2</v>
      </c>
      <c r="H5010" s="158">
        <f>H3930</f>
        <v>300</v>
      </c>
      <c r="I5010" s="159">
        <f t="shared" si="1293"/>
        <v>5.9285520000000001E-2</v>
      </c>
      <c r="J5010" s="160"/>
      <c r="K5010" s="161">
        <f t="shared" si="1308"/>
        <v>1175</v>
      </c>
      <c r="L5010" s="162">
        <v>1</v>
      </c>
      <c r="M5010" s="163" t="str">
        <f>CONCATENATE(H5010," ",F5010,"(обрабатываемая площадь в год)","*",L5010," раз в год","*",I5010,"/",K5010,"чел.")</f>
        <v>300 м2.(обрабатываемая площадь в год)*1 раз в год*0,05928552/1175чел.</v>
      </c>
      <c r="N5010" s="164">
        <f>N3930</f>
        <v>300</v>
      </c>
      <c r="O5010" s="165">
        <f t="shared" si="1306"/>
        <v>4.5411000000000001</v>
      </c>
      <c r="P5010" s="166"/>
      <c r="Q5010" s="166">
        <f t="shared" si="1307"/>
        <v>5335.7925000000005</v>
      </c>
      <c r="R5010" s="71"/>
    </row>
    <row r="5011" spans="1:18" s="61" customFormat="1" ht="47.25" x14ac:dyDescent="0.25">
      <c r="A5011" s="358"/>
      <c r="B5011" s="361"/>
      <c r="C5011" s="366"/>
      <c r="D5011" s="156" t="s">
        <v>32</v>
      </c>
      <c r="E5011" s="156" t="s">
        <v>55</v>
      </c>
      <c r="F5011" s="156" t="s">
        <v>219</v>
      </c>
      <c r="G5011" s="238">
        <f>MROUND(H5011*L5011*I5011/K5011,0.000000001)</f>
        <v>7.2656300000000004E-3</v>
      </c>
      <c r="H5011" s="158">
        <f>H4291</f>
        <v>36</v>
      </c>
      <c r="I5011" s="159">
        <f>I5010</f>
        <v>5.9285520000000001E-2</v>
      </c>
      <c r="J5011" s="160"/>
      <c r="K5011" s="161">
        <f t="shared" si="1308"/>
        <v>1175</v>
      </c>
      <c r="L5011" s="250">
        <v>4</v>
      </c>
      <c r="M5011" s="163" t="str">
        <f>CONCATENATE(H5011," ",F5011,"*",L5011,"кв.","*",I5011,"/",K5011,"чел.")</f>
        <v>36 системы*4кв.*0,05928552/1175чел.</v>
      </c>
      <c r="N5011" s="164">
        <f>N4291</f>
        <v>7243.0565277777823</v>
      </c>
      <c r="O5011" s="165">
        <f t="shared" si="1306"/>
        <v>52.625368999999999</v>
      </c>
      <c r="P5011" s="166"/>
      <c r="Q5011" s="166">
        <f t="shared" si="1307"/>
        <v>61834.808574999995</v>
      </c>
      <c r="R5011" s="71"/>
    </row>
    <row r="5012" spans="1:18" s="61" customFormat="1" ht="63" x14ac:dyDescent="0.25">
      <c r="A5012" s="358"/>
      <c r="B5012" s="361"/>
      <c r="C5012" s="366"/>
      <c r="D5012" s="156" t="s">
        <v>33</v>
      </c>
      <c r="E5012" s="156" t="s">
        <v>56</v>
      </c>
      <c r="F5012" s="156" t="s">
        <v>220</v>
      </c>
      <c r="G5012" s="238">
        <f>MROUND(H5012*L5012*I5012/K5012,0.000000001)</f>
        <v>1.8164070000000001E-3</v>
      </c>
      <c r="H5012" s="158">
        <f>$H$64</f>
        <v>36</v>
      </c>
      <c r="I5012" s="159">
        <f>I5011</f>
        <v>5.9285520000000001E-2</v>
      </c>
      <c r="J5012" s="160"/>
      <c r="K5012" s="161">
        <f t="shared" si="1308"/>
        <v>1175</v>
      </c>
      <c r="L5012" s="162">
        <v>1</v>
      </c>
      <c r="M5012" s="163" t="str">
        <f>CONCATENATE(H5012," ",F5012,"*",L5012," раз в год","*",I5012,"/",K5012,"чел.")</f>
        <v>36 дымоходов*1 раз в год*0,05928552/1175чел.</v>
      </c>
      <c r="N5012" s="164">
        <f>N3452</f>
        <v>7030.863333333331</v>
      </c>
      <c r="O5012" s="165">
        <f t="shared" si="1306"/>
        <v>12.770909</v>
      </c>
      <c r="P5012" s="166"/>
      <c r="Q5012" s="166">
        <f t="shared" si="1307"/>
        <v>15005.818074999999</v>
      </c>
      <c r="R5012" s="71"/>
    </row>
    <row r="5013" spans="1:18" s="61" customFormat="1" x14ac:dyDescent="0.25">
      <c r="A5013" s="358"/>
      <c r="B5013" s="361"/>
      <c r="C5013" s="366"/>
      <c r="D5013" s="194" t="s">
        <v>398</v>
      </c>
      <c r="E5013" s="156" t="s">
        <v>60</v>
      </c>
      <c r="F5013" s="156" t="s">
        <v>60</v>
      </c>
      <c r="G5013" s="238">
        <f>MROUND(H5013*L5013*I5013/K5013,0.000000001)</f>
        <v>1.7659520000000001E-3</v>
      </c>
      <c r="H5013" s="246">
        <f>H3453</f>
        <v>35</v>
      </c>
      <c r="I5013" s="159">
        <f t="shared" si="1293"/>
        <v>5.9285520000000001E-2</v>
      </c>
      <c r="J5013" s="160"/>
      <c r="K5013" s="161">
        <f t="shared" si="1308"/>
        <v>1175</v>
      </c>
      <c r="L5013" s="250">
        <v>1</v>
      </c>
      <c r="M5013" s="163" t="str">
        <f>CONCATENATE(H5013," ",F5013,"*",I5013,"/",K5013,"чел.")</f>
        <v>35 шт.*0,05928552/1175чел.</v>
      </c>
      <c r="N5013" s="164">
        <f>N3453</f>
        <v>12173.433428571419</v>
      </c>
      <c r="O5013" s="165">
        <f t="shared" si="1306"/>
        <v>21.497699000000001</v>
      </c>
      <c r="P5013" s="166"/>
      <c r="Q5013" s="166">
        <f t="shared" si="1307"/>
        <v>25259.796324999999</v>
      </c>
      <c r="R5013" s="71"/>
    </row>
    <row r="5014" spans="1:18" s="61" customFormat="1" ht="47.25" x14ac:dyDescent="0.25">
      <c r="A5014" s="358"/>
      <c r="B5014" s="361"/>
      <c r="C5014" s="366"/>
      <c r="D5014" s="156" t="s">
        <v>401</v>
      </c>
      <c r="E5014" s="156" t="s">
        <v>60</v>
      </c>
      <c r="F5014" s="156" t="s">
        <v>402</v>
      </c>
      <c r="G5014" s="238">
        <f>MROUND(H5014*L5014*I5014/K5014,0.000001)</f>
        <v>3.532E-3</v>
      </c>
      <c r="H5014" s="246">
        <f>H3454</f>
        <v>35</v>
      </c>
      <c r="I5014" s="159">
        <f t="shared" si="1293"/>
        <v>5.9285520000000001E-2</v>
      </c>
      <c r="J5014" s="160"/>
      <c r="K5014" s="161">
        <f t="shared" si="1308"/>
        <v>1175</v>
      </c>
      <c r="L5014" s="162">
        <v>2</v>
      </c>
      <c r="M5014" s="163" t="str">
        <f>CONCATENATE(H5014," ",F5014,"*",L5014," раз в год","*",I5014,"/",K5014,"чел.")</f>
        <v>35 противопожарных водопроводов*2 раз в год*0,05928552/1175чел.</v>
      </c>
      <c r="N5014" s="164">
        <f>N3454</f>
        <v>5700.7000000000025</v>
      </c>
      <c r="O5014" s="165">
        <f t="shared" si="1306"/>
        <v>20.134871999999998</v>
      </c>
      <c r="P5014" s="166"/>
      <c r="Q5014" s="166">
        <f t="shared" si="1307"/>
        <v>23658.474599999998</v>
      </c>
      <c r="R5014" s="71"/>
    </row>
    <row r="5015" spans="1:18" s="61" customFormat="1" ht="31.5" x14ac:dyDescent="0.25">
      <c r="A5015" s="358"/>
      <c r="B5015" s="361"/>
      <c r="C5015" s="366"/>
      <c r="D5015" s="156" t="s">
        <v>221</v>
      </c>
      <c r="E5015" s="156" t="s">
        <v>60</v>
      </c>
      <c r="F5015" s="156" t="s">
        <v>60</v>
      </c>
      <c r="G5015" s="238">
        <f>MROUND(H5015*L5015*I5015/K5015,0.000000001)</f>
        <v>1.0898445000000001E-2</v>
      </c>
      <c r="H5015" s="158">
        <f>H3455</f>
        <v>18</v>
      </c>
      <c r="I5015" s="159">
        <f t="shared" si="1293"/>
        <v>5.9285520000000001E-2</v>
      </c>
      <c r="J5015" s="160"/>
      <c r="K5015" s="161">
        <f t="shared" si="1308"/>
        <v>1175</v>
      </c>
      <c r="L5015" s="250">
        <v>12</v>
      </c>
      <c r="M5015" s="163" t="str">
        <f>CONCATENATE(H5015," ",F5015,"*",L5015,"мес.","*",I5015,"/",K5015,"чел.")</f>
        <v>18 шт.*12мес.*0,05928552/1175чел.</v>
      </c>
      <c r="N5015" s="164">
        <f>N3935</f>
        <v>6577.3408796296308</v>
      </c>
      <c r="O5015" s="165">
        <f t="shared" si="1306"/>
        <v>71.682788000000002</v>
      </c>
      <c r="P5015" s="166"/>
      <c r="Q5015" s="166">
        <f t="shared" si="1307"/>
        <v>84227.275900000008</v>
      </c>
      <c r="R5015" s="71"/>
    </row>
    <row r="5016" spans="1:18" s="61" customFormat="1" ht="47.25" x14ac:dyDescent="0.25">
      <c r="A5016" s="358"/>
      <c r="B5016" s="361"/>
      <c r="C5016" s="366"/>
      <c r="D5016" s="156" t="s">
        <v>34</v>
      </c>
      <c r="E5016" s="156" t="s">
        <v>59</v>
      </c>
      <c r="F5016" s="156" t="s">
        <v>28</v>
      </c>
      <c r="G5016" s="238">
        <f>MROUND(H5016*L5016*I5016/K5016,0.0000000001)</f>
        <v>1.009115E-4</v>
      </c>
      <c r="H5016" s="158">
        <f>H3576</f>
        <v>2</v>
      </c>
      <c r="I5016" s="159">
        <f t="shared" si="1293"/>
        <v>5.9285520000000001E-2</v>
      </c>
      <c r="J5016" s="160"/>
      <c r="K5016" s="161">
        <f t="shared" si="1308"/>
        <v>1175</v>
      </c>
      <c r="L5016" s="250">
        <v>1</v>
      </c>
      <c r="M5016" s="163" t="str">
        <f>CONCATENATE(H5016," ",F5016,"*",I5016,"/",K5016,"чел.")</f>
        <v>2 шт*0,05928552/1175чел.</v>
      </c>
      <c r="N5016" s="164">
        <f>N3456</f>
        <v>7845</v>
      </c>
      <c r="O5016" s="165">
        <f t="shared" si="1306"/>
        <v>0.79165099999999999</v>
      </c>
      <c r="P5016" s="166"/>
      <c r="Q5016" s="166">
        <f t="shared" si="1307"/>
        <v>930.18992500000002</v>
      </c>
      <c r="R5016" s="71"/>
    </row>
    <row r="5017" spans="1:18" s="61" customFormat="1" ht="47.25" x14ac:dyDescent="0.25">
      <c r="A5017" s="358"/>
      <c r="B5017" s="361"/>
      <c r="C5017" s="366"/>
      <c r="D5017" s="156" t="s">
        <v>222</v>
      </c>
      <c r="E5017" s="156" t="s">
        <v>60</v>
      </c>
      <c r="F5017" s="156" t="s">
        <v>60</v>
      </c>
      <c r="G5017" s="238">
        <f>MROUND(H5017*L5017*I5017/K5017,0.00000000001)</f>
        <v>2.5227881E-4</v>
      </c>
      <c r="H5017" s="248">
        <f>H4297</f>
        <v>5</v>
      </c>
      <c r="I5017" s="159">
        <f t="shared" si="1293"/>
        <v>5.9285520000000001E-2</v>
      </c>
      <c r="J5017" s="160"/>
      <c r="K5017" s="161">
        <f t="shared" si="1308"/>
        <v>1175</v>
      </c>
      <c r="L5017" s="250">
        <v>1</v>
      </c>
      <c r="M5017" s="163" t="str">
        <f>CONCATENATE(H5017," ",F5017,"*",I5017,"/",K5017,"чел.")</f>
        <v>5 шт.*0,05928552/1175чел.</v>
      </c>
      <c r="N5017" s="164">
        <f>N3457</f>
        <v>43857.106</v>
      </c>
      <c r="O5017" s="165">
        <f>MROUND(G5017*N5017,0.00000001)</f>
        <v>11.06421851</v>
      </c>
      <c r="P5017" s="166"/>
      <c r="Q5017" s="166">
        <f t="shared" si="1307"/>
        <v>13000.456749249999</v>
      </c>
      <c r="R5017" s="71"/>
    </row>
    <row r="5018" spans="1:18" s="61" customFormat="1" ht="31.5" x14ac:dyDescent="0.25">
      <c r="A5018" s="358"/>
      <c r="B5018" s="361"/>
      <c r="C5018" s="366"/>
      <c r="D5018" s="156" t="s">
        <v>35</v>
      </c>
      <c r="E5018" s="156" t="s">
        <v>102</v>
      </c>
      <c r="F5018" s="156" t="s">
        <v>223</v>
      </c>
      <c r="G5018" s="238">
        <f>MROUND(H5018*L5018*I5018/K5018,0.00000001)</f>
        <v>1.7659500000000001E-3</v>
      </c>
      <c r="H5018" s="158">
        <f>H3458</f>
        <v>35</v>
      </c>
      <c r="I5018" s="159">
        <f>I5016</f>
        <v>5.9285520000000001E-2</v>
      </c>
      <c r="J5018" s="160"/>
      <c r="K5018" s="161">
        <f>K5016</f>
        <v>1175</v>
      </c>
      <c r="L5018" s="250">
        <v>1</v>
      </c>
      <c r="M5018" s="163" t="str">
        <f>CONCATENATE(H5018," ",F5018,"*",I5018,"/",K5018,"чел.")</f>
        <v>35 замеров*0,05928552/1175чел.</v>
      </c>
      <c r="N5018" s="164">
        <f>N3458</f>
        <v>26428.571428571428</v>
      </c>
      <c r="O5018" s="165">
        <f t="shared" ref="O5018:O5023" si="1309">MROUND(G5018*N5018,0.000001)</f>
        <v>46.671535999999996</v>
      </c>
      <c r="P5018" s="166"/>
      <c r="Q5018" s="166">
        <f t="shared" si="1307"/>
        <v>54839.054799999998</v>
      </c>
      <c r="R5018" s="71"/>
    </row>
    <row r="5019" spans="1:18" s="61" customFormat="1" ht="47.25" x14ac:dyDescent="0.25">
      <c r="A5019" s="358"/>
      <c r="B5019" s="361"/>
      <c r="C5019" s="366"/>
      <c r="D5019" s="156" t="s">
        <v>399</v>
      </c>
      <c r="E5019" s="156" t="s">
        <v>60</v>
      </c>
      <c r="F5019" s="156" t="s">
        <v>60</v>
      </c>
      <c r="G5019" s="238">
        <f>MROUND(H5019*L5019*I5019/K5019,0.000000001)</f>
        <v>1.7659517E-2</v>
      </c>
      <c r="H5019" s="158">
        <f>H4419</f>
        <v>35</v>
      </c>
      <c r="I5019" s="159">
        <f t="shared" si="1293"/>
        <v>5.9285520000000001E-2</v>
      </c>
      <c r="J5019" s="160"/>
      <c r="K5019" s="161">
        <f>K5018</f>
        <v>1175</v>
      </c>
      <c r="L5019" s="250">
        <v>10</v>
      </c>
      <c r="M5019" s="163" t="str">
        <f>CONCATENATE(H5019," ",F5019,"*",L5019,"мес.","*",I5019,"/",K5019,"чел.")</f>
        <v>35 шт.*10мес.*0,05928552/1175чел.</v>
      </c>
      <c r="N5019" s="164">
        <f>N4419</f>
        <v>3250.866542857143</v>
      </c>
      <c r="O5019" s="165">
        <f t="shared" si="1309"/>
        <v>57.408732999999998</v>
      </c>
      <c r="P5019" s="166"/>
      <c r="Q5019" s="166">
        <f t="shared" si="1307"/>
        <v>67455.261274999997</v>
      </c>
      <c r="R5019" s="71"/>
    </row>
    <row r="5020" spans="1:18" s="61" customFormat="1" ht="47.25" x14ac:dyDescent="0.25">
      <c r="A5020" s="358"/>
      <c r="B5020" s="361"/>
      <c r="C5020" s="366"/>
      <c r="D5020" s="156" t="s">
        <v>36</v>
      </c>
      <c r="E5020" s="156" t="s">
        <v>31</v>
      </c>
      <c r="F5020" s="156" t="s">
        <v>224</v>
      </c>
      <c r="G5020" s="238">
        <f>MROUND(H5020*L5020*I5020/K5020,0.00000001)</f>
        <v>2.1796889999999999E-2</v>
      </c>
      <c r="H5020" s="158">
        <f>H4300</f>
        <v>36</v>
      </c>
      <c r="I5020" s="159">
        <f t="shared" si="1293"/>
        <v>5.9285520000000001E-2</v>
      </c>
      <c r="J5020" s="160"/>
      <c r="K5020" s="161">
        <f>K5019</f>
        <v>1175</v>
      </c>
      <c r="L5020" s="250">
        <v>12</v>
      </c>
      <c r="M5020" s="163" t="str">
        <f>CONCATENATE(H5020," ",F5020,"*",L5020,"мес.","*",I5020,"/",K5020,"чел.")</f>
        <v>36 устройств*12мес.*0,05928552/1175чел.</v>
      </c>
      <c r="N5020" s="164">
        <f>N3460</f>
        <v>2508.3083101851839</v>
      </c>
      <c r="O5020" s="165">
        <f t="shared" si="1309"/>
        <v>54.673319999999997</v>
      </c>
      <c r="P5020" s="166"/>
      <c r="Q5020" s="166">
        <f t="shared" si="1307"/>
        <v>64241.150999999998</v>
      </c>
      <c r="R5020" s="71"/>
    </row>
    <row r="5021" spans="1:18" s="61" customFormat="1" ht="31.5" x14ac:dyDescent="0.25">
      <c r="A5021" s="358"/>
      <c r="B5021" s="361"/>
      <c r="C5021" s="366"/>
      <c r="D5021" s="156" t="s">
        <v>99</v>
      </c>
      <c r="E5021" s="156" t="s">
        <v>103</v>
      </c>
      <c r="F5021" s="156" t="s">
        <v>225</v>
      </c>
      <c r="G5021" s="238">
        <f>MROUND(H5021*L5021*I5021/K5021,0.00000001)</f>
        <v>1.2613940000000001E-2</v>
      </c>
      <c r="H5021" s="158">
        <f>H3461</f>
        <v>250</v>
      </c>
      <c r="I5021" s="159">
        <f t="shared" si="1293"/>
        <v>5.9285520000000001E-2</v>
      </c>
      <c r="J5021" s="160"/>
      <c r="K5021" s="161">
        <f>K5020</f>
        <v>1175</v>
      </c>
      <c r="L5021" s="250">
        <v>1</v>
      </c>
      <c r="M5021" s="163" t="str">
        <f>CONCATENATE(H5021," ",F5021,"*",I5021,"/",K5021,"чел.")</f>
        <v>250 ед.*0,05928552/1175чел.</v>
      </c>
      <c r="N5021" s="164">
        <f>N3461</f>
        <v>15000</v>
      </c>
      <c r="O5021" s="165">
        <f t="shared" si="1309"/>
        <v>189.20909999999998</v>
      </c>
      <c r="P5021" s="166"/>
      <c r="Q5021" s="166">
        <f t="shared" si="1307"/>
        <v>222320.69249999998</v>
      </c>
      <c r="R5021" s="71"/>
    </row>
    <row r="5022" spans="1:18" s="61" customFormat="1" x14ac:dyDescent="0.25">
      <c r="A5022" s="358"/>
      <c r="B5022" s="361"/>
      <c r="C5022" s="366"/>
      <c r="D5022" s="156" t="s">
        <v>27</v>
      </c>
      <c r="E5022" s="156" t="s">
        <v>28</v>
      </c>
      <c r="F5022" s="156" t="s">
        <v>28</v>
      </c>
      <c r="G5022" s="238">
        <f>MROUND(H5022*L5022*I5022/K5022,0.000001)</f>
        <v>0.18340699999999999</v>
      </c>
      <c r="H5022" s="160">
        <f>H3462</f>
        <v>3635</v>
      </c>
      <c r="I5022" s="159">
        <f t="shared" si="1293"/>
        <v>5.9285520000000001E-2</v>
      </c>
      <c r="J5022" s="160"/>
      <c r="K5022" s="161">
        <f>K5021</f>
        <v>1175</v>
      </c>
      <c r="L5022" s="250">
        <v>1</v>
      </c>
      <c r="M5022" s="163" t="str">
        <f>CONCATENATE(H5022," ",F5022,"*",I5022,"/",K5022,"чел.")</f>
        <v>3635 шт*0,05928552/1175чел.</v>
      </c>
      <c r="N5022" s="164">
        <f>N3462</f>
        <v>418.4</v>
      </c>
      <c r="O5022" s="165">
        <f t="shared" si="1309"/>
        <v>76.737488999999997</v>
      </c>
      <c r="P5022" s="166"/>
      <c r="Q5022" s="166">
        <f t="shared" si="1307"/>
        <v>90166.549574999997</v>
      </c>
      <c r="R5022" s="71"/>
    </row>
    <row r="5023" spans="1:18" s="61" customFormat="1" ht="31.5" x14ac:dyDescent="0.25">
      <c r="A5023" s="358"/>
      <c r="B5023" s="361"/>
      <c r="C5023" s="367"/>
      <c r="D5023" s="156" t="s">
        <v>104</v>
      </c>
      <c r="E5023" s="156" t="s">
        <v>105</v>
      </c>
      <c r="F5023" s="156" t="s">
        <v>226</v>
      </c>
      <c r="G5023" s="238">
        <f>MROUND(H5023*L5023*I5023/K5023,0.00000001)</f>
        <v>1.8164100000000001E-3</v>
      </c>
      <c r="H5023" s="160">
        <f>H3943</f>
        <v>36</v>
      </c>
      <c r="I5023" s="159">
        <f t="shared" si="1293"/>
        <v>5.9285520000000001E-2</v>
      </c>
      <c r="J5023" s="160"/>
      <c r="K5023" s="161">
        <f>K5022</f>
        <v>1175</v>
      </c>
      <c r="L5023" s="250">
        <v>1</v>
      </c>
      <c r="M5023" s="163" t="str">
        <f>CONCATENATE(H5023," ",F5023,"*",I5023,"/",K5023,"чел.")</f>
        <v>36 отключений*0,05928552/1175чел.</v>
      </c>
      <c r="N5023" s="164">
        <f>N3463</f>
        <v>10261.260000000004</v>
      </c>
      <c r="O5023" s="165">
        <f t="shared" si="1309"/>
        <v>18.638655</v>
      </c>
      <c r="P5023" s="166"/>
      <c r="Q5023" s="166">
        <f t="shared" si="1307"/>
        <v>21900.419624999999</v>
      </c>
      <c r="R5023" s="71"/>
    </row>
    <row r="5024" spans="1:18" s="62" customFormat="1" x14ac:dyDescent="0.25">
      <c r="A5024" s="358"/>
      <c r="B5024" s="361"/>
      <c r="C5024" s="249" t="s">
        <v>292</v>
      </c>
      <c r="D5024" s="240"/>
      <c r="E5024" s="240"/>
      <c r="F5024" s="240"/>
      <c r="G5024" s="227"/>
      <c r="H5024" s="228"/>
      <c r="I5024" s="206"/>
      <c r="J5024" s="228"/>
      <c r="K5024" s="207"/>
      <c r="L5024" s="257"/>
      <c r="M5024" s="209"/>
      <c r="N5024" s="210"/>
      <c r="O5024" s="198">
        <f>SUM(O5008:O5023)</f>
        <v>652.16049650999992</v>
      </c>
      <c r="P5024" s="267"/>
      <c r="Q5024" s="166"/>
      <c r="R5024" s="71"/>
    </row>
    <row r="5025" spans="1:18" s="61" customFormat="1" ht="31.5" x14ac:dyDescent="0.25">
      <c r="A5025" s="358"/>
      <c r="B5025" s="361"/>
      <c r="C5025" s="221" t="s">
        <v>79</v>
      </c>
      <c r="D5025" s="156" t="s">
        <v>37</v>
      </c>
      <c r="E5025" s="156" t="s">
        <v>61</v>
      </c>
      <c r="F5025" s="156" t="s">
        <v>227</v>
      </c>
      <c r="G5025" s="238">
        <f>MROUND(H5025*L5025*I5025/K5025,0.000000001)</f>
        <v>2.0182300000000001E-4</v>
      </c>
      <c r="H5025" s="158">
        <f>H3465</f>
        <v>4</v>
      </c>
      <c r="I5025" s="159">
        <f>I5023</f>
        <v>5.9285520000000001E-2</v>
      </c>
      <c r="J5025" s="160"/>
      <c r="K5025" s="161">
        <f>K5023</f>
        <v>1175</v>
      </c>
      <c r="L5025" s="250">
        <v>1</v>
      </c>
      <c r="M5025" s="163" t="str">
        <f>CONCATENATE(H5025," ",F5025,"*",I5025,"/",K5025,"чел.")</f>
        <v>4 автобуса*0,05928552/1175чел.</v>
      </c>
      <c r="N5025" s="164">
        <f>N3465</f>
        <v>36442.65</v>
      </c>
      <c r="O5025" s="165">
        <f>MROUND(G5025*N5025,0.000001)</f>
        <v>7.354965</v>
      </c>
      <c r="P5025" s="166"/>
      <c r="Q5025" s="166">
        <f t="shared" ref="Q5025" si="1310">O5025*K5025</f>
        <v>8642.0838750000003</v>
      </c>
      <c r="R5025" s="71"/>
    </row>
    <row r="5026" spans="1:18" s="62" customFormat="1" x14ac:dyDescent="0.25">
      <c r="A5026" s="358"/>
      <c r="B5026" s="361"/>
      <c r="C5026" s="218" t="s">
        <v>295</v>
      </c>
      <c r="D5026" s="240"/>
      <c r="E5026" s="240"/>
      <c r="F5026" s="240"/>
      <c r="G5026" s="227"/>
      <c r="H5026" s="241"/>
      <c r="I5026" s="206"/>
      <c r="J5026" s="228"/>
      <c r="K5026" s="207"/>
      <c r="L5026" s="257"/>
      <c r="M5026" s="209"/>
      <c r="N5026" s="210"/>
      <c r="O5026" s="198">
        <f>SUM(O5025)</f>
        <v>7.354965</v>
      </c>
      <c r="P5026" s="267"/>
      <c r="Q5026" s="166"/>
      <c r="R5026" s="71"/>
    </row>
    <row r="5027" spans="1:18" s="61" customFormat="1" x14ac:dyDescent="0.25">
      <c r="A5027" s="358"/>
      <c r="B5027" s="361"/>
      <c r="C5027" s="364" t="s">
        <v>80</v>
      </c>
      <c r="D5027" s="156" t="s">
        <v>38</v>
      </c>
      <c r="E5027" s="156" t="s">
        <v>57</v>
      </c>
      <c r="F5027" s="156" t="s">
        <v>228</v>
      </c>
      <c r="G5027" s="238">
        <f>MROUND(H5027*L5027*I5027/K5027,0.0000000001)</f>
        <v>2.1796889100000001E-2</v>
      </c>
      <c r="H5027" s="158">
        <f>H3467</f>
        <v>36</v>
      </c>
      <c r="I5027" s="159">
        <f>I5025</f>
        <v>5.9285520000000001E-2</v>
      </c>
      <c r="J5027" s="160"/>
      <c r="K5027" s="161">
        <f>K5025</f>
        <v>1175</v>
      </c>
      <c r="L5027" s="250">
        <v>12</v>
      </c>
      <c r="M5027" s="163" t="str">
        <f>CONCATENATE(H5027," ",F5027,"*",L5027,"мес.","*",I5027,"/",K5027,"чел.")</f>
        <v>36 зданий*12мес.*0,05928552/1175чел.</v>
      </c>
      <c r="N5027" s="164">
        <f t="shared" ref="N5027:N5035" si="1311">N3467</f>
        <v>4910.5833101851858</v>
      </c>
      <c r="O5027" s="165">
        <f>MROUND(G5027*N5027,0.000001)</f>
        <v>107.03543999999999</v>
      </c>
      <c r="P5027" s="166"/>
      <c r="Q5027" s="166">
        <f t="shared" ref="Q5027:Q5040" si="1312">O5027*K5027</f>
        <v>125766.64199999999</v>
      </c>
      <c r="R5027" s="71"/>
    </row>
    <row r="5028" spans="1:18" s="61" customFormat="1" ht="47.25" x14ac:dyDescent="0.25">
      <c r="A5028" s="358"/>
      <c r="B5028" s="361"/>
      <c r="C5028" s="364"/>
      <c r="D5028" s="156" t="s">
        <v>229</v>
      </c>
      <c r="E5028" s="156" t="s">
        <v>60</v>
      </c>
      <c r="F5028" s="156" t="s">
        <v>60</v>
      </c>
      <c r="G5028" s="238">
        <f>MROUND(H5028*L5028*I5028/K5028,0.000001)</f>
        <v>0.120791</v>
      </c>
      <c r="H5028" s="158">
        <f>H3588</f>
        <v>2394</v>
      </c>
      <c r="I5028" s="159">
        <f>I5027</f>
        <v>5.9285520000000001E-2</v>
      </c>
      <c r="J5028" s="160"/>
      <c r="K5028" s="161">
        <f>K5027</f>
        <v>1175</v>
      </c>
      <c r="L5028" s="250">
        <v>1</v>
      </c>
      <c r="M5028" s="163" t="str">
        <f t="shared" ref="M5028:M5035" si="1313">CONCATENATE(H5028," ",F5028,"*",I5028,"/",K5028,"чел.")</f>
        <v>2394 шт.*0,05928552/1175чел.</v>
      </c>
      <c r="N5028" s="164">
        <f t="shared" si="1311"/>
        <v>171.02101921470341</v>
      </c>
      <c r="O5028" s="165">
        <f>MROUND(G5028*N5028,0.000001)</f>
        <v>20.657799999999998</v>
      </c>
      <c r="P5028" s="166"/>
      <c r="Q5028" s="166">
        <f t="shared" si="1312"/>
        <v>24272.914999999997</v>
      </c>
      <c r="R5028" s="71"/>
    </row>
    <row r="5029" spans="1:18" s="61" customFormat="1" ht="47.25" x14ac:dyDescent="0.25">
      <c r="A5029" s="358"/>
      <c r="B5029" s="361"/>
      <c r="C5029" s="364"/>
      <c r="D5029" s="156" t="s">
        <v>405</v>
      </c>
      <c r="E5029" s="156" t="s">
        <v>60</v>
      </c>
      <c r="F5029" s="156" t="s">
        <v>406</v>
      </c>
      <c r="G5029" s="238">
        <f>MROUND(H5029*L5029*I5029/K5029,0.00000001)</f>
        <v>1.8164100000000001E-3</v>
      </c>
      <c r="H5029" s="158">
        <f>H3589</f>
        <v>36</v>
      </c>
      <c r="I5029" s="159">
        <f>I5028</f>
        <v>5.9285520000000001E-2</v>
      </c>
      <c r="J5029" s="160"/>
      <c r="K5029" s="161">
        <f>K5028</f>
        <v>1175</v>
      </c>
      <c r="L5029" s="250">
        <v>1</v>
      </c>
      <c r="M5029" s="163" t="str">
        <f t="shared" si="1313"/>
        <v>36 лицензий*0,05928552/1175чел.</v>
      </c>
      <c r="N5029" s="164">
        <f t="shared" si="1311"/>
        <v>12541.539999999994</v>
      </c>
      <c r="O5029" s="165">
        <f t="shared" ref="O5029:O5038" si="1314">MROUND(G5029*N5029,0.000001)</f>
        <v>22.780578999999999</v>
      </c>
      <c r="P5029" s="166"/>
      <c r="Q5029" s="166">
        <f t="shared" si="1312"/>
        <v>26767.180325000001</v>
      </c>
      <c r="R5029" s="71"/>
    </row>
    <row r="5030" spans="1:18" s="61" customFormat="1" ht="63" x14ac:dyDescent="0.25">
      <c r="A5030" s="358"/>
      <c r="B5030" s="361"/>
      <c r="C5030" s="364"/>
      <c r="D5030" s="156" t="s">
        <v>39</v>
      </c>
      <c r="E5030" s="156" t="s">
        <v>20</v>
      </c>
      <c r="F5030" s="156" t="s">
        <v>234</v>
      </c>
      <c r="G5030" s="238">
        <f>MROUND(H5030*L5030*I5030/K5030,0.000000001)</f>
        <v>5.9537800000000005E-3</v>
      </c>
      <c r="H5030" s="158">
        <f>H4550</f>
        <v>118</v>
      </c>
      <c r="I5030" s="159">
        <f>I5028</f>
        <v>5.9285520000000001E-2</v>
      </c>
      <c r="J5030" s="160"/>
      <c r="K5030" s="161">
        <f>K5028</f>
        <v>1175</v>
      </c>
      <c r="L5030" s="250">
        <v>1</v>
      </c>
      <c r="M5030" s="163" t="str">
        <f t="shared" si="1313"/>
        <v>118 чел(заявленная потребность руководителями учреждений)*0,05928552/1175чел.</v>
      </c>
      <c r="N5030" s="164">
        <f t="shared" si="1311"/>
        <v>798.09796610169519</v>
      </c>
      <c r="O5030" s="165">
        <f t="shared" si="1314"/>
        <v>4.7516999999999996</v>
      </c>
      <c r="P5030" s="166"/>
      <c r="Q5030" s="166">
        <f t="shared" si="1312"/>
        <v>5583.2474999999995</v>
      </c>
      <c r="R5030" s="71"/>
    </row>
    <row r="5031" spans="1:18" s="61" customFormat="1" ht="63" x14ac:dyDescent="0.25">
      <c r="A5031" s="358"/>
      <c r="B5031" s="361"/>
      <c r="C5031" s="364"/>
      <c r="D5031" s="156" t="s">
        <v>40</v>
      </c>
      <c r="E5031" s="156" t="s">
        <v>20</v>
      </c>
      <c r="F5031" s="156" t="s">
        <v>234</v>
      </c>
      <c r="G5031" s="238">
        <f>MROUND(H5031*L5031*I5031/K5031,0.000000001)</f>
        <v>4.8437530000000001E-3</v>
      </c>
      <c r="H5031" s="158">
        <f>H4551</f>
        <v>96</v>
      </c>
      <c r="I5031" s="159">
        <f t="shared" ref="I5031:I5038" si="1315">I5030</f>
        <v>5.9285520000000001E-2</v>
      </c>
      <c r="J5031" s="160"/>
      <c r="K5031" s="161">
        <f t="shared" ref="K5031:K5038" si="1316">K5030</f>
        <v>1175</v>
      </c>
      <c r="L5031" s="250">
        <v>1</v>
      </c>
      <c r="M5031" s="163" t="str">
        <f t="shared" si="1313"/>
        <v>96 чел(заявленная потребность руководителями учреждений)*0,05928552/1175чел.</v>
      </c>
      <c r="N5031" s="164">
        <f t="shared" si="1311"/>
        <v>1710.2100000000007</v>
      </c>
      <c r="O5031" s="165">
        <f t="shared" si="1314"/>
        <v>8.2838349999999998</v>
      </c>
      <c r="P5031" s="166"/>
      <c r="Q5031" s="166">
        <f t="shared" si="1312"/>
        <v>9733.5061249999999</v>
      </c>
      <c r="R5031" s="71"/>
    </row>
    <row r="5032" spans="1:18" s="61" customFormat="1" ht="63" x14ac:dyDescent="0.25">
      <c r="A5032" s="358"/>
      <c r="B5032" s="361"/>
      <c r="C5032" s="364"/>
      <c r="D5032" s="156" t="s">
        <v>100</v>
      </c>
      <c r="E5032" s="156" t="s">
        <v>20</v>
      </c>
      <c r="F5032" s="156" t="s">
        <v>234</v>
      </c>
      <c r="G5032" s="238">
        <f>MROUND(H5032*L5032*I5032/K5032,0.000000001)</f>
        <v>4.0869170000000007E-3</v>
      </c>
      <c r="H5032" s="158">
        <f>H4552</f>
        <v>81</v>
      </c>
      <c r="I5032" s="159">
        <f t="shared" si="1315"/>
        <v>5.9285520000000001E-2</v>
      </c>
      <c r="J5032" s="160"/>
      <c r="K5032" s="161">
        <f t="shared" si="1316"/>
        <v>1175</v>
      </c>
      <c r="L5032" s="250">
        <v>1</v>
      </c>
      <c r="M5032" s="163" t="str">
        <f t="shared" si="1313"/>
        <v>81 чел(заявленная потребность руководителями учреждений)*0,05928552/1175чел.</v>
      </c>
      <c r="N5032" s="164">
        <f t="shared" si="1311"/>
        <v>3648.448148148148</v>
      </c>
      <c r="O5032" s="165">
        <f t="shared" si="1314"/>
        <v>14.910905</v>
      </c>
      <c r="P5032" s="166"/>
      <c r="Q5032" s="166">
        <f t="shared" si="1312"/>
        <v>17520.313374999998</v>
      </c>
      <c r="R5032" s="71"/>
    </row>
    <row r="5033" spans="1:18" s="61" customFormat="1" ht="110.25" x14ac:dyDescent="0.25">
      <c r="A5033" s="358"/>
      <c r="B5033" s="361"/>
      <c r="C5033" s="364"/>
      <c r="D5033" s="156" t="s">
        <v>235</v>
      </c>
      <c r="E5033" s="156" t="s">
        <v>50</v>
      </c>
      <c r="F5033" s="156" t="s">
        <v>230</v>
      </c>
      <c r="G5033" s="238">
        <f>MROUND(H5033*L5033*I5033/K5033,0.00000001)</f>
        <v>1.8164100000000001E-3</v>
      </c>
      <c r="H5033" s="158">
        <f>H4793</f>
        <v>36</v>
      </c>
      <c r="I5033" s="159">
        <f t="shared" si="1315"/>
        <v>5.9285520000000001E-2</v>
      </c>
      <c r="J5033" s="160"/>
      <c r="K5033" s="161">
        <f t="shared" si="1316"/>
        <v>1175</v>
      </c>
      <c r="L5033" s="250">
        <v>1</v>
      </c>
      <c r="M5033" s="163" t="str">
        <f t="shared" si="1313"/>
        <v>36 отчетов*0,05928552/1175чел.</v>
      </c>
      <c r="N5033" s="164">
        <f t="shared" si="1311"/>
        <v>6840.8399999999974</v>
      </c>
      <c r="O5033" s="165">
        <f t="shared" si="1314"/>
        <v>12.42577</v>
      </c>
      <c r="P5033" s="166"/>
      <c r="Q5033" s="166">
        <f t="shared" si="1312"/>
        <v>14600.27975</v>
      </c>
      <c r="R5033" s="71"/>
    </row>
    <row r="5034" spans="1:18" s="61" customFormat="1" ht="63" x14ac:dyDescent="0.25">
      <c r="A5034" s="358"/>
      <c r="B5034" s="361"/>
      <c r="C5034" s="364"/>
      <c r="D5034" s="156" t="s">
        <v>42</v>
      </c>
      <c r="E5034" s="156" t="s">
        <v>51</v>
      </c>
      <c r="F5034" s="156" t="s">
        <v>407</v>
      </c>
      <c r="G5034" s="238">
        <f>MROUND(H5034*L5034*I5034/K5034,0.000001)</f>
        <v>1.0293E-2</v>
      </c>
      <c r="H5034" s="158">
        <f>H4554</f>
        <v>204</v>
      </c>
      <c r="I5034" s="159">
        <f t="shared" si="1315"/>
        <v>5.9285520000000001E-2</v>
      </c>
      <c r="J5034" s="160"/>
      <c r="K5034" s="161">
        <f t="shared" si="1316"/>
        <v>1175</v>
      </c>
      <c r="L5034" s="250">
        <v>1</v>
      </c>
      <c r="M5034" s="163" t="str">
        <f t="shared" si="1313"/>
        <v>204 ед (заявленная потребность руководителями учреждений)*0,05928552/1175чел.</v>
      </c>
      <c r="N5034" s="164">
        <f t="shared" si="1311"/>
        <v>1140.1400000000001</v>
      </c>
      <c r="O5034" s="165">
        <f t="shared" si="1314"/>
        <v>11.735460999999999</v>
      </c>
      <c r="P5034" s="166"/>
      <c r="Q5034" s="166">
        <f t="shared" si="1312"/>
        <v>13789.166674999999</v>
      </c>
      <c r="R5034" s="71"/>
    </row>
    <row r="5035" spans="1:18" s="61" customFormat="1" ht="31.5" x14ac:dyDescent="0.25">
      <c r="A5035" s="358"/>
      <c r="B5035" s="361"/>
      <c r="C5035" s="364"/>
      <c r="D5035" s="156" t="s">
        <v>43</v>
      </c>
      <c r="E5035" s="156" t="s">
        <v>52</v>
      </c>
      <c r="F5035" s="156" t="s">
        <v>231</v>
      </c>
      <c r="G5035" s="238">
        <f>MROUND(H5035*L5035*I5035/K5035,0.000000001)</f>
        <v>1.8164070000000001E-3</v>
      </c>
      <c r="H5035" s="158">
        <f>H3955</f>
        <v>36</v>
      </c>
      <c r="I5035" s="159">
        <f t="shared" si="1315"/>
        <v>5.9285520000000001E-2</v>
      </c>
      <c r="J5035" s="160"/>
      <c r="K5035" s="161">
        <f t="shared" si="1316"/>
        <v>1175</v>
      </c>
      <c r="L5035" s="250">
        <v>1</v>
      </c>
      <c r="M5035" s="163" t="str">
        <f t="shared" si="1313"/>
        <v>36 ЭЦП*0,05928552/1175чел.</v>
      </c>
      <c r="N5035" s="164">
        <f t="shared" si="1311"/>
        <v>8099.5499999999947</v>
      </c>
      <c r="O5035" s="165">
        <f t="shared" si="1314"/>
        <v>14.712078999999999</v>
      </c>
      <c r="P5035" s="166"/>
      <c r="Q5035" s="166">
        <f t="shared" si="1312"/>
        <v>17286.692824999998</v>
      </c>
      <c r="R5035" s="71"/>
    </row>
    <row r="5036" spans="1:18" s="61" customFormat="1" ht="47.25" x14ac:dyDescent="0.25">
      <c r="A5036" s="358"/>
      <c r="B5036" s="361"/>
      <c r="C5036" s="364"/>
      <c r="D5036" s="156" t="s">
        <v>44</v>
      </c>
      <c r="E5036" s="156" t="s">
        <v>85</v>
      </c>
      <c r="F5036" s="156" t="s">
        <v>232</v>
      </c>
      <c r="G5036" s="238">
        <f>MROUND(H5036*L5036*I5036/K5036,0.000001)</f>
        <v>6.1353999999999999E-2</v>
      </c>
      <c r="H5036" s="158">
        <f>H3956</f>
        <v>1216</v>
      </c>
      <c r="I5036" s="159">
        <f t="shared" si="1315"/>
        <v>5.9285520000000001E-2</v>
      </c>
      <c r="J5036" s="160"/>
      <c r="K5036" s="161">
        <f t="shared" si="1316"/>
        <v>1175</v>
      </c>
      <c r="L5036" s="250">
        <v>1</v>
      </c>
      <c r="M5036" s="163" t="str">
        <f>CONCATENATE(H5036," ",F5036,"*",L5036,"мес.","*",I5036,"/",K5036,"чел.")</f>
        <v>1216 мед.осмотров в мес.*1мес.*0,05928552/1175чел.</v>
      </c>
      <c r="N5036" s="164">
        <f>N3956</f>
        <v>59.287277960526318</v>
      </c>
      <c r="O5036" s="165">
        <f t="shared" si="1314"/>
        <v>3.6375119999999996</v>
      </c>
      <c r="P5036" s="166"/>
      <c r="Q5036" s="166">
        <f t="shared" si="1312"/>
        <v>4274.0765999999994</v>
      </c>
      <c r="R5036" s="71"/>
    </row>
    <row r="5037" spans="1:18" s="61" customFormat="1" ht="63" x14ac:dyDescent="0.25">
      <c r="A5037" s="358"/>
      <c r="B5037" s="361"/>
      <c r="C5037" s="364"/>
      <c r="D5037" s="156" t="s">
        <v>45</v>
      </c>
      <c r="E5037" s="156" t="s">
        <v>53</v>
      </c>
      <c r="F5037" s="156" t="s">
        <v>233</v>
      </c>
      <c r="G5037" s="238">
        <f>MROUND(H5037*L5037*I5037/K5037,0.000000001)</f>
        <v>2.4218770000000002E-3</v>
      </c>
      <c r="H5037" s="158">
        <f>H4557</f>
        <v>4</v>
      </c>
      <c r="I5037" s="159">
        <f t="shared" si="1315"/>
        <v>5.9285520000000001E-2</v>
      </c>
      <c r="J5037" s="160"/>
      <c r="K5037" s="161">
        <f t="shared" si="1316"/>
        <v>1175</v>
      </c>
      <c r="L5037" s="250">
        <v>12</v>
      </c>
      <c r="M5037" s="163" t="str">
        <f>CONCATENATE(H5037," ",F5037,"*",L5037,"мес.","*",I5037,"/",K5037,"чел.")</f>
        <v>4  машины, оборудованных системой ГЛОНАСС*12мес.*0,05928552/1175чел.</v>
      </c>
      <c r="N5037" s="164">
        <f>N3477</f>
        <v>921.23312500000009</v>
      </c>
      <c r="O5037" s="165">
        <f t="shared" si="1314"/>
        <v>2.2311129999999997</v>
      </c>
      <c r="P5037" s="166"/>
      <c r="Q5037" s="166">
        <f t="shared" si="1312"/>
        <v>2621.5577749999998</v>
      </c>
      <c r="R5037" s="71"/>
    </row>
    <row r="5038" spans="1:18" s="61" customFormat="1" ht="31.5" x14ac:dyDescent="0.25">
      <c r="A5038" s="358"/>
      <c r="B5038" s="361"/>
      <c r="C5038" s="364"/>
      <c r="D5038" s="156" t="s">
        <v>408</v>
      </c>
      <c r="E5038" s="156" t="s">
        <v>20</v>
      </c>
      <c r="F5038" s="156" t="s">
        <v>20</v>
      </c>
      <c r="G5038" s="238">
        <f>MROUND(H5038*L5038*I5038/K5038,0.000000001)</f>
        <v>8.5623428000000001E-2</v>
      </c>
      <c r="H5038" s="158">
        <f>H3478</f>
        <v>1697</v>
      </c>
      <c r="I5038" s="159">
        <f t="shared" si="1315"/>
        <v>5.9285520000000001E-2</v>
      </c>
      <c r="J5038" s="160"/>
      <c r="K5038" s="161">
        <f t="shared" si="1316"/>
        <v>1175</v>
      </c>
      <c r="L5038" s="250">
        <v>1</v>
      </c>
      <c r="M5038" s="163" t="str">
        <f>CONCATENATE(H5038," ",F5038,"*",L5038," раз в год","*",I5038,"/",K5038,"чел.")</f>
        <v>1697 чел.*1 раз в год*0,05928552/1175чел.</v>
      </c>
      <c r="N5038" s="164">
        <f>N3478</f>
        <v>570.06999999999994</v>
      </c>
      <c r="O5038" s="165">
        <f t="shared" si="1314"/>
        <v>48.811347999999995</v>
      </c>
      <c r="P5038" s="166"/>
      <c r="Q5038" s="166">
        <f t="shared" si="1312"/>
        <v>57353.333899999998</v>
      </c>
      <c r="R5038" s="71"/>
    </row>
    <row r="5039" spans="1:18" s="61" customFormat="1" x14ac:dyDescent="0.25">
      <c r="A5039" s="358"/>
      <c r="B5039" s="361"/>
      <c r="C5039" s="364"/>
      <c r="D5039" s="156" t="s">
        <v>373</v>
      </c>
      <c r="E5039" s="156" t="s">
        <v>28</v>
      </c>
      <c r="F5039" s="156" t="s">
        <v>28</v>
      </c>
      <c r="G5039" s="157">
        <f>MROUND(H5039*L5039*I5039/K5039,0.000000001)</f>
        <v>1.8164070000000001E-3</v>
      </c>
      <c r="H5039" s="158">
        <f>H3480</f>
        <v>36</v>
      </c>
      <c r="I5039" s="159">
        <f>I5037</f>
        <v>5.9285520000000001E-2</v>
      </c>
      <c r="J5039" s="160"/>
      <c r="K5039" s="161">
        <f>K5037</f>
        <v>1175</v>
      </c>
      <c r="L5039" s="162">
        <v>1</v>
      </c>
      <c r="M5039" s="163" t="str">
        <f>CONCATENATE(H5039," ",F5039,"*",L5039,"мес.","*",I5039,"/",K5039,"чел.")</f>
        <v>36 шт*1мес.*0,05928552/1175чел.</v>
      </c>
      <c r="N5039" s="164">
        <f>N3480</f>
        <v>24000</v>
      </c>
      <c r="O5039" s="165">
        <f>MROUND(G5039*N5039,0.000000001)</f>
        <v>43.593768000000004</v>
      </c>
      <c r="P5039" s="166"/>
      <c r="Q5039" s="166">
        <f t="shared" si="1312"/>
        <v>51222.677400000008</v>
      </c>
      <c r="R5039" s="71"/>
    </row>
    <row r="5040" spans="1:18" s="61" customFormat="1" ht="31.5" x14ac:dyDescent="0.25">
      <c r="A5040" s="358"/>
      <c r="B5040" s="361"/>
      <c r="C5040" s="364"/>
      <c r="D5040" s="156" t="s">
        <v>106</v>
      </c>
      <c r="E5040" s="156" t="s">
        <v>107</v>
      </c>
      <c r="F5040" s="156"/>
      <c r="G5040" s="238">
        <f>MROUND(H5040*L5040*I5040/K5040,0.000000001)</f>
        <v>0</v>
      </c>
      <c r="H5040" s="158">
        <f>H3479</f>
        <v>0</v>
      </c>
      <c r="I5040" s="159">
        <f>I5037</f>
        <v>5.9285520000000001E-2</v>
      </c>
      <c r="J5040" s="160"/>
      <c r="K5040" s="161">
        <f>K5037</f>
        <v>1175</v>
      </c>
      <c r="L5040" s="250">
        <f>L3840</f>
        <v>0</v>
      </c>
      <c r="M5040" s="163"/>
      <c r="N5040" s="164">
        <f>N3479</f>
        <v>6.0000000000000002E-5</v>
      </c>
      <c r="O5040" s="165">
        <f>MROUND(G5040*N5040,0.000000001)</f>
        <v>0</v>
      </c>
      <c r="P5040" s="166"/>
      <c r="Q5040" s="166">
        <f t="shared" si="1312"/>
        <v>0</v>
      </c>
      <c r="R5040" s="71"/>
    </row>
    <row r="5041" spans="1:18" s="62" customFormat="1" x14ac:dyDescent="0.25">
      <c r="A5041" s="358"/>
      <c r="B5041" s="361"/>
      <c r="C5041" s="245" t="s">
        <v>296</v>
      </c>
      <c r="D5041" s="240"/>
      <c r="E5041" s="240"/>
      <c r="F5041" s="240"/>
      <c r="G5041" s="227"/>
      <c r="H5041" s="241"/>
      <c r="I5041" s="206"/>
      <c r="J5041" s="228"/>
      <c r="K5041" s="207"/>
      <c r="L5041" s="257"/>
      <c r="M5041" s="209"/>
      <c r="N5041" s="210"/>
      <c r="O5041" s="198">
        <f>SUM(O5027:O5040)</f>
        <v>315.56730999999996</v>
      </c>
      <c r="P5041" s="267"/>
      <c r="Q5041" s="166"/>
      <c r="R5041" s="71"/>
    </row>
    <row r="5042" spans="1:18" s="61" customFormat="1" ht="31.5" x14ac:dyDescent="0.25">
      <c r="A5042" s="358"/>
      <c r="B5042" s="361"/>
      <c r="C5042" s="252" t="s">
        <v>237</v>
      </c>
      <c r="D5042" s="156" t="s">
        <v>41</v>
      </c>
      <c r="E5042" s="156" t="s">
        <v>61</v>
      </c>
      <c r="F5042" s="156" t="s">
        <v>227</v>
      </c>
      <c r="G5042" s="238">
        <f>MROUND(H5042*L5042*I5042/K5042,0.000000001)</f>
        <v>2.0182300000000001E-4</v>
      </c>
      <c r="H5042" s="158">
        <f>H3962</f>
        <v>4</v>
      </c>
      <c r="I5042" s="159">
        <f>I5040</f>
        <v>5.9285520000000001E-2</v>
      </c>
      <c r="J5042" s="160"/>
      <c r="K5042" s="161">
        <f>K5040</f>
        <v>1175</v>
      </c>
      <c r="L5042" s="250">
        <v>1</v>
      </c>
      <c r="M5042" s="163" t="str">
        <f>CONCATENATE(H5042," ",F5042,"*",I5042,"/",K5042,"чел.")</f>
        <v>4 автобуса*0,05928552/1175чел.</v>
      </c>
      <c r="N5042" s="164">
        <f>N3482</f>
        <v>26907.305</v>
      </c>
      <c r="O5042" s="165">
        <f>MROUND(G5042*N5042,0.000001)</f>
        <v>5.4305129999999995</v>
      </c>
      <c r="P5042" s="166"/>
      <c r="Q5042" s="166">
        <f t="shared" ref="Q5042" si="1317">O5042*K5042</f>
        <v>6380.8527749999994</v>
      </c>
      <c r="R5042" s="71"/>
    </row>
    <row r="5043" spans="1:18" s="62" customFormat="1" x14ac:dyDescent="0.25">
      <c r="A5043" s="358"/>
      <c r="B5043" s="361"/>
      <c r="C5043" s="245" t="s">
        <v>297</v>
      </c>
      <c r="D5043" s="240"/>
      <c r="E5043" s="240"/>
      <c r="F5043" s="240"/>
      <c r="G5043" s="227"/>
      <c r="H5043" s="241"/>
      <c r="I5043" s="206"/>
      <c r="J5043" s="228"/>
      <c r="K5043" s="207"/>
      <c r="L5043" s="257"/>
      <c r="M5043" s="209"/>
      <c r="N5043" s="210"/>
      <c r="O5043" s="198">
        <f>SUM(O5042)</f>
        <v>5.4305129999999995</v>
      </c>
      <c r="P5043" s="267"/>
      <c r="Q5043" s="166"/>
      <c r="R5043" s="71"/>
    </row>
    <row r="5044" spans="1:18" s="61" customFormat="1" ht="78.75" x14ac:dyDescent="0.25">
      <c r="A5044" s="358"/>
      <c r="B5044" s="361"/>
      <c r="C5044" s="221" t="s">
        <v>236</v>
      </c>
      <c r="D5044" s="156" t="s">
        <v>19</v>
      </c>
      <c r="E5044" s="181" t="s">
        <v>20</v>
      </c>
      <c r="F5044" s="181" t="s">
        <v>238</v>
      </c>
      <c r="G5044" s="238">
        <f>MROUND(H5044*L5044*I5044/K5044,0.000001)</f>
        <v>0</v>
      </c>
      <c r="H5044" s="158"/>
      <c r="I5044" s="159">
        <f>I5040</f>
        <v>5.9285520000000001E-2</v>
      </c>
      <c r="J5044" s="160"/>
      <c r="K5044" s="161">
        <f>K5040</f>
        <v>1175</v>
      </c>
      <c r="L5044" s="250"/>
      <c r="M5044" s="163"/>
      <c r="N5044" s="164"/>
      <c r="O5044" s="165">
        <f>MROUND(G5044*N5044,0.000001)</f>
        <v>0</v>
      </c>
      <c r="P5044" s="166"/>
      <c r="Q5044" s="166">
        <f t="shared" ref="Q5044" si="1318">O5044*K5044</f>
        <v>0</v>
      </c>
      <c r="R5044" s="71"/>
    </row>
    <row r="5045" spans="1:18" s="62" customFormat="1" x14ac:dyDescent="0.25">
      <c r="A5045" s="358"/>
      <c r="B5045" s="361"/>
      <c r="C5045" s="245" t="s">
        <v>298</v>
      </c>
      <c r="D5045" s="240"/>
      <c r="E5045" s="253"/>
      <c r="F5045" s="253"/>
      <c r="G5045" s="227"/>
      <c r="H5045" s="241"/>
      <c r="I5045" s="206"/>
      <c r="J5045" s="228"/>
      <c r="K5045" s="207"/>
      <c r="L5045" s="257"/>
      <c r="M5045" s="209"/>
      <c r="N5045" s="210"/>
      <c r="O5045" s="198">
        <f>SUM(O5044)</f>
        <v>0</v>
      </c>
      <c r="P5045" s="267"/>
      <c r="Q5045" s="166"/>
      <c r="R5045" s="71"/>
    </row>
    <row r="5046" spans="1:18" s="61" customFormat="1" ht="30" x14ac:dyDescent="0.25">
      <c r="A5046" s="358"/>
      <c r="B5046" s="361"/>
      <c r="C5046" s="365" t="s">
        <v>81</v>
      </c>
      <c r="D5046" s="254" t="s">
        <v>410</v>
      </c>
      <c r="E5046" s="156" t="s">
        <v>28</v>
      </c>
      <c r="F5046" s="156" t="s">
        <v>28</v>
      </c>
      <c r="G5046" s="238">
        <f>MROUND(H5046*L5046*I5046/K5046,0.0000000001)</f>
        <v>0</v>
      </c>
      <c r="H5046" s="158"/>
      <c r="I5046" s="159">
        <f>I5040</f>
        <v>5.9285520000000001E-2</v>
      </c>
      <c r="J5046" s="160"/>
      <c r="K5046" s="161">
        <f>K5040</f>
        <v>1175</v>
      </c>
      <c r="L5046" s="250">
        <v>1</v>
      </c>
      <c r="M5046" s="163"/>
      <c r="N5046" s="164"/>
      <c r="O5046" s="165">
        <f>MROUND(G5046*N5046,0.000001)</f>
        <v>0</v>
      </c>
      <c r="P5046" s="166"/>
      <c r="Q5046" s="166">
        <f t="shared" ref="Q5046:Q5069" si="1319">O5046*K5046</f>
        <v>0</v>
      </c>
      <c r="R5046" s="71"/>
    </row>
    <row r="5047" spans="1:18" s="61" customFormat="1" x14ac:dyDescent="0.25">
      <c r="A5047" s="358"/>
      <c r="B5047" s="361"/>
      <c r="C5047" s="366"/>
      <c r="D5047" s="254" t="s">
        <v>325</v>
      </c>
      <c r="E5047" s="156" t="s">
        <v>28</v>
      </c>
      <c r="F5047" s="156" t="s">
        <v>28</v>
      </c>
      <c r="G5047" s="157">
        <f>MROUND(H5047*L5047*I5047/K5047,0.0000000001)</f>
        <v>0</v>
      </c>
      <c r="H5047" s="158"/>
      <c r="I5047" s="159">
        <f>I5046</f>
        <v>5.9285520000000001E-2</v>
      </c>
      <c r="J5047" s="160"/>
      <c r="K5047" s="161">
        <f>K5046</f>
        <v>1175</v>
      </c>
      <c r="L5047" s="250">
        <v>1</v>
      </c>
      <c r="M5047" s="163"/>
      <c r="N5047" s="164"/>
      <c r="O5047" s="165">
        <f>MROUND(G5047*N5047,0.000001)</f>
        <v>0</v>
      </c>
      <c r="P5047" s="166"/>
      <c r="Q5047" s="166">
        <f t="shared" si="1319"/>
        <v>0</v>
      </c>
      <c r="R5047" s="71"/>
    </row>
    <row r="5048" spans="1:18" s="61" customFormat="1" ht="30" x14ac:dyDescent="0.25">
      <c r="A5048" s="358"/>
      <c r="B5048" s="361"/>
      <c r="C5048" s="366"/>
      <c r="D5048" s="254" t="s">
        <v>411</v>
      </c>
      <c r="E5048" s="156" t="s">
        <v>28</v>
      </c>
      <c r="F5048" s="156" t="s">
        <v>28</v>
      </c>
      <c r="G5048" s="238">
        <f>MROUND(H5048*L5048*I5048/K5048,0.00000001)</f>
        <v>0</v>
      </c>
      <c r="H5048" s="158"/>
      <c r="I5048" s="159">
        <f>I5046</f>
        <v>5.9285520000000001E-2</v>
      </c>
      <c r="J5048" s="160"/>
      <c r="K5048" s="161">
        <f>K5046</f>
        <v>1175</v>
      </c>
      <c r="L5048" s="250">
        <v>1</v>
      </c>
      <c r="M5048" s="163"/>
      <c r="N5048" s="164"/>
      <c r="O5048" s="165">
        <f t="shared" ref="O5048:O5069" si="1320">MROUND(G5048*N5048,0.000001)</f>
        <v>0</v>
      </c>
      <c r="P5048" s="166"/>
      <c r="Q5048" s="166">
        <f t="shared" si="1319"/>
        <v>0</v>
      </c>
      <c r="R5048" s="71"/>
    </row>
    <row r="5049" spans="1:18" s="61" customFormat="1" x14ac:dyDescent="0.25">
      <c r="A5049" s="358"/>
      <c r="B5049" s="361"/>
      <c r="C5049" s="366"/>
      <c r="D5049" s="255" t="s">
        <v>412</v>
      </c>
      <c r="E5049" s="156" t="s">
        <v>28</v>
      </c>
      <c r="F5049" s="156" t="s">
        <v>28</v>
      </c>
      <c r="G5049" s="238">
        <f>MROUND(H5049*L5049*I5049/K5049,0.00000001)</f>
        <v>0</v>
      </c>
      <c r="H5049" s="158"/>
      <c r="I5049" s="159">
        <f>I5048</f>
        <v>5.9285520000000001E-2</v>
      </c>
      <c r="J5049" s="160"/>
      <c r="K5049" s="161">
        <f>K5048</f>
        <v>1175</v>
      </c>
      <c r="L5049" s="250">
        <v>1</v>
      </c>
      <c r="M5049" s="163"/>
      <c r="N5049" s="164"/>
      <c r="O5049" s="165">
        <f t="shared" si="1320"/>
        <v>0</v>
      </c>
      <c r="P5049" s="166"/>
      <c r="Q5049" s="166">
        <f t="shared" si="1319"/>
        <v>0</v>
      </c>
      <c r="R5049" s="71"/>
    </row>
    <row r="5050" spans="1:18" s="61" customFormat="1" ht="31.5" x14ac:dyDescent="0.25">
      <c r="A5050" s="358"/>
      <c r="B5050" s="361"/>
      <c r="C5050" s="366"/>
      <c r="D5050" s="255" t="s">
        <v>413</v>
      </c>
      <c r="E5050" s="156" t="s">
        <v>28</v>
      </c>
      <c r="F5050" s="156" t="s">
        <v>28</v>
      </c>
      <c r="G5050" s="238">
        <f>MROUND(H5050*L5050*I5050/K5050,0.0000000001)</f>
        <v>0</v>
      </c>
      <c r="H5050" s="158"/>
      <c r="I5050" s="159">
        <f>I5049</f>
        <v>5.9285520000000001E-2</v>
      </c>
      <c r="J5050" s="160"/>
      <c r="K5050" s="161">
        <f>K5049</f>
        <v>1175</v>
      </c>
      <c r="L5050" s="250">
        <v>1</v>
      </c>
      <c r="M5050" s="163"/>
      <c r="N5050" s="164"/>
      <c r="O5050" s="165">
        <f t="shared" si="1320"/>
        <v>0</v>
      </c>
      <c r="P5050" s="166"/>
      <c r="Q5050" s="166">
        <f t="shared" si="1319"/>
        <v>0</v>
      </c>
      <c r="R5050" s="71"/>
    </row>
    <row r="5051" spans="1:18" s="61" customFormat="1" x14ac:dyDescent="0.25">
      <c r="A5051" s="358"/>
      <c r="B5051" s="361"/>
      <c r="C5051" s="366"/>
      <c r="D5051" s="254" t="s">
        <v>109</v>
      </c>
      <c r="E5051" s="156" t="s">
        <v>28</v>
      </c>
      <c r="F5051" s="156" t="s">
        <v>28</v>
      </c>
      <c r="G5051" s="238">
        <f>MROUND(H5051*L5051*I5051/K5051,0.0000000001)</f>
        <v>0</v>
      </c>
      <c r="H5051" s="158"/>
      <c r="I5051" s="159">
        <f>I5050</f>
        <v>5.9285520000000001E-2</v>
      </c>
      <c r="J5051" s="160"/>
      <c r="K5051" s="161">
        <f>K5050</f>
        <v>1175</v>
      </c>
      <c r="L5051" s="250">
        <v>1</v>
      </c>
      <c r="M5051" s="163"/>
      <c r="N5051" s="164"/>
      <c r="O5051" s="165">
        <f t="shared" si="1320"/>
        <v>0</v>
      </c>
      <c r="P5051" s="166"/>
      <c r="Q5051" s="166">
        <f t="shared" si="1319"/>
        <v>0</v>
      </c>
      <c r="R5051" s="71"/>
    </row>
    <row r="5052" spans="1:18" s="61" customFormat="1" x14ac:dyDescent="0.25">
      <c r="A5052" s="358"/>
      <c r="B5052" s="361"/>
      <c r="C5052" s="366"/>
      <c r="D5052" s="254" t="s">
        <v>414</v>
      </c>
      <c r="E5052" s="156" t="s">
        <v>28</v>
      </c>
      <c r="F5052" s="156" t="s">
        <v>28</v>
      </c>
      <c r="G5052" s="238">
        <f>MROUND(H5052*L5052*I5052/K5052,0.0000000001)</f>
        <v>0</v>
      </c>
      <c r="H5052" s="158"/>
      <c r="I5052" s="159">
        <f>I5050</f>
        <v>5.9285520000000001E-2</v>
      </c>
      <c r="J5052" s="160"/>
      <c r="K5052" s="161">
        <f>K5050</f>
        <v>1175</v>
      </c>
      <c r="L5052" s="250">
        <v>1</v>
      </c>
      <c r="M5052" s="163"/>
      <c r="N5052" s="164"/>
      <c r="O5052" s="165">
        <f t="shared" si="1320"/>
        <v>0</v>
      </c>
      <c r="P5052" s="166"/>
      <c r="Q5052" s="166">
        <f t="shared" si="1319"/>
        <v>0</v>
      </c>
      <c r="R5052" s="71"/>
    </row>
    <row r="5053" spans="1:18" s="61" customFormat="1" x14ac:dyDescent="0.25">
      <c r="A5053" s="358"/>
      <c r="B5053" s="361"/>
      <c r="C5053" s="366"/>
      <c r="D5053" s="254" t="s">
        <v>415</v>
      </c>
      <c r="E5053" s="156" t="s">
        <v>28</v>
      </c>
      <c r="F5053" s="156" t="s">
        <v>28</v>
      </c>
      <c r="G5053" s="238">
        <f>MROUND(H5053*L5053*I5053/K5053,0.00000001)</f>
        <v>0</v>
      </c>
      <c r="H5053" s="158"/>
      <c r="I5053" s="159">
        <f t="shared" ref="I5053:I5062" si="1321">I5051</f>
        <v>5.9285520000000001E-2</v>
      </c>
      <c r="J5053" s="160"/>
      <c r="K5053" s="161">
        <f t="shared" ref="K5053:K5062" si="1322">K5051</f>
        <v>1175</v>
      </c>
      <c r="L5053" s="250">
        <v>1</v>
      </c>
      <c r="M5053" s="163"/>
      <c r="N5053" s="164"/>
      <c r="O5053" s="165">
        <f t="shared" si="1320"/>
        <v>0</v>
      </c>
      <c r="P5053" s="166"/>
      <c r="Q5053" s="166">
        <f t="shared" si="1319"/>
        <v>0</v>
      </c>
      <c r="R5053" s="71"/>
    </row>
    <row r="5054" spans="1:18" s="61" customFormat="1" x14ac:dyDescent="0.25">
      <c r="A5054" s="358"/>
      <c r="B5054" s="361"/>
      <c r="C5054" s="366"/>
      <c r="D5054" s="254" t="s">
        <v>416</v>
      </c>
      <c r="E5054" s="156" t="s">
        <v>28</v>
      </c>
      <c r="F5054" s="156" t="s">
        <v>28</v>
      </c>
      <c r="G5054" s="238">
        <f>MROUND(H5054*L5054*I5054/K5054,0.000000001)</f>
        <v>0</v>
      </c>
      <c r="H5054" s="246"/>
      <c r="I5054" s="159">
        <f t="shared" si="1321"/>
        <v>5.9285520000000001E-2</v>
      </c>
      <c r="J5054" s="160"/>
      <c r="K5054" s="161">
        <f t="shared" si="1322"/>
        <v>1175</v>
      </c>
      <c r="L5054" s="250">
        <v>1</v>
      </c>
      <c r="M5054" s="163"/>
      <c r="N5054" s="164"/>
      <c r="O5054" s="165">
        <f t="shared" si="1320"/>
        <v>0</v>
      </c>
      <c r="P5054" s="166"/>
      <c r="Q5054" s="166">
        <f t="shared" si="1319"/>
        <v>0</v>
      </c>
      <c r="R5054" s="71"/>
    </row>
    <row r="5055" spans="1:18" s="61" customFormat="1" x14ac:dyDescent="0.25">
      <c r="A5055" s="358"/>
      <c r="B5055" s="361"/>
      <c r="C5055" s="366"/>
      <c r="D5055" s="254" t="s">
        <v>417</v>
      </c>
      <c r="E5055" s="156" t="s">
        <v>28</v>
      </c>
      <c r="F5055" s="156" t="s">
        <v>28</v>
      </c>
      <c r="G5055" s="238">
        <f>MROUND(H5055*L5055*I5055/K5055,0.00000001)</f>
        <v>0</v>
      </c>
      <c r="H5055" s="158"/>
      <c r="I5055" s="159">
        <f t="shared" si="1321"/>
        <v>5.9285520000000001E-2</v>
      </c>
      <c r="J5055" s="160"/>
      <c r="K5055" s="161">
        <f t="shared" si="1322"/>
        <v>1175</v>
      </c>
      <c r="L5055" s="250">
        <v>1</v>
      </c>
      <c r="M5055" s="163"/>
      <c r="N5055" s="164"/>
      <c r="O5055" s="165">
        <f t="shared" si="1320"/>
        <v>0</v>
      </c>
      <c r="P5055" s="166"/>
      <c r="Q5055" s="166">
        <f t="shared" si="1319"/>
        <v>0</v>
      </c>
      <c r="R5055" s="71"/>
    </row>
    <row r="5056" spans="1:18" s="61" customFormat="1" ht="30" x14ac:dyDescent="0.25">
      <c r="A5056" s="358"/>
      <c r="B5056" s="361"/>
      <c r="C5056" s="366"/>
      <c r="D5056" s="254" t="s">
        <v>418</v>
      </c>
      <c r="E5056" s="156" t="s">
        <v>28</v>
      </c>
      <c r="F5056" s="156" t="s">
        <v>28</v>
      </c>
      <c r="G5056" s="238">
        <f>MROUND(H5056*L5056*I5056/K5056,0.00000001)</f>
        <v>0</v>
      </c>
      <c r="H5056" s="158"/>
      <c r="I5056" s="159">
        <f t="shared" si="1321"/>
        <v>5.9285520000000001E-2</v>
      </c>
      <c r="J5056" s="160"/>
      <c r="K5056" s="161">
        <f t="shared" si="1322"/>
        <v>1175</v>
      </c>
      <c r="L5056" s="250">
        <v>1</v>
      </c>
      <c r="M5056" s="163"/>
      <c r="N5056" s="164"/>
      <c r="O5056" s="165">
        <f t="shared" si="1320"/>
        <v>0</v>
      </c>
      <c r="P5056" s="166"/>
      <c r="Q5056" s="166">
        <f t="shared" si="1319"/>
        <v>0</v>
      </c>
      <c r="R5056" s="71"/>
    </row>
    <row r="5057" spans="1:18" s="61" customFormat="1" x14ac:dyDescent="0.25">
      <c r="A5057" s="358"/>
      <c r="B5057" s="361"/>
      <c r="C5057" s="366"/>
      <c r="D5057" s="254" t="s">
        <v>324</v>
      </c>
      <c r="E5057" s="156" t="s">
        <v>28</v>
      </c>
      <c r="F5057" s="156" t="s">
        <v>28</v>
      </c>
      <c r="G5057" s="238">
        <f>MROUND(H5057*L5057*I5057/K5057,0.000000001)</f>
        <v>0</v>
      </c>
      <c r="H5057" s="158"/>
      <c r="I5057" s="159">
        <f t="shared" si="1321"/>
        <v>5.9285520000000001E-2</v>
      </c>
      <c r="J5057" s="160"/>
      <c r="K5057" s="161">
        <f t="shared" si="1322"/>
        <v>1175</v>
      </c>
      <c r="L5057" s="250">
        <v>1</v>
      </c>
      <c r="M5057" s="163"/>
      <c r="N5057" s="164"/>
      <c r="O5057" s="165">
        <f t="shared" si="1320"/>
        <v>0</v>
      </c>
      <c r="P5057" s="166"/>
      <c r="Q5057" s="166">
        <f t="shared" si="1319"/>
        <v>0</v>
      </c>
      <c r="R5057" s="71"/>
    </row>
    <row r="5058" spans="1:18" s="61" customFormat="1" x14ac:dyDescent="0.25">
      <c r="A5058" s="358"/>
      <c r="B5058" s="361"/>
      <c r="C5058" s="366"/>
      <c r="D5058" s="254" t="s">
        <v>419</v>
      </c>
      <c r="E5058" s="156" t="s">
        <v>28</v>
      </c>
      <c r="F5058" s="156" t="s">
        <v>28</v>
      </c>
      <c r="G5058" s="238">
        <f>MROUND(H5058*L5058*I5058/K5058,0.000000001)</f>
        <v>0</v>
      </c>
      <c r="H5058" s="246"/>
      <c r="I5058" s="159">
        <f t="shared" si="1321"/>
        <v>5.9285520000000001E-2</v>
      </c>
      <c r="J5058" s="160"/>
      <c r="K5058" s="161">
        <f t="shared" si="1322"/>
        <v>1175</v>
      </c>
      <c r="L5058" s="250">
        <v>1</v>
      </c>
      <c r="M5058" s="163"/>
      <c r="N5058" s="164"/>
      <c r="O5058" s="165">
        <f t="shared" si="1320"/>
        <v>0</v>
      </c>
      <c r="P5058" s="166"/>
      <c r="Q5058" s="166">
        <f t="shared" si="1319"/>
        <v>0</v>
      </c>
      <c r="R5058" s="71"/>
    </row>
    <row r="5059" spans="1:18" s="61" customFormat="1" x14ac:dyDescent="0.25">
      <c r="A5059" s="358"/>
      <c r="B5059" s="361"/>
      <c r="C5059" s="366"/>
      <c r="D5059" s="254" t="s">
        <v>420</v>
      </c>
      <c r="E5059" s="156" t="s">
        <v>28</v>
      </c>
      <c r="F5059" s="156" t="s">
        <v>28</v>
      </c>
      <c r="G5059" s="238">
        <f>MROUND(H5059*L5059*I5059/K5059,0.000000001)</f>
        <v>0</v>
      </c>
      <c r="H5059" s="158"/>
      <c r="I5059" s="159">
        <f t="shared" si="1321"/>
        <v>5.9285520000000001E-2</v>
      </c>
      <c r="J5059" s="160"/>
      <c r="K5059" s="161">
        <f t="shared" si="1322"/>
        <v>1175</v>
      </c>
      <c r="L5059" s="250">
        <v>1</v>
      </c>
      <c r="M5059" s="163"/>
      <c r="N5059" s="164"/>
      <c r="O5059" s="165">
        <f t="shared" si="1320"/>
        <v>0</v>
      </c>
      <c r="P5059" s="166"/>
      <c r="Q5059" s="166">
        <f t="shared" si="1319"/>
        <v>0</v>
      </c>
      <c r="R5059" s="71"/>
    </row>
    <row r="5060" spans="1:18" s="61" customFormat="1" x14ac:dyDescent="0.25">
      <c r="A5060" s="358"/>
      <c r="B5060" s="361"/>
      <c r="C5060" s="366"/>
      <c r="D5060" s="254" t="s">
        <v>421</v>
      </c>
      <c r="E5060" s="156" t="s">
        <v>28</v>
      </c>
      <c r="F5060" s="156" t="s">
        <v>28</v>
      </c>
      <c r="G5060" s="238">
        <f>MROUND(H5060*L5060*I5060/K5060,0.00000001)</f>
        <v>0</v>
      </c>
      <c r="H5060" s="158"/>
      <c r="I5060" s="159">
        <f t="shared" si="1321"/>
        <v>5.9285520000000001E-2</v>
      </c>
      <c r="J5060" s="160"/>
      <c r="K5060" s="161">
        <f t="shared" si="1322"/>
        <v>1175</v>
      </c>
      <c r="L5060" s="250">
        <v>1</v>
      </c>
      <c r="M5060" s="163"/>
      <c r="N5060" s="164"/>
      <c r="O5060" s="165">
        <f t="shared" si="1320"/>
        <v>0</v>
      </c>
      <c r="P5060" s="166"/>
      <c r="Q5060" s="166">
        <f t="shared" si="1319"/>
        <v>0</v>
      </c>
      <c r="R5060" s="71"/>
    </row>
    <row r="5061" spans="1:18" s="61" customFormat="1" ht="30" x14ac:dyDescent="0.25">
      <c r="A5061" s="358"/>
      <c r="B5061" s="361"/>
      <c r="C5061" s="366"/>
      <c r="D5061" s="254" t="s">
        <v>422</v>
      </c>
      <c r="E5061" s="156" t="s">
        <v>28</v>
      </c>
      <c r="F5061" s="156" t="s">
        <v>28</v>
      </c>
      <c r="G5061" s="266">
        <f>MROUND(H5061*L5061*I5061/K5061,0.00000001)</f>
        <v>0</v>
      </c>
      <c r="H5061" s="158"/>
      <c r="I5061" s="159">
        <f t="shared" si="1321"/>
        <v>5.9285520000000001E-2</v>
      </c>
      <c r="J5061" s="160"/>
      <c r="K5061" s="161">
        <f t="shared" si="1322"/>
        <v>1175</v>
      </c>
      <c r="L5061" s="250">
        <v>1</v>
      </c>
      <c r="M5061" s="163"/>
      <c r="N5061" s="164"/>
      <c r="O5061" s="165">
        <f t="shared" si="1320"/>
        <v>0</v>
      </c>
      <c r="P5061" s="166"/>
      <c r="Q5061" s="166">
        <f t="shared" si="1319"/>
        <v>0</v>
      </c>
      <c r="R5061" s="71"/>
    </row>
    <row r="5062" spans="1:18" s="61" customFormat="1" x14ac:dyDescent="0.25">
      <c r="A5062" s="358"/>
      <c r="B5062" s="361"/>
      <c r="C5062" s="366"/>
      <c r="D5062" s="254" t="s">
        <v>423</v>
      </c>
      <c r="E5062" s="156" t="s">
        <v>28</v>
      </c>
      <c r="F5062" s="156" t="s">
        <v>28</v>
      </c>
      <c r="G5062" s="238">
        <f>MROUND(H5062*L5062*I5062/K5062,0.000000001)</f>
        <v>0</v>
      </c>
      <c r="H5062" s="158"/>
      <c r="I5062" s="159">
        <f t="shared" si="1321"/>
        <v>5.9285520000000001E-2</v>
      </c>
      <c r="J5062" s="160"/>
      <c r="K5062" s="161">
        <f t="shared" si="1322"/>
        <v>1175</v>
      </c>
      <c r="L5062" s="250">
        <v>1</v>
      </c>
      <c r="M5062" s="163"/>
      <c r="N5062" s="164"/>
      <c r="O5062" s="165">
        <f t="shared" si="1320"/>
        <v>0</v>
      </c>
      <c r="P5062" s="166"/>
      <c r="Q5062" s="166">
        <f t="shared" si="1319"/>
        <v>0</v>
      </c>
      <c r="R5062" s="71"/>
    </row>
    <row r="5063" spans="1:18" s="61" customFormat="1" x14ac:dyDescent="0.25">
      <c r="A5063" s="358"/>
      <c r="B5063" s="361"/>
      <c r="C5063" s="366"/>
      <c r="D5063" s="254" t="s">
        <v>424</v>
      </c>
      <c r="E5063" s="156" t="s">
        <v>28</v>
      </c>
      <c r="F5063" s="156" t="s">
        <v>28</v>
      </c>
      <c r="G5063" s="238">
        <f t="shared" ref="G5063:G5069" si="1323">MROUND(H5063*L5063*I5063/K5063,0.00000001)</f>
        <v>0</v>
      </c>
      <c r="H5063" s="158"/>
      <c r="I5063" s="159">
        <f>I5052</f>
        <v>5.9285520000000001E-2</v>
      </c>
      <c r="J5063" s="160"/>
      <c r="K5063" s="161">
        <f>K5052</f>
        <v>1175</v>
      </c>
      <c r="L5063" s="250">
        <v>1</v>
      </c>
      <c r="M5063" s="163"/>
      <c r="N5063" s="164"/>
      <c r="O5063" s="165">
        <f t="shared" si="1320"/>
        <v>0</v>
      </c>
      <c r="P5063" s="166"/>
      <c r="Q5063" s="166">
        <f t="shared" si="1319"/>
        <v>0</v>
      </c>
      <c r="R5063" s="71"/>
    </row>
    <row r="5064" spans="1:18" s="61" customFormat="1" x14ac:dyDescent="0.25">
      <c r="A5064" s="358"/>
      <c r="B5064" s="361"/>
      <c r="C5064" s="366"/>
      <c r="D5064" s="254" t="s">
        <v>425</v>
      </c>
      <c r="E5064" s="156" t="s">
        <v>28</v>
      </c>
      <c r="F5064" s="156" t="s">
        <v>28</v>
      </c>
      <c r="G5064" s="277">
        <f t="shared" si="1323"/>
        <v>0</v>
      </c>
      <c r="H5064" s="158"/>
      <c r="I5064" s="159">
        <f t="shared" ref="I5064:I5069" si="1324">I5063</f>
        <v>5.9285520000000001E-2</v>
      </c>
      <c r="J5064" s="160"/>
      <c r="K5064" s="161">
        <f t="shared" ref="K5064:K5069" si="1325">K5063</f>
        <v>1175</v>
      </c>
      <c r="L5064" s="250">
        <v>1</v>
      </c>
      <c r="M5064" s="163"/>
      <c r="N5064" s="164"/>
      <c r="O5064" s="165">
        <f t="shared" si="1320"/>
        <v>0</v>
      </c>
      <c r="P5064" s="166"/>
      <c r="Q5064" s="166">
        <f t="shared" si="1319"/>
        <v>0</v>
      </c>
      <c r="R5064" s="71"/>
    </row>
    <row r="5065" spans="1:18" s="61" customFormat="1" x14ac:dyDescent="0.25">
      <c r="A5065" s="358"/>
      <c r="B5065" s="361"/>
      <c r="C5065" s="366"/>
      <c r="D5065" s="254" t="s">
        <v>108</v>
      </c>
      <c r="E5065" s="156" t="s">
        <v>28</v>
      </c>
      <c r="F5065" s="156" t="s">
        <v>28</v>
      </c>
      <c r="G5065" s="238">
        <f t="shared" si="1323"/>
        <v>0</v>
      </c>
      <c r="H5065" s="158"/>
      <c r="I5065" s="159">
        <f t="shared" si="1324"/>
        <v>5.9285520000000001E-2</v>
      </c>
      <c r="J5065" s="160"/>
      <c r="K5065" s="161">
        <f t="shared" si="1325"/>
        <v>1175</v>
      </c>
      <c r="L5065" s="250">
        <v>1</v>
      </c>
      <c r="M5065" s="163"/>
      <c r="N5065" s="164"/>
      <c r="O5065" s="165">
        <f t="shared" si="1320"/>
        <v>0</v>
      </c>
      <c r="P5065" s="166"/>
      <c r="Q5065" s="166">
        <f t="shared" si="1319"/>
        <v>0</v>
      </c>
      <c r="R5065" s="71"/>
    </row>
    <row r="5066" spans="1:18" s="61" customFormat="1" x14ac:dyDescent="0.25">
      <c r="A5066" s="358"/>
      <c r="B5066" s="361"/>
      <c r="C5066" s="366"/>
      <c r="D5066" s="254" t="s">
        <v>426</v>
      </c>
      <c r="E5066" s="156" t="s">
        <v>28</v>
      </c>
      <c r="F5066" s="156" t="s">
        <v>28</v>
      </c>
      <c r="G5066" s="238">
        <f t="shared" si="1323"/>
        <v>0</v>
      </c>
      <c r="H5066" s="158"/>
      <c r="I5066" s="159">
        <f t="shared" si="1324"/>
        <v>5.9285520000000001E-2</v>
      </c>
      <c r="J5066" s="160"/>
      <c r="K5066" s="161">
        <f t="shared" si="1325"/>
        <v>1175</v>
      </c>
      <c r="L5066" s="250">
        <v>1</v>
      </c>
      <c r="M5066" s="163"/>
      <c r="N5066" s="164"/>
      <c r="O5066" s="165">
        <f t="shared" si="1320"/>
        <v>0</v>
      </c>
      <c r="P5066" s="166"/>
      <c r="Q5066" s="166">
        <f t="shared" si="1319"/>
        <v>0</v>
      </c>
      <c r="R5066" s="71"/>
    </row>
    <row r="5067" spans="1:18" s="61" customFormat="1" x14ac:dyDescent="0.25">
      <c r="A5067" s="358"/>
      <c r="B5067" s="361"/>
      <c r="C5067" s="366"/>
      <c r="D5067" s="254" t="s">
        <v>427</v>
      </c>
      <c r="E5067" s="156" t="s">
        <v>28</v>
      </c>
      <c r="F5067" s="156" t="s">
        <v>28</v>
      </c>
      <c r="G5067" s="238">
        <f t="shared" si="1323"/>
        <v>0</v>
      </c>
      <c r="H5067" s="158"/>
      <c r="I5067" s="159">
        <f t="shared" si="1324"/>
        <v>5.9285520000000001E-2</v>
      </c>
      <c r="J5067" s="160"/>
      <c r="K5067" s="161">
        <f t="shared" si="1325"/>
        <v>1175</v>
      </c>
      <c r="L5067" s="250">
        <v>1</v>
      </c>
      <c r="M5067" s="163"/>
      <c r="N5067" s="164"/>
      <c r="O5067" s="165">
        <f t="shared" si="1320"/>
        <v>0</v>
      </c>
      <c r="P5067" s="166"/>
      <c r="Q5067" s="166">
        <f t="shared" si="1319"/>
        <v>0</v>
      </c>
      <c r="R5067" s="71"/>
    </row>
    <row r="5068" spans="1:18" s="61" customFormat="1" x14ac:dyDescent="0.25">
      <c r="A5068" s="358"/>
      <c r="B5068" s="361"/>
      <c r="C5068" s="366"/>
      <c r="D5068" s="254" t="s">
        <v>428</v>
      </c>
      <c r="E5068" s="156" t="s">
        <v>28</v>
      </c>
      <c r="F5068" s="156" t="s">
        <v>28</v>
      </c>
      <c r="G5068" s="238">
        <f t="shared" si="1323"/>
        <v>0</v>
      </c>
      <c r="H5068" s="158"/>
      <c r="I5068" s="159">
        <f t="shared" si="1324"/>
        <v>5.9285520000000001E-2</v>
      </c>
      <c r="J5068" s="160"/>
      <c r="K5068" s="161">
        <f t="shared" si="1325"/>
        <v>1175</v>
      </c>
      <c r="L5068" s="250">
        <v>1</v>
      </c>
      <c r="M5068" s="163"/>
      <c r="N5068" s="164"/>
      <c r="O5068" s="165">
        <f t="shared" si="1320"/>
        <v>0</v>
      </c>
      <c r="P5068" s="166"/>
      <c r="Q5068" s="166">
        <f t="shared" si="1319"/>
        <v>0</v>
      </c>
      <c r="R5068" s="71"/>
    </row>
    <row r="5069" spans="1:18" s="61" customFormat="1" x14ac:dyDescent="0.25">
      <c r="A5069" s="358"/>
      <c r="B5069" s="361"/>
      <c r="C5069" s="366"/>
      <c r="D5069" s="255" t="s">
        <v>429</v>
      </c>
      <c r="E5069" s="156" t="s">
        <v>28</v>
      </c>
      <c r="F5069" s="156" t="s">
        <v>28</v>
      </c>
      <c r="G5069" s="238">
        <f t="shared" si="1323"/>
        <v>0</v>
      </c>
      <c r="H5069" s="158"/>
      <c r="I5069" s="159">
        <f t="shared" si="1324"/>
        <v>5.9285520000000001E-2</v>
      </c>
      <c r="J5069" s="160"/>
      <c r="K5069" s="161">
        <f t="shared" si="1325"/>
        <v>1175</v>
      </c>
      <c r="L5069" s="250">
        <v>1</v>
      </c>
      <c r="M5069" s="163"/>
      <c r="N5069" s="164"/>
      <c r="O5069" s="165">
        <f t="shared" si="1320"/>
        <v>0</v>
      </c>
      <c r="P5069" s="166"/>
      <c r="Q5069" s="166">
        <f t="shared" si="1319"/>
        <v>0</v>
      </c>
      <c r="R5069" s="71"/>
    </row>
    <row r="5070" spans="1:18" s="62" customFormat="1" x14ac:dyDescent="0.25">
      <c r="A5070" s="358"/>
      <c r="B5070" s="361"/>
      <c r="C5070" s="249" t="s">
        <v>299</v>
      </c>
      <c r="D5070" s="256"/>
      <c r="E5070" s="240"/>
      <c r="F5070" s="240"/>
      <c r="G5070" s="227"/>
      <c r="H5070" s="241"/>
      <c r="I5070" s="206"/>
      <c r="J5070" s="228"/>
      <c r="K5070" s="207"/>
      <c r="L5070" s="257"/>
      <c r="M5070" s="209"/>
      <c r="N5070" s="210"/>
      <c r="O5070" s="198">
        <f>SUM(O5046:O5069)</f>
        <v>0</v>
      </c>
      <c r="P5070" s="267"/>
      <c r="Q5070" s="166"/>
      <c r="R5070" s="71"/>
    </row>
    <row r="5071" spans="1:18" s="61" customFormat="1" ht="110.25" x14ac:dyDescent="0.25">
      <c r="A5071" s="358"/>
      <c r="B5071" s="361"/>
      <c r="C5071" s="221" t="s">
        <v>82</v>
      </c>
      <c r="D5071" s="156" t="s">
        <v>46</v>
      </c>
      <c r="E5071" s="156" t="s">
        <v>54</v>
      </c>
      <c r="F5071" s="156" t="s">
        <v>285</v>
      </c>
      <c r="G5071" s="238">
        <f>MROUND(H5071*L5071*I5071/K5071,0.000001)</f>
        <v>0.57065500000000002</v>
      </c>
      <c r="H5071" s="242">
        <f>H4591</f>
        <v>1028.181818181818</v>
      </c>
      <c r="I5071" s="159">
        <f>I5069</f>
        <v>5.9285520000000001E-2</v>
      </c>
      <c r="J5071" s="160"/>
      <c r="K5071" s="161">
        <f>K5069</f>
        <v>1175</v>
      </c>
      <c r="L5071" s="225">
        <f>L4831</f>
        <v>11</v>
      </c>
      <c r="M5071" s="163" t="str">
        <f>CONCATENATE(H5071," ",F5071,"*",L5071,"автобуса","*",I5071,"/",K5071,"чел.")</f>
        <v>1028,18181818182 л бензина АИ 92 (12,5л/день(зимой)*20дней*7мес+10л/день(летом)*20дней*4мес)*11автобуса*0,05928552/1175чел.</v>
      </c>
      <c r="N5071" s="164">
        <f>N3511</f>
        <v>57.007000000000005</v>
      </c>
      <c r="O5071" s="165">
        <f>MROUND(G5071*N5071,0.000001)</f>
        <v>32.531329999999997</v>
      </c>
      <c r="P5071" s="166"/>
      <c r="Q5071" s="166">
        <f t="shared" ref="Q5071" si="1326">O5071*K5071</f>
        <v>38224.312749999997</v>
      </c>
      <c r="R5071" s="71"/>
    </row>
    <row r="5072" spans="1:18" s="62" customFormat="1" x14ac:dyDescent="0.25">
      <c r="A5072" s="358"/>
      <c r="B5072" s="361"/>
      <c r="C5072" s="218" t="s">
        <v>300</v>
      </c>
      <c r="D5072" s="240"/>
      <c r="E5072" s="240"/>
      <c r="F5072" s="240"/>
      <c r="G5072" s="227"/>
      <c r="H5072" s="241"/>
      <c r="I5072" s="206"/>
      <c r="J5072" s="228"/>
      <c r="K5072" s="207"/>
      <c r="L5072" s="257"/>
      <c r="M5072" s="209"/>
      <c r="N5072" s="210"/>
      <c r="O5072" s="198">
        <f>SUM(O5071)</f>
        <v>32.531329999999997</v>
      </c>
      <c r="P5072" s="267"/>
      <c r="Q5072" s="166"/>
      <c r="R5072" s="71"/>
    </row>
    <row r="5073" spans="1:18" s="61" customFormat="1" ht="47.25" x14ac:dyDescent="0.25">
      <c r="A5073" s="358"/>
      <c r="B5073" s="361"/>
      <c r="C5073" s="221" t="s">
        <v>434</v>
      </c>
      <c r="D5073" s="156" t="s">
        <v>436</v>
      </c>
      <c r="E5073" s="156" t="s">
        <v>28</v>
      </c>
      <c r="F5073" s="156" t="s">
        <v>437</v>
      </c>
      <c r="G5073" s="157">
        <f>MROUND(H5073*L5073*I5073/K5073,0.000001)</f>
        <v>1.4631999999999999E-2</v>
      </c>
      <c r="H5073" s="242">
        <f>$H$125</f>
        <v>290</v>
      </c>
      <c r="I5073" s="159">
        <f>I5071</f>
        <v>5.9285520000000001E-2</v>
      </c>
      <c r="J5073" s="160"/>
      <c r="K5073" s="161">
        <f>K5071</f>
        <v>1175</v>
      </c>
      <c r="L5073" s="162">
        <v>1</v>
      </c>
      <c r="M5073" s="163" t="str">
        <f>CONCATENATE(H5073," ",F5073,"*",L5073,"автобуса","*",I5073,"/",K5073,"чел.")</f>
        <v>290 огнетушителей (потребность учреждений) *1автобуса*0,05928552/1175чел.</v>
      </c>
      <c r="N5073" s="164">
        <f>$N$125</f>
        <v>2000</v>
      </c>
      <c r="O5073" s="165">
        <f>MROUND(G5073*N5073,0.000001)</f>
        <v>29.263999999999999</v>
      </c>
      <c r="P5073" s="166"/>
      <c r="Q5073" s="166">
        <f t="shared" ref="Q5073" si="1327">O5073*K5073</f>
        <v>34385.199999999997</v>
      </c>
      <c r="R5073" s="71"/>
    </row>
    <row r="5074" spans="1:18" s="61" customFormat="1" x14ac:dyDescent="0.25">
      <c r="A5074" s="358"/>
      <c r="B5074" s="361"/>
      <c r="C5074" s="218" t="s">
        <v>435</v>
      </c>
      <c r="D5074" s="240"/>
      <c r="E5074" s="240"/>
      <c r="F5074" s="240"/>
      <c r="G5074" s="251"/>
      <c r="H5074" s="241"/>
      <c r="I5074" s="206"/>
      <c r="J5074" s="228"/>
      <c r="K5074" s="207"/>
      <c r="L5074" s="229"/>
      <c r="M5074" s="209"/>
      <c r="N5074" s="210"/>
      <c r="O5074" s="198">
        <f>SUM(O5073)</f>
        <v>29.263999999999999</v>
      </c>
      <c r="P5074" s="166"/>
      <c r="Q5074" s="166"/>
      <c r="R5074" s="71"/>
    </row>
    <row r="5075" spans="1:18" s="61" customFormat="1" ht="47.25" x14ac:dyDescent="0.25">
      <c r="A5075" s="358"/>
      <c r="B5075" s="361"/>
      <c r="C5075" s="364" t="s">
        <v>118</v>
      </c>
      <c r="D5075" s="156" t="s">
        <v>47</v>
      </c>
      <c r="E5075" s="156" t="s">
        <v>28</v>
      </c>
      <c r="F5075" s="156" t="s">
        <v>239</v>
      </c>
      <c r="G5075" s="238">
        <f>MROUND(H5075*L5075*I5075/K5075,0.00000001)</f>
        <v>7.2656300000000004E-3</v>
      </c>
      <c r="H5075" s="158">
        <f>H3995</f>
        <v>144</v>
      </c>
      <c r="I5075" s="159">
        <f>I5071</f>
        <v>5.9285520000000001E-2</v>
      </c>
      <c r="J5075" s="160"/>
      <c r="K5075" s="161">
        <f>K5071</f>
        <v>1175</v>
      </c>
      <c r="L5075" s="250">
        <v>1</v>
      </c>
      <c r="M5075" s="163" t="str">
        <f>CONCATENATE(H5075," ",F5075,"*",I5075,"/",K5075,"чел.")</f>
        <v>144 манометров (потребность учреждений) *0,05928552/1175чел.</v>
      </c>
      <c r="N5075" s="164">
        <f>N3515</f>
        <v>720.50416666666672</v>
      </c>
      <c r="O5075" s="165">
        <f>MROUND(G5075*N5075,0.000001)</f>
        <v>5.2349169999999994</v>
      </c>
      <c r="P5075" s="166"/>
      <c r="Q5075" s="166">
        <f t="shared" ref="Q5075:Q5076" si="1328">O5075*K5075</f>
        <v>6151.027474999999</v>
      </c>
      <c r="R5075" s="71"/>
    </row>
    <row r="5076" spans="1:18" s="61" customFormat="1" ht="47.25" x14ac:dyDescent="0.25">
      <c r="A5076" s="358"/>
      <c r="B5076" s="361"/>
      <c r="C5076" s="364"/>
      <c r="D5076" s="255" t="s">
        <v>113</v>
      </c>
      <c r="E5076" s="156" t="s">
        <v>28</v>
      </c>
      <c r="F5076" s="156" t="s">
        <v>240</v>
      </c>
      <c r="G5076" s="238">
        <f>MROUND(H5076*L5076*I5076/K5076,0.00000001)</f>
        <v>0.28835468000000003</v>
      </c>
      <c r="H5076" s="158">
        <f>H3636</f>
        <v>5715</v>
      </c>
      <c r="I5076" s="159">
        <f>I5075</f>
        <v>5.9285520000000001E-2</v>
      </c>
      <c r="J5076" s="160"/>
      <c r="K5076" s="161">
        <f>K5075</f>
        <v>1175</v>
      </c>
      <c r="L5076" s="250">
        <v>1</v>
      </c>
      <c r="M5076" s="163" t="str">
        <f>CONCATENATE(H5076," ",F5076,"*",I5076,"/",K5076,"чел.")</f>
        <v>5715 светильников (потребность учреждений)*0,05928552/1175чел.</v>
      </c>
      <c r="N5076" s="164">
        <f>N3516</f>
        <v>111.16365879265086</v>
      </c>
      <c r="O5076" s="165">
        <f>MROUND(G5076*N5076,0.000001)</f>
        <v>32.054561</v>
      </c>
      <c r="P5076" s="166"/>
      <c r="Q5076" s="166">
        <f t="shared" si="1328"/>
        <v>37664.109174999998</v>
      </c>
      <c r="R5076" s="71"/>
    </row>
    <row r="5077" spans="1:18" s="62" customFormat="1" x14ac:dyDescent="0.25">
      <c r="A5077" s="359"/>
      <c r="B5077" s="362"/>
      <c r="C5077" s="218" t="s">
        <v>301</v>
      </c>
      <c r="D5077" s="256"/>
      <c r="E5077" s="240"/>
      <c r="F5077" s="240"/>
      <c r="G5077" s="227"/>
      <c r="H5077" s="241"/>
      <c r="I5077" s="206"/>
      <c r="J5077" s="228"/>
      <c r="K5077" s="207"/>
      <c r="L5077" s="257"/>
      <c r="M5077" s="209"/>
      <c r="N5077" s="210"/>
      <c r="O5077" s="198">
        <f>SUM(O5075:O5076)</f>
        <v>37.289478000000003</v>
      </c>
      <c r="P5077" s="267"/>
      <c r="Q5077" s="166"/>
      <c r="R5077" s="71"/>
    </row>
    <row r="5078" spans="1:18" s="61" customFormat="1" x14ac:dyDescent="0.25">
      <c r="A5078" s="357" t="str">
        <f>CONCATENATE(школы!$B$21,", ",школы!$C$21,", ",школы!$D$21,"очно-заочная")</f>
        <v>Реализация основных общеобразовательных программ среднего общего образования, очно-заочная, , очно-заочная</v>
      </c>
      <c r="B5078" s="360" t="str">
        <f>школы!$A$21</f>
        <v>802112О.99.0.ББ11АЮ62001</v>
      </c>
      <c r="C5078" s="194"/>
      <c r="D5078" s="363" t="s">
        <v>15</v>
      </c>
      <c r="E5078" s="363"/>
      <c r="F5078" s="363"/>
      <c r="G5078" s="363"/>
      <c r="H5078" s="195"/>
      <c r="I5078" s="195"/>
      <c r="J5078" s="195"/>
      <c r="K5078" s="195"/>
      <c r="L5078" s="196"/>
      <c r="M5078" s="197"/>
      <c r="N5078" s="164"/>
      <c r="O5078" s="198">
        <f>O5079+O5084+O5086</f>
        <v>3477.3779988189999</v>
      </c>
      <c r="P5078" s="166"/>
      <c r="Q5078" s="166"/>
      <c r="R5078" s="71"/>
    </row>
    <row r="5079" spans="1:18" s="61" customFormat="1" x14ac:dyDescent="0.25">
      <c r="A5079" s="358"/>
      <c r="B5079" s="361"/>
      <c r="C5079" s="194"/>
      <c r="D5079" s="350" t="s">
        <v>62</v>
      </c>
      <c r="E5079" s="350"/>
      <c r="F5079" s="350"/>
      <c r="G5079" s="350"/>
      <c r="H5079" s="195"/>
      <c r="I5079" s="195"/>
      <c r="J5079" s="195"/>
      <c r="K5079" s="195"/>
      <c r="L5079" s="196"/>
      <c r="M5079" s="197"/>
      <c r="N5079" s="164"/>
      <c r="O5079" s="165">
        <f>O5081+O5083</f>
        <v>3477.3779988189999</v>
      </c>
      <c r="P5079" s="166"/>
      <c r="Q5079" s="166"/>
      <c r="R5079" s="71"/>
    </row>
    <row r="5080" spans="1:18" s="61" customFormat="1" x14ac:dyDescent="0.25">
      <c r="A5080" s="358"/>
      <c r="B5080" s="361"/>
      <c r="C5080" s="194">
        <v>211</v>
      </c>
      <c r="D5080" s="194" t="s">
        <v>86</v>
      </c>
      <c r="E5080" s="199" t="s">
        <v>95</v>
      </c>
      <c r="F5080" s="199" t="s">
        <v>95</v>
      </c>
      <c r="G5080" s="275">
        <f>MROUND(H5080*L5080*I5080/K5080,0.0000000001)</f>
        <v>0.20730175840000001</v>
      </c>
      <c r="H5080" s="201">
        <f>H4240</f>
        <v>921.8</v>
      </c>
      <c r="I5080" s="159">
        <f>школы!$K$21</f>
        <v>8.4332999999999999E-4</v>
      </c>
      <c r="J5080" s="159"/>
      <c r="K5080" s="161">
        <f>школы!$G$21</f>
        <v>45</v>
      </c>
      <c r="L5080" s="202">
        <v>12</v>
      </c>
      <c r="M5080" s="163" t="str">
        <f>CONCATENATE(H5080," ",F5080," ","в мес.","*",L5080,"мес.","*",I5080,"/",K5080,"чел.")</f>
        <v>921,8 шт.ед в мес.*12мес.*0,00084333/45чел.</v>
      </c>
      <c r="N5080" s="164">
        <f>N4240</f>
        <v>12883.620739314385</v>
      </c>
      <c r="O5080" s="165">
        <f>MROUND(G5080*N5080,0.000000001)</f>
        <v>2670.7972338190002</v>
      </c>
      <c r="P5080" s="166"/>
      <c r="Q5080" s="166">
        <f t="shared" ref="Q5080" si="1329">O5080*K5080</f>
        <v>120185.87552185501</v>
      </c>
      <c r="R5080" s="71"/>
    </row>
    <row r="5081" spans="1:18" s="62" customFormat="1" x14ac:dyDescent="0.25">
      <c r="A5081" s="358"/>
      <c r="B5081" s="361"/>
      <c r="C5081" s="203" t="s">
        <v>288</v>
      </c>
      <c r="D5081" s="203"/>
      <c r="E5081" s="204"/>
      <c r="F5081" s="204"/>
      <c r="G5081" s="205"/>
      <c r="H5081" s="206"/>
      <c r="I5081" s="206"/>
      <c r="J5081" s="206"/>
      <c r="K5081" s="207"/>
      <c r="L5081" s="208"/>
      <c r="M5081" s="209"/>
      <c r="N5081" s="210">
        <f>N5080</f>
        <v>12883.620739314385</v>
      </c>
      <c r="O5081" s="198">
        <f>O5080</f>
        <v>2670.7972338190002</v>
      </c>
      <c r="P5081" s="267"/>
      <c r="Q5081" s="166"/>
      <c r="R5081" s="71"/>
    </row>
    <row r="5082" spans="1:18" s="61" customFormat="1" x14ac:dyDescent="0.25">
      <c r="A5082" s="358"/>
      <c r="B5082" s="361"/>
      <c r="C5082" s="194">
        <v>213</v>
      </c>
      <c r="D5082" s="194" t="s">
        <v>87</v>
      </c>
      <c r="E5082" s="194" t="s">
        <v>88</v>
      </c>
      <c r="F5082" s="194"/>
      <c r="G5082" s="211">
        <v>30.2</v>
      </c>
      <c r="H5082" s="159"/>
      <c r="I5082" s="159"/>
      <c r="J5082" s="159"/>
      <c r="K5082" s="161">
        <f>K5080</f>
        <v>45</v>
      </c>
      <c r="L5082" s="202"/>
      <c r="M5082" s="212"/>
      <c r="N5082" s="164"/>
      <c r="O5082" s="165">
        <f>MROUND(O5080*0.302,0.000001)</f>
        <v>806.58076499999993</v>
      </c>
      <c r="P5082" s="166"/>
      <c r="Q5082" s="166">
        <f>O5082*K5082</f>
        <v>36296.134424999997</v>
      </c>
      <c r="R5082" s="71"/>
    </row>
    <row r="5083" spans="1:18" s="62" customFormat="1" x14ac:dyDescent="0.25">
      <c r="A5083" s="358"/>
      <c r="B5083" s="361"/>
      <c r="C5083" s="203" t="s">
        <v>289</v>
      </c>
      <c r="D5083" s="203"/>
      <c r="E5083" s="203"/>
      <c r="F5083" s="203"/>
      <c r="G5083" s="213"/>
      <c r="H5083" s="214"/>
      <c r="I5083" s="206"/>
      <c r="J5083" s="214"/>
      <c r="K5083" s="207"/>
      <c r="L5083" s="215"/>
      <c r="M5083" s="216"/>
      <c r="N5083" s="210"/>
      <c r="O5083" s="198">
        <f>O5082</f>
        <v>806.58076499999993</v>
      </c>
      <c r="P5083" s="267"/>
      <c r="Q5083" s="166"/>
      <c r="R5083" s="71"/>
    </row>
    <row r="5084" spans="1:18" s="61" customFormat="1" x14ac:dyDescent="0.25">
      <c r="A5084" s="358"/>
      <c r="B5084" s="361"/>
      <c r="C5084" s="194"/>
      <c r="D5084" s="356" t="s">
        <v>63</v>
      </c>
      <c r="E5084" s="356"/>
      <c r="F5084" s="356"/>
      <c r="G5084" s="356"/>
      <c r="H5084" s="195"/>
      <c r="I5084" s="159"/>
      <c r="J5084" s="195"/>
      <c r="K5084" s="161"/>
      <c r="L5084" s="196"/>
      <c r="M5084" s="197"/>
      <c r="N5084" s="164"/>
      <c r="O5084" s="165"/>
      <c r="P5084" s="166"/>
      <c r="Q5084" s="166"/>
      <c r="R5084" s="71"/>
    </row>
    <row r="5085" spans="1:18" s="61" customFormat="1" x14ac:dyDescent="0.25">
      <c r="A5085" s="358"/>
      <c r="B5085" s="361"/>
      <c r="C5085" s="194"/>
      <c r="D5085" s="194"/>
      <c r="E5085" s="194"/>
      <c r="F5085" s="194"/>
      <c r="G5085" s="217"/>
      <c r="H5085" s="195"/>
      <c r="I5085" s="159"/>
      <c r="J5085" s="195"/>
      <c r="K5085" s="161"/>
      <c r="L5085" s="196"/>
      <c r="M5085" s="197"/>
      <c r="N5085" s="164"/>
      <c r="O5085" s="165"/>
      <c r="P5085" s="166"/>
      <c r="Q5085" s="166"/>
      <c r="R5085" s="71"/>
    </row>
    <row r="5086" spans="1:18" s="61" customFormat="1" x14ac:dyDescent="0.25">
      <c r="A5086" s="358"/>
      <c r="B5086" s="361"/>
      <c r="C5086" s="194"/>
      <c r="D5086" s="350" t="s">
        <v>64</v>
      </c>
      <c r="E5086" s="350"/>
      <c r="F5086" s="350"/>
      <c r="G5086" s="350"/>
      <c r="H5086" s="195"/>
      <c r="I5086" s="159"/>
      <c r="J5086" s="195"/>
      <c r="K5086" s="161"/>
      <c r="L5086" s="196"/>
      <c r="M5086" s="197"/>
      <c r="N5086" s="164"/>
      <c r="O5086" s="165"/>
      <c r="P5086" s="166"/>
      <c r="Q5086" s="166"/>
      <c r="R5086" s="71"/>
    </row>
    <row r="5087" spans="1:18" s="61" customFormat="1" x14ac:dyDescent="0.25">
      <c r="A5087" s="358"/>
      <c r="B5087" s="361"/>
      <c r="C5087" s="194"/>
      <c r="D5087" s="194"/>
      <c r="E5087" s="194"/>
      <c r="F5087" s="194"/>
      <c r="G5087" s="217"/>
      <c r="H5087" s="195"/>
      <c r="I5087" s="159"/>
      <c r="J5087" s="195"/>
      <c r="K5087" s="161"/>
      <c r="L5087" s="196"/>
      <c r="M5087" s="197"/>
      <c r="N5087" s="164"/>
      <c r="O5087" s="165"/>
      <c r="P5087" s="166"/>
      <c r="Q5087" s="166"/>
      <c r="R5087" s="71"/>
    </row>
    <row r="5088" spans="1:18" s="61" customFormat="1" x14ac:dyDescent="0.25">
      <c r="A5088" s="358"/>
      <c r="B5088" s="361"/>
      <c r="C5088" s="194"/>
      <c r="D5088" s="355" t="s">
        <v>5</v>
      </c>
      <c r="E5088" s="355"/>
      <c r="F5088" s="355"/>
      <c r="G5088" s="355"/>
      <c r="H5088" s="195"/>
      <c r="I5088" s="159"/>
      <c r="J5088" s="195"/>
      <c r="K5088" s="161"/>
      <c r="L5088" s="196"/>
      <c r="M5088" s="197"/>
      <c r="N5088" s="164"/>
      <c r="O5088" s="198">
        <f>O5089+O5099+O5110+O5112+O5114+O5116+O5118</f>
        <v>7383.0561319879298</v>
      </c>
      <c r="P5088" s="166"/>
      <c r="Q5088" s="166"/>
      <c r="R5088" s="71"/>
    </row>
    <row r="5089" spans="1:18" s="61" customFormat="1" x14ac:dyDescent="0.25">
      <c r="A5089" s="358"/>
      <c r="B5089" s="361"/>
      <c r="C5089" s="218" t="s">
        <v>70</v>
      </c>
      <c r="D5089" s="355" t="s">
        <v>6</v>
      </c>
      <c r="E5089" s="355"/>
      <c r="F5089" s="355"/>
      <c r="G5089" s="355"/>
      <c r="H5089" s="189"/>
      <c r="I5089" s="159"/>
      <c r="J5089" s="189"/>
      <c r="K5089" s="161"/>
      <c r="L5089" s="190"/>
      <c r="M5089" s="197"/>
      <c r="N5089" s="210"/>
      <c r="O5089" s="198">
        <f>O5098</f>
        <v>3391.2744631300002</v>
      </c>
      <c r="P5089" s="166"/>
      <c r="Q5089" s="166"/>
      <c r="R5089" s="71"/>
    </row>
    <row r="5090" spans="1:18" s="61" customFormat="1" ht="31.5" x14ac:dyDescent="0.25">
      <c r="A5090" s="358"/>
      <c r="B5090" s="361"/>
      <c r="C5090" s="221" t="s">
        <v>72</v>
      </c>
      <c r="D5090" s="222" t="s">
        <v>7</v>
      </c>
      <c r="E5090" s="223" t="s">
        <v>8</v>
      </c>
      <c r="F5090" s="223" t="s">
        <v>8</v>
      </c>
      <c r="G5090" s="238">
        <f>MROUND(H5090*L5090*I5090/K5090,0.00000000001)</f>
        <v>62.090104278969996</v>
      </c>
      <c r="H5090" s="160">
        <f>H4370</f>
        <v>3313121.4264326878</v>
      </c>
      <c r="I5090" s="159">
        <f>I5080</f>
        <v>8.4332999999999999E-4</v>
      </c>
      <c r="J5090" s="160"/>
      <c r="K5090" s="161">
        <f>K5080</f>
        <v>45</v>
      </c>
      <c r="L5090" s="250">
        <v>1</v>
      </c>
      <c r="M5090" s="163" t="str">
        <f t="shared" ref="M5090:M5095" si="1330">CONCATENATE(H5090," ",F5090,"(лимиты выделенные УЖКХ) ","*",I5090,"/",K5090,"чел.")</f>
        <v>3313121,42643269 кВт час.(лимиты выделенные УЖКХ) *0,00084333/45чел.</v>
      </c>
      <c r="N5090" s="164">
        <f>N4370</f>
        <v>10.897694685122204</v>
      </c>
      <c r="O5090" s="165">
        <f t="shared" ref="O5090:O5093" si="1331">MROUND(G5090*N5090,0.000001)</f>
        <v>676.63899900000001</v>
      </c>
      <c r="P5090" s="166"/>
      <c r="Q5090" s="166">
        <f t="shared" ref="Q5090:Q5097" si="1332">O5090*K5090</f>
        <v>30448.754955</v>
      </c>
      <c r="R5090" s="71"/>
    </row>
    <row r="5091" spans="1:18" s="61" customFormat="1" ht="31.5" x14ac:dyDescent="0.25">
      <c r="A5091" s="358"/>
      <c r="B5091" s="361"/>
      <c r="C5091" s="221" t="s">
        <v>73</v>
      </c>
      <c r="D5091" s="222" t="s">
        <v>9</v>
      </c>
      <c r="E5091" s="223" t="s">
        <v>10</v>
      </c>
      <c r="F5091" s="223" t="s">
        <v>10</v>
      </c>
      <c r="G5091" s="238">
        <f>MROUND(H5091*L5091*I5091/K5091,0.00000000001)</f>
        <v>0.59777835352999997</v>
      </c>
      <c r="H5091" s="160">
        <f>H4011</f>
        <v>31897.39</v>
      </c>
      <c r="I5091" s="159">
        <f t="shared" ref="I5091:I5143" si="1333">I5090</f>
        <v>8.4332999999999999E-4</v>
      </c>
      <c r="J5091" s="160"/>
      <c r="K5091" s="161">
        <f t="shared" ref="K5091:K5097" si="1334">K5090</f>
        <v>45</v>
      </c>
      <c r="L5091" s="250">
        <v>1</v>
      </c>
      <c r="M5091" s="163" t="str">
        <f t="shared" si="1330"/>
        <v>31897,39 Гкал(лимиты выделенные УЖКХ) *0,00084333/45чел.</v>
      </c>
      <c r="N5091" s="164">
        <f>N4011</f>
        <v>2976.2517908205036</v>
      </c>
      <c r="O5091" s="165">
        <f t="shared" si="1331"/>
        <v>1779.1388949999998</v>
      </c>
      <c r="P5091" s="166"/>
      <c r="Q5091" s="166">
        <f t="shared" si="1332"/>
        <v>80061.250274999999</v>
      </c>
      <c r="R5091" s="71"/>
    </row>
    <row r="5092" spans="1:18" s="61" customFormat="1" ht="31.5" x14ac:dyDescent="0.25">
      <c r="A5092" s="358"/>
      <c r="B5092" s="361"/>
      <c r="C5092" s="364" t="s">
        <v>74</v>
      </c>
      <c r="D5092" s="222" t="s">
        <v>12</v>
      </c>
      <c r="E5092" s="222" t="s">
        <v>11</v>
      </c>
      <c r="F5092" s="222" t="s">
        <v>11</v>
      </c>
      <c r="G5092" s="238">
        <f>MROUND(H5092*L5092*I5092/K5092,0.00000000001)</f>
        <v>3.4618728359099999</v>
      </c>
      <c r="H5092" s="224">
        <f>H3412</f>
        <v>184725.17</v>
      </c>
      <c r="I5092" s="159">
        <f t="shared" si="1333"/>
        <v>8.4332999999999999E-4</v>
      </c>
      <c r="J5092" s="160"/>
      <c r="K5092" s="161">
        <f t="shared" si="1334"/>
        <v>45</v>
      </c>
      <c r="L5092" s="250">
        <v>1</v>
      </c>
      <c r="M5092" s="163" t="str">
        <f t="shared" si="1330"/>
        <v>184725,17 м3(лимиты выделенные УЖКХ) *0,00084333/45чел.</v>
      </c>
      <c r="N5092" s="164">
        <f>N3412</f>
        <v>54.214180016724306</v>
      </c>
      <c r="O5092" s="165">
        <f t="shared" si="1331"/>
        <v>187.68259699999999</v>
      </c>
      <c r="P5092" s="166"/>
      <c r="Q5092" s="166">
        <f t="shared" si="1332"/>
        <v>8445.7168649999985</v>
      </c>
      <c r="R5092" s="71"/>
    </row>
    <row r="5093" spans="1:18" s="61" customFormat="1" ht="47.25" x14ac:dyDescent="0.25">
      <c r="A5093" s="358"/>
      <c r="B5093" s="361"/>
      <c r="C5093" s="364"/>
      <c r="D5093" s="222" t="s">
        <v>17</v>
      </c>
      <c r="E5093" s="222" t="s">
        <v>11</v>
      </c>
      <c r="F5093" s="222" t="s">
        <v>11</v>
      </c>
      <c r="G5093" s="238">
        <f>MROUND(H5093*L5093*I5093/K5093,0.00000000001)</f>
        <v>3.4618728359099999</v>
      </c>
      <c r="H5093" s="160">
        <f>H4013</f>
        <v>184725.17</v>
      </c>
      <c r="I5093" s="159">
        <f t="shared" si="1333"/>
        <v>8.4332999999999999E-4</v>
      </c>
      <c r="J5093" s="160"/>
      <c r="K5093" s="161">
        <f t="shared" si="1334"/>
        <v>45</v>
      </c>
      <c r="L5093" s="162">
        <f>$L$25</f>
        <v>1</v>
      </c>
      <c r="M5093" s="163" t="str">
        <f t="shared" si="1330"/>
        <v>184725,17 м3(лимиты выделенные УЖКХ) *0,00084333/45чел.</v>
      </c>
      <c r="N5093" s="164">
        <f>N3413</f>
        <v>82.384170780821918</v>
      </c>
      <c r="O5093" s="165">
        <f t="shared" si="1331"/>
        <v>285.20352299999996</v>
      </c>
      <c r="P5093" s="166"/>
      <c r="Q5093" s="166">
        <f t="shared" si="1332"/>
        <v>12834.158534999999</v>
      </c>
      <c r="R5093" s="71"/>
    </row>
    <row r="5094" spans="1:18" s="61" customFormat="1" ht="31.5" x14ac:dyDescent="0.25">
      <c r="A5094" s="358"/>
      <c r="B5094" s="361"/>
      <c r="C5094" s="364"/>
      <c r="D5094" s="222" t="s">
        <v>13</v>
      </c>
      <c r="E5094" s="222" t="s">
        <v>11</v>
      </c>
      <c r="F5094" s="222" t="s">
        <v>11</v>
      </c>
      <c r="G5094" s="238">
        <f>MROUND(H5094*L5094*I5094/K5094,0.00000000001)</f>
        <v>3.4618728359099999</v>
      </c>
      <c r="H5094" s="160">
        <f>H3414</f>
        <v>184725.17</v>
      </c>
      <c r="I5094" s="159">
        <f t="shared" si="1333"/>
        <v>8.4332999999999999E-4</v>
      </c>
      <c r="J5094" s="160"/>
      <c r="K5094" s="161">
        <f t="shared" si="1334"/>
        <v>45</v>
      </c>
      <c r="L5094" s="162">
        <v>1</v>
      </c>
      <c r="M5094" s="163" t="str">
        <f t="shared" si="1330"/>
        <v>184725,17 м3(лимиты выделенные УЖКХ) *0,00084333/45чел.</v>
      </c>
      <c r="N5094" s="164">
        <f>N3414</f>
        <v>112.36110334722464</v>
      </c>
      <c r="O5094" s="165">
        <f>MROUND(G5094*N5094,0.00000001)</f>
        <v>388.97985148999999</v>
      </c>
      <c r="P5094" s="166"/>
      <c r="Q5094" s="166">
        <f t="shared" si="1332"/>
        <v>17504.093317049999</v>
      </c>
      <c r="R5094" s="71"/>
    </row>
    <row r="5095" spans="1:18" s="61" customFormat="1" ht="31.5" x14ac:dyDescent="0.25">
      <c r="A5095" s="358"/>
      <c r="B5095" s="361"/>
      <c r="C5095" s="221" t="s">
        <v>75</v>
      </c>
      <c r="D5095" s="222" t="s">
        <v>18</v>
      </c>
      <c r="E5095" s="222" t="s">
        <v>48</v>
      </c>
      <c r="F5095" s="222" t="s">
        <v>48</v>
      </c>
      <c r="G5095" s="238">
        <f>MROUND(H5095*L5095*I5095/K5095,0.0000000001)</f>
        <v>0.26026288240000001</v>
      </c>
      <c r="H5095" s="160">
        <f>H3415</f>
        <v>13887.6</v>
      </c>
      <c r="I5095" s="159">
        <f t="shared" si="1333"/>
        <v>8.4332999999999999E-4</v>
      </c>
      <c r="J5095" s="160"/>
      <c r="K5095" s="161">
        <f t="shared" si="1334"/>
        <v>45</v>
      </c>
      <c r="L5095" s="250">
        <v>1</v>
      </c>
      <c r="M5095" s="163" t="str">
        <f t="shared" si="1330"/>
        <v>13887,6 тыс. м3(лимиты выделенные УЖКХ) *0,00084333/45чел.</v>
      </c>
      <c r="N5095" s="164">
        <f>N3415</f>
        <v>30.576235634666901</v>
      </c>
      <c r="O5095" s="165">
        <f t="shared" ref="O5095" si="1335">MROUND(G5095*N5095,0.000001)</f>
        <v>7.957859</v>
      </c>
      <c r="P5095" s="166"/>
      <c r="Q5095" s="166">
        <f t="shared" si="1332"/>
        <v>358.103655</v>
      </c>
      <c r="R5095" s="71"/>
    </row>
    <row r="5096" spans="1:18" s="61" customFormat="1" x14ac:dyDescent="0.25">
      <c r="A5096" s="358"/>
      <c r="B5096" s="361"/>
      <c r="C5096" s="364" t="s">
        <v>216</v>
      </c>
      <c r="D5096" s="222" t="s">
        <v>23</v>
      </c>
      <c r="E5096" s="222" t="s">
        <v>11</v>
      </c>
      <c r="F5096" s="222" t="s">
        <v>11</v>
      </c>
      <c r="G5096" s="238">
        <f>MROUND(H5096*L5096*I5096/K5096,0.000000000001)</f>
        <v>6.3130559360000005E-2</v>
      </c>
      <c r="H5096" s="160">
        <f>H3416</f>
        <v>3368.6400000000003</v>
      </c>
      <c r="I5096" s="159">
        <f t="shared" si="1333"/>
        <v>8.4332999999999999E-4</v>
      </c>
      <c r="J5096" s="160"/>
      <c r="K5096" s="161">
        <f t="shared" si="1334"/>
        <v>45</v>
      </c>
      <c r="L5096" s="162">
        <f>L5095</f>
        <v>1</v>
      </c>
      <c r="M5096" s="163" t="str">
        <f>CONCATENATE(H5096," ",F5096," ","*",I5096,"/",K5096,"чел.")</f>
        <v>3368,64 м3 *0,00084333/45чел.</v>
      </c>
      <c r="N5096" s="164">
        <f>N3416</f>
        <v>776.35552626579261</v>
      </c>
      <c r="O5096" s="165">
        <f>MROUND(G5096*N5096,0.00000001)</f>
        <v>49.011758640000004</v>
      </c>
      <c r="P5096" s="166"/>
      <c r="Q5096" s="166">
        <f t="shared" si="1332"/>
        <v>2205.5291388000001</v>
      </c>
      <c r="R5096" s="71"/>
    </row>
    <row r="5097" spans="1:18" s="61" customFormat="1" ht="47.25" x14ac:dyDescent="0.25">
      <c r="A5097" s="358"/>
      <c r="B5097" s="361"/>
      <c r="C5097" s="364"/>
      <c r="D5097" s="222" t="s">
        <v>24</v>
      </c>
      <c r="E5097" s="222" t="s">
        <v>25</v>
      </c>
      <c r="F5097" s="222" t="s">
        <v>217</v>
      </c>
      <c r="G5097" s="238">
        <f>MROUND(H5097*L5097*I5097/K5097,0.000000000001)</f>
        <v>2.7548780000000001E-3</v>
      </c>
      <c r="H5097" s="160">
        <f>H4377</f>
        <v>147</v>
      </c>
      <c r="I5097" s="159">
        <f t="shared" si="1333"/>
        <v>8.4332999999999999E-4</v>
      </c>
      <c r="J5097" s="160"/>
      <c r="K5097" s="161">
        <f t="shared" si="1334"/>
        <v>45</v>
      </c>
      <c r="L5097" s="250">
        <f>L5096</f>
        <v>1</v>
      </c>
      <c r="M5097" s="163" t="str">
        <f>CONCATENATE(H5097," ",F5097,"(потребность из расчета 4 контейнера для уборки территории весной и осенью на 1 учреждение)","*",I5097,"/",K5097,"чел.")</f>
        <v>147 контейнера(потребность из расчета 4 контейнера для уборки территории весной и осенью на 1 учреждение)*0,00084333/45чел.</v>
      </c>
      <c r="N5097" s="164">
        <f>N4377</f>
        <v>6047.8105442176911</v>
      </c>
      <c r="O5097" s="165">
        <f t="shared" ref="O5097" si="1336">MROUND(G5097*N5097,0.000001)</f>
        <v>16.660979999999999</v>
      </c>
      <c r="P5097" s="166"/>
      <c r="Q5097" s="166">
        <f t="shared" si="1332"/>
        <v>749.74409999999989</v>
      </c>
      <c r="R5097" s="71"/>
    </row>
    <row r="5098" spans="1:18" s="62" customFormat="1" x14ac:dyDescent="0.25">
      <c r="A5098" s="358"/>
      <c r="B5098" s="361"/>
      <c r="C5098" s="218" t="s">
        <v>290</v>
      </c>
      <c r="D5098" s="226"/>
      <c r="E5098" s="226"/>
      <c r="F5098" s="226"/>
      <c r="G5098" s="227"/>
      <c r="H5098" s="228"/>
      <c r="I5098" s="206"/>
      <c r="J5098" s="228"/>
      <c r="K5098" s="207"/>
      <c r="L5098" s="257"/>
      <c r="M5098" s="209"/>
      <c r="N5098" s="210"/>
      <c r="O5098" s="198">
        <f>SUM(O5090:O5097)</f>
        <v>3391.2744631300002</v>
      </c>
      <c r="P5098" s="267"/>
      <c r="Q5098" s="166"/>
      <c r="R5098" s="71"/>
    </row>
    <row r="5099" spans="1:18" s="61" customFormat="1" x14ac:dyDescent="0.25">
      <c r="A5099" s="358"/>
      <c r="B5099" s="361"/>
      <c r="C5099" s="221"/>
      <c r="D5099" s="356" t="s">
        <v>14</v>
      </c>
      <c r="E5099" s="356"/>
      <c r="F5099" s="356"/>
      <c r="G5099" s="356"/>
      <c r="H5099" s="188"/>
      <c r="I5099" s="159"/>
      <c r="J5099" s="188"/>
      <c r="K5099" s="161"/>
      <c r="L5099" s="250"/>
      <c r="M5099" s="230"/>
      <c r="N5099" s="164"/>
      <c r="O5099" s="198">
        <f>O5107+O5108+O5103</f>
        <v>3548.2877369779299</v>
      </c>
      <c r="P5099" s="166"/>
      <c r="Q5099" s="166"/>
      <c r="R5099" s="71"/>
    </row>
    <row r="5100" spans="1:18" s="61" customFormat="1" x14ac:dyDescent="0.25">
      <c r="A5100" s="358"/>
      <c r="B5100" s="361"/>
      <c r="C5100" s="221" t="s">
        <v>379</v>
      </c>
      <c r="D5100" s="231" t="s">
        <v>49</v>
      </c>
      <c r="E5100" s="231" t="s">
        <v>22</v>
      </c>
      <c r="F5100" s="231" t="s">
        <v>22</v>
      </c>
      <c r="G5100" s="238">
        <f>MROUND(H5100*L5100*I5100/K5100,0.000000001)</f>
        <v>0</v>
      </c>
      <c r="H5100" s="160"/>
      <c r="I5100" s="159">
        <f>I5095</f>
        <v>8.4332999999999999E-4</v>
      </c>
      <c r="J5100" s="160"/>
      <c r="K5100" s="161">
        <f>K5095</f>
        <v>45</v>
      </c>
      <c r="L5100" s="250"/>
      <c r="M5100" s="163"/>
      <c r="N5100" s="164"/>
      <c r="O5100" s="165">
        <f>MROUND(G5100*N5100,0.00000001)</f>
        <v>0</v>
      </c>
      <c r="P5100" s="166"/>
      <c r="Q5100" s="166">
        <f t="shared" ref="Q5100:Q5102" si="1337">O5100*K5100</f>
        <v>0</v>
      </c>
      <c r="R5100" s="71"/>
    </row>
    <row r="5101" spans="1:18" s="61" customFormat="1" x14ac:dyDescent="0.25">
      <c r="A5101" s="358"/>
      <c r="B5101" s="361"/>
      <c r="C5101" s="221" t="s">
        <v>379</v>
      </c>
      <c r="D5101" s="231" t="s">
        <v>49</v>
      </c>
      <c r="E5101" s="231" t="s">
        <v>28</v>
      </c>
      <c r="F5101" s="231" t="s">
        <v>28</v>
      </c>
      <c r="G5101" s="238">
        <f>MROUND(H5101*L5101*I5101/K5101,0.000000001)</f>
        <v>0</v>
      </c>
      <c r="H5101" s="160"/>
      <c r="I5101" s="159">
        <f t="shared" si="1333"/>
        <v>8.4332999999999999E-4</v>
      </c>
      <c r="J5101" s="160"/>
      <c r="K5101" s="161">
        <f>K5100</f>
        <v>45</v>
      </c>
      <c r="L5101" s="250">
        <v>1</v>
      </c>
      <c r="M5101" s="163"/>
      <c r="N5101" s="164"/>
      <c r="O5101" s="165">
        <f>MROUND(G5101*N5101,0.00000001)</f>
        <v>0</v>
      </c>
      <c r="P5101" s="166"/>
      <c r="Q5101" s="166">
        <f t="shared" si="1337"/>
        <v>0</v>
      </c>
      <c r="R5101" s="71"/>
    </row>
    <row r="5102" spans="1:18" s="61" customFormat="1" x14ac:dyDescent="0.25">
      <c r="A5102" s="358"/>
      <c r="B5102" s="361"/>
      <c r="C5102" s="221" t="s">
        <v>379</v>
      </c>
      <c r="D5102" s="231" t="s">
        <v>49</v>
      </c>
      <c r="E5102" s="231" t="s">
        <v>101</v>
      </c>
      <c r="F5102" s="231" t="s">
        <v>101</v>
      </c>
      <c r="G5102" s="238">
        <f>MROUND(H5102*L5102*I5102/K5102,0.000000001)</f>
        <v>0</v>
      </c>
      <c r="H5102" s="160"/>
      <c r="I5102" s="159">
        <f t="shared" si="1333"/>
        <v>8.4332999999999999E-4</v>
      </c>
      <c r="J5102" s="160"/>
      <c r="K5102" s="161">
        <f>K5101</f>
        <v>45</v>
      </c>
      <c r="L5102" s="250"/>
      <c r="M5102" s="163"/>
      <c r="N5102" s="164"/>
      <c r="O5102" s="165">
        <f>MROUND(G5102*N5102,0.00000001)</f>
        <v>0</v>
      </c>
      <c r="P5102" s="166"/>
      <c r="Q5102" s="166">
        <f t="shared" si="1337"/>
        <v>0</v>
      </c>
      <c r="R5102" s="71"/>
    </row>
    <row r="5103" spans="1:18" s="62" customFormat="1" x14ac:dyDescent="0.25">
      <c r="A5103" s="358"/>
      <c r="B5103" s="361"/>
      <c r="C5103" s="218" t="s">
        <v>380</v>
      </c>
      <c r="D5103" s="232"/>
      <c r="E5103" s="232"/>
      <c r="F5103" s="232"/>
      <c r="G5103" s="227"/>
      <c r="H5103" s="228"/>
      <c r="I5103" s="206"/>
      <c r="J5103" s="228"/>
      <c r="K5103" s="207"/>
      <c r="L5103" s="257"/>
      <c r="M5103" s="209"/>
      <c r="N5103" s="210"/>
      <c r="O5103" s="198">
        <f>SUM(O5100:O5102)</f>
        <v>0</v>
      </c>
      <c r="P5103" s="267"/>
      <c r="Q5103" s="166"/>
      <c r="R5103" s="71"/>
    </row>
    <row r="5104" spans="1:18" s="61" customFormat="1" x14ac:dyDescent="0.25">
      <c r="A5104" s="358"/>
      <c r="B5104" s="361"/>
      <c r="C5104" s="221" t="s">
        <v>76</v>
      </c>
      <c r="D5104" s="231" t="s">
        <v>49</v>
      </c>
      <c r="E5104" s="231" t="s">
        <v>22</v>
      </c>
      <c r="F5104" s="231" t="s">
        <v>22</v>
      </c>
      <c r="G5104" s="238">
        <f>MROUND(H5104*L5104*I5104/K5104,0.000000000000001)</f>
        <v>22.939130161513337</v>
      </c>
      <c r="H5104" s="160">
        <f>H4264</f>
        <v>1224029.57</v>
      </c>
      <c r="I5104" s="159">
        <f>I5100</f>
        <v>8.4332999999999999E-4</v>
      </c>
      <c r="J5104" s="160"/>
      <c r="K5104" s="161">
        <f>K5102</f>
        <v>45</v>
      </c>
      <c r="L5104" s="250">
        <v>1</v>
      </c>
      <c r="M5104" s="163" t="str">
        <f>CONCATENATE(H5104," ",F5104,"*",I5104,"/",K5104,"чел.")</f>
        <v>1224029,57 м2*0,00084333/45чел.</v>
      </c>
      <c r="N5104" s="164">
        <f>N4264</f>
        <v>37.50494361014497</v>
      </c>
      <c r="O5104" s="165">
        <f>MROUND(G5104*N5104,0.00000000001)</f>
        <v>860.33078317332991</v>
      </c>
      <c r="P5104" s="166"/>
      <c r="Q5104" s="166">
        <f t="shared" ref="Q5104:Q5106" si="1338">O5104*K5104</f>
        <v>38714.885242799843</v>
      </c>
      <c r="R5104" s="71"/>
    </row>
    <row r="5105" spans="1:18" s="61" customFormat="1" x14ac:dyDescent="0.25">
      <c r="A5105" s="358"/>
      <c r="B5105" s="361"/>
      <c r="C5105" s="221"/>
      <c r="D5105" s="231" t="s">
        <v>49</v>
      </c>
      <c r="E5105" s="231" t="s">
        <v>28</v>
      </c>
      <c r="F5105" s="231" t="s">
        <v>28</v>
      </c>
      <c r="G5105" s="238">
        <f>MROUND(H5105*L5105*I5105/K5105,0.000000000001)</f>
        <v>2.0727177332999999E-2</v>
      </c>
      <c r="H5105" s="160">
        <f>H4265</f>
        <v>1106</v>
      </c>
      <c r="I5105" s="159">
        <f t="shared" si="1333"/>
        <v>8.4332999999999999E-4</v>
      </c>
      <c r="J5105" s="160"/>
      <c r="K5105" s="161">
        <f>K5104</f>
        <v>45</v>
      </c>
      <c r="L5105" s="250">
        <v>1</v>
      </c>
      <c r="M5105" s="163" t="str">
        <f>CONCATENATE(H5105," ",F5105,"*",I5105,"/",K5105,"чел.")</f>
        <v>1106 шт*0,00084333/45чел.</v>
      </c>
      <c r="N5105" s="164">
        <f>N4265</f>
        <v>86192.676311030737</v>
      </c>
      <c r="O5105" s="165">
        <f>MROUND(G5105*N5105,0.00000000001)</f>
        <v>1786.5308867045999</v>
      </c>
      <c r="P5105" s="166"/>
      <c r="Q5105" s="166">
        <f t="shared" si="1338"/>
        <v>80393.889901706993</v>
      </c>
      <c r="R5105" s="71"/>
    </row>
    <row r="5106" spans="1:18" s="61" customFormat="1" x14ac:dyDescent="0.25">
      <c r="A5106" s="358"/>
      <c r="B5106" s="361"/>
      <c r="C5106" s="221"/>
      <c r="D5106" s="231" t="s">
        <v>49</v>
      </c>
      <c r="E5106" s="231" t="s">
        <v>101</v>
      </c>
      <c r="F5106" s="231" t="s">
        <v>101</v>
      </c>
      <c r="G5106" s="238">
        <f>MROUND(H5106*L5106*I5106/K5106,0.000000001)</f>
        <v>0.68722024700000006</v>
      </c>
      <c r="H5106" s="160">
        <f>H4266</f>
        <v>36670</v>
      </c>
      <c r="I5106" s="159">
        <f t="shared" si="1333"/>
        <v>8.4332999999999999E-4</v>
      </c>
      <c r="J5106" s="160"/>
      <c r="K5106" s="161">
        <f>K5105</f>
        <v>45</v>
      </c>
      <c r="L5106" s="250">
        <v>1</v>
      </c>
      <c r="M5106" s="163" t="str">
        <f>CONCATENATE(H5106," ",F5106,"*",I5106,"/",K5106,"чел.")</f>
        <v>36670 погон.м.*0,00084333/45чел.</v>
      </c>
      <c r="N5106" s="164">
        <f>N4266</f>
        <v>1311.6989364603219</v>
      </c>
      <c r="O5106" s="165">
        <f>MROUND(G5106*N5106,0.00000001)</f>
        <v>901.42606710000007</v>
      </c>
      <c r="P5106" s="166"/>
      <c r="Q5106" s="166">
        <f t="shared" si="1338"/>
        <v>40564.173019500005</v>
      </c>
      <c r="R5106" s="71"/>
    </row>
    <row r="5107" spans="1:18" s="62" customFormat="1" x14ac:dyDescent="0.25">
      <c r="A5107" s="358"/>
      <c r="B5107" s="361"/>
      <c r="C5107" s="218" t="s">
        <v>291</v>
      </c>
      <c r="D5107" s="232"/>
      <c r="E5107" s="232"/>
      <c r="F5107" s="232"/>
      <c r="G5107" s="227"/>
      <c r="H5107" s="228"/>
      <c r="I5107" s="206"/>
      <c r="J5107" s="228"/>
      <c r="K5107" s="207"/>
      <c r="L5107" s="257"/>
      <c r="M5107" s="209"/>
      <c r="N5107" s="210"/>
      <c r="O5107" s="198">
        <f>SUM(O5104:O5106)</f>
        <v>3548.2877369779299</v>
      </c>
      <c r="P5107" s="267"/>
      <c r="Q5107" s="166"/>
      <c r="R5107" s="71"/>
    </row>
    <row r="5108" spans="1:18" s="61" customFormat="1" x14ac:dyDescent="0.25">
      <c r="A5108" s="358"/>
      <c r="B5108" s="361"/>
      <c r="C5108" s="221" t="s">
        <v>77</v>
      </c>
      <c r="D5108" s="231"/>
      <c r="E5108" s="231"/>
      <c r="F5108" s="231"/>
      <c r="G5108" s="238">
        <f>MROUND(H5108*L5108*I5108/K5108,0.00000000001)</f>
        <v>0</v>
      </c>
      <c r="H5108" s="160">
        <f>H4868</f>
        <v>0</v>
      </c>
      <c r="I5108" s="159">
        <f>I5106</f>
        <v>8.4332999999999999E-4</v>
      </c>
      <c r="J5108" s="160"/>
      <c r="K5108" s="161">
        <f>K5106</f>
        <v>45</v>
      </c>
      <c r="L5108" s="250"/>
      <c r="M5108" s="163"/>
      <c r="N5108" s="164">
        <f>N4868</f>
        <v>0</v>
      </c>
      <c r="O5108" s="165">
        <f>MROUND(G5108*N5108,0.000000001)</f>
        <v>0</v>
      </c>
      <c r="P5108" s="166"/>
      <c r="Q5108" s="166">
        <f t="shared" ref="Q5108" si="1339">O5108*K5108</f>
        <v>0</v>
      </c>
      <c r="R5108" s="71"/>
    </row>
    <row r="5109" spans="1:18" s="62" customFormat="1" x14ac:dyDescent="0.25">
      <c r="A5109" s="358"/>
      <c r="B5109" s="361"/>
      <c r="C5109" s="218" t="s">
        <v>292</v>
      </c>
      <c r="D5109" s="232"/>
      <c r="E5109" s="232"/>
      <c r="F5109" s="232"/>
      <c r="G5109" s="227"/>
      <c r="H5109" s="228"/>
      <c r="I5109" s="206"/>
      <c r="J5109" s="228"/>
      <c r="K5109" s="207"/>
      <c r="L5109" s="257"/>
      <c r="M5109" s="209"/>
      <c r="N5109" s="210"/>
      <c r="O5109" s="198">
        <f>O5108</f>
        <v>0</v>
      </c>
      <c r="P5109" s="267"/>
      <c r="Q5109" s="166"/>
      <c r="R5109" s="71"/>
    </row>
    <row r="5110" spans="1:18" s="61" customFormat="1" x14ac:dyDescent="0.25">
      <c r="A5110" s="358"/>
      <c r="B5110" s="361"/>
      <c r="C5110" s="221"/>
      <c r="D5110" s="350" t="s">
        <v>65</v>
      </c>
      <c r="E5110" s="350"/>
      <c r="F5110" s="350"/>
      <c r="G5110" s="350"/>
      <c r="H5110" s="195"/>
      <c r="I5110" s="159"/>
      <c r="J5110" s="195"/>
      <c r="K5110" s="161"/>
      <c r="L5110" s="196"/>
      <c r="M5110" s="230"/>
      <c r="N5110" s="164"/>
      <c r="O5110" s="165">
        <f t="shared" ref="O5110:O5111" si="1340">MROUND(G5110*N5110,0.000001)</f>
        <v>0</v>
      </c>
      <c r="P5110" s="166"/>
      <c r="Q5110" s="166"/>
      <c r="R5110" s="71"/>
    </row>
    <row r="5111" spans="1:18" s="61" customFormat="1" x14ac:dyDescent="0.25">
      <c r="A5111" s="358"/>
      <c r="B5111" s="361"/>
      <c r="C5111" s="221"/>
      <c r="D5111" s="194"/>
      <c r="E5111" s="194"/>
      <c r="F5111" s="194"/>
      <c r="G5111" s="217"/>
      <c r="H5111" s="195"/>
      <c r="I5111" s="159"/>
      <c r="J5111" s="195"/>
      <c r="K5111" s="161"/>
      <c r="L5111" s="196"/>
      <c r="M5111" s="230"/>
      <c r="N5111" s="164"/>
      <c r="O5111" s="165">
        <f t="shared" si="1340"/>
        <v>0</v>
      </c>
      <c r="P5111" s="166"/>
      <c r="Q5111" s="166"/>
      <c r="R5111" s="71"/>
    </row>
    <row r="5112" spans="1:18" s="61" customFormat="1" x14ac:dyDescent="0.25">
      <c r="A5112" s="358"/>
      <c r="B5112" s="361"/>
      <c r="C5112" s="221" t="s">
        <v>357</v>
      </c>
      <c r="D5112" s="368" t="s">
        <v>66</v>
      </c>
      <c r="E5112" s="368"/>
      <c r="F5112" s="368"/>
      <c r="G5112" s="368"/>
      <c r="H5112" s="195"/>
      <c r="I5112" s="159"/>
      <c r="J5112" s="195"/>
      <c r="K5112" s="161"/>
      <c r="L5112" s="234"/>
      <c r="M5112" s="230"/>
      <c r="N5112" s="164"/>
      <c r="O5112" s="198">
        <f>O5113</f>
        <v>10.636623999999999</v>
      </c>
      <c r="P5112" s="166"/>
      <c r="Q5112" s="166"/>
      <c r="R5112" s="71"/>
    </row>
    <row r="5113" spans="1:18" s="61" customFormat="1" ht="47.25" x14ac:dyDescent="0.25">
      <c r="A5113" s="358"/>
      <c r="B5113" s="361"/>
      <c r="C5113" s="221"/>
      <c r="D5113" s="222" t="s">
        <v>374</v>
      </c>
      <c r="E5113" s="194" t="s">
        <v>28</v>
      </c>
      <c r="F5113" s="194" t="s">
        <v>28</v>
      </c>
      <c r="G5113" s="217">
        <f>MROUND(H5113*L5113*I5113/K5113,0.000000001)</f>
        <v>2.6986560000000002E-3</v>
      </c>
      <c r="H5113" s="201">
        <f>H4513</f>
        <v>36</v>
      </c>
      <c r="I5113" s="159">
        <f>I5108</f>
        <v>8.4332999999999999E-4</v>
      </c>
      <c r="J5113" s="195"/>
      <c r="K5113" s="161">
        <f>K5108</f>
        <v>45</v>
      </c>
      <c r="L5113" s="235">
        <f>L4513</f>
        <v>4</v>
      </c>
      <c r="M5113" s="163" t="str">
        <f>CONCATENATE(H5113," ",F5113,"*",I5113,"/",K5113,"чел.")</f>
        <v>36 шт*0,00084333/45чел.</v>
      </c>
      <c r="N5113" s="164">
        <f>N4513</f>
        <v>3941.4525000000012</v>
      </c>
      <c r="O5113" s="165">
        <f>MROUND(G5113*N5113,0.000001)</f>
        <v>10.636623999999999</v>
      </c>
      <c r="P5113" s="166"/>
      <c r="Q5113" s="166">
        <f t="shared" ref="Q5113" si="1341">O5113*K5113</f>
        <v>478.64807999999999</v>
      </c>
      <c r="R5113" s="71"/>
    </row>
    <row r="5114" spans="1:18" s="61" customFormat="1" x14ac:dyDescent="0.25">
      <c r="A5114" s="358"/>
      <c r="B5114" s="361"/>
      <c r="C5114" s="221"/>
      <c r="D5114" s="368" t="s">
        <v>67</v>
      </c>
      <c r="E5114" s="368"/>
      <c r="F5114" s="368"/>
      <c r="G5114" s="368"/>
      <c r="H5114" s="195"/>
      <c r="I5114" s="159"/>
      <c r="J5114" s="195"/>
      <c r="K5114" s="161"/>
      <c r="L5114" s="196"/>
      <c r="M5114" s="230"/>
      <c r="N5114" s="164"/>
      <c r="O5114" s="165">
        <f t="shared" ref="O5114:O5117" si="1342">MROUND(G5114*N5114,0.000001)</f>
        <v>0</v>
      </c>
      <c r="P5114" s="166"/>
      <c r="Q5114" s="166"/>
      <c r="R5114" s="71"/>
    </row>
    <row r="5115" spans="1:18" s="61" customFormat="1" x14ac:dyDescent="0.25">
      <c r="A5115" s="358"/>
      <c r="B5115" s="361"/>
      <c r="C5115" s="221"/>
      <c r="D5115" s="194"/>
      <c r="E5115" s="194"/>
      <c r="F5115" s="194"/>
      <c r="G5115" s="217"/>
      <c r="H5115" s="195"/>
      <c r="I5115" s="159"/>
      <c r="J5115" s="195"/>
      <c r="K5115" s="161"/>
      <c r="L5115" s="196"/>
      <c r="M5115" s="230"/>
      <c r="N5115" s="164"/>
      <c r="O5115" s="165">
        <f t="shared" si="1342"/>
        <v>0</v>
      </c>
      <c r="P5115" s="166"/>
      <c r="Q5115" s="166"/>
      <c r="R5115" s="71"/>
    </row>
    <row r="5116" spans="1:18" s="61" customFormat="1" x14ac:dyDescent="0.25">
      <c r="A5116" s="358"/>
      <c r="B5116" s="361"/>
      <c r="C5116" s="221"/>
      <c r="D5116" s="350" t="s">
        <v>68</v>
      </c>
      <c r="E5116" s="350"/>
      <c r="F5116" s="350"/>
      <c r="G5116" s="350"/>
      <c r="H5116" s="195"/>
      <c r="I5116" s="159"/>
      <c r="J5116" s="195"/>
      <c r="K5116" s="161"/>
      <c r="L5116" s="196"/>
      <c r="M5116" s="230"/>
      <c r="N5116" s="164"/>
      <c r="O5116" s="165">
        <f t="shared" si="1342"/>
        <v>0</v>
      </c>
      <c r="P5116" s="166"/>
      <c r="Q5116" s="166"/>
      <c r="R5116" s="71"/>
    </row>
    <row r="5117" spans="1:18" s="61" customFormat="1" x14ac:dyDescent="0.25">
      <c r="A5117" s="358"/>
      <c r="B5117" s="361"/>
      <c r="C5117" s="221"/>
      <c r="D5117" s="156"/>
      <c r="E5117" s="156"/>
      <c r="F5117" s="156"/>
      <c r="G5117" s="236"/>
      <c r="H5117" s="195"/>
      <c r="I5117" s="159"/>
      <c r="J5117" s="195"/>
      <c r="K5117" s="161"/>
      <c r="L5117" s="196"/>
      <c r="M5117" s="230"/>
      <c r="N5117" s="164"/>
      <c r="O5117" s="165">
        <f t="shared" si="1342"/>
        <v>0</v>
      </c>
      <c r="P5117" s="166"/>
      <c r="Q5117" s="166"/>
      <c r="R5117" s="71"/>
    </row>
    <row r="5118" spans="1:18" s="61" customFormat="1" x14ac:dyDescent="0.25">
      <c r="A5118" s="358"/>
      <c r="B5118" s="361"/>
      <c r="C5118" s="221"/>
      <c r="D5118" s="368" t="s">
        <v>69</v>
      </c>
      <c r="E5118" s="368"/>
      <c r="F5118" s="368"/>
      <c r="G5118" s="368"/>
      <c r="H5118" s="187"/>
      <c r="I5118" s="159"/>
      <c r="J5118" s="187"/>
      <c r="K5118" s="161"/>
      <c r="L5118" s="276"/>
      <c r="M5118" s="230"/>
      <c r="N5118" s="164"/>
      <c r="O5118" s="198">
        <f>O5120+O5127+O5144+O5146+O5161+O5163+O5165+O5190+O5192+O5197+O5194</f>
        <v>432.85730787999995</v>
      </c>
      <c r="P5118" s="166"/>
      <c r="Q5118" s="166"/>
      <c r="R5118" s="71"/>
    </row>
    <row r="5119" spans="1:18" s="61" customFormat="1" x14ac:dyDescent="0.25">
      <c r="A5119" s="358"/>
      <c r="B5119" s="361"/>
      <c r="C5119" s="221">
        <v>224</v>
      </c>
      <c r="D5119" s="156" t="s">
        <v>21</v>
      </c>
      <c r="E5119" s="156" t="s">
        <v>22</v>
      </c>
      <c r="F5119" s="156" t="s">
        <v>22</v>
      </c>
      <c r="G5119" s="238">
        <f>MROUND(H5119*L5119*I5119/K5119,0.000001)</f>
        <v>0</v>
      </c>
      <c r="H5119" s="158"/>
      <c r="I5119" s="159">
        <f>I5113</f>
        <v>8.4332999999999999E-4</v>
      </c>
      <c r="J5119" s="160"/>
      <c r="K5119" s="161">
        <f>K5113</f>
        <v>45</v>
      </c>
      <c r="L5119" s="250"/>
      <c r="M5119" s="163"/>
      <c r="N5119" s="164"/>
      <c r="O5119" s="165">
        <f>MROUND(G5119*N5119,0.000001)</f>
        <v>0</v>
      </c>
      <c r="P5119" s="166"/>
      <c r="Q5119" s="166">
        <f t="shared" ref="Q5119" si="1343">O5119*K5119</f>
        <v>0</v>
      </c>
      <c r="R5119" s="71"/>
    </row>
    <row r="5120" spans="1:18" s="62" customFormat="1" x14ac:dyDescent="0.25">
      <c r="A5120" s="358"/>
      <c r="B5120" s="361"/>
      <c r="C5120" s="218" t="s">
        <v>293</v>
      </c>
      <c r="D5120" s="240"/>
      <c r="E5120" s="240"/>
      <c r="F5120" s="240"/>
      <c r="G5120" s="227"/>
      <c r="H5120" s="241"/>
      <c r="I5120" s="206"/>
      <c r="J5120" s="228"/>
      <c r="K5120" s="207"/>
      <c r="L5120" s="257"/>
      <c r="M5120" s="209"/>
      <c r="N5120" s="210"/>
      <c r="O5120" s="198">
        <f>SUM(O5119)</f>
        <v>0</v>
      </c>
      <c r="P5120" s="267"/>
      <c r="Q5120" s="166"/>
      <c r="R5120" s="71"/>
    </row>
    <row r="5121" spans="1:41" s="61" customFormat="1" ht="31.5" x14ac:dyDescent="0.25">
      <c r="A5121" s="358"/>
      <c r="B5121" s="361"/>
      <c r="C5121" s="364" t="s">
        <v>78</v>
      </c>
      <c r="D5121" s="156" t="s">
        <v>26</v>
      </c>
      <c r="E5121" s="156" t="s">
        <v>22</v>
      </c>
      <c r="F5121" s="156" t="s">
        <v>22</v>
      </c>
      <c r="G5121" s="238">
        <f>MROUND(H5121*L5121*I5121/K5121,0.000001)</f>
        <v>5.8111059999999997</v>
      </c>
      <c r="H5121" s="158">
        <f>H3441</f>
        <v>25840</v>
      </c>
      <c r="I5121" s="159">
        <f>I5119</f>
        <v>8.4332999999999999E-4</v>
      </c>
      <c r="J5121" s="160"/>
      <c r="K5121" s="161">
        <f>K5119</f>
        <v>45</v>
      </c>
      <c r="L5121" s="250">
        <v>12</v>
      </c>
      <c r="M5121" s="163" t="str">
        <f>CONCATENATE(H5121," ",F5121,"(обрабатываемая площадь в мес.)","*",L5121,"мес.","*",I5121,"/",K5121,"чел.")</f>
        <v>25840 м2(обрабатываемая площадь в мес.)*12мес.*0,00084333/45чел.</v>
      </c>
      <c r="N5121" s="164">
        <f>N3441</f>
        <v>1.208548374613003</v>
      </c>
      <c r="O5121" s="165">
        <f t="shared" ref="O5121:O5126" si="1344">MROUND(G5121*N5121,0.000001)</f>
        <v>7.0230030000000001</v>
      </c>
      <c r="P5121" s="166"/>
      <c r="Q5121" s="166">
        <f t="shared" ref="Q5121:Q5126" si="1345">O5121*K5121</f>
        <v>316.03513500000003</v>
      </c>
      <c r="R5121" s="71"/>
    </row>
    <row r="5122" spans="1:41" s="61" customFormat="1" ht="31.5" x14ac:dyDescent="0.25">
      <c r="A5122" s="358"/>
      <c r="B5122" s="361"/>
      <c r="C5122" s="364"/>
      <c r="D5122" s="156" t="s">
        <v>96</v>
      </c>
      <c r="E5122" s="156" t="s">
        <v>22</v>
      </c>
      <c r="F5122" s="156" t="s">
        <v>22</v>
      </c>
      <c r="G5122" s="238">
        <f>MROUND(H5122*L5122*I5122/K5122,0.000001)</f>
        <v>3.0078769999999997</v>
      </c>
      <c r="H5122" s="158">
        <f>H3442</f>
        <v>13375</v>
      </c>
      <c r="I5122" s="159">
        <f t="shared" si="1333"/>
        <v>8.4332999999999999E-4</v>
      </c>
      <c r="J5122" s="160"/>
      <c r="K5122" s="161">
        <f>K5121</f>
        <v>45</v>
      </c>
      <c r="L5122" s="250">
        <v>12</v>
      </c>
      <c r="M5122" s="163" t="str">
        <f>CONCATENATE(H5122," ",F5122,"(обрабатываемая площадь в мес.)","*",L5122,"мес.","*",I5122,"/",K5122,"чел.")</f>
        <v>13375 м2(обрабатываемая площадь в мес.)*12мес.*0,00084333/45чел.</v>
      </c>
      <c r="N5122" s="164">
        <f>N3442</f>
        <v>1.93823800623053</v>
      </c>
      <c r="O5122" s="165">
        <f t="shared" si="1344"/>
        <v>5.8299819999999993</v>
      </c>
      <c r="P5122" s="166"/>
      <c r="Q5122" s="166">
        <f t="shared" si="1345"/>
        <v>262.34918999999996</v>
      </c>
      <c r="R5122" s="71"/>
    </row>
    <row r="5123" spans="1:41" s="135" customFormat="1" ht="31.5" x14ac:dyDescent="0.25">
      <c r="A5123" s="358"/>
      <c r="B5123" s="361"/>
      <c r="C5123" s="364"/>
      <c r="D5123" s="156" t="s">
        <v>385</v>
      </c>
      <c r="E5123" s="156" t="s">
        <v>22</v>
      </c>
      <c r="F5123" s="156" t="s">
        <v>22</v>
      </c>
      <c r="G5123" s="238">
        <f>MROUND(H5123*L5123*I5123/K5123,0.000001)</f>
        <v>6.0157539999999994</v>
      </c>
      <c r="H5123" s="242">
        <f>$H$55</f>
        <v>13375</v>
      </c>
      <c r="I5123" s="159">
        <f t="shared" si="1333"/>
        <v>8.4332999999999999E-4</v>
      </c>
      <c r="J5123" s="160"/>
      <c r="K5123" s="161">
        <f>K5122</f>
        <v>45</v>
      </c>
      <c r="L5123" s="162">
        <v>24</v>
      </c>
      <c r="M5123" s="163" t="str">
        <f>CONCATENATE(H5123," ",F5123,"(обрабатываемая площадь в год)","*",L5123," раза в год.","*",I5123,"/",K5123,"чел.")</f>
        <v>13375 м2(обрабатываемая площадь в год)*24 раза в год.*0,00084333/45чел.</v>
      </c>
      <c r="N5123" s="164">
        <f>$N$3443</f>
        <v>2.3942939563862917</v>
      </c>
      <c r="O5123" s="165">
        <f t="shared" si="1344"/>
        <v>14.403483</v>
      </c>
      <c r="P5123" s="166"/>
      <c r="Q5123" s="166">
        <f t="shared" si="1345"/>
        <v>648.15673500000003</v>
      </c>
      <c r="R5123" s="71"/>
      <c r="S5123" s="61"/>
      <c r="T5123" s="61"/>
      <c r="U5123" s="61"/>
      <c r="V5123" s="61"/>
      <c r="W5123" s="61"/>
      <c r="X5123" s="61"/>
      <c r="Y5123" s="61"/>
      <c r="Z5123" s="61"/>
      <c r="AA5123" s="61"/>
      <c r="AB5123" s="61"/>
      <c r="AC5123" s="61"/>
      <c r="AD5123" s="61"/>
      <c r="AE5123" s="61"/>
      <c r="AF5123" s="61"/>
      <c r="AG5123" s="61"/>
      <c r="AH5123" s="61"/>
      <c r="AI5123" s="61"/>
      <c r="AJ5123" s="61"/>
      <c r="AK5123" s="61"/>
      <c r="AL5123" s="61"/>
      <c r="AM5123" s="61"/>
      <c r="AN5123" s="61"/>
      <c r="AO5123" s="61"/>
    </row>
    <row r="5124" spans="1:41" s="135" customFormat="1" ht="31.5" x14ac:dyDescent="0.25">
      <c r="A5124" s="358"/>
      <c r="B5124" s="361"/>
      <c r="C5124" s="364"/>
      <c r="D5124" s="156" t="s">
        <v>394</v>
      </c>
      <c r="E5124" s="156" t="s">
        <v>22</v>
      </c>
      <c r="F5124" s="156" t="s">
        <v>22</v>
      </c>
      <c r="G5124" s="238">
        <f>MROUND(H5124*L5124*I5124/K5124,0.000001)</f>
        <v>5.8111059999999997</v>
      </c>
      <c r="H5124" s="243">
        <f>$H$56</f>
        <v>25840</v>
      </c>
      <c r="I5124" s="159">
        <f t="shared" si="1333"/>
        <v>8.4332999999999999E-4</v>
      </c>
      <c r="J5124" s="160"/>
      <c r="K5124" s="161">
        <f>K5123</f>
        <v>45</v>
      </c>
      <c r="L5124" s="162">
        <v>12</v>
      </c>
      <c r="M5124" s="163" t="str">
        <f>CONCATENATE(H5124," ",F5124,"(обрабатываемая площадь в мес.)","*",L5124,"мес.","*",I5124,"/",K5124,"чел.")</f>
        <v>25840 м2(обрабатываемая площадь в мес.)*12мес.*0,00084333/45чел.</v>
      </c>
      <c r="N5124" s="164">
        <f>$N$3444</f>
        <v>0.57007004643962855</v>
      </c>
      <c r="O5124" s="165">
        <f t="shared" si="1344"/>
        <v>3.3127369999999998</v>
      </c>
      <c r="P5124" s="166"/>
      <c r="Q5124" s="166">
        <f t="shared" si="1345"/>
        <v>149.07316499999999</v>
      </c>
      <c r="R5124" s="71"/>
      <c r="S5124" s="61"/>
      <c r="T5124" s="61"/>
      <c r="U5124" s="61"/>
      <c r="V5124" s="61"/>
      <c r="W5124" s="61"/>
      <c r="X5124" s="61"/>
      <c r="Y5124" s="61"/>
      <c r="Z5124" s="61"/>
      <c r="AA5124" s="61"/>
      <c r="AB5124" s="61"/>
      <c r="AC5124" s="61"/>
      <c r="AD5124" s="61"/>
      <c r="AE5124" s="61"/>
      <c r="AF5124" s="61"/>
      <c r="AG5124" s="61"/>
      <c r="AH5124" s="61"/>
      <c r="AI5124" s="61"/>
      <c r="AJ5124" s="61"/>
      <c r="AK5124" s="61"/>
      <c r="AL5124" s="61"/>
      <c r="AM5124" s="61"/>
      <c r="AN5124" s="61"/>
      <c r="AO5124" s="61"/>
    </row>
    <row r="5125" spans="1:41" s="135" customFormat="1" ht="31.5" x14ac:dyDescent="0.25">
      <c r="A5125" s="358"/>
      <c r="B5125" s="361"/>
      <c r="C5125" s="364"/>
      <c r="D5125" s="156" t="s">
        <v>395</v>
      </c>
      <c r="E5125" s="156" t="s">
        <v>98</v>
      </c>
      <c r="F5125" s="156" t="s">
        <v>98</v>
      </c>
      <c r="G5125" s="238">
        <f>MROUND(H5125*L5125*I5125/K5125,0.000001)</f>
        <v>3.5500000000000001E-4</v>
      </c>
      <c r="H5125" s="242">
        <f>$H$57</f>
        <v>18.939999999999998</v>
      </c>
      <c r="I5125" s="159">
        <f t="shared" si="1333"/>
        <v>8.4332999999999999E-4</v>
      </c>
      <c r="J5125" s="160"/>
      <c r="K5125" s="161">
        <f>K5124</f>
        <v>45</v>
      </c>
      <c r="L5125" s="162">
        <v>1</v>
      </c>
      <c r="M5125" s="163" t="str">
        <f>CONCATENATE(H5125," ",F5125,"(обрабатываемая площадь в год)","*",L5125," раз в год","*",I5125,"/",K5125,"чел.")</f>
        <v>18,94 Га(обрабатываемая площадь в год)*1 раз в год*0,00084333/45чел.</v>
      </c>
      <c r="N5125" s="164">
        <f>$N$57</f>
        <v>545</v>
      </c>
      <c r="O5125" s="165">
        <f t="shared" si="1344"/>
        <v>0.19347499999999998</v>
      </c>
      <c r="P5125" s="166"/>
      <c r="Q5125" s="166">
        <f t="shared" si="1345"/>
        <v>8.7063749999999995</v>
      </c>
      <c r="R5125" s="71"/>
      <c r="S5125" s="61"/>
      <c r="T5125" s="61"/>
      <c r="U5125" s="61"/>
      <c r="V5125" s="61"/>
      <c r="W5125" s="61"/>
      <c r="X5125" s="61"/>
      <c r="Y5125" s="61"/>
      <c r="Z5125" s="61"/>
      <c r="AA5125" s="61"/>
      <c r="AB5125" s="61"/>
      <c r="AC5125" s="61"/>
      <c r="AD5125" s="61"/>
      <c r="AE5125" s="61"/>
      <c r="AF5125" s="61"/>
      <c r="AG5125" s="61"/>
      <c r="AH5125" s="61"/>
      <c r="AI5125" s="61"/>
      <c r="AJ5125" s="61"/>
      <c r="AK5125" s="61"/>
      <c r="AL5125" s="61"/>
      <c r="AM5125" s="61"/>
      <c r="AN5125" s="61"/>
      <c r="AO5125" s="61"/>
    </row>
    <row r="5126" spans="1:41" s="61" customFormat="1" ht="31.5" x14ac:dyDescent="0.25">
      <c r="A5126" s="358"/>
      <c r="B5126" s="361"/>
      <c r="C5126" s="364"/>
      <c r="D5126" s="156" t="s">
        <v>97</v>
      </c>
      <c r="E5126" s="156" t="s">
        <v>98</v>
      </c>
      <c r="F5126" s="156" t="s">
        <v>98</v>
      </c>
      <c r="G5126" s="238">
        <f>MROUND(H5126*L5126*I5126/K5126,0.0000000001)</f>
        <v>3.5494820000000002E-4</v>
      </c>
      <c r="H5126" s="242">
        <f>H4046</f>
        <v>18.939999999999998</v>
      </c>
      <c r="I5126" s="244">
        <f>I5122</f>
        <v>8.4332999999999999E-4</v>
      </c>
      <c r="J5126" s="160"/>
      <c r="K5126" s="161">
        <f>K5122</f>
        <v>45</v>
      </c>
      <c r="L5126" s="250">
        <v>1</v>
      </c>
      <c r="M5126" s="163" t="str">
        <f>CONCATENATE(H5126," ",F5126,"(обрабатываемая площадь в мес.)","*",L5126,"мес.","*",I5126,"/",K5126,"чел.")</f>
        <v>18,94 Га(обрабатываемая площадь в мес.)*1мес.*0,00084333/45чел.</v>
      </c>
      <c r="N5126" s="164">
        <f>N4046</f>
        <v>3102.4186906018999</v>
      </c>
      <c r="O5126" s="165">
        <f t="shared" si="1344"/>
        <v>1.1011979999999999</v>
      </c>
      <c r="P5126" s="166"/>
      <c r="Q5126" s="166">
        <f t="shared" si="1345"/>
        <v>49.553909999999995</v>
      </c>
      <c r="R5126" s="71"/>
    </row>
    <row r="5127" spans="1:41" s="62" customFormat="1" x14ac:dyDescent="0.25">
      <c r="A5127" s="358"/>
      <c r="B5127" s="361"/>
      <c r="C5127" s="245" t="s">
        <v>294</v>
      </c>
      <c r="D5127" s="240"/>
      <c r="E5127" s="240"/>
      <c r="F5127" s="240"/>
      <c r="G5127" s="227"/>
      <c r="H5127" s="241"/>
      <c r="I5127" s="206"/>
      <c r="J5127" s="228"/>
      <c r="K5127" s="207"/>
      <c r="L5127" s="257"/>
      <c r="M5127" s="209"/>
      <c r="N5127" s="210"/>
      <c r="O5127" s="198">
        <f>SUM(O5121:O5126)</f>
        <v>31.863877999999996</v>
      </c>
      <c r="P5127" s="267"/>
      <c r="Q5127" s="166"/>
      <c r="R5127" s="71"/>
    </row>
    <row r="5128" spans="1:41" s="61" customFormat="1" ht="63" x14ac:dyDescent="0.25">
      <c r="A5128" s="358"/>
      <c r="B5128" s="361"/>
      <c r="C5128" s="365" t="s">
        <v>77</v>
      </c>
      <c r="D5128" s="156" t="s">
        <v>29</v>
      </c>
      <c r="E5128" s="156" t="s">
        <v>58</v>
      </c>
      <c r="F5128" s="156" t="s">
        <v>218</v>
      </c>
      <c r="G5128" s="238">
        <f>MROUND(H5128*L5128*I5128/K5128,0.00000001)</f>
        <v>1.12444E-3</v>
      </c>
      <c r="H5128" s="158">
        <v>15</v>
      </c>
      <c r="I5128" s="159">
        <f>I5126</f>
        <v>8.4332999999999999E-4</v>
      </c>
      <c r="J5128" s="160"/>
      <c r="K5128" s="161">
        <f>K5126</f>
        <v>45</v>
      </c>
      <c r="L5128" s="162">
        <v>4</v>
      </c>
      <c r="M5128" s="163" t="str">
        <f>CONCATENATE(H5128," ",F5128,"*",L5128," раза в год","*",I5128,"/",K5128,"чел.")</f>
        <v>15 установок*4 раза в год*0,00084333/45чел.</v>
      </c>
      <c r="N5128" s="164">
        <f>N3448</f>
        <v>2264.8651666666669</v>
      </c>
      <c r="O5128" s="165">
        <f t="shared" ref="O5128:O5136" si="1346">MROUND(G5128*N5128,0.000001)</f>
        <v>2.5467049999999998</v>
      </c>
      <c r="P5128" s="166"/>
      <c r="Q5128" s="166">
        <f t="shared" ref="Q5128:Q5143" si="1347">O5128*K5128</f>
        <v>114.60172499999999</v>
      </c>
      <c r="R5128" s="71"/>
    </row>
    <row r="5129" spans="1:41" s="61" customFormat="1" ht="47.25" x14ac:dyDescent="0.25">
      <c r="A5129" s="358"/>
      <c r="B5129" s="361"/>
      <c r="C5129" s="366"/>
      <c r="D5129" s="156" t="s">
        <v>30</v>
      </c>
      <c r="E5129" s="156" t="s">
        <v>58</v>
      </c>
      <c r="F5129" s="156" t="s">
        <v>218</v>
      </c>
      <c r="G5129" s="238">
        <f>MROUND(H5129*L5129*I5129/K5129,0.00000001)</f>
        <v>5.6221999999999999E-4</v>
      </c>
      <c r="H5129" s="158">
        <v>15</v>
      </c>
      <c r="I5129" s="159">
        <f t="shared" si="1333"/>
        <v>8.4332999999999999E-4</v>
      </c>
      <c r="J5129" s="160"/>
      <c r="K5129" s="161">
        <f t="shared" ref="K5129:K5137" si="1348">K5128</f>
        <v>45</v>
      </c>
      <c r="L5129" s="250">
        <v>2</v>
      </c>
      <c r="M5129" s="163" t="str">
        <f>CONCATENATE(H5129," ",F5129,"*",L5129,"полуг.","*",I5129,"/",K5129,"чел.")</f>
        <v>15 установок*2полуг.*0,00084333/45чел.</v>
      </c>
      <c r="N5129" s="164">
        <f>N4409</f>
        <v>4529.7303333333339</v>
      </c>
      <c r="O5129" s="165">
        <f t="shared" si="1346"/>
        <v>2.5467049999999998</v>
      </c>
      <c r="P5129" s="166"/>
      <c r="Q5129" s="166">
        <f t="shared" si="1347"/>
        <v>114.60172499999999</v>
      </c>
      <c r="R5129" s="71"/>
    </row>
    <row r="5130" spans="1:41" s="61" customFormat="1" ht="31.5" x14ac:dyDescent="0.25">
      <c r="A5130" s="358"/>
      <c r="B5130" s="361"/>
      <c r="C5130" s="366"/>
      <c r="D5130" s="156" t="s">
        <v>397</v>
      </c>
      <c r="E5130" s="156" t="s">
        <v>433</v>
      </c>
      <c r="F5130" s="156" t="s">
        <v>433</v>
      </c>
      <c r="G5130" s="238">
        <f>MROUND(H5130*L5130*I5130/K5130,0.000001)</f>
        <v>5.6219999999999994E-3</v>
      </c>
      <c r="H5130" s="158">
        <f>H4050</f>
        <v>300</v>
      </c>
      <c r="I5130" s="159">
        <f t="shared" si="1333"/>
        <v>8.4332999999999999E-4</v>
      </c>
      <c r="J5130" s="160"/>
      <c r="K5130" s="161">
        <f t="shared" si="1348"/>
        <v>45</v>
      </c>
      <c r="L5130" s="162">
        <v>1</v>
      </c>
      <c r="M5130" s="163" t="str">
        <f>CONCATENATE(H5130," ",F5130,"(обрабатываемая площадь в год)","*",L5130," раз в год","*",I5130,"/",K5130,"чел.")</f>
        <v>300 м2.(обрабатываемая площадь в год)*1 раз в год*0,00084333/45чел.</v>
      </c>
      <c r="N5130" s="164">
        <f>N4050</f>
        <v>300</v>
      </c>
      <c r="O5130" s="165">
        <f t="shared" si="1346"/>
        <v>1.6865999999999999</v>
      </c>
      <c r="P5130" s="166"/>
      <c r="Q5130" s="166">
        <f t="shared" si="1347"/>
        <v>75.896999999999991</v>
      </c>
      <c r="R5130" s="71"/>
    </row>
    <row r="5131" spans="1:41" s="61" customFormat="1" ht="47.25" x14ac:dyDescent="0.25">
      <c r="A5131" s="358"/>
      <c r="B5131" s="361"/>
      <c r="C5131" s="366"/>
      <c r="D5131" s="156" t="s">
        <v>32</v>
      </c>
      <c r="E5131" s="156" t="s">
        <v>55</v>
      </c>
      <c r="F5131" s="156" t="s">
        <v>219</v>
      </c>
      <c r="G5131" s="238">
        <f>MROUND(H5131*L5131*I5131/K5131,0.000000001)</f>
        <v>2.6986560000000002E-3</v>
      </c>
      <c r="H5131" s="158">
        <f>H4411</f>
        <v>36</v>
      </c>
      <c r="I5131" s="159">
        <f>I5130</f>
        <v>8.4332999999999999E-4</v>
      </c>
      <c r="J5131" s="160"/>
      <c r="K5131" s="161">
        <f t="shared" si="1348"/>
        <v>45</v>
      </c>
      <c r="L5131" s="250">
        <v>4</v>
      </c>
      <c r="M5131" s="163" t="str">
        <f>CONCATENATE(H5131," ",F5131,"*",L5131,"кв.","*",I5131,"/",K5131,"чел.")</f>
        <v>36 системы*4кв.*0,00084333/45чел.</v>
      </c>
      <c r="N5131" s="164">
        <f>N4411</f>
        <v>7243.0565277777823</v>
      </c>
      <c r="O5131" s="165">
        <f t="shared" si="1346"/>
        <v>19.546517999999999</v>
      </c>
      <c r="P5131" s="166"/>
      <c r="Q5131" s="166">
        <f t="shared" si="1347"/>
        <v>879.59330999999997</v>
      </c>
      <c r="R5131" s="71"/>
    </row>
    <row r="5132" spans="1:41" s="61" customFormat="1" ht="63" x14ac:dyDescent="0.25">
      <c r="A5132" s="358"/>
      <c r="B5132" s="361"/>
      <c r="C5132" s="366"/>
      <c r="D5132" s="156" t="s">
        <v>33</v>
      </c>
      <c r="E5132" s="156" t="s">
        <v>56</v>
      </c>
      <c r="F5132" s="156" t="s">
        <v>220</v>
      </c>
      <c r="G5132" s="238">
        <f>MROUND(H5132*L5132*I5132/K5132,0.000000001)</f>
        <v>6.7466400000000006E-4</v>
      </c>
      <c r="H5132" s="158">
        <f>$H$64</f>
        <v>36</v>
      </c>
      <c r="I5132" s="159">
        <f>I5131</f>
        <v>8.4332999999999999E-4</v>
      </c>
      <c r="J5132" s="160"/>
      <c r="K5132" s="161">
        <f t="shared" si="1348"/>
        <v>45</v>
      </c>
      <c r="L5132" s="162">
        <v>1</v>
      </c>
      <c r="M5132" s="163" t="str">
        <f>CONCATENATE(H5132," ",F5132,"*",L5132," раз в год","*",I5132,"/",K5132,"чел.")</f>
        <v>36 дымоходов*1 раз в год*0,00084333/45чел.</v>
      </c>
      <c r="N5132" s="164">
        <f>N3452</f>
        <v>7030.863333333331</v>
      </c>
      <c r="O5132" s="165">
        <f t="shared" si="1346"/>
        <v>4.7434699999999994</v>
      </c>
      <c r="P5132" s="166"/>
      <c r="Q5132" s="166">
        <f t="shared" si="1347"/>
        <v>213.45614999999998</v>
      </c>
      <c r="R5132" s="71"/>
    </row>
    <row r="5133" spans="1:41" s="61" customFormat="1" x14ac:dyDescent="0.25">
      <c r="A5133" s="358"/>
      <c r="B5133" s="361"/>
      <c r="C5133" s="366"/>
      <c r="D5133" s="194" t="s">
        <v>398</v>
      </c>
      <c r="E5133" s="156" t="s">
        <v>60</v>
      </c>
      <c r="F5133" s="156" t="s">
        <v>60</v>
      </c>
      <c r="G5133" s="238">
        <f>MROUND(H5133*L5133*I5133/K5133,0.000000001)</f>
        <v>6.5592299999999999E-4</v>
      </c>
      <c r="H5133" s="246">
        <f>H3453</f>
        <v>35</v>
      </c>
      <c r="I5133" s="159">
        <f t="shared" si="1333"/>
        <v>8.4332999999999999E-4</v>
      </c>
      <c r="J5133" s="160"/>
      <c r="K5133" s="161">
        <f t="shared" si="1348"/>
        <v>45</v>
      </c>
      <c r="L5133" s="250">
        <v>1</v>
      </c>
      <c r="M5133" s="163" t="str">
        <f>CONCATENATE(H5133," ",F5133,"*",I5133,"/",K5133,"чел.")</f>
        <v>35 шт.*0,00084333/45чел.</v>
      </c>
      <c r="N5133" s="164">
        <f>N3453</f>
        <v>12173.433428571419</v>
      </c>
      <c r="O5133" s="165">
        <f t="shared" si="1346"/>
        <v>7.9848349999999995</v>
      </c>
      <c r="P5133" s="166"/>
      <c r="Q5133" s="166">
        <f t="shared" si="1347"/>
        <v>359.31757499999998</v>
      </c>
      <c r="R5133" s="71"/>
    </row>
    <row r="5134" spans="1:41" s="61" customFormat="1" ht="47.25" x14ac:dyDescent="0.25">
      <c r="A5134" s="358"/>
      <c r="B5134" s="361"/>
      <c r="C5134" s="366"/>
      <c r="D5134" s="156" t="s">
        <v>401</v>
      </c>
      <c r="E5134" s="156" t="s">
        <v>60</v>
      </c>
      <c r="F5134" s="156" t="s">
        <v>402</v>
      </c>
      <c r="G5134" s="238">
        <f>MROUND(H5134*L5134*I5134/K5134,0.000001)</f>
        <v>1.312E-3</v>
      </c>
      <c r="H5134" s="246">
        <f>H3454</f>
        <v>35</v>
      </c>
      <c r="I5134" s="159">
        <f t="shared" si="1333"/>
        <v>8.4332999999999999E-4</v>
      </c>
      <c r="J5134" s="160"/>
      <c r="K5134" s="161">
        <f t="shared" si="1348"/>
        <v>45</v>
      </c>
      <c r="L5134" s="162">
        <v>2</v>
      </c>
      <c r="M5134" s="163" t="str">
        <f>CONCATENATE(H5134," ",F5134,"*",L5134," раз в год","*",I5134,"/",K5134,"чел.")</f>
        <v>35 противопожарных водопроводов*2 раз в год*0,00084333/45чел.</v>
      </c>
      <c r="N5134" s="164">
        <f>N3454</f>
        <v>5700.7000000000025</v>
      </c>
      <c r="O5134" s="165">
        <f t="shared" si="1346"/>
        <v>7.4793179999999992</v>
      </c>
      <c r="P5134" s="166"/>
      <c r="Q5134" s="166">
        <f t="shared" si="1347"/>
        <v>336.56930999999997</v>
      </c>
      <c r="R5134" s="71"/>
    </row>
    <row r="5135" spans="1:41" s="61" customFormat="1" ht="31.5" x14ac:dyDescent="0.25">
      <c r="A5135" s="358"/>
      <c r="B5135" s="361"/>
      <c r="C5135" s="366"/>
      <c r="D5135" s="156" t="s">
        <v>221</v>
      </c>
      <c r="E5135" s="156" t="s">
        <v>60</v>
      </c>
      <c r="F5135" s="156" t="s">
        <v>60</v>
      </c>
      <c r="G5135" s="238">
        <f>MROUND(H5135*L5135*I5135/K5135,0.0000000001)</f>
        <v>4.0479840000000001E-3</v>
      </c>
      <c r="H5135" s="158">
        <f>H3455</f>
        <v>18</v>
      </c>
      <c r="I5135" s="159">
        <f t="shared" si="1333"/>
        <v>8.4332999999999999E-4</v>
      </c>
      <c r="J5135" s="160"/>
      <c r="K5135" s="161">
        <f t="shared" si="1348"/>
        <v>45</v>
      </c>
      <c r="L5135" s="250">
        <v>12</v>
      </c>
      <c r="M5135" s="163" t="str">
        <f>CONCATENATE(H5135," ",F5135,"*",L5135,"мес.","*",I5135,"/",K5135,"чел.")</f>
        <v>18 шт.*12мес.*0,00084333/45чел.</v>
      </c>
      <c r="N5135" s="164">
        <f>N4055</f>
        <v>6577.3408796296308</v>
      </c>
      <c r="O5135" s="165">
        <f t="shared" si="1346"/>
        <v>26.624970999999999</v>
      </c>
      <c r="P5135" s="166"/>
      <c r="Q5135" s="166">
        <f t="shared" si="1347"/>
        <v>1198.123695</v>
      </c>
      <c r="R5135" s="71"/>
    </row>
    <row r="5136" spans="1:41" s="61" customFormat="1" ht="47.25" x14ac:dyDescent="0.25">
      <c r="A5136" s="358"/>
      <c r="B5136" s="361"/>
      <c r="C5136" s="366"/>
      <c r="D5136" s="156" t="s">
        <v>34</v>
      </c>
      <c r="E5136" s="156" t="s">
        <v>59</v>
      </c>
      <c r="F5136" s="156" t="s">
        <v>28</v>
      </c>
      <c r="G5136" s="238">
        <f>MROUND(H5136*L5136*I5136/K5136,0.0000000001)</f>
        <v>3.7481300000000003E-5</v>
      </c>
      <c r="H5136" s="158">
        <f>H3696</f>
        <v>2</v>
      </c>
      <c r="I5136" s="159">
        <f t="shared" si="1333"/>
        <v>8.4332999999999999E-4</v>
      </c>
      <c r="J5136" s="160"/>
      <c r="K5136" s="161">
        <f t="shared" si="1348"/>
        <v>45</v>
      </c>
      <c r="L5136" s="250">
        <v>1</v>
      </c>
      <c r="M5136" s="163" t="str">
        <f>CONCATENATE(H5136," ",F5136,"*",I5136,"/",K5136,"чел.")</f>
        <v>2 шт*0,00084333/45чел.</v>
      </c>
      <c r="N5136" s="164">
        <f>N3456</f>
        <v>7845</v>
      </c>
      <c r="O5136" s="165">
        <f t="shared" si="1346"/>
        <v>0.294041</v>
      </c>
      <c r="P5136" s="166"/>
      <c r="Q5136" s="166">
        <f t="shared" si="1347"/>
        <v>13.231845</v>
      </c>
      <c r="R5136" s="71"/>
    </row>
    <row r="5137" spans="1:18" s="61" customFormat="1" ht="47.25" x14ac:dyDescent="0.25">
      <c r="A5137" s="358"/>
      <c r="B5137" s="361"/>
      <c r="C5137" s="366"/>
      <c r="D5137" s="156" t="s">
        <v>222</v>
      </c>
      <c r="E5137" s="156" t="s">
        <v>60</v>
      </c>
      <c r="F5137" s="156" t="s">
        <v>60</v>
      </c>
      <c r="G5137" s="238">
        <f>MROUND(H5137*L5137*I5137/K5137,0.00000000001)</f>
        <v>9.370332999999999E-5</v>
      </c>
      <c r="H5137" s="248">
        <f>H4417</f>
        <v>5</v>
      </c>
      <c r="I5137" s="159">
        <f t="shared" si="1333"/>
        <v>8.4332999999999999E-4</v>
      </c>
      <c r="J5137" s="160"/>
      <c r="K5137" s="161">
        <f t="shared" si="1348"/>
        <v>45</v>
      </c>
      <c r="L5137" s="250">
        <v>1</v>
      </c>
      <c r="M5137" s="163" t="str">
        <f>CONCATENATE(H5137," ",F5137,"*",I5137,"/",K5137,"чел.")</f>
        <v>5 шт.*0,00084333/45чел.</v>
      </c>
      <c r="N5137" s="164">
        <f>N3457</f>
        <v>43857.106</v>
      </c>
      <c r="O5137" s="165">
        <f>MROUND(G5137*N5137,0.00000001)</f>
        <v>4.1095568800000004</v>
      </c>
      <c r="P5137" s="166"/>
      <c r="Q5137" s="166">
        <f t="shared" si="1347"/>
        <v>184.93005960000002</v>
      </c>
      <c r="R5137" s="71"/>
    </row>
    <row r="5138" spans="1:18" s="61" customFormat="1" ht="31.5" x14ac:dyDescent="0.25">
      <c r="A5138" s="358"/>
      <c r="B5138" s="361"/>
      <c r="C5138" s="366"/>
      <c r="D5138" s="156" t="s">
        <v>35</v>
      </c>
      <c r="E5138" s="156" t="s">
        <v>102</v>
      </c>
      <c r="F5138" s="156" t="s">
        <v>223</v>
      </c>
      <c r="G5138" s="238">
        <f>MROUND(H5138*L5138*I5138/K5138,0.00000001)</f>
        <v>6.5592000000000005E-4</v>
      </c>
      <c r="H5138" s="158">
        <f>H3458</f>
        <v>35</v>
      </c>
      <c r="I5138" s="159">
        <f>I5136</f>
        <v>8.4332999999999999E-4</v>
      </c>
      <c r="J5138" s="160"/>
      <c r="K5138" s="161">
        <f>K5136</f>
        <v>45</v>
      </c>
      <c r="L5138" s="250">
        <v>1</v>
      </c>
      <c r="M5138" s="163" t="str">
        <f>CONCATENATE(H5138," ",F5138,"*",I5138,"/",K5138,"чел.")</f>
        <v>35 замеров*0,00084333/45чел.</v>
      </c>
      <c r="N5138" s="164">
        <f>N3458</f>
        <v>26428.571428571428</v>
      </c>
      <c r="O5138" s="165">
        <f t="shared" ref="O5138:O5143" si="1349">MROUND(G5138*N5138,0.000001)</f>
        <v>17.335028999999999</v>
      </c>
      <c r="P5138" s="166"/>
      <c r="Q5138" s="166">
        <f t="shared" si="1347"/>
        <v>780.07630499999993</v>
      </c>
      <c r="R5138" s="71"/>
    </row>
    <row r="5139" spans="1:18" s="61" customFormat="1" ht="47.25" x14ac:dyDescent="0.25">
      <c r="A5139" s="358"/>
      <c r="B5139" s="361"/>
      <c r="C5139" s="366"/>
      <c r="D5139" s="156" t="s">
        <v>399</v>
      </c>
      <c r="E5139" s="156" t="s">
        <v>60</v>
      </c>
      <c r="F5139" s="156" t="s">
        <v>60</v>
      </c>
      <c r="G5139" s="238">
        <f>MROUND(H5139*L5139*I5139/K5139,0.000000001)</f>
        <v>6.5592330000000003E-3</v>
      </c>
      <c r="H5139" s="158">
        <f>H4539</f>
        <v>35</v>
      </c>
      <c r="I5139" s="159">
        <f t="shared" si="1333"/>
        <v>8.4332999999999999E-4</v>
      </c>
      <c r="J5139" s="160"/>
      <c r="K5139" s="161">
        <f>K5138</f>
        <v>45</v>
      </c>
      <c r="L5139" s="250">
        <v>10</v>
      </c>
      <c r="M5139" s="163" t="str">
        <f>CONCATENATE(H5139," ",F5139,"*",L5139,"мес.","*",I5139,"/",K5139,"чел.")</f>
        <v>35 шт.*10мес.*0,00084333/45чел.</v>
      </c>
      <c r="N5139" s="164">
        <f>N4539</f>
        <v>3250.866542857143</v>
      </c>
      <c r="O5139" s="165">
        <f t="shared" si="1349"/>
        <v>21.323190999999998</v>
      </c>
      <c r="P5139" s="166"/>
      <c r="Q5139" s="166">
        <f t="shared" si="1347"/>
        <v>959.54359499999987</v>
      </c>
      <c r="R5139" s="71"/>
    </row>
    <row r="5140" spans="1:18" s="61" customFormat="1" ht="47.25" x14ac:dyDescent="0.25">
      <c r="A5140" s="358"/>
      <c r="B5140" s="361"/>
      <c r="C5140" s="366"/>
      <c r="D5140" s="156" t="s">
        <v>36</v>
      </c>
      <c r="E5140" s="156" t="s">
        <v>31</v>
      </c>
      <c r="F5140" s="156" t="s">
        <v>224</v>
      </c>
      <c r="G5140" s="238">
        <f>MROUND(H5140*L5140*I5140/K5140,0.00000001)</f>
        <v>8.0959700000000009E-3</v>
      </c>
      <c r="H5140" s="158">
        <f>H4420</f>
        <v>36</v>
      </c>
      <c r="I5140" s="159">
        <f t="shared" si="1333"/>
        <v>8.4332999999999999E-4</v>
      </c>
      <c r="J5140" s="160"/>
      <c r="K5140" s="161">
        <f>K5139</f>
        <v>45</v>
      </c>
      <c r="L5140" s="250">
        <v>12</v>
      </c>
      <c r="M5140" s="163" t="str">
        <f>CONCATENATE(H5140," ",F5140,"*",L5140,"мес.","*",I5140,"/",K5140,"чел.")</f>
        <v>36 устройств*12мес.*0,00084333/45чел.</v>
      </c>
      <c r="N5140" s="164">
        <f>N3460</f>
        <v>2508.3083101851839</v>
      </c>
      <c r="O5140" s="165">
        <f t="shared" si="1349"/>
        <v>20.307188999999997</v>
      </c>
      <c r="P5140" s="166"/>
      <c r="Q5140" s="166">
        <f t="shared" si="1347"/>
        <v>913.82350499999984</v>
      </c>
      <c r="R5140" s="71"/>
    </row>
    <row r="5141" spans="1:18" s="61" customFormat="1" ht="31.5" x14ac:dyDescent="0.25">
      <c r="A5141" s="358"/>
      <c r="B5141" s="361"/>
      <c r="C5141" s="366"/>
      <c r="D5141" s="156" t="s">
        <v>99</v>
      </c>
      <c r="E5141" s="156" t="s">
        <v>103</v>
      </c>
      <c r="F5141" s="156" t="s">
        <v>225</v>
      </c>
      <c r="G5141" s="238">
        <f>MROUND(H5141*L5141*I5141/K5141,0.00000001)</f>
        <v>4.6851699999999998E-3</v>
      </c>
      <c r="H5141" s="158">
        <f>H3461</f>
        <v>250</v>
      </c>
      <c r="I5141" s="159">
        <f t="shared" si="1333"/>
        <v>8.4332999999999999E-4</v>
      </c>
      <c r="J5141" s="160"/>
      <c r="K5141" s="161">
        <f>K5140</f>
        <v>45</v>
      </c>
      <c r="L5141" s="250">
        <v>1</v>
      </c>
      <c r="M5141" s="163" t="str">
        <f>CONCATENATE(H5141," ",F5141,"*",I5141,"/",K5141,"чел.")</f>
        <v>250 ед.*0,00084333/45чел.</v>
      </c>
      <c r="N5141" s="164">
        <f>N3461</f>
        <v>15000</v>
      </c>
      <c r="O5141" s="165">
        <f t="shared" si="1349"/>
        <v>70.277549999999991</v>
      </c>
      <c r="P5141" s="166"/>
      <c r="Q5141" s="166">
        <f t="shared" si="1347"/>
        <v>3162.4897499999997</v>
      </c>
      <c r="R5141" s="71"/>
    </row>
    <row r="5142" spans="1:18" s="61" customFormat="1" x14ac:dyDescent="0.25">
      <c r="A5142" s="358"/>
      <c r="B5142" s="361"/>
      <c r="C5142" s="366"/>
      <c r="D5142" s="156" t="s">
        <v>27</v>
      </c>
      <c r="E5142" s="156" t="s">
        <v>28</v>
      </c>
      <c r="F5142" s="156" t="s">
        <v>28</v>
      </c>
      <c r="G5142" s="238">
        <f>MROUND(H5142*L5142*I5142/K5142,0.000000001)</f>
        <v>6.8122322999999999E-2</v>
      </c>
      <c r="H5142" s="160">
        <f>H3462</f>
        <v>3635</v>
      </c>
      <c r="I5142" s="159">
        <f t="shared" si="1333"/>
        <v>8.4332999999999999E-4</v>
      </c>
      <c r="J5142" s="160"/>
      <c r="K5142" s="161">
        <f>K5141</f>
        <v>45</v>
      </c>
      <c r="L5142" s="250">
        <v>1</v>
      </c>
      <c r="M5142" s="163" t="str">
        <f>CONCATENATE(H5142," ",F5142,"*",I5142,"/",K5142,"чел.")</f>
        <v>3635 шт*0,00084333/45чел.</v>
      </c>
      <c r="N5142" s="164">
        <f>N3462</f>
        <v>418.4</v>
      </c>
      <c r="O5142" s="165">
        <f t="shared" si="1349"/>
        <v>28.502379999999999</v>
      </c>
      <c r="P5142" s="166"/>
      <c r="Q5142" s="166">
        <f t="shared" si="1347"/>
        <v>1282.6070999999999</v>
      </c>
      <c r="R5142" s="71"/>
    </row>
    <row r="5143" spans="1:18" s="61" customFormat="1" ht="31.5" x14ac:dyDescent="0.25">
      <c r="A5143" s="358"/>
      <c r="B5143" s="361"/>
      <c r="C5143" s="367"/>
      <c r="D5143" s="156" t="s">
        <v>104</v>
      </c>
      <c r="E5143" s="156" t="s">
        <v>105</v>
      </c>
      <c r="F5143" s="156" t="s">
        <v>226</v>
      </c>
      <c r="G5143" s="238">
        <f>MROUND(H5143*L5143*I5143/K5143,0.00000001)</f>
        <v>6.7465999999999999E-4</v>
      </c>
      <c r="H5143" s="160">
        <f>H4063</f>
        <v>36</v>
      </c>
      <c r="I5143" s="159">
        <f t="shared" si="1333"/>
        <v>8.4332999999999999E-4</v>
      </c>
      <c r="J5143" s="160"/>
      <c r="K5143" s="161">
        <f>K5142</f>
        <v>45</v>
      </c>
      <c r="L5143" s="250">
        <v>1</v>
      </c>
      <c r="M5143" s="163" t="str">
        <f>CONCATENATE(H5143," ",F5143,"*",I5143,"/",K5143,"чел.")</f>
        <v>36 отключений*0,00084333/45чел.</v>
      </c>
      <c r="N5143" s="164">
        <f>N3463</f>
        <v>10261.260000000004</v>
      </c>
      <c r="O5143" s="165">
        <f t="shared" si="1349"/>
        <v>6.9228619999999994</v>
      </c>
      <c r="P5143" s="166"/>
      <c r="Q5143" s="166">
        <f t="shared" si="1347"/>
        <v>311.52878999999996</v>
      </c>
      <c r="R5143" s="71"/>
    </row>
    <row r="5144" spans="1:18" s="62" customFormat="1" x14ac:dyDescent="0.25">
      <c r="A5144" s="358"/>
      <c r="B5144" s="361"/>
      <c r="C5144" s="249" t="s">
        <v>292</v>
      </c>
      <c r="D5144" s="240"/>
      <c r="E5144" s="240"/>
      <c r="F5144" s="240"/>
      <c r="G5144" s="227"/>
      <c r="H5144" s="228"/>
      <c r="I5144" s="206"/>
      <c r="J5144" s="228"/>
      <c r="K5144" s="207"/>
      <c r="L5144" s="257"/>
      <c r="M5144" s="209"/>
      <c r="N5144" s="210"/>
      <c r="O5144" s="198">
        <f>SUM(O5128:O5143)</f>
        <v>242.23092087999999</v>
      </c>
      <c r="P5144" s="267"/>
      <c r="Q5144" s="166"/>
      <c r="R5144" s="71"/>
    </row>
    <row r="5145" spans="1:18" s="61" customFormat="1" ht="31.5" x14ac:dyDescent="0.25">
      <c r="A5145" s="358"/>
      <c r="B5145" s="361"/>
      <c r="C5145" s="221" t="s">
        <v>79</v>
      </c>
      <c r="D5145" s="156" t="s">
        <v>37</v>
      </c>
      <c r="E5145" s="156" t="s">
        <v>61</v>
      </c>
      <c r="F5145" s="156" t="s">
        <v>227</v>
      </c>
      <c r="G5145" s="238">
        <f>MROUND(H5145*L5145*I5145/K5145,0.000000001)</f>
        <v>7.4963000000000007E-5</v>
      </c>
      <c r="H5145" s="158">
        <f>H3465</f>
        <v>4</v>
      </c>
      <c r="I5145" s="159">
        <f>I5143</f>
        <v>8.4332999999999999E-4</v>
      </c>
      <c r="J5145" s="160"/>
      <c r="K5145" s="161">
        <f>K5143</f>
        <v>45</v>
      </c>
      <c r="L5145" s="250">
        <v>1</v>
      </c>
      <c r="M5145" s="163" t="str">
        <f>CONCATENATE(H5145," ",F5145,"*",I5145,"/",K5145,"чел.")</f>
        <v>4 автобуса*0,00084333/45чел.</v>
      </c>
      <c r="N5145" s="164">
        <f>N3465</f>
        <v>36442.65</v>
      </c>
      <c r="O5145" s="165">
        <f>MROUND(G5145*N5145,0.000001)</f>
        <v>2.7318499999999997</v>
      </c>
      <c r="P5145" s="166"/>
      <c r="Q5145" s="166">
        <f t="shared" ref="Q5145" si="1350">O5145*K5145</f>
        <v>122.93324999999999</v>
      </c>
      <c r="R5145" s="71"/>
    </row>
    <row r="5146" spans="1:18" s="62" customFormat="1" x14ac:dyDescent="0.25">
      <c r="A5146" s="358"/>
      <c r="B5146" s="361"/>
      <c r="C5146" s="218" t="s">
        <v>295</v>
      </c>
      <c r="D5146" s="240"/>
      <c r="E5146" s="240"/>
      <c r="F5146" s="240"/>
      <c r="G5146" s="227"/>
      <c r="H5146" s="241"/>
      <c r="I5146" s="206"/>
      <c r="J5146" s="228"/>
      <c r="K5146" s="207"/>
      <c r="L5146" s="257"/>
      <c r="M5146" s="209"/>
      <c r="N5146" s="210"/>
      <c r="O5146" s="198">
        <f>SUM(O5145)</f>
        <v>2.7318499999999997</v>
      </c>
      <c r="P5146" s="267"/>
      <c r="Q5146" s="166"/>
      <c r="R5146" s="71"/>
    </row>
    <row r="5147" spans="1:18" s="61" customFormat="1" x14ac:dyDescent="0.25">
      <c r="A5147" s="358"/>
      <c r="B5147" s="361"/>
      <c r="C5147" s="364" t="s">
        <v>80</v>
      </c>
      <c r="D5147" s="156" t="s">
        <v>38</v>
      </c>
      <c r="E5147" s="156" t="s">
        <v>57</v>
      </c>
      <c r="F5147" s="156" t="s">
        <v>228</v>
      </c>
      <c r="G5147" s="238">
        <f>MROUND(H5147*L5147*I5147/K5147,0.0000000001)</f>
        <v>8.0959680000000003E-3</v>
      </c>
      <c r="H5147" s="158">
        <f>H3467</f>
        <v>36</v>
      </c>
      <c r="I5147" s="159">
        <f>I5145</f>
        <v>8.4332999999999999E-4</v>
      </c>
      <c r="J5147" s="160"/>
      <c r="K5147" s="161">
        <f>K5145</f>
        <v>45</v>
      </c>
      <c r="L5147" s="250">
        <v>12</v>
      </c>
      <c r="M5147" s="163" t="str">
        <f>CONCATENATE(H5147," ",F5147,"*",L5147,"мес.","*",I5147,"/",K5147,"чел.")</f>
        <v>36 зданий*12мес.*0,00084333/45чел.</v>
      </c>
      <c r="N5147" s="164">
        <f t="shared" ref="N5147:N5155" si="1351">N3467</f>
        <v>4910.5833101851858</v>
      </c>
      <c r="O5147" s="165">
        <f>MROUND(G5147*N5147,0.000001)</f>
        <v>39.755924999999998</v>
      </c>
      <c r="P5147" s="166"/>
      <c r="Q5147" s="166">
        <f t="shared" ref="Q5147:Q5160" si="1352">O5147*K5147</f>
        <v>1789.016625</v>
      </c>
      <c r="R5147" s="71"/>
    </row>
    <row r="5148" spans="1:18" s="61" customFormat="1" ht="47.25" x14ac:dyDescent="0.25">
      <c r="A5148" s="358"/>
      <c r="B5148" s="361"/>
      <c r="C5148" s="364"/>
      <c r="D5148" s="156" t="s">
        <v>229</v>
      </c>
      <c r="E5148" s="156" t="s">
        <v>60</v>
      </c>
      <c r="F5148" s="156" t="s">
        <v>60</v>
      </c>
      <c r="G5148" s="238">
        <f>MROUND(H5148*L5148*I5148/K5148,0.000001)</f>
        <v>4.4864999999999995E-2</v>
      </c>
      <c r="H5148" s="158">
        <f>H3708</f>
        <v>2394</v>
      </c>
      <c r="I5148" s="159">
        <f>I5147</f>
        <v>8.4332999999999999E-4</v>
      </c>
      <c r="J5148" s="160"/>
      <c r="K5148" s="161">
        <f>K5147</f>
        <v>45</v>
      </c>
      <c r="L5148" s="250">
        <v>1</v>
      </c>
      <c r="M5148" s="163" t="str">
        <f t="shared" ref="M5148:M5155" si="1353">CONCATENATE(H5148," ",F5148,"*",I5148,"/",K5148,"чел.")</f>
        <v>2394 шт.*0,00084333/45чел.</v>
      </c>
      <c r="N5148" s="164">
        <f t="shared" si="1351"/>
        <v>171.02101921470341</v>
      </c>
      <c r="O5148" s="165">
        <f>MROUND(G5148*N5148,0.000001)</f>
        <v>7.6728579999999997</v>
      </c>
      <c r="P5148" s="166"/>
      <c r="Q5148" s="166">
        <f t="shared" si="1352"/>
        <v>345.27861000000001</v>
      </c>
      <c r="R5148" s="71"/>
    </row>
    <row r="5149" spans="1:18" s="61" customFormat="1" ht="47.25" x14ac:dyDescent="0.25">
      <c r="A5149" s="358"/>
      <c r="B5149" s="361"/>
      <c r="C5149" s="364"/>
      <c r="D5149" s="156" t="s">
        <v>405</v>
      </c>
      <c r="E5149" s="156" t="s">
        <v>60</v>
      </c>
      <c r="F5149" s="156" t="s">
        <v>406</v>
      </c>
      <c r="G5149" s="238">
        <f>MROUND(H5149*L5149*I5149/K5149,0.00000001)</f>
        <v>6.7465999999999999E-4</v>
      </c>
      <c r="H5149" s="158">
        <f>H3589</f>
        <v>36</v>
      </c>
      <c r="I5149" s="159">
        <f>I5148</f>
        <v>8.4332999999999999E-4</v>
      </c>
      <c r="J5149" s="160"/>
      <c r="K5149" s="161">
        <f>K5148</f>
        <v>45</v>
      </c>
      <c r="L5149" s="250">
        <v>1</v>
      </c>
      <c r="M5149" s="163" t="str">
        <f t="shared" si="1353"/>
        <v>36 лицензий*0,00084333/45чел.</v>
      </c>
      <c r="N5149" s="164">
        <f t="shared" si="1351"/>
        <v>12541.539999999994</v>
      </c>
      <c r="O5149" s="165">
        <f t="shared" ref="O5149:O5158" si="1354">MROUND(G5149*N5149,0.000001)</f>
        <v>8.4612749999999988</v>
      </c>
      <c r="P5149" s="166"/>
      <c r="Q5149" s="166">
        <f t="shared" si="1352"/>
        <v>380.75737499999997</v>
      </c>
      <c r="R5149" s="71"/>
    </row>
    <row r="5150" spans="1:18" s="61" customFormat="1" ht="63" x14ac:dyDescent="0.25">
      <c r="A5150" s="358"/>
      <c r="B5150" s="361"/>
      <c r="C5150" s="364"/>
      <c r="D5150" s="156" t="s">
        <v>39</v>
      </c>
      <c r="E5150" s="156" t="s">
        <v>20</v>
      </c>
      <c r="F5150" s="156" t="s">
        <v>234</v>
      </c>
      <c r="G5150" s="238">
        <f>MROUND(H5150*L5150*I5150/K5150,0.000000001)</f>
        <v>2.2113990000000002E-3</v>
      </c>
      <c r="H5150" s="158">
        <f>H4670</f>
        <v>118</v>
      </c>
      <c r="I5150" s="159">
        <f>I5148</f>
        <v>8.4332999999999999E-4</v>
      </c>
      <c r="J5150" s="160"/>
      <c r="K5150" s="161">
        <f>K5148</f>
        <v>45</v>
      </c>
      <c r="L5150" s="250">
        <v>1</v>
      </c>
      <c r="M5150" s="163" t="str">
        <f t="shared" si="1353"/>
        <v>118 чел(заявленная потребность руководителями учреждений)*0,00084333/45чел.</v>
      </c>
      <c r="N5150" s="164">
        <f t="shared" si="1351"/>
        <v>798.09796610169519</v>
      </c>
      <c r="O5150" s="165">
        <f t="shared" si="1354"/>
        <v>1.764913</v>
      </c>
      <c r="P5150" s="166"/>
      <c r="Q5150" s="166">
        <f t="shared" si="1352"/>
        <v>79.421085000000005</v>
      </c>
      <c r="R5150" s="71"/>
    </row>
    <row r="5151" spans="1:18" s="61" customFormat="1" ht="63" x14ac:dyDescent="0.25">
      <c r="A5151" s="358"/>
      <c r="B5151" s="361"/>
      <c r="C5151" s="364"/>
      <c r="D5151" s="156" t="s">
        <v>40</v>
      </c>
      <c r="E5151" s="156" t="s">
        <v>20</v>
      </c>
      <c r="F5151" s="156" t="s">
        <v>234</v>
      </c>
      <c r="G5151" s="238">
        <f>MROUND(H5151*L5151*I5151/K5151,0.000000001)</f>
        <v>1.7991040000000002E-3</v>
      </c>
      <c r="H5151" s="158">
        <f>H4671</f>
        <v>96</v>
      </c>
      <c r="I5151" s="159">
        <f t="shared" ref="I5151:I5158" si="1355">I5150</f>
        <v>8.4332999999999999E-4</v>
      </c>
      <c r="J5151" s="160"/>
      <c r="K5151" s="161">
        <f t="shared" ref="K5151:K5158" si="1356">K5150</f>
        <v>45</v>
      </c>
      <c r="L5151" s="250">
        <v>1</v>
      </c>
      <c r="M5151" s="163" t="str">
        <f t="shared" si="1353"/>
        <v>96 чел(заявленная потребность руководителями учреждений)*0,00084333/45чел.</v>
      </c>
      <c r="N5151" s="164">
        <f t="shared" si="1351"/>
        <v>1710.2100000000007</v>
      </c>
      <c r="O5151" s="165">
        <f t="shared" si="1354"/>
        <v>3.0768459999999997</v>
      </c>
      <c r="P5151" s="166"/>
      <c r="Q5151" s="166">
        <f t="shared" si="1352"/>
        <v>138.45806999999999</v>
      </c>
      <c r="R5151" s="71"/>
    </row>
    <row r="5152" spans="1:18" s="61" customFormat="1" ht="63" x14ac:dyDescent="0.25">
      <c r="A5152" s="358"/>
      <c r="B5152" s="361"/>
      <c r="C5152" s="364"/>
      <c r="D5152" s="156" t="s">
        <v>100</v>
      </c>
      <c r="E5152" s="156" t="s">
        <v>20</v>
      </c>
      <c r="F5152" s="156" t="s">
        <v>234</v>
      </c>
      <c r="G5152" s="238">
        <f>MROUND(H5152*L5152*I5152/K5152,0.0000000001)</f>
        <v>1.5179940000000002E-3</v>
      </c>
      <c r="H5152" s="158">
        <f>H4672</f>
        <v>81</v>
      </c>
      <c r="I5152" s="159">
        <f t="shared" si="1355"/>
        <v>8.4332999999999999E-4</v>
      </c>
      <c r="J5152" s="160"/>
      <c r="K5152" s="161">
        <f t="shared" si="1356"/>
        <v>45</v>
      </c>
      <c r="L5152" s="250">
        <v>1</v>
      </c>
      <c r="M5152" s="163" t="str">
        <f t="shared" si="1353"/>
        <v>81 чел(заявленная потребность руководителями учреждений)*0,00084333/45чел.</v>
      </c>
      <c r="N5152" s="164">
        <f t="shared" si="1351"/>
        <v>3648.448148148148</v>
      </c>
      <c r="O5152" s="165">
        <f t="shared" si="1354"/>
        <v>5.538322</v>
      </c>
      <c r="P5152" s="166"/>
      <c r="Q5152" s="166">
        <f t="shared" si="1352"/>
        <v>249.22449</v>
      </c>
      <c r="R5152" s="71"/>
    </row>
    <row r="5153" spans="1:18" s="61" customFormat="1" ht="110.25" x14ac:dyDescent="0.25">
      <c r="A5153" s="358"/>
      <c r="B5153" s="361"/>
      <c r="C5153" s="364"/>
      <c r="D5153" s="156" t="s">
        <v>235</v>
      </c>
      <c r="E5153" s="156" t="s">
        <v>50</v>
      </c>
      <c r="F5153" s="156" t="s">
        <v>230</v>
      </c>
      <c r="G5153" s="238">
        <f>MROUND(H5153*L5153*I5153/K5153,0.00000001)</f>
        <v>6.7465999999999999E-4</v>
      </c>
      <c r="H5153" s="158">
        <f>H4913</f>
        <v>36</v>
      </c>
      <c r="I5153" s="159">
        <f t="shared" si="1355"/>
        <v>8.4332999999999999E-4</v>
      </c>
      <c r="J5153" s="160"/>
      <c r="K5153" s="161">
        <f t="shared" si="1356"/>
        <v>45</v>
      </c>
      <c r="L5153" s="250">
        <v>1</v>
      </c>
      <c r="M5153" s="163" t="str">
        <f t="shared" si="1353"/>
        <v>36 отчетов*0,00084333/45чел.</v>
      </c>
      <c r="N5153" s="164">
        <f t="shared" si="1351"/>
        <v>6840.8399999999974</v>
      </c>
      <c r="O5153" s="165">
        <f t="shared" si="1354"/>
        <v>4.6152410000000001</v>
      </c>
      <c r="P5153" s="166"/>
      <c r="Q5153" s="166">
        <f t="shared" si="1352"/>
        <v>207.685845</v>
      </c>
      <c r="R5153" s="71"/>
    </row>
    <row r="5154" spans="1:18" s="61" customFormat="1" ht="63" x14ac:dyDescent="0.25">
      <c r="A5154" s="358"/>
      <c r="B5154" s="361"/>
      <c r="C5154" s="364"/>
      <c r="D5154" s="156" t="s">
        <v>42</v>
      </c>
      <c r="E5154" s="156" t="s">
        <v>51</v>
      </c>
      <c r="F5154" s="156" t="s">
        <v>407</v>
      </c>
      <c r="G5154" s="238">
        <f>MROUND(H5154*L5154*I5154/K5154,0.000001)</f>
        <v>3.823E-3</v>
      </c>
      <c r="H5154" s="158">
        <f>H4674</f>
        <v>204</v>
      </c>
      <c r="I5154" s="159">
        <f t="shared" si="1355"/>
        <v>8.4332999999999999E-4</v>
      </c>
      <c r="J5154" s="160"/>
      <c r="K5154" s="161">
        <f t="shared" si="1356"/>
        <v>45</v>
      </c>
      <c r="L5154" s="250">
        <v>1</v>
      </c>
      <c r="M5154" s="163" t="str">
        <f t="shared" si="1353"/>
        <v>204 ед (заявленная потребность руководителями учреждений)*0,00084333/45чел.</v>
      </c>
      <c r="N5154" s="164">
        <f t="shared" si="1351"/>
        <v>1140.1400000000001</v>
      </c>
      <c r="O5154" s="165">
        <f t="shared" si="1354"/>
        <v>4.3587549999999995</v>
      </c>
      <c r="P5154" s="166"/>
      <c r="Q5154" s="166">
        <f t="shared" si="1352"/>
        <v>196.14397499999998</v>
      </c>
      <c r="R5154" s="71"/>
    </row>
    <row r="5155" spans="1:18" s="61" customFormat="1" ht="31.5" x14ac:dyDescent="0.25">
      <c r="A5155" s="358"/>
      <c r="B5155" s="361"/>
      <c r="C5155" s="364"/>
      <c r="D5155" s="156" t="s">
        <v>43</v>
      </c>
      <c r="E5155" s="156" t="s">
        <v>52</v>
      </c>
      <c r="F5155" s="156" t="s">
        <v>231</v>
      </c>
      <c r="G5155" s="238">
        <f>MROUND(H5155*L5155*I5155/K5155,0.000000001)</f>
        <v>6.7466400000000006E-4</v>
      </c>
      <c r="H5155" s="158">
        <f>H4075</f>
        <v>36</v>
      </c>
      <c r="I5155" s="159">
        <f t="shared" si="1355"/>
        <v>8.4332999999999999E-4</v>
      </c>
      <c r="J5155" s="160"/>
      <c r="K5155" s="161">
        <f t="shared" si="1356"/>
        <v>45</v>
      </c>
      <c r="L5155" s="250">
        <v>1</v>
      </c>
      <c r="M5155" s="163" t="str">
        <f t="shared" si="1353"/>
        <v>36 ЭЦП*0,00084333/45чел.</v>
      </c>
      <c r="N5155" s="164">
        <f t="shared" si="1351"/>
        <v>8099.5499999999947</v>
      </c>
      <c r="O5155" s="165">
        <f t="shared" si="1354"/>
        <v>5.4644750000000002</v>
      </c>
      <c r="P5155" s="166"/>
      <c r="Q5155" s="166">
        <f t="shared" si="1352"/>
        <v>245.901375</v>
      </c>
      <c r="R5155" s="71"/>
    </row>
    <row r="5156" spans="1:18" s="61" customFormat="1" ht="47.25" x14ac:dyDescent="0.25">
      <c r="A5156" s="358"/>
      <c r="B5156" s="361"/>
      <c r="C5156" s="364"/>
      <c r="D5156" s="156" t="s">
        <v>44</v>
      </c>
      <c r="E5156" s="156" t="s">
        <v>85</v>
      </c>
      <c r="F5156" s="156" t="s">
        <v>232</v>
      </c>
      <c r="G5156" s="238">
        <f>MROUND(H5156*L5156*I5156/K5156,0.000001)</f>
        <v>2.2789E-2</v>
      </c>
      <c r="H5156" s="158">
        <f>H4076</f>
        <v>1216</v>
      </c>
      <c r="I5156" s="159">
        <f t="shared" si="1355"/>
        <v>8.4332999999999999E-4</v>
      </c>
      <c r="J5156" s="160"/>
      <c r="K5156" s="161">
        <f t="shared" si="1356"/>
        <v>45</v>
      </c>
      <c r="L5156" s="250">
        <v>1</v>
      </c>
      <c r="M5156" s="163" t="str">
        <f>CONCATENATE(H5156," ",F5156,"*",L5156,"мес.","*",I5156,"/",K5156,"чел.")</f>
        <v>1216 мед.осмотров в мес.*1мес.*0,00084333/45чел.</v>
      </c>
      <c r="N5156" s="164">
        <f>N4076</f>
        <v>59.287277960526318</v>
      </c>
      <c r="O5156" s="165">
        <f t="shared" si="1354"/>
        <v>1.3510979999999999</v>
      </c>
      <c r="P5156" s="166"/>
      <c r="Q5156" s="166">
        <f t="shared" si="1352"/>
        <v>60.799409999999995</v>
      </c>
      <c r="R5156" s="71"/>
    </row>
    <row r="5157" spans="1:18" s="61" customFormat="1" ht="63" x14ac:dyDescent="0.25">
      <c r="A5157" s="358"/>
      <c r="B5157" s="361"/>
      <c r="C5157" s="364"/>
      <c r="D5157" s="156" t="s">
        <v>45</v>
      </c>
      <c r="E5157" s="156" t="s">
        <v>53</v>
      </c>
      <c r="F5157" s="156" t="s">
        <v>233</v>
      </c>
      <c r="G5157" s="238">
        <f>MROUND(H5157*L5157*I5157/K5157,0.000000001)</f>
        <v>8.9955200000000008E-4</v>
      </c>
      <c r="H5157" s="158">
        <f>H4677</f>
        <v>4</v>
      </c>
      <c r="I5157" s="159">
        <f t="shared" si="1355"/>
        <v>8.4332999999999999E-4</v>
      </c>
      <c r="J5157" s="160"/>
      <c r="K5157" s="161">
        <f t="shared" si="1356"/>
        <v>45</v>
      </c>
      <c r="L5157" s="250">
        <v>12</v>
      </c>
      <c r="M5157" s="163" t="str">
        <f>CONCATENATE(H5157," ",F5157,"*",L5157,"мес.","*",I5157,"/",K5157,"чел.")</f>
        <v>4  машины, оборудованных системой ГЛОНАСС*12мес.*0,00084333/45чел.</v>
      </c>
      <c r="N5157" s="164">
        <f>N3477</f>
        <v>921.23312500000009</v>
      </c>
      <c r="O5157" s="165">
        <f t="shared" si="1354"/>
        <v>0.82869700000000002</v>
      </c>
      <c r="P5157" s="166"/>
      <c r="Q5157" s="166">
        <f t="shared" si="1352"/>
        <v>37.291364999999999</v>
      </c>
      <c r="R5157" s="71"/>
    </row>
    <row r="5158" spans="1:18" s="61" customFormat="1" ht="31.5" x14ac:dyDescent="0.25">
      <c r="A5158" s="358"/>
      <c r="B5158" s="361"/>
      <c r="C5158" s="364"/>
      <c r="D5158" s="156" t="s">
        <v>408</v>
      </c>
      <c r="E5158" s="156" t="s">
        <v>20</v>
      </c>
      <c r="F5158" s="156" t="s">
        <v>20</v>
      </c>
      <c r="G5158" s="238">
        <f>MROUND(H5158*L5158*I5158/K5158,0.0000000001)</f>
        <v>3.18029113E-2</v>
      </c>
      <c r="H5158" s="158">
        <f>H3478</f>
        <v>1697</v>
      </c>
      <c r="I5158" s="159">
        <f t="shared" si="1355"/>
        <v>8.4332999999999999E-4</v>
      </c>
      <c r="J5158" s="160"/>
      <c r="K5158" s="161">
        <f t="shared" si="1356"/>
        <v>45</v>
      </c>
      <c r="L5158" s="250">
        <v>1</v>
      </c>
      <c r="M5158" s="163" t="str">
        <f>CONCATENATE(H5158," ",F5158,"*",L5158," раз в год","*",I5158,"/",K5158,"чел.")</f>
        <v>1697 чел.*1 раз в год*0,00084333/45чел.</v>
      </c>
      <c r="N5158" s="164">
        <f>N3478</f>
        <v>570.06999999999994</v>
      </c>
      <c r="O5158" s="165">
        <f t="shared" si="1354"/>
        <v>18.129885999999999</v>
      </c>
      <c r="P5158" s="166"/>
      <c r="Q5158" s="166">
        <f t="shared" si="1352"/>
        <v>815.8448699999999</v>
      </c>
      <c r="R5158" s="71"/>
    </row>
    <row r="5159" spans="1:18" s="61" customFormat="1" x14ac:dyDescent="0.25">
      <c r="A5159" s="358"/>
      <c r="B5159" s="361"/>
      <c r="C5159" s="364"/>
      <c r="D5159" s="156" t="s">
        <v>373</v>
      </c>
      <c r="E5159" s="156" t="s">
        <v>28</v>
      </c>
      <c r="F5159" s="156" t="s">
        <v>28</v>
      </c>
      <c r="G5159" s="157">
        <f>MROUND(H5159*L5159*I5159/K5159,0.000000001)</f>
        <v>6.7466400000000006E-4</v>
      </c>
      <c r="H5159" s="158">
        <f>H3480</f>
        <v>36</v>
      </c>
      <c r="I5159" s="159">
        <f>I5157</f>
        <v>8.4332999999999999E-4</v>
      </c>
      <c r="J5159" s="160"/>
      <c r="K5159" s="161">
        <f>K5157</f>
        <v>45</v>
      </c>
      <c r="L5159" s="162">
        <v>1</v>
      </c>
      <c r="M5159" s="163" t="str">
        <f>CONCATENATE(H5159," ",F5159,"*",L5159,"мес.","*",I5159,"/",K5159,"чел.")</f>
        <v>36 шт*1мес.*0,00084333/45чел.</v>
      </c>
      <c r="N5159" s="164">
        <f>N3480</f>
        <v>24000</v>
      </c>
      <c r="O5159" s="165">
        <f>MROUND(G5159*N5159,0.000000001)</f>
        <v>16.191936000000002</v>
      </c>
      <c r="P5159" s="166"/>
      <c r="Q5159" s="166">
        <f t="shared" si="1352"/>
        <v>728.6371200000001</v>
      </c>
      <c r="R5159" s="71"/>
    </row>
    <row r="5160" spans="1:18" s="61" customFormat="1" ht="31.5" x14ac:dyDescent="0.25">
      <c r="A5160" s="358"/>
      <c r="B5160" s="361"/>
      <c r="C5160" s="364"/>
      <c r="D5160" s="156" t="s">
        <v>106</v>
      </c>
      <c r="E5160" s="156" t="s">
        <v>107</v>
      </c>
      <c r="F5160" s="156"/>
      <c r="G5160" s="238">
        <f>MROUND(H5160*L5160*I5160/K5160,0.000000001)</f>
        <v>0</v>
      </c>
      <c r="H5160" s="158">
        <f>H3479</f>
        <v>0</v>
      </c>
      <c r="I5160" s="159">
        <f>I5157</f>
        <v>8.4332999999999999E-4</v>
      </c>
      <c r="J5160" s="160"/>
      <c r="K5160" s="161">
        <f>K5157</f>
        <v>45</v>
      </c>
      <c r="L5160" s="250">
        <f>L3840</f>
        <v>0</v>
      </c>
      <c r="M5160" s="163"/>
      <c r="N5160" s="164">
        <f>N3479</f>
        <v>6.0000000000000002E-5</v>
      </c>
      <c r="O5160" s="165">
        <f>MROUND(G5160*N5160,0.000000001)</f>
        <v>0</v>
      </c>
      <c r="P5160" s="166"/>
      <c r="Q5160" s="166">
        <f t="shared" si="1352"/>
        <v>0</v>
      </c>
      <c r="R5160" s="71"/>
    </row>
    <row r="5161" spans="1:18" s="62" customFormat="1" x14ac:dyDescent="0.25">
      <c r="A5161" s="358"/>
      <c r="B5161" s="361"/>
      <c r="C5161" s="245" t="s">
        <v>296</v>
      </c>
      <c r="D5161" s="240"/>
      <c r="E5161" s="240"/>
      <c r="F5161" s="240"/>
      <c r="G5161" s="227"/>
      <c r="H5161" s="241"/>
      <c r="I5161" s="206"/>
      <c r="J5161" s="228"/>
      <c r="K5161" s="207"/>
      <c r="L5161" s="257"/>
      <c r="M5161" s="209"/>
      <c r="N5161" s="210"/>
      <c r="O5161" s="198">
        <f>SUM(O5147:O5160)</f>
        <v>117.21022699999999</v>
      </c>
      <c r="P5161" s="267"/>
      <c r="Q5161" s="166"/>
      <c r="R5161" s="71"/>
    </row>
    <row r="5162" spans="1:18" s="61" customFormat="1" ht="31.5" x14ac:dyDescent="0.25">
      <c r="A5162" s="358"/>
      <c r="B5162" s="361"/>
      <c r="C5162" s="252" t="s">
        <v>237</v>
      </c>
      <c r="D5162" s="156" t="s">
        <v>41</v>
      </c>
      <c r="E5162" s="156" t="s">
        <v>61</v>
      </c>
      <c r="F5162" s="156" t="s">
        <v>227</v>
      </c>
      <c r="G5162" s="238">
        <f>MROUND(H5162*L5162*I5162/K5162,0.000000001)</f>
        <v>7.4963000000000007E-5</v>
      </c>
      <c r="H5162" s="158">
        <f>H4082</f>
        <v>4</v>
      </c>
      <c r="I5162" s="159">
        <f>I5160</f>
        <v>8.4332999999999999E-4</v>
      </c>
      <c r="J5162" s="160"/>
      <c r="K5162" s="161">
        <f>K5160</f>
        <v>45</v>
      </c>
      <c r="L5162" s="250">
        <v>1</v>
      </c>
      <c r="M5162" s="163" t="str">
        <f>CONCATENATE(H5162," ",F5162,"*",I5162,"/",K5162,"чел.")</f>
        <v>4 автобуса*0,00084333/45чел.</v>
      </c>
      <c r="N5162" s="164">
        <f>N3482</f>
        <v>26907.305</v>
      </c>
      <c r="O5162" s="165">
        <f>MROUND(G5162*N5162,0.000001)</f>
        <v>2.0170520000000001</v>
      </c>
      <c r="P5162" s="166"/>
      <c r="Q5162" s="166">
        <f t="shared" ref="Q5162" si="1357">O5162*K5162</f>
        <v>90.767340000000004</v>
      </c>
      <c r="R5162" s="71"/>
    </row>
    <row r="5163" spans="1:18" s="62" customFormat="1" x14ac:dyDescent="0.25">
      <c r="A5163" s="358"/>
      <c r="B5163" s="361"/>
      <c r="C5163" s="245" t="s">
        <v>297</v>
      </c>
      <c r="D5163" s="240"/>
      <c r="E5163" s="240"/>
      <c r="F5163" s="240"/>
      <c r="G5163" s="227"/>
      <c r="H5163" s="241"/>
      <c r="I5163" s="206"/>
      <c r="J5163" s="228"/>
      <c r="K5163" s="207"/>
      <c r="L5163" s="257"/>
      <c r="M5163" s="209"/>
      <c r="N5163" s="210"/>
      <c r="O5163" s="198">
        <f>SUM(O5162)</f>
        <v>2.0170520000000001</v>
      </c>
      <c r="P5163" s="267"/>
      <c r="Q5163" s="166"/>
      <c r="R5163" s="71"/>
    </row>
    <row r="5164" spans="1:18" s="61" customFormat="1" ht="78.75" x14ac:dyDescent="0.25">
      <c r="A5164" s="358"/>
      <c r="B5164" s="361"/>
      <c r="C5164" s="221" t="s">
        <v>236</v>
      </c>
      <c r="D5164" s="156" t="s">
        <v>19</v>
      </c>
      <c r="E5164" s="181" t="s">
        <v>20</v>
      </c>
      <c r="F5164" s="181" t="s">
        <v>238</v>
      </c>
      <c r="G5164" s="238">
        <f>MROUND(H5164*L5164*I5164/K5164,0.000001)</f>
        <v>0</v>
      </c>
      <c r="H5164" s="158"/>
      <c r="I5164" s="159">
        <f>I5160</f>
        <v>8.4332999999999999E-4</v>
      </c>
      <c r="J5164" s="160"/>
      <c r="K5164" s="161">
        <f>K5160</f>
        <v>45</v>
      </c>
      <c r="L5164" s="250"/>
      <c r="M5164" s="163"/>
      <c r="N5164" s="164"/>
      <c r="O5164" s="165">
        <f>MROUND(G5164*N5164,0.000001)</f>
        <v>0</v>
      </c>
      <c r="P5164" s="166"/>
      <c r="Q5164" s="166">
        <f t="shared" ref="Q5164" si="1358">O5164*K5164</f>
        <v>0</v>
      </c>
      <c r="R5164" s="71"/>
    </row>
    <row r="5165" spans="1:18" s="62" customFormat="1" x14ac:dyDescent="0.25">
      <c r="A5165" s="358"/>
      <c r="B5165" s="361"/>
      <c r="C5165" s="245" t="s">
        <v>298</v>
      </c>
      <c r="D5165" s="240"/>
      <c r="E5165" s="253"/>
      <c r="F5165" s="253"/>
      <c r="G5165" s="227"/>
      <c r="H5165" s="241"/>
      <c r="I5165" s="206"/>
      <c r="J5165" s="228"/>
      <c r="K5165" s="207"/>
      <c r="L5165" s="257"/>
      <c r="M5165" s="209"/>
      <c r="N5165" s="210"/>
      <c r="O5165" s="198">
        <f>SUM(O5164)</f>
        <v>0</v>
      </c>
      <c r="P5165" s="267"/>
      <c r="Q5165" s="166"/>
      <c r="R5165" s="71"/>
    </row>
    <row r="5166" spans="1:18" s="61" customFormat="1" ht="30" x14ac:dyDescent="0.25">
      <c r="A5166" s="358"/>
      <c r="B5166" s="361"/>
      <c r="C5166" s="365" t="s">
        <v>81</v>
      </c>
      <c r="D5166" s="254" t="s">
        <v>410</v>
      </c>
      <c r="E5166" s="156" t="s">
        <v>28</v>
      </c>
      <c r="F5166" s="156" t="s">
        <v>28</v>
      </c>
      <c r="G5166" s="238">
        <f>MROUND(H5166*L5166*I5166/K5166,0.0000000001)</f>
        <v>0</v>
      </c>
      <c r="H5166" s="158"/>
      <c r="I5166" s="159">
        <f>I5160</f>
        <v>8.4332999999999999E-4</v>
      </c>
      <c r="J5166" s="160"/>
      <c r="K5166" s="161">
        <f>K5160</f>
        <v>45</v>
      </c>
      <c r="L5166" s="250">
        <v>1</v>
      </c>
      <c r="M5166" s="163"/>
      <c r="N5166" s="164"/>
      <c r="O5166" s="165">
        <f>MROUND(G5166*N5166,0.000001)</f>
        <v>0</v>
      </c>
      <c r="P5166" s="166"/>
      <c r="Q5166" s="166">
        <f t="shared" ref="Q5166:Q5189" si="1359">O5166*K5166</f>
        <v>0</v>
      </c>
      <c r="R5166" s="71"/>
    </row>
    <row r="5167" spans="1:18" s="61" customFormat="1" x14ac:dyDescent="0.25">
      <c r="A5167" s="358"/>
      <c r="B5167" s="361"/>
      <c r="C5167" s="366"/>
      <c r="D5167" s="254" t="s">
        <v>325</v>
      </c>
      <c r="E5167" s="156" t="s">
        <v>28</v>
      </c>
      <c r="F5167" s="156" t="s">
        <v>28</v>
      </c>
      <c r="G5167" s="157">
        <f>MROUND(H5167*L5167*I5167/K5167,0.0000000001)</f>
        <v>0</v>
      </c>
      <c r="H5167" s="158"/>
      <c r="I5167" s="159">
        <f>I5166</f>
        <v>8.4332999999999999E-4</v>
      </c>
      <c r="J5167" s="160"/>
      <c r="K5167" s="161">
        <f>K5166</f>
        <v>45</v>
      </c>
      <c r="L5167" s="250">
        <v>1</v>
      </c>
      <c r="M5167" s="163"/>
      <c r="N5167" s="164"/>
      <c r="O5167" s="165">
        <f>MROUND(G5167*N5167,0.000001)</f>
        <v>0</v>
      </c>
      <c r="P5167" s="166"/>
      <c r="Q5167" s="166">
        <f t="shared" si="1359"/>
        <v>0</v>
      </c>
      <c r="R5167" s="71"/>
    </row>
    <row r="5168" spans="1:18" s="61" customFormat="1" ht="30" x14ac:dyDescent="0.25">
      <c r="A5168" s="358"/>
      <c r="B5168" s="361"/>
      <c r="C5168" s="366"/>
      <c r="D5168" s="254" t="s">
        <v>411</v>
      </c>
      <c r="E5168" s="156" t="s">
        <v>28</v>
      </c>
      <c r="F5168" s="156" t="s">
        <v>28</v>
      </c>
      <c r="G5168" s="238">
        <f>MROUND(H5168*L5168*I5168/K5168,0.00000001)</f>
        <v>0</v>
      </c>
      <c r="H5168" s="158"/>
      <c r="I5168" s="159">
        <f>I5166</f>
        <v>8.4332999999999999E-4</v>
      </c>
      <c r="J5168" s="160"/>
      <c r="K5168" s="161">
        <f>K5166</f>
        <v>45</v>
      </c>
      <c r="L5168" s="250">
        <v>1</v>
      </c>
      <c r="M5168" s="163"/>
      <c r="N5168" s="164"/>
      <c r="O5168" s="165">
        <f t="shared" ref="O5168:O5189" si="1360">MROUND(G5168*N5168,0.000001)</f>
        <v>0</v>
      </c>
      <c r="P5168" s="166"/>
      <c r="Q5168" s="166">
        <f t="shared" si="1359"/>
        <v>0</v>
      </c>
      <c r="R5168" s="71"/>
    </row>
    <row r="5169" spans="1:18" s="61" customFormat="1" x14ac:dyDescent="0.25">
      <c r="A5169" s="358"/>
      <c r="B5169" s="361"/>
      <c r="C5169" s="366"/>
      <c r="D5169" s="255" t="s">
        <v>412</v>
      </c>
      <c r="E5169" s="156" t="s">
        <v>28</v>
      </c>
      <c r="F5169" s="156" t="s">
        <v>28</v>
      </c>
      <c r="G5169" s="238">
        <f>MROUND(H5169*L5169*I5169/K5169,0.00000001)</f>
        <v>0</v>
      </c>
      <c r="H5169" s="158"/>
      <c r="I5169" s="159">
        <f>I5168</f>
        <v>8.4332999999999999E-4</v>
      </c>
      <c r="J5169" s="160"/>
      <c r="K5169" s="161">
        <f>K5168</f>
        <v>45</v>
      </c>
      <c r="L5169" s="250">
        <v>1</v>
      </c>
      <c r="M5169" s="163"/>
      <c r="N5169" s="164"/>
      <c r="O5169" s="165">
        <f t="shared" si="1360"/>
        <v>0</v>
      </c>
      <c r="P5169" s="166"/>
      <c r="Q5169" s="166">
        <f t="shared" si="1359"/>
        <v>0</v>
      </c>
      <c r="R5169" s="71"/>
    </row>
    <row r="5170" spans="1:18" s="61" customFormat="1" ht="31.5" x14ac:dyDescent="0.25">
      <c r="A5170" s="358"/>
      <c r="B5170" s="361"/>
      <c r="C5170" s="366"/>
      <c r="D5170" s="255" t="s">
        <v>413</v>
      </c>
      <c r="E5170" s="156" t="s">
        <v>28</v>
      </c>
      <c r="F5170" s="156" t="s">
        <v>28</v>
      </c>
      <c r="G5170" s="238">
        <f>MROUND(H5170*L5170*I5170/K5170,0.0000000001)</f>
        <v>0</v>
      </c>
      <c r="H5170" s="158"/>
      <c r="I5170" s="159">
        <f>I5169</f>
        <v>8.4332999999999999E-4</v>
      </c>
      <c r="J5170" s="160"/>
      <c r="K5170" s="161">
        <f>K5169</f>
        <v>45</v>
      </c>
      <c r="L5170" s="250">
        <v>1</v>
      </c>
      <c r="M5170" s="163"/>
      <c r="N5170" s="164"/>
      <c r="O5170" s="165">
        <f t="shared" si="1360"/>
        <v>0</v>
      </c>
      <c r="P5170" s="166"/>
      <c r="Q5170" s="166">
        <f t="shared" si="1359"/>
        <v>0</v>
      </c>
      <c r="R5170" s="71"/>
    </row>
    <row r="5171" spans="1:18" s="61" customFormat="1" x14ac:dyDescent="0.25">
      <c r="A5171" s="358"/>
      <c r="B5171" s="361"/>
      <c r="C5171" s="366"/>
      <c r="D5171" s="254" t="s">
        <v>109</v>
      </c>
      <c r="E5171" s="156" t="s">
        <v>28</v>
      </c>
      <c r="F5171" s="156" t="s">
        <v>28</v>
      </c>
      <c r="G5171" s="238">
        <f>MROUND(H5171*L5171*I5171/K5171,0.0000000001)</f>
        <v>0</v>
      </c>
      <c r="H5171" s="158"/>
      <c r="I5171" s="159">
        <f>I5170</f>
        <v>8.4332999999999999E-4</v>
      </c>
      <c r="J5171" s="160"/>
      <c r="K5171" s="161">
        <f>K5170</f>
        <v>45</v>
      </c>
      <c r="L5171" s="250">
        <v>1</v>
      </c>
      <c r="M5171" s="163"/>
      <c r="N5171" s="164"/>
      <c r="O5171" s="165">
        <f t="shared" si="1360"/>
        <v>0</v>
      </c>
      <c r="P5171" s="166"/>
      <c r="Q5171" s="166">
        <f t="shared" si="1359"/>
        <v>0</v>
      </c>
      <c r="R5171" s="71"/>
    </row>
    <row r="5172" spans="1:18" s="61" customFormat="1" x14ac:dyDescent="0.25">
      <c r="A5172" s="358"/>
      <c r="B5172" s="361"/>
      <c r="C5172" s="366"/>
      <c r="D5172" s="254" t="s">
        <v>414</v>
      </c>
      <c r="E5172" s="156" t="s">
        <v>28</v>
      </c>
      <c r="F5172" s="156" t="s">
        <v>28</v>
      </c>
      <c r="G5172" s="238">
        <f>MROUND(H5172*L5172*I5172/K5172,0.0000000001)</f>
        <v>0</v>
      </c>
      <c r="H5172" s="158"/>
      <c r="I5172" s="159">
        <f>I5170</f>
        <v>8.4332999999999999E-4</v>
      </c>
      <c r="J5172" s="160"/>
      <c r="K5172" s="161">
        <f>K5170</f>
        <v>45</v>
      </c>
      <c r="L5172" s="250">
        <v>1</v>
      </c>
      <c r="M5172" s="163"/>
      <c r="N5172" s="164"/>
      <c r="O5172" s="165">
        <f t="shared" si="1360"/>
        <v>0</v>
      </c>
      <c r="P5172" s="166"/>
      <c r="Q5172" s="166">
        <f t="shared" si="1359"/>
        <v>0</v>
      </c>
      <c r="R5172" s="71"/>
    </row>
    <row r="5173" spans="1:18" s="61" customFormat="1" x14ac:dyDescent="0.25">
      <c r="A5173" s="358"/>
      <c r="B5173" s="361"/>
      <c r="C5173" s="366"/>
      <c r="D5173" s="254" t="s">
        <v>415</v>
      </c>
      <c r="E5173" s="156" t="s">
        <v>28</v>
      </c>
      <c r="F5173" s="156" t="s">
        <v>28</v>
      </c>
      <c r="G5173" s="238">
        <f>MROUND(H5173*L5173*I5173/K5173,0.00000001)</f>
        <v>0</v>
      </c>
      <c r="H5173" s="158"/>
      <c r="I5173" s="159">
        <f t="shared" ref="I5173:I5182" si="1361">I5171</f>
        <v>8.4332999999999999E-4</v>
      </c>
      <c r="J5173" s="160"/>
      <c r="K5173" s="161">
        <f t="shared" ref="K5173:K5182" si="1362">K5171</f>
        <v>45</v>
      </c>
      <c r="L5173" s="250">
        <v>1</v>
      </c>
      <c r="M5173" s="163"/>
      <c r="N5173" s="164"/>
      <c r="O5173" s="165">
        <f t="shared" si="1360"/>
        <v>0</v>
      </c>
      <c r="P5173" s="166"/>
      <c r="Q5173" s="166">
        <f t="shared" si="1359"/>
        <v>0</v>
      </c>
      <c r="R5173" s="71"/>
    </row>
    <row r="5174" spans="1:18" s="61" customFormat="1" x14ac:dyDescent="0.25">
      <c r="A5174" s="358"/>
      <c r="B5174" s="361"/>
      <c r="C5174" s="366"/>
      <c r="D5174" s="254" t="s">
        <v>416</v>
      </c>
      <c r="E5174" s="156" t="s">
        <v>28</v>
      </c>
      <c r="F5174" s="156" t="s">
        <v>28</v>
      </c>
      <c r="G5174" s="238">
        <f>MROUND(H5174*L5174*I5174/K5174,0.000000001)</f>
        <v>0</v>
      </c>
      <c r="H5174" s="246"/>
      <c r="I5174" s="159">
        <f t="shared" si="1361"/>
        <v>8.4332999999999999E-4</v>
      </c>
      <c r="J5174" s="160"/>
      <c r="K5174" s="161">
        <f t="shared" si="1362"/>
        <v>45</v>
      </c>
      <c r="L5174" s="250">
        <v>1</v>
      </c>
      <c r="M5174" s="163"/>
      <c r="N5174" s="164"/>
      <c r="O5174" s="165">
        <f t="shared" si="1360"/>
        <v>0</v>
      </c>
      <c r="P5174" s="166"/>
      <c r="Q5174" s="166">
        <f t="shared" si="1359"/>
        <v>0</v>
      </c>
      <c r="R5174" s="71"/>
    </row>
    <row r="5175" spans="1:18" s="61" customFormat="1" x14ac:dyDescent="0.25">
      <c r="A5175" s="358"/>
      <c r="B5175" s="361"/>
      <c r="C5175" s="366"/>
      <c r="D5175" s="254" t="s">
        <v>417</v>
      </c>
      <c r="E5175" s="156" t="s">
        <v>28</v>
      </c>
      <c r="F5175" s="156" t="s">
        <v>28</v>
      </c>
      <c r="G5175" s="238">
        <f>MROUND(H5175*L5175*I5175/K5175,0.00000001)</f>
        <v>0</v>
      </c>
      <c r="H5175" s="158"/>
      <c r="I5175" s="159">
        <f t="shared" si="1361"/>
        <v>8.4332999999999999E-4</v>
      </c>
      <c r="J5175" s="160"/>
      <c r="K5175" s="161">
        <f t="shared" si="1362"/>
        <v>45</v>
      </c>
      <c r="L5175" s="250">
        <v>1</v>
      </c>
      <c r="M5175" s="163"/>
      <c r="N5175" s="164"/>
      <c r="O5175" s="165">
        <f t="shared" si="1360"/>
        <v>0</v>
      </c>
      <c r="P5175" s="166"/>
      <c r="Q5175" s="166">
        <f t="shared" si="1359"/>
        <v>0</v>
      </c>
      <c r="R5175" s="71"/>
    </row>
    <row r="5176" spans="1:18" s="61" customFormat="1" ht="30" x14ac:dyDescent="0.25">
      <c r="A5176" s="358"/>
      <c r="B5176" s="361"/>
      <c r="C5176" s="366"/>
      <c r="D5176" s="254" t="s">
        <v>418</v>
      </c>
      <c r="E5176" s="156" t="s">
        <v>28</v>
      </c>
      <c r="F5176" s="156" t="s">
        <v>28</v>
      </c>
      <c r="G5176" s="238">
        <f>MROUND(H5176*L5176*I5176/K5176,0.00000001)</f>
        <v>0</v>
      </c>
      <c r="H5176" s="158"/>
      <c r="I5176" s="159">
        <f t="shared" si="1361"/>
        <v>8.4332999999999999E-4</v>
      </c>
      <c r="J5176" s="160"/>
      <c r="K5176" s="161">
        <f t="shared" si="1362"/>
        <v>45</v>
      </c>
      <c r="L5176" s="250">
        <v>1</v>
      </c>
      <c r="M5176" s="163"/>
      <c r="N5176" s="164"/>
      <c r="O5176" s="165">
        <f t="shared" si="1360"/>
        <v>0</v>
      </c>
      <c r="P5176" s="166"/>
      <c r="Q5176" s="166">
        <f t="shared" si="1359"/>
        <v>0</v>
      </c>
      <c r="R5176" s="71"/>
    </row>
    <row r="5177" spans="1:18" s="61" customFormat="1" x14ac:dyDescent="0.25">
      <c r="A5177" s="358"/>
      <c r="B5177" s="361"/>
      <c r="C5177" s="366"/>
      <c r="D5177" s="254" t="s">
        <v>324</v>
      </c>
      <c r="E5177" s="156" t="s">
        <v>28</v>
      </c>
      <c r="F5177" s="156" t="s">
        <v>28</v>
      </c>
      <c r="G5177" s="238">
        <f>MROUND(H5177*L5177*I5177/K5177,0.000000001)</f>
        <v>0</v>
      </c>
      <c r="H5177" s="158"/>
      <c r="I5177" s="159">
        <f t="shared" si="1361"/>
        <v>8.4332999999999999E-4</v>
      </c>
      <c r="J5177" s="160"/>
      <c r="K5177" s="161">
        <f t="shared" si="1362"/>
        <v>45</v>
      </c>
      <c r="L5177" s="250">
        <v>1</v>
      </c>
      <c r="M5177" s="163"/>
      <c r="N5177" s="164"/>
      <c r="O5177" s="165">
        <f t="shared" si="1360"/>
        <v>0</v>
      </c>
      <c r="P5177" s="166"/>
      <c r="Q5177" s="166">
        <f t="shared" si="1359"/>
        <v>0</v>
      </c>
      <c r="R5177" s="71"/>
    </row>
    <row r="5178" spans="1:18" s="61" customFormat="1" x14ac:dyDescent="0.25">
      <c r="A5178" s="358"/>
      <c r="B5178" s="361"/>
      <c r="C5178" s="366"/>
      <c r="D5178" s="254" t="s">
        <v>419</v>
      </c>
      <c r="E5178" s="156" t="s">
        <v>28</v>
      </c>
      <c r="F5178" s="156" t="s">
        <v>28</v>
      </c>
      <c r="G5178" s="238">
        <f>MROUND(H5178*L5178*I5178/K5178,0.000000001)</f>
        <v>0</v>
      </c>
      <c r="H5178" s="246"/>
      <c r="I5178" s="159">
        <f t="shared" si="1361"/>
        <v>8.4332999999999999E-4</v>
      </c>
      <c r="J5178" s="160"/>
      <c r="K5178" s="161">
        <f t="shared" si="1362"/>
        <v>45</v>
      </c>
      <c r="L5178" s="250">
        <v>1</v>
      </c>
      <c r="M5178" s="163"/>
      <c r="N5178" s="164"/>
      <c r="O5178" s="165">
        <f t="shared" si="1360"/>
        <v>0</v>
      </c>
      <c r="P5178" s="166"/>
      <c r="Q5178" s="166">
        <f t="shared" si="1359"/>
        <v>0</v>
      </c>
      <c r="R5178" s="71"/>
    </row>
    <row r="5179" spans="1:18" s="61" customFormat="1" x14ac:dyDescent="0.25">
      <c r="A5179" s="358"/>
      <c r="B5179" s="361"/>
      <c r="C5179" s="366"/>
      <c r="D5179" s="254" t="s">
        <v>420</v>
      </c>
      <c r="E5179" s="156" t="s">
        <v>28</v>
      </c>
      <c r="F5179" s="156" t="s">
        <v>28</v>
      </c>
      <c r="G5179" s="238">
        <f>MROUND(H5179*L5179*I5179/K5179,0.000000001)</f>
        <v>0</v>
      </c>
      <c r="H5179" s="158"/>
      <c r="I5179" s="159">
        <f t="shared" si="1361"/>
        <v>8.4332999999999999E-4</v>
      </c>
      <c r="J5179" s="160"/>
      <c r="K5179" s="161">
        <f t="shared" si="1362"/>
        <v>45</v>
      </c>
      <c r="L5179" s="250">
        <v>1</v>
      </c>
      <c r="M5179" s="163"/>
      <c r="N5179" s="164"/>
      <c r="O5179" s="165">
        <f t="shared" si="1360"/>
        <v>0</v>
      </c>
      <c r="P5179" s="166"/>
      <c r="Q5179" s="166">
        <f t="shared" si="1359"/>
        <v>0</v>
      </c>
      <c r="R5179" s="71"/>
    </row>
    <row r="5180" spans="1:18" s="61" customFormat="1" x14ac:dyDescent="0.25">
      <c r="A5180" s="358"/>
      <c r="B5180" s="361"/>
      <c r="C5180" s="366"/>
      <c r="D5180" s="254" t="s">
        <v>421</v>
      </c>
      <c r="E5180" s="156" t="s">
        <v>28</v>
      </c>
      <c r="F5180" s="156" t="s">
        <v>28</v>
      </c>
      <c r="G5180" s="238">
        <f>MROUND(H5180*L5180*I5180/K5180,0.00000001)</f>
        <v>0</v>
      </c>
      <c r="H5180" s="158"/>
      <c r="I5180" s="159">
        <f t="shared" si="1361"/>
        <v>8.4332999999999999E-4</v>
      </c>
      <c r="J5180" s="160"/>
      <c r="K5180" s="161">
        <f t="shared" si="1362"/>
        <v>45</v>
      </c>
      <c r="L5180" s="250">
        <v>1</v>
      </c>
      <c r="M5180" s="163"/>
      <c r="N5180" s="164"/>
      <c r="O5180" s="165">
        <f t="shared" si="1360"/>
        <v>0</v>
      </c>
      <c r="P5180" s="166"/>
      <c r="Q5180" s="166">
        <f t="shared" si="1359"/>
        <v>0</v>
      </c>
      <c r="R5180" s="71"/>
    </row>
    <row r="5181" spans="1:18" s="61" customFormat="1" ht="30" x14ac:dyDescent="0.25">
      <c r="A5181" s="358"/>
      <c r="B5181" s="361"/>
      <c r="C5181" s="366"/>
      <c r="D5181" s="254" t="s">
        <v>422</v>
      </c>
      <c r="E5181" s="156" t="s">
        <v>28</v>
      </c>
      <c r="F5181" s="156" t="s">
        <v>28</v>
      </c>
      <c r="G5181" s="266">
        <f>MROUND(H5181*L5181*I5181/K5181,0.00000001)</f>
        <v>0</v>
      </c>
      <c r="H5181" s="158"/>
      <c r="I5181" s="159">
        <f t="shared" si="1361"/>
        <v>8.4332999999999999E-4</v>
      </c>
      <c r="J5181" s="160"/>
      <c r="K5181" s="161">
        <f t="shared" si="1362"/>
        <v>45</v>
      </c>
      <c r="L5181" s="250">
        <v>1</v>
      </c>
      <c r="M5181" s="163"/>
      <c r="N5181" s="164"/>
      <c r="O5181" s="165">
        <f t="shared" si="1360"/>
        <v>0</v>
      </c>
      <c r="P5181" s="166"/>
      <c r="Q5181" s="166">
        <f t="shared" si="1359"/>
        <v>0</v>
      </c>
      <c r="R5181" s="71"/>
    </row>
    <row r="5182" spans="1:18" s="61" customFormat="1" x14ac:dyDescent="0.25">
      <c r="A5182" s="358"/>
      <c r="B5182" s="361"/>
      <c r="C5182" s="366"/>
      <c r="D5182" s="254" t="s">
        <v>423</v>
      </c>
      <c r="E5182" s="156" t="s">
        <v>28</v>
      </c>
      <c r="F5182" s="156" t="s">
        <v>28</v>
      </c>
      <c r="G5182" s="238">
        <f>MROUND(H5182*L5182*I5182/K5182,0.000000001)</f>
        <v>0</v>
      </c>
      <c r="H5182" s="158"/>
      <c r="I5182" s="159">
        <f t="shared" si="1361"/>
        <v>8.4332999999999999E-4</v>
      </c>
      <c r="J5182" s="160"/>
      <c r="K5182" s="161">
        <f t="shared" si="1362"/>
        <v>45</v>
      </c>
      <c r="L5182" s="250">
        <v>1</v>
      </c>
      <c r="M5182" s="163"/>
      <c r="N5182" s="164"/>
      <c r="O5182" s="165">
        <f t="shared" si="1360"/>
        <v>0</v>
      </c>
      <c r="P5182" s="166"/>
      <c r="Q5182" s="166">
        <f t="shared" si="1359"/>
        <v>0</v>
      </c>
      <c r="R5182" s="71"/>
    </row>
    <row r="5183" spans="1:18" s="61" customFormat="1" x14ac:dyDescent="0.25">
      <c r="A5183" s="358"/>
      <c r="B5183" s="361"/>
      <c r="C5183" s="366"/>
      <c r="D5183" s="254" t="s">
        <v>424</v>
      </c>
      <c r="E5183" s="156" t="s">
        <v>28</v>
      </c>
      <c r="F5183" s="156" t="s">
        <v>28</v>
      </c>
      <c r="G5183" s="238">
        <f t="shared" ref="G5183:G5189" si="1363">MROUND(H5183*L5183*I5183/K5183,0.00000001)</f>
        <v>0</v>
      </c>
      <c r="H5183" s="158"/>
      <c r="I5183" s="159">
        <f>I5172</f>
        <v>8.4332999999999999E-4</v>
      </c>
      <c r="J5183" s="160"/>
      <c r="K5183" s="161">
        <f>K5172</f>
        <v>45</v>
      </c>
      <c r="L5183" s="250">
        <v>1</v>
      </c>
      <c r="M5183" s="163"/>
      <c r="N5183" s="164"/>
      <c r="O5183" s="165">
        <f t="shared" si="1360"/>
        <v>0</v>
      </c>
      <c r="P5183" s="166"/>
      <c r="Q5183" s="166">
        <f t="shared" si="1359"/>
        <v>0</v>
      </c>
      <c r="R5183" s="71"/>
    </row>
    <row r="5184" spans="1:18" s="61" customFormat="1" x14ac:dyDescent="0.25">
      <c r="A5184" s="358"/>
      <c r="B5184" s="361"/>
      <c r="C5184" s="366"/>
      <c r="D5184" s="254" t="s">
        <v>425</v>
      </c>
      <c r="E5184" s="156" t="s">
        <v>28</v>
      </c>
      <c r="F5184" s="156" t="s">
        <v>28</v>
      </c>
      <c r="G5184" s="277">
        <f t="shared" si="1363"/>
        <v>0</v>
      </c>
      <c r="H5184" s="158"/>
      <c r="I5184" s="159">
        <f t="shared" ref="I5184:I5189" si="1364">I5183</f>
        <v>8.4332999999999999E-4</v>
      </c>
      <c r="J5184" s="160"/>
      <c r="K5184" s="161">
        <f t="shared" ref="K5184:K5189" si="1365">K5183</f>
        <v>45</v>
      </c>
      <c r="L5184" s="250">
        <v>1</v>
      </c>
      <c r="M5184" s="163"/>
      <c r="N5184" s="164"/>
      <c r="O5184" s="165">
        <f t="shared" si="1360"/>
        <v>0</v>
      </c>
      <c r="P5184" s="166"/>
      <c r="Q5184" s="166">
        <f t="shared" si="1359"/>
        <v>0</v>
      </c>
      <c r="R5184" s="71"/>
    </row>
    <row r="5185" spans="1:18" s="61" customFormat="1" x14ac:dyDescent="0.25">
      <c r="A5185" s="358"/>
      <c r="B5185" s="361"/>
      <c r="C5185" s="366"/>
      <c r="D5185" s="254" t="s">
        <v>108</v>
      </c>
      <c r="E5185" s="156" t="s">
        <v>28</v>
      </c>
      <c r="F5185" s="156" t="s">
        <v>28</v>
      </c>
      <c r="G5185" s="238">
        <f t="shared" si="1363"/>
        <v>0</v>
      </c>
      <c r="H5185" s="158"/>
      <c r="I5185" s="159">
        <f t="shared" si="1364"/>
        <v>8.4332999999999999E-4</v>
      </c>
      <c r="J5185" s="160"/>
      <c r="K5185" s="161">
        <f t="shared" si="1365"/>
        <v>45</v>
      </c>
      <c r="L5185" s="250">
        <v>1</v>
      </c>
      <c r="M5185" s="163"/>
      <c r="N5185" s="164"/>
      <c r="O5185" s="165">
        <f t="shared" si="1360"/>
        <v>0</v>
      </c>
      <c r="P5185" s="166"/>
      <c r="Q5185" s="166">
        <f t="shared" si="1359"/>
        <v>0</v>
      </c>
      <c r="R5185" s="71"/>
    </row>
    <row r="5186" spans="1:18" s="61" customFormat="1" x14ac:dyDescent="0.25">
      <c r="A5186" s="358"/>
      <c r="B5186" s="361"/>
      <c r="C5186" s="366"/>
      <c r="D5186" s="254" t="s">
        <v>426</v>
      </c>
      <c r="E5186" s="156" t="s">
        <v>28</v>
      </c>
      <c r="F5186" s="156" t="s">
        <v>28</v>
      </c>
      <c r="G5186" s="238">
        <f t="shared" si="1363"/>
        <v>0</v>
      </c>
      <c r="H5186" s="158"/>
      <c r="I5186" s="159">
        <f t="shared" si="1364"/>
        <v>8.4332999999999999E-4</v>
      </c>
      <c r="J5186" s="160"/>
      <c r="K5186" s="161">
        <f t="shared" si="1365"/>
        <v>45</v>
      </c>
      <c r="L5186" s="250">
        <v>1</v>
      </c>
      <c r="M5186" s="163"/>
      <c r="N5186" s="164"/>
      <c r="O5186" s="165">
        <f t="shared" si="1360"/>
        <v>0</v>
      </c>
      <c r="P5186" s="166"/>
      <c r="Q5186" s="166">
        <f t="shared" si="1359"/>
        <v>0</v>
      </c>
      <c r="R5186" s="71"/>
    </row>
    <row r="5187" spans="1:18" s="61" customFormat="1" x14ac:dyDescent="0.25">
      <c r="A5187" s="358"/>
      <c r="B5187" s="361"/>
      <c r="C5187" s="366"/>
      <c r="D5187" s="254" t="s">
        <v>427</v>
      </c>
      <c r="E5187" s="156" t="s">
        <v>28</v>
      </c>
      <c r="F5187" s="156" t="s">
        <v>28</v>
      </c>
      <c r="G5187" s="238">
        <f t="shared" si="1363"/>
        <v>0</v>
      </c>
      <c r="H5187" s="158"/>
      <c r="I5187" s="159">
        <f t="shared" si="1364"/>
        <v>8.4332999999999999E-4</v>
      </c>
      <c r="J5187" s="160"/>
      <c r="K5187" s="161">
        <f t="shared" si="1365"/>
        <v>45</v>
      </c>
      <c r="L5187" s="250">
        <v>1</v>
      </c>
      <c r="M5187" s="163"/>
      <c r="N5187" s="164"/>
      <c r="O5187" s="165">
        <f t="shared" si="1360"/>
        <v>0</v>
      </c>
      <c r="P5187" s="166"/>
      <c r="Q5187" s="166">
        <f t="shared" si="1359"/>
        <v>0</v>
      </c>
      <c r="R5187" s="71"/>
    </row>
    <row r="5188" spans="1:18" s="61" customFormat="1" x14ac:dyDescent="0.25">
      <c r="A5188" s="358"/>
      <c r="B5188" s="361"/>
      <c r="C5188" s="366"/>
      <c r="D5188" s="254" t="s">
        <v>428</v>
      </c>
      <c r="E5188" s="156" t="s">
        <v>28</v>
      </c>
      <c r="F5188" s="156" t="s">
        <v>28</v>
      </c>
      <c r="G5188" s="238">
        <f t="shared" si="1363"/>
        <v>0</v>
      </c>
      <c r="H5188" s="158"/>
      <c r="I5188" s="159">
        <f t="shared" si="1364"/>
        <v>8.4332999999999999E-4</v>
      </c>
      <c r="J5188" s="160"/>
      <c r="K5188" s="161">
        <f t="shared" si="1365"/>
        <v>45</v>
      </c>
      <c r="L5188" s="250">
        <v>1</v>
      </c>
      <c r="M5188" s="163"/>
      <c r="N5188" s="164"/>
      <c r="O5188" s="165">
        <f t="shared" si="1360"/>
        <v>0</v>
      </c>
      <c r="P5188" s="166"/>
      <c r="Q5188" s="166">
        <f t="shared" si="1359"/>
        <v>0</v>
      </c>
      <c r="R5188" s="71"/>
    </row>
    <row r="5189" spans="1:18" s="61" customFormat="1" x14ac:dyDescent="0.25">
      <c r="A5189" s="358"/>
      <c r="B5189" s="361"/>
      <c r="C5189" s="366"/>
      <c r="D5189" s="255" t="s">
        <v>429</v>
      </c>
      <c r="E5189" s="156" t="s">
        <v>28</v>
      </c>
      <c r="F5189" s="156" t="s">
        <v>28</v>
      </c>
      <c r="G5189" s="238">
        <f t="shared" si="1363"/>
        <v>0</v>
      </c>
      <c r="H5189" s="158"/>
      <c r="I5189" s="159">
        <f t="shared" si="1364"/>
        <v>8.4332999999999999E-4</v>
      </c>
      <c r="J5189" s="160"/>
      <c r="K5189" s="161">
        <f t="shared" si="1365"/>
        <v>45</v>
      </c>
      <c r="L5189" s="250">
        <v>1</v>
      </c>
      <c r="M5189" s="163"/>
      <c r="N5189" s="164"/>
      <c r="O5189" s="165">
        <f t="shared" si="1360"/>
        <v>0</v>
      </c>
      <c r="P5189" s="166"/>
      <c r="Q5189" s="166">
        <f t="shared" si="1359"/>
        <v>0</v>
      </c>
      <c r="R5189" s="71"/>
    </row>
    <row r="5190" spans="1:18" s="62" customFormat="1" x14ac:dyDescent="0.25">
      <c r="A5190" s="358"/>
      <c r="B5190" s="361"/>
      <c r="C5190" s="249" t="s">
        <v>299</v>
      </c>
      <c r="D5190" s="256"/>
      <c r="E5190" s="240"/>
      <c r="F5190" s="240"/>
      <c r="G5190" s="227"/>
      <c r="H5190" s="241"/>
      <c r="I5190" s="206"/>
      <c r="J5190" s="228"/>
      <c r="K5190" s="207"/>
      <c r="L5190" s="257"/>
      <c r="M5190" s="209"/>
      <c r="N5190" s="210"/>
      <c r="O5190" s="198">
        <f>SUM(O5166:O5189)</f>
        <v>0</v>
      </c>
      <c r="P5190" s="267"/>
      <c r="Q5190" s="166"/>
      <c r="R5190" s="71"/>
    </row>
    <row r="5191" spans="1:18" s="61" customFormat="1" ht="110.25" x14ac:dyDescent="0.25">
      <c r="A5191" s="358"/>
      <c r="B5191" s="361"/>
      <c r="C5191" s="221" t="s">
        <v>82</v>
      </c>
      <c r="D5191" s="156" t="s">
        <v>46</v>
      </c>
      <c r="E5191" s="156" t="s">
        <v>54</v>
      </c>
      <c r="F5191" s="156" t="s">
        <v>285</v>
      </c>
      <c r="G5191" s="238">
        <f>MROUND(H5191*L5191*I5191/K5191,0.000001)</f>
        <v>0.21195699999999998</v>
      </c>
      <c r="H5191" s="242">
        <f>H4711</f>
        <v>1028.181818181818</v>
      </c>
      <c r="I5191" s="159">
        <f>I5189</f>
        <v>8.4332999999999999E-4</v>
      </c>
      <c r="J5191" s="160"/>
      <c r="K5191" s="161">
        <f>K5189</f>
        <v>45</v>
      </c>
      <c r="L5191" s="225">
        <f>L4951</f>
        <v>11</v>
      </c>
      <c r="M5191" s="163" t="str">
        <f>CONCATENATE(H5191," ",F5191,"*",L5191,"автобуса","*",I5191,"/",K5191,"чел.")</f>
        <v>1028,18181818182 л бензина АИ 92 (12,5л/день(зимой)*20дней*7мес+10л/день(летом)*20дней*4мес)*11автобуса*0,00084333/45чел.</v>
      </c>
      <c r="N5191" s="164">
        <f>N3511</f>
        <v>57.007000000000005</v>
      </c>
      <c r="O5191" s="165">
        <f>MROUND(G5191*N5191,0.000001)</f>
        <v>12.083032999999999</v>
      </c>
      <c r="P5191" s="166"/>
      <c r="Q5191" s="166">
        <f t="shared" ref="Q5191" si="1366">O5191*K5191</f>
        <v>543.7364849999999</v>
      </c>
      <c r="R5191" s="71"/>
    </row>
    <row r="5192" spans="1:18" s="62" customFormat="1" x14ac:dyDescent="0.25">
      <c r="A5192" s="358"/>
      <c r="B5192" s="361"/>
      <c r="C5192" s="218" t="s">
        <v>300</v>
      </c>
      <c r="D5192" s="240"/>
      <c r="E5192" s="240"/>
      <c r="F5192" s="240"/>
      <c r="G5192" s="227"/>
      <c r="H5192" s="241"/>
      <c r="I5192" s="206"/>
      <c r="J5192" s="228"/>
      <c r="K5192" s="207"/>
      <c r="L5192" s="257"/>
      <c r="M5192" s="209"/>
      <c r="N5192" s="210"/>
      <c r="O5192" s="198">
        <f>SUM(O5191)</f>
        <v>12.083032999999999</v>
      </c>
      <c r="P5192" s="267"/>
      <c r="Q5192" s="166"/>
      <c r="R5192" s="71"/>
    </row>
    <row r="5193" spans="1:18" s="61" customFormat="1" ht="47.25" x14ac:dyDescent="0.25">
      <c r="A5193" s="358"/>
      <c r="B5193" s="361"/>
      <c r="C5193" s="221" t="s">
        <v>434</v>
      </c>
      <c r="D5193" s="156" t="s">
        <v>436</v>
      </c>
      <c r="E5193" s="156" t="s">
        <v>28</v>
      </c>
      <c r="F5193" s="156" t="s">
        <v>437</v>
      </c>
      <c r="G5193" s="157">
        <f>MROUND(H5193*L5193*I5193/K5193,0.000001)</f>
        <v>5.4349999999999997E-3</v>
      </c>
      <c r="H5193" s="242">
        <f>$H$125</f>
        <v>290</v>
      </c>
      <c r="I5193" s="159">
        <f>I5191</f>
        <v>8.4332999999999999E-4</v>
      </c>
      <c r="J5193" s="160"/>
      <c r="K5193" s="161">
        <f>K5191</f>
        <v>45</v>
      </c>
      <c r="L5193" s="162">
        <v>1</v>
      </c>
      <c r="M5193" s="163" t="str">
        <f>CONCATENATE(H5193," ",F5193,"*",L5193,"автобуса","*",I5193,"/",K5193,"чел.")</f>
        <v>290 огнетушителей (потребность учреждений) *1автобуса*0,00084333/45чел.</v>
      </c>
      <c r="N5193" s="164">
        <f>$N$125</f>
        <v>2000</v>
      </c>
      <c r="O5193" s="165">
        <f>MROUND(G5193*N5193,0.000001)</f>
        <v>10.87</v>
      </c>
      <c r="P5193" s="166"/>
      <c r="Q5193" s="166">
        <f t="shared" ref="Q5193" si="1367">O5193*K5193</f>
        <v>489.15</v>
      </c>
      <c r="R5193" s="71"/>
    </row>
    <row r="5194" spans="1:18" s="61" customFormat="1" x14ac:dyDescent="0.25">
      <c r="A5194" s="358"/>
      <c r="B5194" s="361"/>
      <c r="C5194" s="218" t="s">
        <v>435</v>
      </c>
      <c r="D5194" s="240"/>
      <c r="E5194" s="240"/>
      <c r="F5194" s="240"/>
      <c r="G5194" s="251"/>
      <c r="H5194" s="241"/>
      <c r="I5194" s="206"/>
      <c r="J5194" s="228"/>
      <c r="K5194" s="207"/>
      <c r="L5194" s="229"/>
      <c r="M5194" s="209"/>
      <c r="N5194" s="210"/>
      <c r="O5194" s="198">
        <f>SUM(O5193)</f>
        <v>10.87</v>
      </c>
      <c r="P5194" s="166"/>
      <c r="Q5194" s="166"/>
      <c r="R5194" s="71"/>
    </row>
    <row r="5195" spans="1:18" s="61" customFormat="1" ht="47.25" x14ac:dyDescent="0.25">
      <c r="A5195" s="358"/>
      <c r="B5195" s="361"/>
      <c r="C5195" s="364" t="s">
        <v>118</v>
      </c>
      <c r="D5195" s="156" t="s">
        <v>47</v>
      </c>
      <c r="E5195" s="156" t="s">
        <v>28</v>
      </c>
      <c r="F5195" s="156" t="s">
        <v>239</v>
      </c>
      <c r="G5195" s="238">
        <f>MROUND(H5195*L5195*I5195/K5195,0.00000001)</f>
        <v>2.6986599999999999E-3</v>
      </c>
      <c r="H5195" s="158">
        <f>H4115</f>
        <v>144</v>
      </c>
      <c r="I5195" s="159">
        <f>I5191</f>
        <v>8.4332999999999999E-4</v>
      </c>
      <c r="J5195" s="160"/>
      <c r="K5195" s="161">
        <f>K5191</f>
        <v>45</v>
      </c>
      <c r="L5195" s="250">
        <v>1</v>
      </c>
      <c r="M5195" s="163" t="str">
        <f>CONCATENATE(H5195," ",F5195,"*",I5195,"/",K5195,"чел.")</f>
        <v>144 манометров (потребность учреждений) *0,00084333/45чел.</v>
      </c>
      <c r="N5195" s="164">
        <f>N3515</f>
        <v>720.50416666666672</v>
      </c>
      <c r="O5195" s="165">
        <f>MROUND(G5195*N5195,0.000001)</f>
        <v>1.944396</v>
      </c>
      <c r="P5195" s="166"/>
      <c r="Q5195" s="166">
        <f t="shared" ref="Q5195:Q5196" si="1368">O5195*K5195</f>
        <v>87.497820000000004</v>
      </c>
      <c r="R5195" s="71"/>
    </row>
    <row r="5196" spans="1:18" s="61" customFormat="1" ht="47.25" x14ac:dyDescent="0.25">
      <c r="A5196" s="358"/>
      <c r="B5196" s="361"/>
      <c r="C5196" s="364"/>
      <c r="D5196" s="255" t="s">
        <v>113</v>
      </c>
      <c r="E5196" s="156" t="s">
        <v>28</v>
      </c>
      <c r="F5196" s="156" t="s">
        <v>240</v>
      </c>
      <c r="G5196" s="238">
        <f>MROUND(H5196*L5196*I5196/K5196,0.00000001)</f>
        <v>0.10710291</v>
      </c>
      <c r="H5196" s="158">
        <f>H3756</f>
        <v>5715</v>
      </c>
      <c r="I5196" s="159">
        <f>I5195</f>
        <v>8.4332999999999999E-4</v>
      </c>
      <c r="J5196" s="160"/>
      <c r="K5196" s="161">
        <f>K5195</f>
        <v>45</v>
      </c>
      <c r="L5196" s="250">
        <v>1</v>
      </c>
      <c r="M5196" s="163" t="str">
        <f>CONCATENATE(H5196," ",F5196,"*",I5196,"/",K5196,"чел.")</f>
        <v>5715 светильников (потребность учреждений)*0,00084333/45чел.</v>
      </c>
      <c r="N5196" s="164">
        <f>N3516</f>
        <v>111.16365879265086</v>
      </c>
      <c r="O5196" s="165">
        <f>MROUND(G5196*N5196,0.000001)</f>
        <v>11.905951</v>
      </c>
      <c r="P5196" s="166"/>
      <c r="Q5196" s="166">
        <f t="shared" si="1368"/>
        <v>535.76779499999998</v>
      </c>
      <c r="R5196" s="71"/>
    </row>
    <row r="5197" spans="1:18" s="62" customFormat="1" x14ac:dyDescent="0.25">
      <c r="A5197" s="359"/>
      <c r="B5197" s="362"/>
      <c r="C5197" s="218" t="s">
        <v>301</v>
      </c>
      <c r="D5197" s="256"/>
      <c r="E5197" s="240"/>
      <c r="F5197" s="240"/>
      <c r="G5197" s="227"/>
      <c r="H5197" s="241"/>
      <c r="I5197" s="206"/>
      <c r="J5197" s="228"/>
      <c r="K5197" s="207"/>
      <c r="L5197" s="257"/>
      <c r="M5197" s="209"/>
      <c r="N5197" s="210"/>
      <c r="O5197" s="198">
        <f>SUM(O5195:O5196)</f>
        <v>13.850346999999999</v>
      </c>
      <c r="P5197" s="267"/>
      <c r="Q5197" s="166"/>
      <c r="R5197" s="71"/>
    </row>
    <row r="5198" spans="1:18" s="61" customFormat="1" x14ac:dyDescent="0.25">
      <c r="A5198" s="357" t="str">
        <f>CONCATENATE(школы!$B$22,", ",школы!$C$22,", ",школы!$D$22)</f>
        <v>Реализация основных общеобразовательных программ среднего общего образования, образовательная программа, обеспечивающая углубленное изучение отдельных учебных предметов, предметных областей (профильное обучение), дети-инвалиды</v>
      </c>
      <c r="B5198" s="360" t="str">
        <f>школы!$A$22</f>
        <v>802112О.99.0.ББ11АО26001</v>
      </c>
      <c r="C5198" s="194"/>
      <c r="D5198" s="363" t="s">
        <v>15</v>
      </c>
      <c r="E5198" s="363"/>
      <c r="F5198" s="363"/>
      <c r="G5198" s="363"/>
      <c r="H5198" s="195"/>
      <c r="I5198" s="195"/>
      <c r="J5198" s="195"/>
      <c r="K5198" s="195"/>
      <c r="L5198" s="196"/>
      <c r="M5198" s="197"/>
      <c r="N5198" s="164"/>
      <c r="O5198" s="198">
        <f>O5199+O5204+O5206</f>
        <v>9897.1860686689997</v>
      </c>
      <c r="P5198" s="166"/>
      <c r="Q5198" s="166"/>
      <c r="R5198" s="71"/>
    </row>
    <row r="5199" spans="1:18" s="61" customFormat="1" x14ac:dyDescent="0.25">
      <c r="A5199" s="358"/>
      <c r="B5199" s="361"/>
      <c r="C5199" s="194"/>
      <c r="D5199" s="350" t="s">
        <v>62</v>
      </c>
      <c r="E5199" s="350"/>
      <c r="F5199" s="350"/>
      <c r="G5199" s="350"/>
      <c r="H5199" s="195"/>
      <c r="I5199" s="195"/>
      <c r="J5199" s="195"/>
      <c r="K5199" s="195"/>
      <c r="L5199" s="196"/>
      <c r="M5199" s="197"/>
      <c r="N5199" s="164"/>
      <c r="O5199" s="165">
        <f>O5201+O5203</f>
        <v>9897.1860686689997</v>
      </c>
      <c r="P5199" s="166"/>
      <c r="Q5199" s="166"/>
      <c r="R5199" s="71"/>
    </row>
    <row r="5200" spans="1:18" s="61" customFormat="1" x14ac:dyDescent="0.25">
      <c r="A5200" s="358"/>
      <c r="B5200" s="361"/>
      <c r="C5200" s="194">
        <v>211</v>
      </c>
      <c r="D5200" s="194" t="s">
        <v>86</v>
      </c>
      <c r="E5200" s="199" t="s">
        <v>95</v>
      </c>
      <c r="F5200" s="199" t="s">
        <v>95</v>
      </c>
      <c r="G5200" s="275">
        <f>MROUND(H5200*L5200*I5200/K5200,0.0000000001)</f>
        <v>0.59001468239999999</v>
      </c>
      <c r="H5200" s="201">
        <f>H4360</f>
        <v>921.8</v>
      </c>
      <c r="I5200" s="159">
        <f>школы!$K$22</f>
        <v>5.3339000000000001E-4</v>
      </c>
      <c r="J5200" s="159"/>
      <c r="K5200" s="161">
        <f>школы!$G$22</f>
        <v>10</v>
      </c>
      <c r="L5200" s="202">
        <v>12</v>
      </c>
      <c r="M5200" s="163" t="str">
        <f>CONCATENATE(H5200," ",F5200," ","в мес.","*",L5200,"мес.","*",I5200,"/",K5200,"чел.")</f>
        <v>921,8 шт.ед в мес.*12мес.*0,00053339/10чел.</v>
      </c>
      <c r="N5200" s="164">
        <f>N4360</f>
        <v>12883.620739314385</v>
      </c>
      <c r="O5200" s="165">
        <f>MROUND(G5200*N5200,0.000000001)</f>
        <v>7601.5253986690004</v>
      </c>
      <c r="P5200" s="166"/>
      <c r="Q5200" s="166">
        <f t="shared" ref="Q5200" si="1369">O5200*K5200</f>
        <v>76015.253986690004</v>
      </c>
      <c r="R5200" s="71"/>
    </row>
    <row r="5201" spans="1:18" s="62" customFormat="1" x14ac:dyDescent="0.25">
      <c r="A5201" s="358"/>
      <c r="B5201" s="361"/>
      <c r="C5201" s="203" t="s">
        <v>288</v>
      </c>
      <c r="D5201" s="203"/>
      <c r="E5201" s="204"/>
      <c r="F5201" s="204"/>
      <c r="G5201" s="205"/>
      <c r="H5201" s="206"/>
      <c r="I5201" s="206"/>
      <c r="J5201" s="206"/>
      <c r="K5201" s="207"/>
      <c r="L5201" s="208"/>
      <c r="M5201" s="209"/>
      <c r="N5201" s="210">
        <f>N5200</f>
        <v>12883.620739314385</v>
      </c>
      <c r="O5201" s="198">
        <f>O5200</f>
        <v>7601.5253986690004</v>
      </c>
      <c r="P5201" s="267"/>
      <c r="Q5201" s="166"/>
      <c r="R5201" s="71"/>
    </row>
    <row r="5202" spans="1:18" s="61" customFormat="1" x14ac:dyDescent="0.25">
      <c r="A5202" s="358"/>
      <c r="B5202" s="361"/>
      <c r="C5202" s="194">
        <v>213</v>
      </c>
      <c r="D5202" s="194" t="s">
        <v>87</v>
      </c>
      <c r="E5202" s="194" t="s">
        <v>88</v>
      </c>
      <c r="F5202" s="194"/>
      <c r="G5202" s="211">
        <v>30.2</v>
      </c>
      <c r="H5202" s="159"/>
      <c r="I5202" s="159"/>
      <c r="J5202" s="159"/>
      <c r="K5202" s="161">
        <f>K5200</f>
        <v>10</v>
      </c>
      <c r="L5202" s="202"/>
      <c r="M5202" s="212"/>
      <c r="N5202" s="164"/>
      <c r="O5202" s="165">
        <f>MROUND(O5200*0.302,0.000001)</f>
        <v>2295.6606699999998</v>
      </c>
      <c r="P5202" s="166"/>
      <c r="Q5202" s="166">
        <f>O5202*K5202</f>
        <v>22956.606699999997</v>
      </c>
      <c r="R5202" s="71"/>
    </row>
    <row r="5203" spans="1:18" s="62" customFormat="1" x14ac:dyDescent="0.25">
      <c r="A5203" s="358"/>
      <c r="B5203" s="361"/>
      <c r="C5203" s="203" t="s">
        <v>289</v>
      </c>
      <c r="D5203" s="203"/>
      <c r="E5203" s="203"/>
      <c r="F5203" s="203"/>
      <c r="G5203" s="213"/>
      <c r="H5203" s="214"/>
      <c r="I5203" s="206"/>
      <c r="J5203" s="214"/>
      <c r="K5203" s="207"/>
      <c r="L5203" s="215"/>
      <c r="M5203" s="216"/>
      <c r="N5203" s="210"/>
      <c r="O5203" s="198">
        <f>O5202</f>
        <v>2295.6606699999998</v>
      </c>
      <c r="P5203" s="267"/>
      <c r="Q5203" s="166"/>
      <c r="R5203" s="71"/>
    </row>
    <row r="5204" spans="1:18" s="61" customFormat="1" x14ac:dyDescent="0.25">
      <c r="A5204" s="358"/>
      <c r="B5204" s="361"/>
      <c r="C5204" s="194"/>
      <c r="D5204" s="356" t="s">
        <v>63</v>
      </c>
      <c r="E5204" s="356"/>
      <c r="F5204" s="356"/>
      <c r="G5204" s="356"/>
      <c r="H5204" s="195"/>
      <c r="I5204" s="159"/>
      <c r="J5204" s="195"/>
      <c r="K5204" s="161"/>
      <c r="L5204" s="196"/>
      <c r="M5204" s="197"/>
      <c r="N5204" s="164"/>
      <c r="O5204" s="165"/>
      <c r="P5204" s="166"/>
      <c r="Q5204" s="166"/>
      <c r="R5204" s="71"/>
    </row>
    <row r="5205" spans="1:18" s="61" customFormat="1" x14ac:dyDescent="0.25">
      <c r="A5205" s="358"/>
      <c r="B5205" s="361"/>
      <c r="C5205" s="194"/>
      <c r="D5205" s="194"/>
      <c r="E5205" s="194"/>
      <c r="F5205" s="194"/>
      <c r="G5205" s="217"/>
      <c r="H5205" s="195"/>
      <c r="I5205" s="159"/>
      <c r="J5205" s="195"/>
      <c r="K5205" s="161"/>
      <c r="L5205" s="196"/>
      <c r="M5205" s="197"/>
      <c r="N5205" s="164"/>
      <c r="O5205" s="165"/>
      <c r="P5205" s="166"/>
      <c r="Q5205" s="166"/>
      <c r="R5205" s="71"/>
    </row>
    <row r="5206" spans="1:18" s="61" customFormat="1" x14ac:dyDescent="0.25">
      <c r="A5206" s="358"/>
      <c r="B5206" s="361"/>
      <c r="C5206" s="194"/>
      <c r="D5206" s="350" t="s">
        <v>64</v>
      </c>
      <c r="E5206" s="350"/>
      <c r="F5206" s="350"/>
      <c r="G5206" s="350"/>
      <c r="H5206" s="195"/>
      <c r="I5206" s="159"/>
      <c r="J5206" s="195"/>
      <c r="K5206" s="161"/>
      <c r="L5206" s="196"/>
      <c r="M5206" s="197"/>
      <c r="N5206" s="164"/>
      <c r="O5206" s="165"/>
      <c r="P5206" s="166"/>
      <c r="Q5206" s="166"/>
      <c r="R5206" s="71"/>
    </row>
    <row r="5207" spans="1:18" s="61" customFormat="1" x14ac:dyDescent="0.25">
      <c r="A5207" s="358"/>
      <c r="B5207" s="361"/>
      <c r="C5207" s="194"/>
      <c r="D5207" s="194"/>
      <c r="E5207" s="194"/>
      <c r="F5207" s="194"/>
      <c r="G5207" s="217"/>
      <c r="H5207" s="195"/>
      <c r="I5207" s="159"/>
      <c r="J5207" s="195"/>
      <c r="K5207" s="161"/>
      <c r="L5207" s="196"/>
      <c r="M5207" s="197"/>
      <c r="N5207" s="164"/>
      <c r="O5207" s="165"/>
      <c r="P5207" s="166"/>
      <c r="Q5207" s="166"/>
      <c r="R5207" s="71"/>
    </row>
    <row r="5208" spans="1:18" s="61" customFormat="1" x14ac:dyDescent="0.25">
      <c r="A5208" s="358"/>
      <c r="B5208" s="361"/>
      <c r="C5208" s="194"/>
      <c r="D5208" s="355" t="s">
        <v>5</v>
      </c>
      <c r="E5208" s="355"/>
      <c r="F5208" s="355"/>
      <c r="G5208" s="355"/>
      <c r="H5208" s="195"/>
      <c r="I5208" s="159"/>
      <c r="J5208" s="195"/>
      <c r="K5208" s="161"/>
      <c r="L5208" s="196"/>
      <c r="M5208" s="197"/>
      <c r="N5208" s="164"/>
      <c r="O5208" s="198">
        <f>O5209+O5219+O5230+O5232+O5234+O5236+O5238</f>
        <v>21013.382224590001</v>
      </c>
      <c r="P5208" s="166"/>
      <c r="Q5208" s="166"/>
      <c r="R5208" s="71"/>
    </row>
    <row r="5209" spans="1:18" s="61" customFormat="1" x14ac:dyDescent="0.25">
      <c r="A5209" s="358"/>
      <c r="B5209" s="361"/>
      <c r="C5209" s="218" t="s">
        <v>70</v>
      </c>
      <c r="D5209" s="355" t="s">
        <v>6</v>
      </c>
      <c r="E5209" s="355"/>
      <c r="F5209" s="355"/>
      <c r="G5209" s="355"/>
      <c r="H5209" s="189"/>
      <c r="I5209" s="159"/>
      <c r="J5209" s="189"/>
      <c r="K5209" s="161"/>
      <c r="L5209" s="190"/>
      <c r="M5209" s="197"/>
      <c r="N5209" s="210"/>
      <c r="O5209" s="198">
        <f>O5218</f>
        <v>9652.1213385700012</v>
      </c>
      <c r="P5209" s="166"/>
      <c r="Q5209" s="166"/>
      <c r="R5209" s="71"/>
    </row>
    <row r="5210" spans="1:18" s="61" customFormat="1" ht="31.5" x14ac:dyDescent="0.25">
      <c r="A5210" s="358"/>
      <c r="B5210" s="361"/>
      <c r="C5210" s="221" t="s">
        <v>72</v>
      </c>
      <c r="D5210" s="222" t="s">
        <v>7</v>
      </c>
      <c r="E5210" s="223" t="s">
        <v>8</v>
      </c>
      <c r="F5210" s="223" t="s">
        <v>8</v>
      </c>
      <c r="G5210" s="238">
        <f>MROUND(H5210*L5210*I5210/K5210,0.00000000001)</f>
        <v>176.71858376448998</v>
      </c>
      <c r="H5210" s="160">
        <f>H4490</f>
        <v>3313121.4264326878</v>
      </c>
      <c r="I5210" s="159">
        <f>I5200</f>
        <v>5.3339000000000001E-4</v>
      </c>
      <c r="J5210" s="160"/>
      <c r="K5210" s="161">
        <f>K5200</f>
        <v>10</v>
      </c>
      <c r="L5210" s="250">
        <v>1</v>
      </c>
      <c r="M5210" s="163" t="str">
        <f t="shared" ref="M5210:M5215" si="1370">CONCATENATE(H5210," ",F5210,"(лимиты выделенные УЖКХ) ","*",I5210,"/",K5210,"чел.")</f>
        <v>3313121,42643269 кВт час.(лимиты выделенные УЖКХ) *0,00053339/10чел.</v>
      </c>
      <c r="N5210" s="164">
        <f>N4490</f>
        <v>10.897694685122204</v>
      </c>
      <c r="O5210" s="165">
        <f t="shared" ref="O5210:O5213" si="1371">MROUND(G5210*N5210,0.000001)</f>
        <v>1925.825171</v>
      </c>
      <c r="P5210" s="166"/>
      <c r="Q5210" s="166">
        <f t="shared" ref="Q5210:Q5217" si="1372">O5210*K5210</f>
        <v>19258.25171</v>
      </c>
      <c r="R5210" s="71"/>
    </row>
    <row r="5211" spans="1:18" s="61" customFormat="1" ht="31.5" x14ac:dyDescent="0.25">
      <c r="A5211" s="358"/>
      <c r="B5211" s="361"/>
      <c r="C5211" s="221" t="s">
        <v>73</v>
      </c>
      <c r="D5211" s="222" t="s">
        <v>9</v>
      </c>
      <c r="E5211" s="223" t="s">
        <v>10</v>
      </c>
      <c r="F5211" s="223" t="s">
        <v>10</v>
      </c>
      <c r="G5211" s="238">
        <f>MROUND(H5211*L5211*I5211/K5211,0.00000000001)</f>
        <v>1.7013748852099999</v>
      </c>
      <c r="H5211" s="160">
        <f>H4131</f>
        <v>31897.39</v>
      </c>
      <c r="I5211" s="159">
        <f t="shared" ref="I5211:I5263" si="1373">I5210</f>
        <v>5.3339000000000001E-4</v>
      </c>
      <c r="J5211" s="160"/>
      <c r="K5211" s="161">
        <f t="shared" ref="K5211:K5217" si="1374">K5210</f>
        <v>10</v>
      </c>
      <c r="L5211" s="250">
        <v>1</v>
      </c>
      <c r="M5211" s="163" t="str">
        <f t="shared" si="1370"/>
        <v>31897,39 Гкал(лимиты выделенные УЖКХ) *0,00053339/10чел.</v>
      </c>
      <c r="N5211" s="164">
        <f>N4131</f>
        <v>2976.2517908205036</v>
      </c>
      <c r="O5211" s="165">
        <f t="shared" si="1371"/>
        <v>5063.7200489999996</v>
      </c>
      <c r="P5211" s="166"/>
      <c r="Q5211" s="166">
        <f t="shared" si="1372"/>
        <v>50637.200489999996</v>
      </c>
      <c r="R5211" s="71"/>
    </row>
    <row r="5212" spans="1:18" s="61" customFormat="1" ht="31.5" x14ac:dyDescent="0.25">
      <c r="A5212" s="358"/>
      <c r="B5212" s="361"/>
      <c r="C5212" s="364" t="s">
        <v>74</v>
      </c>
      <c r="D5212" s="222" t="s">
        <v>12</v>
      </c>
      <c r="E5212" s="222" t="s">
        <v>11</v>
      </c>
      <c r="F5212" s="222" t="s">
        <v>11</v>
      </c>
      <c r="G5212" s="238">
        <f>MROUND(H5212*L5212*I5212/K5212,0.00000000001)</f>
        <v>9.853055842629999</v>
      </c>
      <c r="H5212" s="224">
        <f>H3412</f>
        <v>184725.17</v>
      </c>
      <c r="I5212" s="159">
        <f t="shared" si="1373"/>
        <v>5.3339000000000001E-4</v>
      </c>
      <c r="J5212" s="160"/>
      <c r="K5212" s="161">
        <f t="shared" si="1374"/>
        <v>10</v>
      </c>
      <c r="L5212" s="250">
        <v>1</v>
      </c>
      <c r="M5212" s="163" t="str">
        <f t="shared" si="1370"/>
        <v>184725,17 м3(лимиты выделенные УЖКХ) *0,00053339/10чел.</v>
      </c>
      <c r="N5212" s="164">
        <f>N3412</f>
        <v>54.214180016724306</v>
      </c>
      <c r="O5212" s="165">
        <f t="shared" si="1371"/>
        <v>534.175343</v>
      </c>
      <c r="P5212" s="166"/>
      <c r="Q5212" s="166">
        <f t="shared" si="1372"/>
        <v>5341.7534299999998</v>
      </c>
      <c r="R5212" s="71"/>
    </row>
    <row r="5213" spans="1:18" s="61" customFormat="1" ht="47.25" x14ac:dyDescent="0.25">
      <c r="A5213" s="358"/>
      <c r="B5213" s="361"/>
      <c r="C5213" s="364"/>
      <c r="D5213" s="222" t="s">
        <v>17</v>
      </c>
      <c r="E5213" s="222" t="s">
        <v>11</v>
      </c>
      <c r="F5213" s="222" t="s">
        <v>11</v>
      </c>
      <c r="G5213" s="238">
        <f>MROUND(H5213*L5213*I5213/K5213,0.00000000001)</f>
        <v>9.853055842629999</v>
      </c>
      <c r="H5213" s="160">
        <f>H4133</f>
        <v>184725.17</v>
      </c>
      <c r="I5213" s="159">
        <f t="shared" si="1373"/>
        <v>5.3339000000000001E-4</v>
      </c>
      <c r="J5213" s="160"/>
      <c r="K5213" s="161">
        <f t="shared" si="1374"/>
        <v>10</v>
      </c>
      <c r="L5213" s="162">
        <f>$L$25</f>
        <v>1</v>
      </c>
      <c r="M5213" s="163" t="str">
        <f t="shared" si="1370"/>
        <v>184725,17 м3(лимиты выделенные УЖКХ) *0,00053339/10чел.</v>
      </c>
      <c r="N5213" s="164">
        <f>N3413</f>
        <v>82.384170780821918</v>
      </c>
      <c r="O5213" s="165">
        <f t="shared" si="1371"/>
        <v>811.73583499999995</v>
      </c>
      <c r="P5213" s="166"/>
      <c r="Q5213" s="166">
        <f t="shared" si="1372"/>
        <v>8117.3583499999995</v>
      </c>
      <c r="R5213" s="71"/>
    </row>
    <row r="5214" spans="1:18" s="61" customFormat="1" ht="31.5" x14ac:dyDescent="0.25">
      <c r="A5214" s="358"/>
      <c r="B5214" s="361"/>
      <c r="C5214" s="364"/>
      <c r="D5214" s="222" t="s">
        <v>13</v>
      </c>
      <c r="E5214" s="222" t="s">
        <v>11</v>
      </c>
      <c r="F5214" s="222" t="s">
        <v>11</v>
      </c>
      <c r="G5214" s="238">
        <f>MROUND(H5214*L5214*I5214/K5214,0.00000000001)</f>
        <v>9.853055842629999</v>
      </c>
      <c r="H5214" s="160">
        <f>H3414</f>
        <v>184725.17</v>
      </c>
      <c r="I5214" s="159">
        <f t="shared" si="1373"/>
        <v>5.3339000000000001E-4</v>
      </c>
      <c r="J5214" s="160"/>
      <c r="K5214" s="161">
        <f t="shared" si="1374"/>
        <v>10</v>
      </c>
      <c r="L5214" s="162">
        <v>1</v>
      </c>
      <c r="M5214" s="163" t="str">
        <f t="shared" si="1370"/>
        <v>184725,17 м3(лимиты выделенные УЖКХ) *0,00053339/10чел.</v>
      </c>
      <c r="N5214" s="164">
        <f>N3414</f>
        <v>112.36110334722464</v>
      </c>
      <c r="O5214" s="165">
        <f>MROUND(G5214*N5214,0.00000001)</f>
        <v>1107.1002258200001</v>
      </c>
      <c r="P5214" s="166"/>
      <c r="Q5214" s="166">
        <f t="shared" si="1372"/>
        <v>11071.002258200002</v>
      </c>
      <c r="R5214" s="71"/>
    </row>
    <row r="5215" spans="1:18" s="61" customFormat="1" ht="31.5" x14ac:dyDescent="0.25">
      <c r="A5215" s="358"/>
      <c r="B5215" s="361"/>
      <c r="C5215" s="221" t="s">
        <v>75</v>
      </c>
      <c r="D5215" s="222" t="s">
        <v>18</v>
      </c>
      <c r="E5215" s="222" t="s">
        <v>48</v>
      </c>
      <c r="F5215" s="222" t="s">
        <v>48</v>
      </c>
      <c r="G5215" s="238">
        <f>MROUND(H5215*L5215*I5215/K5215,0.0000000001)</f>
        <v>0.74075069640000002</v>
      </c>
      <c r="H5215" s="160">
        <f>H3415</f>
        <v>13887.6</v>
      </c>
      <c r="I5215" s="159">
        <f t="shared" si="1373"/>
        <v>5.3339000000000001E-4</v>
      </c>
      <c r="J5215" s="160"/>
      <c r="K5215" s="161">
        <f t="shared" si="1374"/>
        <v>10</v>
      </c>
      <c r="L5215" s="250">
        <v>1</v>
      </c>
      <c r="M5215" s="163" t="str">
        <f t="shared" si="1370"/>
        <v>13887,6 тыс. м3(лимиты выделенные УЖКХ) *0,00053339/10чел.</v>
      </c>
      <c r="N5215" s="164">
        <f>N3415</f>
        <v>30.576235634666901</v>
      </c>
      <c r="O5215" s="165">
        <f t="shared" ref="O5215" si="1375">MROUND(G5215*N5215,0.000001)</f>
        <v>22.649367999999999</v>
      </c>
      <c r="P5215" s="166"/>
      <c r="Q5215" s="166">
        <f t="shared" si="1372"/>
        <v>226.49367999999998</v>
      </c>
      <c r="R5215" s="71"/>
    </row>
    <row r="5216" spans="1:18" s="61" customFormat="1" x14ac:dyDescent="0.25">
      <c r="A5216" s="358"/>
      <c r="B5216" s="361"/>
      <c r="C5216" s="364" t="s">
        <v>216</v>
      </c>
      <c r="D5216" s="222" t="s">
        <v>23</v>
      </c>
      <c r="E5216" s="222" t="s">
        <v>11</v>
      </c>
      <c r="F5216" s="222" t="s">
        <v>11</v>
      </c>
      <c r="G5216" s="238">
        <f>MROUND(H5216*L5216*I5216/K5216,0.000000000001)</f>
        <v>0.17967988896000001</v>
      </c>
      <c r="H5216" s="160">
        <f>H3416</f>
        <v>3368.6400000000003</v>
      </c>
      <c r="I5216" s="159">
        <f t="shared" si="1373"/>
        <v>5.3339000000000001E-4</v>
      </c>
      <c r="J5216" s="160"/>
      <c r="K5216" s="161">
        <f t="shared" si="1374"/>
        <v>10</v>
      </c>
      <c r="L5216" s="162">
        <f>L5215</f>
        <v>1</v>
      </c>
      <c r="M5216" s="163" t="str">
        <f>CONCATENATE(H5216," ",F5216," ","*",I5216,"/",K5216,"чел.")</f>
        <v>3368,64 м3 *0,00053339/10чел.</v>
      </c>
      <c r="N5216" s="164">
        <f>N3416</f>
        <v>776.35552626579261</v>
      </c>
      <c r="O5216" s="165">
        <f>MROUND(G5216*N5216,0.00000001)</f>
        <v>139.49547475</v>
      </c>
      <c r="P5216" s="166"/>
      <c r="Q5216" s="166">
        <f t="shared" si="1372"/>
        <v>1394.9547474999999</v>
      </c>
      <c r="R5216" s="71"/>
    </row>
    <row r="5217" spans="1:18" s="61" customFormat="1" ht="47.25" x14ac:dyDescent="0.25">
      <c r="A5217" s="358"/>
      <c r="B5217" s="361"/>
      <c r="C5217" s="364"/>
      <c r="D5217" s="222" t="s">
        <v>24</v>
      </c>
      <c r="E5217" s="222" t="s">
        <v>25</v>
      </c>
      <c r="F5217" s="222" t="s">
        <v>217</v>
      </c>
      <c r="G5217" s="238">
        <f>MROUND(H5217*L5217*I5217/K5217,0.000000000001)</f>
        <v>7.8408330000000002E-3</v>
      </c>
      <c r="H5217" s="160">
        <f>H4497</f>
        <v>147</v>
      </c>
      <c r="I5217" s="159">
        <f t="shared" si="1373"/>
        <v>5.3339000000000001E-4</v>
      </c>
      <c r="J5217" s="160"/>
      <c r="K5217" s="161">
        <f t="shared" si="1374"/>
        <v>10</v>
      </c>
      <c r="L5217" s="250">
        <f>L5216</f>
        <v>1</v>
      </c>
      <c r="M5217" s="163" t="str">
        <f>CONCATENATE(H5217," ",F5217,"(потребность из расчета 4 контейнера для уборки территории весной и осенью на 1 учреждение)","*",I5217,"/",K5217,"чел.")</f>
        <v>147 контейнера(потребность из расчета 4 контейнера для уборки территории весной и осенью на 1 учреждение)*0,00053339/10чел.</v>
      </c>
      <c r="N5217" s="164">
        <f>N4497</f>
        <v>6047.8105442176911</v>
      </c>
      <c r="O5217" s="165">
        <f t="shared" ref="O5217" si="1376">MROUND(G5217*N5217,0.000001)</f>
        <v>47.419871999999998</v>
      </c>
      <c r="P5217" s="166"/>
      <c r="Q5217" s="166">
        <f t="shared" si="1372"/>
        <v>474.19871999999998</v>
      </c>
      <c r="R5217" s="71"/>
    </row>
    <row r="5218" spans="1:18" s="62" customFormat="1" x14ac:dyDescent="0.25">
      <c r="A5218" s="358"/>
      <c r="B5218" s="361"/>
      <c r="C5218" s="218" t="s">
        <v>290</v>
      </c>
      <c r="D5218" s="226"/>
      <c r="E5218" s="226"/>
      <c r="F5218" s="226"/>
      <c r="G5218" s="227"/>
      <c r="H5218" s="228"/>
      <c r="I5218" s="206"/>
      <c r="J5218" s="228"/>
      <c r="K5218" s="207"/>
      <c r="L5218" s="257"/>
      <c r="M5218" s="209"/>
      <c r="N5218" s="210"/>
      <c r="O5218" s="198">
        <f>SUM(O5210:O5217)</f>
        <v>9652.1213385700012</v>
      </c>
      <c r="P5218" s="267"/>
      <c r="Q5218" s="166"/>
      <c r="R5218" s="71"/>
    </row>
    <row r="5219" spans="1:18" s="61" customFormat="1" x14ac:dyDescent="0.25">
      <c r="A5219" s="358"/>
      <c r="B5219" s="361"/>
      <c r="C5219" s="221"/>
      <c r="D5219" s="356" t="s">
        <v>14</v>
      </c>
      <c r="E5219" s="356"/>
      <c r="F5219" s="356"/>
      <c r="G5219" s="356"/>
      <c r="H5219" s="188"/>
      <c r="I5219" s="159"/>
      <c r="J5219" s="188"/>
      <c r="K5219" s="161"/>
      <c r="L5219" s="250"/>
      <c r="M5219" s="230"/>
      <c r="N5219" s="164"/>
      <c r="O5219" s="198">
        <f>O5227+O5228+O5223</f>
        <v>10099.006772139999</v>
      </c>
      <c r="P5219" s="166"/>
      <c r="Q5219" s="166"/>
      <c r="R5219" s="71"/>
    </row>
    <row r="5220" spans="1:18" s="61" customFormat="1" x14ac:dyDescent="0.25">
      <c r="A5220" s="358"/>
      <c r="B5220" s="361"/>
      <c r="C5220" s="221" t="s">
        <v>379</v>
      </c>
      <c r="D5220" s="231" t="s">
        <v>49</v>
      </c>
      <c r="E5220" s="231" t="s">
        <v>22</v>
      </c>
      <c r="F5220" s="231" t="s">
        <v>22</v>
      </c>
      <c r="G5220" s="238">
        <f>MROUND(H5220*L5220*I5220/K5220,0.000000001)</f>
        <v>0</v>
      </c>
      <c r="H5220" s="160"/>
      <c r="I5220" s="159">
        <f>I5215</f>
        <v>5.3339000000000001E-4</v>
      </c>
      <c r="J5220" s="160"/>
      <c r="K5220" s="161">
        <f>K5215</f>
        <v>10</v>
      </c>
      <c r="L5220" s="250"/>
      <c r="M5220" s="163"/>
      <c r="N5220" s="164"/>
      <c r="O5220" s="165">
        <f>MROUND(G5220*N5220,0.00000001)</f>
        <v>0</v>
      </c>
      <c r="P5220" s="166"/>
      <c r="Q5220" s="166">
        <f t="shared" ref="Q5220:Q5222" si="1377">O5220*K5220</f>
        <v>0</v>
      </c>
      <c r="R5220" s="71"/>
    </row>
    <row r="5221" spans="1:18" s="61" customFormat="1" x14ac:dyDescent="0.25">
      <c r="A5221" s="358"/>
      <c r="B5221" s="361"/>
      <c r="C5221" s="221" t="s">
        <v>379</v>
      </c>
      <c r="D5221" s="231" t="s">
        <v>49</v>
      </c>
      <c r="E5221" s="231" t="s">
        <v>28</v>
      </c>
      <c r="F5221" s="231" t="s">
        <v>28</v>
      </c>
      <c r="G5221" s="238">
        <f>MROUND(H5221*L5221*I5221/K5221,0.000000001)</f>
        <v>0</v>
      </c>
      <c r="H5221" s="160"/>
      <c r="I5221" s="159">
        <f t="shared" si="1373"/>
        <v>5.3339000000000001E-4</v>
      </c>
      <c r="J5221" s="160"/>
      <c r="K5221" s="161">
        <f>K5220</f>
        <v>10</v>
      </c>
      <c r="L5221" s="250">
        <v>1</v>
      </c>
      <c r="M5221" s="163"/>
      <c r="N5221" s="164"/>
      <c r="O5221" s="165">
        <f>MROUND(G5221*N5221,0.00000001)</f>
        <v>0</v>
      </c>
      <c r="P5221" s="166"/>
      <c r="Q5221" s="166">
        <f t="shared" si="1377"/>
        <v>0</v>
      </c>
      <c r="R5221" s="71"/>
    </row>
    <row r="5222" spans="1:18" s="61" customFormat="1" x14ac:dyDescent="0.25">
      <c r="A5222" s="358"/>
      <c r="B5222" s="361"/>
      <c r="C5222" s="221" t="s">
        <v>379</v>
      </c>
      <c r="D5222" s="231" t="s">
        <v>49</v>
      </c>
      <c r="E5222" s="231" t="s">
        <v>101</v>
      </c>
      <c r="F5222" s="231" t="s">
        <v>101</v>
      </c>
      <c r="G5222" s="238">
        <f>MROUND(H5222*L5222*I5222/K5222,0.000000001)</f>
        <v>0</v>
      </c>
      <c r="H5222" s="160"/>
      <c r="I5222" s="159">
        <f t="shared" si="1373"/>
        <v>5.3339000000000001E-4</v>
      </c>
      <c r="J5222" s="160"/>
      <c r="K5222" s="161">
        <f>K5221</f>
        <v>10</v>
      </c>
      <c r="L5222" s="250"/>
      <c r="M5222" s="163"/>
      <c r="N5222" s="164"/>
      <c r="O5222" s="165">
        <f>MROUND(G5222*N5222,0.00000001)</f>
        <v>0</v>
      </c>
      <c r="P5222" s="166"/>
      <c r="Q5222" s="166">
        <f t="shared" si="1377"/>
        <v>0</v>
      </c>
      <c r="R5222" s="71"/>
    </row>
    <row r="5223" spans="1:18" s="62" customFormat="1" x14ac:dyDescent="0.25">
      <c r="A5223" s="358"/>
      <c r="B5223" s="361"/>
      <c r="C5223" s="218" t="s">
        <v>380</v>
      </c>
      <c r="D5223" s="232"/>
      <c r="E5223" s="232"/>
      <c r="F5223" s="232"/>
      <c r="G5223" s="227"/>
      <c r="H5223" s="228"/>
      <c r="I5223" s="206"/>
      <c r="J5223" s="228"/>
      <c r="K5223" s="207"/>
      <c r="L5223" s="257"/>
      <c r="M5223" s="209"/>
      <c r="N5223" s="210"/>
      <c r="O5223" s="198">
        <f>SUM(O5220:O5222)</f>
        <v>0</v>
      </c>
      <c r="P5223" s="267"/>
      <c r="Q5223" s="166"/>
      <c r="R5223" s="71"/>
    </row>
    <row r="5224" spans="1:18" s="61" customFormat="1" x14ac:dyDescent="0.25">
      <c r="A5224" s="358"/>
      <c r="B5224" s="361"/>
      <c r="C5224" s="221" t="s">
        <v>76</v>
      </c>
      <c r="D5224" s="231" t="s">
        <v>49</v>
      </c>
      <c r="E5224" s="231" t="s">
        <v>22</v>
      </c>
      <c r="F5224" s="231" t="s">
        <v>22</v>
      </c>
      <c r="G5224" s="238">
        <f>MROUND(H5224*L5224*I5224/K5224,0.000000000000001)</f>
        <v>65.28851323423001</v>
      </c>
      <c r="H5224" s="160">
        <f>H4384</f>
        <v>1224029.57</v>
      </c>
      <c r="I5224" s="159">
        <f>I5220</f>
        <v>5.3339000000000001E-4</v>
      </c>
      <c r="J5224" s="160"/>
      <c r="K5224" s="161">
        <f>K5222</f>
        <v>10</v>
      </c>
      <c r="L5224" s="250">
        <v>1</v>
      </c>
      <c r="M5224" s="163" t="str">
        <f>CONCATENATE(H5224," ",F5224,"*",I5224,"/",K5224,"чел.")</f>
        <v>1224029,57 м2*0,00053339/10чел.</v>
      </c>
      <c r="N5224" s="164">
        <f>N4384</f>
        <v>37.50494361014497</v>
      </c>
      <c r="O5224" s="165">
        <f>MROUND(G5224*N5224,0.00000000001)</f>
        <v>2448.6420072399997</v>
      </c>
      <c r="P5224" s="166"/>
      <c r="Q5224" s="166">
        <f t="shared" ref="Q5224:Q5226" si="1378">O5224*K5224</f>
        <v>24486.420072399997</v>
      </c>
      <c r="R5224" s="71"/>
    </row>
    <row r="5225" spans="1:18" s="61" customFormat="1" x14ac:dyDescent="0.25">
      <c r="A5225" s="358"/>
      <c r="B5225" s="361"/>
      <c r="C5225" s="221"/>
      <c r="D5225" s="231" t="s">
        <v>49</v>
      </c>
      <c r="E5225" s="231" t="s">
        <v>28</v>
      </c>
      <c r="F5225" s="231" t="s">
        <v>28</v>
      </c>
      <c r="G5225" s="238">
        <f>MROUND(H5225*L5225*I5225/K5225,0.00000000001)</f>
        <v>5.8992933999999997E-2</v>
      </c>
      <c r="H5225" s="160">
        <f>H4385</f>
        <v>1106</v>
      </c>
      <c r="I5225" s="159">
        <f t="shared" si="1373"/>
        <v>5.3339000000000001E-4</v>
      </c>
      <c r="J5225" s="160"/>
      <c r="K5225" s="161">
        <f>K5224</f>
        <v>10</v>
      </c>
      <c r="L5225" s="250">
        <v>1</v>
      </c>
      <c r="M5225" s="163" t="str">
        <f>CONCATENATE(H5225," ",F5225,"*",I5225,"/",K5225,"чел.")</f>
        <v>1106 шт*0,00053339/10чел.</v>
      </c>
      <c r="N5225" s="164">
        <f>N4385</f>
        <v>86192.676311030737</v>
      </c>
      <c r="O5225" s="165">
        <f>MROUND(G5225*N5225,0.00000000001)</f>
        <v>5084.7588648999999</v>
      </c>
      <c r="P5225" s="166"/>
      <c r="Q5225" s="166">
        <f t="shared" si="1378"/>
        <v>50847.588648999998</v>
      </c>
      <c r="R5225" s="71"/>
    </row>
    <row r="5226" spans="1:18" s="61" customFormat="1" x14ac:dyDescent="0.25">
      <c r="A5226" s="358"/>
      <c r="B5226" s="361"/>
      <c r="C5226" s="221"/>
      <c r="D5226" s="231" t="s">
        <v>49</v>
      </c>
      <c r="E5226" s="231" t="s">
        <v>101</v>
      </c>
      <c r="F5226" s="231" t="s">
        <v>101</v>
      </c>
      <c r="G5226" s="238">
        <f>MROUND(H5226*L5226*I5226/K5226,0.000000001)</f>
        <v>1.95594113</v>
      </c>
      <c r="H5226" s="160">
        <f>H4386</f>
        <v>36670</v>
      </c>
      <c r="I5226" s="159">
        <f t="shared" si="1373"/>
        <v>5.3339000000000001E-4</v>
      </c>
      <c r="J5226" s="160"/>
      <c r="K5226" s="161">
        <f>K5225</f>
        <v>10</v>
      </c>
      <c r="L5226" s="250">
        <v>1</v>
      </c>
      <c r="M5226" s="163" t="str">
        <f>CONCATENATE(H5226," ",F5226,"*",I5226,"/",K5226,"чел.")</f>
        <v>36670 погон.м.*0,00053339/10чел.</v>
      </c>
      <c r="N5226" s="164">
        <f>N4386</f>
        <v>1311.6989364603219</v>
      </c>
      <c r="O5226" s="165">
        <f>MROUND(G5226*N5226,0.00000001)</f>
        <v>2565.6059</v>
      </c>
      <c r="P5226" s="166"/>
      <c r="Q5226" s="166">
        <f t="shared" si="1378"/>
        <v>25656.059000000001</v>
      </c>
      <c r="R5226" s="71"/>
    </row>
    <row r="5227" spans="1:18" s="62" customFormat="1" x14ac:dyDescent="0.25">
      <c r="A5227" s="358"/>
      <c r="B5227" s="361"/>
      <c r="C5227" s="218" t="s">
        <v>291</v>
      </c>
      <c r="D5227" s="232"/>
      <c r="E5227" s="232"/>
      <c r="F5227" s="232"/>
      <c r="G5227" s="227"/>
      <c r="H5227" s="228"/>
      <c r="I5227" s="206"/>
      <c r="J5227" s="228"/>
      <c r="K5227" s="207"/>
      <c r="L5227" s="257"/>
      <c r="M5227" s="209"/>
      <c r="N5227" s="210"/>
      <c r="O5227" s="198">
        <f>SUM(O5224:O5226)</f>
        <v>10099.006772139999</v>
      </c>
      <c r="P5227" s="267"/>
      <c r="Q5227" s="166"/>
      <c r="R5227" s="71"/>
    </row>
    <row r="5228" spans="1:18" s="61" customFormat="1" x14ac:dyDescent="0.25">
      <c r="A5228" s="358"/>
      <c r="B5228" s="361"/>
      <c r="C5228" s="221" t="s">
        <v>77</v>
      </c>
      <c r="D5228" s="231"/>
      <c r="E5228" s="231"/>
      <c r="F5228" s="231"/>
      <c r="G5228" s="238">
        <f>MROUND(H5228*L5228*I5228/K5228,0.00000000001)</f>
        <v>0</v>
      </c>
      <c r="H5228" s="160">
        <f>H4988</f>
        <v>0</v>
      </c>
      <c r="I5228" s="159">
        <f>I5226</f>
        <v>5.3339000000000001E-4</v>
      </c>
      <c r="J5228" s="160"/>
      <c r="K5228" s="161">
        <f>K5226</f>
        <v>10</v>
      </c>
      <c r="L5228" s="250"/>
      <c r="M5228" s="163"/>
      <c r="N5228" s="164">
        <f>N4988</f>
        <v>0</v>
      </c>
      <c r="O5228" s="165">
        <f>MROUND(G5228*N5228,0.000000001)</f>
        <v>0</v>
      </c>
      <c r="P5228" s="166"/>
      <c r="Q5228" s="166">
        <f t="shared" ref="Q5228" si="1379">O5228*K5228</f>
        <v>0</v>
      </c>
      <c r="R5228" s="71"/>
    </row>
    <row r="5229" spans="1:18" s="62" customFormat="1" x14ac:dyDescent="0.25">
      <c r="A5229" s="358"/>
      <c r="B5229" s="361"/>
      <c r="C5229" s="218" t="s">
        <v>292</v>
      </c>
      <c r="D5229" s="232"/>
      <c r="E5229" s="232"/>
      <c r="F5229" s="232"/>
      <c r="G5229" s="227"/>
      <c r="H5229" s="228"/>
      <c r="I5229" s="206"/>
      <c r="J5229" s="228"/>
      <c r="K5229" s="207"/>
      <c r="L5229" s="257"/>
      <c r="M5229" s="209"/>
      <c r="N5229" s="210"/>
      <c r="O5229" s="198">
        <f>O5228</f>
        <v>0</v>
      </c>
      <c r="P5229" s="267"/>
      <c r="Q5229" s="166"/>
      <c r="R5229" s="71"/>
    </row>
    <row r="5230" spans="1:18" s="61" customFormat="1" x14ac:dyDescent="0.25">
      <c r="A5230" s="358"/>
      <c r="B5230" s="361"/>
      <c r="C5230" s="221"/>
      <c r="D5230" s="350" t="s">
        <v>65</v>
      </c>
      <c r="E5230" s="350"/>
      <c r="F5230" s="350"/>
      <c r="G5230" s="350"/>
      <c r="H5230" s="195"/>
      <c r="I5230" s="159"/>
      <c r="J5230" s="195"/>
      <c r="K5230" s="161"/>
      <c r="L5230" s="196"/>
      <c r="M5230" s="230"/>
      <c r="N5230" s="164"/>
      <c r="O5230" s="165">
        <f t="shared" ref="O5230:O5231" si="1380">MROUND(G5230*N5230,0.000001)</f>
        <v>0</v>
      </c>
      <c r="P5230" s="166"/>
      <c r="Q5230" s="166"/>
      <c r="R5230" s="71"/>
    </row>
    <row r="5231" spans="1:18" s="61" customFormat="1" x14ac:dyDescent="0.25">
      <c r="A5231" s="358"/>
      <c r="B5231" s="361"/>
      <c r="C5231" s="221"/>
      <c r="D5231" s="194"/>
      <c r="E5231" s="194"/>
      <c r="F5231" s="194"/>
      <c r="G5231" s="217"/>
      <c r="H5231" s="195"/>
      <c r="I5231" s="159"/>
      <c r="J5231" s="195"/>
      <c r="K5231" s="161"/>
      <c r="L5231" s="196"/>
      <c r="M5231" s="230"/>
      <c r="N5231" s="164"/>
      <c r="O5231" s="165">
        <f t="shared" si="1380"/>
        <v>0</v>
      </c>
      <c r="P5231" s="166"/>
      <c r="Q5231" s="166"/>
      <c r="R5231" s="71"/>
    </row>
    <row r="5232" spans="1:18" s="61" customFormat="1" x14ac:dyDescent="0.25">
      <c r="A5232" s="358"/>
      <c r="B5232" s="361"/>
      <c r="C5232" s="221" t="s">
        <v>357</v>
      </c>
      <c r="D5232" s="368" t="s">
        <v>66</v>
      </c>
      <c r="E5232" s="368"/>
      <c r="F5232" s="368"/>
      <c r="G5232" s="368"/>
      <c r="H5232" s="195"/>
      <c r="I5232" s="159"/>
      <c r="J5232" s="195"/>
      <c r="K5232" s="161"/>
      <c r="L5232" s="234"/>
      <c r="M5232" s="230"/>
      <c r="N5232" s="164"/>
      <c r="O5232" s="198">
        <f>O5233</f>
        <v>30.273570999999997</v>
      </c>
      <c r="P5232" s="166"/>
      <c r="Q5232" s="166"/>
      <c r="R5232" s="71"/>
    </row>
    <row r="5233" spans="1:41" s="61" customFormat="1" ht="47.25" x14ac:dyDescent="0.25">
      <c r="A5233" s="358"/>
      <c r="B5233" s="361"/>
      <c r="C5233" s="221"/>
      <c r="D5233" s="222" t="s">
        <v>374</v>
      </c>
      <c r="E5233" s="194" t="s">
        <v>28</v>
      </c>
      <c r="F5233" s="194" t="s">
        <v>28</v>
      </c>
      <c r="G5233" s="217">
        <f>MROUND(H5233*L5233*I5233/K5233,0.000000001)</f>
        <v>7.6808160000000009E-3</v>
      </c>
      <c r="H5233" s="201">
        <f>H4633</f>
        <v>36</v>
      </c>
      <c r="I5233" s="159">
        <f>I5228</f>
        <v>5.3339000000000001E-4</v>
      </c>
      <c r="J5233" s="195"/>
      <c r="K5233" s="161">
        <f>K5228</f>
        <v>10</v>
      </c>
      <c r="L5233" s="235">
        <f>L4633</f>
        <v>4</v>
      </c>
      <c r="M5233" s="163" t="str">
        <f>CONCATENATE(H5233," ",F5233,"*",I5233,"/",K5233,"чел.")</f>
        <v>36 шт*0,00053339/10чел.</v>
      </c>
      <c r="N5233" s="164">
        <f>N4633</f>
        <v>3941.4525000000012</v>
      </c>
      <c r="O5233" s="165">
        <f>MROUND(G5233*N5233,0.000001)</f>
        <v>30.273570999999997</v>
      </c>
      <c r="P5233" s="166"/>
      <c r="Q5233" s="166">
        <f t="shared" ref="Q5233" si="1381">O5233*K5233</f>
        <v>302.73570999999998</v>
      </c>
      <c r="R5233" s="71"/>
    </row>
    <row r="5234" spans="1:41" s="61" customFormat="1" x14ac:dyDescent="0.25">
      <c r="A5234" s="358"/>
      <c r="B5234" s="361"/>
      <c r="C5234" s="221"/>
      <c r="D5234" s="368" t="s">
        <v>67</v>
      </c>
      <c r="E5234" s="368"/>
      <c r="F5234" s="368"/>
      <c r="G5234" s="368"/>
      <c r="H5234" s="195"/>
      <c r="I5234" s="159"/>
      <c r="J5234" s="195"/>
      <c r="K5234" s="161"/>
      <c r="L5234" s="196"/>
      <c r="M5234" s="230"/>
      <c r="N5234" s="164"/>
      <c r="O5234" s="165">
        <f t="shared" ref="O5234:O5237" si="1382">MROUND(G5234*N5234,0.000001)</f>
        <v>0</v>
      </c>
      <c r="P5234" s="166"/>
      <c r="Q5234" s="166"/>
      <c r="R5234" s="71"/>
    </row>
    <row r="5235" spans="1:41" s="61" customFormat="1" x14ac:dyDescent="0.25">
      <c r="A5235" s="358"/>
      <c r="B5235" s="361"/>
      <c r="C5235" s="221"/>
      <c r="D5235" s="194"/>
      <c r="E5235" s="194"/>
      <c r="F5235" s="194"/>
      <c r="G5235" s="217"/>
      <c r="H5235" s="195"/>
      <c r="I5235" s="159"/>
      <c r="J5235" s="195"/>
      <c r="K5235" s="161"/>
      <c r="L5235" s="196"/>
      <c r="M5235" s="230"/>
      <c r="N5235" s="164"/>
      <c r="O5235" s="165">
        <f t="shared" si="1382"/>
        <v>0</v>
      </c>
      <c r="P5235" s="166"/>
      <c r="Q5235" s="166"/>
      <c r="R5235" s="71"/>
    </row>
    <row r="5236" spans="1:41" s="61" customFormat="1" x14ac:dyDescent="0.25">
      <c r="A5236" s="358"/>
      <c r="B5236" s="361"/>
      <c r="C5236" s="221"/>
      <c r="D5236" s="350" t="s">
        <v>68</v>
      </c>
      <c r="E5236" s="350"/>
      <c r="F5236" s="350"/>
      <c r="G5236" s="350"/>
      <c r="H5236" s="195"/>
      <c r="I5236" s="159"/>
      <c r="J5236" s="195"/>
      <c r="K5236" s="161"/>
      <c r="L5236" s="196"/>
      <c r="M5236" s="230"/>
      <c r="N5236" s="164"/>
      <c r="O5236" s="165">
        <f t="shared" si="1382"/>
        <v>0</v>
      </c>
      <c r="P5236" s="166"/>
      <c r="Q5236" s="166"/>
      <c r="R5236" s="71"/>
    </row>
    <row r="5237" spans="1:41" s="61" customFormat="1" x14ac:dyDescent="0.25">
      <c r="A5237" s="358"/>
      <c r="B5237" s="361"/>
      <c r="C5237" s="221"/>
      <c r="D5237" s="156"/>
      <c r="E5237" s="156"/>
      <c r="F5237" s="156"/>
      <c r="G5237" s="236"/>
      <c r="H5237" s="195"/>
      <c r="I5237" s="159"/>
      <c r="J5237" s="195"/>
      <c r="K5237" s="161"/>
      <c r="L5237" s="196"/>
      <c r="M5237" s="230"/>
      <c r="N5237" s="164"/>
      <c r="O5237" s="165">
        <f t="shared" si="1382"/>
        <v>0</v>
      </c>
      <c r="P5237" s="166"/>
      <c r="Q5237" s="166"/>
      <c r="R5237" s="71"/>
    </row>
    <row r="5238" spans="1:41" s="61" customFormat="1" x14ac:dyDescent="0.25">
      <c r="A5238" s="358"/>
      <c r="B5238" s="361"/>
      <c r="C5238" s="221"/>
      <c r="D5238" s="368" t="s">
        <v>69</v>
      </c>
      <c r="E5238" s="368"/>
      <c r="F5238" s="368"/>
      <c r="G5238" s="368"/>
      <c r="H5238" s="187"/>
      <c r="I5238" s="159"/>
      <c r="J5238" s="187"/>
      <c r="K5238" s="161"/>
      <c r="L5238" s="276"/>
      <c r="M5238" s="230"/>
      <c r="N5238" s="164"/>
      <c r="O5238" s="198">
        <f>O5240+O5247+O5264+O5266+O5281+O5283+O5285+O5310+O5312+O5317+O5314</f>
        <v>1231.9805428799998</v>
      </c>
      <c r="P5238" s="166"/>
      <c r="Q5238" s="166"/>
      <c r="R5238" s="71"/>
    </row>
    <row r="5239" spans="1:41" s="61" customFormat="1" x14ac:dyDescent="0.25">
      <c r="A5239" s="358"/>
      <c r="B5239" s="361"/>
      <c r="C5239" s="221">
        <v>224</v>
      </c>
      <c r="D5239" s="156" t="s">
        <v>21</v>
      </c>
      <c r="E5239" s="156" t="s">
        <v>22</v>
      </c>
      <c r="F5239" s="156" t="s">
        <v>22</v>
      </c>
      <c r="G5239" s="238">
        <f>MROUND(H5239*L5239*I5239/K5239,0.000001)</f>
        <v>0</v>
      </c>
      <c r="H5239" s="158"/>
      <c r="I5239" s="159">
        <f>I5233</f>
        <v>5.3339000000000001E-4</v>
      </c>
      <c r="J5239" s="160"/>
      <c r="K5239" s="161">
        <f>K5233</f>
        <v>10</v>
      </c>
      <c r="L5239" s="250"/>
      <c r="M5239" s="163"/>
      <c r="N5239" s="164"/>
      <c r="O5239" s="165">
        <f>MROUND(G5239*N5239,0.000001)</f>
        <v>0</v>
      </c>
      <c r="P5239" s="166"/>
      <c r="Q5239" s="166">
        <f t="shared" ref="Q5239" si="1383">O5239*K5239</f>
        <v>0</v>
      </c>
      <c r="R5239" s="71"/>
    </row>
    <row r="5240" spans="1:41" s="62" customFormat="1" x14ac:dyDescent="0.25">
      <c r="A5240" s="358"/>
      <c r="B5240" s="361"/>
      <c r="C5240" s="218" t="s">
        <v>293</v>
      </c>
      <c r="D5240" s="240"/>
      <c r="E5240" s="240"/>
      <c r="F5240" s="240"/>
      <c r="G5240" s="227"/>
      <c r="H5240" s="241"/>
      <c r="I5240" s="206"/>
      <c r="J5240" s="228"/>
      <c r="K5240" s="207"/>
      <c r="L5240" s="257"/>
      <c r="M5240" s="209"/>
      <c r="N5240" s="210"/>
      <c r="O5240" s="198">
        <f>SUM(O5239)</f>
        <v>0</v>
      </c>
      <c r="P5240" s="267"/>
      <c r="Q5240" s="166"/>
      <c r="R5240" s="71"/>
    </row>
    <row r="5241" spans="1:41" s="61" customFormat="1" ht="31.5" x14ac:dyDescent="0.25">
      <c r="A5241" s="358"/>
      <c r="B5241" s="361"/>
      <c r="C5241" s="364" t="s">
        <v>78</v>
      </c>
      <c r="D5241" s="156" t="s">
        <v>26</v>
      </c>
      <c r="E5241" s="156" t="s">
        <v>22</v>
      </c>
      <c r="F5241" s="156" t="s">
        <v>22</v>
      </c>
      <c r="G5241" s="238">
        <f>MROUND(H5241*L5241*I5241/K5241,0.000001)</f>
        <v>16.539356999999999</v>
      </c>
      <c r="H5241" s="158">
        <f>H3441</f>
        <v>25840</v>
      </c>
      <c r="I5241" s="159">
        <f>I5239</f>
        <v>5.3339000000000001E-4</v>
      </c>
      <c r="J5241" s="160"/>
      <c r="K5241" s="161">
        <f>K5239</f>
        <v>10</v>
      </c>
      <c r="L5241" s="250">
        <v>12</v>
      </c>
      <c r="M5241" s="163" t="str">
        <f>CONCATENATE(H5241," ",F5241,"(обрабатываемая площадь в мес.)","*",L5241,"мес.","*",I5241,"/",K5241,"чел.")</f>
        <v>25840 м2(обрабатываемая площадь в мес.)*12мес.*0,00053339/10чел.</v>
      </c>
      <c r="N5241" s="164">
        <f>N3441</f>
        <v>1.208548374613003</v>
      </c>
      <c r="O5241" s="165">
        <f t="shared" ref="O5241:O5246" si="1384">MROUND(G5241*N5241,0.000001)</f>
        <v>19.988613000000001</v>
      </c>
      <c r="P5241" s="166"/>
      <c r="Q5241" s="166">
        <f t="shared" ref="Q5241:Q5246" si="1385">O5241*K5241</f>
        <v>199.88613000000001</v>
      </c>
      <c r="R5241" s="71"/>
    </row>
    <row r="5242" spans="1:41" s="61" customFormat="1" ht="31.5" x14ac:dyDescent="0.25">
      <c r="A5242" s="358"/>
      <c r="B5242" s="361"/>
      <c r="C5242" s="364"/>
      <c r="D5242" s="156" t="s">
        <v>96</v>
      </c>
      <c r="E5242" s="156" t="s">
        <v>22</v>
      </c>
      <c r="F5242" s="156" t="s">
        <v>22</v>
      </c>
      <c r="G5242" s="238">
        <f>MROUND(H5242*L5242*I5242/K5242,0.000001)</f>
        <v>8.5609099999999998</v>
      </c>
      <c r="H5242" s="158">
        <f>H3442</f>
        <v>13375</v>
      </c>
      <c r="I5242" s="159">
        <f t="shared" si="1373"/>
        <v>5.3339000000000001E-4</v>
      </c>
      <c r="J5242" s="160"/>
      <c r="K5242" s="161">
        <f>K5241</f>
        <v>10</v>
      </c>
      <c r="L5242" s="250">
        <v>12</v>
      </c>
      <c r="M5242" s="163" t="str">
        <f>CONCATENATE(H5242," ",F5242,"(обрабатываемая площадь в мес.)","*",L5242,"мес.","*",I5242,"/",K5242,"чел.")</f>
        <v>13375 м2(обрабатываемая площадь в мес.)*12мес.*0,00053339/10чел.</v>
      </c>
      <c r="N5242" s="164">
        <f>N3442</f>
        <v>1.93823800623053</v>
      </c>
      <c r="O5242" s="165">
        <f t="shared" si="1384"/>
        <v>16.593080999999998</v>
      </c>
      <c r="P5242" s="166"/>
      <c r="Q5242" s="166">
        <f t="shared" si="1385"/>
        <v>165.93080999999998</v>
      </c>
      <c r="R5242" s="71"/>
    </row>
    <row r="5243" spans="1:41" s="135" customFormat="1" ht="31.5" x14ac:dyDescent="0.25">
      <c r="A5243" s="358"/>
      <c r="B5243" s="361"/>
      <c r="C5243" s="364"/>
      <c r="D5243" s="156" t="s">
        <v>385</v>
      </c>
      <c r="E5243" s="156" t="s">
        <v>22</v>
      </c>
      <c r="F5243" s="156" t="s">
        <v>22</v>
      </c>
      <c r="G5243" s="238">
        <f>MROUND(H5243*L5243*I5243/K5243,0.000001)</f>
        <v>17.121818999999999</v>
      </c>
      <c r="H5243" s="242">
        <f>$H$55</f>
        <v>13375</v>
      </c>
      <c r="I5243" s="159">
        <f t="shared" si="1373"/>
        <v>5.3339000000000001E-4</v>
      </c>
      <c r="J5243" s="160"/>
      <c r="K5243" s="161">
        <f>K5242</f>
        <v>10</v>
      </c>
      <c r="L5243" s="162">
        <v>24</v>
      </c>
      <c r="M5243" s="163" t="str">
        <f>CONCATENATE(H5243," ",F5243,"(обрабатываемая площадь в год)","*",L5243," раза в год.","*",I5243,"/",K5243,"чел.")</f>
        <v>13375 м2(обрабатываемая площадь в год)*24 раза в год.*0,00053339/10чел.</v>
      </c>
      <c r="N5243" s="164">
        <f>$N$3443</f>
        <v>2.3942939563862917</v>
      </c>
      <c r="O5243" s="165">
        <f t="shared" si="1384"/>
        <v>40.994667999999997</v>
      </c>
      <c r="P5243" s="166"/>
      <c r="Q5243" s="166">
        <f t="shared" si="1385"/>
        <v>409.94667999999996</v>
      </c>
      <c r="R5243" s="71"/>
      <c r="S5243" s="61"/>
      <c r="T5243" s="61"/>
      <c r="U5243" s="61"/>
      <c r="V5243" s="61"/>
      <c r="W5243" s="61"/>
      <c r="X5243" s="61"/>
      <c r="Y5243" s="61"/>
      <c r="Z5243" s="61"/>
      <c r="AA5243" s="61"/>
      <c r="AB5243" s="61"/>
      <c r="AC5243" s="61"/>
      <c r="AD5243" s="61"/>
      <c r="AE5243" s="61"/>
      <c r="AF5243" s="61"/>
      <c r="AG5243" s="61"/>
      <c r="AH5243" s="61"/>
      <c r="AI5243" s="61"/>
      <c r="AJ5243" s="61"/>
      <c r="AK5243" s="61"/>
      <c r="AL5243" s="61"/>
      <c r="AM5243" s="61"/>
      <c r="AN5243" s="61"/>
      <c r="AO5243" s="61"/>
    </row>
    <row r="5244" spans="1:41" s="135" customFormat="1" ht="31.5" x14ac:dyDescent="0.25">
      <c r="A5244" s="358"/>
      <c r="B5244" s="361"/>
      <c r="C5244" s="364"/>
      <c r="D5244" s="156" t="s">
        <v>394</v>
      </c>
      <c r="E5244" s="156" t="s">
        <v>22</v>
      </c>
      <c r="F5244" s="156" t="s">
        <v>22</v>
      </c>
      <c r="G5244" s="238">
        <f>MROUND(H5244*L5244*I5244/K5244,0.000001)</f>
        <v>16.539356999999999</v>
      </c>
      <c r="H5244" s="243">
        <f>$H$56</f>
        <v>25840</v>
      </c>
      <c r="I5244" s="159">
        <f t="shared" si="1373"/>
        <v>5.3339000000000001E-4</v>
      </c>
      <c r="J5244" s="160"/>
      <c r="K5244" s="161">
        <f>K5243</f>
        <v>10</v>
      </c>
      <c r="L5244" s="162">
        <v>12</v>
      </c>
      <c r="M5244" s="163" t="str">
        <f>CONCATENATE(H5244," ",F5244,"(обрабатываемая площадь в мес.)","*",L5244,"мес.","*",I5244,"/",K5244,"чел.")</f>
        <v>25840 м2(обрабатываемая площадь в мес.)*12мес.*0,00053339/10чел.</v>
      </c>
      <c r="N5244" s="164">
        <f>$N$3444</f>
        <v>0.57007004643962855</v>
      </c>
      <c r="O5244" s="165">
        <f t="shared" si="1384"/>
        <v>9.4285920000000001</v>
      </c>
      <c r="P5244" s="166"/>
      <c r="Q5244" s="166">
        <f t="shared" si="1385"/>
        <v>94.285920000000004</v>
      </c>
      <c r="R5244" s="71"/>
      <c r="S5244" s="61"/>
      <c r="T5244" s="61"/>
      <c r="U5244" s="61"/>
      <c r="V5244" s="61"/>
      <c r="W5244" s="61"/>
      <c r="X5244" s="61"/>
      <c r="Y5244" s="61"/>
      <c r="Z5244" s="61"/>
      <c r="AA5244" s="61"/>
      <c r="AB5244" s="61"/>
      <c r="AC5244" s="61"/>
      <c r="AD5244" s="61"/>
      <c r="AE5244" s="61"/>
      <c r="AF5244" s="61"/>
      <c r="AG5244" s="61"/>
      <c r="AH5244" s="61"/>
      <c r="AI5244" s="61"/>
      <c r="AJ5244" s="61"/>
      <c r="AK5244" s="61"/>
      <c r="AL5244" s="61"/>
      <c r="AM5244" s="61"/>
      <c r="AN5244" s="61"/>
      <c r="AO5244" s="61"/>
    </row>
    <row r="5245" spans="1:41" s="135" customFormat="1" ht="31.5" x14ac:dyDescent="0.25">
      <c r="A5245" s="358"/>
      <c r="B5245" s="361"/>
      <c r="C5245" s="364"/>
      <c r="D5245" s="156" t="s">
        <v>395</v>
      </c>
      <c r="E5245" s="156" t="s">
        <v>98</v>
      </c>
      <c r="F5245" s="156" t="s">
        <v>98</v>
      </c>
      <c r="G5245" s="238">
        <f>MROUND(H5245*L5245*I5245/K5245,0.000001)</f>
        <v>1.01E-3</v>
      </c>
      <c r="H5245" s="242">
        <f>$H$57</f>
        <v>18.939999999999998</v>
      </c>
      <c r="I5245" s="159">
        <f t="shared" si="1373"/>
        <v>5.3339000000000001E-4</v>
      </c>
      <c r="J5245" s="160"/>
      <c r="K5245" s="161">
        <f>K5244</f>
        <v>10</v>
      </c>
      <c r="L5245" s="162">
        <v>1</v>
      </c>
      <c r="M5245" s="163" t="str">
        <f>CONCATENATE(H5245," ",F5245,"(обрабатываемая площадь в год)","*",L5245," раз в год","*",I5245,"/",K5245,"чел.")</f>
        <v>18,94 Га(обрабатываемая площадь в год)*1 раз в год*0,00053339/10чел.</v>
      </c>
      <c r="N5245" s="164">
        <f>$N$57</f>
        <v>545</v>
      </c>
      <c r="O5245" s="165">
        <f t="shared" si="1384"/>
        <v>0.55044999999999999</v>
      </c>
      <c r="P5245" s="166"/>
      <c r="Q5245" s="166">
        <f t="shared" si="1385"/>
        <v>5.5045000000000002</v>
      </c>
      <c r="R5245" s="71"/>
      <c r="S5245" s="61"/>
      <c r="T5245" s="61"/>
      <c r="U5245" s="61"/>
      <c r="V5245" s="61"/>
      <c r="W5245" s="61"/>
      <c r="X5245" s="61"/>
      <c r="Y5245" s="61"/>
      <c r="Z5245" s="61"/>
      <c r="AA5245" s="61"/>
      <c r="AB5245" s="61"/>
      <c r="AC5245" s="61"/>
      <c r="AD5245" s="61"/>
      <c r="AE5245" s="61"/>
      <c r="AF5245" s="61"/>
      <c r="AG5245" s="61"/>
      <c r="AH5245" s="61"/>
      <c r="AI5245" s="61"/>
      <c r="AJ5245" s="61"/>
      <c r="AK5245" s="61"/>
      <c r="AL5245" s="61"/>
      <c r="AM5245" s="61"/>
      <c r="AN5245" s="61"/>
      <c r="AO5245" s="61"/>
    </row>
    <row r="5246" spans="1:41" s="61" customFormat="1" ht="31.5" x14ac:dyDescent="0.25">
      <c r="A5246" s="358"/>
      <c r="B5246" s="361"/>
      <c r="C5246" s="364"/>
      <c r="D5246" s="156" t="s">
        <v>97</v>
      </c>
      <c r="E5246" s="156" t="s">
        <v>98</v>
      </c>
      <c r="F5246" s="156" t="s">
        <v>98</v>
      </c>
      <c r="G5246" s="238">
        <f>MROUND(H5246*L5246*I5246/K5246,0.000000001)</f>
        <v>1.010241E-3</v>
      </c>
      <c r="H5246" s="242">
        <f>H4166</f>
        <v>18.939999999999998</v>
      </c>
      <c r="I5246" s="244">
        <f>I5242</f>
        <v>5.3339000000000001E-4</v>
      </c>
      <c r="J5246" s="160"/>
      <c r="K5246" s="161">
        <f>K5242</f>
        <v>10</v>
      </c>
      <c r="L5246" s="250">
        <v>1</v>
      </c>
      <c r="M5246" s="163" t="str">
        <f>CONCATENATE(H5246," ",F5246,"(обрабатываемая площадь в мес.)","*",L5246,"мес.","*",I5246,"/",K5246,"чел.")</f>
        <v>18,94 Га(обрабатываемая площадь в мес.)*1мес.*0,00053339/10чел.</v>
      </c>
      <c r="N5246" s="164">
        <f>N4166</f>
        <v>3102.4186906018999</v>
      </c>
      <c r="O5246" s="165">
        <f t="shared" si="1384"/>
        <v>3.1341909999999999</v>
      </c>
      <c r="P5246" s="166"/>
      <c r="Q5246" s="166">
        <f t="shared" si="1385"/>
        <v>31.341909999999999</v>
      </c>
      <c r="R5246" s="71"/>
    </row>
    <row r="5247" spans="1:41" s="62" customFormat="1" x14ac:dyDescent="0.25">
      <c r="A5247" s="358"/>
      <c r="B5247" s="361"/>
      <c r="C5247" s="245" t="s">
        <v>294</v>
      </c>
      <c r="D5247" s="240"/>
      <c r="E5247" s="240"/>
      <c r="F5247" s="240"/>
      <c r="G5247" s="227"/>
      <c r="H5247" s="241"/>
      <c r="I5247" s="206"/>
      <c r="J5247" s="228"/>
      <c r="K5247" s="207"/>
      <c r="L5247" s="257"/>
      <c r="M5247" s="209"/>
      <c r="N5247" s="210"/>
      <c r="O5247" s="198">
        <f>SUM(O5241:O5246)</f>
        <v>90.689594999999983</v>
      </c>
      <c r="P5247" s="267"/>
      <c r="Q5247" s="166"/>
      <c r="R5247" s="71"/>
    </row>
    <row r="5248" spans="1:41" s="61" customFormat="1" ht="63" x14ac:dyDescent="0.25">
      <c r="A5248" s="358"/>
      <c r="B5248" s="361"/>
      <c r="C5248" s="365" t="s">
        <v>77</v>
      </c>
      <c r="D5248" s="156" t="s">
        <v>29</v>
      </c>
      <c r="E5248" s="156" t="s">
        <v>58</v>
      </c>
      <c r="F5248" s="156" t="s">
        <v>218</v>
      </c>
      <c r="G5248" s="238">
        <f>MROUND(H5248*L5248*I5248/K5248,0.00000001)</f>
        <v>3.2003399999999999E-3</v>
      </c>
      <c r="H5248" s="158">
        <v>15</v>
      </c>
      <c r="I5248" s="159">
        <f>I5246</f>
        <v>5.3339000000000001E-4</v>
      </c>
      <c r="J5248" s="160"/>
      <c r="K5248" s="161">
        <f>K5246</f>
        <v>10</v>
      </c>
      <c r="L5248" s="162">
        <v>4</v>
      </c>
      <c r="M5248" s="163" t="str">
        <f>CONCATENATE(H5248," ",F5248,"*",L5248," раза в год","*",I5248,"/",K5248,"чел.")</f>
        <v>15 установок*4 раза в год*0,00053339/10чел.</v>
      </c>
      <c r="N5248" s="164">
        <f>N3448</f>
        <v>2264.8651666666669</v>
      </c>
      <c r="O5248" s="165">
        <f t="shared" ref="O5248:O5256" si="1386">MROUND(G5248*N5248,0.000001)</f>
        <v>7.2483389999999996</v>
      </c>
      <c r="P5248" s="166"/>
      <c r="Q5248" s="166">
        <f t="shared" ref="Q5248:Q5263" si="1387">O5248*K5248</f>
        <v>72.48339</v>
      </c>
      <c r="R5248" s="71"/>
    </row>
    <row r="5249" spans="1:18" s="61" customFormat="1" ht="47.25" x14ac:dyDescent="0.25">
      <c r="A5249" s="358"/>
      <c r="B5249" s="361"/>
      <c r="C5249" s="366"/>
      <c r="D5249" s="156" t="s">
        <v>30</v>
      </c>
      <c r="E5249" s="156" t="s">
        <v>58</v>
      </c>
      <c r="F5249" s="156" t="s">
        <v>218</v>
      </c>
      <c r="G5249" s="238">
        <f>MROUND(H5249*L5249*I5249/K5249,0.00000001)</f>
        <v>1.6001699999999999E-3</v>
      </c>
      <c r="H5249" s="158">
        <v>15</v>
      </c>
      <c r="I5249" s="159">
        <f t="shared" si="1373"/>
        <v>5.3339000000000001E-4</v>
      </c>
      <c r="J5249" s="160"/>
      <c r="K5249" s="161">
        <f t="shared" ref="K5249:K5257" si="1388">K5248</f>
        <v>10</v>
      </c>
      <c r="L5249" s="250">
        <v>2</v>
      </c>
      <c r="M5249" s="163" t="str">
        <f>CONCATENATE(H5249," ",F5249,"*",L5249,"полуг.","*",I5249,"/",K5249,"чел.")</f>
        <v>15 установок*2полуг.*0,00053339/10чел.</v>
      </c>
      <c r="N5249" s="164">
        <f>N4529</f>
        <v>4529.7303333333339</v>
      </c>
      <c r="O5249" s="165">
        <f t="shared" si="1386"/>
        <v>7.2483389999999996</v>
      </c>
      <c r="P5249" s="166"/>
      <c r="Q5249" s="166">
        <f t="shared" si="1387"/>
        <v>72.48339</v>
      </c>
      <c r="R5249" s="71"/>
    </row>
    <row r="5250" spans="1:18" s="61" customFormat="1" ht="31.5" x14ac:dyDescent="0.25">
      <c r="A5250" s="358"/>
      <c r="B5250" s="361"/>
      <c r="C5250" s="366"/>
      <c r="D5250" s="156" t="s">
        <v>397</v>
      </c>
      <c r="E5250" s="156" t="s">
        <v>433</v>
      </c>
      <c r="F5250" s="156" t="s">
        <v>433</v>
      </c>
      <c r="G5250" s="238">
        <f>MROUND(H5250*L5250*I5250/K5250,0.000001)</f>
        <v>1.6001999999999999E-2</v>
      </c>
      <c r="H5250" s="158">
        <f>H4170</f>
        <v>300</v>
      </c>
      <c r="I5250" s="159">
        <f t="shared" si="1373"/>
        <v>5.3339000000000001E-4</v>
      </c>
      <c r="J5250" s="160"/>
      <c r="K5250" s="161">
        <f t="shared" si="1388"/>
        <v>10</v>
      </c>
      <c r="L5250" s="162">
        <v>1</v>
      </c>
      <c r="M5250" s="163" t="str">
        <f>CONCATENATE(H5250," ",F5250,"(обрабатываемая площадь в год)","*",L5250," раз в год","*",I5250,"/",K5250,"чел.")</f>
        <v>300 м2.(обрабатываемая площадь в год)*1 раз в год*0,00053339/10чел.</v>
      </c>
      <c r="N5250" s="164">
        <f>N4170</f>
        <v>300</v>
      </c>
      <c r="O5250" s="165">
        <f t="shared" si="1386"/>
        <v>4.8006000000000002</v>
      </c>
      <c r="P5250" s="166"/>
      <c r="Q5250" s="166">
        <f t="shared" si="1387"/>
        <v>48.006</v>
      </c>
      <c r="R5250" s="71"/>
    </row>
    <row r="5251" spans="1:18" s="61" customFormat="1" ht="47.25" x14ac:dyDescent="0.25">
      <c r="A5251" s="358"/>
      <c r="B5251" s="361"/>
      <c r="C5251" s="366"/>
      <c r="D5251" s="156" t="s">
        <v>32</v>
      </c>
      <c r="E5251" s="156" t="s">
        <v>55</v>
      </c>
      <c r="F5251" s="156" t="s">
        <v>219</v>
      </c>
      <c r="G5251" s="238">
        <f>MROUND(H5251*L5251*I5251/K5251,0.000000001)</f>
        <v>7.6808160000000009E-3</v>
      </c>
      <c r="H5251" s="158">
        <f>H4531</f>
        <v>36</v>
      </c>
      <c r="I5251" s="159">
        <f>I5250</f>
        <v>5.3339000000000001E-4</v>
      </c>
      <c r="J5251" s="160"/>
      <c r="K5251" s="161">
        <f t="shared" si="1388"/>
        <v>10</v>
      </c>
      <c r="L5251" s="250">
        <v>4</v>
      </c>
      <c r="M5251" s="163" t="str">
        <f>CONCATENATE(H5251," ",F5251,"*",L5251,"кв.","*",I5251,"/",K5251,"чел.")</f>
        <v>36 системы*4кв.*0,00053339/10чел.</v>
      </c>
      <c r="N5251" s="164">
        <f>N4531</f>
        <v>7243.0565277777823</v>
      </c>
      <c r="O5251" s="165">
        <f t="shared" si="1386"/>
        <v>55.632583999999994</v>
      </c>
      <c r="P5251" s="166"/>
      <c r="Q5251" s="166">
        <f t="shared" si="1387"/>
        <v>556.32583999999997</v>
      </c>
      <c r="R5251" s="71"/>
    </row>
    <row r="5252" spans="1:18" s="61" customFormat="1" ht="63" x14ac:dyDescent="0.25">
      <c r="A5252" s="358"/>
      <c r="B5252" s="361"/>
      <c r="C5252" s="366"/>
      <c r="D5252" s="156" t="s">
        <v>33</v>
      </c>
      <c r="E5252" s="156" t="s">
        <v>56</v>
      </c>
      <c r="F5252" s="156" t="s">
        <v>220</v>
      </c>
      <c r="G5252" s="238">
        <f>MROUND(H5252*L5252*I5252/K5252,0.000000001)</f>
        <v>1.9202040000000002E-3</v>
      </c>
      <c r="H5252" s="158">
        <f>$H$64</f>
        <v>36</v>
      </c>
      <c r="I5252" s="159">
        <f>I5251</f>
        <v>5.3339000000000001E-4</v>
      </c>
      <c r="J5252" s="160"/>
      <c r="K5252" s="161">
        <f t="shared" si="1388"/>
        <v>10</v>
      </c>
      <c r="L5252" s="162">
        <v>1</v>
      </c>
      <c r="M5252" s="163" t="str">
        <f>CONCATENATE(H5252," ",F5252,"*",L5252," раз в год","*",I5252,"/",K5252,"чел.")</f>
        <v>36 дымоходов*1 раз в год*0,00053339/10чел.</v>
      </c>
      <c r="N5252" s="164">
        <f>N3452</f>
        <v>7030.863333333331</v>
      </c>
      <c r="O5252" s="165">
        <f t="shared" si="1386"/>
        <v>13.500691999999999</v>
      </c>
      <c r="P5252" s="166"/>
      <c r="Q5252" s="166">
        <f t="shared" si="1387"/>
        <v>135.00691999999998</v>
      </c>
      <c r="R5252" s="71"/>
    </row>
    <row r="5253" spans="1:18" s="61" customFormat="1" x14ac:dyDescent="0.25">
      <c r="A5253" s="358"/>
      <c r="B5253" s="361"/>
      <c r="C5253" s="366"/>
      <c r="D5253" s="194" t="s">
        <v>398</v>
      </c>
      <c r="E5253" s="156" t="s">
        <v>60</v>
      </c>
      <c r="F5253" s="156" t="s">
        <v>60</v>
      </c>
      <c r="G5253" s="238">
        <f>MROUND(H5253*L5253*I5253/K5253,0.000000001)</f>
        <v>1.8668650000000001E-3</v>
      </c>
      <c r="H5253" s="246">
        <f>H3453</f>
        <v>35</v>
      </c>
      <c r="I5253" s="159">
        <f t="shared" si="1373"/>
        <v>5.3339000000000001E-4</v>
      </c>
      <c r="J5253" s="160"/>
      <c r="K5253" s="161">
        <f t="shared" si="1388"/>
        <v>10</v>
      </c>
      <c r="L5253" s="250">
        <v>1</v>
      </c>
      <c r="M5253" s="163" t="str">
        <f>CONCATENATE(H5253," ",F5253,"*",I5253,"/",K5253,"чел.")</f>
        <v>35 шт.*0,00053339/10чел.</v>
      </c>
      <c r="N5253" s="164">
        <f>N3453</f>
        <v>12173.433428571419</v>
      </c>
      <c r="O5253" s="165">
        <f t="shared" si="1386"/>
        <v>22.726157000000001</v>
      </c>
      <c r="P5253" s="166"/>
      <c r="Q5253" s="166">
        <f t="shared" si="1387"/>
        <v>227.26157000000001</v>
      </c>
      <c r="R5253" s="71"/>
    </row>
    <row r="5254" spans="1:18" s="61" customFormat="1" ht="47.25" x14ac:dyDescent="0.25">
      <c r="A5254" s="358"/>
      <c r="B5254" s="361"/>
      <c r="C5254" s="366"/>
      <c r="D5254" s="156" t="s">
        <v>401</v>
      </c>
      <c r="E5254" s="156" t="s">
        <v>60</v>
      </c>
      <c r="F5254" s="156" t="s">
        <v>402</v>
      </c>
      <c r="G5254" s="238">
        <f>MROUND(H5254*L5254*I5254/K5254,0.000001)</f>
        <v>3.7339999999999999E-3</v>
      </c>
      <c r="H5254" s="246">
        <f>H3454</f>
        <v>35</v>
      </c>
      <c r="I5254" s="159">
        <f t="shared" si="1373"/>
        <v>5.3339000000000001E-4</v>
      </c>
      <c r="J5254" s="160"/>
      <c r="K5254" s="161">
        <f t="shared" si="1388"/>
        <v>10</v>
      </c>
      <c r="L5254" s="162">
        <v>2</v>
      </c>
      <c r="M5254" s="163" t="str">
        <f>CONCATENATE(H5254," ",F5254,"*",L5254," раз в год","*",I5254,"/",K5254,"чел.")</f>
        <v>35 противопожарных водопроводов*2 раз в год*0,00053339/10чел.</v>
      </c>
      <c r="N5254" s="164">
        <f>N3454</f>
        <v>5700.7000000000025</v>
      </c>
      <c r="O5254" s="165">
        <f t="shared" si="1386"/>
        <v>21.286414000000001</v>
      </c>
      <c r="P5254" s="166"/>
      <c r="Q5254" s="166">
        <f t="shared" si="1387"/>
        <v>212.86414000000002</v>
      </c>
      <c r="R5254" s="71"/>
    </row>
    <row r="5255" spans="1:18" s="61" customFormat="1" ht="31.5" x14ac:dyDescent="0.25">
      <c r="A5255" s="358"/>
      <c r="B5255" s="361"/>
      <c r="C5255" s="366"/>
      <c r="D5255" s="156" t="s">
        <v>221</v>
      </c>
      <c r="E5255" s="156" t="s">
        <v>60</v>
      </c>
      <c r="F5255" s="156" t="s">
        <v>60</v>
      </c>
      <c r="G5255" s="238">
        <f>MROUND(H5255*L5255*I5255/K5255,0.0000000001)</f>
        <v>1.1521224E-2</v>
      </c>
      <c r="H5255" s="158">
        <f>H3455</f>
        <v>18</v>
      </c>
      <c r="I5255" s="159">
        <f t="shared" si="1373"/>
        <v>5.3339000000000001E-4</v>
      </c>
      <c r="J5255" s="160"/>
      <c r="K5255" s="161">
        <f t="shared" si="1388"/>
        <v>10</v>
      </c>
      <c r="L5255" s="250">
        <v>12</v>
      </c>
      <c r="M5255" s="163" t="str">
        <f>CONCATENATE(H5255," ",F5255,"*",L5255,"мес.","*",I5255,"/",K5255,"чел.")</f>
        <v>18 шт.*12мес.*0,00053339/10чел.</v>
      </c>
      <c r="N5255" s="164">
        <f>N4175</f>
        <v>6577.3408796296308</v>
      </c>
      <c r="O5255" s="165">
        <f t="shared" si="1386"/>
        <v>75.779017999999994</v>
      </c>
      <c r="P5255" s="166"/>
      <c r="Q5255" s="166">
        <f t="shared" si="1387"/>
        <v>757.79017999999996</v>
      </c>
      <c r="R5255" s="71"/>
    </row>
    <row r="5256" spans="1:18" s="61" customFormat="1" ht="47.25" x14ac:dyDescent="0.25">
      <c r="A5256" s="358"/>
      <c r="B5256" s="361"/>
      <c r="C5256" s="366"/>
      <c r="D5256" s="156" t="s">
        <v>34</v>
      </c>
      <c r="E5256" s="156" t="s">
        <v>59</v>
      </c>
      <c r="F5256" s="156" t="s">
        <v>28</v>
      </c>
      <c r="G5256" s="238">
        <f>MROUND(H5256*L5256*I5256/K5256,0.0000000001)</f>
        <v>1.06678E-4</v>
      </c>
      <c r="H5256" s="158">
        <f>H3816</f>
        <v>2</v>
      </c>
      <c r="I5256" s="159">
        <f t="shared" si="1373"/>
        <v>5.3339000000000001E-4</v>
      </c>
      <c r="J5256" s="160"/>
      <c r="K5256" s="161">
        <f t="shared" si="1388"/>
        <v>10</v>
      </c>
      <c r="L5256" s="250">
        <v>1</v>
      </c>
      <c r="M5256" s="163" t="str">
        <f>CONCATENATE(H5256," ",F5256,"*",I5256,"/",K5256,"чел.")</f>
        <v>2 шт*0,00053339/10чел.</v>
      </c>
      <c r="N5256" s="164">
        <f>N3456</f>
        <v>7845</v>
      </c>
      <c r="O5256" s="165">
        <f t="shared" si="1386"/>
        <v>0.83688899999999999</v>
      </c>
      <c r="P5256" s="166"/>
      <c r="Q5256" s="166">
        <f t="shared" si="1387"/>
        <v>8.3688900000000004</v>
      </c>
      <c r="R5256" s="71"/>
    </row>
    <row r="5257" spans="1:18" s="61" customFormat="1" ht="47.25" x14ac:dyDescent="0.25">
      <c r="A5257" s="358"/>
      <c r="B5257" s="361"/>
      <c r="C5257" s="366"/>
      <c r="D5257" s="156" t="s">
        <v>222</v>
      </c>
      <c r="E5257" s="156" t="s">
        <v>60</v>
      </c>
      <c r="F5257" s="156" t="s">
        <v>60</v>
      </c>
      <c r="G5257" s="238">
        <f>MROUND(H5257*L5257*I5257/K5257,0.00000000001)</f>
        <v>2.6669500000000001E-4</v>
      </c>
      <c r="H5257" s="248">
        <f>H4537</f>
        <v>5</v>
      </c>
      <c r="I5257" s="159">
        <f t="shared" si="1373"/>
        <v>5.3339000000000001E-4</v>
      </c>
      <c r="J5257" s="160"/>
      <c r="K5257" s="161">
        <f t="shared" si="1388"/>
        <v>10</v>
      </c>
      <c r="L5257" s="250">
        <v>1</v>
      </c>
      <c r="M5257" s="163" t="str">
        <f>CONCATENATE(H5257," ",F5257,"*",I5257,"/",K5257,"чел.")</f>
        <v>5 шт.*0,00053339/10чел.</v>
      </c>
      <c r="N5257" s="164">
        <f>N3457</f>
        <v>43857.106</v>
      </c>
      <c r="O5257" s="165">
        <f>MROUND(G5257*N5257,0.00000001)</f>
        <v>11.69647088</v>
      </c>
      <c r="P5257" s="166"/>
      <c r="Q5257" s="166">
        <f t="shared" si="1387"/>
        <v>116.9647088</v>
      </c>
      <c r="R5257" s="71"/>
    </row>
    <row r="5258" spans="1:18" s="61" customFormat="1" ht="31.5" x14ac:dyDescent="0.25">
      <c r="A5258" s="358"/>
      <c r="B5258" s="361"/>
      <c r="C5258" s="366"/>
      <c r="D5258" s="156" t="s">
        <v>35</v>
      </c>
      <c r="E5258" s="156" t="s">
        <v>102</v>
      </c>
      <c r="F5258" s="156" t="s">
        <v>223</v>
      </c>
      <c r="G5258" s="238">
        <f>MROUND(H5258*L5258*I5258/K5258,0.00000001)</f>
        <v>1.8668700000000001E-3</v>
      </c>
      <c r="H5258" s="158">
        <f>H3458</f>
        <v>35</v>
      </c>
      <c r="I5258" s="159">
        <f>I5256</f>
        <v>5.3339000000000001E-4</v>
      </c>
      <c r="J5258" s="160"/>
      <c r="K5258" s="161">
        <f>K5256</f>
        <v>10</v>
      </c>
      <c r="L5258" s="250">
        <v>1</v>
      </c>
      <c r="M5258" s="163" t="str">
        <f>CONCATENATE(H5258," ",F5258,"*",I5258,"/",K5258,"чел.")</f>
        <v>35 замеров*0,00053339/10чел.</v>
      </c>
      <c r="N5258" s="164">
        <f>N3458</f>
        <v>26428.571428571428</v>
      </c>
      <c r="O5258" s="165">
        <f t="shared" ref="O5258:O5263" si="1389">MROUND(G5258*N5258,0.000001)</f>
        <v>49.338706999999999</v>
      </c>
      <c r="P5258" s="166"/>
      <c r="Q5258" s="166">
        <f t="shared" si="1387"/>
        <v>493.38706999999999</v>
      </c>
      <c r="R5258" s="71"/>
    </row>
    <row r="5259" spans="1:18" s="61" customFormat="1" ht="47.25" x14ac:dyDescent="0.25">
      <c r="A5259" s="358"/>
      <c r="B5259" s="361"/>
      <c r="C5259" s="366"/>
      <c r="D5259" s="156" t="s">
        <v>399</v>
      </c>
      <c r="E5259" s="156" t="s">
        <v>60</v>
      </c>
      <c r="F5259" s="156" t="s">
        <v>60</v>
      </c>
      <c r="G5259" s="238">
        <f>MROUND(H5259*L5259*I5259/K5259,0.000000001)</f>
        <v>1.8668650000000002E-2</v>
      </c>
      <c r="H5259" s="158">
        <f>H4659</f>
        <v>35</v>
      </c>
      <c r="I5259" s="159">
        <f t="shared" si="1373"/>
        <v>5.3339000000000001E-4</v>
      </c>
      <c r="J5259" s="160"/>
      <c r="K5259" s="161">
        <f>K5258</f>
        <v>10</v>
      </c>
      <c r="L5259" s="250">
        <v>10</v>
      </c>
      <c r="M5259" s="163" t="str">
        <f>CONCATENATE(H5259," ",F5259,"*",L5259,"мес.","*",I5259,"/",K5259,"чел.")</f>
        <v>35 шт.*10мес.*0,00053339/10чел.</v>
      </c>
      <c r="N5259" s="164">
        <f>N4659</f>
        <v>3250.866542857143</v>
      </c>
      <c r="O5259" s="165">
        <f t="shared" si="1389"/>
        <v>60.68929</v>
      </c>
      <c r="P5259" s="166"/>
      <c r="Q5259" s="166">
        <f t="shared" si="1387"/>
        <v>606.89290000000005</v>
      </c>
      <c r="R5259" s="71"/>
    </row>
    <row r="5260" spans="1:18" s="61" customFormat="1" ht="47.25" x14ac:dyDescent="0.25">
      <c r="A5260" s="358"/>
      <c r="B5260" s="361"/>
      <c r="C5260" s="366"/>
      <c r="D5260" s="156" t="s">
        <v>36</v>
      </c>
      <c r="E5260" s="156" t="s">
        <v>31</v>
      </c>
      <c r="F5260" s="156" t="s">
        <v>224</v>
      </c>
      <c r="G5260" s="238">
        <f>MROUND(H5260*L5260*I5260/K5260,0.00000001)</f>
        <v>2.3042449999999999E-2</v>
      </c>
      <c r="H5260" s="158">
        <f>H4540</f>
        <v>36</v>
      </c>
      <c r="I5260" s="159">
        <f t="shared" si="1373"/>
        <v>5.3339000000000001E-4</v>
      </c>
      <c r="J5260" s="160"/>
      <c r="K5260" s="161">
        <f>K5259</f>
        <v>10</v>
      </c>
      <c r="L5260" s="250">
        <v>12</v>
      </c>
      <c r="M5260" s="163" t="str">
        <f>CONCATENATE(H5260," ",F5260,"*",L5260,"мес.","*",I5260,"/",K5260,"чел.")</f>
        <v>36 устройств*12мес.*0,00053339/10чел.</v>
      </c>
      <c r="N5260" s="164">
        <f>N3460</f>
        <v>2508.3083101851839</v>
      </c>
      <c r="O5260" s="165">
        <f t="shared" si="1389"/>
        <v>57.797568999999996</v>
      </c>
      <c r="P5260" s="166"/>
      <c r="Q5260" s="166">
        <f t="shared" si="1387"/>
        <v>577.97568999999999</v>
      </c>
      <c r="R5260" s="71"/>
    </row>
    <row r="5261" spans="1:18" s="61" customFormat="1" ht="31.5" x14ac:dyDescent="0.25">
      <c r="A5261" s="358"/>
      <c r="B5261" s="361"/>
      <c r="C5261" s="366"/>
      <c r="D5261" s="156" t="s">
        <v>99</v>
      </c>
      <c r="E5261" s="156" t="s">
        <v>103</v>
      </c>
      <c r="F5261" s="156" t="s">
        <v>225</v>
      </c>
      <c r="G5261" s="238">
        <f>MROUND(H5261*L5261*I5261/K5261,0.00000001)</f>
        <v>1.3334750000000001E-2</v>
      </c>
      <c r="H5261" s="158">
        <f>H3461</f>
        <v>250</v>
      </c>
      <c r="I5261" s="159">
        <f t="shared" si="1373"/>
        <v>5.3339000000000001E-4</v>
      </c>
      <c r="J5261" s="160"/>
      <c r="K5261" s="161">
        <f>K5260</f>
        <v>10</v>
      </c>
      <c r="L5261" s="250">
        <v>1</v>
      </c>
      <c r="M5261" s="163" t="str">
        <f>CONCATENATE(H5261," ",F5261,"*",I5261,"/",K5261,"чел.")</f>
        <v>250 ед.*0,00053339/10чел.</v>
      </c>
      <c r="N5261" s="164">
        <f>N3461</f>
        <v>15000</v>
      </c>
      <c r="O5261" s="165">
        <f t="shared" si="1389"/>
        <v>200.02124999999998</v>
      </c>
      <c r="P5261" s="166"/>
      <c r="Q5261" s="166">
        <f t="shared" si="1387"/>
        <v>2000.2124999999999</v>
      </c>
      <c r="R5261" s="71"/>
    </row>
    <row r="5262" spans="1:18" s="61" customFormat="1" x14ac:dyDescent="0.25">
      <c r="A5262" s="358"/>
      <c r="B5262" s="361"/>
      <c r="C5262" s="366"/>
      <c r="D5262" s="156" t="s">
        <v>27</v>
      </c>
      <c r="E5262" s="156" t="s">
        <v>28</v>
      </c>
      <c r="F5262" s="156" t="s">
        <v>28</v>
      </c>
      <c r="G5262" s="238">
        <f>MROUND(H5262*L5262*I5262/K5262,0.000000001)</f>
        <v>0.193887265</v>
      </c>
      <c r="H5262" s="160">
        <f>H3462</f>
        <v>3635</v>
      </c>
      <c r="I5262" s="159">
        <f t="shared" si="1373"/>
        <v>5.3339000000000001E-4</v>
      </c>
      <c r="J5262" s="160"/>
      <c r="K5262" s="161">
        <f>K5261</f>
        <v>10</v>
      </c>
      <c r="L5262" s="250">
        <v>1</v>
      </c>
      <c r="M5262" s="163" t="str">
        <f>CONCATENATE(H5262," ",F5262,"*",I5262,"/",K5262,"чел.")</f>
        <v>3635 шт*0,00053339/10чел.</v>
      </c>
      <c r="N5262" s="164">
        <f>N3462</f>
        <v>418.4</v>
      </c>
      <c r="O5262" s="165">
        <f t="shared" si="1389"/>
        <v>81.122432000000003</v>
      </c>
      <c r="P5262" s="166"/>
      <c r="Q5262" s="166">
        <f t="shared" si="1387"/>
        <v>811.22432000000003</v>
      </c>
      <c r="R5262" s="71"/>
    </row>
    <row r="5263" spans="1:18" s="61" customFormat="1" ht="31.5" x14ac:dyDescent="0.25">
      <c r="A5263" s="358"/>
      <c r="B5263" s="361"/>
      <c r="C5263" s="367"/>
      <c r="D5263" s="156" t="s">
        <v>104</v>
      </c>
      <c r="E5263" s="156" t="s">
        <v>105</v>
      </c>
      <c r="F5263" s="156" t="s">
        <v>226</v>
      </c>
      <c r="G5263" s="238">
        <f>MROUND(H5263*L5263*I5263/K5263,0.00000001)</f>
        <v>1.9201999999999999E-3</v>
      </c>
      <c r="H5263" s="160">
        <f>H4183</f>
        <v>36</v>
      </c>
      <c r="I5263" s="159">
        <f t="shared" si="1373"/>
        <v>5.3339000000000001E-4</v>
      </c>
      <c r="J5263" s="160"/>
      <c r="K5263" s="161">
        <f>K5262</f>
        <v>10</v>
      </c>
      <c r="L5263" s="250">
        <v>1</v>
      </c>
      <c r="M5263" s="163" t="str">
        <f>CONCATENATE(H5263," ",F5263,"*",I5263,"/",K5263,"чел.")</f>
        <v>36 отключений*0,00053339/10чел.</v>
      </c>
      <c r="N5263" s="164">
        <f>N3463</f>
        <v>10261.260000000004</v>
      </c>
      <c r="O5263" s="165">
        <f t="shared" si="1389"/>
        <v>19.703671</v>
      </c>
      <c r="P5263" s="166"/>
      <c r="Q5263" s="166">
        <f t="shared" si="1387"/>
        <v>197.03671</v>
      </c>
      <c r="R5263" s="71"/>
    </row>
    <row r="5264" spans="1:18" s="62" customFormat="1" x14ac:dyDescent="0.25">
      <c r="A5264" s="358"/>
      <c r="B5264" s="361"/>
      <c r="C5264" s="249" t="s">
        <v>292</v>
      </c>
      <c r="D5264" s="240"/>
      <c r="E5264" s="240"/>
      <c r="F5264" s="240"/>
      <c r="G5264" s="227"/>
      <c r="H5264" s="228"/>
      <c r="I5264" s="206"/>
      <c r="J5264" s="228"/>
      <c r="K5264" s="207"/>
      <c r="L5264" s="257"/>
      <c r="M5264" s="209"/>
      <c r="N5264" s="210"/>
      <c r="O5264" s="198">
        <f>SUM(O5248:O5263)</f>
        <v>689.42842187999997</v>
      </c>
      <c r="P5264" s="267"/>
      <c r="Q5264" s="166"/>
      <c r="R5264" s="71"/>
    </row>
    <row r="5265" spans="1:18" s="61" customFormat="1" ht="31.5" x14ac:dyDescent="0.25">
      <c r="A5265" s="358"/>
      <c r="B5265" s="361"/>
      <c r="C5265" s="221" t="s">
        <v>79</v>
      </c>
      <c r="D5265" s="156" t="s">
        <v>37</v>
      </c>
      <c r="E5265" s="156" t="s">
        <v>61</v>
      </c>
      <c r="F5265" s="156" t="s">
        <v>227</v>
      </c>
      <c r="G5265" s="238">
        <f>MROUND(H5265*L5265*I5265/K5265,0.000000001)</f>
        <v>2.1335600000000002E-4</v>
      </c>
      <c r="H5265" s="158">
        <f>H3465</f>
        <v>4</v>
      </c>
      <c r="I5265" s="159">
        <f>I5263</f>
        <v>5.3339000000000001E-4</v>
      </c>
      <c r="J5265" s="160"/>
      <c r="K5265" s="161">
        <f>K5263</f>
        <v>10</v>
      </c>
      <c r="L5265" s="250">
        <v>1</v>
      </c>
      <c r="M5265" s="163" t="str">
        <f>CONCATENATE(H5265," ",F5265,"*",I5265,"/",K5265,"чел.")</f>
        <v>4 автобуса*0,00053339/10чел.</v>
      </c>
      <c r="N5265" s="164">
        <f>N3465</f>
        <v>36442.65</v>
      </c>
      <c r="O5265" s="165">
        <f>MROUND(G5265*N5265,0.000001)</f>
        <v>7.775258</v>
      </c>
      <c r="P5265" s="166"/>
      <c r="Q5265" s="166">
        <f t="shared" ref="Q5265" si="1390">O5265*K5265</f>
        <v>77.752579999999995</v>
      </c>
      <c r="R5265" s="71"/>
    </row>
    <row r="5266" spans="1:18" s="62" customFormat="1" x14ac:dyDescent="0.25">
      <c r="A5266" s="358"/>
      <c r="B5266" s="361"/>
      <c r="C5266" s="218" t="s">
        <v>295</v>
      </c>
      <c r="D5266" s="240"/>
      <c r="E5266" s="240"/>
      <c r="F5266" s="240"/>
      <c r="G5266" s="227"/>
      <c r="H5266" s="241"/>
      <c r="I5266" s="206"/>
      <c r="J5266" s="228"/>
      <c r="K5266" s="207"/>
      <c r="L5266" s="257"/>
      <c r="M5266" s="209"/>
      <c r="N5266" s="210"/>
      <c r="O5266" s="198">
        <f>SUM(O5265)</f>
        <v>7.775258</v>
      </c>
      <c r="P5266" s="267"/>
      <c r="Q5266" s="166"/>
      <c r="R5266" s="71"/>
    </row>
    <row r="5267" spans="1:18" s="61" customFormat="1" x14ac:dyDescent="0.25">
      <c r="A5267" s="358"/>
      <c r="B5267" s="361"/>
      <c r="C5267" s="364" t="s">
        <v>80</v>
      </c>
      <c r="D5267" s="156" t="s">
        <v>38</v>
      </c>
      <c r="E5267" s="156" t="s">
        <v>57</v>
      </c>
      <c r="F5267" s="156" t="s">
        <v>228</v>
      </c>
      <c r="G5267" s="238">
        <f>MROUND(H5267*L5267*I5267/K5267,0.000000001)</f>
        <v>2.3042448E-2</v>
      </c>
      <c r="H5267" s="158">
        <f>H3467</f>
        <v>36</v>
      </c>
      <c r="I5267" s="159">
        <f>I5265</f>
        <v>5.3339000000000001E-4</v>
      </c>
      <c r="J5267" s="160"/>
      <c r="K5267" s="161">
        <f>K5265</f>
        <v>10</v>
      </c>
      <c r="L5267" s="250">
        <v>12</v>
      </c>
      <c r="M5267" s="163" t="str">
        <f>CONCATENATE(H5267," ",F5267,"*",L5267,"мес.","*",I5267,"/",K5267,"чел.")</f>
        <v>36 зданий*12мес.*0,00053339/10чел.</v>
      </c>
      <c r="N5267" s="164">
        <f t="shared" ref="N5267:N5275" si="1391">N3467</f>
        <v>4910.5833101851858</v>
      </c>
      <c r="O5267" s="165">
        <f>MROUND(G5267*N5267,0.000001)</f>
        <v>113.151861</v>
      </c>
      <c r="P5267" s="166"/>
      <c r="Q5267" s="166">
        <f t="shared" ref="Q5267:Q5280" si="1392">O5267*K5267</f>
        <v>1131.5186100000001</v>
      </c>
      <c r="R5267" s="71"/>
    </row>
    <row r="5268" spans="1:18" s="61" customFormat="1" ht="47.25" x14ac:dyDescent="0.25">
      <c r="A5268" s="358"/>
      <c r="B5268" s="361"/>
      <c r="C5268" s="364"/>
      <c r="D5268" s="156" t="s">
        <v>229</v>
      </c>
      <c r="E5268" s="156" t="s">
        <v>60</v>
      </c>
      <c r="F5268" s="156" t="s">
        <v>60</v>
      </c>
      <c r="G5268" s="238">
        <f>MROUND(H5268*L5268*I5268/K5268,0.000001)</f>
        <v>0.127694</v>
      </c>
      <c r="H5268" s="158">
        <f>H3828</f>
        <v>2394</v>
      </c>
      <c r="I5268" s="159">
        <f>I5267</f>
        <v>5.3339000000000001E-4</v>
      </c>
      <c r="J5268" s="160"/>
      <c r="K5268" s="161">
        <f>K5267</f>
        <v>10</v>
      </c>
      <c r="L5268" s="250">
        <v>1</v>
      </c>
      <c r="M5268" s="163" t="str">
        <f t="shared" ref="M5268:M5275" si="1393">CONCATENATE(H5268," ",F5268,"*",I5268,"/",K5268,"чел.")</f>
        <v>2394 шт.*0,00053339/10чел.</v>
      </c>
      <c r="N5268" s="164">
        <f t="shared" si="1391"/>
        <v>171.02101921470341</v>
      </c>
      <c r="O5268" s="165">
        <f>MROUND(G5268*N5268,0.000001)</f>
        <v>21.838357999999999</v>
      </c>
      <c r="P5268" s="166"/>
      <c r="Q5268" s="166">
        <f t="shared" si="1392"/>
        <v>218.38357999999999</v>
      </c>
      <c r="R5268" s="71"/>
    </row>
    <row r="5269" spans="1:18" s="61" customFormat="1" ht="47.25" x14ac:dyDescent="0.25">
      <c r="A5269" s="358"/>
      <c r="B5269" s="361"/>
      <c r="C5269" s="364"/>
      <c r="D5269" s="156" t="s">
        <v>405</v>
      </c>
      <c r="E5269" s="156" t="s">
        <v>60</v>
      </c>
      <c r="F5269" s="156" t="s">
        <v>406</v>
      </c>
      <c r="G5269" s="238">
        <f>MROUND(H5269*L5269*I5269/K5269,0.00000001)</f>
        <v>1.9201999999999999E-3</v>
      </c>
      <c r="H5269" s="158">
        <f>H3589</f>
        <v>36</v>
      </c>
      <c r="I5269" s="159">
        <f>I5268</f>
        <v>5.3339000000000001E-4</v>
      </c>
      <c r="J5269" s="160"/>
      <c r="K5269" s="161">
        <f>K5268</f>
        <v>10</v>
      </c>
      <c r="L5269" s="250">
        <v>1</v>
      </c>
      <c r="M5269" s="163" t="str">
        <f t="shared" si="1393"/>
        <v>36 лицензий*0,00053339/10чел.</v>
      </c>
      <c r="N5269" s="164">
        <f t="shared" si="1391"/>
        <v>12541.539999999994</v>
      </c>
      <c r="O5269" s="165">
        <f t="shared" ref="O5269:O5278" si="1394">MROUND(G5269*N5269,0.000001)</f>
        <v>24.082265</v>
      </c>
      <c r="P5269" s="166"/>
      <c r="Q5269" s="166">
        <f t="shared" si="1392"/>
        <v>240.82265000000001</v>
      </c>
      <c r="R5269" s="71"/>
    </row>
    <row r="5270" spans="1:18" s="61" customFormat="1" ht="63" x14ac:dyDescent="0.25">
      <c r="A5270" s="358"/>
      <c r="B5270" s="361"/>
      <c r="C5270" s="364"/>
      <c r="D5270" s="156" t="s">
        <v>39</v>
      </c>
      <c r="E5270" s="156" t="s">
        <v>20</v>
      </c>
      <c r="F5270" s="156" t="s">
        <v>234</v>
      </c>
      <c r="G5270" s="238">
        <f>MROUND(H5270*L5270*I5270/K5270,0.000000001)</f>
        <v>6.2940020000000008E-3</v>
      </c>
      <c r="H5270" s="158">
        <f>H4790</f>
        <v>118</v>
      </c>
      <c r="I5270" s="159">
        <f>I5268</f>
        <v>5.3339000000000001E-4</v>
      </c>
      <c r="J5270" s="160"/>
      <c r="K5270" s="161">
        <f>K5268</f>
        <v>10</v>
      </c>
      <c r="L5270" s="250">
        <v>1</v>
      </c>
      <c r="M5270" s="163" t="str">
        <f t="shared" si="1393"/>
        <v>118 чел(заявленная потребность руководителями учреждений)*0,00053339/10чел.</v>
      </c>
      <c r="N5270" s="164">
        <f t="shared" si="1391"/>
        <v>798.09796610169519</v>
      </c>
      <c r="O5270" s="165">
        <f t="shared" si="1394"/>
        <v>5.0232299999999999</v>
      </c>
      <c r="P5270" s="166"/>
      <c r="Q5270" s="166">
        <f t="shared" si="1392"/>
        <v>50.232299999999995</v>
      </c>
      <c r="R5270" s="71"/>
    </row>
    <row r="5271" spans="1:18" s="61" customFormat="1" ht="63" x14ac:dyDescent="0.25">
      <c r="A5271" s="358"/>
      <c r="B5271" s="361"/>
      <c r="C5271" s="364"/>
      <c r="D5271" s="156" t="s">
        <v>40</v>
      </c>
      <c r="E5271" s="156" t="s">
        <v>20</v>
      </c>
      <c r="F5271" s="156" t="s">
        <v>234</v>
      </c>
      <c r="G5271" s="238">
        <f>MROUND(H5271*L5271*I5271/K5271,0.000000001)</f>
        <v>5.1205440000000003E-3</v>
      </c>
      <c r="H5271" s="158">
        <f>H4791</f>
        <v>96</v>
      </c>
      <c r="I5271" s="159">
        <f t="shared" ref="I5271:I5278" si="1395">I5270</f>
        <v>5.3339000000000001E-4</v>
      </c>
      <c r="J5271" s="160"/>
      <c r="K5271" s="161">
        <f t="shared" ref="K5271:K5278" si="1396">K5270</f>
        <v>10</v>
      </c>
      <c r="L5271" s="250">
        <v>1</v>
      </c>
      <c r="M5271" s="163" t="str">
        <f t="shared" si="1393"/>
        <v>96 чел(заявленная потребность руководителями учреждений)*0,00053339/10чел.</v>
      </c>
      <c r="N5271" s="164">
        <f t="shared" si="1391"/>
        <v>1710.2100000000007</v>
      </c>
      <c r="O5271" s="165">
        <f t="shared" si="1394"/>
        <v>8.757206</v>
      </c>
      <c r="P5271" s="166"/>
      <c r="Q5271" s="166">
        <f t="shared" si="1392"/>
        <v>87.572059999999993</v>
      </c>
      <c r="R5271" s="71"/>
    </row>
    <row r="5272" spans="1:18" s="61" customFormat="1" ht="63" x14ac:dyDescent="0.25">
      <c r="A5272" s="358"/>
      <c r="B5272" s="361"/>
      <c r="C5272" s="364"/>
      <c r="D5272" s="156" t="s">
        <v>100</v>
      </c>
      <c r="E5272" s="156" t="s">
        <v>20</v>
      </c>
      <c r="F5272" s="156" t="s">
        <v>234</v>
      </c>
      <c r="G5272" s="238">
        <f>MROUND(H5272*L5272*I5272/K5272,0.0000000001)</f>
        <v>4.3204590000000005E-3</v>
      </c>
      <c r="H5272" s="158">
        <f>H4792</f>
        <v>81</v>
      </c>
      <c r="I5272" s="159">
        <f t="shared" si="1395"/>
        <v>5.3339000000000001E-4</v>
      </c>
      <c r="J5272" s="160"/>
      <c r="K5272" s="161">
        <f t="shared" si="1396"/>
        <v>10</v>
      </c>
      <c r="L5272" s="250">
        <v>1</v>
      </c>
      <c r="M5272" s="163" t="str">
        <f t="shared" si="1393"/>
        <v>81 чел(заявленная потребность руководителями учреждений)*0,00053339/10чел.</v>
      </c>
      <c r="N5272" s="164">
        <f t="shared" si="1391"/>
        <v>3648.448148148148</v>
      </c>
      <c r="O5272" s="165">
        <f t="shared" si="1394"/>
        <v>15.762970999999999</v>
      </c>
      <c r="P5272" s="166"/>
      <c r="Q5272" s="166">
        <f t="shared" si="1392"/>
        <v>157.62970999999999</v>
      </c>
      <c r="R5272" s="71"/>
    </row>
    <row r="5273" spans="1:18" s="61" customFormat="1" ht="110.25" x14ac:dyDescent="0.25">
      <c r="A5273" s="358"/>
      <c r="B5273" s="361"/>
      <c r="C5273" s="364"/>
      <c r="D5273" s="156" t="s">
        <v>235</v>
      </c>
      <c r="E5273" s="156" t="s">
        <v>50</v>
      </c>
      <c r="F5273" s="156" t="s">
        <v>230</v>
      </c>
      <c r="G5273" s="238">
        <f>MROUND(H5273*L5273*I5273/K5273,0.00000001)</f>
        <v>1.9201999999999999E-3</v>
      </c>
      <c r="H5273" s="158">
        <f>H5033</f>
        <v>36</v>
      </c>
      <c r="I5273" s="159">
        <f t="shared" si="1395"/>
        <v>5.3339000000000001E-4</v>
      </c>
      <c r="J5273" s="160"/>
      <c r="K5273" s="161">
        <f t="shared" si="1396"/>
        <v>10</v>
      </c>
      <c r="L5273" s="250">
        <v>1</v>
      </c>
      <c r="M5273" s="163" t="str">
        <f t="shared" si="1393"/>
        <v>36 отчетов*0,00053339/10чел.</v>
      </c>
      <c r="N5273" s="164">
        <f t="shared" si="1391"/>
        <v>6840.8399999999974</v>
      </c>
      <c r="O5273" s="165">
        <f t="shared" si="1394"/>
        <v>13.135781</v>
      </c>
      <c r="P5273" s="166"/>
      <c r="Q5273" s="166">
        <f t="shared" si="1392"/>
        <v>131.35781</v>
      </c>
      <c r="R5273" s="71"/>
    </row>
    <row r="5274" spans="1:18" s="61" customFormat="1" ht="63" x14ac:dyDescent="0.25">
      <c r="A5274" s="358"/>
      <c r="B5274" s="361"/>
      <c r="C5274" s="364"/>
      <c r="D5274" s="156" t="s">
        <v>42</v>
      </c>
      <c r="E5274" s="156" t="s">
        <v>51</v>
      </c>
      <c r="F5274" s="156" t="s">
        <v>407</v>
      </c>
      <c r="G5274" s="238">
        <f>MROUND(H5274*L5274*I5274/K5274,0.000001)</f>
        <v>1.0881E-2</v>
      </c>
      <c r="H5274" s="158">
        <f>H4794</f>
        <v>204</v>
      </c>
      <c r="I5274" s="159">
        <f t="shared" si="1395"/>
        <v>5.3339000000000001E-4</v>
      </c>
      <c r="J5274" s="160"/>
      <c r="K5274" s="161">
        <f t="shared" si="1396"/>
        <v>10</v>
      </c>
      <c r="L5274" s="250">
        <v>1</v>
      </c>
      <c r="M5274" s="163" t="str">
        <f t="shared" si="1393"/>
        <v>204 ед (заявленная потребность руководителями учреждений)*0,00053339/10чел.</v>
      </c>
      <c r="N5274" s="164">
        <f t="shared" si="1391"/>
        <v>1140.1400000000001</v>
      </c>
      <c r="O5274" s="165">
        <f t="shared" si="1394"/>
        <v>12.405863</v>
      </c>
      <c r="P5274" s="166"/>
      <c r="Q5274" s="166">
        <f t="shared" si="1392"/>
        <v>124.05862999999999</v>
      </c>
      <c r="R5274" s="71"/>
    </row>
    <row r="5275" spans="1:18" s="61" customFormat="1" ht="31.5" x14ac:dyDescent="0.25">
      <c r="A5275" s="358"/>
      <c r="B5275" s="361"/>
      <c r="C5275" s="364"/>
      <c r="D5275" s="156" t="s">
        <v>43</v>
      </c>
      <c r="E5275" s="156" t="s">
        <v>52</v>
      </c>
      <c r="F5275" s="156" t="s">
        <v>231</v>
      </c>
      <c r="G5275" s="238">
        <f>MROUND(H5275*L5275*I5275/K5275,0.000000001)</f>
        <v>1.9202040000000002E-3</v>
      </c>
      <c r="H5275" s="158">
        <f>H4195</f>
        <v>36</v>
      </c>
      <c r="I5275" s="159">
        <f t="shared" si="1395"/>
        <v>5.3339000000000001E-4</v>
      </c>
      <c r="J5275" s="160"/>
      <c r="K5275" s="161">
        <f t="shared" si="1396"/>
        <v>10</v>
      </c>
      <c r="L5275" s="250">
        <v>1</v>
      </c>
      <c r="M5275" s="163" t="str">
        <f t="shared" si="1393"/>
        <v>36 ЭЦП*0,00053339/10чел.</v>
      </c>
      <c r="N5275" s="164">
        <f t="shared" si="1391"/>
        <v>8099.5499999999947</v>
      </c>
      <c r="O5275" s="165">
        <f t="shared" si="1394"/>
        <v>15.552788</v>
      </c>
      <c r="P5275" s="166"/>
      <c r="Q5275" s="166">
        <f t="shared" si="1392"/>
        <v>155.52787999999998</v>
      </c>
      <c r="R5275" s="71"/>
    </row>
    <row r="5276" spans="1:18" s="61" customFormat="1" ht="47.25" x14ac:dyDescent="0.25">
      <c r="A5276" s="358"/>
      <c r="B5276" s="361"/>
      <c r="C5276" s="364"/>
      <c r="D5276" s="156" t="s">
        <v>44</v>
      </c>
      <c r="E5276" s="156" t="s">
        <v>85</v>
      </c>
      <c r="F5276" s="156" t="s">
        <v>232</v>
      </c>
      <c r="G5276" s="238">
        <f>MROUND(H5276*L5276*I5276/K5276,0.000001)</f>
        <v>6.4860000000000001E-2</v>
      </c>
      <c r="H5276" s="158">
        <f>H4196</f>
        <v>1216</v>
      </c>
      <c r="I5276" s="159">
        <f t="shared" si="1395"/>
        <v>5.3339000000000001E-4</v>
      </c>
      <c r="J5276" s="160"/>
      <c r="K5276" s="161">
        <f t="shared" si="1396"/>
        <v>10</v>
      </c>
      <c r="L5276" s="250">
        <v>1</v>
      </c>
      <c r="M5276" s="163" t="str">
        <f>CONCATENATE(H5276," ",F5276,"*",L5276,"мес.","*",I5276,"/",K5276,"чел.")</f>
        <v>1216 мед.осмотров в мес.*1мес.*0,00053339/10чел.</v>
      </c>
      <c r="N5276" s="164">
        <f>N4196</f>
        <v>59.287277960526318</v>
      </c>
      <c r="O5276" s="165">
        <f t="shared" si="1394"/>
        <v>3.8453729999999999</v>
      </c>
      <c r="P5276" s="166"/>
      <c r="Q5276" s="166">
        <f t="shared" si="1392"/>
        <v>38.45373</v>
      </c>
      <c r="R5276" s="71"/>
    </row>
    <row r="5277" spans="1:18" s="61" customFormat="1" ht="63" x14ac:dyDescent="0.25">
      <c r="A5277" s="358"/>
      <c r="B5277" s="361"/>
      <c r="C5277" s="364"/>
      <c r="D5277" s="156" t="s">
        <v>45</v>
      </c>
      <c r="E5277" s="156" t="s">
        <v>53</v>
      </c>
      <c r="F5277" s="156" t="s">
        <v>233</v>
      </c>
      <c r="G5277" s="238">
        <f>MROUND(H5277*L5277*I5277/K5277,0.000000001)</f>
        <v>2.5602720000000002E-3</v>
      </c>
      <c r="H5277" s="158">
        <f>H4797</f>
        <v>4</v>
      </c>
      <c r="I5277" s="159">
        <f t="shared" si="1395"/>
        <v>5.3339000000000001E-4</v>
      </c>
      <c r="J5277" s="160"/>
      <c r="K5277" s="161">
        <f t="shared" si="1396"/>
        <v>10</v>
      </c>
      <c r="L5277" s="250">
        <v>12</v>
      </c>
      <c r="M5277" s="163" t="str">
        <f>CONCATENATE(H5277," ",F5277,"*",L5277,"мес.","*",I5277,"/",K5277,"чел.")</f>
        <v>4  машины, оборудованных системой ГЛОНАСС*12мес.*0,00053339/10чел.</v>
      </c>
      <c r="N5277" s="164">
        <f>N3477</f>
        <v>921.23312500000009</v>
      </c>
      <c r="O5277" s="165">
        <f t="shared" si="1394"/>
        <v>2.3586069999999997</v>
      </c>
      <c r="P5277" s="166"/>
      <c r="Q5277" s="166">
        <f t="shared" si="1392"/>
        <v>23.586069999999996</v>
      </c>
      <c r="R5277" s="71"/>
    </row>
    <row r="5278" spans="1:18" s="61" customFormat="1" ht="31.5" x14ac:dyDescent="0.25">
      <c r="A5278" s="358"/>
      <c r="B5278" s="361"/>
      <c r="C5278" s="364"/>
      <c r="D5278" s="156" t="s">
        <v>408</v>
      </c>
      <c r="E5278" s="156" t="s">
        <v>20</v>
      </c>
      <c r="F5278" s="156" t="s">
        <v>20</v>
      </c>
      <c r="G5278" s="238">
        <f>MROUND(H5278*L5278*I5278/K5278,0.0000000001)</f>
        <v>9.0516283000000003E-2</v>
      </c>
      <c r="H5278" s="158">
        <f>H3478</f>
        <v>1697</v>
      </c>
      <c r="I5278" s="159">
        <f t="shared" si="1395"/>
        <v>5.3339000000000001E-4</v>
      </c>
      <c r="J5278" s="160"/>
      <c r="K5278" s="161">
        <f t="shared" si="1396"/>
        <v>10</v>
      </c>
      <c r="L5278" s="250">
        <v>1</v>
      </c>
      <c r="M5278" s="163" t="str">
        <f>CONCATENATE(H5278," ",F5278,"*",L5278," раз в год","*",I5278,"/",K5278,"чел.")</f>
        <v>1697 чел.*1 раз в год*0,00053339/10чел.</v>
      </c>
      <c r="N5278" s="164">
        <f>N3478</f>
        <v>570.06999999999994</v>
      </c>
      <c r="O5278" s="165">
        <f t="shared" si="1394"/>
        <v>51.600617</v>
      </c>
      <c r="P5278" s="166"/>
      <c r="Q5278" s="166">
        <f t="shared" si="1392"/>
        <v>516.00617</v>
      </c>
      <c r="R5278" s="71"/>
    </row>
    <row r="5279" spans="1:18" s="61" customFormat="1" x14ac:dyDescent="0.25">
      <c r="A5279" s="358"/>
      <c r="B5279" s="361"/>
      <c r="C5279" s="364"/>
      <c r="D5279" s="156" t="s">
        <v>373</v>
      </c>
      <c r="E5279" s="156" t="s">
        <v>28</v>
      </c>
      <c r="F5279" s="156" t="s">
        <v>28</v>
      </c>
      <c r="G5279" s="157">
        <f>MROUND(H5279*L5279*I5279/K5279,0.000000001)</f>
        <v>1.9202040000000002E-3</v>
      </c>
      <c r="H5279" s="158">
        <f>H3480</f>
        <v>36</v>
      </c>
      <c r="I5279" s="159">
        <f>I5277</f>
        <v>5.3339000000000001E-4</v>
      </c>
      <c r="J5279" s="160"/>
      <c r="K5279" s="161">
        <f>K5277</f>
        <v>10</v>
      </c>
      <c r="L5279" s="162">
        <v>1</v>
      </c>
      <c r="M5279" s="163" t="str">
        <f>CONCATENATE(H5279," ",F5279,"*",L5279,"мес.","*",I5279,"/",K5279,"чел.")</f>
        <v>36 шт*1мес.*0,00053339/10чел.</v>
      </c>
      <c r="N5279" s="164">
        <f>N3480</f>
        <v>24000</v>
      </c>
      <c r="O5279" s="165">
        <f>MROUND(G5279*N5279,0.000000001)</f>
        <v>46.084896000000001</v>
      </c>
      <c r="P5279" s="166"/>
      <c r="Q5279" s="166">
        <f t="shared" si="1392"/>
        <v>460.84896000000003</v>
      </c>
      <c r="R5279" s="71"/>
    </row>
    <row r="5280" spans="1:18" s="61" customFormat="1" ht="31.5" x14ac:dyDescent="0.25">
      <c r="A5280" s="358"/>
      <c r="B5280" s="361"/>
      <c r="C5280" s="364"/>
      <c r="D5280" s="156" t="s">
        <v>106</v>
      </c>
      <c r="E5280" s="156" t="s">
        <v>107</v>
      </c>
      <c r="F5280" s="156"/>
      <c r="G5280" s="238">
        <f>MROUND(H5280*L5280*I5280/K5280,0.000000001)</f>
        <v>0</v>
      </c>
      <c r="H5280" s="158">
        <f>H3479</f>
        <v>0</v>
      </c>
      <c r="I5280" s="159">
        <f>I5277</f>
        <v>5.3339000000000001E-4</v>
      </c>
      <c r="J5280" s="160"/>
      <c r="K5280" s="161">
        <f>K5277</f>
        <v>10</v>
      </c>
      <c r="L5280" s="250">
        <f>L3840</f>
        <v>0</v>
      </c>
      <c r="M5280" s="163"/>
      <c r="N5280" s="164">
        <f>N3479</f>
        <v>6.0000000000000002E-5</v>
      </c>
      <c r="O5280" s="165">
        <f>MROUND(G5280*N5280,0.000000001)</f>
        <v>0</v>
      </c>
      <c r="P5280" s="166"/>
      <c r="Q5280" s="166">
        <f t="shared" si="1392"/>
        <v>0</v>
      </c>
      <c r="R5280" s="71"/>
    </row>
    <row r="5281" spans="1:18" s="62" customFormat="1" x14ac:dyDescent="0.25">
      <c r="A5281" s="358"/>
      <c r="B5281" s="361"/>
      <c r="C5281" s="245" t="s">
        <v>296</v>
      </c>
      <c r="D5281" s="240"/>
      <c r="E5281" s="240"/>
      <c r="F5281" s="240"/>
      <c r="G5281" s="227"/>
      <c r="H5281" s="241"/>
      <c r="I5281" s="206"/>
      <c r="J5281" s="228"/>
      <c r="K5281" s="207"/>
      <c r="L5281" s="257"/>
      <c r="M5281" s="209"/>
      <c r="N5281" s="210"/>
      <c r="O5281" s="198">
        <f>SUM(O5267:O5280)</f>
        <v>333.59981600000003</v>
      </c>
      <c r="P5281" s="267"/>
      <c r="Q5281" s="166"/>
      <c r="R5281" s="71"/>
    </row>
    <row r="5282" spans="1:18" s="61" customFormat="1" ht="31.5" x14ac:dyDescent="0.25">
      <c r="A5282" s="358"/>
      <c r="B5282" s="361"/>
      <c r="C5282" s="252" t="s">
        <v>237</v>
      </c>
      <c r="D5282" s="156" t="s">
        <v>41</v>
      </c>
      <c r="E5282" s="156" t="s">
        <v>61</v>
      </c>
      <c r="F5282" s="156" t="s">
        <v>227</v>
      </c>
      <c r="G5282" s="238">
        <f>MROUND(H5282*L5282*I5282/K5282,0.000000001)</f>
        <v>2.1335600000000002E-4</v>
      </c>
      <c r="H5282" s="158">
        <f>H4202</f>
        <v>4</v>
      </c>
      <c r="I5282" s="159">
        <f>I5280</f>
        <v>5.3339000000000001E-4</v>
      </c>
      <c r="J5282" s="160"/>
      <c r="K5282" s="161">
        <f>K5280</f>
        <v>10</v>
      </c>
      <c r="L5282" s="250">
        <v>1</v>
      </c>
      <c r="M5282" s="163" t="str">
        <f>CONCATENATE(H5282," ",F5282,"*",I5282,"/",K5282,"чел.")</f>
        <v>4 автобуса*0,00053339/10чел.</v>
      </c>
      <c r="N5282" s="164">
        <f>N3482</f>
        <v>26907.305</v>
      </c>
      <c r="O5282" s="165">
        <f>MROUND(G5282*N5282,0.000001)</f>
        <v>5.7408349999999997</v>
      </c>
      <c r="P5282" s="166"/>
      <c r="Q5282" s="166">
        <f t="shared" ref="Q5282" si="1397">O5282*K5282</f>
        <v>57.408349999999999</v>
      </c>
      <c r="R5282" s="71"/>
    </row>
    <row r="5283" spans="1:18" s="62" customFormat="1" x14ac:dyDescent="0.25">
      <c r="A5283" s="358"/>
      <c r="B5283" s="361"/>
      <c r="C5283" s="245" t="s">
        <v>297</v>
      </c>
      <c r="D5283" s="240"/>
      <c r="E5283" s="240"/>
      <c r="F5283" s="240"/>
      <c r="G5283" s="227"/>
      <c r="H5283" s="241"/>
      <c r="I5283" s="206"/>
      <c r="J5283" s="228"/>
      <c r="K5283" s="207"/>
      <c r="L5283" s="257"/>
      <c r="M5283" s="209"/>
      <c r="N5283" s="210"/>
      <c r="O5283" s="198">
        <f>SUM(O5282)</f>
        <v>5.7408349999999997</v>
      </c>
      <c r="P5283" s="267"/>
      <c r="Q5283" s="166"/>
      <c r="R5283" s="71"/>
    </row>
    <row r="5284" spans="1:18" s="61" customFormat="1" ht="78.75" x14ac:dyDescent="0.25">
      <c r="A5284" s="358"/>
      <c r="B5284" s="361"/>
      <c r="C5284" s="221" t="s">
        <v>236</v>
      </c>
      <c r="D5284" s="156" t="s">
        <v>19</v>
      </c>
      <c r="E5284" s="181" t="s">
        <v>20</v>
      </c>
      <c r="F5284" s="181" t="s">
        <v>238</v>
      </c>
      <c r="G5284" s="238">
        <f>MROUND(H5284*L5284*I5284/K5284,0.000001)</f>
        <v>0</v>
      </c>
      <c r="H5284" s="158"/>
      <c r="I5284" s="159">
        <f>I5280</f>
        <v>5.3339000000000001E-4</v>
      </c>
      <c r="J5284" s="160"/>
      <c r="K5284" s="161">
        <f>K5280</f>
        <v>10</v>
      </c>
      <c r="L5284" s="250"/>
      <c r="M5284" s="163"/>
      <c r="N5284" s="164"/>
      <c r="O5284" s="165">
        <f>MROUND(G5284*N5284,0.000001)</f>
        <v>0</v>
      </c>
      <c r="P5284" s="166"/>
      <c r="Q5284" s="166">
        <f t="shared" ref="Q5284" si="1398">O5284*K5284</f>
        <v>0</v>
      </c>
      <c r="R5284" s="71"/>
    </row>
    <row r="5285" spans="1:18" s="62" customFormat="1" x14ac:dyDescent="0.25">
      <c r="A5285" s="358"/>
      <c r="B5285" s="361"/>
      <c r="C5285" s="245" t="s">
        <v>298</v>
      </c>
      <c r="D5285" s="240"/>
      <c r="E5285" s="253"/>
      <c r="F5285" s="253"/>
      <c r="G5285" s="227"/>
      <c r="H5285" s="241"/>
      <c r="I5285" s="206"/>
      <c r="J5285" s="228"/>
      <c r="K5285" s="207"/>
      <c r="L5285" s="257"/>
      <c r="M5285" s="209"/>
      <c r="N5285" s="210"/>
      <c r="O5285" s="198">
        <f>SUM(O5284)</f>
        <v>0</v>
      </c>
      <c r="P5285" s="267"/>
      <c r="Q5285" s="166"/>
      <c r="R5285" s="71"/>
    </row>
    <row r="5286" spans="1:18" s="61" customFormat="1" ht="30" x14ac:dyDescent="0.25">
      <c r="A5286" s="358"/>
      <c r="B5286" s="361"/>
      <c r="C5286" s="365" t="s">
        <v>81</v>
      </c>
      <c r="D5286" s="254" t="s">
        <v>410</v>
      </c>
      <c r="E5286" s="156" t="s">
        <v>28</v>
      </c>
      <c r="F5286" s="156" t="s">
        <v>28</v>
      </c>
      <c r="G5286" s="238">
        <f>MROUND(H5286*L5286*I5286/K5286,0.0000000001)</f>
        <v>0</v>
      </c>
      <c r="H5286" s="158"/>
      <c r="I5286" s="159">
        <f>I5280</f>
        <v>5.3339000000000001E-4</v>
      </c>
      <c r="J5286" s="160"/>
      <c r="K5286" s="161">
        <f>K5280</f>
        <v>10</v>
      </c>
      <c r="L5286" s="250">
        <v>1</v>
      </c>
      <c r="M5286" s="163"/>
      <c r="N5286" s="164"/>
      <c r="O5286" s="165">
        <f>MROUND(G5286*N5286,0.000001)</f>
        <v>0</v>
      </c>
      <c r="P5286" s="166"/>
      <c r="Q5286" s="166">
        <f t="shared" ref="Q5286:Q5309" si="1399">O5286*K5286</f>
        <v>0</v>
      </c>
      <c r="R5286" s="71"/>
    </row>
    <row r="5287" spans="1:18" s="61" customFormat="1" x14ac:dyDescent="0.25">
      <c r="A5287" s="358"/>
      <c r="B5287" s="361"/>
      <c r="C5287" s="366"/>
      <c r="D5287" s="254" t="s">
        <v>325</v>
      </c>
      <c r="E5287" s="156" t="s">
        <v>28</v>
      </c>
      <c r="F5287" s="156" t="s">
        <v>28</v>
      </c>
      <c r="G5287" s="157">
        <f>MROUND(H5287*L5287*I5287/K5287,0.0000000001)</f>
        <v>0</v>
      </c>
      <c r="H5287" s="158"/>
      <c r="I5287" s="159">
        <f>I5286</f>
        <v>5.3339000000000001E-4</v>
      </c>
      <c r="J5287" s="160"/>
      <c r="K5287" s="161">
        <f>K5286</f>
        <v>10</v>
      </c>
      <c r="L5287" s="250">
        <v>1</v>
      </c>
      <c r="M5287" s="163"/>
      <c r="N5287" s="164"/>
      <c r="O5287" s="165">
        <f>MROUND(G5287*N5287,0.000001)</f>
        <v>0</v>
      </c>
      <c r="P5287" s="166"/>
      <c r="Q5287" s="166">
        <f t="shared" si="1399"/>
        <v>0</v>
      </c>
      <c r="R5287" s="71"/>
    </row>
    <row r="5288" spans="1:18" s="61" customFormat="1" ht="30" x14ac:dyDescent="0.25">
      <c r="A5288" s="358"/>
      <c r="B5288" s="361"/>
      <c r="C5288" s="366"/>
      <c r="D5288" s="254" t="s">
        <v>411</v>
      </c>
      <c r="E5288" s="156" t="s">
        <v>28</v>
      </c>
      <c r="F5288" s="156" t="s">
        <v>28</v>
      </c>
      <c r="G5288" s="238">
        <f>MROUND(H5288*L5288*I5288/K5288,0.00000001)</f>
        <v>0</v>
      </c>
      <c r="H5288" s="158"/>
      <c r="I5288" s="159">
        <f>I5286</f>
        <v>5.3339000000000001E-4</v>
      </c>
      <c r="J5288" s="160"/>
      <c r="K5288" s="161">
        <f>K5286</f>
        <v>10</v>
      </c>
      <c r="L5288" s="250">
        <v>1</v>
      </c>
      <c r="M5288" s="163"/>
      <c r="N5288" s="164"/>
      <c r="O5288" s="165">
        <f t="shared" ref="O5288:O5309" si="1400">MROUND(G5288*N5288,0.000001)</f>
        <v>0</v>
      </c>
      <c r="P5288" s="166"/>
      <c r="Q5288" s="166">
        <f t="shared" si="1399"/>
        <v>0</v>
      </c>
      <c r="R5288" s="71"/>
    </row>
    <row r="5289" spans="1:18" s="61" customFormat="1" x14ac:dyDescent="0.25">
      <c r="A5289" s="358"/>
      <c r="B5289" s="361"/>
      <c r="C5289" s="366"/>
      <c r="D5289" s="255" t="s">
        <v>412</v>
      </c>
      <c r="E5289" s="156" t="s">
        <v>28</v>
      </c>
      <c r="F5289" s="156" t="s">
        <v>28</v>
      </c>
      <c r="G5289" s="238">
        <f>MROUND(H5289*L5289*I5289/K5289,0.00000001)</f>
        <v>0</v>
      </c>
      <c r="H5289" s="158"/>
      <c r="I5289" s="159">
        <f>I5288</f>
        <v>5.3339000000000001E-4</v>
      </c>
      <c r="J5289" s="160"/>
      <c r="K5289" s="161">
        <f>K5288</f>
        <v>10</v>
      </c>
      <c r="L5289" s="250">
        <v>1</v>
      </c>
      <c r="M5289" s="163"/>
      <c r="N5289" s="164"/>
      <c r="O5289" s="165">
        <f t="shared" si="1400"/>
        <v>0</v>
      </c>
      <c r="P5289" s="166"/>
      <c r="Q5289" s="166">
        <f t="shared" si="1399"/>
        <v>0</v>
      </c>
      <c r="R5289" s="71"/>
    </row>
    <row r="5290" spans="1:18" s="61" customFormat="1" ht="31.5" x14ac:dyDescent="0.25">
      <c r="A5290" s="358"/>
      <c r="B5290" s="361"/>
      <c r="C5290" s="366"/>
      <c r="D5290" s="255" t="s">
        <v>413</v>
      </c>
      <c r="E5290" s="156" t="s">
        <v>28</v>
      </c>
      <c r="F5290" s="156" t="s">
        <v>28</v>
      </c>
      <c r="G5290" s="238">
        <f>MROUND(H5290*L5290*I5290/K5290,0.0000000001)</f>
        <v>0</v>
      </c>
      <c r="H5290" s="158"/>
      <c r="I5290" s="159">
        <f>I5289</f>
        <v>5.3339000000000001E-4</v>
      </c>
      <c r="J5290" s="160"/>
      <c r="K5290" s="161">
        <f>K5289</f>
        <v>10</v>
      </c>
      <c r="L5290" s="250">
        <v>1</v>
      </c>
      <c r="M5290" s="163"/>
      <c r="N5290" s="164"/>
      <c r="O5290" s="165">
        <f t="shared" si="1400"/>
        <v>0</v>
      </c>
      <c r="P5290" s="166"/>
      <c r="Q5290" s="166">
        <f t="shared" si="1399"/>
        <v>0</v>
      </c>
      <c r="R5290" s="71"/>
    </row>
    <row r="5291" spans="1:18" s="61" customFormat="1" x14ac:dyDescent="0.25">
      <c r="A5291" s="358"/>
      <c r="B5291" s="361"/>
      <c r="C5291" s="366"/>
      <c r="D5291" s="254" t="s">
        <v>109</v>
      </c>
      <c r="E5291" s="156" t="s">
        <v>28</v>
      </c>
      <c r="F5291" s="156" t="s">
        <v>28</v>
      </c>
      <c r="G5291" s="238">
        <f>MROUND(H5291*L5291*I5291/K5291,0.0000000001)</f>
        <v>0</v>
      </c>
      <c r="H5291" s="158"/>
      <c r="I5291" s="159">
        <f>I5290</f>
        <v>5.3339000000000001E-4</v>
      </c>
      <c r="J5291" s="160"/>
      <c r="K5291" s="161">
        <f>K5290</f>
        <v>10</v>
      </c>
      <c r="L5291" s="250">
        <v>1</v>
      </c>
      <c r="M5291" s="163"/>
      <c r="N5291" s="164"/>
      <c r="O5291" s="165">
        <f t="shared" si="1400"/>
        <v>0</v>
      </c>
      <c r="P5291" s="166"/>
      <c r="Q5291" s="166">
        <f t="shared" si="1399"/>
        <v>0</v>
      </c>
      <c r="R5291" s="71"/>
    </row>
    <row r="5292" spans="1:18" s="61" customFormat="1" x14ac:dyDescent="0.25">
      <c r="A5292" s="358"/>
      <c r="B5292" s="361"/>
      <c r="C5292" s="366"/>
      <c r="D5292" s="254" t="s">
        <v>414</v>
      </c>
      <c r="E5292" s="156" t="s">
        <v>28</v>
      </c>
      <c r="F5292" s="156" t="s">
        <v>28</v>
      </c>
      <c r="G5292" s="238">
        <f>MROUND(H5292*L5292*I5292/K5292,0.0000000001)</f>
        <v>0</v>
      </c>
      <c r="H5292" s="158"/>
      <c r="I5292" s="159">
        <f>I5290</f>
        <v>5.3339000000000001E-4</v>
      </c>
      <c r="J5292" s="160"/>
      <c r="K5292" s="161">
        <f>K5290</f>
        <v>10</v>
      </c>
      <c r="L5292" s="250">
        <v>1</v>
      </c>
      <c r="M5292" s="163"/>
      <c r="N5292" s="164"/>
      <c r="O5292" s="165">
        <f t="shared" si="1400"/>
        <v>0</v>
      </c>
      <c r="P5292" s="166"/>
      <c r="Q5292" s="166">
        <f t="shared" si="1399"/>
        <v>0</v>
      </c>
      <c r="R5292" s="71"/>
    </row>
    <row r="5293" spans="1:18" s="61" customFormat="1" x14ac:dyDescent="0.25">
      <c r="A5293" s="358"/>
      <c r="B5293" s="361"/>
      <c r="C5293" s="366"/>
      <c r="D5293" s="254" t="s">
        <v>415</v>
      </c>
      <c r="E5293" s="156" t="s">
        <v>28</v>
      </c>
      <c r="F5293" s="156" t="s">
        <v>28</v>
      </c>
      <c r="G5293" s="238">
        <f>MROUND(H5293*L5293*I5293/K5293,0.00000001)</f>
        <v>0</v>
      </c>
      <c r="H5293" s="158"/>
      <c r="I5293" s="159">
        <f t="shared" ref="I5293:I5302" si="1401">I5291</f>
        <v>5.3339000000000001E-4</v>
      </c>
      <c r="J5293" s="160"/>
      <c r="K5293" s="161">
        <f t="shared" ref="K5293:K5302" si="1402">K5291</f>
        <v>10</v>
      </c>
      <c r="L5293" s="250">
        <v>1</v>
      </c>
      <c r="M5293" s="163"/>
      <c r="N5293" s="164"/>
      <c r="O5293" s="165">
        <f t="shared" si="1400"/>
        <v>0</v>
      </c>
      <c r="P5293" s="166"/>
      <c r="Q5293" s="166">
        <f t="shared" si="1399"/>
        <v>0</v>
      </c>
      <c r="R5293" s="71"/>
    </row>
    <row r="5294" spans="1:18" s="61" customFormat="1" x14ac:dyDescent="0.25">
      <c r="A5294" s="358"/>
      <c r="B5294" s="361"/>
      <c r="C5294" s="366"/>
      <c r="D5294" s="254" t="s">
        <v>416</v>
      </c>
      <c r="E5294" s="156" t="s">
        <v>28</v>
      </c>
      <c r="F5294" s="156" t="s">
        <v>28</v>
      </c>
      <c r="G5294" s="238">
        <f>MROUND(H5294*L5294*I5294/K5294,0.000000001)</f>
        <v>0</v>
      </c>
      <c r="H5294" s="246"/>
      <c r="I5294" s="159">
        <f t="shared" si="1401"/>
        <v>5.3339000000000001E-4</v>
      </c>
      <c r="J5294" s="160"/>
      <c r="K5294" s="161">
        <f t="shared" si="1402"/>
        <v>10</v>
      </c>
      <c r="L5294" s="250">
        <v>1</v>
      </c>
      <c r="M5294" s="163"/>
      <c r="N5294" s="164"/>
      <c r="O5294" s="165">
        <f t="shared" si="1400"/>
        <v>0</v>
      </c>
      <c r="P5294" s="166"/>
      <c r="Q5294" s="166">
        <f t="shared" si="1399"/>
        <v>0</v>
      </c>
      <c r="R5294" s="71"/>
    </row>
    <row r="5295" spans="1:18" s="61" customFormat="1" x14ac:dyDescent="0.25">
      <c r="A5295" s="358"/>
      <c r="B5295" s="361"/>
      <c r="C5295" s="366"/>
      <c r="D5295" s="254" t="s">
        <v>417</v>
      </c>
      <c r="E5295" s="156" t="s">
        <v>28</v>
      </c>
      <c r="F5295" s="156" t="s">
        <v>28</v>
      </c>
      <c r="G5295" s="238">
        <f>MROUND(H5295*L5295*I5295/K5295,0.00000001)</f>
        <v>0</v>
      </c>
      <c r="H5295" s="158"/>
      <c r="I5295" s="159">
        <f t="shared" si="1401"/>
        <v>5.3339000000000001E-4</v>
      </c>
      <c r="J5295" s="160"/>
      <c r="K5295" s="161">
        <f t="shared" si="1402"/>
        <v>10</v>
      </c>
      <c r="L5295" s="250">
        <v>1</v>
      </c>
      <c r="M5295" s="163"/>
      <c r="N5295" s="164"/>
      <c r="O5295" s="165">
        <f t="shared" si="1400"/>
        <v>0</v>
      </c>
      <c r="P5295" s="166"/>
      <c r="Q5295" s="166">
        <f t="shared" si="1399"/>
        <v>0</v>
      </c>
      <c r="R5295" s="71"/>
    </row>
    <row r="5296" spans="1:18" s="61" customFormat="1" ht="30" x14ac:dyDescent="0.25">
      <c r="A5296" s="358"/>
      <c r="B5296" s="361"/>
      <c r="C5296" s="366"/>
      <c r="D5296" s="254" t="s">
        <v>418</v>
      </c>
      <c r="E5296" s="156" t="s">
        <v>28</v>
      </c>
      <c r="F5296" s="156" t="s">
        <v>28</v>
      </c>
      <c r="G5296" s="238">
        <f>MROUND(H5296*L5296*I5296/K5296,0.00000001)</f>
        <v>0</v>
      </c>
      <c r="H5296" s="158"/>
      <c r="I5296" s="159">
        <f t="shared" si="1401"/>
        <v>5.3339000000000001E-4</v>
      </c>
      <c r="J5296" s="160"/>
      <c r="K5296" s="161">
        <f t="shared" si="1402"/>
        <v>10</v>
      </c>
      <c r="L5296" s="250">
        <v>1</v>
      </c>
      <c r="M5296" s="163"/>
      <c r="N5296" s="164"/>
      <c r="O5296" s="165">
        <f t="shared" si="1400"/>
        <v>0</v>
      </c>
      <c r="P5296" s="166"/>
      <c r="Q5296" s="166">
        <f t="shared" si="1399"/>
        <v>0</v>
      </c>
      <c r="R5296" s="71"/>
    </row>
    <row r="5297" spans="1:18" s="61" customFormat="1" x14ac:dyDescent="0.25">
      <c r="A5297" s="358"/>
      <c r="B5297" s="361"/>
      <c r="C5297" s="366"/>
      <c r="D5297" s="254" t="s">
        <v>324</v>
      </c>
      <c r="E5297" s="156" t="s">
        <v>28</v>
      </c>
      <c r="F5297" s="156" t="s">
        <v>28</v>
      </c>
      <c r="G5297" s="238">
        <f>MROUND(H5297*L5297*I5297/K5297,0.000000001)</f>
        <v>0</v>
      </c>
      <c r="H5297" s="158"/>
      <c r="I5297" s="159">
        <f t="shared" si="1401"/>
        <v>5.3339000000000001E-4</v>
      </c>
      <c r="J5297" s="160"/>
      <c r="K5297" s="161">
        <f t="shared" si="1402"/>
        <v>10</v>
      </c>
      <c r="L5297" s="250">
        <v>1</v>
      </c>
      <c r="M5297" s="163"/>
      <c r="N5297" s="164"/>
      <c r="O5297" s="165">
        <f t="shared" si="1400"/>
        <v>0</v>
      </c>
      <c r="P5297" s="166"/>
      <c r="Q5297" s="166">
        <f t="shared" si="1399"/>
        <v>0</v>
      </c>
      <c r="R5297" s="71"/>
    </row>
    <row r="5298" spans="1:18" s="61" customFormat="1" x14ac:dyDescent="0.25">
      <c r="A5298" s="358"/>
      <c r="B5298" s="361"/>
      <c r="C5298" s="366"/>
      <c r="D5298" s="254" t="s">
        <v>419</v>
      </c>
      <c r="E5298" s="156" t="s">
        <v>28</v>
      </c>
      <c r="F5298" s="156" t="s">
        <v>28</v>
      </c>
      <c r="G5298" s="238">
        <f>MROUND(H5298*L5298*I5298/K5298,0.000000001)</f>
        <v>0</v>
      </c>
      <c r="H5298" s="246"/>
      <c r="I5298" s="159">
        <f t="shared" si="1401"/>
        <v>5.3339000000000001E-4</v>
      </c>
      <c r="J5298" s="160"/>
      <c r="K5298" s="161">
        <f t="shared" si="1402"/>
        <v>10</v>
      </c>
      <c r="L5298" s="250">
        <v>1</v>
      </c>
      <c r="M5298" s="163"/>
      <c r="N5298" s="164"/>
      <c r="O5298" s="165">
        <f t="shared" si="1400"/>
        <v>0</v>
      </c>
      <c r="P5298" s="166"/>
      <c r="Q5298" s="166">
        <f t="shared" si="1399"/>
        <v>0</v>
      </c>
      <c r="R5298" s="71"/>
    </row>
    <row r="5299" spans="1:18" s="61" customFormat="1" x14ac:dyDescent="0.25">
      <c r="A5299" s="358"/>
      <c r="B5299" s="361"/>
      <c r="C5299" s="366"/>
      <c r="D5299" s="254" t="s">
        <v>420</v>
      </c>
      <c r="E5299" s="156" t="s">
        <v>28</v>
      </c>
      <c r="F5299" s="156" t="s">
        <v>28</v>
      </c>
      <c r="G5299" s="238">
        <f>MROUND(H5299*L5299*I5299/K5299,0.000000001)</f>
        <v>0</v>
      </c>
      <c r="H5299" s="158"/>
      <c r="I5299" s="159">
        <f t="shared" si="1401"/>
        <v>5.3339000000000001E-4</v>
      </c>
      <c r="J5299" s="160"/>
      <c r="K5299" s="161">
        <f t="shared" si="1402"/>
        <v>10</v>
      </c>
      <c r="L5299" s="250">
        <v>1</v>
      </c>
      <c r="M5299" s="163"/>
      <c r="N5299" s="164"/>
      <c r="O5299" s="165">
        <f t="shared" si="1400"/>
        <v>0</v>
      </c>
      <c r="P5299" s="166"/>
      <c r="Q5299" s="166">
        <f t="shared" si="1399"/>
        <v>0</v>
      </c>
      <c r="R5299" s="71"/>
    </row>
    <row r="5300" spans="1:18" s="61" customFormat="1" x14ac:dyDescent="0.25">
      <c r="A5300" s="358"/>
      <c r="B5300" s="361"/>
      <c r="C5300" s="366"/>
      <c r="D5300" s="254" t="s">
        <v>421</v>
      </c>
      <c r="E5300" s="156" t="s">
        <v>28</v>
      </c>
      <c r="F5300" s="156" t="s">
        <v>28</v>
      </c>
      <c r="G5300" s="238">
        <f>MROUND(H5300*L5300*I5300/K5300,0.00000001)</f>
        <v>0</v>
      </c>
      <c r="H5300" s="158"/>
      <c r="I5300" s="159">
        <f t="shared" si="1401"/>
        <v>5.3339000000000001E-4</v>
      </c>
      <c r="J5300" s="160"/>
      <c r="K5300" s="161">
        <f t="shared" si="1402"/>
        <v>10</v>
      </c>
      <c r="L5300" s="250">
        <v>1</v>
      </c>
      <c r="M5300" s="163"/>
      <c r="N5300" s="164"/>
      <c r="O5300" s="165">
        <f t="shared" si="1400"/>
        <v>0</v>
      </c>
      <c r="P5300" s="166"/>
      <c r="Q5300" s="166">
        <f t="shared" si="1399"/>
        <v>0</v>
      </c>
      <c r="R5300" s="71"/>
    </row>
    <row r="5301" spans="1:18" s="61" customFormat="1" ht="30" x14ac:dyDescent="0.25">
      <c r="A5301" s="358"/>
      <c r="B5301" s="361"/>
      <c r="C5301" s="366"/>
      <c r="D5301" s="254" t="s">
        <v>422</v>
      </c>
      <c r="E5301" s="156" t="s">
        <v>28</v>
      </c>
      <c r="F5301" s="156" t="s">
        <v>28</v>
      </c>
      <c r="G5301" s="266">
        <f>MROUND(H5301*L5301*I5301/K5301,0.00000001)</f>
        <v>0</v>
      </c>
      <c r="H5301" s="158"/>
      <c r="I5301" s="159">
        <f t="shared" si="1401"/>
        <v>5.3339000000000001E-4</v>
      </c>
      <c r="J5301" s="160"/>
      <c r="K5301" s="161">
        <f t="shared" si="1402"/>
        <v>10</v>
      </c>
      <c r="L5301" s="250">
        <v>1</v>
      </c>
      <c r="M5301" s="163"/>
      <c r="N5301" s="164"/>
      <c r="O5301" s="165">
        <f t="shared" si="1400"/>
        <v>0</v>
      </c>
      <c r="P5301" s="166"/>
      <c r="Q5301" s="166">
        <f t="shared" si="1399"/>
        <v>0</v>
      </c>
      <c r="R5301" s="71"/>
    </row>
    <row r="5302" spans="1:18" s="61" customFormat="1" x14ac:dyDescent="0.25">
      <c r="A5302" s="358"/>
      <c r="B5302" s="361"/>
      <c r="C5302" s="366"/>
      <c r="D5302" s="254" t="s">
        <v>423</v>
      </c>
      <c r="E5302" s="156" t="s">
        <v>28</v>
      </c>
      <c r="F5302" s="156" t="s">
        <v>28</v>
      </c>
      <c r="G5302" s="238">
        <f>MROUND(H5302*L5302*I5302/K5302,0.000000001)</f>
        <v>0</v>
      </c>
      <c r="H5302" s="158"/>
      <c r="I5302" s="159">
        <f t="shared" si="1401"/>
        <v>5.3339000000000001E-4</v>
      </c>
      <c r="J5302" s="160"/>
      <c r="K5302" s="161">
        <f t="shared" si="1402"/>
        <v>10</v>
      </c>
      <c r="L5302" s="250">
        <v>1</v>
      </c>
      <c r="M5302" s="163"/>
      <c r="N5302" s="164"/>
      <c r="O5302" s="165">
        <f t="shared" si="1400"/>
        <v>0</v>
      </c>
      <c r="P5302" s="166"/>
      <c r="Q5302" s="166">
        <f t="shared" si="1399"/>
        <v>0</v>
      </c>
      <c r="R5302" s="71"/>
    </row>
    <row r="5303" spans="1:18" s="61" customFormat="1" x14ac:dyDescent="0.25">
      <c r="A5303" s="358"/>
      <c r="B5303" s="361"/>
      <c r="C5303" s="366"/>
      <c r="D5303" s="254" t="s">
        <v>424</v>
      </c>
      <c r="E5303" s="156" t="s">
        <v>28</v>
      </c>
      <c r="F5303" s="156" t="s">
        <v>28</v>
      </c>
      <c r="G5303" s="238">
        <f t="shared" ref="G5303:G5309" si="1403">MROUND(H5303*L5303*I5303/K5303,0.00000001)</f>
        <v>0</v>
      </c>
      <c r="H5303" s="158"/>
      <c r="I5303" s="159">
        <f>I5292</f>
        <v>5.3339000000000001E-4</v>
      </c>
      <c r="J5303" s="160"/>
      <c r="K5303" s="161">
        <f>K5292</f>
        <v>10</v>
      </c>
      <c r="L5303" s="250">
        <v>1</v>
      </c>
      <c r="M5303" s="163"/>
      <c r="N5303" s="164"/>
      <c r="O5303" s="165">
        <f t="shared" si="1400"/>
        <v>0</v>
      </c>
      <c r="P5303" s="166"/>
      <c r="Q5303" s="166">
        <f t="shared" si="1399"/>
        <v>0</v>
      </c>
      <c r="R5303" s="71"/>
    </row>
    <row r="5304" spans="1:18" s="61" customFormat="1" x14ac:dyDescent="0.25">
      <c r="A5304" s="358"/>
      <c r="B5304" s="361"/>
      <c r="C5304" s="366"/>
      <c r="D5304" s="254" t="s">
        <v>425</v>
      </c>
      <c r="E5304" s="156" t="s">
        <v>28</v>
      </c>
      <c r="F5304" s="156" t="s">
        <v>28</v>
      </c>
      <c r="G5304" s="277">
        <f t="shared" si="1403"/>
        <v>0</v>
      </c>
      <c r="H5304" s="158"/>
      <c r="I5304" s="159">
        <f t="shared" ref="I5304:I5309" si="1404">I5303</f>
        <v>5.3339000000000001E-4</v>
      </c>
      <c r="J5304" s="160"/>
      <c r="K5304" s="161">
        <f t="shared" ref="K5304:K5309" si="1405">K5303</f>
        <v>10</v>
      </c>
      <c r="L5304" s="250">
        <v>1</v>
      </c>
      <c r="M5304" s="163"/>
      <c r="N5304" s="164"/>
      <c r="O5304" s="165">
        <f t="shared" si="1400"/>
        <v>0</v>
      </c>
      <c r="P5304" s="166"/>
      <c r="Q5304" s="166">
        <f t="shared" si="1399"/>
        <v>0</v>
      </c>
      <c r="R5304" s="71"/>
    </row>
    <row r="5305" spans="1:18" s="61" customFormat="1" x14ac:dyDescent="0.25">
      <c r="A5305" s="358"/>
      <c r="B5305" s="361"/>
      <c r="C5305" s="366"/>
      <c r="D5305" s="254" t="s">
        <v>108</v>
      </c>
      <c r="E5305" s="156" t="s">
        <v>28</v>
      </c>
      <c r="F5305" s="156" t="s">
        <v>28</v>
      </c>
      <c r="G5305" s="238">
        <f t="shared" si="1403"/>
        <v>0</v>
      </c>
      <c r="H5305" s="158"/>
      <c r="I5305" s="159">
        <f t="shared" si="1404"/>
        <v>5.3339000000000001E-4</v>
      </c>
      <c r="J5305" s="160"/>
      <c r="K5305" s="161">
        <f t="shared" si="1405"/>
        <v>10</v>
      </c>
      <c r="L5305" s="250">
        <v>1</v>
      </c>
      <c r="M5305" s="163"/>
      <c r="N5305" s="164"/>
      <c r="O5305" s="165">
        <f t="shared" si="1400"/>
        <v>0</v>
      </c>
      <c r="P5305" s="166"/>
      <c r="Q5305" s="166">
        <f t="shared" si="1399"/>
        <v>0</v>
      </c>
      <c r="R5305" s="71"/>
    </row>
    <row r="5306" spans="1:18" s="61" customFormat="1" x14ac:dyDescent="0.25">
      <c r="A5306" s="358"/>
      <c r="B5306" s="361"/>
      <c r="C5306" s="366"/>
      <c r="D5306" s="254" t="s">
        <v>426</v>
      </c>
      <c r="E5306" s="156" t="s">
        <v>28</v>
      </c>
      <c r="F5306" s="156" t="s">
        <v>28</v>
      </c>
      <c r="G5306" s="238">
        <f t="shared" si="1403"/>
        <v>0</v>
      </c>
      <c r="H5306" s="158"/>
      <c r="I5306" s="159">
        <f t="shared" si="1404"/>
        <v>5.3339000000000001E-4</v>
      </c>
      <c r="J5306" s="160"/>
      <c r="K5306" s="161">
        <f t="shared" si="1405"/>
        <v>10</v>
      </c>
      <c r="L5306" s="250">
        <v>1</v>
      </c>
      <c r="M5306" s="163"/>
      <c r="N5306" s="164"/>
      <c r="O5306" s="165">
        <f t="shared" si="1400"/>
        <v>0</v>
      </c>
      <c r="P5306" s="166"/>
      <c r="Q5306" s="166">
        <f t="shared" si="1399"/>
        <v>0</v>
      </c>
      <c r="R5306" s="71"/>
    </row>
    <row r="5307" spans="1:18" s="61" customFormat="1" x14ac:dyDescent="0.25">
      <c r="A5307" s="358"/>
      <c r="B5307" s="361"/>
      <c r="C5307" s="366"/>
      <c r="D5307" s="254" t="s">
        <v>427</v>
      </c>
      <c r="E5307" s="156" t="s">
        <v>28</v>
      </c>
      <c r="F5307" s="156" t="s">
        <v>28</v>
      </c>
      <c r="G5307" s="238">
        <f t="shared" si="1403"/>
        <v>0</v>
      </c>
      <c r="H5307" s="158"/>
      <c r="I5307" s="159">
        <f t="shared" si="1404"/>
        <v>5.3339000000000001E-4</v>
      </c>
      <c r="J5307" s="160"/>
      <c r="K5307" s="161">
        <f t="shared" si="1405"/>
        <v>10</v>
      </c>
      <c r="L5307" s="250">
        <v>1</v>
      </c>
      <c r="M5307" s="163"/>
      <c r="N5307" s="164"/>
      <c r="O5307" s="165">
        <f t="shared" si="1400"/>
        <v>0</v>
      </c>
      <c r="P5307" s="166"/>
      <c r="Q5307" s="166">
        <f t="shared" si="1399"/>
        <v>0</v>
      </c>
      <c r="R5307" s="71"/>
    </row>
    <row r="5308" spans="1:18" s="61" customFormat="1" x14ac:dyDescent="0.25">
      <c r="A5308" s="358"/>
      <c r="B5308" s="361"/>
      <c r="C5308" s="366"/>
      <c r="D5308" s="254" t="s">
        <v>428</v>
      </c>
      <c r="E5308" s="156" t="s">
        <v>28</v>
      </c>
      <c r="F5308" s="156" t="s">
        <v>28</v>
      </c>
      <c r="G5308" s="238">
        <f t="shared" si="1403"/>
        <v>0</v>
      </c>
      <c r="H5308" s="158"/>
      <c r="I5308" s="159">
        <f t="shared" si="1404"/>
        <v>5.3339000000000001E-4</v>
      </c>
      <c r="J5308" s="160"/>
      <c r="K5308" s="161">
        <f t="shared" si="1405"/>
        <v>10</v>
      </c>
      <c r="L5308" s="250">
        <v>1</v>
      </c>
      <c r="M5308" s="163"/>
      <c r="N5308" s="164"/>
      <c r="O5308" s="165">
        <f t="shared" si="1400"/>
        <v>0</v>
      </c>
      <c r="P5308" s="166"/>
      <c r="Q5308" s="166">
        <f t="shared" si="1399"/>
        <v>0</v>
      </c>
      <c r="R5308" s="71"/>
    </row>
    <row r="5309" spans="1:18" s="61" customFormat="1" x14ac:dyDescent="0.25">
      <c r="A5309" s="358"/>
      <c r="B5309" s="361"/>
      <c r="C5309" s="366"/>
      <c r="D5309" s="255" t="s">
        <v>429</v>
      </c>
      <c r="E5309" s="156" t="s">
        <v>28</v>
      </c>
      <c r="F5309" s="156" t="s">
        <v>28</v>
      </c>
      <c r="G5309" s="238">
        <f t="shared" si="1403"/>
        <v>0</v>
      </c>
      <c r="H5309" s="158"/>
      <c r="I5309" s="159">
        <f t="shared" si="1404"/>
        <v>5.3339000000000001E-4</v>
      </c>
      <c r="J5309" s="160"/>
      <c r="K5309" s="161">
        <f t="shared" si="1405"/>
        <v>10</v>
      </c>
      <c r="L5309" s="250">
        <v>1</v>
      </c>
      <c r="M5309" s="163"/>
      <c r="N5309" s="164"/>
      <c r="O5309" s="165">
        <f t="shared" si="1400"/>
        <v>0</v>
      </c>
      <c r="P5309" s="166"/>
      <c r="Q5309" s="166">
        <f t="shared" si="1399"/>
        <v>0</v>
      </c>
      <c r="R5309" s="71"/>
    </row>
    <row r="5310" spans="1:18" s="62" customFormat="1" x14ac:dyDescent="0.25">
      <c r="A5310" s="358"/>
      <c r="B5310" s="361"/>
      <c r="C5310" s="249" t="s">
        <v>299</v>
      </c>
      <c r="D5310" s="256"/>
      <c r="E5310" s="240"/>
      <c r="F5310" s="240"/>
      <c r="G5310" s="227"/>
      <c r="H5310" s="241"/>
      <c r="I5310" s="206"/>
      <c r="J5310" s="228"/>
      <c r="K5310" s="207"/>
      <c r="L5310" s="257"/>
      <c r="M5310" s="209"/>
      <c r="N5310" s="210"/>
      <c r="O5310" s="198">
        <f>SUM(O5286:O5309)</f>
        <v>0</v>
      </c>
      <c r="P5310" s="267"/>
      <c r="Q5310" s="166"/>
      <c r="R5310" s="71"/>
    </row>
    <row r="5311" spans="1:18" s="61" customFormat="1" ht="110.25" x14ac:dyDescent="0.25">
      <c r="A5311" s="358"/>
      <c r="B5311" s="361"/>
      <c r="C5311" s="221" t="s">
        <v>82</v>
      </c>
      <c r="D5311" s="156" t="s">
        <v>46</v>
      </c>
      <c r="E5311" s="156" t="s">
        <v>54</v>
      </c>
      <c r="F5311" s="156" t="s">
        <v>285</v>
      </c>
      <c r="G5311" s="238">
        <f>MROUND(H5311*L5311*I5311/K5311,0.000001)</f>
        <v>0.60326400000000002</v>
      </c>
      <c r="H5311" s="242">
        <f>H4831</f>
        <v>1028.181818181818</v>
      </c>
      <c r="I5311" s="159">
        <f>I5309</f>
        <v>5.3339000000000001E-4</v>
      </c>
      <c r="J5311" s="160"/>
      <c r="K5311" s="161">
        <f>K5309</f>
        <v>10</v>
      </c>
      <c r="L5311" s="225">
        <f>L5071</f>
        <v>11</v>
      </c>
      <c r="M5311" s="163" t="str">
        <f>CONCATENATE(H5311," ",F5311,"*",L5311,"автобуса","*",I5311,"/",K5311,"чел.")</f>
        <v>1028,18181818182 л бензина АИ 92 (12,5л/день(зимой)*20дней*7мес+10л/день(летом)*20дней*4мес)*11автобуса*0,00053339/10чел.</v>
      </c>
      <c r="N5311" s="164">
        <f>N3511</f>
        <v>57.007000000000005</v>
      </c>
      <c r="O5311" s="165">
        <f>MROUND(G5311*N5311,0.000001)</f>
        <v>34.390270999999998</v>
      </c>
      <c r="P5311" s="166"/>
      <c r="Q5311" s="166">
        <f t="shared" ref="Q5311" si="1406">O5311*K5311</f>
        <v>343.90270999999996</v>
      </c>
      <c r="R5311" s="71"/>
    </row>
    <row r="5312" spans="1:18" s="62" customFormat="1" x14ac:dyDescent="0.25">
      <c r="A5312" s="358"/>
      <c r="B5312" s="361"/>
      <c r="C5312" s="218" t="s">
        <v>300</v>
      </c>
      <c r="D5312" s="240"/>
      <c r="E5312" s="240"/>
      <c r="F5312" s="240"/>
      <c r="G5312" s="227"/>
      <c r="H5312" s="241"/>
      <c r="I5312" s="206"/>
      <c r="J5312" s="228"/>
      <c r="K5312" s="207"/>
      <c r="L5312" s="257"/>
      <c r="M5312" s="209"/>
      <c r="N5312" s="210"/>
      <c r="O5312" s="198">
        <f>SUM(O5311)</f>
        <v>34.390270999999998</v>
      </c>
      <c r="P5312" s="267"/>
      <c r="Q5312" s="166"/>
      <c r="R5312" s="71"/>
    </row>
    <row r="5313" spans="1:18" s="61" customFormat="1" ht="47.25" x14ac:dyDescent="0.25">
      <c r="A5313" s="358"/>
      <c r="B5313" s="361"/>
      <c r="C5313" s="221" t="s">
        <v>434</v>
      </c>
      <c r="D5313" s="156" t="s">
        <v>436</v>
      </c>
      <c r="E5313" s="156" t="s">
        <v>28</v>
      </c>
      <c r="F5313" s="156" t="s">
        <v>437</v>
      </c>
      <c r="G5313" s="157">
        <f>MROUND(H5313*L5313*I5313/K5313,0.000001)</f>
        <v>1.5467999999999999E-2</v>
      </c>
      <c r="H5313" s="242">
        <f>$H$125</f>
        <v>290</v>
      </c>
      <c r="I5313" s="159">
        <f>I5311</f>
        <v>5.3339000000000001E-4</v>
      </c>
      <c r="J5313" s="160"/>
      <c r="K5313" s="161">
        <f>K5311</f>
        <v>10</v>
      </c>
      <c r="L5313" s="162">
        <v>1</v>
      </c>
      <c r="M5313" s="163" t="str">
        <f>CONCATENATE(H5313," ",F5313,"*",L5313,"автобуса","*",I5313,"/",K5313,"чел.")</f>
        <v>290 огнетушителей (потребность учреждений) *1автобуса*0,00053339/10чел.</v>
      </c>
      <c r="N5313" s="164">
        <f>$N$125</f>
        <v>2000</v>
      </c>
      <c r="O5313" s="165">
        <f>MROUND(G5313*N5313,0.000001)</f>
        <v>30.936</v>
      </c>
      <c r="P5313" s="166"/>
      <c r="Q5313" s="166">
        <f t="shared" ref="Q5313" si="1407">O5313*K5313</f>
        <v>309.36</v>
      </c>
      <c r="R5313" s="71"/>
    </row>
    <row r="5314" spans="1:18" s="61" customFormat="1" x14ac:dyDescent="0.25">
      <c r="A5314" s="358"/>
      <c r="B5314" s="361"/>
      <c r="C5314" s="218" t="s">
        <v>435</v>
      </c>
      <c r="D5314" s="240"/>
      <c r="E5314" s="240"/>
      <c r="F5314" s="240"/>
      <c r="G5314" s="251"/>
      <c r="H5314" s="241"/>
      <c r="I5314" s="206"/>
      <c r="J5314" s="228"/>
      <c r="K5314" s="207"/>
      <c r="L5314" s="229"/>
      <c r="M5314" s="209"/>
      <c r="N5314" s="210"/>
      <c r="O5314" s="198">
        <f>SUM(O5313)</f>
        <v>30.936</v>
      </c>
      <c r="P5314" s="166"/>
      <c r="Q5314" s="166"/>
      <c r="R5314" s="71"/>
    </row>
    <row r="5315" spans="1:18" s="61" customFormat="1" ht="47.25" x14ac:dyDescent="0.25">
      <c r="A5315" s="358"/>
      <c r="B5315" s="361"/>
      <c r="C5315" s="364" t="s">
        <v>118</v>
      </c>
      <c r="D5315" s="156" t="s">
        <v>47</v>
      </c>
      <c r="E5315" s="156" t="s">
        <v>28</v>
      </c>
      <c r="F5315" s="156" t="s">
        <v>239</v>
      </c>
      <c r="G5315" s="238">
        <f>MROUND(H5315*L5315*I5315/K5315,0.00000001)</f>
        <v>7.6808200000000005E-3</v>
      </c>
      <c r="H5315" s="158">
        <f>H4235</f>
        <v>144</v>
      </c>
      <c r="I5315" s="159">
        <f>I5311</f>
        <v>5.3339000000000001E-4</v>
      </c>
      <c r="J5315" s="160"/>
      <c r="K5315" s="161">
        <f>K5311</f>
        <v>10</v>
      </c>
      <c r="L5315" s="250">
        <v>1</v>
      </c>
      <c r="M5315" s="163" t="str">
        <f>CONCATENATE(H5315," ",F5315,"*",I5315,"/",K5315,"чел.")</f>
        <v>144 манометров (потребность учреждений) *0,00053339/10чел.</v>
      </c>
      <c r="N5315" s="164">
        <f>N3515</f>
        <v>720.50416666666672</v>
      </c>
      <c r="O5315" s="165">
        <f>MROUND(G5315*N5315,0.000001)</f>
        <v>5.5340629999999997</v>
      </c>
      <c r="P5315" s="166"/>
      <c r="Q5315" s="166">
        <f t="shared" ref="Q5315:Q5316" si="1408">O5315*K5315</f>
        <v>55.340629999999997</v>
      </c>
      <c r="R5315" s="71"/>
    </row>
    <row r="5316" spans="1:18" s="61" customFormat="1" ht="47.25" x14ac:dyDescent="0.25">
      <c r="A5316" s="358"/>
      <c r="B5316" s="361"/>
      <c r="C5316" s="364"/>
      <c r="D5316" s="255" t="s">
        <v>113</v>
      </c>
      <c r="E5316" s="156" t="s">
        <v>28</v>
      </c>
      <c r="F5316" s="156" t="s">
        <v>240</v>
      </c>
      <c r="G5316" s="238">
        <f>MROUND(H5316*L5316*I5316/K5316,0.00000001)</f>
        <v>0.30483238000000001</v>
      </c>
      <c r="H5316" s="158">
        <f>H3876</f>
        <v>5715</v>
      </c>
      <c r="I5316" s="159">
        <f>I5315</f>
        <v>5.3339000000000001E-4</v>
      </c>
      <c r="J5316" s="160"/>
      <c r="K5316" s="161">
        <f>K5315</f>
        <v>10</v>
      </c>
      <c r="L5316" s="250">
        <v>1</v>
      </c>
      <c r="M5316" s="163" t="str">
        <f>CONCATENATE(H5316," ",F5316,"*",I5316,"/",K5316,"чел.")</f>
        <v>5715 светильников (потребность учреждений)*0,00053339/10чел.</v>
      </c>
      <c r="N5316" s="164">
        <f>N3516</f>
        <v>111.16365879265086</v>
      </c>
      <c r="O5316" s="165">
        <f>MROUND(G5316*N5316,0.000001)</f>
        <v>33.886282999999999</v>
      </c>
      <c r="P5316" s="166"/>
      <c r="Q5316" s="166">
        <f t="shared" si="1408"/>
        <v>338.86282999999997</v>
      </c>
      <c r="R5316" s="71"/>
    </row>
    <row r="5317" spans="1:18" s="62" customFormat="1" x14ac:dyDescent="0.25">
      <c r="A5317" s="359"/>
      <c r="B5317" s="362"/>
      <c r="C5317" s="218" t="s">
        <v>301</v>
      </c>
      <c r="D5317" s="256"/>
      <c r="E5317" s="240"/>
      <c r="F5317" s="240"/>
      <c r="G5317" s="227"/>
      <c r="H5317" s="241"/>
      <c r="I5317" s="206"/>
      <c r="J5317" s="228"/>
      <c r="K5317" s="207"/>
      <c r="L5317" s="257"/>
      <c r="M5317" s="209"/>
      <c r="N5317" s="210"/>
      <c r="O5317" s="198">
        <f>SUM(O5315:O5316)</f>
        <v>39.420345999999995</v>
      </c>
      <c r="P5317" s="267"/>
      <c r="Q5317" s="166"/>
      <c r="R5317" s="71"/>
    </row>
    <row r="5318" spans="1:18" s="61" customFormat="1" x14ac:dyDescent="0.25">
      <c r="A5318" s="357" t="str">
        <f>CONCATENATE(школы!$B$23,", ",школы!$C$23,", ",школы!$D$23)</f>
        <v xml:space="preserve">Реализация основных общеобразовательных программ среднего общего образования, образовательная программа, обеспечивающая углубленное изучение отдельных учебных предметов, предметных областей (профильное обучение), </v>
      </c>
      <c r="B5318" s="360" t="str">
        <f>школы!$A$23</f>
        <v>802112О.99.0.ББ11АП76001</v>
      </c>
      <c r="C5318" s="194"/>
      <c r="D5318" s="363" t="s">
        <v>15</v>
      </c>
      <c r="E5318" s="363"/>
      <c r="F5318" s="363"/>
      <c r="G5318" s="363"/>
      <c r="H5318" s="195"/>
      <c r="I5318" s="195"/>
      <c r="J5318" s="195"/>
      <c r="K5318" s="195"/>
      <c r="L5318" s="196"/>
      <c r="M5318" s="197"/>
      <c r="N5318" s="164"/>
      <c r="O5318" s="198">
        <f>O5319+O5324+O5326</f>
        <v>9897.1761216819996</v>
      </c>
      <c r="P5318" s="166"/>
      <c r="Q5318" s="166"/>
      <c r="R5318" s="71"/>
    </row>
    <row r="5319" spans="1:18" s="61" customFormat="1" x14ac:dyDescent="0.25">
      <c r="A5319" s="358"/>
      <c r="B5319" s="361"/>
      <c r="C5319" s="194"/>
      <c r="D5319" s="350" t="s">
        <v>62</v>
      </c>
      <c r="E5319" s="350"/>
      <c r="F5319" s="350"/>
      <c r="G5319" s="350"/>
      <c r="H5319" s="195"/>
      <c r="I5319" s="195"/>
      <c r="J5319" s="195"/>
      <c r="K5319" s="195"/>
      <c r="L5319" s="196"/>
      <c r="M5319" s="197"/>
      <c r="N5319" s="164"/>
      <c r="O5319" s="165">
        <f>O5321+O5323</f>
        <v>9897.1761216819996</v>
      </c>
      <c r="P5319" s="166"/>
      <c r="Q5319" s="166"/>
      <c r="R5319" s="71"/>
    </row>
    <row r="5320" spans="1:18" s="61" customFormat="1" x14ac:dyDescent="0.25">
      <c r="A5320" s="358"/>
      <c r="B5320" s="361"/>
      <c r="C5320" s="194">
        <v>211</v>
      </c>
      <c r="D5320" s="194" t="s">
        <v>86</v>
      </c>
      <c r="E5320" s="199" t="s">
        <v>95</v>
      </c>
      <c r="F5320" s="199" t="s">
        <v>95</v>
      </c>
      <c r="G5320" s="275">
        <f>MROUND(H5320*L5320*I5320/K5320,0.0000000001)</f>
        <v>0.5900140894</v>
      </c>
      <c r="H5320" s="201">
        <f>H4480</f>
        <v>921.8</v>
      </c>
      <c r="I5320" s="159">
        <f>школы!$K$23</f>
        <v>2.8856369999999999E-2</v>
      </c>
      <c r="J5320" s="159"/>
      <c r="K5320" s="161">
        <f>школы!$G$23</f>
        <v>541</v>
      </c>
      <c r="L5320" s="202">
        <v>12</v>
      </c>
      <c r="M5320" s="163" t="str">
        <f>CONCATENATE(H5320," ",F5320," ","в мес.","*",L5320,"мес.","*",I5320,"/",K5320,"чел.")</f>
        <v>921,8 шт.ед в мес.*12мес.*0,02885637/541чел.</v>
      </c>
      <c r="N5320" s="164">
        <f>N4480</f>
        <v>12883.620739314385</v>
      </c>
      <c r="O5320" s="165">
        <f>MROUND(G5320*N5320,0.000000001)</f>
        <v>7601.517758682</v>
      </c>
      <c r="P5320" s="166"/>
      <c r="Q5320" s="166">
        <f t="shared" ref="Q5320" si="1409">O5320*K5320</f>
        <v>4112421.107446962</v>
      </c>
      <c r="R5320" s="71"/>
    </row>
    <row r="5321" spans="1:18" s="62" customFormat="1" x14ac:dyDescent="0.25">
      <c r="A5321" s="358"/>
      <c r="B5321" s="361"/>
      <c r="C5321" s="203" t="s">
        <v>288</v>
      </c>
      <c r="D5321" s="203"/>
      <c r="E5321" s="204"/>
      <c r="F5321" s="204"/>
      <c r="G5321" s="205"/>
      <c r="H5321" s="206"/>
      <c r="I5321" s="206"/>
      <c r="J5321" s="206"/>
      <c r="K5321" s="207"/>
      <c r="L5321" s="208"/>
      <c r="M5321" s="209"/>
      <c r="N5321" s="210">
        <f>N5320</f>
        <v>12883.620739314385</v>
      </c>
      <c r="O5321" s="198">
        <f>O5320</f>
        <v>7601.517758682</v>
      </c>
      <c r="P5321" s="267"/>
      <c r="Q5321" s="166"/>
      <c r="R5321" s="71"/>
    </row>
    <row r="5322" spans="1:18" s="61" customFormat="1" x14ac:dyDescent="0.25">
      <c r="A5322" s="358"/>
      <c r="B5322" s="361"/>
      <c r="C5322" s="194">
        <v>213</v>
      </c>
      <c r="D5322" s="194" t="s">
        <v>87</v>
      </c>
      <c r="E5322" s="194" t="s">
        <v>88</v>
      </c>
      <c r="F5322" s="194"/>
      <c r="G5322" s="211">
        <v>30.2</v>
      </c>
      <c r="H5322" s="159"/>
      <c r="I5322" s="159"/>
      <c r="J5322" s="159"/>
      <c r="K5322" s="161">
        <f>K5320</f>
        <v>541</v>
      </c>
      <c r="L5322" s="202"/>
      <c r="M5322" s="212"/>
      <c r="N5322" s="164"/>
      <c r="O5322" s="165">
        <f>MROUND(O5320*0.302,0.000001)</f>
        <v>2295.658363</v>
      </c>
      <c r="P5322" s="166"/>
      <c r="Q5322" s="166">
        <f>O5322*K5322</f>
        <v>1241951.174383</v>
      </c>
      <c r="R5322" s="71"/>
    </row>
    <row r="5323" spans="1:18" s="62" customFormat="1" x14ac:dyDescent="0.25">
      <c r="A5323" s="358"/>
      <c r="B5323" s="361"/>
      <c r="C5323" s="203" t="s">
        <v>289</v>
      </c>
      <c r="D5323" s="203"/>
      <c r="E5323" s="203"/>
      <c r="F5323" s="203"/>
      <c r="G5323" s="213"/>
      <c r="H5323" s="214"/>
      <c r="I5323" s="206"/>
      <c r="J5323" s="214"/>
      <c r="K5323" s="207"/>
      <c r="L5323" s="215"/>
      <c r="M5323" s="216"/>
      <c r="N5323" s="210"/>
      <c r="O5323" s="198">
        <f>O5322</f>
        <v>2295.658363</v>
      </c>
      <c r="P5323" s="267"/>
      <c r="Q5323" s="166"/>
      <c r="R5323" s="71"/>
    </row>
    <row r="5324" spans="1:18" s="61" customFormat="1" x14ac:dyDescent="0.25">
      <c r="A5324" s="358"/>
      <c r="B5324" s="361"/>
      <c r="C5324" s="194"/>
      <c r="D5324" s="356" t="s">
        <v>63</v>
      </c>
      <c r="E5324" s="356"/>
      <c r="F5324" s="356"/>
      <c r="G5324" s="356"/>
      <c r="H5324" s="195"/>
      <c r="I5324" s="159"/>
      <c r="J5324" s="195"/>
      <c r="K5324" s="161"/>
      <c r="L5324" s="196"/>
      <c r="M5324" s="197"/>
      <c r="N5324" s="164"/>
      <c r="O5324" s="165"/>
      <c r="P5324" s="166"/>
      <c r="Q5324" s="166"/>
      <c r="R5324" s="71"/>
    </row>
    <row r="5325" spans="1:18" s="61" customFormat="1" x14ac:dyDescent="0.25">
      <c r="A5325" s="358"/>
      <c r="B5325" s="361"/>
      <c r="C5325" s="194"/>
      <c r="D5325" s="194"/>
      <c r="E5325" s="194"/>
      <c r="F5325" s="194"/>
      <c r="G5325" s="217"/>
      <c r="H5325" s="195"/>
      <c r="I5325" s="159"/>
      <c r="J5325" s="195"/>
      <c r="K5325" s="161"/>
      <c r="L5325" s="196"/>
      <c r="M5325" s="197"/>
      <c r="N5325" s="164"/>
      <c r="O5325" s="165"/>
      <c r="P5325" s="166"/>
      <c r="Q5325" s="166"/>
      <c r="R5325" s="71"/>
    </row>
    <row r="5326" spans="1:18" s="61" customFormat="1" x14ac:dyDescent="0.25">
      <c r="A5326" s="358"/>
      <c r="B5326" s="361"/>
      <c r="C5326" s="194"/>
      <c r="D5326" s="350" t="s">
        <v>64</v>
      </c>
      <c r="E5326" s="350"/>
      <c r="F5326" s="350"/>
      <c r="G5326" s="350"/>
      <c r="H5326" s="195"/>
      <c r="I5326" s="159"/>
      <c r="J5326" s="195"/>
      <c r="K5326" s="161"/>
      <c r="L5326" s="196"/>
      <c r="M5326" s="197"/>
      <c r="N5326" s="164"/>
      <c r="O5326" s="165"/>
      <c r="P5326" s="166"/>
      <c r="Q5326" s="166"/>
      <c r="R5326" s="71"/>
    </row>
    <row r="5327" spans="1:18" s="61" customFormat="1" x14ac:dyDescent="0.25">
      <c r="A5327" s="358"/>
      <c r="B5327" s="361"/>
      <c r="C5327" s="194"/>
      <c r="D5327" s="194"/>
      <c r="E5327" s="194"/>
      <c r="F5327" s="194"/>
      <c r="G5327" s="217"/>
      <c r="H5327" s="195"/>
      <c r="I5327" s="159"/>
      <c r="J5327" s="195"/>
      <c r="K5327" s="161"/>
      <c r="L5327" s="196"/>
      <c r="M5327" s="197"/>
      <c r="N5327" s="164"/>
      <c r="O5327" s="165"/>
      <c r="P5327" s="166"/>
      <c r="Q5327" s="166"/>
      <c r="R5327" s="71"/>
    </row>
    <row r="5328" spans="1:18" s="61" customFormat="1" x14ac:dyDescent="0.25">
      <c r="A5328" s="358"/>
      <c r="B5328" s="361"/>
      <c r="C5328" s="194"/>
      <c r="D5328" s="355" t="s">
        <v>5</v>
      </c>
      <c r="E5328" s="355"/>
      <c r="F5328" s="355"/>
      <c r="G5328" s="355"/>
      <c r="H5328" s="195"/>
      <c r="I5328" s="159"/>
      <c r="J5328" s="195"/>
      <c r="K5328" s="161"/>
      <c r="L5328" s="196"/>
      <c r="M5328" s="197"/>
      <c r="N5328" s="164"/>
      <c r="O5328" s="198">
        <f>O5329+O5339+O5350+O5352+O5354+O5356+O5358</f>
        <v>21013.360901217369</v>
      </c>
      <c r="P5328" s="166"/>
      <c r="Q5328" s="166"/>
      <c r="R5328" s="71"/>
    </row>
    <row r="5329" spans="1:18" s="61" customFormat="1" x14ac:dyDescent="0.25">
      <c r="A5329" s="358"/>
      <c r="B5329" s="361"/>
      <c r="C5329" s="218" t="s">
        <v>70</v>
      </c>
      <c r="D5329" s="355" t="s">
        <v>6</v>
      </c>
      <c r="E5329" s="355"/>
      <c r="F5329" s="355"/>
      <c r="G5329" s="355"/>
      <c r="H5329" s="189"/>
      <c r="I5329" s="159"/>
      <c r="J5329" s="189"/>
      <c r="K5329" s="161"/>
      <c r="L5329" s="190"/>
      <c r="M5329" s="197"/>
      <c r="N5329" s="210"/>
      <c r="O5329" s="198">
        <f>O5338</f>
        <v>9652.1116387700022</v>
      </c>
      <c r="P5329" s="166"/>
      <c r="Q5329" s="166"/>
      <c r="R5329" s="71"/>
    </row>
    <row r="5330" spans="1:18" s="61" customFormat="1" ht="31.5" x14ac:dyDescent="0.25">
      <c r="A5330" s="358"/>
      <c r="B5330" s="361"/>
      <c r="C5330" s="221" t="s">
        <v>72</v>
      </c>
      <c r="D5330" s="222" t="s">
        <v>7</v>
      </c>
      <c r="E5330" s="223" t="s">
        <v>8</v>
      </c>
      <c r="F5330" s="223" t="s">
        <v>8</v>
      </c>
      <c r="G5330" s="238">
        <f>MROUND(H5330*L5330*I5330/K5330,0.00000000001)</f>
        <v>176.71840616648998</v>
      </c>
      <c r="H5330" s="160">
        <f>H4610</f>
        <v>3313121.4264326878</v>
      </c>
      <c r="I5330" s="159">
        <f>I5320</f>
        <v>2.8856369999999999E-2</v>
      </c>
      <c r="J5330" s="160"/>
      <c r="K5330" s="161">
        <f>K5320</f>
        <v>541</v>
      </c>
      <c r="L5330" s="250">
        <v>1</v>
      </c>
      <c r="M5330" s="163" t="str">
        <f t="shared" ref="M5330:M5335" si="1410">CONCATENATE(H5330," ",F5330,"(лимиты выделенные УЖКХ) ","*",I5330,"/",K5330,"чел.")</f>
        <v>3313121,42643269 кВт час.(лимиты выделенные УЖКХ) *0,02885637/541чел.</v>
      </c>
      <c r="N5330" s="164">
        <f>N4610</f>
        <v>10.897694685122204</v>
      </c>
      <c r="O5330" s="165">
        <f t="shared" ref="O5330:O5333" si="1411">MROUND(G5330*N5330,0.000001)</f>
        <v>1925.823236</v>
      </c>
      <c r="P5330" s="166"/>
      <c r="Q5330" s="166">
        <f t="shared" ref="Q5330:Q5337" si="1412">O5330*K5330</f>
        <v>1041870.370676</v>
      </c>
      <c r="R5330" s="71"/>
    </row>
    <row r="5331" spans="1:18" s="61" customFormat="1" ht="31.5" x14ac:dyDescent="0.25">
      <c r="A5331" s="358"/>
      <c r="B5331" s="361"/>
      <c r="C5331" s="221" t="s">
        <v>73</v>
      </c>
      <c r="D5331" s="222" t="s">
        <v>9</v>
      </c>
      <c r="E5331" s="223" t="s">
        <v>10</v>
      </c>
      <c r="F5331" s="223" t="s">
        <v>10</v>
      </c>
      <c r="G5331" s="238">
        <f>MROUND(H5331*L5331*I5331/K5331,0.00000000001)</f>
        <v>1.7013731753699999</v>
      </c>
      <c r="H5331" s="160">
        <f>H4251</f>
        <v>31897.39</v>
      </c>
      <c r="I5331" s="159">
        <f t="shared" ref="I5331:I5383" si="1413">I5330</f>
        <v>2.8856369999999999E-2</v>
      </c>
      <c r="J5331" s="160"/>
      <c r="K5331" s="161">
        <f t="shared" ref="K5331:K5337" si="1414">K5330</f>
        <v>541</v>
      </c>
      <c r="L5331" s="250">
        <v>1</v>
      </c>
      <c r="M5331" s="163" t="str">
        <f t="shared" si="1410"/>
        <v>31897,39 Гкал(лимиты выделенные УЖКХ) *0,02885637/541чел.</v>
      </c>
      <c r="N5331" s="164">
        <f>N4251</f>
        <v>2976.2517908205036</v>
      </c>
      <c r="O5331" s="165">
        <f t="shared" si="1411"/>
        <v>5063.7149599999993</v>
      </c>
      <c r="P5331" s="166"/>
      <c r="Q5331" s="166">
        <f t="shared" si="1412"/>
        <v>2739469.7933599995</v>
      </c>
      <c r="R5331" s="71"/>
    </row>
    <row r="5332" spans="1:18" s="61" customFormat="1" ht="31.5" x14ac:dyDescent="0.25">
      <c r="A5332" s="358"/>
      <c r="B5332" s="361"/>
      <c r="C5332" s="364" t="s">
        <v>74</v>
      </c>
      <c r="D5332" s="222" t="s">
        <v>12</v>
      </c>
      <c r="E5332" s="222" t="s">
        <v>11</v>
      </c>
      <c r="F5332" s="222" t="s">
        <v>11</v>
      </c>
      <c r="G5332" s="238">
        <f>MROUND(H5332*L5332*I5332/K5332,0.00000000001)</f>
        <v>9.8530459405399995</v>
      </c>
      <c r="H5332" s="224">
        <f>H3532</f>
        <v>184725.17</v>
      </c>
      <c r="I5332" s="159">
        <f t="shared" si="1413"/>
        <v>2.8856369999999999E-2</v>
      </c>
      <c r="J5332" s="160"/>
      <c r="K5332" s="161">
        <f t="shared" si="1414"/>
        <v>541</v>
      </c>
      <c r="L5332" s="250">
        <v>1</v>
      </c>
      <c r="M5332" s="163" t="str">
        <f t="shared" si="1410"/>
        <v>184725,17 м3(лимиты выделенные УЖКХ) *0,02885637/541чел.</v>
      </c>
      <c r="N5332" s="164">
        <f>N3652</f>
        <v>54.214180016724306</v>
      </c>
      <c r="O5332" s="165">
        <f t="shared" si="1411"/>
        <v>534.17480599999999</v>
      </c>
      <c r="P5332" s="166"/>
      <c r="Q5332" s="166">
        <f t="shared" si="1412"/>
        <v>288988.57004600001</v>
      </c>
      <c r="R5332" s="71"/>
    </row>
    <row r="5333" spans="1:18" s="61" customFormat="1" ht="47.25" x14ac:dyDescent="0.25">
      <c r="A5333" s="358"/>
      <c r="B5333" s="361"/>
      <c r="C5333" s="364"/>
      <c r="D5333" s="222" t="s">
        <v>17</v>
      </c>
      <c r="E5333" s="222" t="s">
        <v>11</v>
      </c>
      <c r="F5333" s="222" t="s">
        <v>11</v>
      </c>
      <c r="G5333" s="238">
        <f>MROUND(H5333*L5333*I5333/K5333,0.00000000001)</f>
        <v>9.8530459405399995</v>
      </c>
      <c r="H5333" s="160">
        <f>H4253</f>
        <v>184725.17</v>
      </c>
      <c r="I5333" s="159">
        <f t="shared" si="1413"/>
        <v>2.8856369999999999E-2</v>
      </c>
      <c r="J5333" s="160"/>
      <c r="K5333" s="161">
        <f t="shared" si="1414"/>
        <v>541</v>
      </c>
      <c r="L5333" s="162">
        <f>$L$25</f>
        <v>1</v>
      </c>
      <c r="M5333" s="163" t="str">
        <f t="shared" si="1410"/>
        <v>184725,17 м3(лимиты выделенные УЖКХ) *0,02885637/541чел.</v>
      </c>
      <c r="N5333" s="164">
        <f>N3413</f>
        <v>82.384170780821918</v>
      </c>
      <c r="O5333" s="165">
        <f t="shared" si="1411"/>
        <v>811.73501899999997</v>
      </c>
      <c r="P5333" s="166"/>
      <c r="Q5333" s="166">
        <f t="shared" si="1412"/>
        <v>439148.64527899999</v>
      </c>
      <c r="R5333" s="71"/>
    </row>
    <row r="5334" spans="1:18" s="61" customFormat="1" ht="31.5" x14ac:dyDescent="0.25">
      <c r="A5334" s="358"/>
      <c r="B5334" s="361"/>
      <c r="C5334" s="364"/>
      <c r="D5334" s="222" t="s">
        <v>13</v>
      </c>
      <c r="E5334" s="222" t="s">
        <v>11</v>
      </c>
      <c r="F5334" s="222" t="s">
        <v>11</v>
      </c>
      <c r="G5334" s="238">
        <f>MROUND(H5334*L5334*I5334/K5334,0.00000000001)</f>
        <v>9.8530459405399995</v>
      </c>
      <c r="H5334" s="160">
        <f>H3654</f>
        <v>184725.17</v>
      </c>
      <c r="I5334" s="159">
        <f t="shared" si="1413"/>
        <v>2.8856369999999999E-2</v>
      </c>
      <c r="J5334" s="160"/>
      <c r="K5334" s="161">
        <f t="shared" si="1414"/>
        <v>541</v>
      </c>
      <c r="L5334" s="162">
        <v>1</v>
      </c>
      <c r="M5334" s="163" t="str">
        <f t="shared" si="1410"/>
        <v>184725,17 м3(лимиты выделенные УЖКХ) *0,02885637/541чел.</v>
      </c>
      <c r="N5334" s="164">
        <f>N3654</f>
        <v>112.36110334722464</v>
      </c>
      <c r="O5334" s="165">
        <f>MROUND(G5334*N5334,0.00000001)</f>
        <v>1107.09911321</v>
      </c>
      <c r="P5334" s="166"/>
      <c r="Q5334" s="166">
        <f t="shared" si="1412"/>
        <v>598940.62024661002</v>
      </c>
      <c r="R5334" s="71"/>
    </row>
    <row r="5335" spans="1:18" s="61" customFormat="1" ht="31.5" x14ac:dyDescent="0.25">
      <c r="A5335" s="358"/>
      <c r="B5335" s="361"/>
      <c r="C5335" s="221" t="s">
        <v>75</v>
      </c>
      <c r="D5335" s="222" t="s">
        <v>18</v>
      </c>
      <c r="E5335" s="222" t="s">
        <v>48</v>
      </c>
      <c r="F5335" s="222" t="s">
        <v>48</v>
      </c>
      <c r="G5335" s="238">
        <f>MROUND(H5335*L5335*I5335/K5335,0.0000000001)</f>
        <v>0.74074995200000004</v>
      </c>
      <c r="H5335" s="160">
        <f>H3415</f>
        <v>13887.6</v>
      </c>
      <c r="I5335" s="159">
        <f t="shared" si="1413"/>
        <v>2.8856369999999999E-2</v>
      </c>
      <c r="J5335" s="160"/>
      <c r="K5335" s="161">
        <f t="shared" si="1414"/>
        <v>541</v>
      </c>
      <c r="L5335" s="250">
        <v>1</v>
      </c>
      <c r="M5335" s="163" t="str">
        <f t="shared" si="1410"/>
        <v>13887,6 тыс. м3(лимиты выделенные УЖКХ) *0,02885637/541чел.</v>
      </c>
      <c r="N5335" s="164">
        <f>N3415</f>
        <v>30.576235634666901</v>
      </c>
      <c r="O5335" s="165">
        <f t="shared" ref="O5335" si="1415">MROUND(G5335*N5335,0.000001)</f>
        <v>22.649345</v>
      </c>
      <c r="P5335" s="166"/>
      <c r="Q5335" s="166">
        <f t="shared" si="1412"/>
        <v>12253.295645</v>
      </c>
      <c r="R5335" s="71"/>
    </row>
    <row r="5336" spans="1:18" s="61" customFormat="1" x14ac:dyDescent="0.25">
      <c r="A5336" s="358"/>
      <c r="B5336" s="361"/>
      <c r="C5336" s="364" t="s">
        <v>216</v>
      </c>
      <c r="D5336" s="222" t="s">
        <v>23</v>
      </c>
      <c r="E5336" s="222" t="s">
        <v>11</v>
      </c>
      <c r="F5336" s="222" t="s">
        <v>11</v>
      </c>
      <c r="G5336" s="238">
        <f>MROUND(H5336*L5336*I5336/K5336,0.000000000001)</f>
        <v>0.179679708386</v>
      </c>
      <c r="H5336" s="160">
        <f>H3416</f>
        <v>3368.6400000000003</v>
      </c>
      <c r="I5336" s="159">
        <f t="shared" si="1413"/>
        <v>2.8856369999999999E-2</v>
      </c>
      <c r="J5336" s="160"/>
      <c r="K5336" s="161">
        <f t="shared" si="1414"/>
        <v>541</v>
      </c>
      <c r="L5336" s="162">
        <f>L5335</f>
        <v>1</v>
      </c>
      <c r="M5336" s="163" t="str">
        <f>CONCATENATE(H5336," ",F5336," ","*",I5336,"/",K5336,"чел.")</f>
        <v>3368,64 м3 *0,02885637/541чел.</v>
      </c>
      <c r="N5336" s="164">
        <f>N3416</f>
        <v>776.35552626579261</v>
      </c>
      <c r="O5336" s="165">
        <f>MROUND(G5336*N5336,0.00000001)</f>
        <v>139.49533456</v>
      </c>
      <c r="P5336" s="166"/>
      <c r="Q5336" s="166">
        <f t="shared" si="1412"/>
        <v>75466.975996959998</v>
      </c>
      <c r="R5336" s="71"/>
    </row>
    <row r="5337" spans="1:18" s="61" customFormat="1" ht="47.25" x14ac:dyDescent="0.25">
      <c r="A5337" s="358"/>
      <c r="B5337" s="361"/>
      <c r="C5337" s="364"/>
      <c r="D5337" s="222" t="s">
        <v>24</v>
      </c>
      <c r="E5337" s="222" t="s">
        <v>25</v>
      </c>
      <c r="F5337" s="222" t="s">
        <v>217</v>
      </c>
      <c r="G5337" s="238">
        <f>MROUND(H5337*L5337*I5337/K5337,0.000000000001)</f>
        <v>7.8408251200000004E-3</v>
      </c>
      <c r="H5337" s="160">
        <f>H4617</f>
        <v>147</v>
      </c>
      <c r="I5337" s="159">
        <f t="shared" si="1413"/>
        <v>2.8856369999999999E-2</v>
      </c>
      <c r="J5337" s="160"/>
      <c r="K5337" s="161">
        <f t="shared" si="1414"/>
        <v>541</v>
      </c>
      <c r="L5337" s="250">
        <f>L5336</f>
        <v>1</v>
      </c>
      <c r="M5337" s="163" t="str">
        <f>CONCATENATE(H5337," ",F5337,"(потребность из расчета 4 контейнера для уборки территории весной и осенью на 1 учреждение)","*",I5337,"/",K5337,"чел.")</f>
        <v>147 контейнера(потребность из расчета 4 контейнера для уборки территории весной и осенью на 1 учреждение)*0,02885637/541чел.</v>
      </c>
      <c r="N5337" s="164">
        <f>N4617</f>
        <v>6047.8105442176911</v>
      </c>
      <c r="O5337" s="165">
        <f t="shared" ref="O5337" si="1416">MROUND(G5337*N5337,0.000001)</f>
        <v>47.419824999999996</v>
      </c>
      <c r="P5337" s="166"/>
      <c r="Q5337" s="166">
        <f t="shared" si="1412"/>
        <v>25654.125324999997</v>
      </c>
      <c r="R5337" s="71"/>
    </row>
    <row r="5338" spans="1:18" s="62" customFormat="1" x14ac:dyDescent="0.25">
      <c r="A5338" s="358"/>
      <c r="B5338" s="361"/>
      <c r="C5338" s="218" t="s">
        <v>290</v>
      </c>
      <c r="D5338" s="226"/>
      <c r="E5338" s="226"/>
      <c r="F5338" s="226"/>
      <c r="G5338" s="227"/>
      <c r="H5338" s="228"/>
      <c r="I5338" s="206"/>
      <c r="J5338" s="228"/>
      <c r="K5338" s="207"/>
      <c r="L5338" s="257"/>
      <c r="M5338" s="209"/>
      <c r="N5338" s="210"/>
      <c r="O5338" s="198">
        <f>SUM(O5330:O5337)</f>
        <v>9652.1116387700022</v>
      </c>
      <c r="P5338" s="267"/>
      <c r="Q5338" s="166"/>
      <c r="R5338" s="71"/>
    </row>
    <row r="5339" spans="1:18" s="61" customFormat="1" x14ac:dyDescent="0.25">
      <c r="A5339" s="358"/>
      <c r="B5339" s="361"/>
      <c r="C5339" s="221"/>
      <c r="D5339" s="356" t="s">
        <v>14</v>
      </c>
      <c r="E5339" s="356"/>
      <c r="F5339" s="356"/>
      <c r="G5339" s="356"/>
      <c r="H5339" s="188"/>
      <c r="I5339" s="159"/>
      <c r="J5339" s="188"/>
      <c r="K5339" s="161"/>
      <c r="L5339" s="250"/>
      <c r="M5339" s="230"/>
      <c r="N5339" s="164"/>
      <c r="O5339" s="198">
        <f>O5347+O5348+O5343</f>
        <v>10098.996622407369</v>
      </c>
      <c r="P5339" s="166"/>
      <c r="Q5339" s="166"/>
      <c r="R5339" s="71"/>
    </row>
    <row r="5340" spans="1:18" s="61" customFormat="1" x14ac:dyDescent="0.25">
      <c r="A5340" s="358"/>
      <c r="B5340" s="361"/>
      <c r="C5340" s="221" t="s">
        <v>379</v>
      </c>
      <c r="D5340" s="231" t="s">
        <v>49</v>
      </c>
      <c r="E5340" s="231" t="s">
        <v>22</v>
      </c>
      <c r="F5340" s="231" t="s">
        <v>22</v>
      </c>
      <c r="G5340" s="238">
        <f>MROUND(H5340*L5340*I5340/K5340,0.000000001)</f>
        <v>0</v>
      </c>
      <c r="H5340" s="160"/>
      <c r="I5340" s="159">
        <f>I5335</f>
        <v>2.8856369999999999E-2</v>
      </c>
      <c r="J5340" s="160"/>
      <c r="K5340" s="161">
        <f>K5335</f>
        <v>541</v>
      </c>
      <c r="L5340" s="250"/>
      <c r="M5340" s="163"/>
      <c r="N5340" s="164"/>
      <c r="O5340" s="165">
        <f>MROUND(G5340*N5340,0.00000001)</f>
        <v>0</v>
      </c>
      <c r="P5340" s="166"/>
      <c r="Q5340" s="166">
        <f t="shared" ref="Q5340:Q5342" si="1417">O5340*K5340</f>
        <v>0</v>
      </c>
      <c r="R5340" s="71"/>
    </row>
    <row r="5341" spans="1:18" s="61" customFormat="1" x14ac:dyDescent="0.25">
      <c r="A5341" s="358"/>
      <c r="B5341" s="361"/>
      <c r="C5341" s="221" t="s">
        <v>379</v>
      </c>
      <c r="D5341" s="231" t="s">
        <v>49</v>
      </c>
      <c r="E5341" s="231" t="s">
        <v>28</v>
      </c>
      <c r="F5341" s="231" t="s">
        <v>28</v>
      </c>
      <c r="G5341" s="238">
        <f>MROUND(H5341*L5341*I5341/K5341,0.000000001)</f>
        <v>0</v>
      </c>
      <c r="H5341" s="160"/>
      <c r="I5341" s="159">
        <f t="shared" si="1413"/>
        <v>2.8856369999999999E-2</v>
      </c>
      <c r="J5341" s="160"/>
      <c r="K5341" s="161">
        <f>K5340</f>
        <v>541</v>
      </c>
      <c r="L5341" s="250">
        <v>1</v>
      </c>
      <c r="M5341" s="163"/>
      <c r="N5341" s="164"/>
      <c r="O5341" s="165">
        <f>MROUND(G5341*N5341,0.00000001)</f>
        <v>0</v>
      </c>
      <c r="P5341" s="166"/>
      <c r="Q5341" s="166">
        <f t="shared" si="1417"/>
        <v>0</v>
      </c>
      <c r="R5341" s="71"/>
    </row>
    <row r="5342" spans="1:18" s="61" customFormat="1" x14ac:dyDescent="0.25">
      <c r="A5342" s="358"/>
      <c r="B5342" s="361"/>
      <c r="C5342" s="221" t="s">
        <v>379</v>
      </c>
      <c r="D5342" s="231" t="s">
        <v>49</v>
      </c>
      <c r="E5342" s="231" t="s">
        <v>101</v>
      </c>
      <c r="F5342" s="231" t="s">
        <v>101</v>
      </c>
      <c r="G5342" s="238">
        <f>MROUND(H5342*L5342*I5342/K5342,0.000000001)</f>
        <v>0</v>
      </c>
      <c r="H5342" s="160"/>
      <c r="I5342" s="159">
        <f t="shared" si="1413"/>
        <v>2.8856369999999999E-2</v>
      </c>
      <c r="J5342" s="160"/>
      <c r="K5342" s="161">
        <f>K5341</f>
        <v>541</v>
      </c>
      <c r="L5342" s="250"/>
      <c r="M5342" s="163"/>
      <c r="N5342" s="164"/>
      <c r="O5342" s="165">
        <f>MROUND(G5342*N5342,0.00000001)</f>
        <v>0</v>
      </c>
      <c r="P5342" s="166"/>
      <c r="Q5342" s="166">
        <f t="shared" si="1417"/>
        <v>0</v>
      </c>
      <c r="R5342" s="71"/>
    </row>
    <row r="5343" spans="1:18" s="62" customFormat="1" x14ac:dyDescent="0.25">
      <c r="A5343" s="358"/>
      <c r="B5343" s="361"/>
      <c r="C5343" s="218" t="s">
        <v>380</v>
      </c>
      <c r="D5343" s="232"/>
      <c r="E5343" s="232"/>
      <c r="F5343" s="232"/>
      <c r="G5343" s="227"/>
      <c r="H5343" s="228"/>
      <c r="I5343" s="206"/>
      <c r="J5343" s="228"/>
      <c r="K5343" s="207"/>
      <c r="L5343" s="257"/>
      <c r="M5343" s="209"/>
      <c r="N5343" s="210"/>
      <c r="O5343" s="198">
        <f>SUM(O5340:O5342)</f>
        <v>0</v>
      </c>
      <c r="P5343" s="267"/>
      <c r="Q5343" s="166"/>
      <c r="R5343" s="71"/>
    </row>
    <row r="5344" spans="1:18" s="61" customFormat="1" x14ac:dyDescent="0.25">
      <c r="A5344" s="358"/>
      <c r="B5344" s="361"/>
      <c r="C5344" s="221" t="s">
        <v>76</v>
      </c>
      <c r="D5344" s="231" t="s">
        <v>49</v>
      </c>
      <c r="E5344" s="231" t="s">
        <v>22</v>
      </c>
      <c r="F5344" s="231" t="s">
        <v>22</v>
      </c>
      <c r="G5344" s="238">
        <f>MROUND(H5344*L5344*I5344/K5344,0.000000000000001)</f>
        <v>65.288447620814964</v>
      </c>
      <c r="H5344" s="160">
        <f>H4504</f>
        <v>1224029.57</v>
      </c>
      <c r="I5344" s="159">
        <f>I5340</f>
        <v>2.8856369999999999E-2</v>
      </c>
      <c r="J5344" s="160"/>
      <c r="K5344" s="161">
        <f>K5342</f>
        <v>541</v>
      </c>
      <c r="L5344" s="250">
        <v>1</v>
      </c>
      <c r="M5344" s="163" t="str">
        <f>CONCATENATE(H5344," ",F5344,"*",I5344,"/",K5344,"чел.")</f>
        <v>1224029,57 м2*0,02885637/541чел.</v>
      </c>
      <c r="N5344" s="164">
        <f>N4504</f>
        <v>37.50494361014497</v>
      </c>
      <c r="O5344" s="165">
        <f>MROUND(G5344*N5344,0.00000000001)</f>
        <v>2448.6395464125699</v>
      </c>
      <c r="P5344" s="166"/>
      <c r="Q5344" s="166">
        <f t="shared" ref="Q5344:Q5346" si="1418">O5344*K5344</f>
        <v>1324713.9946092004</v>
      </c>
      <c r="R5344" s="71"/>
    </row>
    <row r="5345" spans="1:20" s="61" customFormat="1" x14ac:dyDescent="0.25">
      <c r="A5345" s="358"/>
      <c r="B5345" s="361"/>
      <c r="C5345" s="221"/>
      <c r="D5345" s="231" t="s">
        <v>49</v>
      </c>
      <c r="E5345" s="231" t="s">
        <v>28</v>
      </c>
      <c r="F5345" s="231" t="s">
        <v>28</v>
      </c>
      <c r="G5345" s="238">
        <f>MROUND(H5345*L5345*I5345/K5345,0.000000000001)</f>
        <v>5.8992874713E-2</v>
      </c>
      <c r="H5345" s="160">
        <f>H4505</f>
        <v>1106</v>
      </c>
      <c r="I5345" s="159">
        <f t="shared" si="1413"/>
        <v>2.8856369999999999E-2</v>
      </c>
      <c r="J5345" s="160"/>
      <c r="K5345" s="161">
        <f>K5344</f>
        <v>541</v>
      </c>
      <c r="L5345" s="250">
        <v>1</v>
      </c>
      <c r="M5345" s="163" t="str">
        <f>CONCATENATE(H5345," ",F5345,"*",I5345,"/",K5345,"чел.")</f>
        <v>1106 шт*0,02885637/541чел.</v>
      </c>
      <c r="N5345" s="164">
        <f>N4505</f>
        <v>86192.676311030737</v>
      </c>
      <c r="O5345" s="165">
        <f>MROUND(G5345*N5345,0.00000000001)</f>
        <v>5084.7537547947995</v>
      </c>
      <c r="P5345" s="166"/>
      <c r="Q5345" s="166">
        <f t="shared" si="1418"/>
        <v>2750851.7813439867</v>
      </c>
      <c r="R5345" s="71"/>
    </row>
    <row r="5346" spans="1:20" s="61" customFormat="1" x14ac:dyDescent="0.25">
      <c r="A5346" s="358"/>
      <c r="B5346" s="361"/>
      <c r="C5346" s="221"/>
      <c r="D5346" s="231" t="s">
        <v>49</v>
      </c>
      <c r="E5346" s="231" t="s">
        <v>101</v>
      </c>
      <c r="F5346" s="231" t="s">
        <v>101</v>
      </c>
      <c r="G5346" s="238">
        <f>MROUND(H5346*L5346*I5346/K5346,0.000000001)</f>
        <v>1.9559391640000001</v>
      </c>
      <c r="H5346" s="160">
        <f>H4506</f>
        <v>36670</v>
      </c>
      <c r="I5346" s="159">
        <f t="shared" si="1413"/>
        <v>2.8856369999999999E-2</v>
      </c>
      <c r="J5346" s="160"/>
      <c r="K5346" s="161">
        <f>K5345</f>
        <v>541</v>
      </c>
      <c r="L5346" s="250">
        <v>1</v>
      </c>
      <c r="M5346" s="163" t="str">
        <f>CONCATENATE(H5346," ",F5346,"*",I5346,"/",K5346,"чел.")</f>
        <v>36670 погон.м.*0,02885637/541чел.</v>
      </c>
      <c r="N5346" s="164">
        <f>N4506</f>
        <v>1311.6989364603219</v>
      </c>
      <c r="O5346" s="165">
        <f>MROUND(G5346*N5346,0.00000001)</f>
        <v>2565.6033212000002</v>
      </c>
      <c r="P5346" s="166"/>
      <c r="Q5346" s="166">
        <f t="shared" si="1418"/>
        <v>1387991.3967692002</v>
      </c>
      <c r="R5346" s="71"/>
    </row>
    <row r="5347" spans="1:20" s="62" customFormat="1" x14ac:dyDescent="0.25">
      <c r="A5347" s="358"/>
      <c r="B5347" s="361"/>
      <c r="C5347" s="218" t="s">
        <v>291</v>
      </c>
      <c r="D5347" s="232"/>
      <c r="E5347" s="232"/>
      <c r="F5347" s="232"/>
      <c r="G5347" s="227"/>
      <c r="H5347" s="228"/>
      <c r="I5347" s="206"/>
      <c r="J5347" s="228"/>
      <c r="K5347" s="207"/>
      <c r="L5347" s="257"/>
      <c r="M5347" s="209"/>
      <c r="N5347" s="210"/>
      <c r="O5347" s="198">
        <f>SUM(O5344:O5346)</f>
        <v>10098.996622407369</v>
      </c>
      <c r="P5347" s="267"/>
      <c r="Q5347" s="166"/>
      <c r="R5347" s="71"/>
    </row>
    <row r="5348" spans="1:20" s="61" customFormat="1" x14ac:dyDescent="0.25">
      <c r="A5348" s="358"/>
      <c r="B5348" s="361"/>
      <c r="C5348" s="221" t="s">
        <v>77</v>
      </c>
      <c r="D5348" s="231"/>
      <c r="E5348" s="231"/>
      <c r="F5348" s="231"/>
      <c r="G5348" s="238">
        <f>MROUND(H5348*L5348*I5348/K5348,0.00000000001)</f>
        <v>0</v>
      </c>
      <c r="H5348" s="160">
        <f>H5108</f>
        <v>0</v>
      </c>
      <c r="I5348" s="159">
        <f>I5346</f>
        <v>2.8856369999999999E-2</v>
      </c>
      <c r="J5348" s="160"/>
      <c r="K5348" s="161">
        <f>K5346</f>
        <v>541</v>
      </c>
      <c r="L5348" s="250"/>
      <c r="M5348" s="163"/>
      <c r="N5348" s="164">
        <f>N5108</f>
        <v>0</v>
      </c>
      <c r="O5348" s="165">
        <f>MROUND(G5348*N5348,0.000000001)</f>
        <v>0</v>
      </c>
      <c r="P5348" s="166"/>
      <c r="Q5348" s="166">
        <f t="shared" ref="Q5348" si="1419">O5348*K5348</f>
        <v>0</v>
      </c>
      <c r="R5348" s="71"/>
    </row>
    <row r="5349" spans="1:20" s="62" customFormat="1" x14ac:dyDescent="0.25">
      <c r="A5349" s="358"/>
      <c r="B5349" s="361"/>
      <c r="C5349" s="218" t="s">
        <v>292</v>
      </c>
      <c r="D5349" s="232"/>
      <c r="E5349" s="232"/>
      <c r="F5349" s="232"/>
      <c r="G5349" s="227"/>
      <c r="H5349" s="228"/>
      <c r="I5349" s="206"/>
      <c r="J5349" s="228"/>
      <c r="K5349" s="207"/>
      <c r="L5349" s="257"/>
      <c r="M5349" s="209"/>
      <c r="N5349" s="210"/>
      <c r="O5349" s="198">
        <f>O5348</f>
        <v>0</v>
      </c>
      <c r="P5349" s="267"/>
      <c r="Q5349" s="166"/>
      <c r="R5349" s="71"/>
    </row>
    <row r="5350" spans="1:20" s="61" customFormat="1" x14ac:dyDescent="0.25">
      <c r="A5350" s="358"/>
      <c r="B5350" s="361"/>
      <c r="C5350" s="221"/>
      <c r="D5350" s="350" t="s">
        <v>65</v>
      </c>
      <c r="E5350" s="350"/>
      <c r="F5350" s="350"/>
      <c r="G5350" s="350"/>
      <c r="H5350" s="195"/>
      <c r="I5350" s="159"/>
      <c r="J5350" s="195"/>
      <c r="K5350" s="161"/>
      <c r="L5350" s="196"/>
      <c r="M5350" s="230"/>
      <c r="N5350" s="164"/>
      <c r="O5350" s="165">
        <f t="shared" ref="O5350:O5351" si="1420">MROUND(G5350*N5350,0.000001)</f>
        <v>0</v>
      </c>
      <c r="P5350" s="166"/>
      <c r="Q5350" s="166"/>
      <c r="R5350" s="71"/>
    </row>
    <row r="5351" spans="1:20" s="61" customFormat="1" x14ac:dyDescent="0.25">
      <c r="A5351" s="358"/>
      <c r="B5351" s="361"/>
      <c r="C5351" s="221"/>
      <c r="D5351" s="194"/>
      <c r="E5351" s="194"/>
      <c r="F5351" s="194"/>
      <c r="G5351" s="217"/>
      <c r="H5351" s="195"/>
      <c r="I5351" s="159"/>
      <c r="J5351" s="195"/>
      <c r="K5351" s="161"/>
      <c r="L5351" s="196"/>
      <c r="M5351" s="230"/>
      <c r="N5351" s="164"/>
      <c r="O5351" s="165">
        <f t="shared" si="1420"/>
        <v>0</v>
      </c>
      <c r="P5351" s="166"/>
      <c r="Q5351" s="166"/>
      <c r="R5351" s="71"/>
    </row>
    <row r="5352" spans="1:20" s="61" customFormat="1" x14ac:dyDescent="0.25">
      <c r="A5352" s="358"/>
      <c r="B5352" s="361"/>
      <c r="C5352" s="221" t="s">
        <v>357</v>
      </c>
      <c r="D5352" s="368" t="s">
        <v>66</v>
      </c>
      <c r="E5352" s="368"/>
      <c r="F5352" s="368"/>
      <c r="G5352" s="368"/>
      <c r="H5352" s="195"/>
      <c r="I5352" s="159"/>
      <c r="J5352" s="195"/>
      <c r="K5352" s="161"/>
      <c r="L5352" s="234"/>
      <c r="M5352" s="230"/>
      <c r="N5352" s="164"/>
      <c r="O5352" s="198">
        <f>O5353</f>
        <v>30.273539999999997</v>
      </c>
      <c r="P5352" s="166"/>
      <c r="Q5352" s="166"/>
      <c r="R5352" s="71"/>
    </row>
    <row r="5353" spans="1:20" s="61" customFormat="1" ht="47.25" x14ac:dyDescent="0.25">
      <c r="A5353" s="358"/>
      <c r="B5353" s="361"/>
      <c r="C5353" s="221"/>
      <c r="D5353" s="222" t="s">
        <v>374</v>
      </c>
      <c r="E5353" s="194" t="s">
        <v>28</v>
      </c>
      <c r="F5353" s="194" t="s">
        <v>28</v>
      </c>
      <c r="G5353" s="217">
        <f>MROUND(H5353*L5353*I5353/K5353,0.000000001)</f>
        <v>7.6808080000000008E-3</v>
      </c>
      <c r="H5353" s="201">
        <f>H4753</f>
        <v>36</v>
      </c>
      <c r="I5353" s="159">
        <f>I5348</f>
        <v>2.8856369999999999E-2</v>
      </c>
      <c r="J5353" s="195"/>
      <c r="K5353" s="161">
        <f>K5348</f>
        <v>541</v>
      </c>
      <c r="L5353" s="235">
        <f>L4753</f>
        <v>4</v>
      </c>
      <c r="M5353" s="163" t="str">
        <f>CONCATENATE(H5353," ",F5353,"*",I5353,"/",K5353,"чел.")</f>
        <v>36 шт*0,02885637/541чел.</v>
      </c>
      <c r="N5353" s="164">
        <f>N4753</f>
        <v>3941.4525000000012</v>
      </c>
      <c r="O5353" s="165">
        <f>MROUND(G5353*N5353,0.000001)</f>
        <v>30.273539999999997</v>
      </c>
      <c r="P5353" s="166"/>
      <c r="Q5353" s="166">
        <f t="shared" ref="Q5353" si="1421">O5353*K5353</f>
        <v>16377.985139999999</v>
      </c>
      <c r="R5353" s="71"/>
    </row>
    <row r="5354" spans="1:20" s="61" customFormat="1" x14ac:dyDescent="0.25">
      <c r="A5354" s="358"/>
      <c r="B5354" s="361"/>
      <c r="C5354" s="221"/>
      <c r="D5354" s="368" t="s">
        <v>67</v>
      </c>
      <c r="E5354" s="368"/>
      <c r="F5354" s="368"/>
      <c r="G5354" s="368"/>
      <c r="H5354" s="195"/>
      <c r="I5354" s="159"/>
      <c r="J5354" s="195"/>
      <c r="K5354" s="161"/>
      <c r="L5354" s="196"/>
      <c r="M5354" s="230"/>
      <c r="N5354" s="164"/>
      <c r="O5354" s="165">
        <f t="shared" ref="O5354:O5357" si="1422">MROUND(G5354*N5354,0.000001)</f>
        <v>0</v>
      </c>
      <c r="P5354" s="166"/>
      <c r="Q5354" s="166"/>
      <c r="R5354" s="71"/>
    </row>
    <row r="5355" spans="1:20" s="61" customFormat="1" x14ac:dyDescent="0.25">
      <c r="A5355" s="358"/>
      <c r="B5355" s="361"/>
      <c r="C5355" s="221"/>
      <c r="D5355" s="194"/>
      <c r="E5355" s="194"/>
      <c r="F5355" s="194"/>
      <c r="G5355" s="217"/>
      <c r="H5355" s="195"/>
      <c r="I5355" s="159"/>
      <c r="J5355" s="195"/>
      <c r="K5355" s="161"/>
      <c r="L5355" s="196"/>
      <c r="M5355" s="230"/>
      <c r="N5355" s="164"/>
      <c r="O5355" s="165">
        <f t="shared" si="1422"/>
        <v>0</v>
      </c>
      <c r="P5355" s="166"/>
      <c r="Q5355" s="166"/>
      <c r="R5355" s="71"/>
    </row>
    <row r="5356" spans="1:20" s="61" customFormat="1" x14ac:dyDescent="0.25">
      <c r="A5356" s="358"/>
      <c r="B5356" s="361"/>
      <c r="C5356" s="221"/>
      <c r="D5356" s="350" t="s">
        <v>68</v>
      </c>
      <c r="E5356" s="350"/>
      <c r="F5356" s="350"/>
      <c r="G5356" s="350"/>
      <c r="H5356" s="195"/>
      <c r="I5356" s="159"/>
      <c r="J5356" s="195"/>
      <c r="K5356" s="161"/>
      <c r="L5356" s="196"/>
      <c r="M5356" s="230"/>
      <c r="N5356" s="164"/>
      <c r="O5356" s="165">
        <f t="shared" si="1422"/>
        <v>0</v>
      </c>
      <c r="P5356" s="166"/>
      <c r="Q5356" s="166"/>
      <c r="R5356" s="71"/>
    </row>
    <row r="5357" spans="1:20" s="61" customFormat="1" x14ac:dyDescent="0.25">
      <c r="A5357" s="358"/>
      <c r="B5357" s="361"/>
      <c r="C5357" s="221"/>
      <c r="D5357" s="156"/>
      <c r="E5357" s="156"/>
      <c r="F5357" s="156"/>
      <c r="G5357" s="236"/>
      <c r="H5357" s="195"/>
      <c r="I5357" s="159"/>
      <c r="J5357" s="195"/>
      <c r="K5357" s="161"/>
      <c r="L5357" s="196"/>
      <c r="M5357" s="230"/>
      <c r="N5357" s="164"/>
      <c r="O5357" s="165">
        <f t="shared" si="1422"/>
        <v>0</v>
      </c>
      <c r="P5357" s="166"/>
      <c r="Q5357" s="166"/>
      <c r="R5357" s="71"/>
    </row>
    <row r="5358" spans="1:20" s="61" customFormat="1" x14ac:dyDescent="0.25">
      <c r="A5358" s="358"/>
      <c r="B5358" s="361"/>
      <c r="C5358" s="221"/>
      <c r="D5358" s="368" t="s">
        <v>69</v>
      </c>
      <c r="E5358" s="368"/>
      <c r="F5358" s="368"/>
      <c r="G5358" s="368"/>
      <c r="H5358" s="187"/>
      <c r="I5358" s="159"/>
      <c r="J5358" s="187"/>
      <c r="K5358" s="161"/>
      <c r="L5358" s="276"/>
      <c r="M5358" s="230"/>
      <c r="N5358" s="164"/>
      <c r="O5358" s="198">
        <f>O5360+O5367+O5384+O5386+O5401+O5403+O5405+O5430+O5432+O5437+O5434</f>
        <v>1231.97910004</v>
      </c>
      <c r="P5358" s="166"/>
      <c r="Q5358" s="166"/>
      <c r="R5358" s="71"/>
    </row>
    <row r="5359" spans="1:20" s="61" customFormat="1" x14ac:dyDescent="0.25">
      <c r="A5359" s="358"/>
      <c r="B5359" s="361"/>
      <c r="C5359" s="221">
        <v>224</v>
      </c>
      <c r="D5359" s="156" t="s">
        <v>21</v>
      </c>
      <c r="E5359" s="156" t="s">
        <v>22</v>
      </c>
      <c r="F5359" s="156" t="s">
        <v>22</v>
      </c>
      <c r="G5359" s="238">
        <f>MROUND(H5359*L5359*I5359/K5359,0.000001)</f>
        <v>0</v>
      </c>
      <c r="H5359" s="158"/>
      <c r="I5359" s="159">
        <f>I5353</f>
        <v>2.8856369999999999E-2</v>
      </c>
      <c r="J5359" s="160"/>
      <c r="K5359" s="161">
        <f>K5353</f>
        <v>541</v>
      </c>
      <c r="L5359" s="250"/>
      <c r="M5359" s="163"/>
      <c r="N5359" s="164"/>
      <c r="O5359" s="165">
        <f>MROUND(G5359*N5359,0.000001)</f>
        <v>0</v>
      </c>
      <c r="P5359" s="166"/>
      <c r="Q5359" s="166">
        <f t="shared" ref="Q5359" si="1423">O5359*K5359</f>
        <v>0</v>
      </c>
      <c r="R5359" s="71"/>
      <c r="T5359" s="71"/>
    </row>
    <row r="5360" spans="1:20" s="62" customFormat="1" x14ac:dyDescent="0.25">
      <c r="A5360" s="358"/>
      <c r="B5360" s="361"/>
      <c r="C5360" s="218" t="s">
        <v>293</v>
      </c>
      <c r="D5360" s="240"/>
      <c r="E5360" s="240"/>
      <c r="F5360" s="240"/>
      <c r="G5360" s="227"/>
      <c r="H5360" s="241"/>
      <c r="I5360" s="206"/>
      <c r="J5360" s="228"/>
      <c r="K5360" s="207"/>
      <c r="L5360" s="257"/>
      <c r="M5360" s="209"/>
      <c r="N5360" s="210"/>
      <c r="O5360" s="198">
        <f>SUM(O5359)</f>
        <v>0</v>
      </c>
      <c r="P5360" s="267"/>
      <c r="Q5360" s="166"/>
      <c r="R5360" s="71"/>
    </row>
    <row r="5361" spans="1:41" s="61" customFormat="1" ht="31.5" x14ac:dyDescent="0.25">
      <c r="A5361" s="358"/>
      <c r="B5361" s="361"/>
      <c r="C5361" s="364" t="s">
        <v>78</v>
      </c>
      <c r="D5361" s="156" t="s">
        <v>26</v>
      </c>
      <c r="E5361" s="156" t="s">
        <v>22</v>
      </c>
      <c r="F5361" s="156" t="s">
        <v>22</v>
      </c>
      <c r="G5361" s="238">
        <f>MROUND(H5361*L5361*I5361/K5361,0.000001)</f>
        <v>16.539339999999999</v>
      </c>
      <c r="H5361" s="158">
        <f>H3441</f>
        <v>25840</v>
      </c>
      <c r="I5361" s="159">
        <f>I5359</f>
        <v>2.8856369999999999E-2</v>
      </c>
      <c r="J5361" s="160"/>
      <c r="K5361" s="161">
        <f>K5359</f>
        <v>541</v>
      </c>
      <c r="L5361" s="250">
        <v>12</v>
      </c>
      <c r="M5361" s="163" t="str">
        <f>CONCATENATE(H5361," ",F5361,"(обрабатываемая площадь в мес.)","*",L5361,"мес.","*",I5361,"/",K5361,"чел.")</f>
        <v>25840 м2(обрабатываемая площадь в мес.)*12мес.*0,02885637/541чел.</v>
      </c>
      <c r="N5361" s="164">
        <f>N3441</f>
        <v>1.208548374613003</v>
      </c>
      <c r="O5361" s="165">
        <f t="shared" ref="O5361:O5366" si="1424">MROUND(G5361*N5361,0.000001)</f>
        <v>19.988592000000001</v>
      </c>
      <c r="P5361" s="166"/>
      <c r="Q5361" s="166">
        <f t="shared" ref="Q5361:Q5406" si="1425">O5361*K5361</f>
        <v>10813.828272000001</v>
      </c>
      <c r="R5361" s="71"/>
    </row>
    <row r="5362" spans="1:41" s="61" customFormat="1" ht="31.5" x14ac:dyDescent="0.25">
      <c r="A5362" s="358"/>
      <c r="B5362" s="361"/>
      <c r="C5362" s="364"/>
      <c r="D5362" s="156" t="s">
        <v>96</v>
      </c>
      <c r="E5362" s="156" t="s">
        <v>22</v>
      </c>
      <c r="F5362" s="156" t="s">
        <v>22</v>
      </c>
      <c r="G5362" s="238">
        <f>MROUND(H5362*L5362*I5362/K5362,0.000001)</f>
        <v>8.5609009999999994</v>
      </c>
      <c r="H5362" s="158">
        <f>H3442</f>
        <v>13375</v>
      </c>
      <c r="I5362" s="159">
        <f t="shared" si="1413"/>
        <v>2.8856369999999999E-2</v>
      </c>
      <c r="J5362" s="160"/>
      <c r="K5362" s="161">
        <f>K5361</f>
        <v>541</v>
      </c>
      <c r="L5362" s="250">
        <v>12</v>
      </c>
      <c r="M5362" s="163" t="str">
        <f>CONCATENATE(H5362," ",F5362,"(обрабатываемая площадь в мес.)","*",L5362,"мес.","*",I5362,"/",K5362,"чел.")</f>
        <v>13375 м2(обрабатываемая площадь в мес.)*12мес.*0,02885637/541чел.</v>
      </c>
      <c r="N5362" s="164">
        <f>N3442</f>
        <v>1.93823800623053</v>
      </c>
      <c r="O5362" s="165">
        <f t="shared" si="1424"/>
        <v>16.593063999999998</v>
      </c>
      <c r="P5362" s="166"/>
      <c r="Q5362" s="166">
        <f t="shared" si="1425"/>
        <v>8976.8476239999982</v>
      </c>
      <c r="R5362" s="71"/>
    </row>
    <row r="5363" spans="1:41" s="135" customFormat="1" ht="31.5" x14ac:dyDescent="0.25">
      <c r="A5363" s="358"/>
      <c r="B5363" s="361"/>
      <c r="C5363" s="364"/>
      <c r="D5363" s="156" t="s">
        <v>385</v>
      </c>
      <c r="E5363" s="156" t="s">
        <v>22</v>
      </c>
      <c r="F5363" s="156" t="s">
        <v>22</v>
      </c>
      <c r="G5363" s="238">
        <f>MROUND(H5363*L5363*I5363/K5363,0.000001)</f>
        <v>17.121801999999999</v>
      </c>
      <c r="H5363" s="242">
        <f>$H$55</f>
        <v>13375</v>
      </c>
      <c r="I5363" s="159">
        <f t="shared" si="1413"/>
        <v>2.8856369999999999E-2</v>
      </c>
      <c r="J5363" s="160"/>
      <c r="K5363" s="161">
        <f>K5362</f>
        <v>541</v>
      </c>
      <c r="L5363" s="162">
        <v>24</v>
      </c>
      <c r="M5363" s="163" t="str">
        <f>CONCATENATE(H5363," ",F5363,"(обрабатываемая площадь в год)","*",L5363," раза в год.","*",I5363,"/",K5363,"чел.")</f>
        <v>13375 м2(обрабатываемая площадь в год)*24 раза в год.*0,02885637/541чел.</v>
      </c>
      <c r="N5363" s="164">
        <f>$N$3443</f>
        <v>2.3942939563862917</v>
      </c>
      <c r="O5363" s="165">
        <f t="shared" si="1424"/>
        <v>40.994627000000001</v>
      </c>
      <c r="P5363" s="166"/>
      <c r="Q5363" s="166">
        <f t="shared" si="1425"/>
        <v>22178.093207000002</v>
      </c>
      <c r="R5363" s="71"/>
      <c r="S5363" s="61"/>
      <c r="T5363" s="61"/>
      <c r="U5363" s="61"/>
      <c r="V5363" s="61"/>
      <c r="W5363" s="61"/>
      <c r="X5363" s="61"/>
      <c r="Y5363" s="61"/>
      <c r="Z5363" s="61"/>
      <c r="AA5363" s="61"/>
      <c r="AB5363" s="61"/>
      <c r="AC5363" s="61"/>
      <c r="AD5363" s="61"/>
      <c r="AE5363" s="61"/>
      <c r="AF5363" s="61"/>
      <c r="AG5363" s="61"/>
      <c r="AH5363" s="61"/>
      <c r="AI5363" s="61"/>
      <c r="AJ5363" s="61"/>
      <c r="AK5363" s="61"/>
      <c r="AL5363" s="61"/>
      <c r="AM5363" s="61"/>
      <c r="AN5363" s="61"/>
      <c r="AO5363" s="61"/>
    </row>
    <row r="5364" spans="1:41" s="135" customFormat="1" ht="31.5" x14ac:dyDescent="0.25">
      <c r="A5364" s="358"/>
      <c r="B5364" s="361"/>
      <c r="C5364" s="364"/>
      <c r="D5364" s="156" t="s">
        <v>394</v>
      </c>
      <c r="E5364" s="156" t="s">
        <v>22</v>
      </c>
      <c r="F5364" s="156" t="s">
        <v>22</v>
      </c>
      <c r="G5364" s="238">
        <f>MROUND(H5364*L5364*I5364/K5364,0.000001)</f>
        <v>16.539339999999999</v>
      </c>
      <c r="H5364" s="243">
        <f>$H$56</f>
        <v>25840</v>
      </c>
      <c r="I5364" s="159">
        <f t="shared" si="1413"/>
        <v>2.8856369999999999E-2</v>
      </c>
      <c r="J5364" s="160"/>
      <c r="K5364" s="161">
        <f>K5363</f>
        <v>541</v>
      </c>
      <c r="L5364" s="162">
        <v>12</v>
      </c>
      <c r="M5364" s="163" t="str">
        <f>CONCATENATE(H5364," ",F5364,"(обрабатываемая площадь в мес.)","*",L5364,"мес.","*",I5364,"/",K5364,"чел.")</f>
        <v>25840 м2(обрабатываемая площадь в мес.)*12мес.*0,02885637/541чел.</v>
      </c>
      <c r="N5364" s="164">
        <f>$N$3444</f>
        <v>0.57007004643962855</v>
      </c>
      <c r="O5364" s="165">
        <f t="shared" si="1424"/>
        <v>9.4285819999999987</v>
      </c>
      <c r="P5364" s="166"/>
      <c r="Q5364" s="166">
        <f t="shared" si="1425"/>
        <v>5100.862861999999</v>
      </c>
      <c r="R5364" s="71"/>
      <c r="S5364" s="61"/>
      <c r="T5364" s="61"/>
      <c r="U5364" s="61"/>
      <c r="V5364" s="61"/>
      <c r="W5364" s="61"/>
      <c r="X5364" s="61"/>
      <c r="Y5364" s="61"/>
      <c r="Z5364" s="61"/>
      <c r="AA5364" s="61"/>
      <c r="AB5364" s="61"/>
      <c r="AC5364" s="61"/>
      <c r="AD5364" s="61"/>
      <c r="AE5364" s="61"/>
      <c r="AF5364" s="61"/>
      <c r="AG5364" s="61"/>
      <c r="AH5364" s="61"/>
      <c r="AI5364" s="61"/>
      <c r="AJ5364" s="61"/>
      <c r="AK5364" s="61"/>
      <c r="AL5364" s="61"/>
      <c r="AM5364" s="61"/>
      <c r="AN5364" s="61"/>
      <c r="AO5364" s="61"/>
    </row>
    <row r="5365" spans="1:41" s="135" customFormat="1" ht="31.5" x14ac:dyDescent="0.25">
      <c r="A5365" s="358"/>
      <c r="B5365" s="361"/>
      <c r="C5365" s="364"/>
      <c r="D5365" s="156" t="s">
        <v>395</v>
      </c>
      <c r="E5365" s="156" t="s">
        <v>98</v>
      </c>
      <c r="F5365" s="156" t="s">
        <v>98</v>
      </c>
      <c r="G5365" s="238">
        <f>MROUND(H5365*L5365*I5365/K5365,0.000001)</f>
        <v>1.01E-3</v>
      </c>
      <c r="H5365" s="242">
        <f>$H$57</f>
        <v>18.939999999999998</v>
      </c>
      <c r="I5365" s="159">
        <f t="shared" si="1413"/>
        <v>2.8856369999999999E-2</v>
      </c>
      <c r="J5365" s="160"/>
      <c r="K5365" s="161">
        <f>K5364</f>
        <v>541</v>
      </c>
      <c r="L5365" s="162">
        <v>1</v>
      </c>
      <c r="M5365" s="163" t="str">
        <f>CONCATENATE(H5365," ",F5365,"(обрабатываемая площадь в год)","*",L5365," раз в год","*",I5365,"/",K5365,"чел.")</f>
        <v>18,94 Га(обрабатываемая площадь в год)*1 раз в год*0,02885637/541чел.</v>
      </c>
      <c r="N5365" s="164">
        <f>$N$57</f>
        <v>545</v>
      </c>
      <c r="O5365" s="165">
        <f t="shared" si="1424"/>
        <v>0.55044999999999999</v>
      </c>
      <c r="P5365" s="166"/>
      <c r="Q5365" s="166">
        <f t="shared" si="1425"/>
        <v>297.79345000000001</v>
      </c>
      <c r="R5365" s="71"/>
      <c r="S5365" s="61"/>
      <c r="T5365" s="61"/>
      <c r="U5365" s="61"/>
      <c r="V5365" s="61"/>
      <c r="W5365" s="61"/>
      <c r="X5365" s="61"/>
      <c r="Y5365" s="61"/>
      <c r="Z5365" s="61"/>
      <c r="AA5365" s="61"/>
      <c r="AB5365" s="61"/>
      <c r="AC5365" s="61"/>
      <c r="AD5365" s="61"/>
      <c r="AE5365" s="61"/>
      <c r="AF5365" s="61"/>
      <c r="AG5365" s="61"/>
      <c r="AH5365" s="61"/>
      <c r="AI5365" s="61"/>
      <c r="AJ5365" s="61"/>
      <c r="AK5365" s="61"/>
      <c r="AL5365" s="61"/>
      <c r="AM5365" s="61"/>
      <c r="AN5365" s="61"/>
      <c r="AO5365" s="61"/>
    </row>
    <row r="5366" spans="1:41" s="61" customFormat="1" ht="31.5" x14ac:dyDescent="0.25">
      <c r="A5366" s="358"/>
      <c r="B5366" s="361"/>
      <c r="C5366" s="364"/>
      <c r="D5366" s="156" t="s">
        <v>97</v>
      </c>
      <c r="E5366" s="156" t="s">
        <v>98</v>
      </c>
      <c r="F5366" s="156" t="s">
        <v>98</v>
      </c>
      <c r="G5366" s="238">
        <f>MROUND(H5366*L5366*I5366/K5366,0.0000000001)</f>
        <v>1.0102396E-3</v>
      </c>
      <c r="H5366" s="242">
        <f>H4286</f>
        <v>18.939999999999998</v>
      </c>
      <c r="I5366" s="244">
        <f>I5362</f>
        <v>2.8856369999999999E-2</v>
      </c>
      <c r="J5366" s="160"/>
      <c r="K5366" s="161">
        <f>K5362</f>
        <v>541</v>
      </c>
      <c r="L5366" s="250">
        <v>1</v>
      </c>
      <c r="M5366" s="163" t="str">
        <f>CONCATENATE(H5366," ",F5366,"(обрабатываемая площадь в мес.)","*",L5366,"мес.","*",I5366,"/",K5366,"чел.")</f>
        <v>18,94 Га(обрабатываемая площадь в мес.)*1мес.*0,02885637/541чел.</v>
      </c>
      <c r="N5366" s="164">
        <f>N4286</f>
        <v>3102.4186906018999</v>
      </c>
      <c r="O5366" s="165">
        <f t="shared" si="1424"/>
        <v>3.1341859999999997</v>
      </c>
      <c r="P5366" s="166"/>
      <c r="Q5366" s="166">
        <f t="shared" si="1425"/>
        <v>1695.5946259999998</v>
      </c>
      <c r="R5366" s="71"/>
      <c r="S5366" s="71"/>
    </row>
    <row r="5367" spans="1:41" s="62" customFormat="1" x14ac:dyDescent="0.25">
      <c r="A5367" s="358"/>
      <c r="B5367" s="361"/>
      <c r="C5367" s="245" t="s">
        <v>294</v>
      </c>
      <c r="D5367" s="240"/>
      <c r="E5367" s="240"/>
      <c r="F5367" s="240"/>
      <c r="G5367" s="227"/>
      <c r="H5367" s="241"/>
      <c r="I5367" s="206"/>
      <c r="J5367" s="228"/>
      <c r="K5367" s="207"/>
      <c r="L5367" s="257"/>
      <c r="M5367" s="209"/>
      <c r="N5367" s="210"/>
      <c r="O5367" s="198">
        <f>SUM(O5361:O5366)</f>
        <v>90.689500999999993</v>
      </c>
      <c r="P5367" s="267"/>
      <c r="Q5367" s="166">
        <f t="shared" si="1425"/>
        <v>0</v>
      </c>
      <c r="R5367" s="71"/>
    </row>
    <row r="5368" spans="1:41" s="61" customFormat="1" ht="63" x14ac:dyDescent="0.25">
      <c r="A5368" s="358"/>
      <c r="B5368" s="361"/>
      <c r="C5368" s="365" t="s">
        <v>77</v>
      </c>
      <c r="D5368" s="156" t="s">
        <v>29</v>
      </c>
      <c r="E5368" s="156" t="s">
        <v>58</v>
      </c>
      <c r="F5368" s="156" t="s">
        <v>218</v>
      </c>
      <c r="G5368" s="238">
        <f>MROUND(H5368*L5368*I5368/K5368,0.00000001)</f>
        <v>3.2003399999999999E-3</v>
      </c>
      <c r="H5368" s="158">
        <v>15</v>
      </c>
      <c r="I5368" s="159">
        <f>I5366</f>
        <v>2.8856369999999999E-2</v>
      </c>
      <c r="J5368" s="160"/>
      <c r="K5368" s="161">
        <f>K5366</f>
        <v>541</v>
      </c>
      <c r="L5368" s="162">
        <v>4</v>
      </c>
      <c r="M5368" s="163" t="str">
        <f>CONCATENATE(H5368," ",F5368,"*",L5368," раза в год","*",I5368,"/",K5368,"чел.")</f>
        <v>15 установок*4 раза в год*0,02885637/541чел.</v>
      </c>
      <c r="N5368" s="164">
        <f>N3448</f>
        <v>2264.8651666666669</v>
      </c>
      <c r="O5368" s="165">
        <f t="shared" ref="O5368:O5376" si="1426">MROUND(G5368*N5368,0.000001)</f>
        <v>7.2483389999999996</v>
      </c>
      <c r="P5368" s="166"/>
      <c r="Q5368" s="166">
        <f t="shared" si="1425"/>
        <v>3921.3513989999997</v>
      </c>
      <c r="R5368" s="71"/>
    </row>
    <row r="5369" spans="1:41" s="61" customFormat="1" ht="47.25" x14ac:dyDescent="0.25">
      <c r="A5369" s="358"/>
      <c r="B5369" s="361"/>
      <c r="C5369" s="366"/>
      <c r="D5369" s="156" t="s">
        <v>30</v>
      </c>
      <c r="E5369" s="156" t="s">
        <v>58</v>
      </c>
      <c r="F5369" s="156" t="s">
        <v>218</v>
      </c>
      <c r="G5369" s="238">
        <f>MROUND(H5369*L5369*I5369/K5369,0.00000001)</f>
        <v>1.6001699999999999E-3</v>
      </c>
      <c r="H5369" s="158">
        <v>15</v>
      </c>
      <c r="I5369" s="159">
        <f t="shared" si="1413"/>
        <v>2.8856369999999999E-2</v>
      </c>
      <c r="J5369" s="160"/>
      <c r="K5369" s="161">
        <f t="shared" ref="K5369:K5377" si="1427">K5368</f>
        <v>541</v>
      </c>
      <c r="L5369" s="250">
        <v>2</v>
      </c>
      <c r="M5369" s="163" t="str">
        <f>CONCATENATE(H5369," ",F5369,"*",L5369,"полуг.","*",I5369,"/",K5369,"чел.")</f>
        <v>15 установок*2полуг.*0,02885637/541чел.</v>
      </c>
      <c r="N5369" s="164">
        <f>N4649</f>
        <v>4529.7303333333339</v>
      </c>
      <c r="O5369" s="165">
        <f t="shared" si="1426"/>
        <v>7.2483389999999996</v>
      </c>
      <c r="P5369" s="166"/>
      <c r="Q5369" s="166">
        <f t="shared" si="1425"/>
        <v>3921.3513989999997</v>
      </c>
      <c r="R5369" s="71"/>
    </row>
    <row r="5370" spans="1:41" s="61" customFormat="1" ht="31.5" x14ac:dyDescent="0.25">
      <c r="A5370" s="358"/>
      <c r="B5370" s="361"/>
      <c r="C5370" s="366"/>
      <c r="D5370" s="156" t="s">
        <v>397</v>
      </c>
      <c r="E5370" s="156" t="s">
        <v>433</v>
      </c>
      <c r="F5370" s="156" t="s">
        <v>433</v>
      </c>
      <c r="G5370" s="238">
        <f>MROUND(H5370*L5370*I5370/K5370,0.000001)</f>
        <v>1.6001999999999999E-2</v>
      </c>
      <c r="H5370" s="158">
        <f>H4290</f>
        <v>300</v>
      </c>
      <c r="I5370" s="159">
        <f t="shared" si="1413"/>
        <v>2.8856369999999999E-2</v>
      </c>
      <c r="J5370" s="160"/>
      <c r="K5370" s="161">
        <f t="shared" si="1427"/>
        <v>541</v>
      </c>
      <c r="L5370" s="162">
        <v>1</v>
      </c>
      <c r="M5370" s="163" t="str">
        <f>CONCATENATE(H5370," ",F5370,"(обрабатываемая площадь в год)","*",L5370," раз в год","*",I5370,"/",K5370,"чел.")</f>
        <v>300 м2.(обрабатываемая площадь в год)*1 раз в год*0,02885637/541чел.</v>
      </c>
      <c r="N5370" s="164">
        <f>N4290</f>
        <v>300</v>
      </c>
      <c r="O5370" s="165">
        <f t="shared" si="1426"/>
        <v>4.8006000000000002</v>
      </c>
      <c r="P5370" s="166"/>
      <c r="Q5370" s="166">
        <f t="shared" si="1425"/>
        <v>2597.1246000000001</v>
      </c>
      <c r="R5370" s="71"/>
    </row>
    <row r="5371" spans="1:41" s="61" customFormat="1" ht="47.25" x14ac:dyDescent="0.25">
      <c r="A5371" s="358"/>
      <c r="B5371" s="361"/>
      <c r="C5371" s="366"/>
      <c r="D5371" s="156" t="s">
        <v>32</v>
      </c>
      <c r="E5371" s="156" t="s">
        <v>55</v>
      </c>
      <c r="F5371" s="156" t="s">
        <v>219</v>
      </c>
      <c r="G5371" s="238">
        <f>MROUND(H5371*L5371*I5371/K5371,0.000000001)</f>
        <v>7.6808080000000008E-3</v>
      </c>
      <c r="H5371" s="158">
        <f>H4651</f>
        <v>36</v>
      </c>
      <c r="I5371" s="159">
        <f>I5370</f>
        <v>2.8856369999999999E-2</v>
      </c>
      <c r="J5371" s="160"/>
      <c r="K5371" s="161">
        <f t="shared" si="1427"/>
        <v>541</v>
      </c>
      <c r="L5371" s="250">
        <v>4</v>
      </c>
      <c r="M5371" s="163" t="str">
        <f>CONCATENATE(H5371," ",F5371,"*",L5371,"кв.","*",I5371,"/",K5371,"чел.")</f>
        <v>36 системы*4кв.*0,02885637/541чел.</v>
      </c>
      <c r="N5371" s="164">
        <f>N4651</f>
        <v>7243.0565277777823</v>
      </c>
      <c r="O5371" s="165">
        <f t="shared" si="1426"/>
        <v>55.632526999999996</v>
      </c>
      <c r="P5371" s="166"/>
      <c r="Q5371" s="166">
        <f t="shared" si="1425"/>
        <v>30097.197106999996</v>
      </c>
      <c r="R5371" s="71"/>
    </row>
    <row r="5372" spans="1:41" s="61" customFormat="1" ht="63" x14ac:dyDescent="0.25">
      <c r="A5372" s="358"/>
      <c r="B5372" s="361"/>
      <c r="C5372" s="366"/>
      <c r="D5372" s="156" t="s">
        <v>33</v>
      </c>
      <c r="E5372" s="156" t="s">
        <v>56</v>
      </c>
      <c r="F5372" s="156" t="s">
        <v>220</v>
      </c>
      <c r="G5372" s="238">
        <f>MROUND(H5372*L5372*I5372/K5372,0.000000001)</f>
        <v>1.9202020000000002E-3</v>
      </c>
      <c r="H5372" s="158">
        <f>$H$64</f>
        <v>36</v>
      </c>
      <c r="I5372" s="159">
        <f>I5371</f>
        <v>2.8856369999999999E-2</v>
      </c>
      <c r="J5372" s="160"/>
      <c r="K5372" s="161">
        <f t="shared" si="1427"/>
        <v>541</v>
      </c>
      <c r="L5372" s="162">
        <v>1</v>
      </c>
      <c r="M5372" s="163" t="str">
        <f>CONCATENATE(H5372," ",F5372,"*",L5372," раз в год","*",I5372,"/",K5372,"чел.")</f>
        <v>36 дымоходов*1 раз в год*0,02885637/541чел.</v>
      </c>
      <c r="N5372" s="164">
        <f>N3452</f>
        <v>7030.863333333331</v>
      </c>
      <c r="O5372" s="165">
        <f t="shared" si="1426"/>
        <v>13.500677999999999</v>
      </c>
      <c r="P5372" s="166"/>
      <c r="Q5372" s="166">
        <f t="shared" si="1425"/>
        <v>7303.8667979999991</v>
      </c>
      <c r="R5372" s="71"/>
    </row>
    <row r="5373" spans="1:41" s="61" customFormat="1" x14ac:dyDescent="0.25">
      <c r="A5373" s="358"/>
      <c r="B5373" s="361"/>
      <c r="C5373" s="366"/>
      <c r="D5373" s="194" t="s">
        <v>398</v>
      </c>
      <c r="E5373" s="156" t="s">
        <v>60</v>
      </c>
      <c r="F5373" s="156" t="s">
        <v>60</v>
      </c>
      <c r="G5373" s="238">
        <f>MROUND(H5373*L5373*I5373/K5373,0.000000001)</f>
        <v>1.8668630000000001E-3</v>
      </c>
      <c r="H5373" s="246">
        <f>H3453</f>
        <v>35</v>
      </c>
      <c r="I5373" s="159">
        <f t="shared" si="1413"/>
        <v>2.8856369999999999E-2</v>
      </c>
      <c r="J5373" s="160"/>
      <c r="K5373" s="161">
        <f t="shared" si="1427"/>
        <v>541</v>
      </c>
      <c r="L5373" s="250">
        <v>1</v>
      </c>
      <c r="M5373" s="163" t="str">
        <f>CONCATENATE(H5373," ",F5373,"*",I5373,"/",K5373,"чел.")</f>
        <v>35 шт.*0,02885637/541чел.</v>
      </c>
      <c r="N5373" s="164">
        <f>N3453</f>
        <v>12173.433428571419</v>
      </c>
      <c r="O5373" s="165">
        <f t="shared" si="1426"/>
        <v>22.726132</v>
      </c>
      <c r="P5373" s="166"/>
      <c r="Q5373" s="166">
        <f t="shared" si="1425"/>
        <v>12294.837412000001</v>
      </c>
      <c r="R5373" s="71"/>
    </row>
    <row r="5374" spans="1:41" s="61" customFormat="1" ht="47.25" x14ac:dyDescent="0.25">
      <c r="A5374" s="358"/>
      <c r="B5374" s="361"/>
      <c r="C5374" s="366"/>
      <c r="D5374" s="156" t="s">
        <v>401</v>
      </c>
      <c r="E5374" s="156" t="s">
        <v>60</v>
      </c>
      <c r="F5374" s="156" t="s">
        <v>402</v>
      </c>
      <c r="G5374" s="238">
        <f>MROUND(H5374*L5374*I5374/K5374,0.000001)</f>
        <v>3.7339999999999999E-3</v>
      </c>
      <c r="H5374" s="246">
        <f>H3454</f>
        <v>35</v>
      </c>
      <c r="I5374" s="159">
        <f t="shared" si="1413"/>
        <v>2.8856369999999999E-2</v>
      </c>
      <c r="J5374" s="160"/>
      <c r="K5374" s="161">
        <f t="shared" si="1427"/>
        <v>541</v>
      </c>
      <c r="L5374" s="162">
        <v>2</v>
      </c>
      <c r="M5374" s="163" t="str">
        <f>CONCATENATE(H5374," ",F5374,"*",L5374," раз в год","*",I5374,"/",K5374,"чел.")</f>
        <v>35 противопожарных водопроводов*2 раз в год*0,02885637/541чел.</v>
      </c>
      <c r="N5374" s="164">
        <f>N3454</f>
        <v>5700.7000000000025</v>
      </c>
      <c r="O5374" s="165">
        <f t="shared" si="1426"/>
        <v>21.286414000000001</v>
      </c>
      <c r="P5374" s="166"/>
      <c r="Q5374" s="166">
        <f t="shared" si="1425"/>
        <v>11515.949974000001</v>
      </c>
      <c r="R5374" s="71"/>
    </row>
    <row r="5375" spans="1:41" s="61" customFormat="1" ht="31.5" x14ac:dyDescent="0.25">
      <c r="A5375" s="358"/>
      <c r="B5375" s="361"/>
      <c r="C5375" s="366"/>
      <c r="D5375" s="156" t="s">
        <v>221</v>
      </c>
      <c r="E5375" s="156" t="s">
        <v>60</v>
      </c>
      <c r="F5375" s="156" t="s">
        <v>60</v>
      </c>
      <c r="G5375" s="238">
        <f>MROUND(H5375*L5375*I5375/K5375,0.0000000001)</f>
        <v>1.15212124E-2</v>
      </c>
      <c r="H5375" s="158">
        <f>H3455</f>
        <v>18</v>
      </c>
      <c r="I5375" s="159">
        <f t="shared" si="1413"/>
        <v>2.8856369999999999E-2</v>
      </c>
      <c r="J5375" s="160"/>
      <c r="K5375" s="161">
        <f t="shared" si="1427"/>
        <v>541</v>
      </c>
      <c r="L5375" s="250">
        <v>12</v>
      </c>
      <c r="M5375" s="163" t="str">
        <f>CONCATENATE(H5375," ",F5375,"*",L5375,"мес.","*",I5375,"/",K5375,"чел.")</f>
        <v>18 шт.*12мес.*0,02885637/541чел.</v>
      </c>
      <c r="N5375" s="164">
        <f>N4295</f>
        <v>6577.3408796296308</v>
      </c>
      <c r="O5375" s="165">
        <f t="shared" si="1426"/>
        <v>75.778941000000003</v>
      </c>
      <c r="P5375" s="166"/>
      <c r="Q5375" s="166">
        <f t="shared" si="1425"/>
        <v>40996.407081000005</v>
      </c>
      <c r="R5375" s="71"/>
    </row>
    <row r="5376" spans="1:41" s="61" customFormat="1" ht="47.25" x14ac:dyDescent="0.25">
      <c r="A5376" s="358"/>
      <c r="B5376" s="361"/>
      <c r="C5376" s="366"/>
      <c r="D5376" s="156" t="s">
        <v>34</v>
      </c>
      <c r="E5376" s="156" t="s">
        <v>59</v>
      </c>
      <c r="F5376" s="156" t="s">
        <v>28</v>
      </c>
      <c r="G5376" s="238">
        <f>MROUND(H5376*L5376*I5376/K5376,0.0000000001)</f>
        <v>1.066779E-4</v>
      </c>
      <c r="H5376" s="158">
        <f>H3936</f>
        <v>2</v>
      </c>
      <c r="I5376" s="159">
        <f t="shared" si="1413"/>
        <v>2.8856369999999999E-2</v>
      </c>
      <c r="J5376" s="160"/>
      <c r="K5376" s="161">
        <f t="shared" si="1427"/>
        <v>541</v>
      </c>
      <c r="L5376" s="250">
        <v>1</v>
      </c>
      <c r="M5376" s="163" t="str">
        <f>CONCATENATE(H5376," ",F5376,"*",I5376,"/",K5376,"чел.")</f>
        <v>2 шт*0,02885637/541чел.</v>
      </c>
      <c r="N5376" s="164">
        <f>N3456</f>
        <v>7845</v>
      </c>
      <c r="O5376" s="165">
        <f t="shared" si="1426"/>
        <v>0.83688799999999997</v>
      </c>
      <c r="P5376" s="166"/>
      <c r="Q5376" s="166">
        <f t="shared" si="1425"/>
        <v>452.75640799999996</v>
      </c>
      <c r="R5376" s="71"/>
    </row>
    <row r="5377" spans="1:18" s="61" customFormat="1" ht="47.25" x14ac:dyDescent="0.25">
      <c r="A5377" s="358"/>
      <c r="B5377" s="361"/>
      <c r="C5377" s="366"/>
      <c r="D5377" s="156" t="s">
        <v>222</v>
      </c>
      <c r="E5377" s="156" t="s">
        <v>60</v>
      </c>
      <c r="F5377" s="156" t="s">
        <v>60</v>
      </c>
      <c r="G5377" s="238">
        <f>MROUND(H5377*L5377*I5377/K5377,0.00000000001)</f>
        <v>2.6669473E-4</v>
      </c>
      <c r="H5377" s="248">
        <f>H4657</f>
        <v>5</v>
      </c>
      <c r="I5377" s="159">
        <f t="shared" si="1413"/>
        <v>2.8856369999999999E-2</v>
      </c>
      <c r="J5377" s="160"/>
      <c r="K5377" s="161">
        <f t="shared" si="1427"/>
        <v>541</v>
      </c>
      <c r="L5377" s="250">
        <v>1</v>
      </c>
      <c r="M5377" s="163" t="str">
        <f>CONCATENATE(H5377," ",F5377,"*",I5377,"/",K5377,"чел.")</f>
        <v>5 шт.*0,02885637/541чел.</v>
      </c>
      <c r="N5377" s="164">
        <f>N3457</f>
        <v>43857.106</v>
      </c>
      <c r="O5377" s="165">
        <f>MROUND(G5377*N5377,0.00000001)</f>
        <v>11.696459040000001</v>
      </c>
      <c r="P5377" s="166"/>
      <c r="Q5377" s="166">
        <f t="shared" si="1425"/>
        <v>6327.7843406400007</v>
      </c>
      <c r="R5377" s="71"/>
    </row>
    <row r="5378" spans="1:18" s="61" customFormat="1" ht="31.5" x14ac:dyDescent="0.25">
      <c r="A5378" s="358"/>
      <c r="B5378" s="361"/>
      <c r="C5378" s="366"/>
      <c r="D5378" s="156" t="s">
        <v>35</v>
      </c>
      <c r="E5378" s="156" t="s">
        <v>102</v>
      </c>
      <c r="F5378" s="156" t="s">
        <v>223</v>
      </c>
      <c r="G5378" s="238">
        <f>MROUND(H5378*L5378*I5378/K5378,0.00000001)</f>
        <v>1.8668600000000001E-3</v>
      </c>
      <c r="H5378" s="158">
        <f>H3458</f>
        <v>35</v>
      </c>
      <c r="I5378" s="159">
        <f>I5376</f>
        <v>2.8856369999999999E-2</v>
      </c>
      <c r="J5378" s="160"/>
      <c r="K5378" s="161">
        <f>K5376</f>
        <v>541</v>
      </c>
      <c r="L5378" s="250">
        <v>1</v>
      </c>
      <c r="M5378" s="163" t="str">
        <f>CONCATENATE(H5378," ",F5378,"*",I5378,"/",K5378,"чел.")</f>
        <v>35 замеров*0,02885637/541чел.</v>
      </c>
      <c r="N5378" s="164">
        <f>N3458</f>
        <v>26428.571428571428</v>
      </c>
      <c r="O5378" s="165">
        <f t="shared" ref="O5378:O5383" si="1428">MROUND(G5378*N5378,0.000001)</f>
        <v>49.338442999999998</v>
      </c>
      <c r="P5378" s="166"/>
      <c r="Q5378" s="166">
        <f t="shared" si="1425"/>
        <v>26692.097663</v>
      </c>
      <c r="R5378" s="71"/>
    </row>
    <row r="5379" spans="1:18" s="61" customFormat="1" ht="47.25" x14ac:dyDescent="0.25">
      <c r="A5379" s="358"/>
      <c r="B5379" s="361"/>
      <c r="C5379" s="366"/>
      <c r="D5379" s="156" t="s">
        <v>399</v>
      </c>
      <c r="E5379" s="156" t="s">
        <v>60</v>
      </c>
      <c r="F5379" s="156" t="s">
        <v>60</v>
      </c>
      <c r="G5379" s="238">
        <f>MROUND(H5379*L5379*I5379/K5379,0.000000001)</f>
        <v>1.8668631000000002E-2</v>
      </c>
      <c r="H5379" s="158">
        <f>H4779</f>
        <v>35</v>
      </c>
      <c r="I5379" s="159">
        <f t="shared" si="1413"/>
        <v>2.8856369999999999E-2</v>
      </c>
      <c r="J5379" s="160"/>
      <c r="K5379" s="161">
        <f>K5378</f>
        <v>541</v>
      </c>
      <c r="L5379" s="250">
        <v>10</v>
      </c>
      <c r="M5379" s="163" t="str">
        <f>CONCATENATE(H5379," ",F5379,"*",L5379,"мес.","*",I5379,"/",K5379,"чел.")</f>
        <v>35 шт.*10мес.*0,02885637/541чел.</v>
      </c>
      <c r="N5379" s="164">
        <f>N4779</f>
        <v>3250.866542857143</v>
      </c>
      <c r="O5379" s="165">
        <f t="shared" si="1428"/>
        <v>60.689228</v>
      </c>
      <c r="P5379" s="166"/>
      <c r="Q5379" s="166">
        <f t="shared" si="1425"/>
        <v>32832.872347999997</v>
      </c>
      <c r="R5379" s="71"/>
    </row>
    <row r="5380" spans="1:18" s="61" customFormat="1" ht="47.25" x14ac:dyDescent="0.25">
      <c r="A5380" s="358"/>
      <c r="B5380" s="361"/>
      <c r="C5380" s="366"/>
      <c r="D5380" s="156" t="s">
        <v>36</v>
      </c>
      <c r="E5380" s="156" t="s">
        <v>31</v>
      </c>
      <c r="F5380" s="156" t="s">
        <v>224</v>
      </c>
      <c r="G5380" s="238">
        <f>MROUND(H5380*L5380*I5380/K5380,0.00000001)</f>
        <v>2.3042420000000001E-2</v>
      </c>
      <c r="H5380" s="158">
        <f>H4660</f>
        <v>36</v>
      </c>
      <c r="I5380" s="159">
        <f t="shared" si="1413"/>
        <v>2.8856369999999999E-2</v>
      </c>
      <c r="J5380" s="160"/>
      <c r="K5380" s="161">
        <f>K5379</f>
        <v>541</v>
      </c>
      <c r="L5380" s="250">
        <v>12</v>
      </c>
      <c r="M5380" s="163" t="str">
        <f>CONCATENATE(H5380," ",F5380,"*",L5380,"мес.","*",I5380,"/",K5380,"чел.")</f>
        <v>36 устройств*12мес.*0,02885637/541чел.</v>
      </c>
      <c r="N5380" s="164">
        <f>N3460</f>
        <v>2508.3083101851839</v>
      </c>
      <c r="O5380" s="165">
        <f t="shared" si="1428"/>
        <v>57.797494</v>
      </c>
      <c r="P5380" s="166"/>
      <c r="Q5380" s="166">
        <f t="shared" si="1425"/>
        <v>31268.444254000002</v>
      </c>
      <c r="R5380" s="71"/>
    </row>
    <row r="5381" spans="1:18" s="61" customFormat="1" ht="31.5" x14ac:dyDescent="0.25">
      <c r="A5381" s="358"/>
      <c r="B5381" s="361"/>
      <c r="C5381" s="366"/>
      <c r="D5381" s="156" t="s">
        <v>99</v>
      </c>
      <c r="E5381" s="156" t="s">
        <v>103</v>
      </c>
      <c r="F5381" s="156" t="s">
        <v>225</v>
      </c>
      <c r="G5381" s="238">
        <f>MROUND(H5381*L5381*I5381/K5381,0.00000001)</f>
        <v>1.3334739999999999E-2</v>
      </c>
      <c r="H5381" s="158">
        <f>H3461</f>
        <v>250</v>
      </c>
      <c r="I5381" s="159">
        <f t="shared" si="1413"/>
        <v>2.8856369999999999E-2</v>
      </c>
      <c r="J5381" s="160"/>
      <c r="K5381" s="161">
        <f>K5380</f>
        <v>541</v>
      </c>
      <c r="L5381" s="250">
        <v>1</v>
      </c>
      <c r="M5381" s="163" t="str">
        <f>CONCATENATE(H5381," ",F5381,"*",I5381,"/",K5381,"чел.")</f>
        <v>250 ед.*0,02885637/541чел.</v>
      </c>
      <c r="N5381" s="164">
        <f>N3461</f>
        <v>15000</v>
      </c>
      <c r="O5381" s="165">
        <f t="shared" si="1428"/>
        <v>200.02109999999999</v>
      </c>
      <c r="P5381" s="166"/>
      <c r="Q5381" s="166">
        <f t="shared" si="1425"/>
        <v>108211.4151</v>
      </c>
      <c r="R5381" s="71"/>
    </row>
    <row r="5382" spans="1:18" s="61" customFormat="1" x14ac:dyDescent="0.25">
      <c r="A5382" s="358"/>
      <c r="B5382" s="361"/>
      <c r="C5382" s="366"/>
      <c r="D5382" s="156" t="s">
        <v>27</v>
      </c>
      <c r="E5382" s="156" t="s">
        <v>28</v>
      </c>
      <c r="F5382" s="156" t="s">
        <v>28</v>
      </c>
      <c r="G5382" s="238">
        <f>MROUND(H5382*L5382*I5382/K5382,0.0000000001)</f>
        <v>0.1938870701</v>
      </c>
      <c r="H5382" s="160">
        <f>H3462</f>
        <v>3635</v>
      </c>
      <c r="I5382" s="159">
        <f t="shared" si="1413"/>
        <v>2.8856369999999999E-2</v>
      </c>
      <c r="J5382" s="160"/>
      <c r="K5382" s="161">
        <f>K5381</f>
        <v>541</v>
      </c>
      <c r="L5382" s="250">
        <v>1</v>
      </c>
      <c r="M5382" s="163" t="str">
        <f>CONCATENATE(H5382," ",F5382,"*",I5382,"/",K5382,"чел.")</f>
        <v>3635 шт*0,02885637/541чел.</v>
      </c>
      <c r="N5382" s="164">
        <f>N3462</f>
        <v>418.4</v>
      </c>
      <c r="O5382" s="165">
        <f t="shared" si="1428"/>
        <v>81.122349999999997</v>
      </c>
      <c r="P5382" s="166"/>
      <c r="Q5382" s="166">
        <f t="shared" si="1425"/>
        <v>43887.191350000001</v>
      </c>
      <c r="R5382" s="71"/>
    </row>
    <row r="5383" spans="1:18" s="61" customFormat="1" ht="31.5" x14ac:dyDescent="0.25">
      <c r="A5383" s="358"/>
      <c r="B5383" s="361"/>
      <c r="C5383" s="367"/>
      <c r="D5383" s="156" t="s">
        <v>104</v>
      </c>
      <c r="E5383" s="156" t="s">
        <v>105</v>
      </c>
      <c r="F5383" s="156" t="s">
        <v>226</v>
      </c>
      <c r="G5383" s="238">
        <f>MROUND(H5383*L5383*I5383/K5383,0.00000001)</f>
        <v>1.9201999999999999E-3</v>
      </c>
      <c r="H5383" s="160">
        <f>H4303</f>
        <v>36</v>
      </c>
      <c r="I5383" s="159">
        <f t="shared" si="1413"/>
        <v>2.8856369999999999E-2</v>
      </c>
      <c r="J5383" s="160"/>
      <c r="K5383" s="161">
        <f>K5382</f>
        <v>541</v>
      </c>
      <c r="L5383" s="250">
        <v>1</v>
      </c>
      <c r="M5383" s="163" t="str">
        <f>CONCATENATE(H5383," ",F5383,"*",I5383,"/",K5383,"чел.")</f>
        <v>36 отключений*0,02885637/541чел.</v>
      </c>
      <c r="N5383" s="164">
        <f>N3463</f>
        <v>10261.260000000004</v>
      </c>
      <c r="O5383" s="165">
        <f t="shared" si="1428"/>
        <v>19.703671</v>
      </c>
      <c r="P5383" s="166"/>
      <c r="Q5383" s="166">
        <f t="shared" si="1425"/>
        <v>10659.686011</v>
      </c>
      <c r="R5383" s="71"/>
    </row>
    <row r="5384" spans="1:18" s="62" customFormat="1" x14ac:dyDescent="0.25">
      <c r="A5384" s="358"/>
      <c r="B5384" s="361"/>
      <c r="C5384" s="249" t="s">
        <v>292</v>
      </c>
      <c r="D5384" s="240"/>
      <c r="E5384" s="240"/>
      <c r="F5384" s="240"/>
      <c r="G5384" s="227"/>
      <c r="H5384" s="228"/>
      <c r="I5384" s="206"/>
      <c r="J5384" s="228"/>
      <c r="K5384" s="207"/>
      <c r="L5384" s="257"/>
      <c r="M5384" s="209"/>
      <c r="N5384" s="210"/>
      <c r="O5384" s="198">
        <f>SUM(O5368:O5383)</f>
        <v>689.42760304000001</v>
      </c>
      <c r="P5384" s="267"/>
      <c r="Q5384" s="166">
        <f t="shared" si="1425"/>
        <v>0</v>
      </c>
      <c r="R5384" s="71"/>
    </row>
    <row r="5385" spans="1:18" s="61" customFormat="1" ht="31.5" x14ac:dyDescent="0.25">
      <c r="A5385" s="358"/>
      <c r="B5385" s="361"/>
      <c r="C5385" s="221" t="s">
        <v>79</v>
      </c>
      <c r="D5385" s="156" t="s">
        <v>37</v>
      </c>
      <c r="E5385" s="156" t="s">
        <v>61</v>
      </c>
      <c r="F5385" s="156" t="s">
        <v>227</v>
      </c>
      <c r="G5385" s="238">
        <f>MROUND(H5385*L5385*I5385/K5385,0.000000001)</f>
        <v>2.1335600000000002E-4</v>
      </c>
      <c r="H5385" s="158">
        <f>H3465</f>
        <v>4</v>
      </c>
      <c r="I5385" s="159">
        <f>I5383</f>
        <v>2.8856369999999999E-2</v>
      </c>
      <c r="J5385" s="160"/>
      <c r="K5385" s="161">
        <f>K5383</f>
        <v>541</v>
      </c>
      <c r="L5385" s="250">
        <v>1</v>
      </c>
      <c r="M5385" s="163" t="str">
        <f>CONCATENATE(H5385," ",F5385,"*",I5385,"/",K5385,"чел.")</f>
        <v>4 автобуса*0,02885637/541чел.</v>
      </c>
      <c r="N5385" s="164">
        <f>N3465</f>
        <v>36442.65</v>
      </c>
      <c r="O5385" s="165">
        <f>MROUND(G5385*N5385,0.000001)</f>
        <v>7.775258</v>
      </c>
      <c r="P5385" s="166"/>
      <c r="Q5385" s="166">
        <f t="shared" si="1425"/>
        <v>4206.4145779999999</v>
      </c>
      <c r="R5385" s="71"/>
    </row>
    <row r="5386" spans="1:18" s="62" customFormat="1" x14ac:dyDescent="0.25">
      <c r="A5386" s="358"/>
      <c r="B5386" s="361"/>
      <c r="C5386" s="218" t="s">
        <v>295</v>
      </c>
      <c r="D5386" s="240"/>
      <c r="E5386" s="240"/>
      <c r="F5386" s="240"/>
      <c r="G5386" s="227"/>
      <c r="H5386" s="241"/>
      <c r="I5386" s="206"/>
      <c r="J5386" s="228"/>
      <c r="K5386" s="207"/>
      <c r="L5386" s="257"/>
      <c r="M5386" s="209"/>
      <c r="N5386" s="210"/>
      <c r="O5386" s="198">
        <f>SUM(O5385)</f>
        <v>7.775258</v>
      </c>
      <c r="P5386" s="267"/>
      <c r="Q5386" s="166">
        <f t="shared" si="1425"/>
        <v>0</v>
      </c>
      <c r="R5386" s="71"/>
    </row>
    <row r="5387" spans="1:18" s="61" customFormat="1" x14ac:dyDescent="0.25">
      <c r="A5387" s="358"/>
      <c r="B5387" s="361"/>
      <c r="C5387" s="364" t="s">
        <v>80</v>
      </c>
      <c r="D5387" s="156" t="s">
        <v>38</v>
      </c>
      <c r="E5387" s="156" t="s">
        <v>57</v>
      </c>
      <c r="F5387" s="156" t="s">
        <v>228</v>
      </c>
      <c r="G5387" s="238">
        <f>MROUND(H5387*L5387*I5387/K5387,0.0000000001)</f>
        <v>2.3042424799999999E-2</v>
      </c>
      <c r="H5387" s="158">
        <f>H3467</f>
        <v>36</v>
      </c>
      <c r="I5387" s="159">
        <f>I5385</f>
        <v>2.8856369999999999E-2</v>
      </c>
      <c r="J5387" s="160"/>
      <c r="K5387" s="161">
        <f>K5385</f>
        <v>541</v>
      </c>
      <c r="L5387" s="250">
        <v>12</v>
      </c>
      <c r="M5387" s="163" t="str">
        <f>CONCATENATE(H5387," ",F5387,"*",L5387,"мес.","*",I5387,"/",K5387,"чел.")</f>
        <v>36 зданий*12мес.*0,02885637/541чел.</v>
      </c>
      <c r="N5387" s="164">
        <f t="shared" ref="N5387:N5395" si="1429">N3467</f>
        <v>4910.5833101851858</v>
      </c>
      <c r="O5387" s="165">
        <f>MROUND(G5387*N5387,0.000001)</f>
        <v>113.151747</v>
      </c>
      <c r="P5387" s="166"/>
      <c r="Q5387" s="166">
        <f t="shared" si="1425"/>
        <v>61215.095127000001</v>
      </c>
      <c r="R5387" s="71"/>
    </row>
    <row r="5388" spans="1:18" s="61" customFormat="1" ht="47.25" x14ac:dyDescent="0.25">
      <c r="A5388" s="358"/>
      <c r="B5388" s="361"/>
      <c r="C5388" s="364"/>
      <c r="D5388" s="156" t="s">
        <v>229</v>
      </c>
      <c r="E5388" s="156" t="s">
        <v>60</v>
      </c>
      <c r="F5388" s="156" t="s">
        <v>60</v>
      </c>
      <c r="G5388" s="238">
        <f>MROUND(H5388*L5388*I5388/K5388,0.000001)</f>
        <v>0.127693</v>
      </c>
      <c r="H5388" s="158">
        <f>H3948</f>
        <v>2394</v>
      </c>
      <c r="I5388" s="159">
        <f>I5387</f>
        <v>2.8856369999999999E-2</v>
      </c>
      <c r="J5388" s="160"/>
      <c r="K5388" s="161">
        <f>K5387</f>
        <v>541</v>
      </c>
      <c r="L5388" s="250">
        <v>1</v>
      </c>
      <c r="M5388" s="163" t="str">
        <f t="shared" ref="M5388:M5395" si="1430">CONCATENATE(H5388," ",F5388,"*",I5388,"/",K5388,"чел.")</f>
        <v>2394 шт.*0,02885637/541чел.</v>
      </c>
      <c r="N5388" s="164">
        <f t="shared" si="1429"/>
        <v>171.02101921470341</v>
      </c>
      <c r="O5388" s="165">
        <f>MROUND(G5388*N5388,0.000001)</f>
        <v>21.838186999999998</v>
      </c>
      <c r="P5388" s="166"/>
      <c r="Q5388" s="166">
        <f t="shared" si="1425"/>
        <v>11814.459166999999</v>
      </c>
      <c r="R5388" s="71"/>
    </row>
    <row r="5389" spans="1:18" s="61" customFormat="1" ht="47.25" x14ac:dyDescent="0.25">
      <c r="A5389" s="358"/>
      <c r="B5389" s="361"/>
      <c r="C5389" s="364"/>
      <c r="D5389" s="156" t="s">
        <v>405</v>
      </c>
      <c r="E5389" s="156" t="s">
        <v>60</v>
      </c>
      <c r="F5389" s="156" t="s">
        <v>406</v>
      </c>
      <c r="G5389" s="238">
        <f>MROUND(H5389*L5389*I5389/K5389,0.00000001)</f>
        <v>1.9201999999999999E-3</v>
      </c>
      <c r="H5389" s="158">
        <f>H3589</f>
        <v>36</v>
      </c>
      <c r="I5389" s="159">
        <f>I5388</f>
        <v>2.8856369999999999E-2</v>
      </c>
      <c r="J5389" s="160"/>
      <c r="K5389" s="161">
        <f>K5388</f>
        <v>541</v>
      </c>
      <c r="L5389" s="250">
        <v>1</v>
      </c>
      <c r="M5389" s="163" t="str">
        <f t="shared" si="1430"/>
        <v>36 лицензий*0,02885637/541чел.</v>
      </c>
      <c r="N5389" s="164">
        <f t="shared" si="1429"/>
        <v>12541.539999999994</v>
      </c>
      <c r="O5389" s="165">
        <f t="shared" ref="O5389:O5398" si="1431">MROUND(G5389*N5389,0.000001)</f>
        <v>24.082265</v>
      </c>
      <c r="P5389" s="166"/>
      <c r="Q5389" s="166">
        <f t="shared" si="1425"/>
        <v>13028.505364999999</v>
      </c>
      <c r="R5389" s="71"/>
    </row>
    <row r="5390" spans="1:18" s="61" customFormat="1" ht="63" x14ac:dyDescent="0.25">
      <c r="A5390" s="358"/>
      <c r="B5390" s="361"/>
      <c r="C5390" s="364"/>
      <c r="D5390" s="156" t="s">
        <v>39</v>
      </c>
      <c r="E5390" s="156" t="s">
        <v>20</v>
      </c>
      <c r="F5390" s="156" t="s">
        <v>234</v>
      </c>
      <c r="G5390" s="238">
        <f>MROUND(H5390*L5390*I5390/K5390,0.000000001)</f>
        <v>6.2939960000000005E-3</v>
      </c>
      <c r="H5390" s="158">
        <f>H4910</f>
        <v>118</v>
      </c>
      <c r="I5390" s="159">
        <f>I5388</f>
        <v>2.8856369999999999E-2</v>
      </c>
      <c r="J5390" s="160"/>
      <c r="K5390" s="161">
        <f>K5388</f>
        <v>541</v>
      </c>
      <c r="L5390" s="250">
        <v>1</v>
      </c>
      <c r="M5390" s="163" t="str">
        <f t="shared" si="1430"/>
        <v>118 чел(заявленная потребность руководителями учреждений)*0,02885637/541чел.</v>
      </c>
      <c r="N5390" s="164">
        <f t="shared" si="1429"/>
        <v>798.09796610169519</v>
      </c>
      <c r="O5390" s="165">
        <f t="shared" si="1431"/>
        <v>5.0232250000000001</v>
      </c>
      <c r="P5390" s="166"/>
      <c r="Q5390" s="166">
        <f t="shared" si="1425"/>
        <v>2717.5647250000002</v>
      </c>
      <c r="R5390" s="71"/>
    </row>
    <row r="5391" spans="1:18" s="61" customFormat="1" ht="63" x14ac:dyDescent="0.25">
      <c r="A5391" s="358"/>
      <c r="B5391" s="361"/>
      <c r="C5391" s="364"/>
      <c r="D5391" s="156" t="s">
        <v>40</v>
      </c>
      <c r="E5391" s="156" t="s">
        <v>20</v>
      </c>
      <c r="F5391" s="156" t="s">
        <v>234</v>
      </c>
      <c r="G5391" s="238">
        <f>MROUND(H5391*L5391*I5391/K5391,0.000000001)</f>
        <v>5.1205390000000003E-3</v>
      </c>
      <c r="H5391" s="158">
        <f>H4911</f>
        <v>96</v>
      </c>
      <c r="I5391" s="159">
        <f t="shared" ref="I5391:I5398" si="1432">I5390</f>
        <v>2.8856369999999999E-2</v>
      </c>
      <c r="J5391" s="160"/>
      <c r="K5391" s="161">
        <f t="shared" ref="K5391:K5398" si="1433">K5390</f>
        <v>541</v>
      </c>
      <c r="L5391" s="250">
        <v>1</v>
      </c>
      <c r="M5391" s="163" t="str">
        <f t="shared" si="1430"/>
        <v>96 чел(заявленная потребность руководителями учреждений)*0,02885637/541чел.</v>
      </c>
      <c r="N5391" s="164">
        <f t="shared" si="1429"/>
        <v>1710.2100000000007</v>
      </c>
      <c r="O5391" s="165">
        <f t="shared" si="1431"/>
        <v>8.7571969999999997</v>
      </c>
      <c r="P5391" s="166"/>
      <c r="Q5391" s="166">
        <f t="shared" si="1425"/>
        <v>4737.6435769999998</v>
      </c>
      <c r="R5391" s="71"/>
    </row>
    <row r="5392" spans="1:18" s="61" customFormat="1" ht="63" x14ac:dyDescent="0.25">
      <c r="A5392" s="358"/>
      <c r="B5392" s="361"/>
      <c r="C5392" s="364"/>
      <c r="D5392" s="156" t="s">
        <v>100</v>
      </c>
      <c r="E5392" s="156" t="s">
        <v>20</v>
      </c>
      <c r="F5392" s="156" t="s">
        <v>234</v>
      </c>
      <c r="G5392" s="238">
        <f>MROUND(H5392*L5392*I5392/K5392,0.0000000001)</f>
        <v>4.3204547000000003E-3</v>
      </c>
      <c r="H5392" s="158">
        <f>H4912</f>
        <v>81</v>
      </c>
      <c r="I5392" s="159">
        <f t="shared" si="1432"/>
        <v>2.8856369999999999E-2</v>
      </c>
      <c r="J5392" s="160"/>
      <c r="K5392" s="161">
        <f t="shared" si="1433"/>
        <v>541</v>
      </c>
      <c r="L5392" s="250">
        <v>1</v>
      </c>
      <c r="M5392" s="163" t="str">
        <f t="shared" si="1430"/>
        <v>81 чел(заявленная потребность руководителями учреждений)*0,02885637/541чел.</v>
      </c>
      <c r="N5392" s="164">
        <f t="shared" si="1429"/>
        <v>3648.448148148148</v>
      </c>
      <c r="O5392" s="165">
        <f t="shared" si="1431"/>
        <v>15.762955</v>
      </c>
      <c r="P5392" s="166"/>
      <c r="Q5392" s="166">
        <f t="shared" si="1425"/>
        <v>8527.7586549999996</v>
      </c>
      <c r="R5392" s="71"/>
    </row>
    <row r="5393" spans="1:18" s="61" customFormat="1" ht="110.25" x14ac:dyDescent="0.25">
      <c r="A5393" s="358"/>
      <c r="B5393" s="361"/>
      <c r="C5393" s="364"/>
      <c r="D5393" s="156" t="s">
        <v>235</v>
      </c>
      <c r="E5393" s="156" t="s">
        <v>50</v>
      </c>
      <c r="F5393" s="156" t="s">
        <v>230</v>
      </c>
      <c r="G5393" s="238">
        <f>MROUND(H5393*L5393*I5393/K5393,0.00000001)</f>
        <v>1.9201999999999999E-3</v>
      </c>
      <c r="H5393" s="158">
        <f>H5153</f>
        <v>36</v>
      </c>
      <c r="I5393" s="159">
        <f t="shared" si="1432"/>
        <v>2.8856369999999999E-2</v>
      </c>
      <c r="J5393" s="160"/>
      <c r="K5393" s="161">
        <f t="shared" si="1433"/>
        <v>541</v>
      </c>
      <c r="L5393" s="250">
        <v>1</v>
      </c>
      <c r="M5393" s="163" t="str">
        <f t="shared" si="1430"/>
        <v>36 отчетов*0,02885637/541чел.</v>
      </c>
      <c r="N5393" s="164">
        <f t="shared" si="1429"/>
        <v>6840.8399999999974</v>
      </c>
      <c r="O5393" s="165">
        <f t="shared" si="1431"/>
        <v>13.135781</v>
      </c>
      <c r="P5393" s="166"/>
      <c r="Q5393" s="166">
        <f t="shared" si="1425"/>
        <v>7106.4575210000003</v>
      </c>
      <c r="R5393" s="71"/>
    </row>
    <row r="5394" spans="1:18" s="61" customFormat="1" ht="63" x14ac:dyDescent="0.25">
      <c r="A5394" s="358"/>
      <c r="B5394" s="361"/>
      <c r="C5394" s="364"/>
      <c r="D5394" s="156" t="s">
        <v>42</v>
      </c>
      <c r="E5394" s="156" t="s">
        <v>51</v>
      </c>
      <c r="F5394" s="156" t="s">
        <v>407</v>
      </c>
      <c r="G5394" s="238">
        <f>MROUND(H5394*L5394*I5394/K5394,0.000001)</f>
        <v>1.0881E-2</v>
      </c>
      <c r="H5394" s="158">
        <f>H4914</f>
        <v>204</v>
      </c>
      <c r="I5394" s="159">
        <f t="shared" si="1432"/>
        <v>2.8856369999999999E-2</v>
      </c>
      <c r="J5394" s="160"/>
      <c r="K5394" s="161">
        <f t="shared" si="1433"/>
        <v>541</v>
      </c>
      <c r="L5394" s="250">
        <v>1</v>
      </c>
      <c r="M5394" s="163" t="str">
        <f t="shared" si="1430"/>
        <v>204 ед (заявленная потребность руководителями учреждений)*0,02885637/541чел.</v>
      </c>
      <c r="N5394" s="164">
        <f t="shared" si="1429"/>
        <v>1140.1400000000001</v>
      </c>
      <c r="O5394" s="165">
        <f t="shared" si="1431"/>
        <v>12.405863</v>
      </c>
      <c r="P5394" s="166"/>
      <c r="Q5394" s="166">
        <f t="shared" si="1425"/>
        <v>6711.5718829999996</v>
      </c>
      <c r="R5394" s="71"/>
    </row>
    <row r="5395" spans="1:18" s="61" customFormat="1" ht="31.5" x14ac:dyDescent="0.25">
      <c r="A5395" s="358"/>
      <c r="B5395" s="361"/>
      <c r="C5395" s="364"/>
      <c r="D5395" s="156" t="s">
        <v>43</v>
      </c>
      <c r="E5395" s="156" t="s">
        <v>52</v>
      </c>
      <c r="F5395" s="156" t="s">
        <v>231</v>
      </c>
      <c r="G5395" s="238">
        <f>MROUND(H5395*L5395*I5395/K5395,0.000000001)</f>
        <v>1.9202020000000002E-3</v>
      </c>
      <c r="H5395" s="158">
        <f>H4315</f>
        <v>36</v>
      </c>
      <c r="I5395" s="159">
        <f t="shared" si="1432"/>
        <v>2.8856369999999999E-2</v>
      </c>
      <c r="J5395" s="160"/>
      <c r="K5395" s="161">
        <f t="shared" si="1433"/>
        <v>541</v>
      </c>
      <c r="L5395" s="250">
        <v>1</v>
      </c>
      <c r="M5395" s="163" t="str">
        <f t="shared" si="1430"/>
        <v>36 ЭЦП*0,02885637/541чел.</v>
      </c>
      <c r="N5395" s="164">
        <f t="shared" si="1429"/>
        <v>8099.5499999999947</v>
      </c>
      <c r="O5395" s="165">
        <f t="shared" si="1431"/>
        <v>15.552771999999999</v>
      </c>
      <c r="P5395" s="166"/>
      <c r="Q5395" s="166">
        <f t="shared" si="1425"/>
        <v>8414.0496519999997</v>
      </c>
      <c r="R5395" s="71"/>
    </row>
    <row r="5396" spans="1:18" s="61" customFormat="1" ht="47.25" x14ac:dyDescent="0.25">
      <c r="A5396" s="358"/>
      <c r="B5396" s="361"/>
      <c r="C5396" s="364"/>
      <c r="D5396" s="156" t="s">
        <v>44</v>
      </c>
      <c r="E5396" s="156" t="s">
        <v>85</v>
      </c>
      <c r="F5396" s="156" t="s">
        <v>232</v>
      </c>
      <c r="G5396" s="238">
        <f>MROUND(H5396*L5396*I5396/K5396,0.000001)</f>
        <v>6.4860000000000001E-2</v>
      </c>
      <c r="H5396" s="158">
        <f>H4316</f>
        <v>1216</v>
      </c>
      <c r="I5396" s="159">
        <f t="shared" si="1432"/>
        <v>2.8856369999999999E-2</v>
      </c>
      <c r="J5396" s="160"/>
      <c r="K5396" s="161">
        <f t="shared" si="1433"/>
        <v>541</v>
      </c>
      <c r="L5396" s="250">
        <v>1</v>
      </c>
      <c r="M5396" s="163" t="str">
        <f>CONCATENATE(H5396," ",F5396,"*",L5396,"мес.","*",I5396,"/",K5396,"чел.")</f>
        <v>1216 мед.осмотров в мес.*1мес.*0,02885637/541чел.</v>
      </c>
      <c r="N5396" s="164">
        <f>N4316</f>
        <v>59.287277960526318</v>
      </c>
      <c r="O5396" s="165">
        <f t="shared" si="1431"/>
        <v>3.8453729999999999</v>
      </c>
      <c r="P5396" s="166"/>
      <c r="Q5396" s="166">
        <f t="shared" si="1425"/>
        <v>2080.3467930000002</v>
      </c>
      <c r="R5396" s="71"/>
    </row>
    <row r="5397" spans="1:18" s="61" customFormat="1" ht="63" x14ac:dyDescent="0.25">
      <c r="A5397" s="358"/>
      <c r="B5397" s="361"/>
      <c r="C5397" s="364"/>
      <c r="D5397" s="156" t="s">
        <v>45</v>
      </c>
      <c r="E5397" s="156" t="s">
        <v>53</v>
      </c>
      <c r="F5397" s="156" t="s">
        <v>233</v>
      </c>
      <c r="G5397" s="238">
        <f>MROUND(H5397*L5397*I5397/K5397,0.000000001)</f>
        <v>2.560269E-3</v>
      </c>
      <c r="H5397" s="158">
        <f>H4917</f>
        <v>4</v>
      </c>
      <c r="I5397" s="159">
        <f t="shared" si="1432"/>
        <v>2.8856369999999999E-2</v>
      </c>
      <c r="J5397" s="160"/>
      <c r="K5397" s="161">
        <f t="shared" si="1433"/>
        <v>541</v>
      </c>
      <c r="L5397" s="250">
        <v>12</v>
      </c>
      <c r="M5397" s="163" t="str">
        <f>CONCATENATE(H5397," ",F5397,"*",L5397,"мес.","*",I5397,"/",K5397,"чел.")</f>
        <v>4  машины, оборудованных системой ГЛОНАСС*12мес.*0,02885637/541чел.</v>
      </c>
      <c r="N5397" s="164">
        <f>N3477</f>
        <v>921.23312500000009</v>
      </c>
      <c r="O5397" s="165">
        <f t="shared" si="1431"/>
        <v>2.3586049999999998</v>
      </c>
      <c r="P5397" s="166"/>
      <c r="Q5397" s="166">
        <f t="shared" si="1425"/>
        <v>1276.0053049999999</v>
      </c>
      <c r="R5397" s="71"/>
    </row>
    <row r="5398" spans="1:18" s="61" customFormat="1" ht="31.5" x14ac:dyDescent="0.25">
      <c r="A5398" s="358"/>
      <c r="B5398" s="361"/>
      <c r="C5398" s="364"/>
      <c r="D5398" s="156" t="s">
        <v>408</v>
      </c>
      <c r="E5398" s="156" t="s">
        <v>20</v>
      </c>
      <c r="F5398" s="156" t="s">
        <v>20</v>
      </c>
      <c r="G5398" s="238">
        <f>MROUND(H5398*L5398*I5398/K5398,0.0000000001)</f>
        <v>9.0516192000000009E-2</v>
      </c>
      <c r="H5398" s="158">
        <f>H3478</f>
        <v>1697</v>
      </c>
      <c r="I5398" s="159">
        <f t="shared" si="1432"/>
        <v>2.8856369999999999E-2</v>
      </c>
      <c r="J5398" s="160"/>
      <c r="K5398" s="161">
        <f t="shared" si="1433"/>
        <v>541</v>
      </c>
      <c r="L5398" s="250">
        <v>1</v>
      </c>
      <c r="M5398" s="163" t="str">
        <f>CONCATENATE(H5398," ",F5398,"*",L5398," раз в год","*",I5398,"/",K5398,"чел.")</f>
        <v>1697 чел.*1 раз в год*0,02885637/541чел.</v>
      </c>
      <c r="N5398" s="164">
        <f>N3478</f>
        <v>570.06999999999994</v>
      </c>
      <c r="O5398" s="165">
        <f t="shared" si="1431"/>
        <v>51.600566000000001</v>
      </c>
      <c r="P5398" s="166"/>
      <c r="Q5398" s="166">
        <f t="shared" si="1425"/>
        <v>27915.906206</v>
      </c>
      <c r="R5398" s="71"/>
    </row>
    <row r="5399" spans="1:18" s="61" customFormat="1" x14ac:dyDescent="0.25">
      <c r="A5399" s="358"/>
      <c r="B5399" s="361"/>
      <c r="C5399" s="364"/>
      <c r="D5399" s="156" t="s">
        <v>373</v>
      </c>
      <c r="E5399" s="156" t="s">
        <v>28</v>
      </c>
      <c r="F5399" s="156" t="s">
        <v>28</v>
      </c>
      <c r="G5399" s="157">
        <f>MROUND(H5399*L5399*I5399/K5399,0.000000001)</f>
        <v>1.9202020000000002E-3</v>
      </c>
      <c r="H5399" s="158">
        <f>H3480</f>
        <v>36</v>
      </c>
      <c r="I5399" s="159">
        <f>I5397</f>
        <v>2.8856369999999999E-2</v>
      </c>
      <c r="J5399" s="160"/>
      <c r="K5399" s="161">
        <f>K5397</f>
        <v>541</v>
      </c>
      <c r="L5399" s="162">
        <v>1</v>
      </c>
      <c r="M5399" s="163" t="str">
        <f>CONCATENATE(H5399," ",F5399,"*",L5399,"мес.","*",I5399,"/",K5399,"чел.")</f>
        <v>36 шт*1мес.*0,02885637/541чел.</v>
      </c>
      <c r="N5399" s="164">
        <f>N3480</f>
        <v>24000</v>
      </c>
      <c r="O5399" s="165">
        <f>MROUND(G5399*N5399,0.000000001)</f>
        <v>46.084848000000001</v>
      </c>
      <c r="P5399" s="166"/>
      <c r="Q5399" s="166">
        <f t="shared" si="1425"/>
        <v>24931.902768</v>
      </c>
      <c r="R5399" s="71"/>
    </row>
    <row r="5400" spans="1:18" s="61" customFormat="1" ht="31.5" x14ac:dyDescent="0.25">
      <c r="A5400" s="358"/>
      <c r="B5400" s="361"/>
      <c r="C5400" s="364"/>
      <c r="D5400" s="156" t="s">
        <v>106</v>
      </c>
      <c r="E5400" s="156" t="s">
        <v>107</v>
      </c>
      <c r="F5400" s="156"/>
      <c r="G5400" s="238">
        <f>MROUND(H5400*L5400*I5400/K5400,0.000000001)</f>
        <v>0</v>
      </c>
      <c r="H5400" s="158">
        <f>H3479</f>
        <v>0</v>
      </c>
      <c r="I5400" s="159">
        <f>I5397</f>
        <v>2.8856369999999999E-2</v>
      </c>
      <c r="J5400" s="160"/>
      <c r="K5400" s="161">
        <f>K5397</f>
        <v>541</v>
      </c>
      <c r="L5400" s="250">
        <f>L3840</f>
        <v>0</v>
      </c>
      <c r="M5400" s="163"/>
      <c r="N5400" s="164">
        <f>N3479</f>
        <v>6.0000000000000002E-5</v>
      </c>
      <c r="O5400" s="165">
        <f>MROUND(G5400*N5400,0.000000001)</f>
        <v>0</v>
      </c>
      <c r="P5400" s="166"/>
      <c r="Q5400" s="166">
        <f t="shared" si="1425"/>
        <v>0</v>
      </c>
      <c r="R5400" s="71"/>
    </row>
    <row r="5401" spans="1:18" s="62" customFormat="1" x14ac:dyDescent="0.25">
      <c r="A5401" s="358"/>
      <c r="B5401" s="361"/>
      <c r="C5401" s="245" t="s">
        <v>296</v>
      </c>
      <c r="D5401" s="240"/>
      <c r="E5401" s="240"/>
      <c r="F5401" s="240"/>
      <c r="G5401" s="227"/>
      <c r="H5401" s="241"/>
      <c r="I5401" s="206"/>
      <c r="J5401" s="228"/>
      <c r="K5401" s="207"/>
      <c r="L5401" s="257"/>
      <c r="M5401" s="209"/>
      <c r="N5401" s="210"/>
      <c r="O5401" s="198">
        <f>SUM(O5387:O5400)</f>
        <v>333.59938400000004</v>
      </c>
      <c r="P5401" s="267"/>
      <c r="Q5401" s="166">
        <f t="shared" si="1425"/>
        <v>0</v>
      </c>
      <c r="R5401" s="71"/>
    </row>
    <row r="5402" spans="1:18" s="61" customFormat="1" ht="31.5" x14ac:dyDescent="0.25">
      <c r="A5402" s="358"/>
      <c r="B5402" s="361"/>
      <c r="C5402" s="252" t="s">
        <v>237</v>
      </c>
      <c r="D5402" s="156" t="s">
        <v>41</v>
      </c>
      <c r="E5402" s="156" t="s">
        <v>61</v>
      </c>
      <c r="F5402" s="156" t="s">
        <v>227</v>
      </c>
      <c r="G5402" s="238">
        <f>MROUND(H5402*L5402*I5402/K5402,0.000000001)</f>
        <v>2.1335600000000002E-4</v>
      </c>
      <c r="H5402" s="158">
        <f>H4322</f>
        <v>4</v>
      </c>
      <c r="I5402" s="159">
        <f>I5400</f>
        <v>2.8856369999999999E-2</v>
      </c>
      <c r="J5402" s="160"/>
      <c r="K5402" s="161">
        <f>K5400</f>
        <v>541</v>
      </c>
      <c r="L5402" s="250">
        <v>1</v>
      </c>
      <c r="M5402" s="163" t="str">
        <f>CONCATENATE(H5402," ",F5402,"*",I5402,"/",K5402,"чел.")</f>
        <v>4 автобуса*0,02885637/541чел.</v>
      </c>
      <c r="N5402" s="164">
        <f>N3482</f>
        <v>26907.305</v>
      </c>
      <c r="O5402" s="165">
        <f>MROUND(G5402*N5402,0.000001)</f>
        <v>5.7408349999999997</v>
      </c>
      <c r="P5402" s="166"/>
      <c r="Q5402" s="166">
        <f t="shared" si="1425"/>
        <v>3105.7917349999998</v>
      </c>
      <c r="R5402" s="71"/>
    </row>
    <row r="5403" spans="1:18" s="62" customFormat="1" x14ac:dyDescent="0.25">
      <c r="A5403" s="358"/>
      <c r="B5403" s="361"/>
      <c r="C5403" s="245" t="s">
        <v>297</v>
      </c>
      <c r="D5403" s="240"/>
      <c r="E5403" s="240"/>
      <c r="F5403" s="240"/>
      <c r="G5403" s="227"/>
      <c r="H5403" s="241"/>
      <c r="I5403" s="206"/>
      <c r="J5403" s="228"/>
      <c r="K5403" s="207"/>
      <c r="L5403" s="257"/>
      <c r="M5403" s="209"/>
      <c r="N5403" s="210"/>
      <c r="O5403" s="198">
        <f>SUM(O5402)</f>
        <v>5.7408349999999997</v>
      </c>
      <c r="P5403" s="267"/>
      <c r="Q5403" s="166">
        <f t="shared" si="1425"/>
        <v>0</v>
      </c>
      <c r="R5403" s="71"/>
    </row>
    <row r="5404" spans="1:18" s="61" customFormat="1" ht="78.75" x14ac:dyDescent="0.25">
      <c r="A5404" s="358"/>
      <c r="B5404" s="361"/>
      <c r="C5404" s="221" t="s">
        <v>236</v>
      </c>
      <c r="D5404" s="156" t="s">
        <v>19</v>
      </c>
      <c r="E5404" s="181" t="s">
        <v>20</v>
      </c>
      <c r="F5404" s="181" t="s">
        <v>238</v>
      </c>
      <c r="G5404" s="238">
        <f>MROUND(H5404*L5404*I5404/K5404,0.000001)</f>
        <v>0</v>
      </c>
      <c r="H5404" s="158"/>
      <c r="I5404" s="159">
        <f>I5400</f>
        <v>2.8856369999999999E-2</v>
      </c>
      <c r="J5404" s="160"/>
      <c r="K5404" s="161">
        <f>K5400</f>
        <v>541</v>
      </c>
      <c r="L5404" s="250"/>
      <c r="M5404" s="163"/>
      <c r="N5404" s="164"/>
      <c r="O5404" s="165">
        <f>MROUND(G5404*N5404,0.000001)</f>
        <v>0</v>
      </c>
      <c r="P5404" s="166"/>
      <c r="Q5404" s="166">
        <f t="shared" si="1425"/>
        <v>0</v>
      </c>
      <c r="R5404" s="71"/>
    </row>
    <row r="5405" spans="1:18" s="62" customFormat="1" x14ac:dyDescent="0.25">
      <c r="A5405" s="358"/>
      <c r="B5405" s="361"/>
      <c r="C5405" s="245" t="s">
        <v>298</v>
      </c>
      <c r="D5405" s="240"/>
      <c r="E5405" s="253"/>
      <c r="F5405" s="253"/>
      <c r="G5405" s="227"/>
      <c r="H5405" s="241"/>
      <c r="I5405" s="206"/>
      <c r="J5405" s="228"/>
      <c r="K5405" s="207"/>
      <c r="L5405" s="257"/>
      <c r="M5405" s="209"/>
      <c r="N5405" s="210"/>
      <c r="O5405" s="198">
        <f>SUM(O5404)</f>
        <v>0</v>
      </c>
      <c r="P5405" s="267"/>
      <c r="Q5405" s="166">
        <f t="shared" si="1425"/>
        <v>0</v>
      </c>
      <c r="R5405" s="71"/>
    </row>
    <row r="5406" spans="1:18" s="61" customFormat="1" ht="30" x14ac:dyDescent="0.25">
      <c r="A5406" s="358"/>
      <c r="B5406" s="361"/>
      <c r="C5406" s="365" t="s">
        <v>81</v>
      </c>
      <c r="D5406" s="254" t="s">
        <v>410</v>
      </c>
      <c r="E5406" s="156" t="s">
        <v>28</v>
      </c>
      <c r="F5406" s="156" t="s">
        <v>28</v>
      </c>
      <c r="G5406" s="238">
        <f>MROUND(H5406*L5406*I5406/K5406,0.0000000001)</f>
        <v>0</v>
      </c>
      <c r="H5406" s="158"/>
      <c r="I5406" s="159">
        <f>I5400</f>
        <v>2.8856369999999999E-2</v>
      </c>
      <c r="J5406" s="160"/>
      <c r="K5406" s="161">
        <f>K5400</f>
        <v>541</v>
      </c>
      <c r="L5406" s="250">
        <v>1</v>
      </c>
      <c r="M5406" s="163"/>
      <c r="N5406" s="164"/>
      <c r="O5406" s="165">
        <f>MROUND(G5406*N5406,0.000001)</f>
        <v>0</v>
      </c>
      <c r="P5406" s="166"/>
      <c r="Q5406" s="166">
        <f t="shared" si="1425"/>
        <v>0</v>
      </c>
      <c r="R5406" s="71"/>
    </row>
    <row r="5407" spans="1:18" s="61" customFormat="1" x14ac:dyDescent="0.25">
      <c r="A5407" s="358"/>
      <c r="B5407" s="361"/>
      <c r="C5407" s="366"/>
      <c r="D5407" s="254" t="s">
        <v>325</v>
      </c>
      <c r="E5407" s="156" t="s">
        <v>28</v>
      </c>
      <c r="F5407" s="156" t="s">
        <v>28</v>
      </c>
      <c r="G5407" s="238">
        <f>MROUND(H5407*L5407*I5407/K5407,0.00000001)</f>
        <v>0</v>
      </c>
      <c r="H5407" s="158"/>
      <c r="I5407" s="159">
        <f>I5406</f>
        <v>2.8856369999999999E-2</v>
      </c>
      <c r="J5407" s="160"/>
      <c r="K5407" s="161">
        <f>K5406</f>
        <v>541</v>
      </c>
      <c r="L5407" s="250">
        <v>1</v>
      </c>
      <c r="M5407" s="163"/>
      <c r="N5407" s="164"/>
      <c r="O5407" s="165">
        <f>MROUND(G5407*N5407,0.000001)</f>
        <v>0</v>
      </c>
      <c r="P5407" s="166"/>
      <c r="Q5407" s="166">
        <f>O5407*K5407</f>
        <v>0</v>
      </c>
      <c r="R5407" s="71"/>
    </row>
    <row r="5408" spans="1:18" s="61" customFormat="1" ht="30" x14ac:dyDescent="0.25">
      <c r="A5408" s="358"/>
      <c r="B5408" s="361"/>
      <c r="C5408" s="366"/>
      <c r="D5408" s="254" t="s">
        <v>411</v>
      </c>
      <c r="E5408" s="156" t="s">
        <v>28</v>
      </c>
      <c r="F5408" s="156" t="s">
        <v>28</v>
      </c>
      <c r="G5408" s="238">
        <f>MROUND(H5408*L5408*I5408/K5408,0.00000001)</f>
        <v>0</v>
      </c>
      <c r="H5408" s="158"/>
      <c r="I5408" s="159">
        <f>I5406</f>
        <v>2.8856369999999999E-2</v>
      </c>
      <c r="J5408" s="160"/>
      <c r="K5408" s="161">
        <f>K5406</f>
        <v>541</v>
      </c>
      <c r="L5408" s="250">
        <v>1</v>
      </c>
      <c r="M5408" s="163"/>
      <c r="N5408" s="164"/>
      <c r="O5408" s="165">
        <f t="shared" ref="O5408:O5429" si="1434">MROUND(G5408*N5408,0.000001)</f>
        <v>0</v>
      </c>
      <c r="P5408" s="166"/>
      <c r="Q5408" s="166">
        <f t="shared" ref="Q5408:Q5436" si="1435">O5408*K5408</f>
        <v>0</v>
      </c>
      <c r="R5408" s="71"/>
    </row>
    <row r="5409" spans="1:18" s="61" customFormat="1" x14ac:dyDescent="0.25">
      <c r="A5409" s="358"/>
      <c r="B5409" s="361"/>
      <c r="C5409" s="366"/>
      <c r="D5409" s="255" t="s">
        <v>412</v>
      </c>
      <c r="E5409" s="156" t="s">
        <v>28</v>
      </c>
      <c r="F5409" s="156" t="s">
        <v>28</v>
      </c>
      <c r="G5409" s="238">
        <f>MROUND(H5409*L5409*I5409/K5409,0.00000001)</f>
        <v>0</v>
      </c>
      <c r="H5409" s="158"/>
      <c r="I5409" s="159">
        <f>I5408</f>
        <v>2.8856369999999999E-2</v>
      </c>
      <c r="J5409" s="160"/>
      <c r="K5409" s="161">
        <f>K5408</f>
        <v>541</v>
      </c>
      <c r="L5409" s="250">
        <v>1</v>
      </c>
      <c r="M5409" s="163"/>
      <c r="N5409" s="164"/>
      <c r="O5409" s="165">
        <f t="shared" si="1434"/>
        <v>0</v>
      </c>
      <c r="P5409" s="166"/>
      <c r="Q5409" s="166">
        <f t="shared" si="1435"/>
        <v>0</v>
      </c>
      <c r="R5409" s="71"/>
    </row>
    <row r="5410" spans="1:18" s="61" customFormat="1" ht="31.5" x14ac:dyDescent="0.25">
      <c r="A5410" s="358"/>
      <c r="B5410" s="361"/>
      <c r="C5410" s="366"/>
      <c r="D5410" s="255" t="s">
        <v>413</v>
      </c>
      <c r="E5410" s="156" t="s">
        <v>28</v>
      </c>
      <c r="F5410" s="156" t="s">
        <v>28</v>
      </c>
      <c r="G5410" s="238">
        <f>MROUND(H5410*L5410*I5410/K5410,0.0000000001)</f>
        <v>0</v>
      </c>
      <c r="H5410" s="158"/>
      <c r="I5410" s="159">
        <f>I5409</f>
        <v>2.8856369999999999E-2</v>
      </c>
      <c r="J5410" s="160"/>
      <c r="K5410" s="161">
        <f>K5409</f>
        <v>541</v>
      </c>
      <c r="L5410" s="250">
        <v>1</v>
      </c>
      <c r="M5410" s="163"/>
      <c r="N5410" s="164"/>
      <c r="O5410" s="165">
        <f t="shared" si="1434"/>
        <v>0</v>
      </c>
      <c r="P5410" s="166"/>
      <c r="Q5410" s="166">
        <f t="shared" si="1435"/>
        <v>0</v>
      </c>
      <c r="R5410" s="71"/>
    </row>
    <row r="5411" spans="1:18" s="61" customFormat="1" x14ac:dyDescent="0.25">
      <c r="A5411" s="358"/>
      <c r="B5411" s="361"/>
      <c r="C5411" s="366"/>
      <c r="D5411" s="254" t="s">
        <v>109</v>
      </c>
      <c r="E5411" s="156" t="s">
        <v>28</v>
      </c>
      <c r="F5411" s="156" t="s">
        <v>28</v>
      </c>
      <c r="G5411" s="238">
        <f>MROUND(H5411*L5411*I5411/K5411,0.0000000001)</f>
        <v>0</v>
      </c>
      <c r="H5411" s="158"/>
      <c r="I5411" s="159">
        <f>I5410</f>
        <v>2.8856369999999999E-2</v>
      </c>
      <c r="J5411" s="160"/>
      <c r="K5411" s="161">
        <f>K5410</f>
        <v>541</v>
      </c>
      <c r="L5411" s="250">
        <v>1</v>
      </c>
      <c r="M5411" s="163"/>
      <c r="N5411" s="164"/>
      <c r="O5411" s="165">
        <f t="shared" si="1434"/>
        <v>0</v>
      </c>
      <c r="P5411" s="166"/>
      <c r="Q5411" s="166">
        <f t="shared" si="1435"/>
        <v>0</v>
      </c>
      <c r="R5411" s="71"/>
    </row>
    <row r="5412" spans="1:18" s="61" customFormat="1" x14ac:dyDescent="0.25">
      <c r="A5412" s="358"/>
      <c r="B5412" s="361"/>
      <c r="C5412" s="366"/>
      <c r="D5412" s="254" t="s">
        <v>414</v>
      </c>
      <c r="E5412" s="156" t="s">
        <v>28</v>
      </c>
      <c r="F5412" s="156" t="s">
        <v>28</v>
      </c>
      <c r="G5412" s="238">
        <f>MROUND(H5412*L5412*I5412/K5412,0.0000000001)</f>
        <v>0</v>
      </c>
      <c r="H5412" s="158"/>
      <c r="I5412" s="159">
        <f>I5410</f>
        <v>2.8856369999999999E-2</v>
      </c>
      <c r="J5412" s="160"/>
      <c r="K5412" s="161">
        <f>K5410</f>
        <v>541</v>
      </c>
      <c r="L5412" s="250">
        <v>1</v>
      </c>
      <c r="M5412" s="163"/>
      <c r="N5412" s="164"/>
      <c r="O5412" s="165">
        <f t="shared" si="1434"/>
        <v>0</v>
      </c>
      <c r="P5412" s="166"/>
      <c r="Q5412" s="166">
        <f t="shared" si="1435"/>
        <v>0</v>
      </c>
      <c r="R5412" s="71"/>
    </row>
    <row r="5413" spans="1:18" s="61" customFormat="1" x14ac:dyDescent="0.25">
      <c r="A5413" s="358"/>
      <c r="B5413" s="361"/>
      <c r="C5413" s="366"/>
      <c r="D5413" s="254" t="s">
        <v>415</v>
      </c>
      <c r="E5413" s="156" t="s">
        <v>28</v>
      </c>
      <c r="F5413" s="156" t="s">
        <v>28</v>
      </c>
      <c r="G5413" s="238">
        <f>MROUND(H5413*L5413*I5413/K5413,0.00000001)</f>
        <v>0</v>
      </c>
      <c r="H5413" s="158"/>
      <c r="I5413" s="159">
        <f t="shared" ref="I5413:I5422" si="1436">I5411</f>
        <v>2.8856369999999999E-2</v>
      </c>
      <c r="J5413" s="160"/>
      <c r="K5413" s="161">
        <f t="shared" ref="K5413:K5422" si="1437">K5411</f>
        <v>541</v>
      </c>
      <c r="L5413" s="250">
        <v>1</v>
      </c>
      <c r="M5413" s="163"/>
      <c r="N5413" s="164"/>
      <c r="O5413" s="165">
        <f t="shared" si="1434"/>
        <v>0</v>
      </c>
      <c r="P5413" s="166"/>
      <c r="Q5413" s="166">
        <f t="shared" si="1435"/>
        <v>0</v>
      </c>
      <c r="R5413" s="71"/>
    </row>
    <row r="5414" spans="1:18" s="61" customFormat="1" x14ac:dyDescent="0.25">
      <c r="A5414" s="358"/>
      <c r="B5414" s="361"/>
      <c r="C5414" s="366"/>
      <c r="D5414" s="254" t="s">
        <v>416</v>
      </c>
      <c r="E5414" s="156" t="s">
        <v>28</v>
      </c>
      <c r="F5414" s="156" t="s">
        <v>28</v>
      </c>
      <c r="G5414" s="238">
        <f>MROUND(H5414*L5414*I5414/K5414,0.000000001)</f>
        <v>0</v>
      </c>
      <c r="H5414" s="246"/>
      <c r="I5414" s="159">
        <f t="shared" si="1436"/>
        <v>2.8856369999999999E-2</v>
      </c>
      <c r="J5414" s="160"/>
      <c r="K5414" s="161">
        <f t="shared" si="1437"/>
        <v>541</v>
      </c>
      <c r="L5414" s="250">
        <v>1</v>
      </c>
      <c r="M5414" s="163"/>
      <c r="N5414" s="164"/>
      <c r="O5414" s="165">
        <f t="shared" si="1434"/>
        <v>0</v>
      </c>
      <c r="P5414" s="166"/>
      <c r="Q5414" s="166">
        <f t="shared" si="1435"/>
        <v>0</v>
      </c>
      <c r="R5414" s="71"/>
    </row>
    <row r="5415" spans="1:18" s="61" customFormat="1" x14ac:dyDescent="0.25">
      <c r="A5415" s="358"/>
      <c r="B5415" s="361"/>
      <c r="C5415" s="366"/>
      <c r="D5415" s="254" t="s">
        <v>417</v>
      </c>
      <c r="E5415" s="156" t="s">
        <v>28</v>
      </c>
      <c r="F5415" s="156" t="s">
        <v>28</v>
      </c>
      <c r="G5415" s="238">
        <f>MROUND(H5415*L5415*I5415/K5415,0.00000001)</f>
        <v>0</v>
      </c>
      <c r="H5415" s="158"/>
      <c r="I5415" s="159">
        <f t="shared" si="1436"/>
        <v>2.8856369999999999E-2</v>
      </c>
      <c r="J5415" s="160"/>
      <c r="K5415" s="161">
        <f t="shared" si="1437"/>
        <v>541</v>
      </c>
      <c r="L5415" s="250">
        <v>1</v>
      </c>
      <c r="M5415" s="163"/>
      <c r="N5415" s="164"/>
      <c r="O5415" s="165">
        <f t="shared" si="1434"/>
        <v>0</v>
      </c>
      <c r="P5415" s="166"/>
      <c r="Q5415" s="166">
        <f t="shared" si="1435"/>
        <v>0</v>
      </c>
      <c r="R5415" s="71"/>
    </row>
    <row r="5416" spans="1:18" s="61" customFormat="1" ht="30" x14ac:dyDescent="0.25">
      <c r="A5416" s="358"/>
      <c r="B5416" s="361"/>
      <c r="C5416" s="366"/>
      <c r="D5416" s="254" t="s">
        <v>418</v>
      </c>
      <c r="E5416" s="156" t="s">
        <v>28</v>
      </c>
      <c r="F5416" s="156" t="s">
        <v>28</v>
      </c>
      <c r="G5416" s="238">
        <f>MROUND(H5416*L5416*I5416/K5416,0.00000001)</f>
        <v>0</v>
      </c>
      <c r="H5416" s="158"/>
      <c r="I5416" s="159">
        <f t="shared" si="1436"/>
        <v>2.8856369999999999E-2</v>
      </c>
      <c r="J5416" s="160"/>
      <c r="K5416" s="161">
        <f t="shared" si="1437"/>
        <v>541</v>
      </c>
      <c r="L5416" s="250">
        <v>1</v>
      </c>
      <c r="M5416" s="163"/>
      <c r="N5416" s="164"/>
      <c r="O5416" s="165">
        <f t="shared" si="1434"/>
        <v>0</v>
      </c>
      <c r="P5416" s="166"/>
      <c r="Q5416" s="166">
        <f t="shared" si="1435"/>
        <v>0</v>
      </c>
      <c r="R5416" s="71"/>
    </row>
    <row r="5417" spans="1:18" s="61" customFormat="1" x14ac:dyDescent="0.25">
      <c r="A5417" s="358"/>
      <c r="B5417" s="361"/>
      <c r="C5417" s="366"/>
      <c r="D5417" s="254" t="s">
        <v>324</v>
      </c>
      <c r="E5417" s="156" t="s">
        <v>28</v>
      </c>
      <c r="F5417" s="156" t="s">
        <v>28</v>
      </c>
      <c r="G5417" s="238">
        <f>MROUND(H5417*L5417*I5417/K5417,0.000000001)</f>
        <v>0</v>
      </c>
      <c r="H5417" s="158"/>
      <c r="I5417" s="159">
        <f t="shared" si="1436"/>
        <v>2.8856369999999999E-2</v>
      </c>
      <c r="J5417" s="160"/>
      <c r="K5417" s="161">
        <f t="shared" si="1437"/>
        <v>541</v>
      </c>
      <c r="L5417" s="250">
        <v>1</v>
      </c>
      <c r="M5417" s="163"/>
      <c r="N5417" s="164"/>
      <c r="O5417" s="165">
        <f t="shared" si="1434"/>
        <v>0</v>
      </c>
      <c r="P5417" s="166"/>
      <c r="Q5417" s="166">
        <f t="shared" si="1435"/>
        <v>0</v>
      </c>
      <c r="R5417" s="71"/>
    </row>
    <row r="5418" spans="1:18" s="61" customFormat="1" x14ac:dyDescent="0.25">
      <c r="A5418" s="358"/>
      <c r="B5418" s="361"/>
      <c r="C5418" s="366"/>
      <c r="D5418" s="254" t="s">
        <v>419</v>
      </c>
      <c r="E5418" s="156" t="s">
        <v>28</v>
      </c>
      <c r="F5418" s="156" t="s">
        <v>28</v>
      </c>
      <c r="G5418" s="238">
        <f>MROUND(H5418*L5418*I5418/K5418,0.000000001)</f>
        <v>0</v>
      </c>
      <c r="H5418" s="246"/>
      <c r="I5418" s="159">
        <f t="shared" si="1436"/>
        <v>2.8856369999999999E-2</v>
      </c>
      <c r="J5418" s="160"/>
      <c r="K5418" s="161">
        <f t="shared" si="1437"/>
        <v>541</v>
      </c>
      <c r="L5418" s="250">
        <v>1</v>
      </c>
      <c r="M5418" s="163"/>
      <c r="N5418" s="164"/>
      <c r="O5418" s="165">
        <f t="shared" si="1434"/>
        <v>0</v>
      </c>
      <c r="P5418" s="166"/>
      <c r="Q5418" s="166">
        <f t="shared" si="1435"/>
        <v>0</v>
      </c>
      <c r="R5418" s="71"/>
    </row>
    <row r="5419" spans="1:18" s="61" customFormat="1" x14ac:dyDescent="0.25">
      <c r="A5419" s="358"/>
      <c r="B5419" s="361"/>
      <c r="C5419" s="366"/>
      <c r="D5419" s="254" t="s">
        <v>420</v>
      </c>
      <c r="E5419" s="156" t="s">
        <v>28</v>
      </c>
      <c r="F5419" s="156" t="s">
        <v>28</v>
      </c>
      <c r="G5419" s="238">
        <f>MROUND(H5419*L5419*I5419/K5419,0.000000001)</f>
        <v>0</v>
      </c>
      <c r="H5419" s="158"/>
      <c r="I5419" s="159">
        <f t="shared" si="1436"/>
        <v>2.8856369999999999E-2</v>
      </c>
      <c r="J5419" s="160"/>
      <c r="K5419" s="161">
        <f t="shared" si="1437"/>
        <v>541</v>
      </c>
      <c r="L5419" s="250">
        <v>1</v>
      </c>
      <c r="M5419" s="163"/>
      <c r="N5419" s="164"/>
      <c r="O5419" s="165">
        <f t="shared" si="1434"/>
        <v>0</v>
      </c>
      <c r="P5419" s="166"/>
      <c r="Q5419" s="166">
        <f t="shared" si="1435"/>
        <v>0</v>
      </c>
      <c r="R5419" s="71"/>
    </row>
    <row r="5420" spans="1:18" s="61" customFormat="1" x14ac:dyDescent="0.25">
      <c r="A5420" s="358"/>
      <c r="B5420" s="361"/>
      <c r="C5420" s="366"/>
      <c r="D5420" s="254" t="s">
        <v>421</v>
      </c>
      <c r="E5420" s="156" t="s">
        <v>28</v>
      </c>
      <c r="F5420" s="156" t="s">
        <v>28</v>
      </c>
      <c r="G5420" s="238">
        <f>MROUND(H5420*L5420*I5420/K5420,0.00000001)</f>
        <v>0</v>
      </c>
      <c r="H5420" s="158"/>
      <c r="I5420" s="159">
        <f t="shared" si="1436"/>
        <v>2.8856369999999999E-2</v>
      </c>
      <c r="J5420" s="160"/>
      <c r="K5420" s="161">
        <f t="shared" si="1437"/>
        <v>541</v>
      </c>
      <c r="L5420" s="250">
        <v>1</v>
      </c>
      <c r="M5420" s="163"/>
      <c r="N5420" s="164"/>
      <c r="O5420" s="165">
        <f t="shared" si="1434"/>
        <v>0</v>
      </c>
      <c r="P5420" s="166"/>
      <c r="Q5420" s="166">
        <f t="shared" si="1435"/>
        <v>0</v>
      </c>
      <c r="R5420" s="71"/>
    </row>
    <row r="5421" spans="1:18" s="61" customFormat="1" ht="30" x14ac:dyDescent="0.25">
      <c r="A5421" s="358"/>
      <c r="B5421" s="361"/>
      <c r="C5421" s="366"/>
      <c r="D5421" s="254" t="s">
        <v>422</v>
      </c>
      <c r="E5421" s="156" t="s">
        <v>28</v>
      </c>
      <c r="F5421" s="156" t="s">
        <v>28</v>
      </c>
      <c r="G5421" s="266">
        <f>MROUND(H5421*L5421*I5421/K5421,0.00000001)</f>
        <v>0</v>
      </c>
      <c r="H5421" s="158"/>
      <c r="I5421" s="159">
        <f t="shared" si="1436"/>
        <v>2.8856369999999999E-2</v>
      </c>
      <c r="J5421" s="160"/>
      <c r="K5421" s="161">
        <f t="shared" si="1437"/>
        <v>541</v>
      </c>
      <c r="L5421" s="250">
        <v>1</v>
      </c>
      <c r="M5421" s="163"/>
      <c r="N5421" s="164"/>
      <c r="O5421" s="165">
        <f t="shared" si="1434"/>
        <v>0</v>
      </c>
      <c r="P5421" s="166"/>
      <c r="Q5421" s="166">
        <f t="shared" si="1435"/>
        <v>0</v>
      </c>
      <c r="R5421" s="71"/>
    </row>
    <row r="5422" spans="1:18" s="61" customFormat="1" x14ac:dyDescent="0.25">
      <c r="A5422" s="358"/>
      <c r="B5422" s="361"/>
      <c r="C5422" s="366"/>
      <c r="D5422" s="254" t="s">
        <v>423</v>
      </c>
      <c r="E5422" s="156" t="s">
        <v>28</v>
      </c>
      <c r="F5422" s="156" t="s">
        <v>28</v>
      </c>
      <c r="G5422" s="238">
        <f>MROUND(H5422*L5422*I5422/K5422,0.000000001)</f>
        <v>0</v>
      </c>
      <c r="H5422" s="158"/>
      <c r="I5422" s="159">
        <f t="shared" si="1436"/>
        <v>2.8856369999999999E-2</v>
      </c>
      <c r="J5422" s="160"/>
      <c r="K5422" s="161">
        <f t="shared" si="1437"/>
        <v>541</v>
      </c>
      <c r="L5422" s="250">
        <v>1</v>
      </c>
      <c r="M5422" s="163"/>
      <c r="N5422" s="164"/>
      <c r="O5422" s="165">
        <f t="shared" si="1434"/>
        <v>0</v>
      </c>
      <c r="P5422" s="166"/>
      <c r="Q5422" s="166">
        <f t="shared" si="1435"/>
        <v>0</v>
      </c>
      <c r="R5422" s="71"/>
    </row>
    <row r="5423" spans="1:18" s="61" customFormat="1" x14ac:dyDescent="0.25">
      <c r="A5423" s="358"/>
      <c r="B5423" s="361"/>
      <c r="C5423" s="366"/>
      <c r="D5423" s="254" t="s">
        <v>424</v>
      </c>
      <c r="E5423" s="156" t="s">
        <v>28</v>
      </c>
      <c r="F5423" s="156" t="s">
        <v>28</v>
      </c>
      <c r="G5423" s="238">
        <f t="shared" ref="G5423:G5429" si="1438">MROUND(H5423*L5423*I5423/K5423,0.00000001)</f>
        <v>0</v>
      </c>
      <c r="H5423" s="158"/>
      <c r="I5423" s="159">
        <f>I5412</f>
        <v>2.8856369999999999E-2</v>
      </c>
      <c r="J5423" s="160"/>
      <c r="K5423" s="161">
        <f>K5412</f>
        <v>541</v>
      </c>
      <c r="L5423" s="250">
        <v>1</v>
      </c>
      <c r="M5423" s="163"/>
      <c r="N5423" s="164"/>
      <c r="O5423" s="165">
        <f t="shared" si="1434"/>
        <v>0</v>
      </c>
      <c r="P5423" s="166"/>
      <c r="Q5423" s="166">
        <f t="shared" si="1435"/>
        <v>0</v>
      </c>
      <c r="R5423" s="71"/>
    </row>
    <row r="5424" spans="1:18" s="61" customFormat="1" x14ac:dyDescent="0.25">
      <c r="A5424" s="358"/>
      <c r="B5424" s="361"/>
      <c r="C5424" s="366"/>
      <c r="D5424" s="254" t="s">
        <v>425</v>
      </c>
      <c r="E5424" s="156" t="s">
        <v>28</v>
      </c>
      <c r="F5424" s="156" t="s">
        <v>28</v>
      </c>
      <c r="G5424" s="277">
        <f t="shared" si="1438"/>
        <v>0</v>
      </c>
      <c r="H5424" s="158"/>
      <c r="I5424" s="159">
        <f t="shared" ref="I5424:I5429" si="1439">I5423</f>
        <v>2.8856369999999999E-2</v>
      </c>
      <c r="J5424" s="160"/>
      <c r="K5424" s="161">
        <f t="shared" ref="K5424:K5429" si="1440">K5423</f>
        <v>541</v>
      </c>
      <c r="L5424" s="250">
        <v>1</v>
      </c>
      <c r="M5424" s="163"/>
      <c r="N5424" s="164"/>
      <c r="O5424" s="165">
        <f t="shared" si="1434"/>
        <v>0</v>
      </c>
      <c r="P5424" s="166"/>
      <c r="Q5424" s="166">
        <f t="shared" si="1435"/>
        <v>0</v>
      </c>
      <c r="R5424" s="71"/>
    </row>
    <row r="5425" spans="1:41" s="61" customFormat="1" x14ac:dyDescent="0.25">
      <c r="A5425" s="358"/>
      <c r="B5425" s="361"/>
      <c r="C5425" s="366"/>
      <c r="D5425" s="254" t="s">
        <v>108</v>
      </c>
      <c r="E5425" s="156" t="s">
        <v>28</v>
      </c>
      <c r="F5425" s="156" t="s">
        <v>28</v>
      </c>
      <c r="G5425" s="238">
        <f t="shared" si="1438"/>
        <v>0</v>
      </c>
      <c r="H5425" s="158"/>
      <c r="I5425" s="159">
        <f t="shared" si="1439"/>
        <v>2.8856369999999999E-2</v>
      </c>
      <c r="J5425" s="160"/>
      <c r="K5425" s="161">
        <f t="shared" si="1440"/>
        <v>541</v>
      </c>
      <c r="L5425" s="250">
        <v>1</v>
      </c>
      <c r="M5425" s="163"/>
      <c r="N5425" s="164"/>
      <c r="O5425" s="165">
        <f t="shared" si="1434"/>
        <v>0</v>
      </c>
      <c r="P5425" s="166"/>
      <c r="Q5425" s="166">
        <f t="shared" si="1435"/>
        <v>0</v>
      </c>
      <c r="R5425" s="71"/>
    </row>
    <row r="5426" spans="1:41" s="61" customFormat="1" x14ac:dyDescent="0.25">
      <c r="A5426" s="358"/>
      <c r="B5426" s="361"/>
      <c r="C5426" s="366"/>
      <c r="D5426" s="254" t="s">
        <v>426</v>
      </c>
      <c r="E5426" s="156" t="s">
        <v>28</v>
      </c>
      <c r="F5426" s="156" t="s">
        <v>28</v>
      </c>
      <c r="G5426" s="238">
        <f t="shared" si="1438"/>
        <v>0</v>
      </c>
      <c r="H5426" s="158"/>
      <c r="I5426" s="159">
        <f t="shared" si="1439"/>
        <v>2.8856369999999999E-2</v>
      </c>
      <c r="J5426" s="160"/>
      <c r="K5426" s="161">
        <f t="shared" si="1440"/>
        <v>541</v>
      </c>
      <c r="L5426" s="250">
        <v>1</v>
      </c>
      <c r="M5426" s="163"/>
      <c r="N5426" s="164"/>
      <c r="O5426" s="165">
        <f t="shared" si="1434"/>
        <v>0</v>
      </c>
      <c r="P5426" s="166"/>
      <c r="Q5426" s="166">
        <f t="shared" si="1435"/>
        <v>0</v>
      </c>
      <c r="R5426" s="71"/>
    </row>
    <row r="5427" spans="1:41" s="61" customFormat="1" x14ac:dyDescent="0.25">
      <c r="A5427" s="358"/>
      <c r="B5427" s="361"/>
      <c r="C5427" s="366"/>
      <c r="D5427" s="254" t="s">
        <v>427</v>
      </c>
      <c r="E5427" s="156" t="s">
        <v>28</v>
      </c>
      <c r="F5427" s="156" t="s">
        <v>28</v>
      </c>
      <c r="G5427" s="238">
        <f t="shared" si="1438"/>
        <v>0</v>
      </c>
      <c r="H5427" s="158"/>
      <c r="I5427" s="159">
        <f t="shared" si="1439"/>
        <v>2.8856369999999999E-2</v>
      </c>
      <c r="J5427" s="160"/>
      <c r="K5427" s="161">
        <f t="shared" si="1440"/>
        <v>541</v>
      </c>
      <c r="L5427" s="250">
        <v>1</v>
      </c>
      <c r="M5427" s="163"/>
      <c r="N5427" s="164"/>
      <c r="O5427" s="165">
        <f t="shared" si="1434"/>
        <v>0</v>
      </c>
      <c r="P5427" s="166"/>
      <c r="Q5427" s="166">
        <f t="shared" si="1435"/>
        <v>0</v>
      </c>
      <c r="R5427" s="71"/>
    </row>
    <row r="5428" spans="1:41" s="61" customFormat="1" x14ac:dyDescent="0.25">
      <c r="A5428" s="358"/>
      <c r="B5428" s="361"/>
      <c r="C5428" s="366"/>
      <c r="D5428" s="254" t="s">
        <v>428</v>
      </c>
      <c r="E5428" s="156" t="s">
        <v>28</v>
      </c>
      <c r="F5428" s="156" t="s">
        <v>28</v>
      </c>
      <c r="G5428" s="238">
        <f t="shared" si="1438"/>
        <v>0</v>
      </c>
      <c r="H5428" s="158"/>
      <c r="I5428" s="159">
        <f t="shared" si="1439"/>
        <v>2.8856369999999999E-2</v>
      </c>
      <c r="J5428" s="160"/>
      <c r="K5428" s="161">
        <f t="shared" si="1440"/>
        <v>541</v>
      </c>
      <c r="L5428" s="250">
        <v>1</v>
      </c>
      <c r="M5428" s="163"/>
      <c r="N5428" s="164"/>
      <c r="O5428" s="165">
        <f t="shared" si="1434"/>
        <v>0</v>
      </c>
      <c r="P5428" s="166"/>
      <c r="Q5428" s="166">
        <f t="shared" si="1435"/>
        <v>0</v>
      </c>
      <c r="R5428" s="71"/>
    </row>
    <row r="5429" spans="1:41" s="61" customFormat="1" x14ac:dyDescent="0.25">
      <c r="A5429" s="358"/>
      <c r="B5429" s="361"/>
      <c r="C5429" s="366"/>
      <c r="D5429" s="255" t="s">
        <v>429</v>
      </c>
      <c r="E5429" s="156" t="s">
        <v>28</v>
      </c>
      <c r="F5429" s="156" t="s">
        <v>28</v>
      </c>
      <c r="G5429" s="238">
        <f t="shared" si="1438"/>
        <v>0</v>
      </c>
      <c r="H5429" s="158"/>
      <c r="I5429" s="159">
        <f t="shared" si="1439"/>
        <v>2.8856369999999999E-2</v>
      </c>
      <c r="J5429" s="160"/>
      <c r="K5429" s="161">
        <f t="shared" si="1440"/>
        <v>541</v>
      </c>
      <c r="L5429" s="250">
        <v>1</v>
      </c>
      <c r="M5429" s="163"/>
      <c r="N5429" s="164"/>
      <c r="O5429" s="165">
        <f t="shared" si="1434"/>
        <v>0</v>
      </c>
      <c r="P5429" s="166"/>
      <c r="Q5429" s="166">
        <f t="shared" si="1435"/>
        <v>0</v>
      </c>
      <c r="R5429" s="71"/>
    </row>
    <row r="5430" spans="1:41" s="62" customFormat="1" x14ac:dyDescent="0.25">
      <c r="A5430" s="358"/>
      <c r="B5430" s="361"/>
      <c r="C5430" s="249" t="s">
        <v>299</v>
      </c>
      <c r="D5430" s="256"/>
      <c r="E5430" s="240"/>
      <c r="F5430" s="240"/>
      <c r="G5430" s="227"/>
      <c r="H5430" s="241"/>
      <c r="I5430" s="206"/>
      <c r="J5430" s="228"/>
      <c r="K5430" s="207"/>
      <c r="L5430" s="257"/>
      <c r="M5430" s="209"/>
      <c r="N5430" s="210"/>
      <c r="O5430" s="198">
        <f>SUM(O5406:O5429)</f>
        <v>0</v>
      </c>
      <c r="P5430" s="267"/>
      <c r="Q5430" s="166">
        <f t="shared" si="1435"/>
        <v>0</v>
      </c>
      <c r="R5430" s="71"/>
    </row>
    <row r="5431" spans="1:41" s="61" customFormat="1" ht="110.25" x14ac:dyDescent="0.25">
      <c r="A5431" s="358"/>
      <c r="B5431" s="361"/>
      <c r="C5431" s="221" t="s">
        <v>82</v>
      </c>
      <c r="D5431" s="156" t="s">
        <v>46</v>
      </c>
      <c r="E5431" s="156" t="s">
        <v>54</v>
      </c>
      <c r="F5431" s="156" t="s">
        <v>285</v>
      </c>
      <c r="G5431" s="238">
        <f>MROUND(H5431*L5431*I5431/K5431,0.000001)</f>
        <v>0.60326299999999999</v>
      </c>
      <c r="H5431" s="242">
        <f>H4951</f>
        <v>1028.181818181818</v>
      </c>
      <c r="I5431" s="159">
        <f>I5429</f>
        <v>2.8856369999999999E-2</v>
      </c>
      <c r="J5431" s="160"/>
      <c r="K5431" s="161">
        <f>K5429</f>
        <v>541</v>
      </c>
      <c r="L5431" s="225">
        <f>L5191</f>
        <v>11</v>
      </c>
      <c r="M5431" s="163" t="str">
        <f>CONCATENATE(H5431," ",F5431,"*",L5431,"автобуса","*",I5431,"/",K5431,"чел.")</f>
        <v>1028,18181818182 л бензина АИ 92 (12,5л/день(зимой)*20дней*7мес+10л/день(летом)*20дней*4мес)*11автобуса*0,02885637/541чел.</v>
      </c>
      <c r="N5431" s="164">
        <f>N3511</f>
        <v>57.007000000000005</v>
      </c>
      <c r="O5431" s="165">
        <f>MROUND(G5431*N5431,0.000001)</f>
        <v>34.390214</v>
      </c>
      <c r="P5431" s="166"/>
      <c r="Q5431" s="166">
        <f t="shared" si="1435"/>
        <v>18605.105774</v>
      </c>
      <c r="R5431" s="71"/>
    </row>
    <row r="5432" spans="1:41" s="62" customFormat="1" x14ac:dyDescent="0.25">
      <c r="A5432" s="358"/>
      <c r="B5432" s="361"/>
      <c r="C5432" s="218" t="s">
        <v>300</v>
      </c>
      <c r="D5432" s="240"/>
      <c r="E5432" s="240"/>
      <c r="F5432" s="240"/>
      <c r="G5432" s="227"/>
      <c r="H5432" s="241"/>
      <c r="I5432" s="206"/>
      <c r="J5432" s="228"/>
      <c r="K5432" s="207"/>
      <c r="L5432" s="257"/>
      <c r="M5432" s="209"/>
      <c r="N5432" s="210"/>
      <c r="O5432" s="198">
        <f>SUM(O5431)</f>
        <v>34.390214</v>
      </c>
      <c r="P5432" s="267"/>
      <c r="Q5432" s="166">
        <f t="shared" si="1435"/>
        <v>0</v>
      </c>
      <c r="R5432" s="71"/>
    </row>
    <row r="5433" spans="1:41" s="61" customFormat="1" ht="47.25" x14ac:dyDescent="0.25">
      <c r="A5433" s="358"/>
      <c r="B5433" s="361"/>
      <c r="C5433" s="221" t="s">
        <v>434</v>
      </c>
      <c r="D5433" s="156" t="s">
        <v>436</v>
      </c>
      <c r="E5433" s="156" t="s">
        <v>28</v>
      </c>
      <c r="F5433" s="156" t="s">
        <v>437</v>
      </c>
      <c r="G5433" s="157">
        <f>MROUND(H5433*L5433*I5433/K5433,0.000001)</f>
        <v>1.5467999999999999E-2</v>
      </c>
      <c r="H5433" s="242">
        <f>$H$125</f>
        <v>290</v>
      </c>
      <c r="I5433" s="159">
        <f>I5431</f>
        <v>2.8856369999999999E-2</v>
      </c>
      <c r="J5433" s="160"/>
      <c r="K5433" s="161">
        <f>K5431</f>
        <v>541</v>
      </c>
      <c r="L5433" s="162">
        <v>1</v>
      </c>
      <c r="M5433" s="163" t="str">
        <f>CONCATENATE(H5433," ",F5433,"*",L5433,"автобуса","*",I5433,"/",K5433,"чел.")</f>
        <v>290 огнетушителей (потребность учреждений) *1автобуса*0,02885637/541чел.</v>
      </c>
      <c r="N5433" s="164">
        <f>$N$125</f>
        <v>2000</v>
      </c>
      <c r="O5433" s="165">
        <f>MROUND(G5433*N5433,0.000001)</f>
        <v>30.936</v>
      </c>
      <c r="P5433" s="166"/>
      <c r="Q5433" s="166">
        <f t="shared" si="1435"/>
        <v>16736.376</v>
      </c>
      <c r="R5433" s="71"/>
    </row>
    <row r="5434" spans="1:41" s="61" customFormat="1" x14ac:dyDescent="0.25">
      <c r="A5434" s="358"/>
      <c r="B5434" s="361"/>
      <c r="C5434" s="218" t="s">
        <v>435</v>
      </c>
      <c r="D5434" s="240"/>
      <c r="E5434" s="240"/>
      <c r="F5434" s="240"/>
      <c r="G5434" s="251"/>
      <c r="H5434" s="241"/>
      <c r="I5434" s="206"/>
      <c r="J5434" s="228"/>
      <c r="K5434" s="207"/>
      <c r="L5434" s="229"/>
      <c r="M5434" s="209"/>
      <c r="N5434" s="210"/>
      <c r="O5434" s="198">
        <f>SUM(O5433)</f>
        <v>30.936</v>
      </c>
      <c r="P5434" s="166"/>
      <c r="Q5434" s="166">
        <f t="shared" si="1435"/>
        <v>0</v>
      </c>
      <c r="R5434" s="71"/>
    </row>
    <row r="5435" spans="1:41" s="61" customFormat="1" ht="47.25" x14ac:dyDescent="0.25">
      <c r="A5435" s="358"/>
      <c r="B5435" s="361"/>
      <c r="C5435" s="364" t="s">
        <v>118</v>
      </c>
      <c r="D5435" s="156" t="s">
        <v>47</v>
      </c>
      <c r="E5435" s="156" t="s">
        <v>28</v>
      </c>
      <c r="F5435" s="156" t="s">
        <v>239</v>
      </c>
      <c r="G5435" s="238">
        <f>MROUND(H5435*L5435*I5435/K5435,0.00000001)</f>
        <v>7.6808100000000006E-3</v>
      </c>
      <c r="H5435" s="158">
        <f>H4355</f>
        <v>144</v>
      </c>
      <c r="I5435" s="159">
        <f>I5431</f>
        <v>2.8856369999999999E-2</v>
      </c>
      <c r="J5435" s="160"/>
      <c r="K5435" s="161">
        <f>K5431</f>
        <v>541</v>
      </c>
      <c r="L5435" s="250">
        <v>1</v>
      </c>
      <c r="M5435" s="163" t="str">
        <f>CONCATENATE(H5435," ",F5435,"*",I5435,"/",K5435,"чел.")</f>
        <v>144 манометров (потребность учреждений) *0,02885637/541чел.</v>
      </c>
      <c r="N5435" s="164">
        <f>N3515</f>
        <v>720.50416666666672</v>
      </c>
      <c r="O5435" s="165">
        <f>MROUND(G5435*N5435,0.000001)</f>
        <v>5.5340559999999996</v>
      </c>
      <c r="P5435" s="166"/>
      <c r="Q5435" s="166">
        <f t="shared" si="1435"/>
        <v>2993.9242959999997</v>
      </c>
      <c r="R5435" s="71"/>
    </row>
    <row r="5436" spans="1:41" s="61" customFormat="1" ht="47.25" x14ac:dyDescent="0.25">
      <c r="A5436" s="358"/>
      <c r="B5436" s="361"/>
      <c r="C5436" s="364"/>
      <c r="D5436" s="255" t="s">
        <v>113</v>
      </c>
      <c r="E5436" s="156" t="s">
        <v>28</v>
      </c>
      <c r="F5436" s="156" t="s">
        <v>240</v>
      </c>
      <c r="G5436" s="238">
        <f>MROUND(H5436*L5436*I5436/K5436,0.00000001)</f>
        <v>0.30483208000000001</v>
      </c>
      <c r="H5436" s="158">
        <f>H3996</f>
        <v>5715</v>
      </c>
      <c r="I5436" s="159">
        <f>I5435</f>
        <v>2.8856369999999999E-2</v>
      </c>
      <c r="J5436" s="160"/>
      <c r="K5436" s="161">
        <f>K5435</f>
        <v>541</v>
      </c>
      <c r="L5436" s="250">
        <v>1</v>
      </c>
      <c r="M5436" s="163" t="str">
        <f>CONCATENATE(H5436," ",F5436,"*",I5436,"/",K5436,"чел.")</f>
        <v>5715 светильников (потребность учреждений)*0,02885637/541чел.</v>
      </c>
      <c r="N5436" s="164">
        <f>N3516</f>
        <v>111.16365879265086</v>
      </c>
      <c r="O5436" s="165">
        <f>MROUND(G5436*N5436,0.000001)</f>
        <v>33.886248999999999</v>
      </c>
      <c r="P5436" s="166"/>
      <c r="Q5436" s="166">
        <f t="shared" si="1435"/>
        <v>18332.460708999999</v>
      </c>
      <c r="R5436" s="71"/>
    </row>
    <row r="5437" spans="1:41" s="62" customFormat="1" x14ac:dyDescent="0.25">
      <c r="A5437" s="359"/>
      <c r="B5437" s="362"/>
      <c r="C5437" s="218" t="s">
        <v>301</v>
      </c>
      <c r="D5437" s="256"/>
      <c r="E5437" s="240"/>
      <c r="F5437" s="240"/>
      <c r="G5437" s="227"/>
      <c r="H5437" s="241"/>
      <c r="I5437" s="206"/>
      <c r="J5437" s="228"/>
      <c r="K5437" s="207"/>
      <c r="L5437" s="257"/>
      <c r="M5437" s="209"/>
      <c r="N5437" s="210"/>
      <c r="O5437" s="198">
        <f>SUM(O5435:O5436)</f>
        <v>39.420304999999999</v>
      </c>
      <c r="P5437" s="267"/>
      <c r="Q5437" s="166">
        <f>O5437*K5437</f>
        <v>0</v>
      </c>
      <c r="R5437" s="71">
        <f>SUBTOTAL(9,Q3398:Q5436)</f>
        <v>579511549.89634311</v>
      </c>
      <c r="S5437" s="72"/>
      <c r="T5437" s="72"/>
    </row>
    <row r="5438" spans="1:41" s="108" customFormat="1" x14ac:dyDescent="0.25">
      <c r="A5438" s="357" t="str">
        <f>школы!$B$32</f>
        <v>Реализация дополнительных общеразвивающих программ (техническая направленность)</v>
      </c>
      <c r="B5438" s="360" t="str">
        <f>школы!$A$32</f>
        <v>801012О.99.0.ББ57АЕ04000</v>
      </c>
      <c r="C5438" s="194"/>
      <c r="D5438" s="363" t="s">
        <v>15</v>
      </c>
      <c r="E5438" s="363"/>
      <c r="F5438" s="363"/>
      <c r="G5438" s="363"/>
      <c r="H5438" s="195"/>
      <c r="I5438" s="195"/>
      <c r="J5438" s="195"/>
      <c r="K5438" s="195"/>
      <c r="L5438" s="196"/>
      <c r="M5438" s="197"/>
      <c r="N5438" s="278"/>
      <c r="O5438" s="279">
        <f>O5439+O5444</f>
        <v>133.55293834139999</v>
      </c>
      <c r="P5438" s="166"/>
      <c r="Q5438" s="166">
        <f>O5438*K5438</f>
        <v>0</v>
      </c>
      <c r="R5438" s="71"/>
      <c r="S5438" s="61"/>
      <c r="T5438" s="61"/>
      <c r="U5438" s="61"/>
      <c r="V5438" s="61"/>
      <c r="W5438" s="61"/>
      <c r="X5438" s="61"/>
      <c r="Y5438" s="61"/>
      <c r="Z5438" s="61"/>
      <c r="AA5438" s="61"/>
      <c r="AB5438" s="61"/>
      <c r="AC5438" s="61"/>
      <c r="AD5438" s="61"/>
      <c r="AE5438" s="61"/>
      <c r="AF5438" s="61"/>
      <c r="AG5438" s="61"/>
      <c r="AH5438" s="61"/>
      <c r="AI5438" s="61"/>
      <c r="AJ5438" s="61"/>
      <c r="AK5438" s="61"/>
      <c r="AL5438" s="61"/>
      <c r="AM5438" s="61"/>
      <c r="AN5438" s="61"/>
      <c r="AO5438" s="61"/>
    </row>
    <row r="5439" spans="1:41" s="108" customFormat="1" x14ac:dyDescent="0.25">
      <c r="A5439" s="358"/>
      <c r="B5439" s="361"/>
      <c r="C5439" s="194"/>
      <c r="D5439" s="350" t="s">
        <v>62</v>
      </c>
      <c r="E5439" s="350"/>
      <c r="F5439" s="350"/>
      <c r="G5439" s="350"/>
      <c r="H5439" s="195"/>
      <c r="I5439" s="195"/>
      <c r="J5439" s="195"/>
      <c r="K5439" s="195"/>
      <c r="L5439" s="196"/>
      <c r="M5439" s="197"/>
      <c r="N5439" s="278"/>
      <c r="O5439" s="279">
        <f>O5440+O5442</f>
        <v>132.72187734139999</v>
      </c>
      <c r="P5439" s="166"/>
      <c r="Q5439" s="166">
        <f>O5439*K5439</f>
        <v>0</v>
      </c>
      <c r="R5439" s="71"/>
      <c r="S5439" s="61"/>
      <c r="T5439" s="61"/>
      <c r="U5439" s="61"/>
      <c r="V5439" s="61"/>
      <c r="W5439" s="61"/>
      <c r="X5439" s="61"/>
      <c r="Y5439" s="61"/>
      <c r="Z5439" s="61"/>
      <c r="AA5439" s="61"/>
      <c r="AB5439" s="61"/>
      <c r="AC5439" s="61"/>
      <c r="AD5439" s="61"/>
      <c r="AE5439" s="61"/>
      <c r="AF5439" s="61"/>
      <c r="AG5439" s="61"/>
      <c r="AH5439" s="61"/>
      <c r="AI5439" s="61"/>
      <c r="AJ5439" s="61"/>
      <c r="AK5439" s="61"/>
      <c r="AL5439" s="61"/>
      <c r="AM5439" s="61"/>
      <c r="AN5439" s="61"/>
      <c r="AO5439" s="61"/>
    </row>
    <row r="5440" spans="1:41" s="61" customFormat="1" ht="31.5" x14ac:dyDescent="0.25">
      <c r="A5440" s="358"/>
      <c r="B5440" s="361"/>
      <c r="C5440" s="194">
        <v>211</v>
      </c>
      <c r="D5440" s="194" t="s">
        <v>86</v>
      </c>
      <c r="E5440" s="199" t="s">
        <v>95</v>
      </c>
      <c r="F5440" s="199" t="s">
        <v>95</v>
      </c>
      <c r="G5440" s="275">
        <f>MROUND(H5440*L5440*I5440/K5440,0.0000000000000001)</f>
        <v>4.3007463258785995E-3</v>
      </c>
      <c r="H5440" s="201">
        <f>Лист1!G144</f>
        <v>368.4</v>
      </c>
      <c r="I5440" s="159">
        <f>школы!$K$32</f>
        <v>0.16442999999999999</v>
      </c>
      <c r="J5440" s="159"/>
      <c r="K5440" s="161">
        <f>школы!$G$32</f>
        <v>169020</v>
      </c>
      <c r="L5440" s="202">
        <v>12</v>
      </c>
      <c r="M5440" s="163" t="str">
        <f>CONCATENATE(H5440," ",F5440," ","в мес.","*",L5440,"мес.","*",I5440,"/",K5440,"чел/час")</f>
        <v>368,4 шт.ед в мес.*12мес.*0,16443/169020чел/час</v>
      </c>
      <c r="N5440" s="278">
        <f>Лист1!I144</f>
        <v>23702.349798678973</v>
      </c>
      <c r="O5440" s="280">
        <f>MROUND(N5440*G5440,0.0000000001)-0.0001</f>
        <v>101.9376938114</v>
      </c>
      <c r="P5440" s="166"/>
      <c r="Q5440" s="166">
        <f t="shared" ref="Q5440" si="1441">O5440*K5440</f>
        <v>17229509.008002829</v>
      </c>
      <c r="R5440" s="71"/>
      <c r="T5440" s="71"/>
      <c r="U5440" s="71"/>
      <c r="V5440" s="120"/>
    </row>
    <row r="5441" spans="1:41" s="109" customFormat="1" x14ac:dyDescent="0.25">
      <c r="A5441" s="358"/>
      <c r="B5441" s="361"/>
      <c r="C5441" s="203" t="s">
        <v>288</v>
      </c>
      <c r="D5441" s="203"/>
      <c r="E5441" s="204"/>
      <c r="F5441" s="204"/>
      <c r="G5441" s="205"/>
      <c r="H5441" s="206"/>
      <c r="I5441" s="206"/>
      <c r="J5441" s="206"/>
      <c r="K5441" s="207"/>
      <c r="L5441" s="208"/>
      <c r="M5441" s="209"/>
      <c r="N5441" s="281"/>
      <c r="O5441" s="279">
        <f>O5440</f>
        <v>101.9376938114</v>
      </c>
      <c r="P5441" s="267"/>
      <c r="Q5441" s="166"/>
      <c r="R5441" s="71"/>
      <c r="S5441" s="62"/>
      <c r="T5441" s="62"/>
      <c r="U5441" s="62"/>
      <c r="V5441" s="62"/>
      <c r="W5441" s="62"/>
      <c r="X5441" s="62"/>
      <c r="Y5441" s="62"/>
      <c r="Z5441" s="62"/>
      <c r="AA5441" s="62"/>
      <c r="AB5441" s="62"/>
      <c r="AC5441" s="62"/>
      <c r="AD5441" s="62"/>
      <c r="AE5441" s="62"/>
      <c r="AF5441" s="62"/>
      <c r="AG5441" s="62"/>
      <c r="AH5441" s="62"/>
      <c r="AI5441" s="62"/>
      <c r="AJ5441" s="62"/>
      <c r="AK5441" s="62"/>
      <c r="AL5441" s="62"/>
      <c r="AM5441" s="62"/>
      <c r="AN5441" s="62"/>
      <c r="AO5441" s="62"/>
    </row>
    <row r="5442" spans="1:41" s="61" customFormat="1" x14ac:dyDescent="0.25">
      <c r="A5442" s="358"/>
      <c r="B5442" s="361"/>
      <c r="C5442" s="194">
        <v>213</v>
      </c>
      <c r="D5442" s="194" t="s">
        <v>87</v>
      </c>
      <c r="E5442" s="194" t="s">
        <v>88</v>
      </c>
      <c r="F5442" s="194"/>
      <c r="G5442" s="211">
        <v>30.2</v>
      </c>
      <c r="H5442" s="159"/>
      <c r="I5442" s="282">
        <f>I5440</f>
        <v>0.16442999999999999</v>
      </c>
      <c r="J5442" s="159"/>
      <c r="K5442" s="161">
        <f>K5440</f>
        <v>169020</v>
      </c>
      <c r="L5442" s="202"/>
      <c r="M5442" s="212"/>
      <c r="N5442" s="278"/>
      <c r="O5442" s="280">
        <f>MROUND(O5440*0.302,0.00000001)-0.001</f>
        <v>30.78418353</v>
      </c>
      <c r="P5442" s="166"/>
      <c r="Q5442" s="166">
        <f t="shared" ref="Q5442" si="1442">O5442*K5442</f>
        <v>5203142.7002405999</v>
      </c>
      <c r="R5442" s="71"/>
    </row>
    <row r="5443" spans="1:41" s="109" customFormat="1" x14ac:dyDescent="0.25">
      <c r="A5443" s="358"/>
      <c r="B5443" s="361"/>
      <c r="C5443" s="203" t="s">
        <v>289</v>
      </c>
      <c r="D5443" s="203"/>
      <c r="E5443" s="203"/>
      <c r="F5443" s="203"/>
      <c r="G5443" s="213"/>
      <c r="H5443" s="214"/>
      <c r="I5443" s="206"/>
      <c r="J5443" s="214"/>
      <c r="K5443" s="207"/>
      <c r="L5443" s="215"/>
      <c r="M5443" s="216"/>
      <c r="N5443" s="281"/>
      <c r="O5443" s="279">
        <f>O5442</f>
        <v>30.78418353</v>
      </c>
      <c r="P5443" s="267"/>
      <c r="Q5443" s="166"/>
      <c r="R5443" s="71"/>
      <c r="S5443" s="62"/>
      <c r="T5443" s="62"/>
      <c r="U5443" s="62"/>
      <c r="V5443" s="62"/>
      <c r="W5443" s="62"/>
      <c r="X5443" s="62"/>
      <c r="Y5443" s="62"/>
      <c r="Z5443" s="62"/>
      <c r="AA5443" s="62"/>
      <c r="AB5443" s="62"/>
      <c r="AC5443" s="62"/>
      <c r="AD5443" s="62"/>
      <c r="AE5443" s="62"/>
      <c r="AF5443" s="62"/>
      <c r="AG5443" s="62"/>
      <c r="AH5443" s="62"/>
      <c r="AI5443" s="62"/>
      <c r="AJ5443" s="62"/>
      <c r="AK5443" s="62"/>
      <c r="AL5443" s="62"/>
      <c r="AM5443" s="62"/>
      <c r="AN5443" s="62"/>
      <c r="AO5443" s="62"/>
    </row>
    <row r="5444" spans="1:41" s="108" customFormat="1" x14ac:dyDescent="0.25">
      <c r="A5444" s="358"/>
      <c r="B5444" s="361"/>
      <c r="C5444" s="194"/>
      <c r="D5444" s="356" t="s">
        <v>63</v>
      </c>
      <c r="E5444" s="356"/>
      <c r="F5444" s="356"/>
      <c r="G5444" s="356"/>
      <c r="H5444" s="195"/>
      <c r="I5444" s="159"/>
      <c r="J5444" s="195"/>
      <c r="K5444" s="161"/>
      <c r="L5444" s="196"/>
      <c r="M5444" s="197"/>
      <c r="N5444" s="278"/>
      <c r="O5444" s="280">
        <f>O5445</f>
        <v>0.83106099999999994</v>
      </c>
      <c r="P5444" s="166"/>
      <c r="Q5444" s="166">
        <f t="shared" ref="Q5444:Q5445" si="1443">O5444*K5444</f>
        <v>0</v>
      </c>
      <c r="R5444" s="71"/>
      <c r="S5444" s="61"/>
      <c r="T5444" s="61"/>
      <c r="U5444" s="61"/>
      <c r="V5444" s="61"/>
      <c r="W5444" s="61"/>
      <c r="X5444" s="61"/>
      <c r="Y5444" s="61"/>
      <c r="Z5444" s="61"/>
      <c r="AA5444" s="61"/>
      <c r="AB5444" s="61"/>
      <c r="AC5444" s="61"/>
      <c r="AD5444" s="61"/>
      <c r="AE5444" s="61"/>
      <c r="AF5444" s="61"/>
      <c r="AG5444" s="61"/>
      <c r="AH5444" s="61"/>
      <c r="AI5444" s="61"/>
      <c r="AJ5444" s="61"/>
      <c r="AK5444" s="61"/>
      <c r="AL5444" s="61"/>
      <c r="AM5444" s="61"/>
      <c r="AN5444" s="61"/>
      <c r="AO5444" s="61"/>
    </row>
    <row r="5445" spans="1:41" s="61" customFormat="1" x14ac:dyDescent="0.25">
      <c r="A5445" s="358"/>
      <c r="B5445" s="361"/>
      <c r="C5445" s="194" t="s">
        <v>118</v>
      </c>
      <c r="D5445" s="194" t="s">
        <v>259</v>
      </c>
      <c r="E5445" s="194" t="s">
        <v>260</v>
      </c>
      <c r="F5445" s="194" t="s">
        <v>261</v>
      </c>
      <c r="G5445" s="238">
        <f>MROUND(H5445*L5445*I5445/K5445,0.0000000000001)</f>
        <v>1.179086262E-3</v>
      </c>
      <c r="H5445" s="283">
        <f>Лист1!G265</f>
        <v>1212</v>
      </c>
      <c r="I5445" s="282">
        <f>I5442</f>
        <v>0.16442999999999999</v>
      </c>
      <c r="J5445" s="195"/>
      <c r="K5445" s="161">
        <f>K5442</f>
        <v>169020</v>
      </c>
      <c r="L5445" s="196">
        <v>1</v>
      </c>
      <c r="M5445" s="163" t="str">
        <f>CONCATENATE(H5445," ",F5445,"*",I5445,"/",K5445,"чел/час")</f>
        <v>1212 упаковок*0,16443/169020чел/час</v>
      </c>
      <c r="N5445" s="278">
        <f>Лист1!I265</f>
        <v>704.83454620462044</v>
      </c>
      <c r="O5445" s="280">
        <f>MROUND(N5445*G5445,0.000001)</f>
        <v>0.83106099999999994</v>
      </c>
      <c r="P5445" s="166"/>
      <c r="Q5445" s="166">
        <f t="shared" si="1443"/>
        <v>140465.93021999998</v>
      </c>
      <c r="R5445" s="71"/>
    </row>
    <row r="5446" spans="1:41" s="109" customFormat="1" x14ac:dyDescent="0.25">
      <c r="A5446" s="358"/>
      <c r="B5446" s="361"/>
      <c r="C5446" s="203" t="s">
        <v>301</v>
      </c>
      <c r="D5446" s="203"/>
      <c r="E5446" s="203"/>
      <c r="F5446" s="203"/>
      <c r="G5446" s="227"/>
      <c r="H5446" s="214"/>
      <c r="I5446" s="206"/>
      <c r="J5446" s="214"/>
      <c r="K5446" s="207"/>
      <c r="L5446" s="215"/>
      <c r="M5446" s="209"/>
      <c r="N5446" s="281"/>
      <c r="O5446" s="279">
        <f>O5445</f>
        <v>0.83106099999999994</v>
      </c>
      <c r="P5446" s="267"/>
      <c r="Q5446" s="166"/>
      <c r="R5446" s="71"/>
      <c r="S5446" s="62"/>
      <c r="T5446" s="62"/>
      <c r="U5446" s="62"/>
      <c r="V5446" s="62"/>
      <c r="W5446" s="62"/>
      <c r="X5446" s="62"/>
      <c r="Y5446" s="62"/>
      <c r="Z5446" s="62"/>
      <c r="AA5446" s="62"/>
      <c r="AB5446" s="62"/>
      <c r="AC5446" s="62"/>
      <c r="AD5446" s="62"/>
      <c r="AE5446" s="62"/>
      <c r="AF5446" s="62"/>
      <c r="AG5446" s="62"/>
      <c r="AH5446" s="62"/>
      <c r="AI5446" s="62"/>
      <c r="AJ5446" s="62"/>
      <c r="AK5446" s="62"/>
      <c r="AL5446" s="62"/>
      <c r="AM5446" s="62"/>
      <c r="AN5446" s="62"/>
      <c r="AO5446" s="62"/>
    </row>
    <row r="5447" spans="1:41" s="108" customFormat="1" x14ac:dyDescent="0.25">
      <c r="A5447" s="358"/>
      <c r="B5447" s="361"/>
      <c r="C5447" s="194"/>
      <c r="D5447" s="350" t="s">
        <v>64</v>
      </c>
      <c r="E5447" s="350"/>
      <c r="F5447" s="350"/>
      <c r="G5447" s="350"/>
      <c r="H5447" s="195"/>
      <c r="I5447" s="159"/>
      <c r="J5447" s="195"/>
      <c r="K5447" s="161"/>
      <c r="L5447" s="196"/>
      <c r="M5447" s="197"/>
      <c r="N5447" s="278"/>
      <c r="O5447" s="280"/>
      <c r="P5447" s="166"/>
      <c r="Q5447" s="166">
        <f t="shared" ref="Q5447:Q5457" si="1444">O5447*K5447</f>
        <v>0</v>
      </c>
      <c r="R5447" s="71"/>
      <c r="S5447" s="61"/>
      <c r="T5447" s="61"/>
      <c r="U5447" s="61"/>
      <c r="V5447" s="61"/>
      <c r="W5447" s="61"/>
      <c r="X5447" s="61"/>
      <c r="Y5447" s="61"/>
      <c r="Z5447" s="61"/>
      <c r="AA5447" s="61"/>
      <c r="AB5447" s="61"/>
      <c r="AC5447" s="61"/>
      <c r="AD5447" s="61"/>
      <c r="AE5447" s="61"/>
      <c r="AF5447" s="61"/>
      <c r="AG5447" s="61"/>
      <c r="AH5447" s="61"/>
      <c r="AI5447" s="61"/>
      <c r="AJ5447" s="61"/>
      <c r="AK5447" s="61"/>
      <c r="AL5447" s="61"/>
      <c r="AM5447" s="61"/>
      <c r="AN5447" s="61"/>
      <c r="AO5447" s="61"/>
    </row>
    <row r="5448" spans="1:41" s="108" customFormat="1" x14ac:dyDescent="0.25">
      <c r="A5448" s="358"/>
      <c r="B5448" s="361"/>
      <c r="C5448" s="194"/>
      <c r="D5448" s="194"/>
      <c r="E5448" s="194"/>
      <c r="F5448" s="194"/>
      <c r="G5448" s="217"/>
      <c r="H5448" s="195"/>
      <c r="I5448" s="159"/>
      <c r="J5448" s="195"/>
      <c r="K5448" s="161"/>
      <c r="L5448" s="196"/>
      <c r="M5448" s="197"/>
      <c r="N5448" s="278"/>
      <c r="O5448" s="280"/>
      <c r="P5448" s="166"/>
      <c r="Q5448" s="166">
        <f t="shared" si="1444"/>
        <v>0</v>
      </c>
      <c r="R5448" s="71"/>
      <c r="S5448" s="61"/>
      <c r="T5448" s="61"/>
      <c r="U5448" s="61"/>
      <c r="V5448" s="61"/>
      <c r="W5448" s="61"/>
      <c r="X5448" s="61"/>
      <c r="Y5448" s="61"/>
      <c r="Z5448" s="61"/>
      <c r="AA5448" s="61"/>
      <c r="AB5448" s="61"/>
      <c r="AC5448" s="61"/>
      <c r="AD5448" s="61"/>
      <c r="AE5448" s="61"/>
      <c r="AF5448" s="61"/>
      <c r="AG5448" s="61"/>
      <c r="AH5448" s="61"/>
      <c r="AI5448" s="61"/>
      <c r="AJ5448" s="61"/>
      <c r="AK5448" s="61"/>
      <c r="AL5448" s="61"/>
      <c r="AM5448" s="61"/>
      <c r="AN5448" s="61"/>
      <c r="AO5448" s="61"/>
    </row>
    <row r="5449" spans="1:41" s="108" customFormat="1" x14ac:dyDescent="0.25">
      <c r="A5449" s="358"/>
      <c r="B5449" s="361"/>
      <c r="C5449" s="194"/>
      <c r="D5449" s="355" t="s">
        <v>5</v>
      </c>
      <c r="E5449" s="355"/>
      <c r="F5449" s="355"/>
      <c r="G5449" s="355"/>
      <c r="H5449" s="195"/>
      <c r="I5449" s="159"/>
      <c r="J5449" s="195"/>
      <c r="K5449" s="161"/>
      <c r="L5449" s="196"/>
      <c r="M5449" s="197"/>
      <c r="N5449" s="278"/>
      <c r="O5449" s="279">
        <f>O5450+O5459+O5470+O5472+O5483+O5479</f>
        <v>33.256157114000004</v>
      </c>
      <c r="P5449" s="166"/>
      <c r="Q5449" s="166">
        <f t="shared" si="1444"/>
        <v>0</v>
      </c>
      <c r="R5449" s="71"/>
      <c r="S5449" s="61"/>
      <c r="T5449" s="61"/>
      <c r="U5449" s="61"/>
      <c r="V5449" s="61"/>
      <c r="W5449" s="61"/>
      <c r="X5449" s="61"/>
      <c r="Y5449" s="61"/>
      <c r="Z5449" s="61"/>
      <c r="AA5449" s="61"/>
      <c r="AB5449" s="61"/>
      <c r="AC5449" s="61"/>
      <c r="AD5449" s="61"/>
      <c r="AE5449" s="61"/>
      <c r="AF5449" s="61"/>
      <c r="AG5449" s="61"/>
      <c r="AH5449" s="61"/>
      <c r="AI5449" s="61"/>
      <c r="AJ5449" s="61"/>
      <c r="AK5449" s="61"/>
      <c r="AL5449" s="61"/>
      <c r="AM5449" s="61"/>
      <c r="AN5449" s="61"/>
      <c r="AO5449" s="61"/>
    </row>
    <row r="5450" spans="1:41" s="108" customFormat="1" x14ac:dyDescent="0.25">
      <c r="A5450" s="358"/>
      <c r="B5450" s="361"/>
      <c r="C5450" s="221" t="s">
        <v>70</v>
      </c>
      <c r="D5450" s="355" t="s">
        <v>6</v>
      </c>
      <c r="E5450" s="355"/>
      <c r="F5450" s="355"/>
      <c r="G5450" s="355"/>
      <c r="H5450" s="189"/>
      <c r="I5450" s="159"/>
      <c r="J5450" s="189"/>
      <c r="K5450" s="161"/>
      <c r="L5450" s="190"/>
      <c r="M5450" s="197"/>
      <c r="N5450" s="278"/>
      <c r="O5450" s="279">
        <f>O5451+O5452+O5453+O5454+O5455+O5456+O5457</f>
        <v>6.2204990000000002</v>
      </c>
      <c r="P5450" s="166"/>
      <c r="Q5450" s="166">
        <f t="shared" si="1444"/>
        <v>0</v>
      </c>
      <c r="R5450" s="71"/>
      <c r="S5450" s="61"/>
      <c r="T5450" s="61"/>
      <c r="U5450" s="61"/>
      <c r="V5450" s="61"/>
      <c r="W5450" s="61"/>
      <c r="X5450" s="61"/>
      <c r="Y5450" s="61"/>
      <c r="Z5450" s="61"/>
      <c r="AA5450" s="61"/>
      <c r="AB5450" s="61"/>
      <c r="AC5450" s="61"/>
      <c r="AD5450" s="61"/>
      <c r="AE5450" s="61"/>
      <c r="AF5450" s="61"/>
      <c r="AG5450" s="61"/>
      <c r="AH5450" s="61"/>
      <c r="AI5450" s="61"/>
      <c r="AJ5450" s="61"/>
      <c r="AK5450" s="61"/>
      <c r="AL5450" s="61"/>
      <c r="AM5450" s="61"/>
      <c r="AN5450" s="61"/>
      <c r="AO5450" s="61"/>
    </row>
    <row r="5451" spans="1:41" s="61" customFormat="1" ht="31.5" x14ac:dyDescent="0.25">
      <c r="A5451" s="358"/>
      <c r="B5451" s="361"/>
      <c r="C5451" s="221" t="s">
        <v>72</v>
      </c>
      <c r="D5451" s="222" t="s">
        <v>7</v>
      </c>
      <c r="E5451" s="223" t="s">
        <v>8</v>
      </c>
      <c r="F5451" s="223" t="s">
        <v>8</v>
      </c>
      <c r="G5451" s="238">
        <f>MROUND(H5451*L5451*I5451/K5451,0.0000000000001)</f>
        <v>0.10998981384550001</v>
      </c>
      <c r="H5451" s="160">
        <f>Лист1!G152*1000</f>
        <v>113060.13705633247</v>
      </c>
      <c r="I5451" s="282">
        <f>I5445</f>
        <v>0.16442999999999999</v>
      </c>
      <c r="J5451" s="160"/>
      <c r="K5451" s="161">
        <f>K5445</f>
        <v>169020</v>
      </c>
      <c r="L5451" s="250">
        <v>1</v>
      </c>
      <c r="M5451" s="163" t="str">
        <f>CONCATENATE(H5451," ",F5451,"(лимиты выделенные УЖКХ) ","*",I5451,"/",K5451,"чел/час")</f>
        <v>113060,137056332 кВт час.(лимиты выделенные УЖКХ) *0,16443/169020чел/час</v>
      </c>
      <c r="N5451" s="278">
        <f>Лист1!I152</f>
        <v>10.942938264647223</v>
      </c>
      <c r="O5451" s="280">
        <f>MROUND(N5451*G5451,0.000001)</f>
        <v>1.2036119999999999</v>
      </c>
      <c r="P5451" s="166"/>
      <c r="Q5451" s="166">
        <f t="shared" si="1444"/>
        <v>203434.50023999999</v>
      </c>
      <c r="R5451" s="71"/>
      <c r="T5451" s="71"/>
    </row>
    <row r="5452" spans="1:41" s="61" customFormat="1" ht="31.5" x14ac:dyDescent="0.25">
      <c r="A5452" s="358"/>
      <c r="B5452" s="361"/>
      <c r="C5452" s="221" t="s">
        <v>73</v>
      </c>
      <c r="D5452" s="222" t="s">
        <v>9</v>
      </c>
      <c r="E5452" s="223" t="s">
        <v>10</v>
      </c>
      <c r="F5452" s="223" t="s">
        <v>10</v>
      </c>
      <c r="G5452" s="238">
        <f>MROUND(H5452*L5452*I5452/K5452,0.00000000001)</f>
        <v>1.3561437699999999E-3</v>
      </c>
      <c r="H5452" s="160">
        <f>Лист1!G153</f>
        <v>1394</v>
      </c>
      <c r="I5452" s="159">
        <f t="shared" ref="I5452:I5457" si="1445">I5451</f>
        <v>0.16442999999999999</v>
      </c>
      <c r="J5452" s="160"/>
      <c r="K5452" s="161">
        <f t="shared" ref="K5452:K5457" si="1446">K5451</f>
        <v>169020</v>
      </c>
      <c r="L5452" s="250">
        <v>1</v>
      </c>
      <c r="M5452" s="163" t="str">
        <f>CONCATENATE(H5452," ",F5452,"(лимиты выделенные УЖКХ) ","*",I5452,"/",K5452,"чел/час")</f>
        <v>1394 Гкал(лимиты выделенные УЖКХ) *0,16443/169020чел/час</v>
      </c>
      <c r="N5452" s="278">
        <f>Лист1!I153</f>
        <v>2976.2517790530851</v>
      </c>
      <c r="O5452" s="280">
        <f t="shared" ref="O5452:O5457" si="1447">MROUND(N5452*G5452,0.000001)</f>
        <v>4.036225</v>
      </c>
      <c r="P5452" s="166"/>
      <c r="Q5452" s="166">
        <f t="shared" si="1444"/>
        <v>682202.74950000003</v>
      </c>
      <c r="R5452" s="71"/>
      <c r="U5452" s="71"/>
    </row>
    <row r="5453" spans="1:41" s="61" customFormat="1" ht="31.5" x14ac:dyDescent="0.25">
      <c r="A5453" s="358"/>
      <c r="B5453" s="361"/>
      <c r="C5453" s="364" t="s">
        <v>74</v>
      </c>
      <c r="D5453" s="222" t="s">
        <v>12</v>
      </c>
      <c r="E5453" s="222" t="s">
        <v>11</v>
      </c>
      <c r="F5453" s="222" t="s">
        <v>11</v>
      </c>
      <c r="G5453" s="238">
        <f>MROUND(H5453*L5453*I5453/K5453,0.00000000000001)</f>
        <v>3.9313673961700003E-3</v>
      </c>
      <c r="H5453" s="224">
        <f>Лист1!G154</f>
        <v>4041.1099999999997</v>
      </c>
      <c r="I5453" s="159">
        <f t="shared" si="1445"/>
        <v>0.16442999999999999</v>
      </c>
      <c r="J5453" s="160"/>
      <c r="K5453" s="161">
        <f t="shared" si="1446"/>
        <v>169020</v>
      </c>
      <c r="L5453" s="250">
        <v>1</v>
      </c>
      <c r="M5453" s="163" t="str">
        <f>CONCATENATE(H5453," ",F5453,"(лимиты выделенные УЖКХ) ","*",I5453,"/",K5453,"чел/час")</f>
        <v>4041,11 м3(лимиты выделенные УЖКХ) *0,16443/169020чел/час</v>
      </c>
      <c r="N5453" s="278">
        <f>Лист1!I154</f>
        <v>54.214180014896904</v>
      </c>
      <c r="O5453" s="280">
        <f t="shared" si="1447"/>
        <v>0.21313599999999999</v>
      </c>
      <c r="P5453" s="166"/>
      <c r="Q5453" s="166">
        <f t="shared" si="1444"/>
        <v>36024.246719999996</v>
      </c>
      <c r="R5453" s="71"/>
    </row>
    <row r="5454" spans="1:41" s="61" customFormat="1" ht="47.25" x14ac:dyDescent="0.25">
      <c r="A5454" s="358"/>
      <c r="B5454" s="361"/>
      <c r="C5454" s="364"/>
      <c r="D5454" s="222" t="s">
        <v>17</v>
      </c>
      <c r="E5454" s="222" t="s">
        <v>11</v>
      </c>
      <c r="F5454" s="222" t="s">
        <v>11</v>
      </c>
      <c r="G5454" s="238">
        <f>MROUND(H5454*L5454*I5454/K5454,0.0000000000001)</f>
        <v>3.9313673961999997E-3</v>
      </c>
      <c r="H5454" s="160">
        <f>Лист1!G155</f>
        <v>4041.1099999999997</v>
      </c>
      <c r="I5454" s="159">
        <f t="shared" si="1445"/>
        <v>0.16442999999999999</v>
      </c>
      <c r="J5454" s="160"/>
      <c r="K5454" s="161">
        <f t="shared" si="1446"/>
        <v>169020</v>
      </c>
      <c r="L5454" s="162">
        <f>$L$25</f>
        <v>1</v>
      </c>
      <c r="M5454" s="163" t="str">
        <f>CONCATENATE(H5454," ",F5454,"(лимиты выделенные УЖКХ) ","*",I5454,"/",K5454,"чел/час")</f>
        <v>4041,11 м3(лимиты выделенные УЖКХ) *0,16443/169020чел/час</v>
      </c>
      <c r="N5454" s="164">
        <f>Лист1!I155</f>
        <v>82.384170780821918</v>
      </c>
      <c r="O5454" s="280">
        <f t="shared" si="1447"/>
        <v>0.323882</v>
      </c>
      <c r="P5454" s="166"/>
      <c r="Q5454" s="166">
        <f t="shared" si="1444"/>
        <v>54742.535640000002</v>
      </c>
      <c r="R5454" s="71"/>
      <c r="T5454" s="71"/>
    </row>
    <row r="5455" spans="1:41" s="61" customFormat="1" ht="31.5" x14ac:dyDescent="0.25">
      <c r="A5455" s="358"/>
      <c r="B5455" s="361"/>
      <c r="C5455" s="364"/>
      <c r="D5455" s="222" t="s">
        <v>13</v>
      </c>
      <c r="E5455" s="222" t="s">
        <v>11</v>
      </c>
      <c r="F5455" s="222" t="s">
        <v>11</v>
      </c>
      <c r="G5455" s="238">
        <f>MROUND(H5455*L5455*I5455/K5455,0.000000000001)</f>
        <v>3.931367396E-3</v>
      </c>
      <c r="H5455" s="160">
        <f>Лист1!G156</f>
        <v>4041.1099999999997</v>
      </c>
      <c r="I5455" s="159">
        <f t="shared" si="1445"/>
        <v>0.16442999999999999</v>
      </c>
      <c r="J5455" s="160"/>
      <c r="K5455" s="161">
        <f t="shared" si="1446"/>
        <v>169020</v>
      </c>
      <c r="L5455" s="162">
        <v>1</v>
      </c>
      <c r="M5455" s="163" t="str">
        <f>CONCATENATE(H5455," ",F5455,"(лимиты выделенные УЖКХ) ","*",I5455,"/",K5455,"чел/час")</f>
        <v>4041,11 м3(лимиты выделенные УЖКХ) *0,16443/169020чел/час</v>
      </c>
      <c r="N5455" s="278">
        <f>Лист1!I156</f>
        <v>100.60427670019196</v>
      </c>
      <c r="O5455" s="280">
        <f t="shared" si="1447"/>
        <v>0.39551199999999997</v>
      </c>
      <c r="P5455" s="166"/>
      <c r="Q5455" s="166">
        <f t="shared" si="1444"/>
        <v>66849.438239999989</v>
      </c>
      <c r="R5455" s="71"/>
      <c r="T5455" s="71"/>
    </row>
    <row r="5456" spans="1:41" s="61" customFormat="1" x14ac:dyDescent="0.25">
      <c r="A5456" s="358"/>
      <c r="B5456" s="361"/>
      <c r="C5456" s="364" t="s">
        <v>216</v>
      </c>
      <c r="D5456" s="222" t="s">
        <v>23</v>
      </c>
      <c r="E5456" s="222" t="s">
        <v>11</v>
      </c>
      <c r="F5456" s="222" t="s">
        <v>11</v>
      </c>
      <c r="G5456" s="238">
        <f>MROUND(H5456*L5456*I5456/K5456,0.000000000001)</f>
        <v>2.4301629000000001E-5</v>
      </c>
      <c r="H5456" s="160">
        <f>Лист1!G158</f>
        <v>24.979999999999997</v>
      </c>
      <c r="I5456" s="159">
        <f t="shared" si="1445"/>
        <v>0.16442999999999999</v>
      </c>
      <c r="J5456" s="160"/>
      <c r="K5456" s="161">
        <f t="shared" si="1446"/>
        <v>169020</v>
      </c>
      <c r="L5456" s="162">
        <v>1</v>
      </c>
      <c r="M5456" s="163" t="str">
        <f>CONCATENATE(H5456," ",F5456," ","*",I5456,"/",K5456,"чел/час")</f>
        <v>24,98 м3 *0,16443/169020чел/час</v>
      </c>
      <c r="N5456" s="164">
        <f>Лист1!I158</f>
        <v>776.35588470776622</v>
      </c>
      <c r="O5456" s="280">
        <f t="shared" si="1447"/>
        <v>1.8866999999999998E-2</v>
      </c>
      <c r="P5456" s="166"/>
      <c r="Q5456" s="166">
        <f t="shared" si="1444"/>
        <v>3188.9003399999997</v>
      </c>
      <c r="R5456" s="71"/>
    </row>
    <row r="5457" spans="1:41" s="61" customFormat="1" ht="63" x14ac:dyDescent="0.25">
      <c r="A5457" s="358"/>
      <c r="B5457" s="361"/>
      <c r="C5457" s="364"/>
      <c r="D5457" s="222" t="s">
        <v>24</v>
      </c>
      <c r="E5457" s="222" t="s">
        <v>25</v>
      </c>
      <c r="F5457" s="222" t="s">
        <v>248</v>
      </c>
      <c r="G5457" s="238">
        <f>MROUND(H5457*L5457*I5457/K5457,0.000000000001)</f>
        <v>4.8642169999999998E-6</v>
      </c>
      <c r="H5457" s="160">
        <f>Лист1!G159</f>
        <v>5</v>
      </c>
      <c r="I5457" s="159">
        <f t="shared" si="1445"/>
        <v>0.16442999999999999</v>
      </c>
      <c r="J5457" s="160"/>
      <c r="K5457" s="161">
        <f t="shared" si="1446"/>
        <v>169020</v>
      </c>
      <c r="L5457" s="250">
        <v>1</v>
      </c>
      <c r="M5457" s="163" t="str">
        <f>CONCATENATE(H5457," ",F5457,"(потребность из расчета 4 контейнера для уборки территории весной и осенью на 1 учреждение)","*",I5457,"/",K5457,"чел/час")</f>
        <v>5 контейнеров(потребность из расчета 4 контейнера для уборки территории весной и осенью на 1 учреждение)*0,16443/169020чел/час</v>
      </c>
      <c r="N5457" s="278">
        <f>Лист1!I159</f>
        <v>6016.38</v>
      </c>
      <c r="O5457" s="280">
        <f t="shared" si="1447"/>
        <v>2.9264999999999999E-2</v>
      </c>
      <c r="P5457" s="166"/>
      <c r="Q5457" s="166">
        <f t="shared" si="1444"/>
        <v>4946.3702999999996</v>
      </c>
      <c r="R5457" s="71"/>
      <c r="S5457" s="71"/>
    </row>
    <row r="5458" spans="1:41" s="109" customFormat="1" x14ac:dyDescent="0.25">
      <c r="A5458" s="358"/>
      <c r="B5458" s="361"/>
      <c r="C5458" s="218" t="s">
        <v>290</v>
      </c>
      <c r="D5458" s="226"/>
      <c r="E5458" s="226"/>
      <c r="F5458" s="226"/>
      <c r="G5458" s="227"/>
      <c r="H5458" s="228"/>
      <c r="I5458" s="206"/>
      <c r="J5458" s="228"/>
      <c r="K5458" s="207"/>
      <c r="L5458" s="257"/>
      <c r="M5458" s="209"/>
      <c r="N5458" s="281"/>
      <c r="O5458" s="279">
        <f>SUM(O5451:O5457)</f>
        <v>6.2204990000000002</v>
      </c>
      <c r="P5458" s="267"/>
      <c r="Q5458" s="166"/>
      <c r="R5458" s="71"/>
      <c r="S5458" s="62"/>
      <c r="T5458" s="62"/>
      <c r="U5458" s="62"/>
      <c r="V5458" s="62"/>
      <c r="W5458" s="62"/>
      <c r="X5458" s="62"/>
      <c r="Y5458" s="62"/>
      <c r="Z5458" s="62"/>
      <c r="AA5458" s="62"/>
      <c r="AB5458" s="62"/>
      <c r="AC5458" s="62"/>
      <c r="AD5458" s="62"/>
      <c r="AE5458" s="62"/>
      <c r="AF5458" s="62"/>
      <c r="AG5458" s="62"/>
      <c r="AH5458" s="62"/>
      <c r="AI5458" s="62"/>
      <c r="AJ5458" s="62"/>
      <c r="AK5458" s="62"/>
      <c r="AL5458" s="62"/>
      <c r="AM5458" s="62"/>
      <c r="AN5458" s="62"/>
      <c r="AO5458" s="62"/>
    </row>
    <row r="5459" spans="1:41" s="108" customFormat="1" x14ac:dyDescent="0.25">
      <c r="A5459" s="358"/>
      <c r="B5459" s="361"/>
      <c r="C5459" s="221"/>
      <c r="D5459" s="356" t="s">
        <v>14</v>
      </c>
      <c r="E5459" s="356"/>
      <c r="F5459" s="356"/>
      <c r="G5459" s="356"/>
      <c r="H5459" s="188"/>
      <c r="I5459" s="159"/>
      <c r="J5459" s="188"/>
      <c r="K5459" s="161"/>
      <c r="L5459" s="250"/>
      <c r="M5459" s="230"/>
      <c r="N5459" s="278"/>
      <c r="O5459" s="279">
        <f>O5463+O5467+O5469</f>
        <v>22.975632600999997</v>
      </c>
      <c r="P5459" s="166"/>
      <c r="Q5459" s="166">
        <f t="shared" ref="Q5459:Q5462" si="1448">O5459*K5459</f>
        <v>0</v>
      </c>
      <c r="R5459" s="71"/>
      <c r="S5459" s="61"/>
      <c r="T5459" s="61"/>
      <c r="U5459" s="61"/>
      <c r="V5459" s="61"/>
      <c r="W5459" s="61"/>
      <c r="X5459" s="61"/>
      <c r="Y5459" s="61"/>
      <c r="Z5459" s="61"/>
      <c r="AA5459" s="61"/>
      <c r="AB5459" s="61"/>
      <c r="AC5459" s="61"/>
      <c r="AD5459" s="61"/>
      <c r="AE5459" s="61"/>
      <c r="AF5459" s="61"/>
      <c r="AG5459" s="61"/>
      <c r="AH5459" s="61"/>
      <c r="AI5459" s="61"/>
      <c r="AJ5459" s="61"/>
      <c r="AK5459" s="61"/>
      <c r="AL5459" s="61"/>
      <c r="AM5459" s="61"/>
      <c r="AN5459" s="61"/>
      <c r="AO5459" s="61"/>
    </row>
    <row r="5460" spans="1:41" s="61" customFormat="1" x14ac:dyDescent="0.25">
      <c r="A5460" s="358"/>
      <c r="B5460" s="361"/>
      <c r="C5460" s="221" t="s">
        <v>379</v>
      </c>
      <c r="D5460" s="231" t="s">
        <v>49</v>
      </c>
      <c r="E5460" s="231" t="s">
        <v>22</v>
      </c>
      <c r="F5460" s="231" t="s">
        <v>22</v>
      </c>
      <c r="G5460" s="238">
        <f>MROUND(H5460*L5460*I5460/K5460,0.00000000000001)</f>
        <v>0</v>
      </c>
      <c r="H5460" s="160"/>
      <c r="I5460" s="159">
        <f>I5455</f>
        <v>0.16442999999999999</v>
      </c>
      <c r="J5460" s="160"/>
      <c r="K5460" s="161">
        <f>K5455</f>
        <v>169020</v>
      </c>
      <c r="L5460" s="250">
        <v>1</v>
      </c>
      <c r="M5460" s="163"/>
      <c r="N5460" s="278"/>
      <c r="O5460" s="280">
        <f>MROUND(N5460*G5460,0.000000001)-0.00053</f>
        <v>-5.2999999999999998E-4</v>
      </c>
      <c r="P5460" s="166"/>
      <c r="Q5460" s="166">
        <f t="shared" si="1448"/>
        <v>-89.58059999999999</v>
      </c>
      <c r="R5460" s="71"/>
      <c r="S5460" s="71"/>
    </row>
    <row r="5461" spans="1:41" s="61" customFormat="1" x14ac:dyDescent="0.25">
      <c r="A5461" s="358"/>
      <c r="B5461" s="361"/>
      <c r="C5461" s="221" t="s">
        <v>379</v>
      </c>
      <c r="D5461" s="231" t="s">
        <v>49</v>
      </c>
      <c r="E5461" s="231" t="s">
        <v>28</v>
      </c>
      <c r="F5461" s="231" t="s">
        <v>28</v>
      </c>
      <c r="G5461" s="238">
        <f>MROUND(H5461*L5461*I5461/K5461,0.0000000000001)</f>
        <v>0</v>
      </c>
      <c r="H5461" s="160"/>
      <c r="I5461" s="159">
        <f>I5460</f>
        <v>0.16442999999999999</v>
      </c>
      <c r="J5461" s="160"/>
      <c r="K5461" s="161">
        <f>K5460</f>
        <v>169020</v>
      </c>
      <c r="L5461" s="250">
        <v>1</v>
      </c>
      <c r="M5461" s="163"/>
      <c r="N5461" s="278"/>
      <c r="O5461" s="280">
        <f>MROUND(N5461*G5461,0.000000001)</f>
        <v>0</v>
      </c>
      <c r="P5461" s="166"/>
      <c r="Q5461" s="166">
        <f t="shared" si="1448"/>
        <v>0</v>
      </c>
      <c r="R5461" s="71"/>
      <c r="S5461" s="71"/>
    </row>
    <row r="5462" spans="1:41" s="61" customFormat="1" x14ac:dyDescent="0.25">
      <c r="A5462" s="358"/>
      <c r="B5462" s="361"/>
      <c r="C5462" s="221" t="s">
        <v>379</v>
      </c>
      <c r="D5462" s="231" t="s">
        <v>49</v>
      </c>
      <c r="E5462" s="231" t="s">
        <v>101</v>
      </c>
      <c r="F5462" s="231" t="s">
        <v>101</v>
      </c>
      <c r="G5462" s="238">
        <f>MROUND(H5462*L5462*I5462/K5462,0.00000000001)</f>
        <v>0</v>
      </c>
      <c r="H5462" s="160"/>
      <c r="I5462" s="159">
        <f>I5460</f>
        <v>0.16442999999999999</v>
      </c>
      <c r="J5462" s="160"/>
      <c r="K5462" s="161">
        <f>K5460</f>
        <v>169020</v>
      </c>
      <c r="L5462" s="250">
        <v>1</v>
      </c>
      <c r="M5462" s="163"/>
      <c r="N5462" s="278"/>
      <c r="O5462" s="280">
        <f>MROUND(N5462*G5462,0.000001)</f>
        <v>0</v>
      </c>
      <c r="P5462" s="166"/>
      <c r="Q5462" s="166">
        <f t="shared" si="1448"/>
        <v>0</v>
      </c>
      <c r="R5462" s="71"/>
      <c r="T5462" s="71"/>
    </row>
    <row r="5463" spans="1:41" s="109" customFormat="1" x14ac:dyDescent="0.25">
      <c r="A5463" s="358"/>
      <c r="B5463" s="361"/>
      <c r="C5463" s="218" t="s">
        <v>380</v>
      </c>
      <c r="D5463" s="232"/>
      <c r="E5463" s="232"/>
      <c r="F5463" s="232"/>
      <c r="G5463" s="227"/>
      <c r="H5463" s="228"/>
      <c r="I5463" s="206"/>
      <c r="J5463" s="228"/>
      <c r="K5463" s="207"/>
      <c r="L5463" s="257"/>
      <c r="M5463" s="209"/>
      <c r="N5463" s="281"/>
      <c r="O5463" s="279">
        <f>O5460+O5462+O5461</f>
        <v>-5.2999999999999998E-4</v>
      </c>
      <c r="P5463" s="267"/>
      <c r="Q5463" s="166"/>
      <c r="R5463" s="71"/>
      <c r="S5463" s="62"/>
      <c r="T5463" s="62"/>
      <c r="U5463" s="62"/>
      <c r="V5463" s="62"/>
      <c r="W5463" s="62"/>
      <c r="X5463" s="62"/>
      <c r="Y5463" s="62"/>
      <c r="Z5463" s="62"/>
      <c r="AA5463" s="62"/>
      <c r="AB5463" s="62"/>
      <c r="AC5463" s="62"/>
      <c r="AD5463" s="62"/>
      <c r="AE5463" s="62"/>
      <c r="AF5463" s="62"/>
      <c r="AG5463" s="62"/>
      <c r="AH5463" s="62"/>
      <c r="AI5463" s="62"/>
      <c r="AJ5463" s="62"/>
      <c r="AK5463" s="62"/>
      <c r="AL5463" s="62"/>
      <c r="AM5463" s="62"/>
      <c r="AN5463" s="62"/>
      <c r="AO5463" s="62"/>
    </row>
    <row r="5464" spans="1:41" s="61" customFormat="1" x14ac:dyDescent="0.25">
      <c r="A5464" s="358"/>
      <c r="B5464" s="361"/>
      <c r="C5464" s="221" t="s">
        <v>76</v>
      </c>
      <c r="D5464" s="231" t="s">
        <v>49</v>
      </c>
      <c r="E5464" s="231" t="s">
        <v>22</v>
      </c>
      <c r="F5464" s="231" t="s">
        <v>22</v>
      </c>
      <c r="G5464" s="238">
        <f>MROUND(H5464*L5464*I5464/K5464,0.00000000000001)</f>
        <v>9.6700638977599996E-3</v>
      </c>
      <c r="H5464" s="160">
        <f>Лист1!G163</f>
        <v>9940</v>
      </c>
      <c r="I5464" s="159">
        <f>I5462</f>
        <v>0.16442999999999999</v>
      </c>
      <c r="J5464" s="160"/>
      <c r="K5464" s="161">
        <f>K5462</f>
        <v>169020</v>
      </c>
      <c r="L5464" s="250">
        <v>1</v>
      </c>
      <c r="M5464" s="163" t="str">
        <f>CONCATENATE(H5464," ",F5464,"*",I5464,"/",K5464,"чел/час")</f>
        <v>9940 м2*0,16443/169020чел/час</v>
      </c>
      <c r="N5464" s="278">
        <f>Лист1!I163</f>
        <v>1444.6680080482897</v>
      </c>
      <c r="O5464" s="280">
        <f>MROUND(N5464*G5464,0.000000001)-0.0009</f>
        <v>13.969131949000001</v>
      </c>
      <c r="P5464" s="166"/>
      <c r="Q5464" s="166">
        <f t="shared" ref="Q5464:Q5466" si="1449">O5464*K5464</f>
        <v>2361062.6820199802</v>
      </c>
      <c r="R5464" s="71"/>
      <c r="S5464" s="71"/>
    </row>
    <row r="5465" spans="1:41" s="61" customFormat="1" x14ac:dyDescent="0.25">
      <c r="A5465" s="358"/>
      <c r="B5465" s="361"/>
      <c r="C5465" s="221"/>
      <c r="D5465" s="231" t="s">
        <v>49</v>
      </c>
      <c r="E5465" s="231" t="s">
        <v>28</v>
      </c>
      <c r="F5465" s="231" t="s">
        <v>28</v>
      </c>
      <c r="G5465" s="238">
        <f>MROUND(H5465*L5465*I5465/K5465,0.00000000000001)</f>
        <v>4.1832268369999999E-5</v>
      </c>
      <c r="H5465" s="160">
        <f>Лист1!G165</f>
        <v>43</v>
      </c>
      <c r="I5465" s="159">
        <f>I5464</f>
        <v>0.16442999999999999</v>
      </c>
      <c r="J5465" s="160"/>
      <c r="K5465" s="161">
        <f>K5464</f>
        <v>169020</v>
      </c>
      <c r="L5465" s="250">
        <v>1</v>
      </c>
      <c r="M5465" s="163" t="str">
        <f>CONCATENATE(H5465," ",F5465,"*",I5465,"/",K5465,"чел/час")</f>
        <v>43 шт*0,16443/169020чел/час</v>
      </c>
      <c r="N5465" s="278">
        <f>Лист1!I165</f>
        <v>109534.88372093023</v>
      </c>
      <c r="O5465" s="280">
        <f>MROUND(N5465*G5465,0.000000001)-0.0009</f>
        <v>4.5811926520000004</v>
      </c>
      <c r="P5465" s="166"/>
      <c r="Q5465" s="166">
        <f t="shared" si="1449"/>
        <v>774313.18204104004</v>
      </c>
      <c r="R5465" s="71"/>
      <c r="S5465" s="71"/>
    </row>
    <row r="5466" spans="1:41" s="61" customFormat="1" x14ac:dyDescent="0.25">
      <c r="A5466" s="358"/>
      <c r="B5466" s="361"/>
      <c r="C5466" s="221"/>
      <c r="D5466" s="231" t="s">
        <v>49</v>
      </c>
      <c r="E5466" s="231" t="s">
        <v>101</v>
      </c>
      <c r="F5466" s="231" t="s">
        <v>101</v>
      </c>
      <c r="G5466" s="238">
        <f>MROUND(H5466*L5466*I5466/K5466,0.000000000001)</f>
        <v>1.77057508E-3</v>
      </c>
      <c r="H5466" s="160">
        <f>Лист1!G164</f>
        <v>1820</v>
      </c>
      <c r="I5466" s="159">
        <f>I5464</f>
        <v>0.16442999999999999</v>
      </c>
      <c r="J5466" s="160"/>
      <c r="K5466" s="161">
        <f>K5464</f>
        <v>169020</v>
      </c>
      <c r="L5466" s="250">
        <v>1</v>
      </c>
      <c r="M5466" s="163" t="str">
        <f>CONCATENATE(H5466," ",F5466,"*",I5466,"/",K5466,"чел/час")</f>
        <v>1820 погон.м.*0,16443/169020чел/час</v>
      </c>
      <c r="N5466" s="278">
        <f>Лист1!I164</f>
        <v>2500</v>
      </c>
      <c r="O5466" s="280">
        <f>MROUND(N5466*G5466,0.000001)-0.0006</f>
        <v>4.4258379999999997</v>
      </c>
      <c r="P5466" s="166"/>
      <c r="Q5466" s="166">
        <f t="shared" si="1449"/>
        <v>748055.13876</v>
      </c>
      <c r="R5466" s="71"/>
      <c r="T5466" s="71"/>
    </row>
    <row r="5467" spans="1:41" s="109" customFormat="1" x14ac:dyDescent="0.25">
      <c r="A5467" s="358"/>
      <c r="B5467" s="361"/>
      <c r="C5467" s="218" t="s">
        <v>291</v>
      </c>
      <c r="D5467" s="232"/>
      <c r="E5467" s="232"/>
      <c r="F5467" s="232"/>
      <c r="G5467" s="227"/>
      <c r="H5467" s="228"/>
      <c r="I5467" s="206"/>
      <c r="J5467" s="228"/>
      <c r="K5467" s="207"/>
      <c r="L5467" s="257"/>
      <c r="M5467" s="209"/>
      <c r="N5467" s="281"/>
      <c r="O5467" s="279">
        <f>O5464+O5466+O5465</f>
        <v>22.976162600999999</v>
      </c>
      <c r="P5467" s="267"/>
      <c r="Q5467" s="166"/>
      <c r="R5467" s="71"/>
      <c r="S5467" s="62"/>
      <c r="T5467" s="62"/>
      <c r="U5467" s="62"/>
      <c r="V5467" s="62"/>
      <c r="W5467" s="62"/>
      <c r="X5467" s="62"/>
      <c r="Y5467" s="62"/>
      <c r="Z5467" s="62"/>
      <c r="AA5467" s="62"/>
      <c r="AB5467" s="62"/>
      <c r="AC5467" s="62"/>
      <c r="AD5467" s="62"/>
      <c r="AE5467" s="62"/>
      <c r="AF5467" s="62"/>
      <c r="AG5467" s="62"/>
      <c r="AH5467" s="62"/>
      <c r="AI5467" s="62"/>
      <c r="AJ5467" s="62"/>
      <c r="AK5467" s="62"/>
      <c r="AL5467" s="62"/>
      <c r="AM5467" s="62"/>
      <c r="AN5467" s="62"/>
      <c r="AO5467" s="62"/>
    </row>
    <row r="5468" spans="1:41" s="61" customFormat="1" x14ac:dyDescent="0.25">
      <c r="A5468" s="358"/>
      <c r="B5468" s="361"/>
      <c r="C5468" s="221" t="s">
        <v>77</v>
      </c>
      <c r="D5468" s="231"/>
      <c r="E5468" s="231"/>
      <c r="F5468" s="231"/>
      <c r="G5468" s="238">
        <f>MROUND(H5468*L5468*I5468/K5468,0.0000000001)</f>
        <v>0</v>
      </c>
      <c r="H5468" s="160"/>
      <c r="I5468" s="159">
        <f>I5466</f>
        <v>0.16442999999999999</v>
      </c>
      <c r="J5468" s="160"/>
      <c r="K5468" s="161">
        <f>K5466</f>
        <v>169020</v>
      </c>
      <c r="L5468" s="250"/>
      <c r="M5468" s="163"/>
      <c r="N5468" s="278"/>
      <c r="O5468" s="280">
        <f t="shared" ref="O5468" si="1450">MROUND(N5468*G5468,0.000001)</f>
        <v>0</v>
      </c>
      <c r="P5468" s="166"/>
      <c r="Q5468" s="166">
        <f t="shared" ref="Q5468" si="1451">O5468*K5468</f>
        <v>0</v>
      </c>
      <c r="R5468" s="71"/>
      <c r="T5468" s="71"/>
    </row>
    <row r="5469" spans="1:41" s="109" customFormat="1" x14ac:dyDescent="0.25">
      <c r="A5469" s="358"/>
      <c r="B5469" s="361"/>
      <c r="C5469" s="218" t="s">
        <v>292</v>
      </c>
      <c r="D5469" s="232"/>
      <c r="E5469" s="232"/>
      <c r="F5469" s="232"/>
      <c r="G5469" s="227"/>
      <c r="H5469" s="228"/>
      <c r="I5469" s="206"/>
      <c r="J5469" s="228"/>
      <c r="K5469" s="207"/>
      <c r="L5469" s="257"/>
      <c r="M5469" s="209"/>
      <c r="N5469" s="281"/>
      <c r="O5469" s="279">
        <f>O5468</f>
        <v>0</v>
      </c>
      <c r="P5469" s="267"/>
      <c r="Q5469" s="166"/>
      <c r="R5469" s="71"/>
      <c r="S5469" s="62"/>
      <c r="T5469" s="62"/>
      <c r="U5469" s="62"/>
      <c r="V5469" s="62"/>
      <c r="W5469" s="62"/>
      <c r="X5469" s="62"/>
      <c r="Y5469" s="62"/>
      <c r="Z5469" s="62"/>
      <c r="AA5469" s="62"/>
      <c r="AB5469" s="62"/>
      <c r="AC5469" s="62"/>
      <c r="AD5469" s="62"/>
      <c r="AE5469" s="62"/>
      <c r="AF5469" s="62"/>
      <c r="AG5469" s="62"/>
      <c r="AH5469" s="62"/>
      <c r="AI5469" s="62"/>
      <c r="AJ5469" s="62"/>
      <c r="AK5469" s="62"/>
      <c r="AL5469" s="62"/>
      <c r="AM5469" s="62"/>
      <c r="AN5469" s="62"/>
      <c r="AO5469" s="62"/>
    </row>
    <row r="5470" spans="1:41" s="108" customFormat="1" x14ac:dyDescent="0.25">
      <c r="A5470" s="358"/>
      <c r="B5470" s="361"/>
      <c r="C5470" s="221"/>
      <c r="D5470" s="350" t="s">
        <v>65</v>
      </c>
      <c r="E5470" s="350"/>
      <c r="F5470" s="350"/>
      <c r="G5470" s="350"/>
      <c r="H5470" s="195"/>
      <c r="I5470" s="159"/>
      <c r="J5470" s="195"/>
      <c r="K5470" s="161"/>
      <c r="L5470" s="196"/>
      <c r="M5470" s="230"/>
      <c r="N5470" s="278"/>
      <c r="O5470" s="280"/>
      <c r="P5470" s="166"/>
      <c r="Q5470" s="166">
        <f t="shared" ref="Q5470:Q5489" si="1452">O5470*K5470</f>
        <v>0</v>
      </c>
      <c r="R5470" s="71"/>
      <c r="S5470" s="61"/>
      <c r="T5470" s="61"/>
      <c r="U5470" s="61"/>
      <c r="V5470" s="61"/>
      <c r="W5470" s="61"/>
      <c r="X5470" s="61"/>
      <c r="Y5470" s="61"/>
      <c r="Z5470" s="61"/>
      <c r="AA5470" s="61"/>
      <c r="AB5470" s="61"/>
      <c r="AC5470" s="61"/>
      <c r="AD5470" s="61"/>
      <c r="AE5470" s="61"/>
      <c r="AF5470" s="61"/>
      <c r="AG5470" s="61"/>
      <c r="AH5470" s="61"/>
      <c r="AI5470" s="61"/>
      <c r="AJ5470" s="61"/>
      <c r="AK5470" s="61"/>
      <c r="AL5470" s="61"/>
      <c r="AM5470" s="61"/>
      <c r="AN5470" s="61"/>
      <c r="AO5470" s="61"/>
    </row>
    <row r="5471" spans="1:41" s="108" customFormat="1" x14ac:dyDescent="0.25">
      <c r="A5471" s="358"/>
      <c r="B5471" s="361"/>
      <c r="C5471" s="221"/>
      <c r="D5471" s="194"/>
      <c r="E5471" s="194"/>
      <c r="F5471" s="194"/>
      <c r="G5471" s="217"/>
      <c r="H5471" s="195"/>
      <c r="I5471" s="159"/>
      <c r="J5471" s="195"/>
      <c r="K5471" s="161"/>
      <c r="L5471" s="196"/>
      <c r="M5471" s="230"/>
      <c r="N5471" s="278"/>
      <c r="O5471" s="280"/>
      <c r="P5471" s="166"/>
      <c r="Q5471" s="166">
        <f t="shared" si="1452"/>
        <v>0</v>
      </c>
      <c r="R5471" s="71"/>
      <c r="S5471" s="61"/>
      <c r="T5471" s="61"/>
      <c r="U5471" s="61"/>
      <c r="V5471" s="61"/>
      <c r="W5471" s="61"/>
      <c r="X5471" s="61"/>
      <c r="Y5471" s="61"/>
      <c r="Z5471" s="61"/>
      <c r="AA5471" s="61"/>
      <c r="AB5471" s="61"/>
      <c r="AC5471" s="61"/>
      <c r="AD5471" s="61"/>
      <c r="AE5471" s="61"/>
      <c r="AF5471" s="61"/>
      <c r="AG5471" s="61"/>
      <c r="AH5471" s="61"/>
      <c r="AI5471" s="61"/>
      <c r="AJ5471" s="61"/>
      <c r="AK5471" s="61"/>
      <c r="AL5471" s="61"/>
      <c r="AM5471" s="61"/>
      <c r="AN5471" s="61"/>
      <c r="AO5471" s="61"/>
    </row>
    <row r="5472" spans="1:41" s="108" customFormat="1" x14ac:dyDescent="0.25">
      <c r="A5472" s="358"/>
      <c r="B5472" s="361"/>
      <c r="C5472" s="365" t="s">
        <v>357</v>
      </c>
      <c r="D5472" s="368" t="s">
        <v>66</v>
      </c>
      <c r="E5472" s="368"/>
      <c r="F5472" s="368"/>
      <c r="G5472" s="368"/>
      <c r="H5472" s="195"/>
      <c r="I5472" s="159"/>
      <c r="J5472" s="195"/>
      <c r="K5472" s="161"/>
      <c r="L5472" s="196"/>
      <c r="M5472" s="230"/>
      <c r="N5472" s="278"/>
      <c r="O5472" s="279">
        <f>O5478</f>
        <v>0.45585751299999999</v>
      </c>
      <c r="P5472" s="166"/>
      <c r="Q5472" s="166">
        <f t="shared" si="1452"/>
        <v>0</v>
      </c>
      <c r="R5472" s="71"/>
      <c r="S5472" s="61"/>
      <c r="T5472" s="61"/>
      <c r="U5472" s="61"/>
      <c r="V5472" s="61"/>
      <c r="W5472" s="61"/>
      <c r="X5472" s="61"/>
      <c r="Y5472" s="61"/>
      <c r="Z5472" s="61"/>
      <c r="AA5472" s="61"/>
      <c r="AB5472" s="61"/>
      <c r="AC5472" s="61"/>
      <c r="AD5472" s="61"/>
      <c r="AE5472" s="61"/>
      <c r="AF5472" s="61"/>
      <c r="AG5472" s="61"/>
      <c r="AH5472" s="61"/>
      <c r="AI5472" s="61"/>
      <c r="AJ5472" s="61"/>
      <c r="AK5472" s="61"/>
      <c r="AL5472" s="61"/>
      <c r="AM5472" s="61"/>
      <c r="AN5472" s="61"/>
      <c r="AO5472" s="61"/>
    </row>
    <row r="5473" spans="1:41" s="61" customFormat="1" x14ac:dyDescent="0.25">
      <c r="A5473" s="358"/>
      <c r="B5473" s="361"/>
      <c r="C5473" s="366"/>
      <c r="D5473" s="284" t="s">
        <v>241</v>
      </c>
      <c r="E5473" s="156" t="s">
        <v>28</v>
      </c>
      <c r="F5473" s="156" t="s">
        <v>28</v>
      </c>
      <c r="G5473" s="238">
        <f>MROUND(H5473*L5473*I5473/K5473,0.0000000000001)</f>
        <v>1.984600639E-4</v>
      </c>
      <c r="H5473" s="158">
        <f>Лист1!G146</f>
        <v>17</v>
      </c>
      <c r="I5473" s="159">
        <f>I5468</f>
        <v>0.16442999999999999</v>
      </c>
      <c r="J5473" s="160"/>
      <c r="K5473" s="161">
        <f>K5468</f>
        <v>169020</v>
      </c>
      <c r="L5473" s="250">
        <v>12</v>
      </c>
      <c r="M5473" s="163" t="str">
        <f>CONCATENATE(H5473," ",F5473,"*",L5473,"мес.","*",I5473,"/",K5473,"чел/час")</f>
        <v>17 шт*12мес.*0,16443/169020чел/час</v>
      </c>
      <c r="N5473" s="278">
        <f>Лист1!I146</f>
        <v>342.84676470588238</v>
      </c>
      <c r="O5473" s="280">
        <f>MROUND(N5473*G5473,0.000001)</f>
        <v>6.804099999999999E-2</v>
      </c>
      <c r="P5473" s="166"/>
      <c r="Q5473" s="166">
        <f t="shared" si="1452"/>
        <v>11500.289819999998</v>
      </c>
      <c r="R5473" s="71"/>
    </row>
    <row r="5474" spans="1:41" s="61" customFormat="1" x14ac:dyDescent="0.25">
      <c r="A5474" s="358"/>
      <c r="B5474" s="361"/>
      <c r="C5474" s="366"/>
      <c r="D5474" s="284" t="s">
        <v>242</v>
      </c>
      <c r="E5474" s="156" t="s">
        <v>243</v>
      </c>
      <c r="F5474" s="156" t="s">
        <v>243</v>
      </c>
      <c r="G5474" s="238">
        <f>MROUND(H5474*L5474*I5474/K5474,0.0000000001)</f>
        <v>0.202032345</v>
      </c>
      <c r="H5474" s="158">
        <f>Лист1!G147</f>
        <v>17306</v>
      </c>
      <c r="I5474" s="159">
        <f>I5473</f>
        <v>0.16442999999999999</v>
      </c>
      <c r="J5474" s="160"/>
      <c r="K5474" s="161">
        <f>K5473</f>
        <v>169020</v>
      </c>
      <c r="L5474" s="250">
        <v>12</v>
      </c>
      <c r="M5474" s="163" t="str">
        <f>CONCATENATE(H5474," ",F5474,"*",L5474,"мес.","*",I5474,"/",K5474,"чел/час")</f>
        <v>17306 мин.*12мес.*0,16443/169020чел/час</v>
      </c>
      <c r="N5474" s="278">
        <f>Лист1!I147</f>
        <v>0.82090079548518802</v>
      </c>
      <c r="O5474" s="280">
        <f>MROUND(N5474*G5474,0.000000001)</f>
        <v>0.165848513</v>
      </c>
      <c r="P5474" s="166"/>
      <c r="Q5474" s="166">
        <f t="shared" si="1452"/>
        <v>28031.715667259999</v>
      </c>
      <c r="R5474" s="71"/>
    </row>
    <row r="5475" spans="1:41" s="61" customFormat="1" ht="31.5" x14ac:dyDescent="0.25">
      <c r="A5475" s="358"/>
      <c r="B5475" s="361"/>
      <c r="C5475" s="366"/>
      <c r="D5475" s="285" t="s">
        <v>244</v>
      </c>
      <c r="E5475" s="286" t="s">
        <v>245</v>
      </c>
      <c r="F5475" s="286" t="s">
        <v>247</v>
      </c>
      <c r="G5475" s="238">
        <f>MROUND(H5475*L5475*I5475/K5475,0.00000000001)</f>
        <v>5.8370609999999994E-5</v>
      </c>
      <c r="H5475" s="158">
        <f>Лист1!G148</f>
        <v>5</v>
      </c>
      <c r="I5475" s="159">
        <f>I5474</f>
        <v>0.16442999999999999</v>
      </c>
      <c r="J5475" s="160"/>
      <c r="K5475" s="161">
        <f>K5474</f>
        <v>169020</v>
      </c>
      <c r="L5475" s="250">
        <v>12</v>
      </c>
      <c r="M5475" s="163" t="str">
        <f>CONCATENATE(H5475," ",F5475,"*",L5475,"мес.","*",I5475,"/",K5475,"чел/час")</f>
        <v>5 радиоточек*12мес.*0,16443/169020чел/час</v>
      </c>
      <c r="N5475" s="278">
        <f>Лист1!I148</f>
        <v>173.30166666666665</v>
      </c>
      <c r="O5475" s="280">
        <f>MROUND(N5475*G5475,0.000001)</f>
        <v>1.0116E-2</v>
      </c>
      <c r="P5475" s="166"/>
      <c r="Q5475" s="166">
        <f t="shared" si="1452"/>
        <v>1709.8063199999999</v>
      </c>
      <c r="R5475" s="71"/>
    </row>
    <row r="5476" spans="1:41" s="61" customFormat="1" ht="47.25" x14ac:dyDescent="0.25">
      <c r="A5476" s="358"/>
      <c r="B5476" s="361"/>
      <c r="C5476" s="366"/>
      <c r="D5476" s="285" t="s">
        <v>374</v>
      </c>
      <c r="E5476" s="156" t="s">
        <v>28</v>
      </c>
      <c r="F5476" s="156" t="s">
        <v>28</v>
      </c>
      <c r="G5476" s="238">
        <f>MROUND(H5476*L5476*I5476/K5476,0.0000000000001)</f>
        <v>2.7239616599999999E-5</v>
      </c>
      <c r="H5476" s="158">
        <f>Лист1!G150</f>
        <v>7</v>
      </c>
      <c r="I5476" s="159">
        <f>I5474</f>
        <v>0.16442999999999999</v>
      </c>
      <c r="J5476" s="160"/>
      <c r="K5476" s="161">
        <f>K5474</f>
        <v>169020</v>
      </c>
      <c r="L5476" s="250">
        <v>4</v>
      </c>
      <c r="M5476" s="163" t="str">
        <f>CONCATENATE(H5476," ",F5476,"*",L5476,"мес.","*",I5476,"/",K5476,"чел/час")</f>
        <v>7 шт*4мес.*0,16443/169020чел/час</v>
      </c>
      <c r="N5476" s="278">
        <f>Лист1!I150</f>
        <v>1313.8174999999999</v>
      </c>
      <c r="O5476" s="280">
        <f>MROUND(N5476*G5476,0.000001)</f>
        <v>3.5788E-2</v>
      </c>
      <c r="P5476" s="166"/>
      <c r="Q5476" s="166">
        <f>O5476*K5476</f>
        <v>6048.8877599999996</v>
      </c>
      <c r="R5476" s="71"/>
    </row>
    <row r="5477" spans="1:41" s="61" customFormat="1" x14ac:dyDescent="0.25">
      <c r="A5477" s="358"/>
      <c r="B5477" s="361"/>
      <c r="C5477" s="367"/>
      <c r="D5477" s="284" t="s">
        <v>246</v>
      </c>
      <c r="E5477" s="156" t="s">
        <v>28</v>
      </c>
      <c r="F5477" s="156" t="s">
        <v>28</v>
      </c>
      <c r="G5477" s="238">
        <f>MROUND(H5477*L5477*I5477/K5477,0.000000000001)</f>
        <v>5.8370606999999999E-5</v>
      </c>
      <c r="H5477" s="158">
        <v>5</v>
      </c>
      <c r="I5477" s="159">
        <f>I5475</f>
        <v>0.16442999999999999</v>
      </c>
      <c r="J5477" s="160"/>
      <c r="K5477" s="161">
        <f>K5475</f>
        <v>169020</v>
      </c>
      <c r="L5477" s="250">
        <v>12</v>
      </c>
      <c r="M5477" s="163" t="str">
        <f>CONCATENATE(H5477," ",F5477,"*",L5477,"мес.","*",I5477,"/",K5477,"чел/час")</f>
        <v>5 шт*12мес.*0,16443/169020чел/час</v>
      </c>
      <c r="N5477" s="278">
        <f>Лист1!I149</f>
        <v>3016.3089999999997</v>
      </c>
      <c r="O5477" s="280">
        <f>MROUND(N5477*G5477,0.000001)</f>
        <v>0.176064</v>
      </c>
      <c r="P5477" s="166"/>
      <c r="Q5477" s="166">
        <f t="shared" si="1452"/>
        <v>29758.33728</v>
      </c>
      <c r="R5477" s="71"/>
    </row>
    <row r="5478" spans="1:41" s="109" customFormat="1" x14ac:dyDescent="0.25">
      <c r="A5478" s="358"/>
      <c r="B5478" s="361"/>
      <c r="C5478" s="218" t="s">
        <v>358</v>
      </c>
      <c r="D5478" s="287"/>
      <c r="E5478" s="287"/>
      <c r="F5478" s="287"/>
      <c r="G5478" s="288"/>
      <c r="H5478" s="214"/>
      <c r="I5478" s="206"/>
      <c r="J5478" s="214"/>
      <c r="K5478" s="207"/>
      <c r="L5478" s="215"/>
      <c r="M5478" s="289"/>
      <c r="N5478" s="281"/>
      <c r="O5478" s="279">
        <f>SUM(O5473:O5477)</f>
        <v>0.45585751299999999</v>
      </c>
      <c r="P5478" s="267"/>
      <c r="Q5478" s="166">
        <f t="shared" si="1452"/>
        <v>0</v>
      </c>
      <c r="R5478" s="71"/>
      <c r="S5478" s="62"/>
      <c r="T5478" s="62"/>
      <c r="U5478" s="62"/>
      <c r="V5478" s="62"/>
      <c r="W5478" s="62"/>
      <c r="X5478" s="62"/>
      <c r="Y5478" s="62"/>
      <c r="Z5478" s="62"/>
      <c r="AA5478" s="62"/>
      <c r="AB5478" s="62"/>
      <c r="AC5478" s="62"/>
      <c r="AD5478" s="62"/>
      <c r="AE5478" s="62"/>
      <c r="AF5478" s="62"/>
      <c r="AG5478" s="62"/>
      <c r="AH5478" s="62"/>
      <c r="AI5478" s="62"/>
      <c r="AJ5478" s="62"/>
      <c r="AK5478" s="62"/>
      <c r="AL5478" s="62"/>
      <c r="AM5478" s="62"/>
      <c r="AN5478" s="62"/>
      <c r="AO5478" s="62"/>
    </row>
    <row r="5479" spans="1:41" s="108" customFormat="1" x14ac:dyDescent="0.25">
      <c r="A5479" s="358"/>
      <c r="B5479" s="361"/>
      <c r="C5479" s="365" t="s">
        <v>366</v>
      </c>
      <c r="D5479" s="368" t="s">
        <v>67</v>
      </c>
      <c r="E5479" s="368"/>
      <c r="F5479" s="368"/>
      <c r="G5479" s="368"/>
      <c r="H5479" s="195"/>
      <c r="I5479" s="159"/>
      <c r="J5479" s="195"/>
      <c r="K5479" s="161"/>
      <c r="L5479" s="196"/>
      <c r="M5479" s="230"/>
      <c r="N5479" s="278"/>
      <c r="O5479" s="279">
        <f>O5480</f>
        <v>6.1226999999999997E-2</v>
      </c>
      <c r="P5479" s="166"/>
      <c r="Q5479" s="166">
        <f t="shared" si="1452"/>
        <v>0</v>
      </c>
      <c r="R5479" s="71"/>
      <c r="S5479" s="61"/>
      <c r="T5479" s="61"/>
      <c r="U5479" s="61"/>
      <c r="V5479" s="61"/>
      <c r="W5479" s="61"/>
      <c r="X5479" s="61"/>
      <c r="Y5479" s="61"/>
      <c r="Z5479" s="61"/>
      <c r="AA5479" s="61"/>
      <c r="AB5479" s="61"/>
      <c r="AC5479" s="61"/>
      <c r="AD5479" s="61"/>
      <c r="AE5479" s="61"/>
      <c r="AF5479" s="61"/>
      <c r="AG5479" s="61"/>
      <c r="AH5479" s="61"/>
      <c r="AI5479" s="61"/>
      <c r="AJ5479" s="61"/>
      <c r="AK5479" s="61"/>
      <c r="AL5479" s="61"/>
      <c r="AM5479" s="61"/>
      <c r="AN5479" s="61"/>
      <c r="AO5479" s="61"/>
    </row>
    <row r="5480" spans="1:41" s="61" customFormat="1" x14ac:dyDescent="0.25">
      <c r="A5480" s="358"/>
      <c r="B5480" s="361"/>
      <c r="C5480" s="367"/>
      <c r="D5480" s="194" t="s">
        <v>367</v>
      </c>
      <c r="E5480" s="194" t="s">
        <v>28</v>
      </c>
      <c r="F5480" s="194" t="s">
        <v>28</v>
      </c>
      <c r="G5480" s="217">
        <f>MROUND(H5480*L5480*I5480/K5480,0.000000000001)</f>
        <v>2.3348242999999999E-5</v>
      </c>
      <c r="H5480" s="283">
        <f>Лист1!G151</f>
        <v>2</v>
      </c>
      <c r="I5480" s="159">
        <f>I5477</f>
        <v>0.16442999999999999</v>
      </c>
      <c r="J5480" s="195"/>
      <c r="K5480" s="161">
        <f>K5477</f>
        <v>169020</v>
      </c>
      <c r="L5480" s="196">
        <v>12</v>
      </c>
      <c r="M5480" s="163" t="str">
        <f>CONCATENATE(H5480," ",F5480,"*",L5480,"мес.","*",I5480,"/",K5480,"чел/час")</f>
        <v>2 шт*12мес.*0,16443/169020чел/час</v>
      </c>
      <c r="N5480" s="278">
        <f>Лист1!I151</f>
        <v>2622.3220833333335</v>
      </c>
      <c r="O5480" s="280">
        <f>MROUND(N5480*G5480,0.000001)</f>
        <v>6.1226999999999997E-2</v>
      </c>
      <c r="P5480" s="166"/>
      <c r="Q5480" s="166">
        <f t="shared" si="1452"/>
        <v>10348.587539999999</v>
      </c>
      <c r="R5480" s="71"/>
    </row>
    <row r="5481" spans="1:41" s="108" customFormat="1" x14ac:dyDescent="0.25">
      <c r="A5481" s="358"/>
      <c r="B5481" s="361"/>
      <c r="C5481" s="221"/>
      <c r="D5481" s="350" t="s">
        <v>68</v>
      </c>
      <c r="E5481" s="350"/>
      <c r="F5481" s="350"/>
      <c r="G5481" s="350"/>
      <c r="H5481" s="195"/>
      <c r="I5481" s="159"/>
      <c r="J5481" s="195"/>
      <c r="K5481" s="161"/>
      <c r="L5481" s="196"/>
      <c r="M5481" s="230"/>
      <c r="N5481" s="278"/>
      <c r="O5481" s="280"/>
      <c r="P5481" s="166"/>
      <c r="Q5481" s="166">
        <f t="shared" si="1452"/>
        <v>0</v>
      </c>
      <c r="R5481" s="71"/>
      <c r="S5481" s="61"/>
      <c r="T5481" s="61"/>
      <c r="U5481" s="61"/>
      <c r="V5481" s="61"/>
      <c r="W5481" s="61"/>
      <c r="X5481" s="61"/>
      <c r="Y5481" s="61"/>
      <c r="Z5481" s="61"/>
      <c r="AA5481" s="61"/>
      <c r="AB5481" s="61"/>
      <c r="AC5481" s="61"/>
      <c r="AD5481" s="61"/>
      <c r="AE5481" s="61"/>
      <c r="AF5481" s="61"/>
      <c r="AG5481" s="61"/>
      <c r="AH5481" s="61"/>
      <c r="AI5481" s="61"/>
      <c r="AJ5481" s="61"/>
      <c r="AK5481" s="61"/>
      <c r="AL5481" s="61"/>
      <c r="AM5481" s="61"/>
      <c r="AN5481" s="61"/>
      <c r="AO5481" s="61"/>
    </row>
    <row r="5482" spans="1:41" s="108" customFormat="1" x14ac:dyDescent="0.25">
      <c r="A5482" s="358"/>
      <c r="B5482" s="361"/>
      <c r="C5482" s="221"/>
      <c r="D5482" s="156"/>
      <c r="E5482" s="156"/>
      <c r="F5482" s="156"/>
      <c r="G5482" s="236"/>
      <c r="H5482" s="195"/>
      <c r="I5482" s="159"/>
      <c r="J5482" s="195"/>
      <c r="K5482" s="161"/>
      <c r="L5482" s="196"/>
      <c r="M5482" s="230"/>
      <c r="N5482" s="278"/>
      <c r="O5482" s="280"/>
      <c r="P5482" s="166"/>
      <c r="Q5482" s="166">
        <f t="shared" si="1452"/>
        <v>0</v>
      </c>
      <c r="R5482" s="71"/>
      <c r="S5482" s="61"/>
      <c r="T5482" s="61"/>
      <c r="U5482" s="61"/>
      <c r="V5482" s="61"/>
      <c r="W5482" s="61"/>
      <c r="X5482" s="61"/>
      <c r="Y5482" s="61"/>
      <c r="Z5482" s="61"/>
      <c r="AA5482" s="61"/>
      <c r="AB5482" s="61"/>
      <c r="AC5482" s="61"/>
      <c r="AD5482" s="61"/>
      <c r="AE5482" s="61"/>
      <c r="AF5482" s="61"/>
      <c r="AG5482" s="61"/>
      <c r="AH5482" s="61"/>
      <c r="AI5482" s="61"/>
      <c r="AJ5482" s="61"/>
      <c r="AK5482" s="61"/>
      <c r="AL5482" s="61"/>
      <c r="AM5482" s="61"/>
      <c r="AN5482" s="61"/>
      <c r="AO5482" s="61"/>
    </row>
    <row r="5483" spans="1:41" s="108" customFormat="1" x14ac:dyDescent="0.25">
      <c r="A5483" s="358"/>
      <c r="B5483" s="361"/>
      <c r="C5483" s="221"/>
      <c r="D5483" s="368" t="s">
        <v>69</v>
      </c>
      <c r="E5483" s="368"/>
      <c r="F5483" s="368"/>
      <c r="G5483" s="368"/>
      <c r="H5483" s="187"/>
      <c r="I5483" s="159"/>
      <c r="J5483" s="187"/>
      <c r="K5483" s="161"/>
      <c r="L5483" s="276"/>
      <c r="M5483" s="230"/>
      <c r="N5483" s="278"/>
      <c r="O5483" s="279">
        <f>O5490+O5506+O5509+O5522+O5523+O5524+O5535+O5537+O5541+O5538</f>
        <v>3.5429409999999999</v>
      </c>
      <c r="P5483" s="166"/>
      <c r="Q5483" s="166">
        <f t="shared" si="1452"/>
        <v>0</v>
      </c>
      <c r="R5483" s="71"/>
      <c r="S5483" s="61"/>
      <c r="T5483" s="61"/>
      <c r="U5483" s="61"/>
      <c r="V5483" s="61"/>
      <c r="W5483" s="61"/>
      <c r="X5483" s="61"/>
      <c r="Y5483" s="61"/>
      <c r="Z5483" s="61"/>
      <c r="AA5483" s="61"/>
      <c r="AB5483" s="61"/>
      <c r="AC5483" s="61"/>
      <c r="AD5483" s="61"/>
      <c r="AE5483" s="61"/>
      <c r="AF5483" s="61"/>
      <c r="AG5483" s="61"/>
      <c r="AH5483" s="61"/>
      <c r="AI5483" s="61"/>
      <c r="AJ5483" s="61"/>
      <c r="AK5483" s="61"/>
      <c r="AL5483" s="61"/>
      <c r="AM5483" s="61"/>
      <c r="AN5483" s="61"/>
      <c r="AO5483" s="61"/>
    </row>
    <row r="5484" spans="1:41" s="61" customFormat="1" ht="31.5" x14ac:dyDescent="0.25">
      <c r="A5484" s="358"/>
      <c r="B5484" s="361"/>
      <c r="C5484" s="365" t="s">
        <v>78</v>
      </c>
      <c r="D5484" s="156" t="s">
        <v>26</v>
      </c>
      <c r="E5484" s="156" t="s">
        <v>22</v>
      </c>
      <c r="F5484" s="156" t="s">
        <v>22</v>
      </c>
      <c r="G5484" s="238">
        <f>MROUND(H5484*L5484*I5484/K5484,0.0000000001)</f>
        <v>5.7906677400000002E-2</v>
      </c>
      <c r="H5484" s="158">
        <f>Лист1!G167</f>
        <v>4960.26</v>
      </c>
      <c r="I5484" s="159">
        <f>I5480</f>
        <v>0.16442999999999999</v>
      </c>
      <c r="J5484" s="160"/>
      <c r="K5484" s="161">
        <f>K5480</f>
        <v>169020</v>
      </c>
      <c r="L5484" s="250">
        <v>12</v>
      </c>
      <c r="M5484" s="163" t="str">
        <f>CONCATENATE(H5484," ",F5484,"(обрабатываемая площадь в мес.)","*",L5484,"мес.","*",I5484,"/",K5484,"чел/час")</f>
        <v>4960,26 м2(обрабатываемая площадь в мес.)*12мес.*0,16443/169020чел/час</v>
      </c>
      <c r="N5484" s="278">
        <f>Лист1!I167</f>
        <v>1.2085483758243856</v>
      </c>
      <c r="O5484" s="280">
        <f t="shared" ref="O5484:O5485" si="1453">MROUND(N5484*G5484,0.000001)</f>
        <v>6.9983000000000004E-2</v>
      </c>
      <c r="P5484" s="166"/>
      <c r="Q5484" s="166">
        <f t="shared" si="1452"/>
        <v>11828.526660000001</v>
      </c>
      <c r="R5484" s="71"/>
      <c r="S5484" s="71"/>
    </row>
    <row r="5485" spans="1:41" s="61" customFormat="1" ht="31.5" x14ac:dyDescent="0.25">
      <c r="A5485" s="358"/>
      <c r="B5485" s="361"/>
      <c r="C5485" s="366"/>
      <c r="D5485" s="156" t="s">
        <v>96</v>
      </c>
      <c r="E5485" s="156" t="s">
        <v>22</v>
      </c>
      <c r="F5485" s="156" t="s">
        <v>22</v>
      </c>
      <c r="G5485" s="238">
        <f>MROUND(H5485*L5485*I5485/K5485,0.000000000001)</f>
        <v>3.2071846772999998E-2</v>
      </c>
      <c r="H5485" s="158">
        <f>Лист1!G168</f>
        <v>2747.26</v>
      </c>
      <c r="I5485" s="159">
        <f>I5484</f>
        <v>0.16442999999999999</v>
      </c>
      <c r="J5485" s="160"/>
      <c r="K5485" s="161">
        <f>K5484</f>
        <v>169020</v>
      </c>
      <c r="L5485" s="250">
        <v>12</v>
      </c>
      <c r="M5485" s="163" t="str">
        <f>CONCATENATE(H5485," ",F5485,"(обрабатываемая площадь в мес.)","*",L5485,"мес.","*",I5485,"/",K5485,"чел/час")</f>
        <v>2747,26 м2(обрабатываемая площадь в мес.)*12мес.*0,16443/169020чел/час</v>
      </c>
      <c r="N5485" s="278">
        <f>Лист1!I168</f>
        <v>1.68496671835453</v>
      </c>
      <c r="O5485" s="280">
        <f t="shared" si="1453"/>
        <v>5.4039999999999998E-2</v>
      </c>
      <c r="P5485" s="166"/>
      <c r="Q5485" s="166">
        <f t="shared" si="1452"/>
        <v>9133.8407999999999</v>
      </c>
      <c r="R5485" s="71"/>
      <c r="S5485" s="71"/>
    </row>
    <row r="5486" spans="1:41" s="135" customFormat="1" ht="31.5" x14ac:dyDescent="0.25">
      <c r="A5486" s="358"/>
      <c r="B5486" s="361"/>
      <c r="C5486" s="366"/>
      <c r="D5486" s="156" t="s">
        <v>385</v>
      </c>
      <c r="E5486" s="156" t="s">
        <v>22</v>
      </c>
      <c r="F5486" s="156" t="s">
        <v>22</v>
      </c>
      <c r="G5486" s="238">
        <f>MROUND(H5486*L5486*I5486/K5486,0.0000000001)</f>
        <v>6.4143693500000001E-2</v>
      </c>
      <c r="H5486" s="242">
        <f>Лист1!G169</f>
        <v>2747.26</v>
      </c>
      <c r="I5486" s="159">
        <f>I5485</f>
        <v>0.16442999999999999</v>
      </c>
      <c r="J5486" s="160"/>
      <c r="K5486" s="161">
        <f>K5485</f>
        <v>169020</v>
      </c>
      <c r="L5486" s="162">
        <v>24</v>
      </c>
      <c r="M5486" s="163" t="str">
        <f>CONCATENATE(H5486," ",F5486,"(обрабатываемая площадь в год)","*",L5486," раза в год.","*",I5486,"/",K5486,"чел.")</f>
        <v>2747,26 м2(обрабатываемая площадь в год)*24 раза в год.*0,16443/169020чел.</v>
      </c>
      <c r="N5486" s="164">
        <f>Лист1!I169</f>
        <v>1.8597276619856391</v>
      </c>
      <c r="O5486" s="165">
        <f>MROUND(G5486*N5486,0.000001)</f>
        <v>0.11928999999999999</v>
      </c>
      <c r="P5486" s="166"/>
      <c r="Q5486" s="166">
        <f t="shared" si="1452"/>
        <v>20162.395799999998</v>
      </c>
      <c r="R5486" s="71"/>
      <c r="S5486" s="61"/>
      <c r="T5486" s="61"/>
      <c r="U5486" s="61"/>
      <c r="V5486" s="61"/>
      <c r="W5486" s="61"/>
      <c r="X5486" s="61"/>
      <c r="Y5486" s="61"/>
      <c r="Z5486" s="61"/>
      <c r="AA5486" s="61"/>
      <c r="AB5486" s="61"/>
      <c r="AC5486" s="61"/>
      <c r="AD5486" s="61"/>
      <c r="AE5486" s="61"/>
      <c r="AF5486" s="61"/>
      <c r="AG5486" s="61"/>
      <c r="AH5486" s="61"/>
      <c r="AI5486" s="61"/>
      <c r="AJ5486" s="61"/>
      <c r="AK5486" s="61"/>
      <c r="AL5486" s="61"/>
      <c r="AM5486" s="61"/>
      <c r="AN5486" s="61"/>
      <c r="AO5486" s="61"/>
    </row>
    <row r="5487" spans="1:41" s="135" customFormat="1" ht="31.5" x14ac:dyDescent="0.25">
      <c r="A5487" s="358"/>
      <c r="B5487" s="361"/>
      <c r="C5487" s="366"/>
      <c r="D5487" s="156" t="s">
        <v>394</v>
      </c>
      <c r="E5487" s="156" t="s">
        <v>22</v>
      </c>
      <c r="F5487" s="156" t="s">
        <v>22</v>
      </c>
      <c r="G5487" s="238">
        <f>MROUND(H5487*L5487*I5487/K5487,0.0000000001)</f>
        <v>5.7906677400000002E-2</v>
      </c>
      <c r="H5487" s="243">
        <f>Лист1!G170</f>
        <v>4960.26</v>
      </c>
      <c r="I5487" s="159">
        <f>I5486</f>
        <v>0.16442999999999999</v>
      </c>
      <c r="J5487" s="160"/>
      <c r="K5487" s="161">
        <f>K5486</f>
        <v>169020</v>
      </c>
      <c r="L5487" s="162">
        <v>12</v>
      </c>
      <c r="M5487" s="163" t="str">
        <f>CONCATENATE(H5487," ",F5487,"(обрабатываемая площадь в мес.)","*",L5487,"мес.","*",I5487,"/",K5487,"чел.")</f>
        <v>4960,26 м2(обрабатываемая площадь в мес.)*12мес.*0,16443/169020чел.</v>
      </c>
      <c r="N5487" s="164">
        <f>Лист1!I170</f>
        <v>0.57006991568990339</v>
      </c>
      <c r="O5487" s="165">
        <f>MROUND(G5487*N5487,0.000001)</f>
        <v>3.3010999999999999E-2</v>
      </c>
      <c r="P5487" s="166"/>
      <c r="Q5487" s="166">
        <f t="shared" si="1452"/>
        <v>5579.5192200000001</v>
      </c>
      <c r="R5487" s="71"/>
      <c r="S5487" s="61"/>
      <c r="T5487" s="61"/>
      <c r="U5487" s="61"/>
      <c r="V5487" s="61"/>
      <c r="W5487" s="61"/>
      <c r="X5487" s="61"/>
      <c r="Y5487" s="61"/>
      <c r="Z5487" s="61"/>
      <c r="AA5487" s="61"/>
      <c r="AB5487" s="61"/>
      <c r="AC5487" s="61"/>
      <c r="AD5487" s="61"/>
      <c r="AE5487" s="61"/>
      <c r="AF5487" s="61"/>
      <c r="AG5487" s="61"/>
      <c r="AH5487" s="61"/>
      <c r="AI5487" s="61"/>
      <c r="AJ5487" s="61"/>
      <c r="AK5487" s="61"/>
      <c r="AL5487" s="61"/>
      <c r="AM5487" s="61"/>
      <c r="AN5487" s="61"/>
      <c r="AO5487" s="61"/>
    </row>
    <row r="5488" spans="1:41" s="135" customFormat="1" ht="31.5" x14ac:dyDescent="0.25">
      <c r="A5488" s="358"/>
      <c r="B5488" s="361"/>
      <c r="C5488" s="366"/>
      <c r="D5488" s="156" t="s">
        <v>395</v>
      </c>
      <c r="E5488" s="156" t="s">
        <v>98</v>
      </c>
      <c r="F5488" s="156" t="s">
        <v>98</v>
      </c>
      <c r="G5488" s="238">
        <f>MROUND(H5488*L5488*I5488/K5488,0.000000000001)</f>
        <v>1.828946E-6</v>
      </c>
      <c r="H5488" s="242">
        <f>Лист1!G172</f>
        <v>1.8800000000000001</v>
      </c>
      <c r="I5488" s="159">
        <f>I5487</f>
        <v>0.16442999999999999</v>
      </c>
      <c r="J5488" s="160"/>
      <c r="K5488" s="161">
        <f>K5487</f>
        <v>169020</v>
      </c>
      <c r="L5488" s="162">
        <v>1</v>
      </c>
      <c r="M5488" s="163" t="str">
        <f>CONCATENATE(H5488," ",F5488,"(обрабатываемая площадь в год)","*",L5488," раз в год","*",I5488,"/",K5488,"чел.")</f>
        <v>1,88 Га(обрабатываемая площадь в год)*1 раз в год*0,16443/169020чел.</v>
      </c>
      <c r="N5488" s="164">
        <f>Лист1!I172</f>
        <v>570.07446808510633</v>
      </c>
      <c r="O5488" s="165">
        <f>MROUND(G5488*N5488,0.000001)</f>
        <v>1.0429999999999999E-3</v>
      </c>
      <c r="P5488" s="166"/>
      <c r="Q5488" s="166">
        <f t="shared" si="1452"/>
        <v>176.28785999999997</v>
      </c>
      <c r="R5488" s="71"/>
      <c r="S5488" s="61"/>
      <c r="T5488" s="61"/>
      <c r="U5488" s="61"/>
      <c r="V5488" s="61"/>
      <c r="W5488" s="61"/>
      <c r="X5488" s="61"/>
      <c r="Y5488" s="61"/>
      <c r="Z5488" s="61"/>
      <c r="AA5488" s="61"/>
      <c r="AB5488" s="61"/>
      <c r="AC5488" s="61"/>
      <c r="AD5488" s="61"/>
      <c r="AE5488" s="61"/>
      <c r="AF5488" s="61"/>
      <c r="AG5488" s="61"/>
      <c r="AH5488" s="61"/>
      <c r="AI5488" s="61"/>
      <c r="AJ5488" s="61"/>
      <c r="AK5488" s="61"/>
      <c r="AL5488" s="61"/>
      <c r="AM5488" s="61"/>
      <c r="AN5488" s="61"/>
      <c r="AO5488" s="61"/>
    </row>
    <row r="5489" spans="1:41" s="61" customFormat="1" ht="31.5" x14ac:dyDescent="0.25">
      <c r="A5489" s="358"/>
      <c r="B5489" s="361"/>
      <c r="C5489" s="367"/>
      <c r="D5489" s="156" t="s">
        <v>97</v>
      </c>
      <c r="E5489" s="156" t="s">
        <v>363</v>
      </c>
      <c r="F5489" s="156" t="s">
        <v>363</v>
      </c>
      <c r="G5489" s="238">
        <f>MROUND(H5489*L5489*I5489/K5489,0.0000000000001)</f>
        <v>1.8289457000000002E-6</v>
      </c>
      <c r="H5489" s="158">
        <f>Лист1!G171</f>
        <v>1.8800000000000001</v>
      </c>
      <c r="I5489" s="159">
        <f>I5485</f>
        <v>0.16442999999999999</v>
      </c>
      <c r="J5489" s="160"/>
      <c r="K5489" s="161">
        <f>K5485</f>
        <v>169020</v>
      </c>
      <c r="L5489" s="250">
        <v>1</v>
      </c>
      <c r="M5489" s="163" t="str">
        <f>CONCATENATE(H5489," ",F5489,"(обрабатываемая площадь в мес.)","*",L5489,"мес.","*",I5489,"/",K5489,"чел/час")</f>
        <v>1,88 га(обрабатываемая площадь в мес.)*1мес.*0,16443/169020чел/час</v>
      </c>
      <c r="N5489" s="278">
        <f>Лист1!I171</f>
        <v>3102.4095744680853</v>
      </c>
      <c r="O5489" s="280">
        <f>MROUND(N5489*G5489,0.000001)</f>
        <v>5.6739999999999994E-3</v>
      </c>
      <c r="P5489" s="166"/>
      <c r="Q5489" s="166">
        <f t="shared" si="1452"/>
        <v>959.01947999999993</v>
      </c>
      <c r="R5489" s="71"/>
      <c r="S5489" s="71"/>
    </row>
    <row r="5490" spans="1:41" s="109" customFormat="1" x14ac:dyDescent="0.25">
      <c r="A5490" s="358"/>
      <c r="B5490" s="361"/>
      <c r="C5490" s="218" t="s">
        <v>327</v>
      </c>
      <c r="D5490" s="240"/>
      <c r="E5490" s="240"/>
      <c r="F5490" s="240"/>
      <c r="G5490" s="227"/>
      <c r="H5490" s="241"/>
      <c r="I5490" s="206"/>
      <c r="J5490" s="228"/>
      <c r="K5490" s="207"/>
      <c r="L5490" s="257"/>
      <c r="M5490" s="209"/>
      <c r="N5490" s="281"/>
      <c r="O5490" s="279">
        <f>SUM(O5484:O5489)</f>
        <v>0.28304100000000004</v>
      </c>
      <c r="P5490" s="267"/>
      <c r="Q5490" s="166"/>
      <c r="R5490" s="71"/>
      <c r="S5490" s="62"/>
      <c r="T5490" s="62"/>
      <c r="U5490" s="62"/>
      <c r="V5490" s="62"/>
      <c r="W5490" s="62"/>
      <c r="X5490" s="62"/>
      <c r="Y5490" s="62"/>
      <c r="Z5490" s="62"/>
      <c r="AA5490" s="62"/>
      <c r="AB5490" s="62"/>
      <c r="AC5490" s="62"/>
      <c r="AD5490" s="62"/>
      <c r="AE5490" s="62"/>
      <c r="AF5490" s="62"/>
      <c r="AG5490" s="62"/>
      <c r="AH5490" s="62"/>
      <c r="AI5490" s="62"/>
      <c r="AJ5490" s="62"/>
      <c r="AK5490" s="62"/>
      <c r="AL5490" s="62"/>
      <c r="AM5490" s="62"/>
      <c r="AN5490" s="62"/>
      <c r="AO5490" s="62"/>
    </row>
    <row r="5491" spans="1:41" s="61" customFormat="1" x14ac:dyDescent="0.25">
      <c r="A5491" s="358"/>
      <c r="B5491" s="361"/>
      <c r="C5491" s="366" t="s">
        <v>77</v>
      </c>
      <c r="D5491" s="156" t="s">
        <v>397</v>
      </c>
      <c r="E5491" s="156" t="s">
        <v>433</v>
      </c>
      <c r="F5491" s="156" t="s">
        <v>433</v>
      </c>
      <c r="G5491" s="238">
        <f>MROUND(H5491*L5491*I5491/K5491,0.000000000001)</f>
        <v>0</v>
      </c>
      <c r="H5491" s="158"/>
      <c r="I5491" s="159">
        <f>I5485</f>
        <v>0.16442999999999999</v>
      </c>
      <c r="J5491" s="160"/>
      <c r="K5491" s="161">
        <f>K5485</f>
        <v>169020</v>
      </c>
      <c r="L5491" s="162">
        <v>1</v>
      </c>
      <c r="M5491" s="163"/>
      <c r="N5491" s="278"/>
      <c r="O5491" s="280">
        <f t="shared" ref="O5491" si="1454">MROUND(N5491*G5491,0.000001)</f>
        <v>0</v>
      </c>
      <c r="P5491" s="166"/>
      <c r="Q5491" s="166">
        <f t="shared" ref="Q5491:Q5503" si="1455">O5491*K5491</f>
        <v>0</v>
      </c>
      <c r="R5491" s="71"/>
      <c r="T5491" s="71"/>
    </row>
    <row r="5492" spans="1:41" s="61" customFormat="1" ht="63" x14ac:dyDescent="0.25">
      <c r="A5492" s="358"/>
      <c r="B5492" s="361"/>
      <c r="C5492" s="366"/>
      <c r="D5492" s="156" t="s">
        <v>249</v>
      </c>
      <c r="E5492" s="156" t="s">
        <v>22</v>
      </c>
      <c r="F5492" s="156" t="s">
        <v>22</v>
      </c>
      <c r="G5492" s="238">
        <f>MROUND(H5492*L5492*I5492/K5492,0.0000000000001)</f>
        <v>8.0643663258999996E-3</v>
      </c>
      <c r="H5492" s="158">
        <f>Лист1!G173</f>
        <v>690.79</v>
      </c>
      <c r="I5492" s="159">
        <f>I5491</f>
        <v>0.16442999999999999</v>
      </c>
      <c r="J5492" s="160"/>
      <c r="K5492" s="161">
        <f>K5491</f>
        <v>169020</v>
      </c>
      <c r="L5492" s="250">
        <v>12</v>
      </c>
      <c r="M5492" s="163" t="str">
        <f>CONCATENATE(H5492," ",F5492,"*",L5492,"мес.","*",I5492,"/",K5492,"чел/час")</f>
        <v>690,79 м2*12мес.*0,16443/169020чел/час</v>
      </c>
      <c r="N5492" s="278">
        <f>Лист1!I173</f>
        <v>31.700778577184575</v>
      </c>
      <c r="O5492" s="280">
        <f>MROUND(N5492*G5492,0.000001)</f>
        <v>0.25564700000000001</v>
      </c>
      <c r="P5492" s="166"/>
      <c r="Q5492" s="166">
        <f t="shared" si="1455"/>
        <v>43209.45594</v>
      </c>
      <c r="R5492" s="71"/>
    </row>
    <row r="5493" spans="1:41" s="136" customFormat="1" x14ac:dyDescent="0.25">
      <c r="A5493" s="358"/>
      <c r="B5493" s="361"/>
      <c r="C5493" s="366"/>
      <c r="D5493" s="194" t="s">
        <v>398</v>
      </c>
      <c r="E5493" s="156" t="s">
        <v>60</v>
      </c>
      <c r="F5493" s="156" t="s">
        <v>60</v>
      </c>
      <c r="G5493" s="238">
        <f>MROUND(H5493*L5493*I5493/K5493,0.0000000000001)</f>
        <v>4.8642173000000004E-6</v>
      </c>
      <c r="H5493" s="158">
        <f>Лист1!G180</f>
        <v>5</v>
      </c>
      <c r="I5493" s="159">
        <f>I5492</f>
        <v>0.16442999999999999</v>
      </c>
      <c r="J5493" s="160"/>
      <c r="K5493" s="161">
        <f>K5492</f>
        <v>169020</v>
      </c>
      <c r="L5493" s="250">
        <v>1</v>
      </c>
      <c r="M5493" s="163" t="str">
        <f>CONCATENATE(H5493," ",F5493,"*",I5493,"/",K5493,"чел/час")</f>
        <v>5 шт.*0,16443/169020чел/час</v>
      </c>
      <c r="N5493" s="278">
        <f>Лист1!I180</f>
        <v>5700.7</v>
      </c>
      <c r="O5493" s="280">
        <f>MROUND(N5493*G5493,0.000001)</f>
        <v>2.7729E-2</v>
      </c>
      <c r="P5493" s="166"/>
      <c r="Q5493" s="166">
        <f t="shared" si="1455"/>
        <v>4686.75558</v>
      </c>
      <c r="R5493" s="71"/>
      <c r="S5493" s="61"/>
      <c r="T5493" s="61"/>
      <c r="U5493" s="61"/>
      <c r="V5493" s="61"/>
      <c r="W5493" s="61"/>
      <c r="X5493" s="61"/>
      <c r="Y5493" s="61"/>
      <c r="Z5493" s="61"/>
      <c r="AA5493" s="61"/>
      <c r="AB5493" s="61"/>
      <c r="AC5493" s="61"/>
      <c r="AD5493" s="61"/>
      <c r="AE5493" s="61"/>
      <c r="AF5493" s="61"/>
      <c r="AG5493" s="61"/>
      <c r="AH5493" s="61"/>
      <c r="AI5493" s="61"/>
      <c r="AJ5493" s="61"/>
      <c r="AK5493" s="61"/>
      <c r="AL5493" s="61"/>
      <c r="AM5493" s="61"/>
      <c r="AN5493" s="61"/>
      <c r="AO5493" s="61"/>
    </row>
    <row r="5494" spans="1:41" s="136" customFormat="1" ht="63" x14ac:dyDescent="0.25">
      <c r="A5494" s="358"/>
      <c r="B5494" s="361"/>
      <c r="C5494" s="366"/>
      <c r="D5494" s="156" t="s">
        <v>33</v>
      </c>
      <c r="E5494" s="156" t="s">
        <v>56</v>
      </c>
      <c r="F5494" s="156" t="s">
        <v>220</v>
      </c>
      <c r="G5494" s="238">
        <f>MROUND(H5494*L5494*I5494/K5494,0.000000000001)</f>
        <v>4.8642169999999998E-6</v>
      </c>
      <c r="H5494" s="158">
        <f>Лист1!G179</f>
        <v>5</v>
      </c>
      <c r="I5494" s="159">
        <f>I5493</f>
        <v>0.16442999999999999</v>
      </c>
      <c r="J5494" s="160"/>
      <c r="K5494" s="161">
        <f>K5493</f>
        <v>169020</v>
      </c>
      <c r="L5494" s="250">
        <v>1</v>
      </c>
      <c r="M5494" s="163" t="str">
        <f>CONCATENATE(H5494," ",F5494,"*",L5494," раз в год","*",I5494,"/",K5494,"чел.")</f>
        <v>5 дымоходов*1 раз в год*0,16443/169020чел.</v>
      </c>
      <c r="N5494" s="278">
        <f>Лист1!I179</f>
        <v>6840.8399999999992</v>
      </c>
      <c r="O5494" s="280">
        <f>MROUND(N5494*G5494,0.000001)</f>
        <v>3.3274999999999999E-2</v>
      </c>
      <c r="P5494" s="166"/>
      <c r="Q5494" s="166">
        <f t="shared" si="1455"/>
        <v>5624.1404999999995</v>
      </c>
      <c r="R5494" s="71"/>
      <c r="S5494" s="61"/>
      <c r="T5494" s="61"/>
      <c r="U5494" s="61"/>
      <c r="V5494" s="61"/>
      <c r="W5494" s="61"/>
      <c r="X5494" s="61"/>
      <c r="Y5494" s="61"/>
      <c r="Z5494" s="61"/>
      <c r="AA5494" s="61"/>
      <c r="AB5494" s="61"/>
      <c r="AC5494" s="61"/>
      <c r="AD5494" s="61"/>
      <c r="AE5494" s="61"/>
      <c r="AF5494" s="61"/>
      <c r="AG5494" s="61"/>
      <c r="AH5494" s="61"/>
      <c r="AI5494" s="61"/>
      <c r="AJ5494" s="61"/>
      <c r="AK5494" s="61"/>
      <c r="AL5494" s="61"/>
      <c r="AM5494" s="61"/>
      <c r="AN5494" s="61"/>
      <c r="AO5494" s="61"/>
    </row>
    <row r="5495" spans="1:41" s="61" customFormat="1" ht="78.75" x14ac:dyDescent="0.25">
      <c r="A5495" s="358"/>
      <c r="B5495" s="361"/>
      <c r="C5495" s="366"/>
      <c r="D5495" s="156" t="s">
        <v>250</v>
      </c>
      <c r="E5495" s="156" t="s">
        <v>251</v>
      </c>
      <c r="F5495" s="156" t="s">
        <v>60</v>
      </c>
      <c r="G5495" s="238">
        <f>MROUND(H5495*L5495*I5495/K5495,0.00000000000001)</f>
        <v>4.8642172499999996E-6</v>
      </c>
      <c r="H5495" s="158">
        <f>Лист1!G191</f>
        <v>5</v>
      </c>
      <c r="I5495" s="159">
        <f>I5492</f>
        <v>0.16442999999999999</v>
      </c>
      <c r="J5495" s="160"/>
      <c r="K5495" s="161">
        <f>K5492</f>
        <v>169020</v>
      </c>
      <c r="L5495" s="250">
        <v>1</v>
      </c>
      <c r="M5495" s="163" t="str">
        <f>CONCATENATE(H5495," ",F5495,"*",I5495,"/",K5495,"чел/час")</f>
        <v>5 шт.*0,16443/169020чел/час</v>
      </c>
      <c r="N5495" s="278">
        <f>Лист1!I191</f>
        <v>4560.5600000000004</v>
      </c>
      <c r="O5495" s="280">
        <f t="shared" ref="O5495:O5502" si="1456">MROUND(N5495*G5495,0.000001)</f>
        <v>2.2183999999999999E-2</v>
      </c>
      <c r="P5495" s="166"/>
      <c r="Q5495" s="166">
        <f t="shared" si="1455"/>
        <v>3749.5396799999999</v>
      </c>
      <c r="R5495" s="71"/>
    </row>
    <row r="5496" spans="1:41" s="61" customFormat="1" ht="47.25" x14ac:dyDescent="0.25">
      <c r="A5496" s="358"/>
      <c r="B5496" s="361"/>
      <c r="C5496" s="366"/>
      <c r="D5496" s="156" t="s">
        <v>401</v>
      </c>
      <c r="E5496" s="156" t="s">
        <v>60</v>
      </c>
      <c r="F5496" s="156" t="s">
        <v>402</v>
      </c>
      <c r="G5496" s="238">
        <f>MROUND(H5496*L5496*I5496/K5496,0.000000000001)</f>
        <v>9.7284350000000006E-6</v>
      </c>
      <c r="H5496" s="158">
        <f>Лист1!G181</f>
        <v>5</v>
      </c>
      <c r="I5496" s="159">
        <f>I5495</f>
        <v>0.16442999999999999</v>
      </c>
      <c r="J5496" s="160"/>
      <c r="K5496" s="161">
        <f>K5495</f>
        <v>169020</v>
      </c>
      <c r="L5496" s="250">
        <v>2</v>
      </c>
      <c r="M5496" s="163" t="str">
        <f>CONCATENATE(H5496," ",F5496,"*",I5496,"/",K5496,"чел/час")</f>
        <v>5 противопожарных водопроводов*0,16443/169020чел/час</v>
      </c>
      <c r="N5496" s="278">
        <f>Лист1!I181</f>
        <v>2850.35</v>
      </c>
      <c r="O5496" s="280">
        <f t="shared" si="1456"/>
        <v>2.7729E-2</v>
      </c>
      <c r="P5496" s="166"/>
      <c r="Q5496" s="166">
        <f t="shared" si="1455"/>
        <v>4686.75558</v>
      </c>
      <c r="R5496" s="71"/>
      <c r="T5496" s="71"/>
    </row>
    <row r="5497" spans="1:41" s="61" customFormat="1" ht="47.25" x14ac:dyDescent="0.25">
      <c r="A5497" s="358"/>
      <c r="B5497" s="361"/>
      <c r="C5497" s="366"/>
      <c r="D5497" s="156" t="s">
        <v>34</v>
      </c>
      <c r="E5497" s="156" t="s">
        <v>59</v>
      </c>
      <c r="F5497" s="156" t="s">
        <v>28</v>
      </c>
      <c r="G5497" s="238">
        <f>MROUND(H5497*L5497*I5497/K5497,0.0000000000001)</f>
        <v>1.9456869000000002E-6</v>
      </c>
      <c r="H5497" s="158">
        <f>Лист1!G183</f>
        <v>2</v>
      </c>
      <c r="I5497" s="159">
        <f>I5496</f>
        <v>0.16442999999999999</v>
      </c>
      <c r="J5497" s="160"/>
      <c r="K5497" s="161">
        <f>K5496</f>
        <v>169020</v>
      </c>
      <c r="L5497" s="250">
        <v>1</v>
      </c>
      <c r="M5497" s="163" t="str">
        <f>CONCATENATE(H5497," ",F5497,"*",I5497,"/",K5497,"чел/час")</f>
        <v>2 шт*0,16443/169020чел/час</v>
      </c>
      <c r="N5497" s="278">
        <f>Лист1!I183</f>
        <v>7845</v>
      </c>
      <c r="O5497" s="280">
        <f t="shared" si="1456"/>
        <v>1.5264E-2</v>
      </c>
      <c r="P5497" s="166"/>
      <c r="Q5497" s="166">
        <f t="shared" si="1455"/>
        <v>2579.92128</v>
      </c>
      <c r="R5497" s="71"/>
      <c r="T5497" s="71"/>
    </row>
    <row r="5498" spans="1:41" s="61" customFormat="1" ht="47.25" x14ac:dyDescent="0.25">
      <c r="A5498" s="358"/>
      <c r="B5498" s="361"/>
      <c r="C5498" s="366"/>
      <c r="D5498" s="156" t="s">
        <v>222</v>
      </c>
      <c r="E5498" s="156" t="s">
        <v>60</v>
      </c>
      <c r="F5498" s="156" t="s">
        <v>60</v>
      </c>
      <c r="G5498" s="238">
        <f>MROUND(H5498*L5498*I5498/K5498,0.0000000000001)</f>
        <v>1.9456869000000002E-6</v>
      </c>
      <c r="H5498" s="158">
        <f>Лист1!G184</f>
        <v>2</v>
      </c>
      <c r="I5498" s="159">
        <f>I5497</f>
        <v>0.16442999999999999</v>
      </c>
      <c r="J5498" s="160"/>
      <c r="K5498" s="161">
        <f>K5497</f>
        <v>169020</v>
      </c>
      <c r="L5498" s="250">
        <v>1</v>
      </c>
      <c r="M5498" s="163" t="str">
        <f>CONCATENATE(H5498," ",F5498,"*",I5498,"/",K5498,"чел/час")</f>
        <v>2 шт.*0,16443/169020чел/час</v>
      </c>
      <c r="N5498" s="278">
        <f>Лист1!I184</f>
        <v>13598</v>
      </c>
      <c r="O5498" s="280">
        <f t="shared" si="1456"/>
        <v>2.6456999999999998E-2</v>
      </c>
      <c r="P5498" s="166"/>
      <c r="Q5498" s="166">
        <f t="shared" si="1455"/>
        <v>4471.7621399999998</v>
      </c>
      <c r="R5498" s="71"/>
      <c r="T5498" s="71"/>
    </row>
    <row r="5499" spans="1:41" s="61" customFormat="1" ht="31.5" x14ac:dyDescent="0.25">
      <c r="A5499" s="358"/>
      <c r="B5499" s="361"/>
      <c r="C5499" s="366"/>
      <c r="D5499" s="156" t="s">
        <v>35</v>
      </c>
      <c r="E5499" s="156" t="s">
        <v>102</v>
      </c>
      <c r="F5499" s="156" t="s">
        <v>252</v>
      </c>
      <c r="G5499" s="238">
        <f>MROUND(H5499*L5499*I5499/K5499,0.00000000000001)</f>
        <v>1.9456869000000002E-6</v>
      </c>
      <c r="H5499" s="158">
        <f>Лист1!G185</f>
        <v>2</v>
      </c>
      <c r="I5499" s="159">
        <f>I5497</f>
        <v>0.16442999999999999</v>
      </c>
      <c r="J5499" s="160"/>
      <c r="K5499" s="161">
        <f>K5497</f>
        <v>169020</v>
      </c>
      <c r="L5499" s="250">
        <v>1</v>
      </c>
      <c r="M5499" s="163" t="str">
        <f>CONCATENATE(H5499," ",F5499,"*",I5499,"/",K5499,"чел/час")</f>
        <v>2 замера*0,16443/169020чел/час</v>
      </c>
      <c r="N5499" s="278">
        <f>Лист1!I185</f>
        <v>62500</v>
      </c>
      <c r="O5499" s="280">
        <f t="shared" si="1456"/>
        <v>0.12160499999999999</v>
      </c>
      <c r="P5499" s="166"/>
      <c r="Q5499" s="166">
        <f t="shared" si="1455"/>
        <v>20553.677099999997</v>
      </c>
      <c r="R5499" s="71"/>
      <c r="S5499" s="71"/>
    </row>
    <row r="5500" spans="1:41" s="61" customFormat="1" ht="47.25" x14ac:dyDescent="0.25">
      <c r="A5500" s="358"/>
      <c r="B5500" s="361"/>
      <c r="C5500" s="366"/>
      <c r="D5500" s="156" t="s">
        <v>399</v>
      </c>
      <c r="E5500" s="156" t="s">
        <v>60</v>
      </c>
      <c r="F5500" s="156" t="s">
        <v>60</v>
      </c>
      <c r="G5500" s="238">
        <f>MROUND(H5500*L5500*I5500/K5500,0.00000000000001)</f>
        <v>3.8913738019999997E-5</v>
      </c>
      <c r="H5500" s="158">
        <f>Лист1!G186</f>
        <v>4</v>
      </c>
      <c r="I5500" s="159">
        <f>I5499</f>
        <v>0.16442999999999999</v>
      </c>
      <c r="J5500" s="160"/>
      <c r="K5500" s="161">
        <f>K5499</f>
        <v>169020</v>
      </c>
      <c r="L5500" s="250">
        <v>10</v>
      </c>
      <c r="M5500" s="163" t="str">
        <f>CONCATENATE(H5500," ",F5500,"*",L5500,"мес.","*",I5500,"/",K5500,"чел/час")</f>
        <v>4 шт.*10мес.*0,16443/169020чел/час</v>
      </c>
      <c r="N5500" s="278">
        <f>Лист1!I186</f>
        <v>2522.5597499999994</v>
      </c>
      <c r="O5500" s="280">
        <f t="shared" si="1456"/>
        <v>9.8161999999999999E-2</v>
      </c>
      <c r="P5500" s="166"/>
      <c r="Q5500" s="166">
        <f t="shared" si="1455"/>
        <v>16591.341240000002</v>
      </c>
      <c r="R5500" s="71"/>
      <c r="T5500" s="71"/>
    </row>
    <row r="5501" spans="1:41" s="61" customFormat="1" ht="47.25" x14ac:dyDescent="0.25">
      <c r="A5501" s="358"/>
      <c r="B5501" s="361"/>
      <c r="C5501" s="366"/>
      <c r="D5501" s="156" t="s">
        <v>36</v>
      </c>
      <c r="E5501" s="156" t="s">
        <v>31</v>
      </c>
      <c r="F5501" s="156" t="s">
        <v>224</v>
      </c>
      <c r="G5501" s="238">
        <f>MROUND(H5501*L5501*I5501/K5501,0.000000000001)</f>
        <v>9.3392970999999999E-5</v>
      </c>
      <c r="H5501" s="158">
        <f>Лист1!G187</f>
        <v>8</v>
      </c>
      <c r="I5501" s="159">
        <f>I5500</f>
        <v>0.16442999999999999</v>
      </c>
      <c r="J5501" s="160"/>
      <c r="K5501" s="161">
        <f>K5500</f>
        <v>169020</v>
      </c>
      <c r="L5501" s="250">
        <v>12</v>
      </c>
      <c r="M5501" s="163" t="str">
        <f>CONCATENATE(H5501," ",F5501,"*",L5501,"мес.","*",I5501,"/",K5501,"чел/час")</f>
        <v>8 устройств*12мес.*0,16443/169020чел/час</v>
      </c>
      <c r="N5501" s="278">
        <f>Лист1!I187</f>
        <v>2301.2000000000003</v>
      </c>
      <c r="O5501" s="280">
        <f t="shared" si="1456"/>
        <v>0.214916</v>
      </c>
      <c r="P5501" s="166"/>
      <c r="Q5501" s="166">
        <f t="shared" si="1455"/>
        <v>36325.102319999998</v>
      </c>
      <c r="R5501" s="71"/>
      <c r="S5501" s="71"/>
    </row>
    <row r="5502" spans="1:41" s="61" customFormat="1" ht="63" x14ac:dyDescent="0.25">
      <c r="A5502" s="358"/>
      <c r="B5502" s="361"/>
      <c r="C5502" s="366"/>
      <c r="D5502" s="156" t="s">
        <v>253</v>
      </c>
      <c r="E5502" s="156" t="s">
        <v>55</v>
      </c>
      <c r="F5502" s="156" t="s">
        <v>55</v>
      </c>
      <c r="G5502" s="238">
        <f>MROUND(H5502*L5502*I5502/K5502,0.0000000000001)</f>
        <v>5.8370606999999999E-5</v>
      </c>
      <c r="H5502" s="158">
        <f>Лист1!G182</f>
        <v>5</v>
      </c>
      <c r="I5502" s="159">
        <f>I5501</f>
        <v>0.16442999999999999</v>
      </c>
      <c r="J5502" s="160"/>
      <c r="K5502" s="161">
        <f>K5501</f>
        <v>169020</v>
      </c>
      <c r="L5502" s="250">
        <v>12</v>
      </c>
      <c r="M5502" s="163" t="str">
        <f>CONCATENATE(H5502," ",F5502,"*",I5502,"/",K5502,"чел/час")</f>
        <v>5 система*0,16443/169020чел/час</v>
      </c>
      <c r="N5502" s="278">
        <f>Лист1!I182</f>
        <v>4446.5460000000003</v>
      </c>
      <c r="O5502" s="280">
        <f t="shared" si="1456"/>
        <v>0.259548</v>
      </c>
      <c r="P5502" s="166"/>
      <c r="Q5502" s="166">
        <f t="shared" si="1455"/>
        <v>43868.802960000001</v>
      </c>
      <c r="R5502" s="71"/>
    </row>
    <row r="5503" spans="1:41" s="61" customFormat="1" ht="31.5" x14ac:dyDescent="0.25">
      <c r="A5503" s="358"/>
      <c r="B5503" s="361"/>
      <c r="C5503" s="366"/>
      <c r="D5503" s="156" t="s">
        <v>99</v>
      </c>
      <c r="E5503" s="156" t="s">
        <v>103</v>
      </c>
      <c r="F5503" s="156" t="s">
        <v>225</v>
      </c>
      <c r="G5503" s="238">
        <f>MROUND(H5503*L5503*I5503/K5503,0.000000000001)</f>
        <v>2.4321085999999998E-5</v>
      </c>
      <c r="H5503" s="158">
        <f>Лист1!G188</f>
        <v>25</v>
      </c>
      <c r="I5503" s="159">
        <f>I5502</f>
        <v>0.16442999999999999</v>
      </c>
      <c r="J5503" s="160"/>
      <c r="K5503" s="161">
        <f>K5502</f>
        <v>169020</v>
      </c>
      <c r="L5503" s="250">
        <v>1</v>
      </c>
      <c r="M5503" s="163" t="str">
        <f>CONCATENATE(H5503," ",F5503,"*",I5503,"/",K5503,"чел.")</f>
        <v>25 ед.*0,16443/169020чел.</v>
      </c>
      <c r="N5503" s="164">
        <f>Лист1!I188</f>
        <v>15000</v>
      </c>
      <c r="O5503" s="165">
        <f>MROUND(G5503*N5503,0.000001)</f>
        <v>0.36481599999999997</v>
      </c>
      <c r="P5503" s="166"/>
      <c r="Q5503" s="166">
        <f t="shared" si="1455"/>
        <v>61661.200319999996</v>
      </c>
      <c r="R5503" s="71"/>
    </row>
    <row r="5504" spans="1:41" s="61" customFormat="1" x14ac:dyDescent="0.25">
      <c r="A5504" s="358"/>
      <c r="B5504" s="361"/>
      <c r="C5504" s="366"/>
      <c r="D5504" s="156" t="s">
        <v>27</v>
      </c>
      <c r="E5504" s="156" t="s">
        <v>28</v>
      </c>
      <c r="F5504" s="156" t="s">
        <v>28</v>
      </c>
      <c r="G5504" s="238">
        <f>MROUND(H5504*L5504*I5504/K5504,0.000000000001)</f>
        <v>1.4592651799999999E-4</v>
      </c>
      <c r="H5504" s="160">
        <f>Лист1!G189</f>
        <v>150</v>
      </c>
      <c r="I5504" s="159">
        <f>I5502</f>
        <v>0.16442999999999999</v>
      </c>
      <c r="J5504" s="160"/>
      <c r="K5504" s="161">
        <f>K5502</f>
        <v>169020</v>
      </c>
      <c r="L5504" s="250">
        <v>1</v>
      </c>
      <c r="M5504" s="163" t="str">
        <f>CONCATENATE(H5504," ",F5504,"*",I5504,"/",K5504,"чел/час")</f>
        <v>150 шт*0,16443/169020чел/час</v>
      </c>
      <c r="N5504" s="278">
        <f>Лист1!I189</f>
        <v>400</v>
      </c>
      <c r="O5504" s="280">
        <f t="shared" ref="O5504:O5505" si="1457">MROUND(N5504*G5504,0.000001)</f>
        <v>5.8370999999999999E-2</v>
      </c>
      <c r="P5504" s="166"/>
      <c r="Q5504" s="166">
        <f>O5504*K5504</f>
        <v>9865.8664200000003</v>
      </c>
      <c r="R5504" s="71"/>
      <c r="S5504" s="71"/>
    </row>
    <row r="5505" spans="1:41" s="61" customFormat="1" ht="31.5" x14ac:dyDescent="0.25">
      <c r="A5505" s="358"/>
      <c r="B5505" s="361"/>
      <c r="C5505" s="367"/>
      <c r="D5505" s="156" t="s">
        <v>104</v>
      </c>
      <c r="E5505" s="156" t="s">
        <v>105</v>
      </c>
      <c r="F5505" s="156" t="s">
        <v>226</v>
      </c>
      <c r="G5505" s="238">
        <f>MROUND(H5505*L5505*I5505/K5505,0.000000000001)</f>
        <v>4.8642169999999998E-6</v>
      </c>
      <c r="H5505" s="160">
        <f>Лист1!G190</f>
        <v>5</v>
      </c>
      <c r="I5505" s="159">
        <f>I5504</f>
        <v>0.16442999999999999</v>
      </c>
      <c r="J5505" s="160"/>
      <c r="K5505" s="161">
        <f>K5504</f>
        <v>169020</v>
      </c>
      <c r="L5505" s="250">
        <v>1</v>
      </c>
      <c r="M5505" s="163" t="str">
        <f>CONCATENATE(H5505," ",F5505,"*",I5505,"/",K5505,"чел/час")</f>
        <v>5 отключений*0,16443/169020чел/час</v>
      </c>
      <c r="N5505" s="278">
        <f>Лист1!I190</f>
        <v>9414</v>
      </c>
      <c r="O5505" s="280">
        <f t="shared" si="1457"/>
        <v>4.5791999999999999E-2</v>
      </c>
      <c r="P5505" s="166"/>
      <c r="Q5505" s="166">
        <f>O5505*K5505</f>
        <v>7739.7638399999996</v>
      </c>
      <c r="R5505" s="71"/>
      <c r="S5505" s="71"/>
    </row>
    <row r="5506" spans="1:41" s="109" customFormat="1" x14ac:dyDescent="0.25">
      <c r="A5506" s="358"/>
      <c r="B5506" s="361"/>
      <c r="C5506" s="249" t="s">
        <v>326</v>
      </c>
      <c r="D5506" s="240"/>
      <c r="E5506" s="240"/>
      <c r="F5506" s="240"/>
      <c r="G5506" s="227"/>
      <c r="H5506" s="228"/>
      <c r="I5506" s="206"/>
      <c r="J5506" s="228"/>
      <c r="K5506" s="207"/>
      <c r="L5506" s="257"/>
      <c r="M5506" s="209"/>
      <c r="N5506" s="281"/>
      <c r="O5506" s="279">
        <f>SUM(O5491:O5505)</f>
        <v>1.5714950000000001</v>
      </c>
      <c r="P5506" s="267"/>
      <c r="Q5506" s="166"/>
      <c r="R5506" s="71"/>
      <c r="S5506" s="62"/>
      <c r="T5506" s="62"/>
      <c r="U5506" s="62"/>
      <c r="V5506" s="62"/>
      <c r="W5506" s="62"/>
      <c r="X5506" s="62"/>
      <c r="Y5506" s="62"/>
      <c r="Z5506" s="62"/>
      <c r="AA5506" s="62"/>
      <c r="AB5506" s="62"/>
      <c r="AC5506" s="62"/>
      <c r="AD5506" s="62"/>
      <c r="AE5506" s="62"/>
      <c r="AF5506" s="62"/>
      <c r="AG5506" s="62"/>
      <c r="AH5506" s="62"/>
      <c r="AI5506" s="62"/>
      <c r="AJ5506" s="62"/>
      <c r="AK5506" s="62"/>
      <c r="AL5506" s="62"/>
      <c r="AM5506" s="62"/>
      <c r="AN5506" s="62"/>
      <c r="AO5506" s="62"/>
    </row>
    <row r="5507" spans="1:41" s="61" customFormat="1" ht="31.5" x14ac:dyDescent="0.25">
      <c r="A5507" s="358"/>
      <c r="B5507" s="361"/>
      <c r="C5507" s="221" t="s">
        <v>79</v>
      </c>
      <c r="D5507" s="156" t="s">
        <v>37</v>
      </c>
      <c r="E5507" s="156" t="s">
        <v>61</v>
      </c>
      <c r="F5507" s="156" t="s">
        <v>254</v>
      </c>
      <c r="G5507" s="238">
        <f>MROUND(H5507*L5507*I5507/K5507,0.0000000000001)</f>
        <v>9.7284350000000006E-7</v>
      </c>
      <c r="H5507" s="158">
        <f>Лист1!G192</f>
        <v>1</v>
      </c>
      <c r="I5507" s="159">
        <f>I5505</f>
        <v>0.16442999999999999</v>
      </c>
      <c r="J5507" s="160"/>
      <c r="K5507" s="161">
        <f>K5505</f>
        <v>169020</v>
      </c>
      <c r="L5507" s="250">
        <v>1</v>
      </c>
      <c r="M5507" s="163" t="str">
        <f>CONCATENATE(H5507," ",F5507,"*",I5507,"/",K5507,"чел/час")</f>
        <v>1 автобус*0,16443/169020чел/час</v>
      </c>
      <c r="N5507" s="278">
        <f>Лист1!I192</f>
        <v>24426.36</v>
      </c>
      <c r="O5507" s="280">
        <f t="shared" ref="O5507:O5508" si="1458">MROUND(N5507*G5507,0.000001)</f>
        <v>2.3762999999999999E-2</v>
      </c>
      <c r="P5507" s="166"/>
      <c r="Q5507" s="166">
        <f>O5507*K5507</f>
        <v>4016.4222599999998</v>
      </c>
      <c r="R5507" s="71"/>
      <c r="T5507" s="71"/>
    </row>
    <row r="5508" spans="1:41" s="61" customFormat="1" x14ac:dyDescent="0.25">
      <c r="A5508" s="358"/>
      <c r="B5508" s="361"/>
      <c r="C5508" s="221"/>
      <c r="D5508" s="156" t="s">
        <v>255</v>
      </c>
      <c r="E5508" s="156" t="s">
        <v>28</v>
      </c>
      <c r="F5508" s="156" t="s">
        <v>28</v>
      </c>
      <c r="G5508" s="238">
        <f>MROUND(H5508*L5508*I5508/K5508,0.0000000000001)</f>
        <v>6.7126198080000006E-4</v>
      </c>
      <c r="H5508" s="158">
        <f>Лист1!G194</f>
        <v>345</v>
      </c>
      <c r="I5508" s="159">
        <f>I5507</f>
        <v>0.16442999999999999</v>
      </c>
      <c r="J5508" s="160"/>
      <c r="K5508" s="161">
        <f>K5507</f>
        <v>169020</v>
      </c>
      <c r="L5508" s="250">
        <v>2</v>
      </c>
      <c r="M5508" s="163" t="str">
        <f>CONCATENATE(H5508," ",F5508,"*",L5508,"раза в год","*",I5508,"/",K5508,"чел/час")</f>
        <v>345 шт*2раза в год*0,16443/169020чел/час</v>
      </c>
      <c r="N5508" s="278">
        <f>Лист1!I194</f>
        <v>456.05601449275366</v>
      </c>
      <c r="O5508" s="280">
        <f t="shared" si="1458"/>
        <v>0.30613299999999999</v>
      </c>
      <c r="P5508" s="166"/>
      <c r="Q5508" s="166">
        <f>O5508*K5508</f>
        <v>51742.59966</v>
      </c>
      <c r="R5508" s="71"/>
    </row>
    <row r="5509" spans="1:41" s="109" customFormat="1" x14ac:dyDescent="0.25">
      <c r="A5509" s="358"/>
      <c r="B5509" s="361"/>
      <c r="C5509" s="218" t="s">
        <v>328</v>
      </c>
      <c r="D5509" s="240"/>
      <c r="E5509" s="240"/>
      <c r="F5509" s="240"/>
      <c r="G5509" s="227"/>
      <c r="H5509" s="241"/>
      <c r="I5509" s="206"/>
      <c r="J5509" s="228"/>
      <c r="K5509" s="207"/>
      <c r="L5509" s="257"/>
      <c r="M5509" s="209"/>
      <c r="N5509" s="281"/>
      <c r="O5509" s="279">
        <f>O5508+O5507</f>
        <v>0.32989599999999997</v>
      </c>
      <c r="P5509" s="267"/>
      <c r="Q5509" s="166"/>
      <c r="R5509" s="71"/>
      <c r="S5509" s="62"/>
      <c r="T5509" s="62"/>
      <c r="U5509" s="62"/>
      <c r="V5509" s="62"/>
      <c r="W5509" s="62"/>
      <c r="X5509" s="62"/>
      <c r="Y5509" s="62"/>
      <c r="Z5509" s="62"/>
      <c r="AA5509" s="62"/>
      <c r="AB5509" s="62"/>
      <c r="AC5509" s="62"/>
      <c r="AD5509" s="62"/>
      <c r="AE5509" s="62"/>
      <c r="AF5509" s="62"/>
      <c r="AG5509" s="62"/>
      <c r="AH5509" s="62"/>
      <c r="AI5509" s="62"/>
      <c r="AJ5509" s="62"/>
      <c r="AK5509" s="62"/>
      <c r="AL5509" s="62"/>
      <c r="AM5509" s="62"/>
      <c r="AN5509" s="62"/>
      <c r="AO5509" s="62"/>
    </row>
    <row r="5510" spans="1:41" s="61" customFormat="1" x14ac:dyDescent="0.25">
      <c r="A5510" s="358"/>
      <c r="B5510" s="361"/>
      <c r="C5510" s="364" t="s">
        <v>80</v>
      </c>
      <c r="D5510" s="156" t="s">
        <v>38</v>
      </c>
      <c r="E5510" s="156" t="s">
        <v>57</v>
      </c>
      <c r="F5510" s="156" t="s">
        <v>228</v>
      </c>
      <c r="G5510" s="238">
        <f>MROUND(H5510*L5510*I5510/K5510,0.0000000000001)</f>
        <v>9.3392971200000009E-5</v>
      </c>
      <c r="H5510" s="158">
        <f>Лист1!G195</f>
        <v>8</v>
      </c>
      <c r="I5510" s="159">
        <f>I5507</f>
        <v>0.16442999999999999</v>
      </c>
      <c r="J5510" s="160"/>
      <c r="K5510" s="161">
        <f>K5507</f>
        <v>169020</v>
      </c>
      <c r="L5510" s="250">
        <v>12</v>
      </c>
      <c r="M5510" s="163" t="str">
        <f>CONCATENATE(H5510," ",F5510,"*",L5510,"мес.","*",I5510,"/",K5510,"чел/час")</f>
        <v>8 зданий*12мес.*0,16443/169020чел/час</v>
      </c>
      <c r="N5510" s="278">
        <f>Лист1!I195</f>
        <v>4910.5830208333327</v>
      </c>
      <c r="O5510" s="280">
        <f t="shared" ref="O5510:O5517" si="1459">MROUND(N5510*G5510,0.000001)</f>
        <v>0.45861399999999997</v>
      </c>
      <c r="P5510" s="166"/>
      <c r="Q5510" s="166">
        <f t="shared" ref="Q5510:Q5521" si="1460">O5510*K5510</f>
        <v>77514.938279999988</v>
      </c>
      <c r="R5510" s="71"/>
      <c r="S5510" s="71"/>
    </row>
    <row r="5511" spans="1:41" s="61" customFormat="1" x14ac:dyDescent="0.25">
      <c r="A5511" s="358"/>
      <c r="B5511" s="361"/>
      <c r="C5511" s="364"/>
      <c r="D5511" s="156" t="s">
        <v>256</v>
      </c>
      <c r="E5511" s="156" t="s">
        <v>20</v>
      </c>
      <c r="F5511" s="156" t="s">
        <v>20</v>
      </c>
      <c r="G5511" s="238">
        <f>MROUND(H5511*L5511*I5511/K5511,0.0000000000001)</f>
        <v>1.8192172519999999E-4</v>
      </c>
      <c r="H5511" s="158">
        <f>Лист1!G212</f>
        <v>187</v>
      </c>
      <c r="I5511" s="159">
        <f>I5508</f>
        <v>0.16442999999999999</v>
      </c>
      <c r="J5511" s="160"/>
      <c r="K5511" s="161">
        <f>K5508</f>
        <v>169020</v>
      </c>
      <c r="L5511" s="250">
        <v>1</v>
      </c>
      <c r="M5511" s="163" t="str">
        <f t="shared" ref="M5511:M5518" si="1461">CONCATENATE(H5511," ",F5511,"*",I5511,"/",K5511,"чел/час")</f>
        <v>187 чел.*0,16443/169020чел/час</v>
      </c>
      <c r="N5511" s="278">
        <f>Лист1!I212</f>
        <v>1938.2379679144385</v>
      </c>
      <c r="O5511" s="280">
        <f t="shared" si="1459"/>
        <v>0.35260799999999998</v>
      </c>
      <c r="P5511" s="166"/>
      <c r="Q5511" s="166">
        <f t="shared" si="1460"/>
        <v>59597.80416</v>
      </c>
      <c r="R5511" s="71"/>
    </row>
    <row r="5512" spans="1:41" s="61" customFormat="1" ht="63" x14ac:dyDescent="0.25">
      <c r="A5512" s="358"/>
      <c r="B5512" s="361"/>
      <c r="C5512" s="364"/>
      <c r="D5512" s="156" t="s">
        <v>39</v>
      </c>
      <c r="E5512" s="156" t="s">
        <v>20</v>
      </c>
      <c r="F5512" s="156" t="s">
        <v>234</v>
      </c>
      <c r="G5512" s="238">
        <f>MROUND(H5512*L5512*I5512/K5512,0.00000000001)</f>
        <v>8.755589999999999E-6</v>
      </c>
      <c r="H5512" s="158">
        <f>Лист1!G202</f>
        <v>9</v>
      </c>
      <c r="I5512" s="159">
        <f>I5510</f>
        <v>0.16442999999999999</v>
      </c>
      <c r="J5512" s="160"/>
      <c r="K5512" s="161">
        <f>K5510</f>
        <v>169020</v>
      </c>
      <c r="L5512" s="250">
        <v>1</v>
      </c>
      <c r="M5512" s="163" t="str">
        <f t="shared" si="1461"/>
        <v>9 чел(заявленная потребность руководителями учреждений)*0,16443/169020чел/час</v>
      </c>
      <c r="N5512" s="278">
        <f>Лист1!I202</f>
        <v>798.09666666666669</v>
      </c>
      <c r="O5512" s="280">
        <f t="shared" si="1459"/>
        <v>6.9879999999999994E-3</v>
      </c>
      <c r="P5512" s="166"/>
      <c r="Q5512" s="166">
        <f t="shared" si="1460"/>
        <v>1181.11176</v>
      </c>
      <c r="R5512" s="71"/>
      <c r="S5512" s="71"/>
    </row>
    <row r="5513" spans="1:41" s="61" customFormat="1" ht="63" x14ac:dyDescent="0.25">
      <c r="A5513" s="358"/>
      <c r="B5513" s="361"/>
      <c r="C5513" s="364"/>
      <c r="D5513" s="156" t="s">
        <v>40</v>
      </c>
      <c r="E5513" s="156" t="s">
        <v>20</v>
      </c>
      <c r="F5513" s="156" t="s">
        <v>234</v>
      </c>
      <c r="G5513" s="238">
        <f>MROUND(H5513*L5513*I5513/K5513,0.000000000001)</f>
        <v>1.2646965E-5</v>
      </c>
      <c r="H5513" s="158">
        <f>Лист1!G203</f>
        <v>13</v>
      </c>
      <c r="I5513" s="159">
        <f t="shared" ref="I5513:I5518" si="1462">I5512</f>
        <v>0.16442999999999999</v>
      </c>
      <c r="J5513" s="160"/>
      <c r="K5513" s="161">
        <f t="shared" ref="K5513:K5518" si="1463">K5512</f>
        <v>169020</v>
      </c>
      <c r="L5513" s="250">
        <v>1</v>
      </c>
      <c r="M5513" s="163" t="str">
        <f t="shared" si="1461"/>
        <v>13 чел(заявленная потребность руководителями учреждений)*0,16443/169020чел/час</v>
      </c>
      <c r="N5513" s="278">
        <f>Лист1!I203</f>
        <v>1710.2100000000003</v>
      </c>
      <c r="O5513" s="280">
        <f t="shared" si="1459"/>
        <v>2.1628999999999999E-2</v>
      </c>
      <c r="P5513" s="166"/>
      <c r="Q5513" s="166">
        <f t="shared" si="1460"/>
        <v>3655.7335799999996</v>
      </c>
      <c r="R5513" s="71"/>
      <c r="T5513" s="71"/>
    </row>
    <row r="5514" spans="1:41" s="61" customFormat="1" ht="63" x14ac:dyDescent="0.25">
      <c r="A5514" s="358"/>
      <c r="B5514" s="361"/>
      <c r="C5514" s="364"/>
      <c r="D5514" s="156" t="s">
        <v>100</v>
      </c>
      <c r="E5514" s="156" t="s">
        <v>20</v>
      </c>
      <c r="F5514" s="156" t="s">
        <v>234</v>
      </c>
      <c r="G5514" s="238">
        <f>MROUND(H5514*L5514*I5514/K5514,0.0000000000001)</f>
        <v>6.8099041999999998E-6</v>
      </c>
      <c r="H5514" s="158">
        <f>Лист1!G204</f>
        <v>7</v>
      </c>
      <c r="I5514" s="159">
        <f t="shared" si="1462"/>
        <v>0.16442999999999999</v>
      </c>
      <c r="J5514" s="160"/>
      <c r="K5514" s="161">
        <f t="shared" si="1463"/>
        <v>169020</v>
      </c>
      <c r="L5514" s="250">
        <v>1</v>
      </c>
      <c r="M5514" s="163" t="str">
        <f t="shared" si="1461"/>
        <v>7 чел(заявленная потребность руководителями учреждений)*0,16443/169020чел/час</v>
      </c>
      <c r="N5514" s="278">
        <f>Лист1!I204</f>
        <v>3648.4471428571428</v>
      </c>
      <c r="O5514" s="280">
        <f t="shared" si="1459"/>
        <v>2.4846E-2</v>
      </c>
      <c r="P5514" s="166"/>
      <c r="Q5514" s="166">
        <f t="shared" si="1460"/>
        <v>4199.4709199999998</v>
      </c>
      <c r="R5514" s="71"/>
      <c r="T5514" s="71"/>
    </row>
    <row r="5515" spans="1:41" s="61" customFormat="1" ht="110.25" x14ac:dyDescent="0.25">
      <c r="A5515" s="358"/>
      <c r="B5515" s="361"/>
      <c r="C5515" s="364"/>
      <c r="D5515" s="156" t="s">
        <v>235</v>
      </c>
      <c r="E5515" s="156" t="s">
        <v>50</v>
      </c>
      <c r="F5515" s="156" t="s">
        <v>230</v>
      </c>
      <c r="G5515" s="238">
        <f>MROUND(H5515*L5515*I5515/K5515,0.0000000000001)</f>
        <v>4.8642173000000004E-6</v>
      </c>
      <c r="H5515" s="158">
        <f>Лист1!G205</f>
        <v>5</v>
      </c>
      <c r="I5515" s="159">
        <f t="shared" si="1462"/>
        <v>0.16442999999999999</v>
      </c>
      <c r="J5515" s="160"/>
      <c r="K5515" s="161">
        <f t="shared" si="1463"/>
        <v>169020</v>
      </c>
      <c r="L5515" s="250">
        <v>1</v>
      </c>
      <c r="M5515" s="163" t="str">
        <f t="shared" si="1461"/>
        <v>5 отчетов*0,16443/169020чел/час</v>
      </c>
      <c r="N5515" s="278">
        <f>Лист1!I205</f>
        <v>6840.8399999999992</v>
      </c>
      <c r="O5515" s="280">
        <f t="shared" si="1459"/>
        <v>3.3274999999999999E-2</v>
      </c>
      <c r="P5515" s="166"/>
      <c r="Q5515" s="166">
        <f t="shared" si="1460"/>
        <v>5624.1404999999995</v>
      </c>
      <c r="R5515" s="71"/>
      <c r="T5515" s="71"/>
    </row>
    <row r="5516" spans="1:41" s="61" customFormat="1" ht="63" x14ac:dyDescent="0.25">
      <c r="A5516" s="358"/>
      <c r="B5516" s="361"/>
      <c r="C5516" s="364"/>
      <c r="D5516" s="156" t="s">
        <v>42</v>
      </c>
      <c r="E5516" s="156" t="s">
        <v>51</v>
      </c>
      <c r="F5516" s="156" t="s">
        <v>407</v>
      </c>
      <c r="G5516" s="238">
        <f>MROUND(H5516*L5516*I5516/K5516,0.000000000001)</f>
        <v>2.5293930000000001E-5</v>
      </c>
      <c r="H5516" s="158">
        <f>Лист1!G209</f>
        <v>26</v>
      </c>
      <c r="I5516" s="159">
        <f t="shared" si="1462"/>
        <v>0.16442999999999999</v>
      </c>
      <c r="J5516" s="160"/>
      <c r="K5516" s="161">
        <f t="shared" si="1463"/>
        <v>169020</v>
      </c>
      <c r="L5516" s="250">
        <v>1</v>
      </c>
      <c r="M5516" s="163" t="str">
        <f t="shared" si="1461"/>
        <v>26 ед (заявленная потребность руководителями учреждений)*0,16443/169020чел/час</v>
      </c>
      <c r="N5516" s="278">
        <f>Лист1!I209</f>
        <v>1140.1400000000001</v>
      </c>
      <c r="O5516" s="280">
        <f t="shared" si="1459"/>
        <v>2.8839E-2</v>
      </c>
      <c r="P5516" s="166"/>
      <c r="Q5516" s="166">
        <f t="shared" si="1460"/>
        <v>4874.3677799999996</v>
      </c>
      <c r="R5516" s="71"/>
      <c r="T5516" s="71"/>
    </row>
    <row r="5517" spans="1:41" s="61" customFormat="1" ht="31.5" x14ac:dyDescent="0.25">
      <c r="A5517" s="358"/>
      <c r="B5517" s="361"/>
      <c r="C5517" s="364"/>
      <c r="D5517" s="156" t="s">
        <v>43</v>
      </c>
      <c r="E5517" s="156" t="s">
        <v>52</v>
      </c>
      <c r="F5517" s="156" t="s">
        <v>231</v>
      </c>
      <c r="G5517" s="238">
        <f>MROUND(H5517*L5517*I5517/K5517,0.000000000001)</f>
        <v>4.8642169999999998E-6</v>
      </c>
      <c r="H5517" s="158">
        <f>Лист1!G210</f>
        <v>5</v>
      </c>
      <c r="I5517" s="159">
        <f t="shared" si="1462"/>
        <v>0.16442999999999999</v>
      </c>
      <c r="J5517" s="160"/>
      <c r="K5517" s="161">
        <f t="shared" si="1463"/>
        <v>169020</v>
      </c>
      <c r="L5517" s="250">
        <v>1</v>
      </c>
      <c r="M5517" s="163" t="str">
        <f t="shared" si="1461"/>
        <v>5 ЭЦП*0,16443/169020чел/час</v>
      </c>
      <c r="N5517" s="278">
        <f>Лист1!I210</f>
        <v>8099.55</v>
      </c>
      <c r="O5517" s="280">
        <f t="shared" si="1459"/>
        <v>3.9397999999999996E-2</v>
      </c>
      <c r="P5517" s="166"/>
      <c r="Q5517" s="166">
        <f t="shared" si="1460"/>
        <v>6659.0499599999994</v>
      </c>
      <c r="R5517" s="71"/>
      <c r="S5517" s="71"/>
    </row>
    <row r="5518" spans="1:41" s="61" customFormat="1" x14ac:dyDescent="0.25">
      <c r="A5518" s="358"/>
      <c r="B5518" s="361"/>
      <c r="C5518" s="364"/>
      <c r="D5518" s="156" t="s">
        <v>373</v>
      </c>
      <c r="E5518" s="156" t="s">
        <v>28</v>
      </c>
      <c r="F5518" s="156" t="s">
        <v>28</v>
      </c>
      <c r="G5518" s="238">
        <f>MROUND(H5518*L5518*I5518/K5518,0.0000000000001)</f>
        <v>4.8642173000000004E-6</v>
      </c>
      <c r="H5518" s="158">
        <f>Лист1!G196</f>
        <v>5</v>
      </c>
      <c r="I5518" s="159">
        <f t="shared" si="1462"/>
        <v>0.16442999999999999</v>
      </c>
      <c r="J5518" s="160"/>
      <c r="K5518" s="161">
        <f t="shared" si="1463"/>
        <v>169020</v>
      </c>
      <c r="L5518" s="250">
        <v>1</v>
      </c>
      <c r="M5518" s="163" t="str">
        <f t="shared" si="1461"/>
        <v>5 шт*0,16443/169020чел/час</v>
      </c>
      <c r="N5518" s="278">
        <f>Лист1!I196</f>
        <v>24000</v>
      </c>
      <c r="O5518" s="280">
        <f>MROUND(N5518*G5518,0.000001)</f>
        <v>0.116741</v>
      </c>
      <c r="P5518" s="166"/>
      <c r="Q5518" s="166">
        <f t="shared" si="1460"/>
        <v>19731.563819999999</v>
      </c>
      <c r="R5518" s="71"/>
    </row>
    <row r="5519" spans="1:41" s="61" customFormat="1" ht="63" x14ac:dyDescent="0.25">
      <c r="A5519" s="358"/>
      <c r="B5519" s="361"/>
      <c r="C5519" s="364"/>
      <c r="D5519" s="156" t="s">
        <v>45</v>
      </c>
      <c r="E5519" s="156" t="s">
        <v>53</v>
      </c>
      <c r="F5519" s="156" t="s">
        <v>257</v>
      </c>
      <c r="G5519" s="238">
        <f>MROUND(H5519*L5519*I5519/K5519,0.00000000001)</f>
        <v>1.1674119999999999E-5</v>
      </c>
      <c r="H5519" s="158">
        <f>Лист1!G213</f>
        <v>1</v>
      </c>
      <c r="I5519" s="159">
        <f>I5517</f>
        <v>0.16442999999999999</v>
      </c>
      <c r="J5519" s="160"/>
      <c r="K5519" s="161">
        <f>K5517</f>
        <v>169020</v>
      </c>
      <c r="L5519" s="250">
        <v>12</v>
      </c>
      <c r="M5519" s="163" t="str">
        <f>CONCATENATE(H5519," ",F5519,"*",L5519,"мес.","*",I5519,"/",K5519,"чел/час")</f>
        <v>1  машина, оборудованная системой ГЛОНАСС*12мес.*0,16443/169020чел/час</v>
      </c>
      <c r="N5519" s="278">
        <f>Лист1!I213</f>
        <v>921.23333333333346</v>
      </c>
      <c r="O5519" s="280">
        <f t="shared" ref="O5519:O5521" si="1464">MROUND(N5519*G5519,0.000001)</f>
        <v>1.0754999999999999E-2</v>
      </c>
      <c r="P5519" s="166"/>
      <c r="Q5519" s="166">
        <f t="shared" si="1460"/>
        <v>1817.8100999999999</v>
      </c>
      <c r="R5519" s="71"/>
      <c r="S5519" s="71"/>
    </row>
    <row r="5520" spans="1:41" s="136" customFormat="1" ht="47.25" x14ac:dyDescent="0.25">
      <c r="A5520" s="375"/>
      <c r="B5520" s="361"/>
      <c r="C5520" s="364"/>
      <c r="D5520" s="156" t="s">
        <v>44</v>
      </c>
      <c r="E5520" s="156" t="s">
        <v>85</v>
      </c>
      <c r="F5520" s="156" t="s">
        <v>232</v>
      </c>
      <c r="G5520" s="238">
        <f>MROUND(H5520*L5520*I5520/K5520,0.00000000001)</f>
        <v>2.9574441000000001E-4</v>
      </c>
      <c r="H5520" s="158">
        <f>Лист1!G211</f>
        <v>304</v>
      </c>
      <c r="I5520" s="159">
        <f>I5519</f>
        <v>0.16442999999999999</v>
      </c>
      <c r="J5520" s="160"/>
      <c r="K5520" s="161">
        <f>K5519</f>
        <v>169020</v>
      </c>
      <c r="L5520" s="250">
        <v>1</v>
      </c>
      <c r="M5520" s="163" t="str">
        <f>CONCATENATE(H5520," ",F5520,"*",L5520,"мес.","*",I5520,"/",K5520,"чел.")</f>
        <v>304 мед.осмотров в мес.*1мес.*0,16443/169020чел.</v>
      </c>
      <c r="N5520" s="278">
        <f>Лист1!I211</f>
        <v>59.287269736842113</v>
      </c>
      <c r="O5520" s="280">
        <f t="shared" si="1464"/>
        <v>1.7533999999999998E-2</v>
      </c>
      <c r="P5520" s="166"/>
      <c r="Q5520" s="166">
        <f t="shared" si="1460"/>
        <v>2963.5966799999997</v>
      </c>
      <c r="R5520" s="71"/>
      <c r="S5520" s="71"/>
      <c r="T5520" s="61"/>
      <c r="U5520" s="61"/>
      <c r="V5520" s="61"/>
      <c r="W5520" s="61"/>
      <c r="X5520" s="61"/>
      <c r="Y5520" s="61"/>
      <c r="Z5520" s="61"/>
      <c r="AA5520" s="61"/>
      <c r="AB5520" s="61"/>
      <c r="AC5520" s="61"/>
      <c r="AD5520" s="61"/>
      <c r="AE5520" s="61"/>
      <c r="AF5520" s="61"/>
      <c r="AG5520" s="61"/>
      <c r="AH5520" s="61"/>
      <c r="AI5520" s="61"/>
      <c r="AJ5520" s="61"/>
      <c r="AK5520" s="61"/>
      <c r="AL5520" s="61"/>
      <c r="AM5520" s="61"/>
      <c r="AN5520" s="61"/>
      <c r="AO5520" s="61"/>
    </row>
    <row r="5521" spans="1:41" s="61" customFormat="1" ht="31.5" x14ac:dyDescent="0.25">
      <c r="A5521" s="358"/>
      <c r="B5521" s="361"/>
      <c r="C5521" s="364"/>
      <c r="D5521" s="156" t="s">
        <v>408</v>
      </c>
      <c r="E5521" s="156" t="s">
        <v>20</v>
      </c>
      <c r="F5521" s="156" t="s">
        <v>20</v>
      </c>
      <c r="G5521" s="238">
        <f>MROUND(H5521*L5521*I5521/K5521,0.000000000001)</f>
        <v>0</v>
      </c>
      <c r="H5521" s="158"/>
      <c r="I5521" s="159">
        <f>I5519</f>
        <v>0.16442999999999999</v>
      </c>
      <c r="J5521" s="160"/>
      <c r="K5521" s="161">
        <f>K5519</f>
        <v>169020</v>
      </c>
      <c r="L5521" s="250">
        <v>1</v>
      </c>
      <c r="M5521" s="163"/>
      <c r="N5521" s="278"/>
      <c r="O5521" s="280">
        <f t="shared" si="1464"/>
        <v>0</v>
      </c>
      <c r="P5521" s="166"/>
      <c r="Q5521" s="166">
        <f t="shared" si="1460"/>
        <v>0</v>
      </c>
      <c r="R5521" s="71"/>
      <c r="T5521" s="71"/>
    </row>
    <row r="5522" spans="1:41" s="109" customFormat="1" x14ac:dyDescent="0.25">
      <c r="A5522" s="358"/>
      <c r="B5522" s="361"/>
      <c r="C5522" s="245" t="s">
        <v>329</v>
      </c>
      <c r="D5522" s="240"/>
      <c r="E5522" s="240"/>
      <c r="F5522" s="240"/>
      <c r="G5522" s="227"/>
      <c r="H5522" s="241"/>
      <c r="I5522" s="206"/>
      <c r="J5522" s="228"/>
      <c r="K5522" s="207"/>
      <c r="L5522" s="257"/>
      <c r="M5522" s="209"/>
      <c r="N5522" s="281"/>
      <c r="O5522" s="279">
        <f>SUM(O5510:O5521)</f>
        <v>1.111227</v>
      </c>
      <c r="P5522" s="267"/>
      <c r="Q5522" s="166"/>
      <c r="R5522" s="71"/>
      <c r="S5522" s="62"/>
      <c r="T5522" s="62"/>
      <c r="U5522" s="62"/>
      <c r="V5522" s="62"/>
      <c r="W5522" s="62"/>
      <c r="X5522" s="62"/>
      <c r="Y5522" s="62"/>
      <c r="Z5522" s="62"/>
      <c r="AA5522" s="62"/>
      <c r="AB5522" s="62"/>
      <c r="AC5522" s="62"/>
      <c r="AD5522" s="62"/>
      <c r="AE5522" s="62"/>
      <c r="AF5522" s="62"/>
      <c r="AG5522" s="62"/>
      <c r="AH5522" s="62"/>
      <c r="AI5522" s="62"/>
      <c r="AJ5522" s="62"/>
      <c r="AK5522" s="62"/>
      <c r="AL5522" s="62"/>
      <c r="AM5522" s="62"/>
      <c r="AN5522" s="62"/>
      <c r="AO5522" s="62"/>
    </row>
    <row r="5523" spans="1:41" s="61" customFormat="1" ht="31.5" x14ac:dyDescent="0.25">
      <c r="A5523" s="358"/>
      <c r="B5523" s="361"/>
      <c r="C5523" s="252" t="s">
        <v>237</v>
      </c>
      <c r="D5523" s="156" t="s">
        <v>41</v>
      </c>
      <c r="E5523" s="156" t="s">
        <v>61</v>
      </c>
      <c r="F5523" s="156" t="s">
        <v>254</v>
      </c>
      <c r="G5523" s="238">
        <f>MROUND(H5523*L5523*I5523/K5523,0.000000000001)</f>
        <v>9.7284299999999995E-7</v>
      </c>
      <c r="H5523" s="158">
        <f>Лист1!G215</f>
        <v>1</v>
      </c>
      <c r="I5523" s="159">
        <f>I5521</f>
        <v>0.16442999999999999</v>
      </c>
      <c r="J5523" s="160"/>
      <c r="K5523" s="161">
        <f>K5521</f>
        <v>169020</v>
      </c>
      <c r="L5523" s="250">
        <v>1</v>
      </c>
      <c r="M5523" s="163" t="str">
        <f>CONCATENATE(H5523," ",F5523,"*",I5523,"/",K5523,"чел/час")</f>
        <v>1 автобус*0,16443/169020чел/час</v>
      </c>
      <c r="N5523" s="278">
        <f>Лист1!I215</f>
        <v>26907.3</v>
      </c>
      <c r="O5523" s="280">
        <f t="shared" ref="O5523:O5530" si="1465">MROUND(N5523*G5523,0.000001)</f>
        <v>2.6176999999999999E-2</v>
      </c>
      <c r="P5523" s="166"/>
      <c r="Q5523" s="166">
        <f t="shared" ref="Q5523:Q5534" si="1466">O5523*K5523</f>
        <v>4424.4365399999997</v>
      </c>
      <c r="R5523" s="71"/>
      <c r="S5523" s="71"/>
    </row>
    <row r="5524" spans="1:41" s="61" customFormat="1" ht="78.75" x14ac:dyDescent="0.25">
      <c r="A5524" s="358"/>
      <c r="B5524" s="361"/>
      <c r="C5524" s="221" t="s">
        <v>236</v>
      </c>
      <c r="D5524" s="156" t="s">
        <v>19</v>
      </c>
      <c r="E5524" s="181" t="s">
        <v>20</v>
      </c>
      <c r="F5524" s="181" t="s">
        <v>238</v>
      </c>
      <c r="G5524" s="238">
        <f>MROUND(H5524*L5524*I5524/K5524,0.000000000001)</f>
        <v>0</v>
      </c>
      <c r="H5524" s="158"/>
      <c r="I5524" s="159">
        <f>I5521</f>
        <v>0.16442999999999999</v>
      </c>
      <c r="J5524" s="160"/>
      <c r="K5524" s="161">
        <f>K5521</f>
        <v>169020</v>
      </c>
      <c r="L5524" s="250"/>
      <c r="M5524" s="163"/>
      <c r="N5524" s="278"/>
      <c r="O5524" s="280">
        <f t="shared" si="1465"/>
        <v>0</v>
      </c>
      <c r="P5524" s="166"/>
      <c r="Q5524" s="166">
        <f t="shared" si="1466"/>
        <v>0</v>
      </c>
      <c r="R5524" s="71"/>
      <c r="T5524" s="71"/>
    </row>
    <row r="5525" spans="1:41" s="61" customFormat="1" ht="31.5" x14ac:dyDescent="0.25">
      <c r="A5525" s="358"/>
      <c r="B5525" s="361"/>
      <c r="C5525" s="372" t="s">
        <v>81</v>
      </c>
      <c r="D5525" s="156" t="s">
        <v>419</v>
      </c>
      <c r="E5525" s="156" t="s">
        <v>28</v>
      </c>
      <c r="F5525" s="156" t="s">
        <v>439</v>
      </c>
      <c r="G5525" s="238">
        <f>MROUND(H5525*L5525*I5525/K5525,0.00000000001)</f>
        <v>0</v>
      </c>
      <c r="H5525" s="158"/>
      <c r="I5525" s="159">
        <f>I5524</f>
        <v>0.16442999999999999</v>
      </c>
      <c r="J5525" s="160"/>
      <c r="K5525" s="161">
        <f>K5524</f>
        <v>169020</v>
      </c>
      <c r="L5525" s="250">
        <v>1</v>
      </c>
      <c r="M5525" s="163"/>
      <c r="N5525" s="278"/>
      <c r="O5525" s="280">
        <f t="shared" si="1465"/>
        <v>0</v>
      </c>
      <c r="P5525" s="166"/>
      <c r="Q5525" s="166">
        <f t="shared" si="1466"/>
        <v>0</v>
      </c>
      <c r="R5525" s="71"/>
      <c r="T5525" s="71"/>
    </row>
    <row r="5526" spans="1:41" s="61" customFormat="1" ht="31.5" x14ac:dyDescent="0.25">
      <c r="A5526" s="358"/>
      <c r="B5526" s="361"/>
      <c r="C5526" s="373"/>
      <c r="D5526" s="156" t="s">
        <v>425</v>
      </c>
      <c r="E5526" s="156" t="s">
        <v>28</v>
      </c>
      <c r="F5526" s="156" t="s">
        <v>439</v>
      </c>
      <c r="G5526" s="238">
        <f>MROUND(H5526*L5526*I5526/K5526,0.00000000001)</f>
        <v>0</v>
      </c>
      <c r="H5526" s="158"/>
      <c r="I5526" s="159">
        <f t="shared" ref="I5526:I5534" si="1467">I5525</f>
        <v>0.16442999999999999</v>
      </c>
      <c r="J5526" s="160"/>
      <c r="K5526" s="161">
        <f t="shared" ref="K5526:K5534" si="1468">K5525</f>
        <v>169020</v>
      </c>
      <c r="L5526" s="250">
        <v>1</v>
      </c>
      <c r="M5526" s="163"/>
      <c r="N5526" s="278"/>
      <c r="O5526" s="280">
        <f t="shared" si="1465"/>
        <v>0</v>
      </c>
      <c r="P5526" s="166"/>
      <c r="Q5526" s="166">
        <f t="shared" si="1466"/>
        <v>0</v>
      </c>
      <c r="R5526" s="71"/>
      <c r="T5526" s="71"/>
    </row>
    <row r="5527" spans="1:41" s="61" customFormat="1" ht="31.5" x14ac:dyDescent="0.25">
      <c r="A5527" s="358"/>
      <c r="B5527" s="361"/>
      <c r="C5527" s="373"/>
      <c r="D5527" s="156" t="s">
        <v>426</v>
      </c>
      <c r="E5527" s="156" t="s">
        <v>28</v>
      </c>
      <c r="F5527" s="156" t="s">
        <v>439</v>
      </c>
      <c r="G5527" s="238">
        <f>MROUND(H5527*L5527*I5527/K5527,0.00000000000001)</f>
        <v>0</v>
      </c>
      <c r="H5527" s="158"/>
      <c r="I5527" s="159">
        <f t="shared" si="1467"/>
        <v>0.16442999999999999</v>
      </c>
      <c r="J5527" s="160"/>
      <c r="K5527" s="161">
        <f t="shared" si="1468"/>
        <v>169020</v>
      </c>
      <c r="L5527" s="250">
        <v>1</v>
      </c>
      <c r="M5527" s="163"/>
      <c r="N5527" s="278"/>
      <c r="O5527" s="280">
        <f t="shared" si="1465"/>
        <v>0</v>
      </c>
      <c r="P5527" s="166"/>
      <c r="Q5527" s="166">
        <f t="shared" si="1466"/>
        <v>0</v>
      </c>
      <c r="R5527" s="71"/>
      <c r="T5527" s="71"/>
    </row>
    <row r="5528" spans="1:41" s="61" customFormat="1" ht="31.5" x14ac:dyDescent="0.25">
      <c r="A5528" s="358"/>
      <c r="B5528" s="361"/>
      <c r="C5528" s="373"/>
      <c r="D5528" s="156" t="s">
        <v>427</v>
      </c>
      <c r="E5528" s="156" t="s">
        <v>28</v>
      </c>
      <c r="F5528" s="156" t="s">
        <v>439</v>
      </c>
      <c r="G5528" s="238">
        <f>MROUND(H5528*L5528*I5528/K5528,0.000000000000001)</f>
        <v>0</v>
      </c>
      <c r="H5528" s="158"/>
      <c r="I5528" s="159">
        <f t="shared" si="1467"/>
        <v>0.16442999999999999</v>
      </c>
      <c r="J5528" s="160"/>
      <c r="K5528" s="161">
        <f t="shared" si="1468"/>
        <v>169020</v>
      </c>
      <c r="L5528" s="250">
        <v>1</v>
      </c>
      <c r="M5528" s="163"/>
      <c r="N5528" s="278"/>
      <c r="O5528" s="280">
        <f t="shared" si="1465"/>
        <v>0</v>
      </c>
      <c r="P5528" s="166"/>
      <c r="Q5528" s="166">
        <f t="shared" si="1466"/>
        <v>0</v>
      </c>
      <c r="R5528" s="71"/>
      <c r="T5528" s="71"/>
    </row>
    <row r="5529" spans="1:41" s="61" customFormat="1" ht="31.5" x14ac:dyDescent="0.25">
      <c r="A5529" s="358"/>
      <c r="B5529" s="361"/>
      <c r="C5529" s="373"/>
      <c r="D5529" s="156" t="s">
        <v>428</v>
      </c>
      <c r="E5529" s="156" t="s">
        <v>28</v>
      </c>
      <c r="F5529" s="156" t="s">
        <v>439</v>
      </c>
      <c r="G5529" s="238">
        <f>MROUND(H5529*L5529*I5529/K5529,0.00000000001)</f>
        <v>0</v>
      </c>
      <c r="H5529" s="158"/>
      <c r="I5529" s="159">
        <f t="shared" si="1467"/>
        <v>0.16442999999999999</v>
      </c>
      <c r="J5529" s="160"/>
      <c r="K5529" s="161">
        <f t="shared" si="1468"/>
        <v>169020</v>
      </c>
      <c r="L5529" s="250">
        <v>1</v>
      </c>
      <c r="M5529" s="163"/>
      <c r="N5529" s="278"/>
      <c r="O5529" s="280">
        <f t="shared" si="1465"/>
        <v>0</v>
      </c>
      <c r="P5529" s="166"/>
      <c r="Q5529" s="166">
        <f t="shared" si="1466"/>
        <v>0</v>
      </c>
      <c r="R5529" s="71"/>
      <c r="T5529" s="71"/>
    </row>
    <row r="5530" spans="1:41" s="61" customFormat="1" ht="31.5" x14ac:dyDescent="0.25">
      <c r="A5530" s="358"/>
      <c r="B5530" s="361"/>
      <c r="C5530" s="373"/>
      <c r="D5530" s="156" t="s">
        <v>429</v>
      </c>
      <c r="E5530" s="156" t="s">
        <v>28</v>
      </c>
      <c r="F5530" s="156" t="s">
        <v>439</v>
      </c>
      <c r="G5530" s="238">
        <f>MROUND(H5530*L5530*I5530/K5530,0.00000000001)</f>
        <v>0</v>
      </c>
      <c r="H5530" s="158"/>
      <c r="I5530" s="159">
        <f t="shared" si="1467"/>
        <v>0.16442999999999999</v>
      </c>
      <c r="J5530" s="160"/>
      <c r="K5530" s="161">
        <f t="shared" si="1468"/>
        <v>169020</v>
      </c>
      <c r="L5530" s="250">
        <v>1</v>
      </c>
      <c r="M5530" s="163"/>
      <c r="N5530" s="278"/>
      <c r="O5530" s="280">
        <f t="shared" si="1465"/>
        <v>0</v>
      </c>
      <c r="P5530" s="166"/>
      <c r="Q5530" s="166">
        <f t="shared" si="1466"/>
        <v>0</v>
      </c>
      <c r="R5530" s="71"/>
      <c r="T5530" s="71"/>
    </row>
    <row r="5531" spans="1:41" s="61" customFormat="1" ht="31.5" x14ac:dyDescent="0.25">
      <c r="A5531" s="358"/>
      <c r="B5531" s="361"/>
      <c r="C5531" s="373"/>
      <c r="D5531" s="156" t="s">
        <v>110</v>
      </c>
      <c r="E5531" s="156" t="s">
        <v>28</v>
      </c>
      <c r="F5531" s="156" t="s">
        <v>439</v>
      </c>
      <c r="G5531" s="238">
        <f>MROUND(H5531*L5531*I5531/K5531,0.000000000001)</f>
        <v>0</v>
      </c>
      <c r="H5531" s="158"/>
      <c r="I5531" s="159">
        <f t="shared" si="1467"/>
        <v>0.16442999999999999</v>
      </c>
      <c r="J5531" s="160"/>
      <c r="K5531" s="161">
        <f t="shared" si="1468"/>
        <v>169020</v>
      </c>
      <c r="L5531" s="250">
        <v>1</v>
      </c>
      <c r="M5531" s="163"/>
      <c r="N5531" s="278"/>
      <c r="O5531" s="280">
        <f>MROUND(N5531*G5531,0.0000000000001)</f>
        <v>0</v>
      </c>
      <c r="P5531" s="166"/>
      <c r="Q5531" s="166">
        <f t="shared" si="1466"/>
        <v>0</v>
      </c>
      <c r="R5531" s="71"/>
      <c r="T5531" s="71"/>
    </row>
    <row r="5532" spans="1:41" s="61" customFormat="1" ht="31.5" x14ac:dyDescent="0.25">
      <c r="A5532" s="358"/>
      <c r="B5532" s="361"/>
      <c r="C5532" s="373"/>
      <c r="D5532" s="156" t="s">
        <v>112</v>
      </c>
      <c r="E5532" s="156" t="s">
        <v>28</v>
      </c>
      <c r="F5532" s="156" t="s">
        <v>439</v>
      </c>
      <c r="G5532" s="238">
        <f>MROUND(H5532*L5532*I5532/K5532,0.00000000001)</f>
        <v>0</v>
      </c>
      <c r="H5532" s="158"/>
      <c r="I5532" s="159">
        <f t="shared" si="1467"/>
        <v>0.16442999999999999</v>
      </c>
      <c r="J5532" s="160"/>
      <c r="K5532" s="161">
        <f t="shared" si="1468"/>
        <v>169020</v>
      </c>
      <c r="L5532" s="250">
        <v>1</v>
      </c>
      <c r="M5532" s="163"/>
      <c r="N5532" s="278"/>
      <c r="O5532" s="280">
        <f t="shared" ref="O5532:O5534" si="1469">MROUND(N5532*G5532,0.000001)</f>
        <v>0</v>
      </c>
      <c r="P5532" s="166"/>
      <c r="Q5532" s="166">
        <f t="shared" si="1466"/>
        <v>0</v>
      </c>
      <c r="R5532" s="71"/>
      <c r="T5532" s="71"/>
    </row>
    <row r="5533" spans="1:41" s="61" customFormat="1" ht="31.5" x14ac:dyDescent="0.25">
      <c r="A5533" s="358"/>
      <c r="B5533" s="361"/>
      <c r="C5533" s="373"/>
      <c r="D5533" s="156" t="s">
        <v>111</v>
      </c>
      <c r="E5533" s="156" t="s">
        <v>28</v>
      </c>
      <c r="F5533" s="156" t="s">
        <v>439</v>
      </c>
      <c r="G5533" s="238">
        <f>MROUND(H5533*L5533*I5533/K5533,0.00000000001)</f>
        <v>0</v>
      </c>
      <c r="H5533" s="158"/>
      <c r="I5533" s="159">
        <f t="shared" si="1467"/>
        <v>0.16442999999999999</v>
      </c>
      <c r="J5533" s="160"/>
      <c r="K5533" s="161">
        <f t="shared" si="1468"/>
        <v>169020</v>
      </c>
      <c r="L5533" s="250">
        <v>1</v>
      </c>
      <c r="M5533" s="163"/>
      <c r="N5533" s="278"/>
      <c r="O5533" s="280">
        <f t="shared" si="1469"/>
        <v>0</v>
      </c>
      <c r="P5533" s="166"/>
      <c r="Q5533" s="166">
        <f t="shared" si="1466"/>
        <v>0</v>
      </c>
      <c r="R5533" s="71"/>
      <c r="T5533" s="71"/>
    </row>
    <row r="5534" spans="1:41" s="61" customFormat="1" ht="31.5" x14ac:dyDescent="0.25">
      <c r="A5534" s="358"/>
      <c r="B5534" s="361"/>
      <c r="C5534" s="374"/>
      <c r="D5534" s="156" t="s">
        <v>438</v>
      </c>
      <c r="E5534" s="156" t="s">
        <v>28</v>
      </c>
      <c r="F5534" s="156" t="s">
        <v>439</v>
      </c>
      <c r="G5534" s="238">
        <f>MROUND(H5534*L5534*I5534/K5534,0.00000000001)</f>
        <v>0</v>
      </c>
      <c r="H5534" s="158"/>
      <c r="I5534" s="159">
        <f t="shared" si="1467"/>
        <v>0.16442999999999999</v>
      </c>
      <c r="J5534" s="160"/>
      <c r="K5534" s="161">
        <f t="shared" si="1468"/>
        <v>169020</v>
      </c>
      <c r="L5534" s="250">
        <v>1</v>
      </c>
      <c r="M5534" s="163"/>
      <c r="N5534" s="278"/>
      <c r="O5534" s="280">
        <f t="shared" si="1469"/>
        <v>0</v>
      </c>
      <c r="P5534" s="166"/>
      <c r="Q5534" s="166">
        <f t="shared" si="1466"/>
        <v>0</v>
      </c>
      <c r="R5534" s="71"/>
      <c r="T5534" s="71"/>
    </row>
    <row r="5535" spans="1:41" s="62" customFormat="1" x14ac:dyDescent="0.25">
      <c r="A5535" s="358"/>
      <c r="B5535" s="361"/>
      <c r="C5535" s="245" t="s">
        <v>299</v>
      </c>
      <c r="D5535" s="240"/>
      <c r="E5535" s="240"/>
      <c r="F5535" s="181"/>
      <c r="G5535" s="227"/>
      <c r="H5535" s="241"/>
      <c r="I5535" s="206"/>
      <c r="J5535" s="228"/>
      <c r="K5535" s="207"/>
      <c r="L5535" s="257"/>
      <c r="M5535" s="209"/>
      <c r="N5535" s="290"/>
      <c r="O5535" s="279">
        <f>SUM(O5525:O5534)</f>
        <v>0</v>
      </c>
      <c r="P5535" s="267"/>
      <c r="Q5535" s="267">
        <f>O5535*K5535</f>
        <v>0</v>
      </c>
      <c r="R5535" s="72"/>
    </row>
    <row r="5536" spans="1:41" s="61" customFormat="1" ht="47.25" x14ac:dyDescent="0.25">
      <c r="A5536" s="358"/>
      <c r="B5536" s="361"/>
      <c r="C5536" s="221" t="s">
        <v>434</v>
      </c>
      <c r="D5536" s="156" t="s">
        <v>436</v>
      </c>
      <c r="E5536" s="156" t="s">
        <v>28</v>
      </c>
      <c r="F5536" s="156" t="s">
        <v>437</v>
      </c>
      <c r="G5536" s="157">
        <f>MROUND(H5536*L5536*I5536/K5536,0.000000000001)</f>
        <v>2.5293930000000001E-5</v>
      </c>
      <c r="H5536" s="242">
        <f>Лист1!G263</f>
        <v>26</v>
      </c>
      <c r="I5536" s="159">
        <f>I5534</f>
        <v>0.16442999999999999</v>
      </c>
      <c r="J5536" s="160"/>
      <c r="K5536" s="161">
        <f>K5534</f>
        <v>169020</v>
      </c>
      <c r="L5536" s="162">
        <v>1</v>
      </c>
      <c r="M5536" s="163" t="str">
        <f>CONCATENATE(H5536," ",F5536,"*",I5536,"/",K5536,"чел.")</f>
        <v>26 огнетушителей (потребность учреждений) *0,16443/169020чел.</v>
      </c>
      <c r="N5536" s="164">
        <f>Лист1!I263</f>
        <v>2280.2800000000002</v>
      </c>
      <c r="O5536" s="165">
        <f>MROUND(G5536*N5536,0.000001)</f>
        <v>5.7676999999999999E-2</v>
      </c>
      <c r="P5536" s="166"/>
      <c r="Q5536" s="166">
        <f>O5536*K5536</f>
        <v>9748.5665399999998</v>
      </c>
      <c r="R5536" s="71"/>
    </row>
    <row r="5537" spans="1:41" s="61" customFormat="1" x14ac:dyDescent="0.25">
      <c r="A5537" s="358"/>
      <c r="B5537" s="361"/>
      <c r="C5537" s="218" t="s">
        <v>435</v>
      </c>
      <c r="D5537" s="240"/>
      <c r="E5537" s="240"/>
      <c r="F5537" s="240"/>
      <c r="G5537" s="251"/>
      <c r="H5537" s="241"/>
      <c r="I5537" s="206"/>
      <c r="J5537" s="228"/>
      <c r="K5537" s="207"/>
      <c r="L5537" s="229"/>
      <c r="M5537" s="209"/>
      <c r="N5537" s="210"/>
      <c r="O5537" s="198">
        <f>SUM(O5536)</f>
        <v>5.7676999999999999E-2</v>
      </c>
      <c r="P5537" s="166"/>
      <c r="Q5537" s="166"/>
      <c r="R5537" s="71"/>
    </row>
    <row r="5538" spans="1:41" s="61" customFormat="1" ht="110.25" x14ac:dyDescent="0.25">
      <c r="A5538" s="358"/>
      <c r="B5538" s="361"/>
      <c r="C5538" s="221" t="s">
        <v>82</v>
      </c>
      <c r="D5538" s="156" t="s">
        <v>46</v>
      </c>
      <c r="E5538" s="156" t="s">
        <v>54</v>
      </c>
      <c r="F5538" s="156" t="s">
        <v>285</v>
      </c>
      <c r="G5538" s="238">
        <f>MROUND(H5538*L5538*I5538/K5538,0.000000001)</f>
        <v>2.4450500000000003E-3</v>
      </c>
      <c r="H5538" s="158">
        <f>Лист1!G264</f>
        <v>228.48206839032525</v>
      </c>
      <c r="I5538" s="291">
        <f>I5524</f>
        <v>0.16442999999999999</v>
      </c>
      <c r="J5538" s="160"/>
      <c r="K5538" s="161">
        <f>K5524</f>
        <v>169020</v>
      </c>
      <c r="L5538" s="250">
        <v>11</v>
      </c>
      <c r="M5538" s="163" t="str">
        <f>CONCATENATE(H5538," ",F5538,"*",L5538,"автобус","*",I5538,"/",K5538,"чел/час")</f>
        <v>228,482068390325 л бензина АИ 92 (12,5л/день(зимой)*20дней*7мес+10л/день(летом)*20дней*4мес)*11автобус*0,16443/169020чел/час</v>
      </c>
      <c r="N5538" s="278">
        <f>Лист1!I264</f>
        <v>57.007000000000005</v>
      </c>
      <c r="O5538" s="280">
        <f t="shared" ref="O5538:O5540" si="1470">MROUND(N5538*G5538,0.000001)</f>
        <v>0.13938499999999998</v>
      </c>
      <c r="P5538" s="166"/>
      <c r="Q5538" s="166">
        <f>O5538*K5538</f>
        <v>23558.852699999996</v>
      </c>
      <c r="R5538" s="71"/>
    </row>
    <row r="5539" spans="1:41" s="61" customFormat="1" ht="47.25" x14ac:dyDescent="0.25">
      <c r="A5539" s="358"/>
      <c r="B5539" s="361"/>
      <c r="C5539" s="364" t="s">
        <v>118</v>
      </c>
      <c r="D5539" s="156" t="s">
        <v>47</v>
      </c>
      <c r="E5539" s="156" t="s">
        <v>28</v>
      </c>
      <c r="F5539" s="156" t="s">
        <v>239</v>
      </c>
      <c r="G5539" s="238">
        <f>MROUND(H5539*L5539*I5539/K5539,0.00000000001)</f>
        <v>1.9456869999999998E-5</v>
      </c>
      <c r="H5539" s="158">
        <f>Лист1!G266</f>
        <v>20</v>
      </c>
      <c r="I5539" s="159">
        <f>I5538</f>
        <v>0.16442999999999999</v>
      </c>
      <c r="J5539" s="160"/>
      <c r="K5539" s="161">
        <f>K5538</f>
        <v>169020</v>
      </c>
      <c r="L5539" s="250">
        <v>1</v>
      </c>
      <c r="M5539" s="163" t="str">
        <f>CONCATENATE(H5539," ",F5539,"*",I5539,"/",K5539,"чел/час")</f>
        <v>20 манометров (потребность учреждений) *0,16443/169020чел/час</v>
      </c>
      <c r="N5539" s="278">
        <f>Лист1!I266</f>
        <v>679.9</v>
      </c>
      <c r="O5539" s="280">
        <f t="shared" si="1470"/>
        <v>1.3228999999999999E-2</v>
      </c>
      <c r="P5539" s="166"/>
      <c r="Q5539" s="166">
        <f>O5539*K5539</f>
        <v>2235.96558</v>
      </c>
      <c r="R5539" s="71"/>
      <c r="T5539" s="71"/>
    </row>
    <row r="5540" spans="1:41" s="61" customFormat="1" ht="47.25" x14ac:dyDescent="0.25">
      <c r="A5540" s="358"/>
      <c r="B5540" s="361"/>
      <c r="C5540" s="364"/>
      <c r="D5540" s="255" t="s">
        <v>113</v>
      </c>
      <c r="E5540" s="156" t="s">
        <v>28</v>
      </c>
      <c r="F5540" s="156" t="s">
        <v>240</v>
      </c>
      <c r="G5540" s="238">
        <f>MROUND(H5540*L5540*I5540/K5540,0.00000000001)</f>
        <v>9.7284349999999996E-5</v>
      </c>
      <c r="H5540" s="158">
        <f>Лист1!G267</f>
        <v>100</v>
      </c>
      <c r="I5540" s="159">
        <f>I5539</f>
        <v>0.16442999999999999</v>
      </c>
      <c r="J5540" s="160"/>
      <c r="K5540" s="161">
        <f>K5539</f>
        <v>169020</v>
      </c>
      <c r="L5540" s="250">
        <v>1</v>
      </c>
      <c r="M5540" s="163" t="str">
        <f>CONCATENATE(H5540," ",F5540,"*",I5540,"/",K5540,"чел/час")</f>
        <v>100 светильников (потребность учреждений)*0,16443/169020чел/час</v>
      </c>
      <c r="N5540" s="278">
        <f>Лист1!I267</f>
        <v>111.1635</v>
      </c>
      <c r="O5540" s="280">
        <f t="shared" si="1470"/>
        <v>1.0813999999999999E-2</v>
      </c>
      <c r="P5540" s="166"/>
      <c r="Q5540" s="166">
        <f>O5540*K5540</f>
        <v>1827.7822799999999</v>
      </c>
      <c r="R5540" s="71"/>
    </row>
    <row r="5541" spans="1:41" s="109" customFormat="1" x14ac:dyDescent="0.25">
      <c r="A5541" s="359"/>
      <c r="B5541" s="362"/>
      <c r="C5541" s="218" t="s">
        <v>301</v>
      </c>
      <c r="D5541" s="256"/>
      <c r="E5541" s="240"/>
      <c r="F5541" s="240"/>
      <c r="G5541" s="227"/>
      <c r="H5541" s="241"/>
      <c r="I5541" s="206"/>
      <c r="J5541" s="228"/>
      <c r="K5541" s="207"/>
      <c r="L5541" s="257"/>
      <c r="M5541" s="209"/>
      <c r="N5541" s="281"/>
      <c r="O5541" s="279">
        <f>O5539+O5540</f>
        <v>2.4042999999999998E-2</v>
      </c>
      <c r="P5541" s="267"/>
      <c r="Q5541" s="166"/>
      <c r="R5541" s="71"/>
      <c r="S5541" s="62"/>
      <c r="T5541" s="62"/>
      <c r="U5541" s="62"/>
      <c r="V5541" s="62"/>
      <c r="W5541" s="62"/>
      <c r="X5541" s="62"/>
      <c r="Y5541" s="62"/>
      <c r="Z5541" s="62"/>
      <c r="AA5541" s="62"/>
      <c r="AB5541" s="62"/>
      <c r="AC5541" s="62"/>
      <c r="AD5541" s="62"/>
      <c r="AE5541" s="62"/>
      <c r="AF5541" s="62"/>
      <c r="AG5541" s="62"/>
      <c r="AH5541" s="62"/>
      <c r="AI5541" s="62"/>
      <c r="AJ5541" s="62"/>
      <c r="AK5541" s="62"/>
      <c r="AL5541" s="62"/>
      <c r="AM5541" s="62"/>
      <c r="AN5541" s="62"/>
      <c r="AO5541" s="62"/>
    </row>
    <row r="5542" spans="1:41" s="108" customFormat="1" x14ac:dyDescent="0.25">
      <c r="A5542" s="357" t="str">
        <f>школы!$B$33</f>
        <v>Реализация дополнительных общеразвивающих программ (естественнонаучная направленность)</v>
      </c>
      <c r="B5542" s="360" t="str">
        <f>школы!$A$33</f>
        <v>801012О.99.0.ББ57АЕ28000</v>
      </c>
      <c r="C5542" s="194"/>
      <c r="D5542" s="363" t="s">
        <v>15</v>
      </c>
      <c r="E5542" s="363"/>
      <c r="F5542" s="363"/>
      <c r="G5542" s="363"/>
      <c r="H5542" s="195"/>
      <c r="I5542" s="195"/>
      <c r="J5542" s="195"/>
      <c r="K5542" s="195"/>
      <c r="L5542" s="196"/>
      <c r="M5542" s="197"/>
      <c r="N5542" s="278"/>
      <c r="O5542" s="279">
        <f>O5543+O5548</f>
        <v>129.15428356469999</v>
      </c>
      <c r="P5542" s="166"/>
      <c r="Q5542" s="166">
        <f>O5542*K5542</f>
        <v>0</v>
      </c>
      <c r="R5542" s="71"/>
      <c r="S5542" s="61"/>
      <c r="T5542" s="61"/>
      <c r="U5542" s="61"/>
      <c r="V5542" s="61"/>
      <c r="W5542" s="61"/>
      <c r="X5542" s="61"/>
      <c r="Y5542" s="61"/>
      <c r="Z5542" s="61"/>
      <c r="AA5542" s="61"/>
      <c r="AB5542" s="61"/>
      <c r="AC5542" s="61"/>
      <c r="AD5542" s="61"/>
      <c r="AE5542" s="61"/>
      <c r="AF5542" s="61"/>
      <c r="AG5542" s="61"/>
      <c r="AH5542" s="61"/>
      <c r="AI5542" s="61"/>
      <c r="AJ5542" s="61"/>
      <c r="AK5542" s="61"/>
      <c r="AL5542" s="61"/>
      <c r="AM5542" s="61"/>
      <c r="AN5542" s="61"/>
      <c r="AO5542" s="61"/>
    </row>
    <row r="5543" spans="1:41" s="108" customFormat="1" x14ac:dyDescent="0.25">
      <c r="A5543" s="358"/>
      <c r="B5543" s="361"/>
      <c r="C5543" s="194"/>
      <c r="D5543" s="350" t="s">
        <v>62</v>
      </c>
      <c r="E5543" s="350"/>
      <c r="F5543" s="350"/>
      <c r="G5543" s="350"/>
      <c r="H5543" s="195"/>
      <c r="I5543" s="195"/>
      <c r="J5543" s="195"/>
      <c r="K5543" s="195"/>
      <c r="L5543" s="196"/>
      <c r="M5543" s="197"/>
      <c r="N5543" s="278"/>
      <c r="O5543" s="279">
        <f>O5544+O5546</f>
        <v>128.3505275647</v>
      </c>
      <c r="P5543" s="166"/>
      <c r="Q5543" s="166">
        <f>O5543*K5543</f>
        <v>0</v>
      </c>
      <c r="R5543" s="71"/>
      <c r="S5543" s="61"/>
      <c r="T5543" s="61"/>
      <c r="U5543" s="61"/>
      <c r="V5543" s="61"/>
      <c r="W5543" s="61"/>
      <c r="X5543" s="61"/>
      <c r="Y5543" s="61"/>
      <c r="Z5543" s="61"/>
      <c r="AA5543" s="61"/>
      <c r="AB5543" s="61"/>
      <c r="AC5543" s="61"/>
      <c r="AD5543" s="61"/>
      <c r="AE5543" s="61"/>
      <c r="AF5543" s="61"/>
      <c r="AG5543" s="61"/>
      <c r="AH5543" s="61"/>
      <c r="AI5543" s="61"/>
      <c r="AJ5543" s="61"/>
      <c r="AK5543" s="61"/>
      <c r="AL5543" s="61"/>
      <c r="AM5543" s="61"/>
      <c r="AN5543" s="61"/>
      <c r="AO5543" s="61"/>
    </row>
    <row r="5544" spans="1:41" s="61" customFormat="1" ht="31.5" x14ac:dyDescent="0.25">
      <c r="A5544" s="358"/>
      <c r="B5544" s="361"/>
      <c r="C5544" s="194">
        <v>211</v>
      </c>
      <c r="D5544" s="194" t="s">
        <v>86</v>
      </c>
      <c r="E5544" s="199" t="s">
        <v>95</v>
      </c>
      <c r="F5544" s="199" t="s">
        <v>95</v>
      </c>
      <c r="G5544" s="275">
        <f>MROUND(H5544*L5544*I5544/K5544,0.00000000001)</f>
        <v>4.1594434399999996E-3</v>
      </c>
      <c r="H5544" s="201">
        <f>H5440</f>
        <v>368.4</v>
      </c>
      <c r="I5544" s="159">
        <f>школы!$K$33</f>
        <v>5.7547999999999995E-2</v>
      </c>
      <c r="J5544" s="159"/>
      <c r="K5544" s="161">
        <f>школы!$G$33</f>
        <v>61164</v>
      </c>
      <c r="L5544" s="202">
        <v>12</v>
      </c>
      <c r="M5544" s="163" t="str">
        <f>CONCATENATE(H5544," ",F5544," ","в мес.","*",L5544,"мес.","*",I5544,"/",K5544,"чел/час")</f>
        <v>368,4 шт.ед в мес.*12мес.*0,057548/61164чел/час</v>
      </c>
      <c r="N5544" s="278">
        <f>N5440</f>
        <v>23702.349798678973</v>
      </c>
      <c r="O5544" s="280">
        <f>MROUND(N5544*G5544,0.0000000001)-0.009</f>
        <v>98.579583382700008</v>
      </c>
      <c r="P5544" s="166"/>
      <c r="Q5544" s="166">
        <f>O5544*K5544</f>
        <v>6029521.638019463</v>
      </c>
      <c r="R5544" s="71"/>
    </row>
    <row r="5545" spans="1:41" s="110" customFormat="1" x14ac:dyDescent="0.25">
      <c r="A5545" s="358"/>
      <c r="B5545" s="361"/>
      <c r="C5545" s="261" t="s">
        <v>288</v>
      </c>
      <c r="D5545" s="261"/>
      <c r="E5545" s="292"/>
      <c r="F5545" s="292"/>
      <c r="G5545" s="293"/>
      <c r="H5545" s="262"/>
      <c r="I5545" s="262"/>
      <c r="J5545" s="262"/>
      <c r="K5545" s="263"/>
      <c r="L5545" s="264"/>
      <c r="M5545" s="209"/>
      <c r="N5545" s="210"/>
      <c r="O5545" s="294">
        <f>O5544</f>
        <v>98.579583382700008</v>
      </c>
      <c r="P5545" s="295"/>
      <c r="Q5545" s="166"/>
      <c r="R5545" s="71"/>
      <c r="S5545" s="92"/>
      <c r="T5545" s="92"/>
      <c r="U5545" s="92"/>
      <c r="V5545" s="92"/>
      <c r="W5545" s="92"/>
      <c r="X5545" s="92"/>
      <c r="Y5545" s="92"/>
      <c r="Z5545" s="92"/>
      <c r="AA5545" s="92"/>
      <c r="AB5545" s="92"/>
      <c r="AC5545" s="92"/>
      <c r="AD5545" s="92"/>
      <c r="AE5545" s="92"/>
      <c r="AF5545" s="92"/>
      <c r="AG5545" s="92"/>
      <c r="AH5545" s="92"/>
      <c r="AI5545" s="92"/>
      <c r="AJ5545" s="92"/>
      <c r="AK5545" s="92"/>
      <c r="AL5545" s="92"/>
      <c r="AM5545" s="92"/>
      <c r="AN5545" s="92"/>
      <c r="AO5545" s="92"/>
    </row>
    <row r="5546" spans="1:41" s="61" customFormat="1" x14ac:dyDescent="0.25">
      <c r="A5546" s="358"/>
      <c r="B5546" s="361"/>
      <c r="C5546" s="194">
        <v>213</v>
      </c>
      <c r="D5546" s="194" t="s">
        <v>87</v>
      </c>
      <c r="E5546" s="194" t="s">
        <v>88</v>
      </c>
      <c r="F5546" s="194"/>
      <c r="G5546" s="211">
        <v>30.2</v>
      </c>
      <c r="H5546" s="159"/>
      <c r="I5546" s="282">
        <f>I5544</f>
        <v>5.7547999999999995E-2</v>
      </c>
      <c r="J5546" s="159"/>
      <c r="K5546" s="161">
        <f>K5544</f>
        <v>61164</v>
      </c>
      <c r="L5546" s="202"/>
      <c r="M5546" s="212"/>
      <c r="N5546" s="278"/>
      <c r="O5546" s="280">
        <f>MROUND(O5544*0.302,0.000000001)-0.00009</f>
        <v>29.770944182000001</v>
      </c>
      <c r="P5546" s="166"/>
      <c r="Q5546" s="166">
        <f>O5546*K5546</f>
        <v>1820910.0299478481</v>
      </c>
      <c r="R5546" s="71"/>
    </row>
    <row r="5547" spans="1:41" s="109" customFormat="1" x14ac:dyDescent="0.25">
      <c r="A5547" s="358"/>
      <c r="B5547" s="361"/>
      <c r="C5547" s="203" t="s">
        <v>289</v>
      </c>
      <c r="D5547" s="203"/>
      <c r="E5547" s="203"/>
      <c r="F5547" s="203"/>
      <c r="G5547" s="213"/>
      <c r="H5547" s="214"/>
      <c r="I5547" s="206"/>
      <c r="J5547" s="214"/>
      <c r="K5547" s="207"/>
      <c r="L5547" s="215"/>
      <c r="M5547" s="216"/>
      <c r="N5547" s="281"/>
      <c r="O5547" s="279">
        <f>O5546</f>
        <v>29.770944182000001</v>
      </c>
      <c r="P5547" s="267"/>
      <c r="Q5547" s="166">
        <f>O5547*K5547</f>
        <v>0</v>
      </c>
      <c r="R5547" s="71"/>
      <c r="S5547" s="62"/>
      <c r="T5547" s="62"/>
      <c r="U5547" s="62"/>
      <c r="V5547" s="62"/>
      <c r="W5547" s="62"/>
      <c r="X5547" s="62"/>
      <c r="Y5547" s="62"/>
      <c r="Z5547" s="62"/>
      <c r="AA5547" s="62"/>
      <c r="AB5547" s="62"/>
      <c r="AC5547" s="62"/>
      <c r="AD5547" s="62"/>
      <c r="AE5547" s="62"/>
      <c r="AF5547" s="62"/>
      <c r="AG5547" s="62"/>
      <c r="AH5547" s="62"/>
      <c r="AI5547" s="62"/>
      <c r="AJ5547" s="62"/>
      <c r="AK5547" s="62"/>
      <c r="AL5547" s="62"/>
      <c r="AM5547" s="62"/>
      <c r="AN5547" s="62"/>
      <c r="AO5547" s="62"/>
    </row>
    <row r="5548" spans="1:41" s="108" customFormat="1" x14ac:dyDescent="0.25">
      <c r="A5548" s="358"/>
      <c r="B5548" s="361"/>
      <c r="C5548" s="194"/>
      <c r="D5548" s="356" t="s">
        <v>63</v>
      </c>
      <c r="E5548" s="356"/>
      <c r="F5548" s="356"/>
      <c r="G5548" s="356"/>
      <c r="H5548" s="195"/>
      <c r="I5548" s="159"/>
      <c r="J5548" s="195"/>
      <c r="K5548" s="161"/>
      <c r="L5548" s="196"/>
      <c r="M5548" s="197"/>
      <c r="N5548" s="278"/>
      <c r="O5548" s="280">
        <f>O5549</f>
        <v>0.80375599999999991</v>
      </c>
      <c r="P5548" s="166"/>
      <c r="Q5548" s="166">
        <f>O5548*K5548</f>
        <v>0</v>
      </c>
      <c r="R5548" s="71"/>
      <c r="S5548" s="61"/>
      <c r="T5548" s="61"/>
      <c r="U5548" s="61"/>
      <c r="V5548" s="61"/>
      <c r="W5548" s="61"/>
      <c r="X5548" s="61"/>
      <c r="Y5548" s="61"/>
      <c r="Z5548" s="61"/>
      <c r="AA5548" s="61"/>
      <c r="AB5548" s="61"/>
      <c r="AC5548" s="61"/>
      <c r="AD5548" s="61"/>
      <c r="AE5548" s="61"/>
      <c r="AF5548" s="61"/>
      <c r="AG5548" s="61"/>
      <c r="AH5548" s="61"/>
      <c r="AI5548" s="61"/>
      <c r="AJ5548" s="61"/>
      <c r="AK5548" s="61"/>
      <c r="AL5548" s="61"/>
      <c r="AM5548" s="61"/>
      <c r="AN5548" s="61"/>
      <c r="AO5548" s="61"/>
    </row>
    <row r="5549" spans="1:41" s="61" customFormat="1" x14ac:dyDescent="0.25">
      <c r="A5549" s="358"/>
      <c r="B5549" s="361"/>
      <c r="C5549" s="194" t="s">
        <v>118</v>
      </c>
      <c r="D5549" s="194" t="s">
        <v>259</v>
      </c>
      <c r="E5549" s="194" t="s">
        <v>260</v>
      </c>
      <c r="F5549" s="194" t="s">
        <v>261</v>
      </c>
      <c r="G5549" s="238">
        <f>MROUND(H5549*L5549*I5549/K5549,0.000000000001)</f>
        <v>1.140346871E-3</v>
      </c>
      <c r="H5549" s="283">
        <f>H5445</f>
        <v>1212</v>
      </c>
      <c r="I5549" s="282">
        <f>I5546</f>
        <v>5.7547999999999995E-2</v>
      </c>
      <c r="J5549" s="195"/>
      <c r="K5549" s="161">
        <f>K5546</f>
        <v>61164</v>
      </c>
      <c r="L5549" s="196">
        <v>1</v>
      </c>
      <c r="M5549" s="163" t="str">
        <f>CONCATENATE(H5549," ",F5549,"*",I5549,"/",K5549,"чел/час")</f>
        <v>1212 упаковок*0,057548/61164чел/час</v>
      </c>
      <c r="N5549" s="278">
        <f>N5445</f>
        <v>704.83454620462044</v>
      </c>
      <c r="O5549" s="280">
        <f>MROUND(N5549*G5549,0.000001)</f>
        <v>0.80375599999999991</v>
      </c>
      <c r="P5549" s="166"/>
      <c r="Q5549" s="166">
        <f>O5549*K5549</f>
        <v>49160.931983999995</v>
      </c>
      <c r="R5549" s="71"/>
    </row>
    <row r="5550" spans="1:41" s="109" customFormat="1" x14ac:dyDescent="0.25">
      <c r="A5550" s="358"/>
      <c r="B5550" s="361"/>
      <c r="C5550" s="203" t="s">
        <v>301</v>
      </c>
      <c r="D5550" s="203"/>
      <c r="E5550" s="203"/>
      <c r="F5550" s="203"/>
      <c r="G5550" s="227"/>
      <c r="H5550" s="214"/>
      <c r="I5550" s="206"/>
      <c r="J5550" s="214"/>
      <c r="K5550" s="207"/>
      <c r="L5550" s="215"/>
      <c r="M5550" s="209"/>
      <c r="N5550" s="281"/>
      <c r="O5550" s="279">
        <f>O5548+O5549</f>
        <v>1.6075119999999998</v>
      </c>
      <c r="P5550" s="267"/>
      <c r="Q5550" s="166"/>
      <c r="R5550" s="71"/>
      <c r="S5550" s="62"/>
      <c r="T5550" s="62"/>
      <c r="U5550" s="62"/>
      <c r="V5550" s="62"/>
      <c r="W5550" s="62"/>
      <c r="X5550" s="62"/>
      <c r="Y5550" s="62"/>
      <c r="Z5550" s="62"/>
      <c r="AA5550" s="62"/>
      <c r="AB5550" s="62"/>
      <c r="AC5550" s="62"/>
      <c r="AD5550" s="62"/>
      <c r="AE5550" s="62"/>
      <c r="AF5550" s="62"/>
      <c r="AG5550" s="62"/>
      <c r="AH5550" s="62"/>
      <c r="AI5550" s="62"/>
      <c r="AJ5550" s="62"/>
      <c r="AK5550" s="62"/>
      <c r="AL5550" s="62"/>
      <c r="AM5550" s="62"/>
      <c r="AN5550" s="62"/>
      <c r="AO5550" s="62"/>
    </row>
    <row r="5551" spans="1:41" s="108" customFormat="1" x14ac:dyDescent="0.25">
      <c r="A5551" s="358"/>
      <c r="B5551" s="361"/>
      <c r="C5551" s="194"/>
      <c r="D5551" s="350" t="s">
        <v>64</v>
      </c>
      <c r="E5551" s="350"/>
      <c r="F5551" s="350"/>
      <c r="G5551" s="350"/>
      <c r="H5551" s="195"/>
      <c r="I5551" s="159"/>
      <c r="J5551" s="195"/>
      <c r="K5551" s="161"/>
      <c r="L5551" s="196"/>
      <c r="M5551" s="197"/>
      <c r="N5551" s="278"/>
      <c r="O5551" s="280"/>
      <c r="P5551" s="166"/>
      <c r="Q5551" s="166">
        <f t="shared" ref="Q5551:Q5561" si="1471">O5551*K5551</f>
        <v>0</v>
      </c>
      <c r="R5551" s="71"/>
      <c r="S5551" s="61"/>
      <c r="T5551" s="61"/>
      <c r="U5551" s="61"/>
      <c r="V5551" s="61"/>
      <c r="W5551" s="61"/>
      <c r="X5551" s="61"/>
      <c r="Y5551" s="61"/>
      <c r="Z5551" s="61"/>
      <c r="AA5551" s="61"/>
      <c r="AB5551" s="61"/>
      <c r="AC5551" s="61"/>
      <c r="AD5551" s="61"/>
      <c r="AE5551" s="61"/>
      <c r="AF5551" s="61"/>
      <c r="AG5551" s="61"/>
      <c r="AH5551" s="61"/>
      <c r="AI5551" s="61"/>
      <c r="AJ5551" s="61"/>
      <c r="AK5551" s="61"/>
      <c r="AL5551" s="61"/>
      <c r="AM5551" s="61"/>
      <c r="AN5551" s="61"/>
      <c r="AO5551" s="61"/>
    </row>
    <row r="5552" spans="1:41" s="108" customFormat="1" x14ac:dyDescent="0.25">
      <c r="A5552" s="358"/>
      <c r="B5552" s="361"/>
      <c r="C5552" s="194"/>
      <c r="D5552" s="194"/>
      <c r="E5552" s="194"/>
      <c r="F5552" s="194"/>
      <c r="G5552" s="217"/>
      <c r="H5552" s="195"/>
      <c r="I5552" s="159"/>
      <c r="J5552" s="195"/>
      <c r="K5552" s="161"/>
      <c r="L5552" s="196"/>
      <c r="M5552" s="197"/>
      <c r="N5552" s="278"/>
      <c r="O5552" s="280"/>
      <c r="P5552" s="166"/>
      <c r="Q5552" s="166">
        <f t="shared" si="1471"/>
        <v>0</v>
      </c>
      <c r="R5552" s="71"/>
      <c r="S5552" s="61"/>
      <c r="T5552" s="61"/>
      <c r="U5552" s="61"/>
      <c r="V5552" s="61"/>
      <c r="W5552" s="61"/>
      <c r="X5552" s="61"/>
      <c r="Y5552" s="61"/>
      <c r="Z5552" s="61"/>
      <c r="AA5552" s="61"/>
      <c r="AB5552" s="61"/>
      <c r="AC5552" s="61"/>
      <c r="AD5552" s="61"/>
      <c r="AE5552" s="61"/>
      <c r="AF5552" s="61"/>
      <c r="AG5552" s="61"/>
      <c r="AH5552" s="61"/>
      <c r="AI5552" s="61"/>
      <c r="AJ5552" s="61"/>
      <c r="AK5552" s="61"/>
      <c r="AL5552" s="61"/>
      <c r="AM5552" s="61"/>
      <c r="AN5552" s="61"/>
      <c r="AO5552" s="61"/>
    </row>
    <row r="5553" spans="1:41" s="108" customFormat="1" x14ac:dyDescent="0.25">
      <c r="A5553" s="358"/>
      <c r="B5553" s="361"/>
      <c r="C5553" s="194"/>
      <c r="D5553" s="355" t="s">
        <v>5</v>
      </c>
      <c r="E5553" s="355"/>
      <c r="F5553" s="355"/>
      <c r="G5553" s="355"/>
      <c r="H5553" s="195"/>
      <c r="I5553" s="159"/>
      <c r="J5553" s="195"/>
      <c r="K5553" s="161"/>
      <c r="L5553" s="196"/>
      <c r="M5553" s="197"/>
      <c r="N5553" s="278"/>
      <c r="O5553" s="279">
        <f>O5554+O5563+O5574+O5576+O5587+O5583</f>
        <v>32.165449973999998</v>
      </c>
      <c r="P5553" s="166"/>
      <c r="Q5553" s="166">
        <f t="shared" si="1471"/>
        <v>0</v>
      </c>
      <c r="R5553" s="71"/>
      <c r="S5553" s="61"/>
      <c r="T5553" s="61"/>
      <c r="U5553" s="61"/>
      <c r="V5553" s="61"/>
      <c r="W5553" s="61"/>
      <c r="X5553" s="61"/>
      <c r="Y5553" s="61"/>
      <c r="Z5553" s="61"/>
      <c r="AA5553" s="61"/>
      <c r="AB5553" s="61"/>
      <c r="AC5553" s="61"/>
      <c r="AD5553" s="61"/>
      <c r="AE5553" s="61"/>
      <c r="AF5553" s="61"/>
      <c r="AG5553" s="61"/>
      <c r="AH5553" s="61"/>
      <c r="AI5553" s="61"/>
      <c r="AJ5553" s="61"/>
      <c r="AK5553" s="61"/>
      <c r="AL5553" s="61"/>
      <c r="AM5553" s="61"/>
      <c r="AN5553" s="61"/>
      <c r="AO5553" s="61"/>
    </row>
    <row r="5554" spans="1:41" s="108" customFormat="1" x14ac:dyDescent="0.25">
      <c r="A5554" s="358"/>
      <c r="B5554" s="361"/>
      <c r="C5554" s="221" t="s">
        <v>70</v>
      </c>
      <c r="D5554" s="355" t="s">
        <v>6</v>
      </c>
      <c r="E5554" s="355"/>
      <c r="F5554" s="355"/>
      <c r="G5554" s="355"/>
      <c r="H5554" s="189"/>
      <c r="I5554" s="159"/>
      <c r="J5554" s="189"/>
      <c r="K5554" s="161"/>
      <c r="L5554" s="190"/>
      <c r="M5554" s="197"/>
      <c r="N5554" s="278"/>
      <c r="O5554" s="279">
        <f>O5555+O5556+O5557+O5558+O5559+O5560+O5561</f>
        <v>6.0161220000000002</v>
      </c>
      <c r="P5554" s="166"/>
      <c r="Q5554" s="166">
        <f t="shared" si="1471"/>
        <v>0</v>
      </c>
      <c r="R5554" s="71"/>
      <c r="S5554" s="61"/>
      <c r="T5554" s="61"/>
      <c r="U5554" s="61"/>
      <c r="V5554" s="61"/>
      <c r="W5554" s="61"/>
      <c r="X5554" s="61"/>
      <c r="Y5554" s="61"/>
      <c r="Z5554" s="61"/>
      <c r="AA5554" s="61"/>
      <c r="AB5554" s="61"/>
      <c r="AC5554" s="61"/>
      <c r="AD5554" s="61"/>
      <c r="AE5554" s="61"/>
      <c r="AF5554" s="61"/>
      <c r="AG5554" s="61"/>
      <c r="AH5554" s="61"/>
      <c r="AI5554" s="61"/>
      <c r="AJ5554" s="61"/>
      <c r="AK5554" s="61"/>
      <c r="AL5554" s="61"/>
      <c r="AM5554" s="61"/>
      <c r="AN5554" s="61"/>
      <c r="AO5554" s="61"/>
    </row>
    <row r="5555" spans="1:41" s="61" customFormat="1" ht="31.5" x14ac:dyDescent="0.25">
      <c r="A5555" s="358"/>
      <c r="B5555" s="361"/>
      <c r="C5555" s="221" t="s">
        <v>72</v>
      </c>
      <c r="D5555" s="222" t="s">
        <v>7</v>
      </c>
      <c r="E5555" s="223" t="s">
        <v>8</v>
      </c>
      <c r="F5555" s="223" t="s">
        <v>8</v>
      </c>
      <c r="G5555" s="238">
        <f>MROUND(H5555*L5555*I5555/K5555,0.000000000001)</f>
        <v>0.10637605073799999</v>
      </c>
      <c r="H5555" s="160">
        <f>H5451</f>
        <v>113060.13705633247</v>
      </c>
      <c r="I5555" s="282">
        <f>I5549</f>
        <v>5.7547999999999995E-2</v>
      </c>
      <c r="J5555" s="160"/>
      <c r="K5555" s="161">
        <f>K5549</f>
        <v>61164</v>
      </c>
      <c r="L5555" s="250">
        <v>1</v>
      </c>
      <c r="M5555" s="163" t="str">
        <f>CONCATENATE(H5555," ",F5555,"(лимиты выделенные УЖКХ) ","*",I5555,"/",K5555,"чел/час")</f>
        <v>113060,137056332 кВт час.(лимиты выделенные УЖКХ) *0,057548/61164чел/час</v>
      </c>
      <c r="N5555" s="278">
        <f t="shared" ref="N5555:N5561" si="1472">N5451</f>
        <v>10.942938264647223</v>
      </c>
      <c r="O5555" s="280">
        <f>MROUND(N5555*G5555,0.000001)</f>
        <v>1.164067</v>
      </c>
      <c r="P5555" s="166"/>
      <c r="Q5555" s="166">
        <f t="shared" si="1471"/>
        <v>71198.993988000002</v>
      </c>
      <c r="R5555" s="71"/>
    </row>
    <row r="5556" spans="1:41" s="61" customFormat="1" ht="31.5" x14ac:dyDescent="0.25">
      <c r="A5556" s="358"/>
      <c r="B5556" s="361"/>
      <c r="C5556" s="221" t="s">
        <v>73</v>
      </c>
      <c r="D5556" s="222" t="s">
        <v>9</v>
      </c>
      <c r="E5556" s="223" t="s">
        <v>10</v>
      </c>
      <c r="F5556" s="223" t="s">
        <v>10</v>
      </c>
      <c r="G5556" s="238">
        <f>MROUND(H5556*L5556*I5556/K5556,0.0000000001)</f>
        <v>1.3115870999999999E-3</v>
      </c>
      <c r="H5556" s="160">
        <f>H5452</f>
        <v>1394</v>
      </c>
      <c r="I5556" s="159">
        <f t="shared" ref="I5556:I5561" si="1473">I5555</f>
        <v>5.7547999999999995E-2</v>
      </c>
      <c r="J5556" s="160"/>
      <c r="K5556" s="161">
        <f t="shared" ref="K5556:K5561" si="1474">K5555</f>
        <v>61164</v>
      </c>
      <c r="L5556" s="250">
        <v>1</v>
      </c>
      <c r="M5556" s="163" t="str">
        <f>CONCATENATE(H5556," ",F5556,"(лимиты выделенные УЖКХ) ","*",I5556,"/",K5556,"чел/час")</f>
        <v>1394 Гкал(лимиты выделенные УЖКХ) *0,057548/61164чел/час</v>
      </c>
      <c r="N5556" s="278">
        <f t="shared" si="1472"/>
        <v>2976.2517790530851</v>
      </c>
      <c r="O5556" s="280">
        <f t="shared" ref="O5556:O5561" si="1475">MROUND(N5556*G5556,0.000001)</f>
        <v>3.903613</v>
      </c>
      <c r="P5556" s="166"/>
      <c r="Q5556" s="166">
        <f t="shared" si="1471"/>
        <v>238760.585532</v>
      </c>
      <c r="R5556" s="71"/>
    </row>
    <row r="5557" spans="1:41" s="61" customFormat="1" ht="31.5" x14ac:dyDescent="0.25">
      <c r="A5557" s="358"/>
      <c r="B5557" s="361"/>
      <c r="C5557" s="364" t="s">
        <v>74</v>
      </c>
      <c r="D5557" s="222" t="s">
        <v>12</v>
      </c>
      <c r="E5557" s="222" t="s">
        <v>11</v>
      </c>
      <c r="F5557" s="222" t="s">
        <v>11</v>
      </c>
      <c r="G5557" s="238">
        <f>MROUND(H5557*L5557*I5557/K5557,0.00000000001)</f>
        <v>3.8022006099999997E-3</v>
      </c>
      <c r="H5557" s="224">
        <f>H5453</f>
        <v>4041.1099999999997</v>
      </c>
      <c r="I5557" s="159">
        <f t="shared" si="1473"/>
        <v>5.7547999999999995E-2</v>
      </c>
      <c r="J5557" s="160"/>
      <c r="K5557" s="161">
        <f t="shared" si="1474"/>
        <v>61164</v>
      </c>
      <c r="L5557" s="250">
        <v>1</v>
      </c>
      <c r="M5557" s="163" t="str">
        <f>CONCATENATE(H5557," ",F5557,"(лимиты выделенные УЖКХ) ","*",I5557,"/",K5557,"чел/час")</f>
        <v>4041,11 м3(лимиты выделенные УЖКХ) *0,057548/61164чел/час</v>
      </c>
      <c r="N5557" s="278">
        <f t="shared" si="1472"/>
        <v>54.214180014896904</v>
      </c>
      <c r="O5557" s="280">
        <f t="shared" si="1475"/>
        <v>0.20613299999999998</v>
      </c>
      <c r="P5557" s="166"/>
      <c r="Q5557" s="166">
        <f t="shared" si="1471"/>
        <v>12607.918811999998</v>
      </c>
      <c r="R5557" s="71"/>
    </row>
    <row r="5558" spans="1:41" s="61" customFormat="1" ht="47.25" x14ac:dyDescent="0.25">
      <c r="A5558" s="358"/>
      <c r="B5558" s="361"/>
      <c r="C5558" s="364"/>
      <c r="D5558" s="222" t="s">
        <v>17</v>
      </c>
      <c r="E5558" s="222" t="s">
        <v>11</v>
      </c>
      <c r="F5558" s="222" t="s">
        <v>11</v>
      </c>
      <c r="G5558" s="238">
        <f>MROUND(H5558*L5558*I5558/K5558,0.00000000001)</f>
        <v>3.8022006099999997E-3</v>
      </c>
      <c r="H5558" s="160">
        <f>$H$5454</f>
        <v>4041.1099999999997</v>
      </c>
      <c r="I5558" s="159">
        <f t="shared" si="1473"/>
        <v>5.7547999999999995E-2</v>
      </c>
      <c r="J5558" s="160"/>
      <c r="K5558" s="161">
        <f t="shared" si="1474"/>
        <v>61164</v>
      </c>
      <c r="L5558" s="162">
        <f>$L$25</f>
        <v>1</v>
      </c>
      <c r="M5558" s="163" t="str">
        <f>CONCATENATE(H5558," ",F5558,"(лимиты выделенные УЖКХ) ","*",I5558,"/",K5558,"чел/час")</f>
        <v>4041,11 м3(лимиты выделенные УЖКХ) *0,057548/61164чел/час</v>
      </c>
      <c r="N5558" s="164">
        <f t="shared" si="1472"/>
        <v>82.384170780821918</v>
      </c>
      <c r="O5558" s="280">
        <f t="shared" si="1475"/>
        <v>0.31324099999999999</v>
      </c>
      <c r="P5558" s="166"/>
      <c r="Q5558" s="166">
        <f t="shared" si="1471"/>
        <v>19159.072523999999</v>
      </c>
      <c r="R5558" s="71"/>
    </row>
    <row r="5559" spans="1:41" s="61" customFormat="1" ht="31.5" x14ac:dyDescent="0.25">
      <c r="A5559" s="358"/>
      <c r="B5559" s="361"/>
      <c r="C5559" s="364"/>
      <c r="D5559" s="222" t="s">
        <v>13</v>
      </c>
      <c r="E5559" s="222" t="s">
        <v>11</v>
      </c>
      <c r="F5559" s="222" t="s">
        <v>11</v>
      </c>
      <c r="G5559" s="238">
        <f>MROUND(H5559*L5559*I5559/K5559,0.00000000001)</f>
        <v>3.8022006099999997E-3</v>
      </c>
      <c r="H5559" s="160">
        <f>H5455</f>
        <v>4041.1099999999997</v>
      </c>
      <c r="I5559" s="159">
        <f t="shared" si="1473"/>
        <v>5.7547999999999995E-2</v>
      </c>
      <c r="J5559" s="160"/>
      <c r="K5559" s="161">
        <f t="shared" si="1474"/>
        <v>61164</v>
      </c>
      <c r="L5559" s="162">
        <v>1</v>
      </c>
      <c r="M5559" s="163" t="str">
        <f>CONCATENATE(H5559," ",F5559,"(лимиты выделенные УЖКХ) ","*",I5559,"/",K5559,"чел/час")</f>
        <v>4041,11 м3(лимиты выделенные УЖКХ) *0,057548/61164чел/час</v>
      </c>
      <c r="N5559" s="278">
        <f t="shared" si="1472"/>
        <v>100.60427670019196</v>
      </c>
      <c r="O5559" s="280">
        <f t="shared" si="1475"/>
        <v>0.38251799999999997</v>
      </c>
      <c r="P5559" s="166"/>
      <c r="Q5559" s="166">
        <f t="shared" si="1471"/>
        <v>23396.330951999997</v>
      </c>
      <c r="R5559" s="71"/>
    </row>
    <row r="5560" spans="1:41" s="61" customFormat="1" x14ac:dyDescent="0.25">
      <c r="A5560" s="358"/>
      <c r="B5560" s="361"/>
      <c r="C5560" s="364" t="s">
        <v>216</v>
      </c>
      <c r="D5560" s="222" t="s">
        <v>23</v>
      </c>
      <c r="E5560" s="222" t="s">
        <v>11</v>
      </c>
      <c r="F5560" s="222" t="s">
        <v>11</v>
      </c>
      <c r="G5560" s="238">
        <f>MROUND(H5560*L5560*I5560/K5560,0.0000000001)</f>
        <v>2.3503200000000002E-5</v>
      </c>
      <c r="H5560" s="160">
        <f>H5456</f>
        <v>24.979999999999997</v>
      </c>
      <c r="I5560" s="159">
        <f t="shared" si="1473"/>
        <v>5.7547999999999995E-2</v>
      </c>
      <c r="J5560" s="160"/>
      <c r="K5560" s="161">
        <f t="shared" si="1474"/>
        <v>61164</v>
      </c>
      <c r="L5560" s="162">
        <v>1</v>
      </c>
      <c r="M5560" s="163" t="str">
        <f>CONCATENATE(H5560," ",F5560," ","*",I5560,"/",K5560,"чел/час")</f>
        <v>24,98 м3 *0,057548/61164чел/час</v>
      </c>
      <c r="N5560" s="164">
        <f t="shared" si="1472"/>
        <v>776.35588470776622</v>
      </c>
      <c r="O5560" s="280">
        <f t="shared" si="1475"/>
        <v>1.8246999999999999E-2</v>
      </c>
      <c r="P5560" s="166"/>
      <c r="Q5560" s="166">
        <f t="shared" si="1471"/>
        <v>1116.0595080000001</v>
      </c>
      <c r="R5560" s="71"/>
    </row>
    <row r="5561" spans="1:41" s="61" customFormat="1" ht="63" x14ac:dyDescent="0.25">
      <c r="A5561" s="358"/>
      <c r="B5561" s="361"/>
      <c r="C5561" s="364"/>
      <c r="D5561" s="222" t="s">
        <v>24</v>
      </c>
      <c r="E5561" s="222" t="s">
        <v>25</v>
      </c>
      <c r="F5561" s="222" t="s">
        <v>248</v>
      </c>
      <c r="G5561" s="238">
        <f>MROUND(H5561*L5561*I5561/K5561,0.0000000001)</f>
        <v>4.7044000000000002E-6</v>
      </c>
      <c r="H5561" s="160">
        <f>H5457</f>
        <v>5</v>
      </c>
      <c r="I5561" s="159">
        <f t="shared" si="1473"/>
        <v>5.7547999999999995E-2</v>
      </c>
      <c r="J5561" s="160"/>
      <c r="K5561" s="161">
        <f t="shared" si="1474"/>
        <v>61164</v>
      </c>
      <c r="L5561" s="250">
        <v>1</v>
      </c>
      <c r="M5561" s="163" t="str">
        <f>CONCATENATE(H5561," ",F5561,"(потребность из расчета 4 контейнера для уборки территории весной и осенью на 1 учреждение)","*",I5561,"/",K5561,"чел/час")</f>
        <v>5 контейнеров(потребность из расчета 4 контейнера для уборки территории весной и осенью на 1 учреждение)*0,057548/61164чел/час</v>
      </c>
      <c r="N5561" s="278">
        <f t="shared" si="1472"/>
        <v>6016.38</v>
      </c>
      <c r="O5561" s="280">
        <f t="shared" si="1475"/>
        <v>2.8302999999999998E-2</v>
      </c>
      <c r="P5561" s="166"/>
      <c r="Q5561" s="166">
        <f t="shared" si="1471"/>
        <v>1731.1246919999999</v>
      </c>
      <c r="R5561" s="71"/>
    </row>
    <row r="5562" spans="1:41" s="109" customFormat="1" x14ac:dyDescent="0.25">
      <c r="A5562" s="358"/>
      <c r="B5562" s="361"/>
      <c r="C5562" s="218" t="s">
        <v>290</v>
      </c>
      <c r="D5562" s="226"/>
      <c r="E5562" s="226"/>
      <c r="F5562" s="226"/>
      <c r="G5562" s="227"/>
      <c r="H5562" s="228"/>
      <c r="I5562" s="206"/>
      <c r="J5562" s="228"/>
      <c r="K5562" s="207"/>
      <c r="L5562" s="257"/>
      <c r="M5562" s="209"/>
      <c r="N5562" s="281"/>
      <c r="O5562" s="279">
        <f>SUM(O5555:O5561)</f>
        <v>6.0161220000000002</v>
      </c>
      <c r="P5562" s="267"/>
      <c r="Q5562" s="166"/>
      <c r="R5562" s="71"/>
      <c r="S5562" s="62"/>
      <c r="T5562" s="62"/>
      <c r="U5562" s="62"/>
      <c r="V5562" s="62"/>
      <c r="W5562" s="62"/>
      <c r="X5562" s="62"/>
      <c r="Y5562" s="62"/>
      <c r="Z5562" s="62"/>
      <c r="AA5562" s="62"/>
      <c r="AB5562" s="62"/>
      <c r="AC5562" s="62"/>
      <c r="AD5562" s="62"/>
      <c r="AE5562" s="62"/>
      <c r="AF5562" s="62"/>
      <c r="AG5562" s="62"/>
      <c r="AH5562" s="62"/>
      <c r="AI5562" s="62"/>
      <c r="AJ5562" s="62"/>
      <c r="AK5562" s="62"/>
      <c r="AL5562" s="62"/>
      <c r="AM5562" s="62"/>
      <c r="AN5562" s="62"/>
      <c r="AO5562" s="62"/>
    </row>
    <row r="5563" spans="1:41" s="108" customFormat="1" x14ac:dyDescent="0.25">
      <c r="A5563" s="358"/>
      <c r="B5563" s="361"/>
      <c r="C5563" s="221"/>
      <c r="D5563" s="356" t="s">
        <v>14</v>
      </c>
      <c r="E5563" s="356"/>
      <c r="F5563" s="356"/>
      <c r="G5563" s="356"/>
      <c r="H5563" s="188"/>
      <c r="I5563" s="159"/>
      <c r="J5563" s="188"/>
      <c r="K5563" s="161"/>
      <c r="L5563" s="250"/>
      <c r="M5563" s="230"/>
      <c r="N5563" s="278"/>
      <c r="O5563" s="279">
        <f>O5567+O5571+O5573</f>
        <v>22.222701485999998</v>
      </c>
      <c r="P5563" s="166"/>
      <c r="Q5563" s="166">
        <f>O5563*K5563</f>
        <v>0</v>
      </c>
      <c r="R5563" s="71"/>
      <c r="S5563" s="61"/>
      <c r="T5563" s="61"/>
      <c r="U5563" s="61"/>
      <c r="V5563" s="61"/>
      <c r="W5563" s="61"/>
      <c r="X5563" s="61"/>
      <c r="Y5563" s="61"/>
      <c r="Z5563" s="61"/>
      <c r="AA5563" s="61"/>
      <c r="AB5563" s="61"/>
      <c r="AC5563" s="61"/>
      <c r="AD5563" s="61"/>
      <c r="AE5563" s="61"/>
      <c r="AF5563" s="61"/>
      <c r="AG5563" s="61"/>
      <c r="AH5563" s="61"/>
      <c r="AI5563" s="61"/>
      <c r="AJ5563" s="61"/>
      <c r="AK5563" s="61"/>
      <c r="AL5563" s="61"/>
      <c r="AM5563" s="61"/>
      <c r="AN5563" s="61"/>
      <c r="AO5563" s="61"/>
    </row>
    <row r="5564" spans="1:41" s="61" customFormat="1" x14ac:dyDescent="0.25">
      <c r="A5564" s="358"/>
      <c r="B5564" s="361"/>
      <c r="C5564" s="221" t="s">
        <v>379</v>
      </c>
      <c r="D5564" s="231" t="s">
        <v>49</v>
      </c>
      <c r="E5564" s="231" t="s">
        <v>22</v>
      </c>
      <c r="F5564" s="231" t="s">
        <v>22</v>
      </c>
      <c r="G5564" s="238">
        <f>MROUND(H5564*L5564*I5564/K5564,0.00000000000001)</f>
        <v>0</v>
      </c>
      <c r="H5564" s="160"/>
      <c r="I5564" s="159">
        <f>I5559</f>
        <v>5.7547999999999995E-2</v>
      </c>
      <c r="J5564" s="160"/>
      <c r="K5564" s="161">
        <f>K5559</f>
        <v>61164</v>
      </c>
      <c r="L5564" s="250">
        <v>1</v>
      </c>
      <c r="M5564" s="163"/>
      <c r="N5564" s="278"/>
      <c r="O5564" s="280">
        <f>MROUND(N5564*G5564,0.000000001)</f>
        <v>0</v>
      </c>
      <c r="P5564" s="166"/>
      <c r="Q5564" s="166">
        <f>O5564*K5564</f>
        <v>0</v>
      </c>
      <c r="R5564" s="71"/>
    </row>
    <row r="5565" spans="1:41" s="61" customFormat="1" x14ac:dyDescent="0.25">
      <c r="A5565" s="358"/>
      <c r="B5565" s="361"/>
      <c r="C5565" s="221" t="s">
        <v>379</v>
      </c>
      <c r="D5565" s="231" t="s">
        <v>49</v>
      </c>
      <c r="E5565" s="231" t="s">
        <v>28</v>
      </c>
      <c r="F5565" s="231" t="s">
        <v>28</v>
      </c>
      <c r="G5565" s="238">
        <f>MROUND(H5565*L5565*I5565/K5565,0.0000000000001)</f>
        <v>0</v>
      </c>
      <c r="H5565" s="160"/>
      <c r="I5565" s="159">
        <f>I5564</f>
        <v>5.7547999999999995E-2</v>
      </c>
      <c r="J5565" s="160"/>
      <c r="K5565" s="161">
        <f>K5564</f>
        <v>61164</v>
      </c>
      <c r="L5565" s="250">
        <v>1</v>
      </c>
      <c r="M5565" s="163"/>
      <c r="N5565" s="278"/>
      <c r="O5565" s="280">
        <f>MROUND(N5565*G5565,0.000000001)</f>
        <v>0</v>
      </c>
      <c r="P5565" s="166"/>
      <c r="Q5565" s="166">
        <f>O5565*K5565</f>
        <v>0</v>
      </c>
      <c r="R5565" s="71"/>
    </row>
    <row r="5566" spans="1:41" s="61" customFormat="1" x14ac:dyDescent="0.25">
      <c r="A5566" s="358"/>
      <c r="B5566" s="361"/>
      <c r="C5566" s="221" t="s">
        <v>379</v>
      </c>
      <c r="D5566" s="231" t="s">
        <v>49</v>
      </c>
      <c r="E5566" s="231" t="s">
        <v>101</v>
      </c>
      <c r="F5566" s="231" t="s">
        <v>101</v>
      </c>
      <c r="G5566" s="238">
        <f>MROUND(H5566*L5566*I5566/K5566,0.0000000001)</f>
        <v>0</v>
      </c>
      <c r="H5566" s="160"/>
      <c r="I5566" s="159">
        <f>I5564</f>
        <v>5.7547999999999995E-2</v>
      </c>
      <c r="J5566" s="160"/>
      <c r="K5566" s="161">
        <f>K5564</f>
        <v>61164</v>
      </c>
      <c r="L5566" s="250">
        <v>1</v>
      </c>
      <c r="M5566" s="163"/>
      <c r="N5566" s="278"/>
      <c r="O5566" s="280">
        <f>MROUND(N5566*G5566,0.000001)</f>
        <v>0</v>
      </c>
      <c r="P5566" s="166"/>
      <c r="Q5566" s="166">
        <f>O5566*K5566</f>
        <v>0</v>
      </c>
      <c r="R5566" s="71"/>
    </row>
    <row r="5567" spans="1:41" s="109" customFormat="1" x14ac:dyDescent="0.25">
      <c r="A5567" s="358"/>
      <c r="B5567" s="361"/>
      <c r="C5567" s="218" t="s">
        <v>380</v>
      </c>
      <c r="D5567" s="232"/>
      <c r="E5567" s="232"/>
      <c r="F5567" s="232"/>
      <c r="G5567" s="227"/>
      <c r="H5567" s="228"/>
      <c r="I5567" s="206"/>
      <c r="J5567" s="228"/>
      <c r="K5567" s="207"/>
      <c r="L5567" s="257"/>
      <c r="M5567" s="209"/>
      <c r="N5567" s="281"/>
      <c r="O5567" s="279">
        <f>O5564+O5566+O5565</f>
        <v>0</v>
      </c>
      <c r="P5567" s="267"/>
      <c r="Q5567" s="166"/>
      <c r="R5567" s="71"/>
      <c r="S5567" s="62"/>
      <c r="T5567" s="62"/>
      <c r="U5567" s="62"/>
      <c r="V5567" s="62"/>
      <c r="W5567" s="62"/>
      <c r="X5567" s="62"/>
      <c r="Y5567" s="62"/>
      <c r="Z5567" s="62"/>
      <c r="AA5567" s="62"/>
      <c r="AB5567" s="62"/>
      <c r="AC5567" s="62"/>
      <c r="AD5567" s="62"/>
      <c r="AE5567" s="62"/>
      <c r="AF5567" s="62"/>
      <c r="AG5567" s="62"/>
      <c r="AH5567" s="62"/>
      <c r="AI5567" s="62"/>
      <c r="AJ5567" s="62"/>
      <c r="AK5567" s="62"/>
      <c r="AL5567" s="62"/>
      <c r="AM5567" s="62"/>
      <c r="AN5567" s="62"/>
      <c r="AO5567" s="62"/>
    </row>
    <row r="5568" spans="1:41" s="61" customFormat="1" x14ac:dyDescent="0.25">
      <c r="A5568" s="358"/>
      <c r="B5568" s="361"/>
      <c r="C5568" s="221" t="s">
        <v>76</v>
      </c>
      <c r="D5568" s="231" t="s">
        <v>49</v>
      </c>
      <c r="E5568" s="231" t="s">
        <v>22</v>
      </c>
      <c r="F5568" s="231" t="s">
        <v>22</v>
      </c>
      <c r="G5568" s="238">
        <f>MROUND(H5568*L5568*I5568/K5568,0.0000000000001)</f>
        <v>9.3523497481999996E-3</v>
      </c>
      <c r="H5568" s="160">
        <f>H5464</f>
        <v>9940</v>
      </c>
      <c r="I5568" s="159">
        <f>I5566</f>
        <v>5.7547999999999995E-2</v>
      </c>
      <c r="J5568" s="160"/>
      <c r="K5568" s="161">
        <f>K5566</f>
        <v>61164</v>
      </c>
      <c r="L5568" s="250">
        <v>1</v>
      </c>
      <c r="M5568" s="163" t="str">
        <f>CONCATENATE(H5568," ",F5568,"*",I5568,"/",K5568,"чел/час")</f>
        <v>9940 м2*0,057548/61164чел/час</v>
      </c>
      <c r="N5568" s="278">
        <f>N5464</f>
        <v>1444.6680080482897</v>
      </c>
      <c r="O5568" s="280">
        <f>MROUND(N5568*G5568,0.000000001)-0.00009</f>
        <v>13.510950481</v>
      </c>
      <c r="P5568" s="166"/>
      <c r="Q5568" s="166">
        <f>O5568*K5568</f>
        <v>826383.775219884</v>
      </c>
      <c r="R5568" s="71"/>
    </row>
    <row r="5569" spans="1:41" s="61" customFormat="1" x14ac:dyDescent="0.25">
      <c r="A5569" s="358"/>
      <c r="B5569" s="361"/>
      <c r="C5569" s="221"/>
      <c r="D5569" s="231" t="s">
        <v>49</v>
      </c>
      <c r="E5569" s="231" t="s">
        <v>28</v>
      </c>
      <c r="F5569" s="231" t="s">
        <v>28</v>
      </c>
      <c r="G5569" s="238">
        <f>MROUND(H5569*L5569*I5569/K5569,0.0000000000001)</f>
        <v>4.0457851000000004E-5</v>
      </c>
      <c r="H5569" s="160">
        <f>H5465</f>
        <v>43</v>
      </c>
      <c r="I5569" s="159">
        <f>I5568</f>
        <v>5.7547999999999995E-2</v>
      </c>
      <c r="J5569" s="160"/>
      <c r="K5569" s="161">
        <f>K5568</f>
        <v>61164</v>
      </c>
      <c r="L5569" s="250">
        <v>1</v>
      </c>
      <c r="M5569" s="163" t="str">
        <f>CONCATENATE(H5569," ",F5569,"*",I5569,"/",K5569,"чел/час")</f>
        <v>43 шт*0,057548/61164чел/час</v>
      </c>
      <c r="N5569" s="278">
        <f>N5465</f>
        <v>109534.88372093023</v>
      </c>
      <c r="O5569" s="280">
        <f>MROUND(N5569*G5569,0.000000001)-0.0008</f>
        <v>4.4307460050000005</v>
      </c>
      <c r="P5569" s="166"/>
      <c r="Q5569" s="166">
        <f>O5569*K5569</f>
        <v>271002.14864982001</v>
      </c>
      <c r="R5569" s="71"/>
    </row>
    <row r="5570" spans="1:41" s="61" customFormat="1" x14ac:dyDescent="0.25">
      <c r="A5570" s="358"/>
      <c r="B5570" s="361"/>
      <c r="C5570" s="221"/>
      <c r="D5570" s="231" t="s">
        <v>49</v>
      </c>
      <c r="E5570" s="231" t="s">
        <v>101</v>
      </c>
      <c r="F5570" s="231" t="s">
        <v>101</v>
      </c>
      <c r="G5570" s="238">
        <f>MROUND(H5570*L5570*I5570/K5570,0.00000000001)</f>
        <v>1.71240207E-3</v>
      </c>
      <c r="H5570" s="160">
        <f>H5466</f>
        <v>1820</v>
      </c>
      <c r="I5570" s="159">
        <f>I5568</f>
        <v>5.7547999999999995E-2</v>
      </c>
      <c r="J5570" s="160"/>
      <c r="K5570" s="161">
        <f>K5568</f>
        <v>61164</v>
      </c>
      <c r="L5570" s="250">
        <v>1</v>
      </c>
      <c r="M5570" s="163" t="str">
        <f>CONCATENATE(H5570," ",F5570,"*",I5570,"/",K5570,"чел/час")</f>
        <v>1820 погон.м.*0,057548/61164чел/час</v>
      </c>
      <c r="N5570" s="278">
        <f>N5466</f>
        <v>2500</v>
      </c>
      <c r="O5570" s="280">
        <f>MROUND(N5570*G5570,0.000001)</f>
        <v>4.2810049999999995</v>
      </c>
      <c r="P5570" s="166"/>
      <c r="Q5570" s="166">
        <f>O5570*K5570</f>
        <v>261843.38981999998</v>
      </c>
      <c r="R5570" s="71"/>
    </row>
    <row r="5571" spans="1:41" s="109" customFormat="1" x14ac:dyDescent="0.25">
      <c r="A5571" s="358"/>
      <c r="B5571" s="361"/>
      <c r="C5571" s="218" t="s">
        <v>291</v>
      </c>
      <c r="D5571" s="232"/>
      <c r="E5571" s="232"/>
      <c r="F5571" s="232"/>
      <c r="G5571" s="227"/>
      <c r="H5571" s="228"/>
      <c r="I5571" s="206"/>
      <c r="J5571" s="228"/>
      <c r="K5571" s="207"/>
      <c r="L5571" s="257"/>
      <c r="M5571" s="209"/>
      <c r="N5571" s="281"/>
      <c r="O5571" s="279">
        <f>O5568+O5570+O5569</f>
        <v>22.222701485999998</v>
      </c>
      <c r="P5571" s="267"/>
      <c r="Q5571" s="166"/>
      <c r="R5571" s="71"/>
      <c r="S5571" s="62"/>
      <c r="T5571" s="62"/>
      <c r="U5571" s="62"/>
      <c r="V5571" s="62"/>
      <c r="W5571" s="62"/>
      <c r="X5571" s="62"/>
      <c r="Y5571" s="62"/>
      <c r="Z5571" s="62"/>
      <c r="AA5571" s="62"/>
      <c r="AB5571" s="62"/>
      <c r="AC5571" s="62"/>
      <c r="AD5571" s="62"/>
      <c r="AE5571" s="62"/>
      <c r="AF5571" s="62"/>
      <c r="AG5571" s="62"/>
      <c r="AH5571" s="62"/>
      <c r="AI5571" s="62"/>
      <c r="AJ5571" s="62"/>
      <c r="AK5571" s="62"/>
      <c r="AL5571" s="62"/>
      <c r="AM5571" s="62"/>
      <c r="AN5571" s="62"/>
      <c r="AO5571" s="62"/>
    </row>
    <row r="5572" spans="1:41" s="61" customFormat="1" x14ac:dyDescent="0.25">
      <c r="A5572" s="358"/>
      <c r="B5572" s="361"/>
      <c r="C5572" s="221" t="s">
        <v>77</v>
      </c>
      <c r="D5572" s="231"/>
      <c r="E5572" s="231"/>
      <c r="F5572" s="231"/>
      <c r="G5572" s="238">
        <f>MROUND(H5572*L5572*I5572/K5572,0.000000001)</f>
        <v>0</v>
      </c>
      <c r="H5572" s="160"/>
      <c r="I5572" s="159">
        <f>I5570</f>
        <v>5.7547999999999995E-2</v>
      </c>
      <c r="J5572" s="160"/>
      <c r="K5572" s="161">
        <f>K5570</f>
        <v>61164</v>
      </c>
      <c r="L5572" s="250"/>
      <c r="M5572" s="163"/>
      <c r="N5572" s="278"/>
      <c r="O5572" s="280">
        <f>MROUND(N5572*G5572,0.000001)</f>
        <v>0</v>
      </c>
      <c r="P5572" s="166"/>
      <c r="Q5572" s="166">
        <f>O5572*K5572</f>
        <v>0</v>
      </c>
      <c r="R5572" s="71"/>
    </row>
    <row r="5573" spans="1:41" s="109" customFormat="1" x14ac:dyDescent="0.25">
      <c r="A5573" s="358"/>
      <c r="B5573" s="361"/>
      <c r="C5573" s="218" t="s">
        <v>292</v>
      </c>
      <c r="D5573" s="232"/>
      <c r="E5573" s="232"/>
      <c r="F5573" s="232"/>
      <c r="G5573" s="227"/>
      <c r="H5573" s="228"/>
      <c r="I5573" s="206"/>
      <c r="J5573" s="228"/>
      <c r="K5573" s="207"/>
      <c r="L5573" s="257"/>
      <c r="M5573" s="209"/>
      <c r="N5573" s="281"/>
      <c r="O5573" s="279">
        <f>O5572</f>
        <v>0</v>
      </c>
      <c r="P5573" s="267"/>
      <c r="Q5573" s="166"/>
      <c r="R5573" s="71"/>
      <c r="S5573" s="62"/>
      <c r="T5573" s="62"/>
      <c r="U5573" s="62"/>
      <c r="V5573" s="62"/>
      <c r="W5573" s="62"/>
      <c r="X5573" s="62"/>
      <c r="Y5573" s="62"/>
      <c r="Z5573" s="62"/>
      <c r="AA5573" s="62"/>
      <c r="AB5573" s="62"/>
      <c r="AC5573" s="62"/>
      <c r="AD5573" s="62"/>
      <c r="AE5573" s="62"/>
      <c r="AF5573" s="62"/>
      <c r="AG5573" s="62"/>
      <c r="AH5573" s="62"/>
      <c r="AI5573" s="62"/>
      <c r="AJ5573" s="62"/>
      <c r="AK5573" s="62"/>
      <c r="AL5573" s="62"/>
      <c r="AM5573" s="62"/>
      <c r="AN5573" s="62"/>
      <c r="AO5573" s="62"/>
    </row>
    <row r="5574" spans="1:41" s="108" customFormat="1" x14ac:dyDescent="0.25">
      <c r="A5574" s="358"/>
      <c r="B5574" s="361"/>
      <c r="C5574" s="221"/>
      <c r="D5574" s="350" t="s">
        <v>65</v>
      </c>
      <c r="E5574" s="350"/>
      <c r="F5574" s="350"/>
      <c r="G5574" s="350"/>
      <c r="H5574" s="195"/>
      <c r="I5574" s="159"/>
      <c r="J5574" s="195"/>
      <c r="K5574" s="161"/>
      <c r="L5574" s="196"/>
      <c r="M5574" s="230"/>
      <c r="N5574" s="278"/>
      <c r="O5574" s="280"/>
      <c r="P5574" s="166"/>
      <c r="Q5574" s="166">
        <f t="shared" ref="Q5574:Q5593" si="1476">O5574*K5574</f>
        <v>0</v>
      </c>
      <c r="R5574" s="71"/>
      <c r="S5574" s="61"/>
      <c r="T5574" s="61"/>
      <c r="U5574" s="61"/>
      <c r="V5574" s="61"/>
      <c r="W5574" s="61"/>
      <c r="X5574" s="61"/>
      <c r="Y5574" s="61"/>
      <c r="Z5574" s="61"/>
      <c r="AA5574" s="61"/>
      <c r="AB5574" s="61"/>
      <c r="AC5574" s="61"/>
      <c r="AD5574" s="61"/>
      <c r="AE5574" s="61"/>
      <c r="AF5574" s="61"/>
      <c r="AG5574" s="61"/>
      <c r="AH5574" s="61"/>
      <c r="AI5574" s="61"/>
      <c r="AJ5574" s="61"/>
      <c r="AK5574" s="61"/>
      <c r="AL5574" s="61"/>
      <c r="AM5574" s="61"/>
      <c r="AN5574" s="61"/>
      <c r="AO5574" s="61"/>
    </row>
    <row r="5575" spans="1:41" s="108" customFormat="1" x14ac:dyDescent="0.25">
      <c r="A5575" s="358"/>
      <c r="B5575" s="361"/>
      <c r="C5575" s="221"/>
      <c r="D5575" s="194"/>
      <c r="E5575" s="194"/>
      <c r="F5575" s="194"/>
      <c r="G5575" s="217"/>
      <c r="H5575" s="195"/>
      <c r="I5575" s="159"/>
      <c r="J5575" s="195"/>
      <c r="K5575" s="161"/>
      <c r="L5575" s="196"/>
      <c r="M5575" s="230"/>
      <c r="N5575" s="278"/>
      <c r="O5575" s="280"/>
      <c r="P5575" s="166"/>
      <c r="Q5575" s="166">
        <f t="shared" si="1476"/>
        <v>0</v>
      </c>
      <c r="R5575" s="71"/>
      <c r="S5575" s="61"/>
      <c r="T5575" s="61"/>
      <c r="U5575" s="61"/>
      <c r="V5575" s="61"/>
      <c r="W5575" s="61"/>
      <c r="X5575" s="61"/>
      <c r="Y5575" s="61"/>
      <c r="Z5575" s="61"/>
      <c r="AA5575" s="61"/>
      <c r="AB5575" s="61"/>
      <c r="AC5575" s="61"/>
      <c r="AD5575" s="61"/>
      <c r="AE5575" s="61"/>
      <c r="AF5575" s="61"/>
      <c r="AG5575" s="61"/>
      <c r="AH5575" s="61"/>
      <c r="AI5575" s="61"/>
      <c r="AJ5575" s="61"/>
      <c r="AK5575" s="61"/>
      <c r="AL5575" s="61"/>
      <c r="AM5575" s="61"/>
      <c r="AN5575" s="61"/>
      <c r="AO5575" s="61"/>
    </row>
    <row r="5576" spans="1:41" s="108" customFormat="1" x14ac:dyDescent="0.25">
      <c r="A5576" s="358"/>
      <c r="B5576" s="361"/>
      <c r="C5576" s="365" t="s">
        <v>357</v>
      </c>
      <c r="D5576" s="368" t="s">
        <v>66</v>
      </c>
      <c r="E5576" s="368"/>
      <c r="F5576" s="368"/>
      <c r="G5576" s="368"/>
      <c r="H5576" s="195"/>
      <c r="I5576" s="159"/>
      <c r="J5576" s="195"/>
      <c r="K5576" s="161"/>
      <c r="L5576" s="196"/>
      <c r="M5576" s="230"/>
      <c r="N5576" s="278"/>
      <c r="O5576" s="279">
        <f>O5582</f>
        <v>0.44087948799999999</v>
      </c>
      <c r="P5576" s="166"/>
      <c r="Q5576" s="166">
        <f t="shared" si="1476"/>
        <v>0</v>
      </c>
      <c r="R5576" s="71"/>
      <c r="S5576" s="61"/>
      <c r="T5576" s="61"/>
      <c r="U5576" s="61"/>
      <c r="V5576" s="61"/>
      <c r="W5576" s="61"/>
      <c r="X5576" s="61"/>
      <c r="Y5576" s="61"/>
      <c r="Z5576" s="61"/>
      <c r="AA5576" s="61"/>
      <c r="AB5576" s="61"/>
      <c r="AC5576" s="61"/>
      <c r="AD5576" s="61"/>
      <c r="AE5576" s="61"/>
      <c r="AF5576" s="61"/>
      <c r="AG5576" s="61"/>
      <c r="AH5576" s="61"/>
      <c r="AI5576" s="61"/>
      <c r="AJ5576" s="61"/>
      <c r="AK5576" s="61"/>
      <c r="AL5576" s="61"/>
      <c r="AM5576" s="61"/>
      <c r="AN5576" s="61"/>
      <c r="AO5576" s="61"/>
    </row>
    <row r="5577" spans="1:41" s="61" customFormat="1" x14ac:dyDescent="0.25">
      <c r="A5577" s="358"/>
      <c r="B5577" s="361"/>
      <c r="C5577" s="366"/>
      <c r="D5577" s="284" t="s">
        <v>241</v>
      </c>
      <c r="E5577" s="156" t="s">
        <v>28</v>
      </c>
      <c r="F5577" s="156" t="s">
        <v>28</v>
      </c>
      <c r="G5577" s="238">
        <f>MROUND(H5577*L5577*I5577/K5577,0.00000000001)</f>
        <v>1.9193956999999999E-4</v>
      </c>
      <c r="H5577" s="158">
        <f>H5473</f>
        <v>17</v>
      </c>
      <c r="I5577" s="159">
        <f>I5572</f>
        <v>5.7547999999999995E-2</v>
      </c>
      <c r="J5577" s="160"/>
      <c r="K5577" s="161">
        <f>K5572</f>
        <v>61164</v>
      </c>
      <c r="L5577" s="250">
        <v>12</v>
      </c>
      <c r="M5577" s="163" t="str">
        <f>CONCATENATE(H5577," ",F5577,"*",L5577,"мес.","*",I5577,"/",K5577,"чел/час")</f>
        <v>17 шт*12мес.*0,057548/61164чел/час</v>
      </c>
      <c r="N5577" s="278">
        <f>N5473</f>
        <v>342.84676470588238</v>
      </c>
      <c r="O5577" s="280">
        <f>MROUND(N5577*G5577,0.000001)</f>
        <v>6.5806000000000003E-2</v>
      </c>
      <c r="P5577" s="166"/>
      <c r="Q5577" s="166">
        <f t="shared" si="1476"/>
        <v>4024.9581840000001</v>
      </c>
      <c r="R5577" s="71"/>
    </row>
    <row r="5578" spans="1:41" s="61" customFormat="1" x14ac:dyDescent="0.25">
      <c r="A5578" s="358"/>
      <c r="B5578" s="361"/>
      <c r="C5578" s="366"/>
      <c r="D5578" s="284" t="s">
        <v>242</v>
      </c>
      <c r="E5578" s="156" t="s">
        <v>243</v>
      </c>
      <c r="F5578" s="156" t="s">
        <v>243</v>
      </c>
      <c r="G5578" s="238">
        <f>MROUND(H5578*L5578*I5578/K5578,0.0000000001)</f>
        <v>0.1953944846</v>
      </c>
      <c r="H5578" s="158">
        <f>H5474</f>
        <v>17306</v>
      </c>
      <c r="I5578" s="159">
        <f>I5577</f>
        <v>5.7547999999999995E-2</v>
      </c>
      <c r="J5578" s="160"/>
      <c r="K5578" s="161">
        <f>K5577</f>
        <v>61164</v>
      </c>
      <c r="L5578" s="250">
        <v>12</v>
      </c>
      <c r="M5578" s="163" t="str">
        <f>CONCATENATE(H5578," ",F5578,"*",L5578,"мес.","*",I5578,"/",K5578,"чел/час")</f>
        <v>17306 мин.*12мес.*0,057548/61164чел/час</v>
      </c>
      <c r="N5578" s="278">
        <f>N5474</f>
        <v>0.82090079548518802</v>
      </c>
      <c r="O5578" s="280">
        <f>MROUND(N5578*G5578,0.000000001)</f>
        <v>0.16039948800000001</v>
      </c>
      <c r="P5578" s="166"/>
      <c r="Q5578" s="166">
        <f t="shared" si="1476"/>
        <v>9810.6742840320003</v>
      </c>
      <c r="R5578" s="71"/>
    </row>
    <row r="5579" spans="1:41" s="61" customFormat="1" ht="31.5" x14ac:dyDescent="0.25">
      <c r="A5579" s="358"/>
      <c r="B5579" s="361"/>
      <c r="C5579" s="366"/>
      <c r="D5579" s="285" t="s">
        <v>244</v>
      </c>
      <c r="E5579" s="286" t="s">
        <v>245</v>
      </c>
      <c r="F5579" s="286" t="s">
        <v>247</v>
      </c>
      <c r="G5579" s="238">
        <f>MROUND(H5579*L5579*I5579/K5579,0.0000000001)</f>
        <v>5.6452800000000003E-5</v>
      </c>
      <c r="H5579" s="158">
        <f>H5475</f>
        <v>5</v>
      </c>
      <c r="I5579" s="159">
        <f>I5578</f>
        <v>5.7547999999999995E-2</v>
      </c>
      <c r="J5579" s="160"/>
      <c r="K5579" s="161">
        <f>K5578</f>
        <v>61164</v>
      </c>
      <c r="L5579" s="250">
        <v>12</v>
      </c>
      <c r="M5579" s="163" t="str">
        <f>CONCATENATE(H5579," ",F5579,"*",L5579,"мес.","*",I5579,"/",K5579,"чел/час")</f>
        <v>5 радиоточек*12мес.*0,057548/61164чел/час</v>
      </c>
      <c r="N5579" s="278">
        <f>N5475</f>
        <v>173.30166666666665</v>
      </c>
      <c r="O5579" s="280">
        <f>MROUND(N5579*G5579,0.000001)</f>
        <v>9.783E-3</v>
      </c>
      <c r="P5579" s="166"/>
      <c r="Q5579" s="166">
        <f t="shared" si="1476"/>
        <v>598.36741200000006</v>
      </c>
      <c r="R5579" s="71"/>
    </row>
    <row r="5580" spans="1:41" s="61" customFormat="1" ht="47.25" x14ac:dyDescent="0.25">
      <c r="A5580" s="358"/>
      <c r="B5580" s="361"/>
      <c r="C5580" s="366"/>
      <c r="D5580" s="285" t="s">
        <v>374</v>
      </c>
      <c r="E5580" s="156" t="s">
        <v>28</v>
      </c>
      <c r="F5580" s="156" t="s">
        <v>28</v>
      </c>
      <c r="G5580" s="238">
        <f>MROUND(H5580*L5580*I5580/K5580,0.000000000001)</f>
        <v>2.6344647E-5</v>
      </c>
      <c r="H5580" s="158">
        <f>H5476</f>
        <v>7</v>
      </c>
      <c r="I5580" s="159">
        <f>I5578</f>
        <v>5.7547999999999995E-2</v>
      </c>
      <c r="J5580" s="160"/>
      <c r="K5580" s="161">
        <f>K5578</f>
        <v>61164</v>
      </c>
      <c r="L5580" s="250">
        <f>L5476</f>
        <v>4</v>
      </c>
      <c r="M5580" s="163" t="str">
        <f>CONCATENATE(H5580," ",F5580,"*",L5580,"мес.","*",I5580,"/",K5580,"чел/час")</f>
        <v>7 шт*4мес.*0,057548/61164чел/час</v>
      </c>
      <c r="N5580" s="278">
        <f>N5476</f>
        <v>1313.8174999999999</v>
      </c>
      <c r="O5580" s="280">
        <f>MROUND(N5580*G5580,0.000001)</f>
        <v>3.4611999999999997E-2</v>
      </c>
      <c r="P5580" s="166"/>
      <c r="Q5580" s="166">
        <f t="shared" si="1476"/>
        <v>2117.0083679999998</v>
      </c>
      <c r="R5580" s="71"/>
    </row>
    <row r="5581" spans="1:41" s="61" customFormat="1" x14ac:dyDescent="0.25">
      <c r="A5581" s="358"/>
      <c r="B5581" s="361"/>
      <c r="C5581" s="367"/>
      <c r="D5581" s="284" t="s">
        <v>246</v>
      </c>
      <c r="E5581" s="156" t="s">
        <v>28</v>
      </c>
      <c r="F5581" s="156" t="s">
        <v>28</v>
      </c>
      <c r="G5581" s="238">
        <f>MROUND(H5581*L5581*I5581/K5581,0.000000000001)</f>
        <v>5.6452814999999997E-5</v>
      </c>
      <c r="H5581" s="158">
        <v>5</v>
      </c>
      <c r="I5581" s="159">
        <f>I5579</f>
        <v>5.7547999999999995E-2</v>
      </c>
      <c r="J5581" s="160"/>
      <c r="K5581" s="161">
        <f>K5579</f>
        <v>61164</v>
      </c>
      <c r="L5581" s="250">
        <v>12</v>
      </c>
      <c r="M5581" s="163" t="str">
        <f>CONCATENATE(H5581," ",F5581,"*",L5581,"мес.","*",I5581,"/",K5581,"чел/час")</f>
        <v>5 шт*12мес.*0,057548/61164чел/час</v>
      </c>
      <c r="N5581" s="278">
        <f>N5477</f>
        <v>3016.3089999999997</v>
      </c>
      <c r="O5581" s="280">
        <f>MROUND(N5581*G5581,0.000001)</f>
        <v>0.17027899999999999</v>
      </c>
      <c r="P5581" s="166"/>
      <c r="Q5581" s="166">
        <f t="shared" si="1476"/>
        <v>10414.944755999999</v>
      </c>
      <c r="R5581" s="71"/>
    </row>
    <row r="5582" spans="1:41" s="109" customFormat="1" x14ac:dyDescent="0.25">
      <c r="A5582" s="358"/>
      <c r="B5582" s="361"/>
      <c r="C5582" s="218" t="s">
        <v>358</v>
      </c>
      <c r="D5582" s="287"/>
      <c r="E5582" s="287"/>
      <c r="F5582" s="287"/>
      <c r="G5582" s="288"/>
      <c r="H5582" s="214"/>
      <c r="I5582" s="206"/>
      <c r="J5582" s="214"/>
      <c r="K5582" s="207"/>
      <c r="L5582" s="215"/>
      <c r="M5582" s="289"/>
      <c r="N5582" s="281"/>
      <c r="O5582" s="279">
        <f>SUM(O5577:O5581)</f>
        <v>0.44087948799999999</v>
      </c>
      <c r="P5582" s="267"/>
      <c r="Q5582" s="166">
        <f t="shared" si="1476"/>
        <v>0</v>
      </c>
      <c r="R5582" s="71"/>
      <c r="S5582" s="62"/>
      <c r="T5582" s="62"/>
      <c r="U5582" s="62"/>
      <c r="V5582" s="62"/>
      <c r="W5582" s="62"/>
      <c r="X5582" s="62"/>
      <c r="Y5582" s="62"/>
      <c r="Z5582" s="62"/>
      <c r="AA5582" s="62"/>
      <c r="AB5582" s="62"/>
      <c r="AC5582" s="62"/>
      <c r="AD5582" s="62"/>
      <c r="AE5582" s="62"/>
      <c r="AF5582" s="62"/>
      <c r="AG5582" s="62"/>
      <c r="AH5582" s="62"/>
      <c r="AI5582" s="62"/>
      <c r="AJ5582" s="62"/>
      <c r="AK5582" s="62"/>
      <c r="AL5582" s="62"/>
      <c r="AM5582" s="62"/>
      <c r="AN5582" s="62"/>
      <c r="AO5582" s="62"/>
    </row>
    <row r="5583" spans="1:41" s="108" customFormat="1" x14ac:dyDescent="0.25">
      <c r="A5583" s="358"/>
      <c r="B5583" s="361"/>
      <c r="C5583" s="365" t="s">
        <v>366</v>
      </c>
      <c r="D5583" s="368" t="s">
        <v>67</v>
      </c>
      <c r="E5583" s="368"/>
      <c r="F5583" s="368"/>
      <c r="G5583" s="368"/>
      <c r="H5583" s="195"/>
      <c r="I5583" s="159"/>
      <c r="J5583" s="195"/>
      <c r="K5583" s="161"/>
      <c r="L5583" s="196"/>
      <c r="M5583" s="230"/>
      <c r="N5583" s="278"/>
      <c r="O5583" s="279">
        <f>O5584</f>
        <v>5.9214999999999997E-2</v>
      </c>
      <c r="P5583" s="166"/>
      <c r="Q5583" s="166">
        <f t="shared" si="1476"/>
        <v>0</v>
      </c>
      <c r="R5583" s="71"/>
      <c r="S5583" s="61"/>
      <c r="T5583" s="61"/>
      <c r="U5583" s="61"/>
      <c r="V5583" s="61"/>
      <c r="W5583" s="61"/>
      <c r="X5583" s="61"/>
      <c r="Y5583" s="61"/>
      <c r="Z5583" s="61"/>
      <c r="AA5583" s="61"/>
      <c r="AB5583" s="61"/>
      <c r="AC5583" s="61"/>
      <c r="AD5583" s="61"/>
      <c r="AE5583" s="61"/>
      <c r="AF5583" s="61"/>
      <c r="AG5583" s="61"/>
      <c r="AH5583" s="61"/>
      <c r="AI5583" s="61"/>
      <c r="AJ5583" s="61"/>
      <c r="AK5583" s="61"/>
      <c r="AL5583" s="61"/>
      <c r="AM5583" s="61"/>
      <c r="AN5583" s="61"/>
      <c r="AO5583" s="61"/>
    </row>
    <row r="5584" spans="1:41" s="61" customFormat="1" x14ac:dyDescent="0.25">
      <c r="A5584" s="358"/>
      <c r="B5584" s="361"/>
      <c r="C5584" s="367"/>
      <c r="D5584" s="194" t="s">
        <v>367</v>
      </c>
      <c r="E5584" s="194" t="s">
        <v>28</v>
      </c>
      <c r="F5584" s="194" t="s">
        <v>28</v>
      </c>
      <c r="G5584" s="217">
        <f>MROUND(H5584*L5584*I5584/K5584,0.00000000001)</f>
        <v>2.2581129999999998E-5</v>
      </c>
      <c r="H5584" s="283">
        <f>H5480</f>
        <v>2</v>
      </c>
      <c r="I5584" s="159">
        <f>I5581</f>
        <v>5.7547999999999995E-2</v>
      </c>
      <c r="J5584" s="195"/>
      <c r="K5584" s="161">
        <f>K5581</f>
        <v>61164</v>
      </c>
      <c r="L5584" s="196">
        <v>12</v>
      </c>
      <c r="M5584" s="163" t="str">
        <f>CONCATENATE(H5584," ",F5584,"*",L5584,"мес.","*",I5584,"/",K5584,"чел/час")</f>
        <v>2 шт*12мес.*0,057548/61164чел/час</v>
      </c>
      <c r="N5584" s="278">
        <f>N5480</f>
        <v>2622.3220833333335</v>
      </c>
      <c r="O5584" s="280">
        <f>MROUND(N5584*G5584,0.000001)</f>
        <v>5.9214999999999997E-2</v>
      </c>
      <c r="P5584" s="166"/>
      <c r="Q5584" s="166">
        <f t="shared" si="1476"/>
        <v>3621.8262599999998</v>
      </c>
      <c r="R5584" s="71"/>
    </row>
    <row r="5585" spans="1:41" s="108" customFormat="1" x14ac:dyDescent="0.25">
      <c r="A5585" s="358"/>
      <c r="B5585" s="361"/>
      <c r="C5585" s="221"/>
      <c r="D5585" s="350" t="s">
        <v>68</v>
      </c>
      <c r="E5585" s="350"/>
      <c r="F5585" s="350"/>
      <c r="G5585" s="350"/>
      <c r="H5585" s="195"/>
      <c r="I5585" s="159"/>
      <c r="J5585" s="195"/>
      <c r="K5585" s="161"/>
      <c r="L5585" s="196"/>
      <c r="M5585" s="230"/>
      <c r="N5585" s="278"/>
      <c r="O5585" s="280"/>
      <c r="P5585" s="166"/>
      <c r="Q5585" s="166">
        <f t="shared" si="1476"/>
        <v>0</v>
      </c>
      <c r="R5585" s="71"/>
      <c r="S5585" s="61"/>
      <c r="T5585" s="61"/>
      <c r="U5585" s="61"/>
      <c r="V5585" s="61"/>
      <c r="W5585" s="61"/>
      <c r="X5585" s="61"/>
      <c r="Y5585" s="61"/>
      <c r="Z5585" s="61"/>
      <c r="AA5585" s="61"/>
      <c r="AB5585" s="61"/>
      <c r="AC5585" s="61"/>
      <c r="AD5585" s="61"/>
      <c r="AE5585" s="61"/>
      <c r="AF5585" s="61"/>
      <c r="AG5585" s="61"/>
      <c r="AH5585" s="61"/>
      <c r="AI5585" s="61"/>
      <c r="AJ5585" s="61"/>
      <c r="AK5585" s="61"/>
      <c r="AL5585" s="61"/>
      <c r="AM5585" s="61"/>
      <c r="AN5585" s="61"/>
      <c r="AO5585" s="61"/>
    </row>
    <row r="5586" spans="1:41" s="108" customFormat="1" x14ac:dyDescent="0.25">
      <c r="A5586" s="358"/>
      <c r="B5586" s="361"/>
      <c r="C5586" s="221"/>
      <c r="D5586" s="156"/>
      <c r="E5586" s="156"/>
      <c r="F5586" s="156"/>
      <c r="G5586" s="236"/>
      <c r="H5586" s="195"/>
      <c r="I5586" s="159"/>
      <c r="J5586" s="195"/>
      <c r="K5586" s="161"/>
      <c r="L5586" s="196"/>
      <c r="M5586" s="230"/>
      <c r="N5586" s="278"/>
      <c r="O5586" s="280"/>
      <c r="P5586" s="166"/>
      <c r="Q5586" s="166">
        <f t="shared" si="1476"/>
        <v>0</v>
      </c>
      <c r="R5586" s="71"/>
      <c r="S5586" s="61"/>
      <c r="T5586" s="61"/>
      <c r="U5586" s="61"/>
      <c r="V5586" s="61"/>
      <c r="W5586" s="61"/>
      <c r="X5586" s="61"/>
      <c r="Y5586" s="61"/>
      <c r="Z5586" s="61"/>
      <c r="AA5586" s="61"/>
      <c r="AB5586" s="61"/>
      <c r="AC5586" s="61"/>
      <c r="AD5586" s="61"/>
      <c r="AE5586" s="61"/>
      <c r="AF5586" s="61"/>
      <c r="AG5586" s="61"/>
      <c r="AH5586" s="61"/>
      <c r="AI5586" s="61"/>
      <c r="AJ5586" s="61"/>
      <c r="AK5586" s="61"/>
      <c r="AL5586" s="61"/>
      <c r="AM5586" s="61"/>
      <c r="AN5586" s="61"/>
      <c r="AO5586" s="61"/>
    </row>
    <row r="5587" spans="1:41" s="108" customFormat="1" x14ac:dyDescent="0.25">
      <c r="A5587" s="358"/>
      <c r="B5587" s="361"/>
      <c r="C5587" s="221"/>
      <c r="D5587" s="368" t="s">
        <v>69</v>
      </c>
      <c r="E5587" s="368"/>
      <c r="F5587" s="368"/>
      <c r="G5587" s="368"/>
      <c r="H5587" s="187"/>
      <c r="I5587" s="159"/>
      <c r="J5587" s="187"/>
      <c r="K5587" s="161"/>
      <c r="L5587" s="276"/>
      <c r="M5587" s="230"/>
      <c r="N5587" s="278"/>
      <c r="O5587" s="279">
        <f>O5594+O5610+O5613+O5626+O5627+O5628+O5639+O5641+O5645+O5642</f>
        <v>3.4265320000000004</v>
      </c>
      <c r="P5587" s="166"/>
      <c r="Q5587" s="166">
        <f t="shared" si="1476"/>
        <v>0</v>
      </c>
      <c r="R5587" s="71"/>
      <c r="S5587" s="61"/>
      <c r="T5587" s="61"/>
      <c r="U5587" s="61"/>
      <c r="V5587" s="61"/>
      <c r="W5587" s="61"/>
      <c r="X5587" s="61"/>
      <c r="Y5587" s="61"/>
      <c r="Z5587" s="61"/>
      <c r="AA5587" s="61"/>
      <c r="AB5587" s="61"/>
      <c r="AC5587" s="61"/>
      <c r="AD5587" s="61"/>
      <c r="AE5587" s="61"/>
      <c r="AF5587" s="61"/>
      <c r="AG5587" s="61"/>
      <c r="AH5587" s="61"/>
      <c r="AI5587" s="61"/>
      <c r="AJ5587" s="61"/>
      <c r="AK5587" s="61"/>
      <c r="AL5587" s="61"/>
      <c r="AM5587" s="61"/>
      <c r="AN5587" s="61"/>
      <c r="AO5587" s="61"/>
    </row>
    <row r="5588" spans="1:41" s="61" customFormat="1" ht="31.5" x14ac:dyDescent="0.25">
      <c r="A5588" s="358"/>
      <c r="B5588" s="361"/>
      <c r="C5588" s="365" t="s">
        <v>78</v>
      </c>
      <c r="D5588" s="156" t="s">
        <v>26</v>
      </c>
      <c r="E5588" s="156" t="s">
        <v>22</v>
      </c>
      <c r="F5588" s="156" t="s">
        <v>22</v>
      </c>
      <c r="G5588" s="238">
        <f>MROUND(H5588*L5588*I5588/K5588,0.0000000001)</f>
        <v>5.6004128399999999E-2</v>
      </c>
      <c r="H5588" s="158">
        <f>H5484</f>
        <v>4960.26</v>
      </c>
      <c r="I5588" s="159">
        <f>I5584</f>
        <v>5.7547999999999995E-2</v>
      </c>
      <c r="J5588" s="160"/>
      <c r="K5588" s="161">
        <f>K5584</f>
        <v>61164</v>
      </c>
      <c r="L5588" s="250">
        <v>12</v>
      </c>
      <c r="M5588" s="163" t="str">
        <f>CONCATENATE(H5588," ",F5588,"(обрабатываемая площадь в мес.)","*",L5588,"мес.","*",I5588,"/",K5588,"чел/час")</f>
        <v>4960,26 м2(обрабатываемая площадь в мес.)*12мес.*0,057548/61164чел/час</v>
      </c>
      <c r="N5588" s="278">
        <f>N5484</f>
        <v>1.2085483758243856</v>
      </c>
      <c r="O5588" s="280">
        <f>MROUND(N5588*G5588,0.000001)</f>
        <v>6.7683999999999994E-2</v>
      </c>
      <c r="P5588" s="166"/>
      <c r="Q5588" s="166">
        <f t="shared" si="1476"/>
        <v>4139.8241760000001</v>
      </c>
      <c r="R5588" s="71"/>
    </row>
    <row r="5589" spans="1:41" s="61" customFormat="1" ht="31.5" x14ac:dyDescent="0.25">
      <c r="A5589" s="358"/>
      <c r="B5589" s="361"/>
      <c r="C5589" s="366"/>
      <c r="D5589" s="156" t="s">
        <v>96</v>
      </c>
      <c r="E5589" s="156" t="s">
        <v>22</v>
      </c>
      <c r="F5589" s="156" t="s">
        <v>22</v>
      </c>
      <c r="G5589" s="238">
        <f>MROUND(H5589*L5589*I5589/K5589,0.0000000001)</f>
        <v>3.1018112300000001E-2</v>
      </c>
      <c r="H5589" s="158">
        <f>H5485</f>
        <v>2747.26</v>
      </c>
      <c r="I5589" s="159">
        <f>I5588</f>
        <v>5.7547999999999995E-2</v>
      </c>
      <c r="J5589" s="160"/>
      <c r="K5589" s="161">
        <f>K5588</f>
        <v>61164</v>
      </c>
      <c r="L5589" s="250">
        <v>12</v>
      </c>
      <c r="M5589" s="163" t="str">
        <f>CONCATENATE(H5589," ",F5589,"(обрабатываемая площадь в мес.)","*",L5589,"мес.","*",I5589,"/",K5589,"чел/час")</f>
        <v>2747,26 м2(обрабатываемая площадь в мес.)*12мес.*0,057548/61164чел/час</v>
      </c>
      <c r="N5589" s="278">
        <f>N5485</f>
        <v>1.68496671835453</v>
      </c>
      <c r="O5589" s="280">
        <f>MROUND(N5589*G5589,0.000001)</f>
        <v>5.2263999999999998E-2</v>
      </c>
      <c r="P5589" s="166"/>
      <c r="Q5589" s="166">
        <f t="shared" si="1476"/>
        <v>3196.6752959999999</v>
      </c>
      <c r="R5589" s="71"/>
    </row>
    <row r="5590" spans="1:41" s="135" customFormat="1" ht="31.5" x14ac:dyDescent="0.25">
      <c r="A5590" s="358"/>
      <c r="B5590" s="361"/>
      <c r="C5590" s="366"/>
      <c r="D5590" s="156" t="s">
        <v>385</v>
      </c>
      <c r="E5590" s="156" t="s">
        <v>22</v>
      </c>
      <c r="F5590" s="156" t="s">
        <v>22</v>
      </c>
      <c r="G5590" s="238">
        <f>MROUND(H5590*L5590*I5590/K5590,0.0000000001)</f>
        <v>6.2036224600000002E-2</v>
      </c>
      <c r="H5590" s="242">
        <f>$H$2098</f>
        <v>2747.26</v>
      </c>
      <c r="I5590" s="159">
        <f>I5589</f>
        <v>5.7547999999999995E-2</v>
      </c>
      <c r="J5590" s="160"/>
      <c r="K5590" s="161">
        <f>K5589</f>
        <v>61164</v>
      </c>
      <c r="L5590" s="162">
        <v>24</v>
      </c>
      <c r="M5590" s="163" t="str">
        <f>CONCATENATE(H5590," ",F5590,"(обрабатываемая площадь в год)","*",L5590," раза в год.","*",I5590,"/",K5590,"чел.")</f>
        <v>2747,26 м2(обрабатываемая площадь в год)*24 раза в год.*0,057548/61164чел.</v>
      </c>
      <c r="N5590" s="164">
        <f>$N$5486</f>
        <v>1.8597276619856391</v>
      </c>
      <c r="O5590" s="165">
        <f>MROUND(G5590*N5590,0.000001)</f>
        <v>0.11537</v>
      </c>
      <c r="P5590" s="166"/>
      <c r="Q5590" s="166">
        <f t="shared" si="1476"/>
        <v>7056.4906799999999</v>
      </c>
      <c r="R5590" s="71"/>
      <c r="S5590" s="61"/>
      <c r="T5590" s="61"/>
      <c r="U5590" s="61"/>
      <c r="V5590" s="61"/>
      <c r="W5590" s="61"/>
      <c r="X5590" s="61"/>
      <c r="Y5590" s="61"/>
      <c r="Z5590" s="61"/>
      <c r="AA5590" s="61"/>
      <c r="AB5590" s="61"/>
      <c r="AC5590" s="61"/>
      <c r="AD5590" s="61"/>
      <c r="AE5590" s="61"/>
      <c r="AF5590" s="61"/>
      <c r="AG5590" s="61"/>
      <c r="AH5590" s="61"/>
      <c r="AI5590" s="61"/>
      <c r="AJ5590" s="61"/>
      <c r="AK5590" s="61"/>
      <c r="AL5590" s="61"/>
      <c r="AM5590" s="61"/>
      <c r="AN5590" s="61"/>
      <c r="AO5590" s="61"/>
    </row>
    <row r="5591" spans="1:41" s="135" customFormat="1" ht="31.5" x14ac:dyDescent="0.25">
      <c r="A5591" s="358"/>
      <c r="B5591" s="361"/>
      <c r="C5591" s="366"/>
      <c r="D5591" s="156" t="s">
        <v>394</v>
      </c>
      <c r="E5591" s="156" t="s">
        <v>22</v>
      </c>
      <c r="F5591" s="156" t="s">
        <v>22</v>
      </c>
      <c r="G5591" s="238">
        <f>MROUND(H5591*L5591*I5591/K5591,0.000000001)</f>
        <v>5.6004128E-2</v>
      </c>
      <c r="H5591" s="243">
        <f>$H$2099</f>
        <v>4960.26</v>
      </c>
      <c r="I5591" s="159">
        <f>I5590</f>
        <v>5.7547999999999995E-2</v>
      </c>
      <c r="J5591" s="160"/>
      <c r="K5591" s="161">
        <f>K5590</f>
        <v>61164</v>
      </c>
      <c r="L5591" s="162">
        <v>12</v>
      </c>
      <c r="M5591" s="163" t="str">
        <f>CONCATENATE(H5591," ",F5591,"(обрабатываемая площадь в мес.)","*",L5591,"мес.","*",I5591,"/",K5591,"чел.")</f>
        <v>4960,26 м2(обрабатываемая площадь в мес.)*12мес.*0,057548/61164чел.</v>
      </c>
      <c r="N5591" s="164">
        <f>$N$5487</f>
        <v>0.57006991568990339</v>
      </c>
      <c r="O5591" s="165">
        <f>MROUND(G5591*N5591,0.000001)</f>
        <v>3.1925999999999996E-2</v>
      </c>
      <c r="P5591" s="166"/>
      <c r="Q5591" s="166">
        <f t="shared" si="1476"/>
        <v>1952.7218639999999</v>
      </c>
      <c r="R5591" s="71"/>
      <c r="S5591" s="61"/>
      <c r="T5591" s="61"/>
      <c r="U5591" s="61"/>
      <c r="V5591" s="61"/>
      <c r="W5591" s="61"/>
      <c r="X5591" s="61"/>
      <c r="Y5591" s="61"/>
      <c r="Z5591" s="61"/>
      <c r="AA5591" s="61"/>
      <c r="AB5591" s="61"/>
      <c r="AC5591" s="61"/>
      <c r="AD5591" s="61"/>
      <c r="AE5591" s="61"/>
      <c r="AF5591" s="61"/>
      <c r="AG5591" s="61"/>
      <c r="AH5591" s="61"/>
      <c r="AI5591" s="61"/>
      <c r="AJ5591" s="61"/>
      <c r="AK5591" s="61"/>
      <c r="AL5591" s="61"/>
      <c r="AM5591" s="61"/>
      <c r="AN5591" s="61"/>
      <c r="AO5591" s="61"/>
    </row>
    <row r="5592" spans="1:41" s="135" customFormat="1" ht="31.5" x14ac:dyDescent="0.25">
      <c r="A5592" s="358"/>
      <c r="B5592" s="361"/>
      <c r="C5592" s="366"/>
      <c r="D5592" s="156" t="s">
        <v>395</v>
      </c>
      <c r="E5592" s="156" t="s">
        <v>98</v>
      </c>
      <c r="F5592" s="156" t="s">
        <v>98</v>
      </c>
      <c r="G5592" s="238">
        <f>MROUND(H5592*L5592*I5592/K5592,0.0000000000001)</f>
        <v>1.7688549E-6</v>
      </c>
      <c r="H5592" s="242">
        <f>$H$2100</f>
        <v>1.8800000000000001</v>
      </c>
      <c r="I5592" s="159">
        <f>I5591</f>
        <v>5.7547999999999995E-2</v>
      </c>
      <c r="J5592" s="160"/>
      <c r="K5592" s="161">
        <f>K5591</f>
        <v>61164</v>
      </c>
      <c r="L5592" s="162">
        <v>1</v>
      </c>
      <c r="M5592" s="163" t="str">
        <f>CONCATENATE(H5592," ",F5592,"(обрабатываемая площадь в год)","*",L5592," раз в год","*",I5592,"/",K5592,"чел.")</f>
        <v>1,88 Га(обрабатываемая площадь в год)*1 раз в год*0,057548/61164чел.</v>
      </c>
      <c r="N5592" s="164">
        <f>$N$5488</f>
        <v>570.07446808510633</v>
      </c>
      <c r="O5592" s="165">
        <f>MROUND(G5592*N5592,0.000001)</f>
        <v>1.008E-3</v>
      </c>
      <c r="P5592" s="166"/>
      <c r="Q5592" s="166">
        <f t="shared" si="1476"/>
        <v>61.653312</v>
      </c>
      <c r="R5592" s="71"/>
      <c r="S5592" s="61"/>
      <c r="T5592" s="61"/>
      <c r="U5592" s="61"/>
      <c r="V5592" s="61"/>
      <c r="W5592" s="61"/>
      <c r="X5592" s="61"/>
      <c r="Y5592" s="61"/>
      <c r="Z5592" s="61"/>
      <c r="AA5592" s="61"/>
      <c r="AB5592" s="61"/>
      <c r="AC5592" s="61"/>
      <c r="AD5592" s="61"/>
      <c r="AE5592" s="61"/>
      <c r="AF5592" s="61"/>
      <c r="AG5592" s="61"/>
      <c r="AH5592" s="61"/>
      <c r="AI5592" s="61"/>
      <c r="AJ5592" s="61"/>
      <c r="AK5592" s="61"/>
      <c r="AL5592" s="61"/>
      <c r="AM5592" s="61"/>
      <c r="AN5592" s="61"/>
      <c r="AO5592" s="61"/>
    </row>
    <row r="5593" spans="1:41" s="61" customFormat="1" ht="31.5" x14ac:dyDescent="0.25">
      <c r="A5593" s="358"/>
      <c r="B5593" s="361"/>
      <c r="C5593" s="367"/>
      <c r="D5593" s="156" t="s">
        <v>97</v>
      </c>
      <c r="E5593" s="156" t="s">
        <v>363</v>
      </c>
      <c r="F5593" s="156" t="s">
        <v>363</v>
      </c>
      <c r="G5593" s="238">
        <f>MROUND(H5593*L5593*I5593/K5593,0.00000000001)</f>
        <v>1.7688499999999998E-6</v>
      </c>
      <c r="H5593" s="158">
        <f>$H$2101</f>
        <v>1.8800000000000001</v>
      </c>
      <c r="I5593" s="159">
        <f>I5589</f>
        <v>5.7547999999999995E-2</v>
      </c>
      <c r="J5593" s="160"/>
      <c r="K5593" s="161">
        <f>K5589</f>
        <v>61164</v>
      </c>
      <c r="L5593" s="250">
        <v>1</v>
      </c>
      <c r="M5593" s="163" t="str">
        <f>CONCATENATE(H5593," ",F5593,"(обрабатываемая площадь в мес.)","*",L5593,"мес.","*",I5593,"/",K5593,"чел/час")</f>
        <v>1,88 га(обрабатываемая площадь в мес.)*1мес.*0,057548/61164чел/час</v>
      </c>
      <c r="N5593" s="278">
        <f>$N$5489</f>
        <v>3102.4095744680853</v>
      </c>
      <c r="O5593" s="280">
        <f>MROUND(N5593*G5593,0.000001)</f>
        <v>5.4879999999999998E-3</v>
      </c>
      <c r="P5593" s="166"/>
      <c r="Q5593" s="166">
        <f t="shared" si="1476"/>
        <v>335.66803199999998</v>
      </c>
      <c r="R5593" s="71"/>
    </row>
    <row r="5594" spans="1:41" s="109" customFormat="1" x14ac:dyDescent="0.25">
      <c r="A5594" s="358"/>
      <c r="B5594" s="361"/>
      <c r="C5594" s="218" t="s">
        <v>327</v>
      </c>
      <c r="D5594" s="240"/>
      <c r="E5594" s="240"/>
      <c r="F5594" s="240"/>
      <c r="G5594" s="227"/>
      <c r="H5594" s="241"/>
      <c r="I5594" s="206"/>
      <c r="J5594" s="228"/>
      <c r="K5594" s="207"/>
      <c r="L5594" s="257"/>
      <c r="M5594" s="209"/>
      <c r="N5594" s="281"/>
      <c r="O5594" s="279">
        <f>SUM(O5588:O5593)</f>
        <v>0.27373999999999998</v>
      </c>
      <c r="P5594" s="267"/>
      <c r="Q5594" s="166"/>
      <c r="R5594" s="71"/>
      <c r="S5594" s="62"/>
      <c r="T5594" s="62"/>
      <c r="U5594" s="62"/>
      <c r="V5594" s="62"/>
      <c r="W5594" s="62"/>
      <c r="X5594" s="62"/>
      <c r="Y5594" s="62"/>
      <c r="Z5594" s="62"/>
      <c r="AA5594" s="62"/>
      <c r="AB5594" s="62"/>
      <c r="AC5594" s="62"/>
      <c r="AD5594" s="62"/>
      <c r="AE5594" s="62"/>
      <c r="AF5594" s="62"/>
      <c r="AG5594" s="62"/>
      <c r="AH5594" s="62"/>
      <c r="AI5594" s="62"/>
      <c r="AJ5594" s="62"/>
      <c r="AK5594" s="62"/>
      <c r="AL5594" s="62"/>
      <c r="AM5594" s="62"/>
      <c r="AN5594" s="62"/>
      <c r="AO5594" s="62"/>
    </row>
    <row r="5595" spans="1:41" s="61" customFormat="1" x14ac:dyDescent="0.25">
      <c r="A5595" s="358"/>
      <c r="B5595" s="361"/>
      <c r="C5595" s="366" t="s">
        <v>77</v>
      </c>
      <c r="D5595" s="156" t="s">
        <v>397</v>
      </c>
      <c r="E5595" s="156" t="s">
        <v>433</v>
      </c>
      <c r="F5595" s="156" t="s">
        <v>433</v>
      </c>
      <c r="G5595" s="238">
        <f>MROUND(H5595*L5595*I5595/K5595,0.000000000001)</f>
        <v>0</v>
      </c>
      <c r="H5595" s="158"/>
      <c r="I5595" s="159">
        <f>I5589</f>
        <v>5.7547999999999995E-2</v>
      </c>
      <c r="J5595" s="160"/>
      <c r="K5595" s="161">
        <f>K5589</f>
        <v>61164</v>
      </c>
      <c r="L5595" s="162">
        <v>1</v>
      </c>
      <c r="M5595" s="163"/>
      <c r="N5595" s="278"/>
      <c r="O5595" s="280">
        <f t="shared" ref="O5595:O5606" si="1477">MROUND(N5595*G5595,0.000001)</f>
        <v>0</v>
      </c>
      <c r="P5595" s="166"/>
      <c r="Q5595" s="166">
        <f t="shared" ref="Q5595:Q5609" si="1478">O5595*K5595</f>
        <v>0</v>
      </c>
      <c r="R5595" s="71"/>
    </row>
    <row r="5596" spans="1:41" s="61" customFormat="1" ht="63" x14ac:dyDescent="0.25">
      <c r="A5596" s="358"/>
      <c r="B5596" s="361"/>
      <c r="C5596" s="366"/>
      <c r="D5596" s="156" t="s">
        <v>249</v>
      </c>
      <c r="E5596" s="156" t="s">
        <v>22</v>
      </c>
      <c r="F5596" s="156" t="s">
        <v>22</v>
      </c>
      <c r="G5596" s="238">
        <f t="shared" ref="G5596:G5609" si="1479">MROUND(H5596*L5596*I5596/K5596,0.000000000001)</f>
        <v>7.799408067E-3</v>
      </c>
      <c r="H5596" s="158">
        <f>H5492</f>
        <v>690.79</v>
      </c>
      <c r="I5596" s="159">
        <f>I5595</f>
        <v>5.7547999999999995E-2</v>
      </c>
      <c r="J5596" s="160"/>
      <c r="K5596" s="161">
        <f>K5595</f>
        <v>61164</v>
      </c>
      <c r="L5596" s="250">
        <v>12</v>
      </c>
      <c r="M5596" s="163" t="str">
        <f>CONCATENATE(H5596," ",F5596,"*",L5596,"мес.","*",I5596,"/",K5596,"чел/час")</f>
        <v>690,79 м2*12мес.*0,057548/61164чел/час</v>
      </c>
      <c r="N5596" s="278">
        <f>N5492</f>
        <v>31.700778577184575</v>
      </c>
      <c r="O5596" s="280">
        <f t="shared" si="1477"/>
        <v>0.24724699999999999</v>
      </c>
      <c r="P5596" s="166"/>
      <c r="Q5596" s="166">
        <f t="shared" si="1478"/>
        <v>15122.615507999999</v>
      </c>
      <c r="R5596" s="71"/>
    </row>
    <row r="5597" spans="1:41" s="136" customFormat="1" x14ac:dyDescent="0.25">
      <c r="A5597" s="358"/>
      <c r="B5597" s="361"/>
      <c r="C5597" s="366"/>
      <c r="D5597" s="194" t="s">
        <v>398</v>
      </c>
      <c r="E5597" s="156" t="s">
        <v>60</v>
      </c>
      <c r="F5597" s="156" t="s">
        <v>60</v>
      </c>
      <c r="G5597" s="238">
        <f t="shared" si="1479"/>
        <v>4.7044009999999996E-6</v>
      </c>
      <c r="H5597" s="158">
        <f>$H$2105</f>
        <v>5</v>
      </c>
      <c r="I5597" s="159">
        <f>I5596</f>
        <v>5.7547999999999995E-2</v>
      </c>
      <c r="J5597" s="160"/>
      <c r="K5597" s="161">
        <f>K5596</f>
        <v>61164</v>
      </c>
      <c r="L5597" s="250">
        <v>1</v>
      </c>
      <c r="M5597" s="163" t="str">
        <f>CONCATENATE(H5597," ",F5597,"*",I5597,"/",K5597,"чел/час")</f>
        <v>5 шт.*0,057548/61164чел/час</v>
      </c>
      <c r="N5597" s="278">
        <f>$N$5493</f>
        <v>5700.7</v>
      </c>
      <c r="O5597" s="280">
        <f t="shared" si="1477"/>
        <v>2.6817999999999998E-2</v>
      </c>
      <c r="P5597" s="166"/>
      <c r="Q5597" s="166">
        <f t="shared" si="1478"/>
        <v>1640.2961519999999</v>
      </c>
      <c r="R5597" s="71"/>
      <c r="S5597" s="61"/>
      <c r="T5597" s="61"/>
      <c r="U5597" s="61"/>
      <c r="V5597" s="61"/>
      <c r="W5597" s="61"/>
      <c r="X5597" s="61"/>
      <c r="Y5597" s="61"/>
      <c r="Z5597" s="61"/>
      <c r="AA5597" s="61"/>
      <c r="AB5597" s="61"/>
      <c r="AC5597" s="61"/>
      <c r="AD5597" s="61"/>
      <c r="AE5597" s="61"/>
      <c r="AF5597" s="61"/>
      <c r="AG5597" s="61"/>
      <c r="AH5597" s="61"/>
      <c r="AI5597" s="61"/>
      <c r="AJ5597" s="61"/>
      <c r="AK5597" s="61"/>
      <c r="AL5597" s="61"/>
      <c r="AM5597" s="61"/>
      <c r="AN5597" s="61"/>
      <c r="AO5597" s="61"/>
    </row>
    <row r="5598" spans="1:41" s="136" customFormat="1" ht="63" x14ac:dyDescent="0.25">
      <c r="A5598" s="358"/>
      <c r="B5598" s="361"/>
      <c r="C5598" s="366"/>
      <c r="D5598" s="156" t="s">
        <v>33</v>
      </c>
      <c r="E5598" s="156" t="s">
        <v>56</v>
      </c>
      <c r="F5598" s="156" t="s">
        <v>220</v>
      </c>
      <c r="G5598" s="238">
        <f t="shared" si="1479"/>
        <v>4.7044009999999996E-6</v>
      </c>
      <c r="H5598" s="158">
        <f>$H$2106</f>
        <v>5</v>
      </c>
      <c r="I5598" s="159">
        <f>I5597</f>
        <v>5.7547999999999995E-2</v>
      </c>
      <c r="J5598" s="160"/>
      <c r="K5598" s="161">
        <f>K5597</f>
        <v>61164</v>
      </c>
      <c r="L5598" s="250">
        <f>$L$2106</f>
        <v>1</v>
      </c>
      <c r="M5598" s="163" t="str">
        <f>CONCATENATE(H5598," ",F5598,"*",L5598," раз в год","*",I5598,"/",K5598,"чел.")</f>
        <v>5 дымоходов*1 раз в год*0,057548/61164чел.</v>
      </c>
      <c r="N5598" s="278">
        <f>$N$5494</f>
        <v>6840.8399999999992</v>
      </c>
      <c r="O5598" s="280">
        <f t="shared" si="1477"/>
        <v>3.2181999999999995E-2</v>
      </c>
      <c r="P5598" s="166"/>
      <c r="Q5598" s="166">
        <f t="shared" si="1478"/>
        <v>1968.3798479999998</v>
      </c>
      <c r="R5598" s="71"/>
      <c r="S5598" s="61"/>
      <c r="T5598" s="61"/>
      <c r="U5598" s="61"/>
      <c r="V5598" s="61"/>
      <c r="W5598" s="61"/>
      <c r="X5598" s="61"/>
      <c r="Y5598" s="61"/>
      <c r="Z5598" s="61"/>
      <c r="AA5598" s="61"/>
      <c r="AB5598" s="61"/>
      <c r="AC5598" s="61"/>
      <c r="AD5598" s="61"/>
      <c r="AE5598" s="61"/>
      <c r="AF5598" s="61"/>
      <c r="AG5598" s="61"/>
      <c r="AH5598" s="61"/>
      <c r="AI5598" s="61"/>
      <c r="AJ5598" s="61"/>
      <c r="AK5598" s="61"/>
      <c r="AL5598" s="61"/>
      <c r="AM5598" s="61"/>
      <c r="AN5598" s="61"/>
      <c r="AO5598" s="61"/>
    </row>
    <row r="5599" spans="1:41" s="61" customFormat="1" ht="78.75" x14ac:dyDescent="0.25">
      <c r="A5599" s="358"/>
      <c r="B5599" s="361"/>
      <c r="C5599" s="366"/>
      <c r="D5599" s="156" t="s">
        <v>250</v>
      </c>
      <c r="E5599" s="156" t="s">
        <v>251</v>
      </c>
      <c r="F5599" s="156" t="s">
        <v>60</v>
      </c>
      <c r="G5599" s="238">
        <f t="shared" si="1479"/>
        <v>4.7044009999999996E-6</v>
      </c>
      <c r="H5599" s="158">
        <f>$H$2107</f>
        <v>5</v>
      </c>
      <c r="I5599" s="159">
        <f>I5596</f>
        <v>5.7547999999999995E-2</v>
      </c>
      <c r="J5599" s="160"/>
      <c r="K5599" s="161">
        <f>K5596</f>
        <v>61164</v>
      </c>
      <c r="L5599" s="250">
        <v>1</v>
      </c>
      <c r="M5599" s="163" t="str">
        <f>CONCATENATE(H5599," ",F5599,"*",I5599,"/",K5599,"чел/час")</f>
        <v>5 шт.*0,057548/61164чел/час</v>
      </c>
      <c r="N5599" s="278">
        <f t="shared" ref="N5599:N5609" si="1480">N5495</f>
        <v>4560.5600000000004</v>
      </c>
      <c r="O5599" s="280">
        <f t="shared" si="1477"/>
        <v>2.1454999999999998E-2</v>
      </c>
      <c r="P5599" s="166"/>
      <c r="Q5599" s="166">
        <f t="shared" si="1478"/>
        <v>1312.2736199999999</v>
      </c>
      <c r="R5599" s="71"/>
    </row>
    <row r="5600" spans="1:41" s="61" customFormat="1" ht="47.25" x14ac:dyDescent="0.25">
      <c r="A5600" s="358"/>
      <c r="B5600" s="361"/>
      <c r="C5600" s="366"/>
      <c r="D5600" s="156" t="s">
        <v>401</v>
      </c>
      <c r="E5600" s="156" t="s">
        <v>60</v>
      </c>
      <c r="F5600" s="156" t="s">
        <v>402</v>
      </c>
      <c r="G5600" s="238">
        <f t="shared" si="1479"/>
        <v>9.4088030000000003E-6</v>
      </c>
      <c r="H5600" s="158">
        <f>H5496</f>
        <v>5</v>
      </c>
      <c r="I5600" s="159">
        <f>I5599</f>
        <v>5.7547999999999995E-2</v>
      </c>
      <c r="J5600" s="160"/>
      <c r="K5600" s="161">
        <f>K5599</f>
        <v>61164</v>
      </c>
      <c r="L5600" s="250">
        <f>$L$2108</f>
        <v>2</v>
      </c>
      <c r="M5600" s="163" t="str">
        <f>CONCATENATE(H5600," ",F5600,"*",I5600,"/",K5600,"чел/час")</f>
        <v>5 противопожарных водопроводов*0,057548/61164чел/час</v>
      </c>
      <c r="N5600" s="278">
        <f t="shared" si="1480"/>
        <v>2850.35</v>
      </c>
      <c r="O5600" s="280">
        <f t="shared" si="1477"/>
        <v>2.6817999999999998E-2</v>
      </c>
      <c r="P5600" s="166"/>
      <c r="Q5600" s="166">
        <f t="shared" si="1478"/>
        <v>1640.2961519999999</v>
      </c>
      <c r="R5600" s="71"/>
    </row>
    <row r="5601" spans="1:41" s="61" customFormat="1" ht="47.25" x14ac:dyDescent="0.25">
      <c r="A5601" s="358"/>
      <c r="B5601" s="361"/>
      <c r="C5601" s="366"/>
      <c r="D5601" s="156" t="s">
        <v>34</v>
      </c>
      <c r="E5601" s="156" t="s">
        <v>59</v>
      </c>
      <c r="F5601" s="156" t="s">
        <v>28</v>
      </c>
      <c r="G5601" s="238">
        <f t="shared" si="1479"/>
        <v>1.8817609999999999E-6</v>
      </c>
      <c r="H5601" s="158">
        <f>H5497</f>
        <v>2</v>
      </c>
      <c r="I5601" s="159">
        <f>I5600</f>
        <v>5.7547999999999995E-2</v>
      </c>
      <c r="J5601" s="160"/>
      <c r="K5601" s="161">
        <f>K5600</f>
        <v>61164</v>
      </c>
      <c r="L5601" s="250">
        <v>1</v>
      </c>
      <c r="M5601" s="163" t="str">
        <f>CONCATENATE(H5601," ",F5601,"*",I5601,"/",K5601,"чел/час")</f>
        <v>2 шт*0,057548/61164чел/час</v>
      </c>
      <c r="N5601" s="278">
        <f t="shared" si="1480"/>
        <v>7845</v>
      </c>
      <c r="O5601" s="280">
        <f t="shared" si="1477"/>
        <v>1.4761999999999999E-2</v>
      </c>
      <c r="P5601" s="166"/>
      <c r="Q5601" s="166">
        <f t="shared" si="1478"/>
        <v>902.90296799999999</v>
      </c>
      <c r="R5601" s="71"/>
    </row>
    <row r="5602" spans="1:41" s="61" customFormat="1" ht="47.25" x14ac:dyDescent="0.25">
      <c r="A5602" s="358"/>
      <c r="B5602" s="361"/>
      <c r="C5602" s="366"/>
      <c r="D5602" s="156" t="s">
        <v>222</v>
      </c>
      <c r="E5602" s="156" t="s">
        <v>60</v>
      </c>
      <c r="F5602" s="156" t="s">
        <v>60</v>
      </c>
      <c r="G5602" s="238">
        <f t="shared" si="1479"/>
        <v>1.8817609999999999E-6</v>
      </c>
      <c r="H5602" s="158">
        <f>H5498</f>
        <v>2</v>
      </c>
      <c r="I5602" s="159">
        <f>I5601</f>
        <v>5.7547999999999995E-2</v>
      </c>
      <c r="J5602" s="160"/>
      <c r="K5602" s="161">
        <f>K5601</f>
        <v>61164</v>
      </c>
      <c r="L5602" s="250">
        <v>1</v>
      </c>
      <c r="M5602" s="163" t="str">
        <f>CONCATENATE(H5602," ",F5602,"*",I5602,"/",K5602,"чел/час")</f>
        <v>2 шт.*0,057548/61164чел/час</v>
      </c>
      <c r="N5602" s="278">
        <f t="shared" si="1480"/>
        <v>13598</v>
      </c>
      <c r="O5602" s="280">
        <f t="shared" si="1477"/>
        <v>2.5588E-2</v>
      </c>
      <c r="P5602" s="166"/>
      <c r="Q5602" s="166">
        <f t="shared" si="1478"/>
        <v>1565.0644319999999</v>
      </c>
      <c r="R5602" s="71"/>
    </row>
    <row r="5603" spans="1:41" s="61" customFormat="1" ht="31.5" x14ac:dyDescent="0.25">
      <c r="A5603" s="358"/>
      <c r="B5603" s="361"/>
      <c r="C5603" s="366"/>
      <c r="D5603" s="156" t="s">
        <v>35</v>
      </c>
      <c r="E5603" s="156" t="s">
        <v>102</v>
      </c>
      <c r="F5603" s="156" t="s">
        <v>252</v>
      </c>
      <c r="G5603" s="238">
        <f t="shared" si="1479"/>
        <v>1.8817609999999999E-6</v>
      </c>
      <c r="H5603" s="158">
        <f>H5499</f>
        <v>2</v>
      </c>
      <c r="I5603" s="159">
        <f>I5601</f>
        <v>5.7547999999999995E-2</v>
      </c>
      <c r="J5603" s="160"/>
      <c r="K5603" s="161">
        <f>K5601</f>
        <v>61164</v>
      </c>
      <c r="L5603" s="250">
        <v>1</v>
      </c>
      <c r="M5603" s="163" t="str">
        <f>CONCATENATE(H5603," ",F5603,"*",I5603,"/",K5603,"чел/час")</f>
        <v>2 замера*0,057548/61164чел/час</v>
      </c>
      <c r="N5603" s="278">
        <f t="shared" si="1480"/>
        <v>62500</v>
      </c>
      <c r="O5603" s="280">
        <f t="shared" si="1477"/>
        <v>0.11760999999999999</v>
      </c>
      <c r="P5603" s="166"/>
      <c r="Q5603" s="166">
        <f t="shared" si="1478"/>
        <v>7193.4980399999995</v>
      </c>
      <c r="R5603" s="71"/>
    </row>
    <row r="5604" spans="1:41" s="61" customFormat="1" ht="47.25" x14ac:dyDescent="0.25">
      <c r="A5604" s="358"/>
      <c r="B5604" s="361"/>
      <c r="C5604" s="366"/>
      <c r="D5604" s="156" t="s">
        <v>399</v>
      </c>
      <c r="E5604" s="156" t="s">
        <v>60</v>
      </c>
      <c r="F5604" s="156" t="s">
        <v>60</v>
      </c>
      <c r="G5604" s="238">
        <f t="shared" si="1479"/>
        <v>3.7635210000000002E-5</v>
      </c>
      <c r="H5604" s="158">
        <f>$H$2112</f>
        <v>4</v>
      </c>
      <c r="I5604" s="159">
        <f>I5603</f>
        <v>5.7547999999999995E-2</v>
      </c>
      <c r="J5604" s="160"/>
      <c r="K5604" s="161">
        <f>K5603</f>
        <v>61164</v>
      </c>
      <c r="L5604" s="250">
        <v>10</v>
      </c>
      <c r="M5604" s="163" t="str">
        <f>CONCATENATE(H5604," ",F5604,"*",L5604,"мес.","*",I5604,"/",K5604,"чел/час")</f>
        <v>4 шт.*10мес.*0,057548/61164чел/час</v>
      </c>
      <c r="N5604" s="278">
        <f t="shared" si="1480"/>
        <v>2522.5597499999994</v>
      </c>
      <c r="O5604" s="280">
        <f t="shared" si="1477"/>
        <v>9.4936999999999994E-2</v>
      </c>
      <c r="P5604" s="166"/>
      <c r="Q5604" s="166">
        <f t="shared" si="1478"/>
        <v>5806.7266679999993</v>
      </c>
      <c r="R5604" s="71"/>
    </row>
    <row r="5605" spans="1:41" s="61" customFormat="1" ht="47.25" x14ac:dyDescent="0.25">
      <c r="A5605" s="358"/>
      <c r="B5605" s="361"/>
      <c r="C5605" s="366"/>
      <c r="D5605" s="156" t="s">
        <v>36</v>
      </c>
      <c r="E5605" s="156" t="s">
        <v>31</v>
      </c>
      <c r="F5605" s="156" t="s">
        <v>224</v>
      </c>
      <c r="G5605" s="238">
        <f t="shared" si="1479"/>
        <v>9.0324504999999999E-5</v>
      </c>
      <c r="H5605" s="158">
        <f>H5501</f>
        <v>8</v>
      </c>
      <c r="I5605" s="159">
        <f>I5604</f>
        <v>5.7547999999999995E-2</v>
      </c>
      <c r="J5605" s="160"/>
      <c r="K5605" s="161">
        <f>K5604</f>
        <v>61164</v>
      </c>
      <c r="L5605" s="250">
        <v>12</v>
      </c>
      <c r="M5605" s="163" t="str">
        <f>CONCATENATE(H5605," ",F5605,"*",L5605,"мес.","*",I5605,"/",K5605,"чел/час")</f>
        <v>8 устройств*12мес.*0,057548/61164чел/час</v>
      </c>
      <c r="N5605" s="278">
        <f t="shared" si="1480"/>
        <v>2301.2000000000003</v>
      </c>
      <c r="O5605" s="280">
        <f t="shared" si="1477"/>
        <v>0.20785499999999998</v>
      </c>
      <c r="P5605" s="166"/>
      <c r="Q5605" s="166">
        <f t="shared" si="1478"/>
        <v>12713.243219999998</v>
      </c>
      <c r="R5605" s="71"/>
    </row>
    <row r="5606" spans="1:41" s="61" customFormat="1" ht="63" x14ac:dyDescent="0.25">
      <c r="A5606" s="358"/>
      <c r="B5606" s="361"/>
      <c r="C5606" s="366"/>
      <c r="D5606" s="156" t="s">
        <v>253</v>
      </c>
      <c r="E5606" s="156" t="s">
        <v>55</v>
      </c>
      <c r="F5606" s="156" t="s">
        <v>55</v>
      </c>
      <c r="G5606" s="238">
        <f t="shared" si="1479"/>
        <v>5.6452814999999997E-5</v>
      </c>
      <c r="H5606" s="158">
        <f>H5502</f>
        <v>5</v>
      </c>
      <c r="I5606" s="159">
        <f>I5605</f>
        <v>5.7547999999999995E-2</v>
      </c>
      <c r="J5606" s="160"/>
      <c r="K5606" s="161">
        <f>K5605</f>
        <v>61164</v>
      </c>
      <c r="L5606" s="250">
        <v>12</v>
      </c>
      <c r="M5606" s="163" t="str">
        <f>CONCATENATE(H5606," ",F5606,"*",I5606,"/",K5606,"чел/час")</f>
        <v>5 система*0,057548/61164чел/час</v>
      </c>
      <c r="N5606" s="278">
        <f t="shared" si="1480"/>
        <v>4446.5460000000003</v>
      </c>
      <c r="O5606" s="280">
        <f t="shared" si="1477"/>
        <v>0.25101999999999997</v>
      </c>
      <c r="P5606" s="166"/>
      <c r="Q5606" s="166">
        <f t="shared" si="1478"/>
        <v>15353.387279999997</v>
      </c>
      <c r="R5606" s="71"/>
    </row>
    <row r="5607" spans="1:41" s="61" customFormat="1" ht="31.5" x14ac:dyDescent="0.25">
      <c r="A5607" s="358"/>
      <c r="B5607" s="361"/>
      <c r="C5607" s="366"/>
      <c r="D5607" s="156" t="s">
        <v>99</v>
      </c>
      <c r="E5607" s="156" t="s">
        <v>103</v>
      </c>
      <c r="F5607" s="156" t="s">
        <v>225</v>
      </c>
      <c r="G5607" s="238">
        <f t="shared" si="1479"/>
        <v>2.3522005999999999E-5</v>
      </c>
      <c r="H5607" s="158">
        <f>H5503</f>
        <v>25</v>
      </c>
      <c r="I5607" s="159">
        <f>I5606</f>
        <v>5.7547999999999995E-2</v>
      </c>
      <c r="J5607" s="160"/>
      <c r="K5607" s="161">
        <f>K5606</f>
        <v>61164</v>
      </c>
      <c r="L5607" s="250">
        <v>1</v>
      </c>
      <c r="M5607" s="163" t="str">
        <f>CONCATENATE(H5607," ",F5607,"*",I5607,"/",K5607,"чел.")</f>
        <v>25 ед.*0,057548/61164чел.</v>
      </c>
      <c r="N5607" s="164">
        <f t="shared" si="1480"/>
        <v>15000</v>
      </c>
      <c r="O5607" s="165">
        <f>MROUND(G5607*N5607,0.000001)</f>
        <v>0.35282999999999998</v>
      </c>
      <c r="P5607" s="166"/>
      <c r="Q5607" s="166">
        <f t="shared" si="1478"/>
        <v>21580.494119999999</v>
      </c>
      <c r="R5607" s="71"/>
    </row>
    <row r="5608" spans="1:41" s="61" customFormat="1" x14ac:dyDescent="0.25">
      <c r="A5608" s="358"/>
      <c r="B5608" s="361"/>
      <c r="C5608" s="366"/>
      <c r="D5608" s="156" t="s">
        <v>27</v>
      </c>
      <c r="E5608" s="156" t="s">
        <v>28</v>
      </c>
      <c r="F5608" s="156" t="s">
        <v>28</v>
      </c>
      <c r="G5608" s="238">
        <f t="shared" si="1479"/>
        <v>1.4113203799999999E-4</v>
      </c>
      <c r="H5608" s="160">
        <f>H5504</f>
        <v>150</v>
      </c>
      <c r="I5608" s="159">
        <f>I5606</f>
        <v>5.7547999999999995E-2</v>
      </c>
      <c r="J5608" s="160"/>
      <c r="K5608" s="161">
        <f>K5606</f>
        <v>61164</v>
      </c>
      <c r="L5608" s="250">
        <v>1</v>
      </c>
      <c r="M5608" s="163" t="str">
        <f>CONCATENATE(H5608," ",F5608,"*",I5608,"/",K5608,"чел/час")</f>
        <v>150 шт*0,057548/61164чел/час</v>
      </c>
      <c r="N5608" s="278">
        <f t="shared" si="1480"/>
        <v>400</v>
      </c>
      <c r="O5608" s="280">
        <f t="shared" ref="O5608:O5609" si="1481">MROUND(N5608*G5608,0.000001)</f>
        <v>5.6452999999999996E-2</v>
      </c>
      <c r="P5608" s="166"/>
      <c r="Q5608" s="166">
        <f t="shared" si="1478"/>
        <v>3452.8912919999998</v>
      </c>
      <c r="R5608" s="71"/>
    </row>
    <row r="5609" spans="1:41" s="61" customFormat="1" ht="31.5" x14ac:dyDescent="0.25">
      <c r="A5609" s="358"/>
      <c r="B5609" s="361"/>
      <c r="C5609" s="367"/>
      <c r="D5609" s="156" t="s">
        <v>104</v>
      </c>
      <c r="E5609" s="156" t="s">
        <v>105</v>
      </c>
      <c r="F5609" s="156" t="s">
        <v>226</v>
      </c>
      <c r="G5609" s="238">
        <f t="shared" si="1479"/>
        <v>4.7044009999999996E-6</v>
      </c>
      <c r="H5609" s="160">
        <f>H5505</f>
        <v>5</v>
      </c>
      <c r="I5609" s="159">
        <f>I5608</f>
        <v>5.7547999999999995E-2</v>
      </c>
      <c r="J5609" s="160"/>
      <c r="K5609" s="161">
        <f>K5608</f>
        <v>61164</v>
      </c>
      <c r="L5609" s="250">
        <v>1</v>
      </c>
      <c r="M5609" s="163" t="str">
        <f>CONCATENATE(H5609," ",F5609,"*",I5609,"/",K5609,"чел/час")</f>
        <v>5 отключений*0,057548/61164чел/час</v>
      </c>
      <c r="N5609" s="278">
        <f t="shared" si="1480"/>
        <v>9414</v>
      </c>
      <c r="O5609" s="280">
        <f t="shared" si="1481"/>
        <v>4.4287E-2</v>
      </c>
      <c r="P5609" s="166"/>
      <c r="Q5609" s="166">
        <f t="shared" si="1478"/>
        <v>2708.7700679999998</v>
      </c>
      <c r="R5609" s="71"/>
    </row>
    <row r="5610" spans="1:41" s="109" customFormat="1" x14ac:dyDescent="0.25">
      <c r="A5610" s="358"/>
      <c r="B5610" s="361"/>
      <c r="C5610" s="249" t="s">
        <v>326</v>
      </c>
      <c r="D5610" s="240"/>
      <c r="E5610" s="240"/>
      <c r="F5610" s="240"/>
      <c r="G5610" s="227"/>
      <c r="H5610" s="228"/>
      <c r="I5610" s="206"/>
      <c r="J5610" s="228"/>
      <c r="K5610" s="207"/>
      <c r="L5610" s="257"/>
      <c r="M5610" s="209"/>
      <c r="N5610" s="281"/>
      <c r="O5610" s="279">
        <f>SUM(O5595:O5609)</f>
        <v>1.519862</v>
      </c>
      <c r="P5610" s="267"/>
      <c r="Q5610" s="166"/>
      <c r="R5610" s="71"/>
      <c r="S5610" s="62"/>
      <c r="T5610" s="62"/>
      <c r="U5610" s="62"/>
      <c r="V5610" s="62"/>
      <c r="W5610" s="62"/>
      <c r="X5610" s="62"/>
      <c r="Y5610" s="62"/>
      <c r="Z5610" s="62"/>
      <c r="AA5610" s="62"/>
      <c r="AB5610" s="62"/>
      <c r="AC5610" s="62"/>
      <c r="AD5610" s="62"/>
      <c r="AE5610" s="62"/>
      <c r="AF5610" s="62"/>
      <c r="AG5610" s="62"/>
      <c r="AH5610" s="62"/>
      <c r="AI5610" s="62"/>
      <c r="AJ5610" s="62"/>
      <c r="AK5610" s="62"/>
      <c r="AL5610" s="62"/>
      <c r="AM5610" s="62"/>
      <c r="AN5610" s="62"/>
      <c r="AO5610" s="62"/>
    </row>
    <row r="5611" spans="1:41" s="61" customFormat="1" ht="31.5" x14ac:dyDescent="0.25">
      <c r="A5611" s="358"/>
      <c r="B5611" s="361"/>
      <c r="C5611" s="221" t="s">
        <v>79</v>
      </c>
      <c r="D5611" s="156" t="s">
        <v>37</v>
      </c>
      <c r="E5611" s="156" t="s">
        <v>61</v>
      </c>
      <c r="F5611" s="156" t="s">
        <v>254</v>
      </c>
      <c r="G5611" s="238">
        <f>MROUND(H5611*L5611*I5611/K5611,0.000000000001)</f>
        <v>9.4087999999999994E-7</v>
      </c>
      <c r="H5611" s="158">
        <f>$H$2119</f>
        <v>1</v>
      </c>
      <c r="I5611" s="159">
        <f>I5609</f>
        <v>5.7547999999999995E-2</v>
      </c>
      <c r="J5611" s="160"/>
      <c r="K5611" s="161">
        <f>K5609</f>
        <v>61164</v>
      </c>
      <c r="L5611" s="250">
        <v>1</v>
      </c>
      <c r="M5611" s="163" t="str">
        <f>CONCATENATE(H5611," ",F5611,"*",I5611,"/",K5611,"чел/час")</f>
        <v>1 автобус*0,057548/61164чел/час</v>
      </c>
      <c r="N5611" s="278">
        <f>N5507</f>
        <v>24426.36</v>
      </c>
      <c r="O5611" s="280">
        <f>MROUND(N5611*G5611,0.000001)</f>
        <v>2.2981999999999999E-2</v>
      </c>
      <c r="P5611" s="166"/>
      <c r="Q5611" s="166">
        <f>O5611*K5611</f>
        <v>1405.6710479999999</v>
      </c>
      <c r="R5611" s="71"/>
    </row>
    <row r="5612" spans="1:41" s="61" customFormat="1" x14ac:dyDescent="0.25">
      <c r="A5612" s="358"/>
      <c r="B5612" s="361"/>
      <c r="C5612" s="221"/>
      <c r="D5612" s="156" t="s">
        <v>255</v>
      </c>
      <c r="E5612" s="156" t="s">
        <v>28</v>
      </c>
      <c r="F5612" s="156" t="s">
        <v>28</v>
      </c>
      <c r="G5612" s="238">
        <f>MROUND(H5612*L5612*I5612/K5612,0.000000000001)</f>
        <v>6.4920737699999996E-4</v>
      </c>
      <c r="H5612" s="158">
        <f>H5508</f>
        <v>345</v>
      </c>
      <c r="I5612" s="159">
        <f>I5611</f>
        <v>5.7547999999999995E-2</v>
      </c>
      <c r="J5612" s="160"/>
      <c r="K5612" s="161">
        <f>K5611</f>
        <v>61164</v>
      </c>
      <c r="L5612" s="250">
        <v>2</v>
      </c>
      <c r="M5612" s="163" t="str">
        <f>CONCATENATE(H5612," ",F5612,"*",L5612,"раза в год","*",I5612,"/",K5612,"чел/час")</f>
        <v>345 шт*2раза в год*0,057548/61164чел/час</v>
      </c>
      <c r="N5612" s="278">
        <f>N5508</f>
        <v>456.05601449275366</v>
      </c>
      <c r="O5612" s="280">
        <f>MROUND(N5612*G5612,0.000001)</f>
        <v>0.29607499999999998</v>
      </c>
      <c r="P5612" s="166"/>
      <c r="Q5612" s="166">
        <f>O5612*K5612</f>
        <v>18109.131299999997</v>
      </c>
      <c r="R5612" s="71"/>
    </row>
    <row r="5613" spans="1:41" s="109" customFormat="1" x14ac:dyDescent="0.25">
      <c r="A5613" s="358"/>
      <c r="B5613" s="361"/>
      <c r="C5613" s="218" t="s">
        <v>328</v>
      </c>
      <c r="D5613" s="240"/>
      <c r="E5613" s="240"/>
      <c r="F5613" s="240"/>
      <c r="G5613" s="227"/>
      <c r="H5613" s="241"/>
      <c r="I5613" s="206"/>
      <c r="J5613" s="228"/>
      <c r="K5613" s="207"/>
      <c r="L5613" s="257"/>
      <c r="M5613" s="209"/>
      <c r="N5613" s="281"/>
      <c r="O5613" s="279">
        <f>O5612+O5611</f>
        <v>0.31905699999999998</v>
      </c>
      <c r="P5613" s="267"/>
      <c r="Q5613" s="166"/>
      <c r="R5613" s="71"/>
      <c r="S5613" s="62"/>
      <c r="T5613" s="62"/>
      <c r="U5613" s="62"/>
      <c r="V5613" s="62"/>
      <c r="W5613" s="62"/>
      <c r="X5613" s="62"/>
      <c r="Y5613" s="62"/>
      <c r="Z5613" s="62"/>
      <c r="AA5613" s="62"/>
      <c r="AB5613" s="62"/>
      <c r="AC5613" s="62"/>
      <c r="AD5613" s="62"/>
      <c r="AE5613" s="62"/>
      <c r="AF5613" s="62"/>
      <c r="AG5613" s="62"/>
      <c r="AH5613" s="62"/>
      <c r="AI5613" s="62"/>
      <c r="AJ5613" s="62"/>
      <c r="AK5613" s="62"/>
      <c r="AL5613" s="62"/>
      <c r="AM5613" s="62"/>
      <c r="AN5613" s="62"/>
      <c r="AO5613" s="62"/>
    </row>
    <row r="5614" spans="1:41" s="61" customFormat="1" x14ac:dyDescent="0.25">
      <c r="A5614" s="358"/>
      <c r="B5614" s="361"/>
      <c r="C5614" s="364" t="s">
        <v>80</v>
      </c>
      <c r="D5614" s="156" t="s">
        <v>38</v>
      </c>
      <c r="E5614" s="156" t="s">
        <v>57</v>
      </c>
      <c r="F5614" s="156" t="s">
        <v>228</v>
      </c>
      <c r="G5614" s="238">
        <f t="shared" ref="G5614:G5625" si="1482">MROUND(H5614*L5614*I5614/K5614,0.000000000001)</f>
        <v>9.0324504999999999E-5</v>
      </c>
      <c r="H5614" s="158">
        <f>H5510</f>
        <v>8</v>
      </c>
      <c r="I5614" s="159">
        <f>I5611</f>
        <v>5.7547999999999995E-2</v>
      </c>
      <c r="J5614" s="160"/>
      <c r="K5614" s="161">
        <f>K5611</f>
        <v>61164</v>
      </c>
      <c r="L5614" s="250">
        <v>12</v>
      </c>
      <c r="M5614" s="163" t="str">
        <f>CONCATENATE(H5614," ",F5614,"*",L5614,"мес.","*",I5614,"/",K5614,"чел/час")</f>
        <v>8 зданий*12мес.*0,057548/61164чел/час</v>
      </c>
      <c r="N5614" s="278">
        <f t="shared" ref="N5614:N5622" si="1483">N5510</f>
        <v>4910.5830208333327</v>
      </c>
      <c r="O5614" s="280">
        <f t="shared" ref="O5614:O5625" si="1484">MROUND(N5614*G5614,0.000001)</f>
        <v>0.443546</v>
      </c>
      <c r="P5614" s="166"/>
      <c r="Q5614" s="166">
        <f t="shared" ref="Q5614:Q5625" si="1485">O5614*K5614</f>
        <v>27129.047544000001</v>
      </c>
      <c r="R5614" s="71"/>
    </row>
    <row r="5615" spans="1:41" s="61" customFormat="1" x14ac:dyDescent="0.25">
      <c r="A5615" s="358"/>
      <c r="B5615" s="361"/>
      <c r="C5615" s="364"/>
      <c r="D5615" s="156" t="s">
        <v>256</v>
      </c>
      <c r="E5615" s="156" t="s">
        <v>20</v>
      </c>
      <c r="F5615" s="156" t="s">
        <v>20</v>
      </c>
      <c r="G5615" s="238">
        <f t="shared" si="1482"/>
        <v>1.7594460799999999E-4</v>
      </c>
      <c r="H5615" s="158">
        <f>H5511</f>
        <v>187</v>
      </c>
      <c r="I5615" s="159">
        <f>I5612</f>
        <v>5.7547999999999995E-2</v>
      </c>
      <c r="J5615" s="160"/>
      <c r="K5615" s="161">
        <f>K5612</f>
        <v>61164</v>
      </c>
      <c r="L5615" s="250">
        <v>1</v>
      </c>
      <c r="M5615" s="163" t="str">
        <f t="shared" ref="M5615:M5622" si="1486">CONCATENATE(H5615," ",F5615,"*",I5615,"/",K5615,"чел/час")</f>
        <v>187 чел.*0,057548/61164чел/час</v>
      </c>
      <c r="N5615" s="278">
        <f t="shared" si="1483"/>
        <v>1938.2379679144385</v>
      </c>
      <c r="O5615" s="280">
        <f t="shared" si="1484"/>
        <v>0.34102299999999997</v>
      </c>
      <c r="P5615" s="166"/>
      <c r="Q5615" s="166">
        <f t="shared" si="1485"/>
        <v>20858.330771999998</v>
      </c>
      <c r="R5615" s="71"/>
    </row>
    <row r="5616" spans="1:41" s="61" customFormat="1" ht="63" x14ac:dyDescent="0.25">
      <c r="A5616" s="358"/>
      <c r="B5616" s="361"/>
      <c r="C5616" s="364"/>
      <c r="D5616" s="156" t="s">
        <v>39</v>
      </c>
      <c r="E5616" s="156" t="s">
        <v>20</v>
      </c>
      <c r="F5616" s="156" t="s">
        <v>234</v>
      </c>
      <c r="G5616" s="238">
        <f t="shared" si="1482"/>
        <v>8.4679219999999992E-6</v>
      </c>
      <c r="H5616" s="158">
        <f>H5512</f>
        <v>9</v>
      </c>
      <c r="I5616" s="159">
        <f>I5614</f>
        <v>5.7547999999999995E-2</v>
      </c>
      <c r="J5616" s="160"/>
      <c r="K5616" s="161">
        <f>K5614</f>
        <v>61164</v>
      </c>
      <c r="L5616" s="250">
        <v>1</v>
      </c>
      <c r="M5616" s="163" t="str">
        <f t="shared" si="1486"/>
        <v>9 чел(заявленная потребность руководителями учреждений)*0,057548/61164чел/час</v>
      </c>
      <c r="N5616" s="278">
        <f t="shared" si="1483"/>
        <v>798.09666666666669</v>
      </c>
      <c r="O5616" s="280">
        <f t="shared" si="1484"/>
        <v>6.7580000000000001E-3</v>
      </c>
      <c r="P5616" s="166"/>
      <c r="Q5616" s="166">
        <f t="shared" si="1485"/>
        <v>413.34631200000001</v>
      </c>
      <c r="R5616" s="71"/>
    </row>
    <row r="5617" spans="1:41" s="61" customFormat="1" ht="63" x14ac:dyDescent="0.25">
      <c r="A5617" s="358"/>
      <c r="B5617" s="361"/>
      <c r="C5617" s="364"/>
      <c r="D5617" s="156" t="s">
        <v>40</v>
      </c>
      <c r="E5617" s="156" t="s">
        <v>20</v>
      </c>
      <c r="F5617" s="156" t="s">
        <v>234</v>
      </c>
      <c r="G5617" s="238">
        <f t="shared" si="1482"/>
        <v>1.2231443E-5</v>
      </c>
      <c r="H5617" s="158">
        <f>H5513</f>
        <v>13</v>
      </c>
      <c r="I5617" s="159">
        <f t="shared" ref="I5617:I5622" si="1487">I5616</f>
        <v>5.7547999999999995E-2</v>
      </c>
      <c r="J5617" s="160"/>
      <c r="K5617" s="161">
        <f t="shared" ref="K5617:K5622" si="1488">K5616</f>
        <v>61164</v>
      </c>
      <c r="L5617" s="250">
        <v>1</v>
      </c>
      <c r="M5617" s="163" t="str">
        <f t="shared" si="1486"/>
        <v>13 чел(заявленная потребность руководителями учреждений)*0,057548/61164чел/час</v>
      </c>
      <c r="N5617" s="278">
        <f t="shared" si="1483"/>
        <v>1710.2100000000003</v>
      </c>
      <c r="O5617" s="280">
        <f t="shared" si="1484"/>
        <v>2.0917999999999999E-2</v>
      </c>
      <c r="P5617" s="166"/>
      <c r="Q5617" s="166">
        <f t="shared" si="1485"/>
        <v>1279.4285519999999</v>
      </c>
      <c r="R5617" s="71"/>
    </row>
    <row r="5618" spans="1:41" s="61" customFormat="1" ht="63" x14ac:dyDescent="0.25">
      <c r="A5618" s="358"/>
      <c r="B5618" s="361"/>
      <c r="C5618" s="364"/>
      <c r="D5618" s="156" t="s">
        <v>100</v>
      </c>
      <c r="E5618" s="156" t="s">
        <v>20</v>
      </c>
      <c r="F5618" s="156" t="s">
        <v>234</v>
      </c>
      <c r="G5618" s="238">
        <f t="shared" si="1482"/>
        <v>6.5861619999999999E-6</v>
      </c>
      <c r="H5618" s="158">
        <f>H5514</f>
        <v>7</v>
      </c>
      <c r="I5618" s="159">
        <f t="shared" si="1487"/>
        <v>5.7547999999999995E-2</v>
      </c>
      <c r="J5618" s="160"/>
      <c r="K5618" s="161">
        <f t="shared" si="1488"/>
        <v>61164</v>
      </c>
      <c r="L5618" s="250">
        <v>1</v>
      </c>
      <c r="M5618" s="163" t="str">
        <f t="shared" si="1486"/>
        <v>7 чел(заявленная потребность руководителями учреждений)*0,057548/61164чел/час</v>
      </c>
      <c r="N5618" s="278">
        <f t="shared" si="1483"/>
        <v>3648.4471428571428</v>
      </c>
      <c r="O5618" s="280">
        <f t="shared" si="1484"/>
        <v>2.4028999999999998E-2</v>
      </c>
      <c r="P5618" s="166"/>
      <c r="Q5618" s="166">
        <f t="shared" si="1485"/>
        <v>1469.709756</v>
      </c>
      <c r="R5618" s="71"/>
    </row>
    <row r="5619" spans="1:41" s="61" customFormat="1" ht="110.25" x14ac:dyDescent="0.25">
      <c r="A5619" s="358"/>
      <c r="B5619" s="361"/>
      <c r="C5619" s="364"/>
      <c r="D5619" s="156" t="s">
        <v>235</v>
      </c>
      <c r="E5619" s="156" t="s">
        <v>50</v>
      </c>
      <c r="F5619" s="156" t="s">
        <v>230</v>
      </c>
      <c r="G5619" s="238">
        <f t="shared" si="1482"/>
        <v>4.7044009999999996E-6</v>
      </c>
      <c r="H5619" s="158">
        <v>5</v>
      </c>
      <c r="I5619" s="159">
        <f t="shared" si="1487"/>
        <v>5.7547999999999995E-2</v>
      </c>
      <c r="J5619" s="160"/>
      <c r="K5619" s="161">
        <f t="shared" si="1488"/>
        <v>61164</v>
      </c>
      <c r="L5619" s="250">
        <v>1</v>
      </c>
      <c r="M5619" s="163" t="str">
        <f t="shared" si="1486"/>
        <v>5 отчетов*0,057548/61164чел/час</v>
      </c>
      <c r="N5619" s="278">
        <f t="shared" si="1483"/>
        <v>6840.8399999999992</v>
      </c>
      <c r="O5619" s="280">
        <f t="shared" si="1484"/>
        <v>3.2181999999999995E-2</v>
      </c>
      <c r="P5619" s="166"/>
      <c r="Q5619" s="166">
        <f t="shared" si="1485"/>
        <v>1968.3798479999998</v>
      </c>
      <c r="R5619" s="71"/>
    </row>
    <row r="5620" spans="1:41" s="61" customFormat="1" ht="63" x14ac:dyDescent="0.25">
      <c r="A5620" s="358"/>
      <c r="B5620" s="361"/>
      <c r="C5620" s="364"/>
      <c r="D5620" s="156" t="s">
        <v>42</v>
      </c>
      <c r="E5620" s="156" t="s">
        <v>51</v>
      </c>
      <c r="F5620" s="156" t="s">
        <v>407</v>
      </c>
      <c r="G5620" s="238">
        <f t="shared" si="1482"/>
        <v>2.4462887E-5</v>
      </c>
      <c r="H5620" s="158">
        <f>H5516</f>
        <v>26</v>
      </c>
      <c r="I5620" s="159">
        <f t="shared" si="1487"/>
        <v>5.7547999999999995E-2</v>
      </c>
      <c r="J5620" s="160"/>
      <c r="K5620" s="161">
        <f t="shared" si="1488"/>
        <v>61164</v>
      </c>
      <c r="L5620" s="250">
        <v>1</v>
      </c>
      <c r="M5620" s="163" t="str">
        <f t="shared" si="1486"/>
        <v>26 ед (заявленная потребность руководителями учреждений)*0,057548/61164чел/час</v>
      </c>
      <c r="N5620" s="278">
        <f t="shared" si="1483"/>
        <v>1140.1400000000001</v>
      </c>
      <c r="O5620" s="280">
        <f t="shared" si="1484"/>
        <v>2.7890999999999999E-2</v>
      </c>
      <c r="P5620" s="166"/>
      <c r="Q5620" s="166">
        <f t="shared" si="1485"/>
        <v>1705.9251239999999</v>
      </c>
      <c r="R5620" s="71"/>
    </row>
    <row r="5621" spans="1:41" s="61" customFormat="1" ht="31.5" x14ac:dyDescent="0.25">
      <c r="A5621" s="358"/>
      <c r="B5621" s="361"/>
      <c r="C5621" s="364"/>
      <c r="D5621" s="156" t="s">
        <v>43</v>
      </c>
      <c r="E5621" s="156" t="s">
        <v>52</v>
      </c>
      <c r="F5621" s="156" t="s">
        <v>231</v>
      </c>
      <c r="G5621" s="238">
        <f t="shared" si="1482"/>
        <v>4.7044009999999996E-6</v>
      </c>
      <c r="H5621" s="158">
        <v>5</v>
      </c>
      <c r="I5621" s="159">
        <f t="shared" si="1487"/>
        <v>5.7547999999999995E-2</v>
      </c>
      <c r="J5621" s="160"/>
      <c r="K5621" s="161">
        <f t="shared" si="1488"/>
        <v>61164</v>
      </c>
      <c r="L5621" s="250">
        <v>1</v>
      </c>
      <c r="M5621" s="163" t="str">
        <f t="shared" si="1486"/>
        <v>5 ЭЦП*0,057548/61164чел/час</v>
      </c>
      <c r="N5621" s="278">
        <f t="shared" si="1483"/>
        <v>8099.55</v>
      </c>
      <c r="O5621" s="280">
        <f t="shared" si="1484"/>
        <v>3.8103999999999999E-2</v>
      </c>
      <c r="P5621" s="166"/>
      <c r="Q5621" s="166">
        <f t="shared" si="1485"/>
        <v>2330.5930560000002</v>
      </c>
      <c r="R5621" s="71"/>
    </row>
    <row r="5622" spans="1:41" s="61" customFormat="1" x14ac:dyDescent="0.25">
      <c r="A5622" s="358"/>
      <c r="B5622" s="361"/>
      <c r="C5622" s="364"/>
      <c r="D5622" s="156" t="s">
        <v>373</v>
      </c>
      <c r="E5622" s="156" t="s">
        <v>28</v>
      </c>
      <c r="F5622" s="156" t="s">
        <v>28</v>
      </c>
      <c r="G5622" s="238">
        <f t="shared" si="1482"/>
        <v>4.7044009999999996E-6</v>
      </c>
      <c r="H5622" s="158">
        <f>H5518</f>
        <v>5</v>
      </c>
      <c r="I5622" s="159">
        <f t="shared" si="1487"/>
        <v>5.7547999999999995E-2</v>
      </c>
      <c r="J5622" s="160"/>
      <c r="K5622" s="161">
        <f t="shared" si="1488"/>
        <v>61164</v>
      </c>
      <c r="L5622" s="250">
        <v>1</v>
      </c>
      <c r="M5622" s="163" t="str">
        <f t="shared" si="1486"/>
        <v>5 шт*0,057548/61164чел/час</v>
      </c>
      <c r="N5622" s="278">
        <f t="shared" si="1483"/>
        <v>24000</v>
      </c>
      <c r="O5622" s="280">
        <f t="shared" si="1484"/>
        <v>0.11290599999999999</v>
      </c>
      <c r="P5622" s="166"/>
      <c r="Q5622" s="166">
        <f t="shared" si="1485"/>
        <v>6905.7825839999996</v>
      </c>
      <c r="R5622" s="71"/>
    </row>
    <row r="5623" spans="1:41" s="136" customFormat="1" ht="47.25" x14ac:dyDescent="0.25">
      <c r="A5623" s="358"/>
      <c r="B5623" s="361"/>
      <c r="C5623" s="364"/>
      <c r="D5623" s="156" t="s">
        <v>44</v>
      </c>
      <c r="E5623" s="156" t="s">
        <v>85</v>
      </c>
      <c r="F5623" s="156" t="s">
        <v>232</v>
      </c>
      <c r="G5623" s="238">
        <f t="shared" si="1482"/>
        <v>2.86027598E-4</v>
      </c>
      <c r="H5623" s="158">
        <f>$H$2132</f>
        <v>304</v>
      </c>
      <c r="I5623" s="159">
        <f>I5621</f>
        <v>5.7547999999999995E-2</v>
      </c>
      <c r="J5623" s="160"/>
      <c r="K5623" s="161">
        <f>K5621</f>
        <v>61164</v>
      </c>
      <c r="L5623" s="250">
        <v>1</v>
      </c>
      <c r="M5623" s="163" t="str">
        <f>CONCATENATE(H5623," ",F5623,"*",L5623,"мес.","*",I5623,"/",K5623,"чел.")</f>
        <v>304 мед.осмотров в мес.*1мес.*0,057548/61164чел.</v>
      </c>
      <c r="N5623" s="278">
        <f>$N$5520</f>
        <v>59.287269736842113</v>
      </c>
      <c r="O5623" s="280">
        <f t="shared" si="1484"/>
        <v>1.6958000000000001E-2</v>
      </c>
      <c r="P5623" s="166"/>
      <c r="Q5623" s="166">
        <f t="shared" si="1485"/>
        <v>1037.219112</v>
      </c>
      <c r="R5623" s="71"/>
      <c r="S5623" s="71"/>
      <c r="T5623" s="61"/>
      <c r="U5623" s="61"/>
      <c r="V5623" s="61"/>
      <c r="W5623" s="61"/>
      <c r="X5623" s="61"/>
      <c r="Y5623" s="61"/>
      <c r="Z5623" s="61"/>
      <c r="AA5623" s="61"/>
      <c r="AB5623" s="61"/>
      <c r="AC5623" s="61"/>
      <c r="AD5623" s="61"/>
      <c r="AE5623" s="61"/>
      <c r="AF5623" s="61"/>
      <c r="AG5623" s="61"/>
      <c r="AH5623" s="61"/>
      <c r="AI5623" s="61"/>
      <c r="AJ5623" s="61"/>
      <c r="AK5623" s="61"/>
      <c r="AL5623" s="61"/>
      <c r="AM5623" s="61"/>
      <c r="AN5623" s="61"/>
      <c r="AO5623" s="61"/>
    </row>
    <row r="5624" spans="1:41" s="61" customFormat="1" ht="63" x14ac:dyDescent="0.25">
      <c r="A5624" s="358"/>
      <c r="B5624" s="361"/>
      <c r="C5624" s="364"/>
      <c r="D5624" s="156" t="s">
        <v>45</v>
      </c>
      <c r="E5624" s="156" t="s">
        <v>53</v>
      </c>
      <c r="F5624" s="156" t="s">
        <v>257</v>
      </c>
      <c r="G5624" s="238">
        <f t="shared" si="1482"/>
        <v>1.1290563E-5</v>
      </c>
      <c r="H5624" s="158">
        <v>1</v>
      </c>
      <c r="I5624" s="159">
        <f>I5623</f>
        <v>5.7547999999999995E-2</v>
      </c>
      <c r="J5624" s="160"/>
      <c r="K5624" s="161">
        <f>K5623</f>
        <v>61164</v>
      </c>
      <c r="L5624" s="250">
        <v>12</v>
      </c>
      <c r="M5624" s="163" t="str">
        <f>CONCATENATE(H5624," ",F5624,"*",L5624,"мес.","*",I5624,"/",K5624,"чел/час")</f>
        <v>1  машина, оборудованная системой ГЛОНАСС*12мес.*0,057548/61164чел/час</v>
      </c>
      <c r="N5624" s="278">
        <f>N5519</f>
        <v>921.23333333333346</v>
      </c>
      <c r="O5624" s="280">
        <f t="shared" si="1484"/>
        <v>1.0400999999999999E-2</v>
      </c>
      <c r="P5624" s="166"/>
      <c r="Q5624" s="166">
        <f t="shared" si="1485"/>
        <v>636.16676399999994</v>
      </c>
      <c r="R5624" s="71"/>
    </row>
    <row r="5625" spans="1:41" s="61" customFormat="1" ht="31.5" x14ac:dyDescent="0.25">
      <c r="A5625" s="358"/>
      <c r="B5625" s="361"/>
      <c r="C5625" s="364"/>
      <c r="D5625" s="156" t="s">
        <v>408</v>
      </c>
      <c r="E5625" s="156" t="s">
        <v>20</v>
      </c>
      <c r="F5625" s="156" t="s">
        <v>20</v>
      </c>
      <c r="G5625" s="238">
        <f t="shared" si="1482"/>
        <v>0</v>
      </c>
      <c r="H5625" s="158"/>
      <c r="I5625" s="159">
        <f>I5623</f>
        <v>5.7547999999999995E-2</v>
      </c>
      <c r="J5625" s="160"/>
      <c r="K5625" s="161">
        <f>K5623</f>
        <v>61164</v>
      </c>
      <c r="L5625" s="250">
        <f>L5521</f>
        <v>1</v>
      </c>
      <c r="M5625" s="163"/>
      <c r="N5625" s="278"/>
      <c r="O5625" s="280">
        <f t="shared" si="1484"/>
        <v>0</v>
      </c>
      <c r="P5625" s="166"/>
      <c r="Q5625" s="166">
        <f t="shared" si="1485"/>
        <v>0</v>
      </c>
      <c r="R5625" s="71"/>
    </row>
    <row r="5626" spans="1:41" s="109" customFormat="1" x14ac:dyDescent="0.25">
      <c r="A5626" s="358"/>
      <c r="B5626" s="361"/>
      <c r="C5626" s="245" t="s">
        <v>329</v>
      </c>
      <c r="D5626" s="240"/>
      <c r="E5626" s="240"/>
      <c r="F5626" s="240"/>
      <c r="G5626" s="227"/>
      <c r="H5626" s="241"/>
      <c r="I5626" s="206"/>
      <c r="J5626" s="228"/>
      <c r="K5626" s="207"/>
      <c r="L5626" s="257"/>
      <c r="M5626" s="209"/>
      <c r="N5626" s="281"/>
      <c r="O5626" s="279">
        <f>SUM(O5614:O5625)</f>
        <v>1.0747160000000002</v>
      </c>
      <c r="P5626" s="267"/>
      <c r="Q5626" s="166"/>
      <c r="R5626" s="71"/>
      <c r="S5626" s="62"/>
      <c r="T5626" s="62"/>
      <c r="U5626" s="62"/>
      <c r="V5626" s="62"/>
      <c r="W5626" s="62"/>
      <c r="X5626" s="62"/>
      <c r="Y5626" s="62"/>
      <c r="Z5626" s="62"/>
      <c r="AA5626" s="62"/>
      <c r="AB5626" s="62"/>
      <c r="AC5626" s="62"/>
      <c r="AD5626" s="62"/>
      <c r="AE5626" s="62"/>
      <c r="AF5626" s="62"/>
      <c r="AG5626" s="62"/>
      <c r="AH5626" s="62"/>
      <c r="AI5626" s="62"/>
      <c r="AJ5626" s="62"/>
      <c r="AK5626" s="62"/>
      <c r="AL5626" s="62"/>
      <c r="AM5626" s="62"/>
      <c r="AN5626" s="62"/>
      <c r="AO5626" s="62"/>
    </row>
    <row r="5627" spans="1:41" s="61" customFormat="1" ht="31.5" x14ac:dyDescent="0.25">
      <c r="A5627" s="358"/>
      <c r="B5627" s="361"/>
      <c r="C5627" s="252" t="s">
        <v>237</v>
      </c>
      <c r="D5627" s="156" t="s">
        <v>41</v>
      </c>
      <c r="E5627" s="156" t="s">
        <v>61</v>
      </c>
      <c r="F5627" s="156" t="s">
        <v>254</v>
      </c>
      <c r="G5627" s="238">
        <f t="shared" ref="G5627:G5638" si="1489">MROUND(H5627*L5627*I5627/K5627,0.000000000001)</f>
        <v>9.4087999999999994E-7</v>
      </c>
      <c r="H5627" s="158">
        <v>1</v>
      </c>
      <c r="I5627" s="159">
        <f>I5625</f>
        <v>5.7547999999999995E-2</v>
      </c>
      <c r="J5627" s="160"/>
      <c r="K5627" s="161">
        <f>K5625</f>
        <v>61164</v>
      </c>
      <c r="L5627" s="250">
        <v>1</v>
      </c>
      <c r="M5627" s="163" t="str">
        <f>CONCATENATE(H5627," ",F5627,"*",I5627,"/",K5627,"чел/час")</f>
        <v>1 автобус*0,057548/61164чел/час</v>
      </c>
      <c r="N5627" s="278">
        <f>N5523</f>
        <v>26907.3</v>
      </c>
      <c r="O5627" s="280">
        <f t="shared" ref="O5627:O5638" si="1490">MROUND(N5627*G5627,0.000001)</f>
        <v>2.5316999999999999E-2</v>
      </c>
      <c r="P5627" s="166"/>
      <c r="Q5627" s="166">
        <f t="shared" ref="Q5627:Q5638" si="1491">O5627*K5627</f>
        <v>1548.4889880000001</v>
      </c>
      <c r="R5627" s="71"/>
    </row>
    <row r="5628" spans="1:41" s="61" customFormat="1" ht="78.75" x14ac:dyDescent="0.25">
      <c r="A5628" s="358"/>
      <c r="B5628" s="361"/>
      <c r="C5628" s="221" t="s">
        <v>236</v>
      </c>
      <c r="D5628" s="156" t="s">
        <v>19</v>
      </c>
      <c r="E5628" s="181" t="s">
        <v>20</v>
      </c>
      <c r="F5628" s="181" t="s">
        <v>238</v>
      </c>
      <c r="G5628" s="238">
        <f t="shared" si="1489"/>
        <v>0</v>
      </c>
      <c r="H5628" s="158"/>
      <c r="I5628" s="159">
        <f>I5625</f>
        <v>5.7547999999999995E-2</v>
      </c>
      <c r="J5628" s="160"/>
      <c r="K5628" s="161">
        <f>K5625</f>
        <v>61164</v>
      </c>
      <c r="L5628" s="250"/>
      <c r="M5628" s="163"/>
      <c r="N5628" s="278"/>
      <c r="O5628" s="280">
        <f t="shared" si="1490"/>
        <v>0</v>
      </c>
      <c r="P5628" s="166"/>
      <c r="Q5628" s="166">
        <f t="shared" si="1491"/>
        <v>0</v>
      </c>
      <c r="R5628" s="71"/>
    </row>
    <row r="5629" spans="1:41" s="136" customFormat="1" ht="31.5" x14ac:dyDescent="0.25">
      <c r="A5629" s="358"/>
      <c r="B5629" s="361"/>
      <c r="C5629" s="372" t="s">
        <v>81</v>
      </c>
      <c r="D5629" s="156" t="s">
        <v>419</v>
      </c>
      <c r="E5629" s="156" t="s">
        <v>28</v>
      </c>
      <c r="F5629" s="156" t="s">
        <v>439</v>
      </c>
      <c r="G5629" s="238">
        <f t="shared" si="1489"/>
        <v>0</v>
      </c>
      <c r="H5629" s="158"/>
      <c r="I5629" s="159">
        <f>I5628</f>
        <v>5.7547999999999995E-2</v>
      </c>
      <c r="J5629" s="160"/>
      <c r="K5629" s="161">
        <f>K5628</f>
        <v>61164</v>
      </c>
      <c r="L5629" s="250">
        <v>1</v>
      </c>
      <c r="M5629" s="163"/>
      <c r="N5629" s="278"/>
      <c r="O5629" s="280">
        <f t="shared" si="1490"/>
        <v>0</v>
      </c>
      <c r="P5629" s="166"/>
      <c r="Q5629" s="166">
        <f t="shared" si="1491"/>
        <v>0</v>
      </c>
      <c r="R5629" s="71"/>
      <c r="S5629" s="61"/>
      <c r="T5629" s="71"/>
      <c r="U5629" s="61"/>
      <c r="V5629" s="61"/>
      <c r="W5629" s="61"/>
      <c r="X5629" s="61"/>
      <c r="Y5629" s="61"/>
      <c r="Z5629" s="61"/>
      <c r="AA5629" s="61"/>
      <c r="AB5629" s="61"/>
      <c r="AC5629" s="61"/>
      <c r="AD5629" s="61"/>
      <c r="AE5629" s="61"/>
      <c r="AF5629" s="61"/>
      <c r="AG5629" s="61"/>
      <c r="AH5629" s="61"/>
      <c r="AI5629" s="61"/>
      <c r="AJ5629" s="61"/>
      <c r="AK5629" s="61"/>
      <c r="AL5629" s="61"/>
      <c r="AM5629" s="61"/>
      <c r="AN5629" s="61"/>
      <c r="AO5629" s="61"/>
    </row>
    <row r="5630" spans="1:41" s="136" customFormat="1" ht="31.5" x14ac:dyDescent="0.25">
      <c r="A5630" s="358"/>
      <c r="B5630" s="361"/>
      <c r="C5630" s="373"/>
      <c r="D5630" s="156" t="s">
        <v>425</v>
      </c>
      <c r="E5630" s="156" t="s">
        <v>28</v>
      </c>
      <c r="F5630" s="156" t="s">
        <v>439</v>
      </c>
      <c r="G5630" s="238">
        <f t="shared" si="1489"/>
        <v>0</v>
      </c>
      <c r="H5630" s="158"/>
      <c r="I5630" s="159">
        <f t="shared" ref="I5630:I5638" si="1492">I5629</f>
        <v>5.7547999999999995E-2</v>
      </c>
      <c r="J5630" s="160"/>
      <c r="K5630" s="161">
        <f t="shared" ref="K5630:K5638" si="1493">K5629</f>
        <v>61164</v>
      </c>
      <c r="L5630" s="250">
        <v>1</v>
      </c>
      <c r="M5630" s="163"/>
      <c r="N5630" s="278"/>
      <c r="O5630" s="280">
        <f t="shared" si="1490"/>
        <v>0</v>
      </c>
      <c r="P5630" s="166"/>
      <c r="Q5630" s="166">
        <f t="shared" si="1491"/>
        <v>0</v>
      </c>
      <c r="R5630" s="71"/>
      <c r="S5630" s="61"/>
      <c r="T5630" s="71"/>
      <c r="U5630" s="61"/>
      <c r="V5630" s="61"/>
      <c r="W5630" s="61"/>
      <c r="X5630" s="61"/>
      <c r="Y5630" s="61"/>
      <c r="Z5630" s="61"/>
      <c r="AA5630" s="61"/>
      <c r="AB5630" s="61"/>
      <c r="AC5630" s="61"/>
      <c r="AD5630" s="61"/>
      <c r="AE5630" s="61"/>
      <c r="AF5630" s="61"/>
      <c r="AG5630" s="61"/>
      <c r="AH5630" s="61"/>
      <c r="AI5630" s="61"/>
      <c r="AJ5630" s="61"/>
      <c r="AK5630" s="61"/>
      <c r="AL5630" s="61"/>
      <c r="AM5630" s="61"/>
      <c r="AN5630" s="61"/>
      <c r="AO5630" s="61"/>
    </row>
    <row r="5631" spans="1:41" s="136" customFormat="1" ht="31.5" x14ac:dyDescent="0.25">
      <c r="A5631" s="358"/>
      <c r="B5631" s="361"/>
      <c r="C5631" s="373"/>
      <c r="D5631" s="156" t="s">
        <v>426</v>
      </c>
      <c r="E5631" s="156" t="s">
        <v>28</v>
      </c>
      <c r="F5631" s="156" t="s">
        <v>439</v>
      </c>
      <c r="G5631" s="238">
        <f t="shared" si="1489"/>
        <v>0</v>
      </c>
      <c r="H5631" s="158"/>
      <c r="I5631" s="159">
        <f t="shared" si="1492"/>
        <v>5.7547999999999995E-2</v>
      </c>
      <c r="J5631" s="160"/>
      <c r="K5631" s="161">
        <f t="shared" si="1493"/>
        <v>61164</v>
      </c>
      <c r="L5631" s="250">
        <v>1</v>
      </c>
      <c r="M5631" s="163"/>
      <c r="N5631" s="278"/>
      <c r="O5631" s="280">
        <f t="shared" si="1490"/>
        <v>0</v>
      </c>
      <c r="P5631" s="166"/>
      <c r="Q5631" s="166">
        <f t="shared" si="1491"/>
        <v>0</v>
      </c>
      <c r="R5631" s="71"/>
      <c r="S5631" s="61"/>
      <c r="T5631" s="71"/>
      <c r="U5631" s="61"/>
      <c r="V5631" s="61"/>
      <c r="W5631" s="61"/>
      <c r="X5631" s="61"/>
      <c r="Y5631" s="61"/>
      <c r="Z5631" s="61"/>
      <c r="AA5631" s="61"/>
      <c r="AB5631" s="61"/>
      <c r="AC5631" s="61"/>
      <c r="AD5631" s="61"/>
      <c r="AE5631" s="61"/>
      <c r="AF5631" s="61"/>
      <c r="AG5631" s="61"/>
      <c r="AH5631" s="61"/>
      <c r="AI5631" s="61"/>
      <c r="AJ5631" s="61"/>
      <c r="AK5631" s="61"/>
      <c r="AL5631" s="61"/>
      <c r="AM5631" s="61"/>
      <c r="AN5631" s="61"/>
      <c r="AO5631" s="61"/>
    </row>
    <row r="5632" spans="1:41" s="136" customFormat="1" ht="31.5" x14ac:dyDescent="0.25">
      <c r="A5632" s="358"/>
      <c r="B5632" s="361"/>
      <c r="C5632" s="373"/>
      <c r="D5632" s="156" t="s">
        <v>427</v>
      </c>
      <c r="E5632" s="156" t="s">
        <v>28</v>
      </c>
      <c r="F5632" s="156" t="s">
        <v>439</v>
      </c>
      <c r="G5632" s="238">
        <f t="shared" si="1489"/>
        <v>0</v>
      </c>
      <c r="H5632" s="158"/>
      <c r="I5632" s="159">
        <f t="shared" si="1492"/>
        <v>5.7547999999999995E-2</v>
      </c>
      <c r="J5632" s="160"/>
      <c r="K5632" s="161">
        <f t="shared" si="1493"/>
        <v>61164</v>
      </c>
      <c r="L5632" s="250">
        <v>1</v>
      </c>
      <c r="M5632" s="163"/>
      <c r="N5632" s="278"/>
      <c r="O5632" s="280">
        <f t="shared" si="1490"/>
        <v>0</v>
      </c>
      <c r="P5632" s="166"/>
      <c r="Q5632" s="166">
        <f t="shared" si="1491"/>
        <v>0</v>
      </c>
      <c r="R5632" s="71"/>
      <c r="S5632" s="61"/>
      <c r="T5632" s="71"/>
      <c r="U5632" s="61"/>
      <c r="V5632" s="61"/>
      <c r="W5632" s="61"/>
      <c r="X5632" s="61"/>
      <c r="Y5632" s="61"/>
      <c r="Z5632" s="61"/>
      <c r="AA5632" s="61"/>
      <c r="AB5632" s="61"/>
      <c r="AC5632" s="61"/>
      <c r="AD5632" s="61"/>
      <c r="AE5632" s="61"/>
      <c r="AF5632" s="61"/>
      <c r="AG5632" s="61"/>
      <c r="AH5632" s="61"/>
      <c r="AI5632" s="61"/>
      <c r="AJ5632" s="61"/>
      <c r="AK5632" s="61"/>
      <c r="AL5632" s="61"/>
      <c r="AM5632" s="61"/>
      <c r="AN5632" s="61"/>
      <c r="AO5632" s="61"/>
    </row>
    <row r="5633" spans="1:41" s="136" customFormat="1" ht="31.5" x14ac:dyDescent="0.25">
      <c r="A5633" s="358"/>
      <c r="B5633" s="361"/>
      <c r="C5633" s="373"/>
      <c r="D5633" s="156" t="s">
        <v>428</v>
      </c>
      <c r="E5633" s="156" t="s">
        <v>28</v>
      </c>
      <c r="F5633" s="156" t="s">
        <v>439</v>
      </c>
      <c r="G5633" s="238">
        <f t="shared" si="1489"/>
        <v>0</v>
      </c>
      <c r="H5633" s="158"/>
      <c r="I5633" s="159">
        <f t="shared" si="1492"/>
        <v>5.7547999999999995E-2</v>
      </c>
      <c r="J5633" s="160"/>
      <c r="K5633" s="161">
        <f t="shared" si="1493"/>
        <v>61164</v>
      </c>
      <c r="L5633" s="250">
        <v>1</v>
      </c>
      <c r="M5633" s="163"/>
      <c r="N5633" s="278"/>
      <c r="O5633" s="280">
        <f t="shared" si="1490"/>
        <v>0</v>
      </c>
      <c r="P5633" s="166"/>
      <c r="Q5633" s="166">
        <f t="shared" si="1491"/>
        <v>0</v>
      </c>
      <c r="R5633" s="71"/>
      <c r="S5633" s="61"/>
      <c r="T5633" s="71"/>
      <c r="U5633" s="61"/>
      <c r="V5633" s="61"/>
      <c r="W5633" s="61"/>
      <c r="X5633" s="61"/>
      <c r="Y5633" s="61"/>
      <c r="Z5633" s="61"/>
      <c r="AA5633" s="61"/>
      <c r="AB5633" s="61"/>
      <c r="AC5633" s="61"/>
      <c r="AD5633" s="61"/>
      <c r="AE5633" s="61"/>
      <c r="AF5633" s="61"/>
      <c r="AG5633" s="61"/>
      <c r="AH5633" s="61"/>
      <c r="AI5633" s="61"/>
      <c r="AJ5633" s="61"/>
      <c r="AK5633" s="61"/>
      <c r="AL5633" s="61"/>
      <c r="AM5633" s="61"/>
      <c r="AN5633" s="61"/>
      <c r="AO5633" s="61"/>
    </row>
    <row r="5634" spans="1:41" s="136" customFormat="1" ht="31.5" x14ac:dyDescent="0.25">
      <c r="A5634" s="358"/>
      <c r="B5634" s="361"/>
      <c r="C5634" s="373"/>
      <c r="D5634" s="156" t="s">
        <v>429</v>
      </c>
      <c r="E5634" s="156" t="s">
        <v>28</v>
      </c>
      <c r="F5634" s="156" t="s">
        <v>439</v>
      </c>
      <c r="G5634" s="238">
        <f t="shared" si="1489"/>
        <v>0</v>
      </c>
      <c r="H5634" s="158"/>
      <c r="I5634" s="159">
        <f t="shared" si="1492"/>
        <v>5.7547999999999995E-2</v>
      </c>
      <c r="J5634" s="160"/>
      <c r="K5634" s="161">
        <f t="shared" si="1493"/>
        <v>61164</v>
      </c>
      <c r="L5634" s="250">
        <v>1</v>
      </c>
      <c r="M5634" s="163"/>
      <c r="N5634" s="278"/>
      <c r="O5634" s="280">
        <f t="shared" si="1490"/>
        <v>0</v>
      </c>
      <c r="P5634" s="166"/>
      <c r="Q5634" s="166">
        <f t="shared" si="1491"/>
        <v>0</v>
      </c>
      <c r="R5634" s="71"/>
      <c r="S5634" s="61"/>
      <c r="T5634" s="71"/>
      <c r="U5634" s="61"/>
      <c r="V5634" s="61"/>
      <c r="W5634" s="61"/>
      <c r="X5634" s="61"/>
      <c r="Y5634" s="61"/>
      <c r="Z5634" s="61"/>
      <c r="AA5634" s="61"/>
      <c r="AB5634" s="61"/>
      <c r="AC5634" s="61"/>
      <c r="AD5634" s="61"/>
      <c r="AE5634" s="61"/>
      <c r="AF5634" s="61"/>
      <c r="AG5634" s="61"/>
      <c r="AH5634" s="61"/>
      <c r="AI5634" s="61"/>
      <c r="AJ5634" s="61"/>
      <c r="AK5634" s="61"/>
      <c r="AL5634" s="61"/>
      <c r="AM5634" s="61"/>
      <c r="AN5634" s="61"/>
      <c r="AO5634" s="61"/>
    </row>
    <row r="5635" spans="1:41" s="136" customFormat="1" ht="31.5" x14ac:dyDescent="0.25">
      <c r="A5635" s="358"/>
      <c r="B5635" s="361"/>
      <c r="C5635" s="373"/>
      <c r="D5635" s="156" t="s">
        <v>110</v>
      </c>
      <c r="E5635" s="156" t="s">
        <v>28</v>
      </c>
      <c r="F5635" s="156" t="s">
        <v>439</v>
      </c>
      <c r="G5635" s="238">
        <f t="shared" si="1489"/>
        <v>0</v>
      </c>
      <c r="H5635" s="158"/>
      <c r="I5635" s="159">
        <f t="shared" si="1492"/>
        <v>5.7547999999999995E-2</v>
      </c>
      <c r="J5635" s="160"/>
      <c r="K5635" s="161">
        <f t="shared" si="1493"/>
        <v>61164</v>
      </c>
      <c r="L5635" s="250">
        <v>1</v>
      </c>
      <c r="M5635" s="163"/>
      <c r="N5635" s="278"/>
      <c r="O5635" s="280">
        <f t="shared" si="1490"/>
        <v>0</v>
      </c>
      <c r="P5635" s="166"/>
      <c r="Q5635" s="166">
        <f t="shared" si="1491"/>
        <v>0</v>
      </c>
      <c r="R5635" s="71"/>
      <c r="S5635" s="61"/>
      <c r="T5635" s="71"/>
      <c r="U5635" s="61"/>
      <c r="V5635" s="61"/>
      <c r="W5635" s="61"/>
      <c r="X5635" s="61"/>
      <c r="Y5635" s="61"/>
      <c r="Z5635" s="61"/>
      <c r="AA5635" s="61"/>
      <c r="AB5635" s="61"/>
      <c r="AC5635" s="61"/>
      <c r="AD5635" s="61"/>
      <c r="AE5635" s="61"/>
      <c r="AF5635" s="61"/>
      <c r="AG5635" s="61"/>
      <c r="AH5635" s="61"/>
      <c r="AI5635" s="61"/>
      <c r="AJ5635" s="61"/>
      <c r="AK5635" s="61"/>
      <c r="AL5635" s="61"/>
      <c r="AM5635" s="61"/>
      <c r="AN5635" s="61"/>
      <c r="AO5635" s="61"/>
    </row>
    <row r="5636" spans="1:41" s="136" customFormat="1" ht="31.5" x14ac:dyDescent="0.25">
      <c r="A5636" s="358"/>
      <c r="B5636" s="361"/>
      <c r="C5636" s="373"/>
      <c r="D5636" s="156" t="s">
        <v>112</v>
      </c>
      <c r="E5636" s="156" t="s">
        <v>28</v>
      </c>
      <c r="F5636" s="156" t="s">
        <v>439</v>
      </c>
      <c r="G5636" s="238">
        <f t="shared" si="1489"/>
        <v>0</v>
      </c>
      <c r="H5636" s="158"/>
      <c r="I5636" s="159">
        <f t="shared" si="1492"/>
        <v>5.7547999999999995E-2</v>
      </c>
      <c r="J5636" s="160"/>
      <c r="K5636" s="161">
        <f t="shared" si="1493"/>
        <v>61164</v>
      </c>
      <c r="L5636" s="250">
        <v>1</v>
      </c>
      <c r="M5636" s="163"/>
      <c r="N5636" s="278"/>
      <c r="O5636" s="280">
        <f t="shared" si="1490"/>
        <v>0</v>
      </c>
      <c r="P5636" s="166"/>
      <c r="Q5636" s="166">
        <f t="shared" si="1491"/>
        <v>0</v>
      </c>
      <c r="R5636" s="71"/>
      <c r="S5636" s="61"/>
      <c r="T5636" s="71"/>
      <c r="U5636" s="61"/>
      <c r="V5636" s="61"/>
      <c r="W5636" s="61"/>
      <c r="X5636" s="61"/>
      <c r="Y5636" s="61"/>
      <c r="Z5636" s="61"/>
      <c r="AA5636" s="61"/>
      <c r="AB5636" s="61"/>
      <c r="AC5636" s="61"/>
      <c r="AD5636" s="61"/>
      <c r="AE5636" s="61"/>
      <c r="AF5636" s="61"/>
      <c r="AG5636" s="61"/>
      <c r="AH5636" s="61"/>
      <c r="AI5636" s="61"/>
      <c r="AJ5636" s="61"/>
      <c r="AK5636" s="61"/>
      <c r="AL5636" s="61"/>
      <c r="AM5636" s="61"/>
      <c r="AN5636" s="61"/>
      <c r="AO5636" s="61"/>
    </row>
    <row r="5637" spans="1:41" s="136" customFormat="1" ht="31.5" x14ac:dyDescent="0.25">
      <c r="A5637" s="358"/>
      <c r="B5637" s="361"/>
      <c r="C5637" s="373"/>
      <c r="D5637" s="156" t="s">
        <v>111</v>
      </c>
      <c r="E5637" s="156" t="s">
        <v>28</v>
      </c>
      <c r="F5637" s="156" t="s">
        <v>439</v>
      </c>
      <c r="G5637" s="238">
        <f t="shared" si="1489"/>
        <v>0</v>
      </c>
      <c r="H5637" s="158"/>
      <c r="I5637" s="159">
        <f t="shared" si="1492"/>
        <v>5.7547999999999995E-2</v>
      </c>
      <c r="J5637" s="160"/>
      <c r="K5637" s="161">
        <f t="shared" si="1493"/>
        <v>61164</v>
      </c>
      <c r="L5637" s="250">
        <v>1</v>
      </c>
      <c r="M5637" s="163"/>
      <c r="N5637" s="278"/>
      <c r="O5637" s="280">
        <f t="shared" si="1490"/>
        <v>0</v>
      </c>
      <c r="P5637" s="166"/>
      <c r="Q5637" s="166">
        <f t="shared" si="1491"/>
        <v>0</v>
      </c>
      <c r="R5637" s="71"/>
      <c r="S5637" s="61"/>
      <c r="T5637" s="71"/>
      <c r="U5637" s="61"/>
      <c r="V5637" s="61"/>
      <c r="W5637" s="61"/>
      <c r="X5637" s="61"/>
      <c r="Y5637" s="61"/>
      <c r="Z5637" s="61"/>
      <c r="AA5637" s="61"/>
      <c r="AB5637" s="61"/>
      <c r="AC5637" s="61"/>
      <c r="AD5637" s="61"/>
      <c r="AE5637" s="61"/>
      <c r="AF5637" s="61"/>
      <c r="AG5637" s="61"/>
      <c r="AH5637" s="61"/>
      <c r="AI5637" s="61"/>
      <c r="AJ5637" s="61"/>
      <c r="AK5637" s="61"/>
      <c r="AL5637" s="61"/>
      <c r="AM5637" s="61"/>
      <c r="AN5637" s="61"/>
      <c r="AO5637" s="61"/>
    </row>
    <row r="5638" spans="1:41" s="136" customFormat="1" ht="31.5" x14ac:dyDescent="0.25">
      <c r="A5638" s="358"/>
      <c r="B5638" s="361"/>
      <c r="C5638" s="374"/>
      <c r="D5638" s="156" t="s">
        <v>438</v>
      </c>
      <c r="E5638" s="156" t="s">
        <v>28</v>
      </c>
      <c r="F5638" s="156" t="s">
        <v>439</v>
      </c>
      <c r="G5638" s="238">
        <f t="shared" si="1489"/>
        <v>0</v>
      </c>
      <c r="H5638" s="158"/>
      <c r="I5638" s="159">
        <f t="shared" si="1492"/>
        <v>5.7547999999999995E-2</v>
      </c>
      <c r="J5638" s="160"/>
      <c r="K5638" s="161">
        <f t="shared" si="1493"/>
        <v>61164</v>
      </c>
      <c r="L5638" s="250">
        <v>1</v>
      </c>
      <c r="M5638" s="163"/>
      <c r="N5638" s="278"/>
      <c r="O5638" s="280">
        <f t="shared" si="1490"/>
        <v>0</v>
      </c>
      <c r="P5638" s="166"/>
      <c r="Q5638" s="166">
        <f t="shared" si="1491"/>
        <v>0</v>
      </c>
      <c r="R5638" s="71"/>
      <c r="S5638" s="61"/>
      <c r="T5638" s="71"/>
      <c r="U5638" s="61"/>
      <c r="V5638" s="61"/>
      <c r="W5638" s="61"/>
      <c r="X5638" s="61"/>
      <c r="Y5638" s="61"/>
      <c r="Z5638" s="61"/>
      <c r="AA5638" s="61"/>
      <c r="AB5638" s="61"/>
      <c r="AC5638" s="61"/>
      <c r="AD5638" s="61"/>
      <c r="AE5638" s="61"/>
      <c r="AF5638" s="61"/>
      <c r="AG5638" s="61"/>
      <c r="AH5638" s="61"/>
      <c r="AI5638" s="61"/>
      <c r="AJ5638" s="61"/>
      <c r="AK5638" s="61"/>
      <c r="AL5638" s="61"/>
      <c r="AM5638" s="61"/>
      <c r="AN5638" s="61"/>
      <c r="AO5638" s="61"/>
    </row>
    <row r="5639" spans="1:41" s="61" customFormat="1" x14ac:dyDescent="0.25">
      <c r="A5639" s="358"/>
      <c r="B5639" s="361"/>
      <c r="C5639" s="245" t="s">
        <v>299</v>
      </c>
      <c r="D5639" s="240"/>
      <c r="E5639" s="240"/>
      <c r="F5639" s="181"/>
      <c r="G5639" s="227"/>
      <c r="H5639" s="241"/>
      <c r="I5639" s="206"/>
      <c r="J5639" s="228"/>
      <c r="K5639" s="207"/>
      <c r="L5639" s="257"/>
      <c r="M5639" s="209"/>
      <c r="N5639" s="290"/>
      <c r="O5639" s="279">
        <f>SUM(O5629:O5638)</f>
        <v>0</v>
      </c>
      <c r="P5639" s="166"/>
      <c r="Q5639" s="166">
        <f>O5639*K5639</f>
        <v>0</v>
      </c>
      <c r="R5639" s="71"/>
    </row>
    <row r="5640" spans="1:41" s="61" customFormat="1" ht="47.25" x14ac:dyDescent="0.25">
      <c r="A5640" s="358"/>
      <c r="B5640" s="361"/>
      <c r="C5640" s="221" t="s">
        <v>434</v>
      </c>
      <c r="D5640" s="156" t="s">
        <v>436</v>
      </c>
      <c r="E5640" s="156" t="s">
        <v>28</v>
      </c>
      <c r="F5640" s="156" t="s">
        <v>437</v>
      </c>
      <c r="G5640" s="238">
        <f>MROUND(H5640*L5640*I5640/K5640,0.000000000001)</f>
        <v>2.4462887E-5</v>
      </c>
      <c r="H5640" s="242">
        <f>$H$2148</f>
        <v>26</v>
      </c>
      <c r="I5640" s="159">
        <f>I5638</f>
        <v>5.7547999999999995E-2</v>
      </c>
      <c r="J5640" s="160"/>
      <c r="K5640" s="161">
        <f>K5638</f>
        <v>61164</v>
      </c>
      <c r="L5640" s="162">
        <v>1</v>
      </c>
      <c r="M5640" s="163" t="str">
        <f>CONCATENATE(H5640," ",F5640,"*",I5640,"/",K5640,"чел.")</f>
        <v>26 огнетушителей (потребность учреждений) *0,057548/61164чел.</v>
      </c>
      <c r="N5640" s="164">
        <f>$N$5536</f>
        <v>2280.2800000000002</v>
      </c>
      <c r="O5640" s="165">
        <f>MROUND(G5640*N5640,0.000001)</f>
        <v>5.5781999999999998E-2</v>
      </c>
      <c r="P5640" s="166"/>
      <c r="Q5640" s="166">
        <f>O5640*K5640</f>
        <v>3411.8502479999997</v>
      </c>
      <c r="R5640" s="71"/>
    </row>
    <row r="5641" spans="1:41" s="61" customFormat="1" x14ac:dyDescent="0.25">
      <c r="A5641" s="358"/>
      <c r="B5641" s="361"/>
      <c r="C5641" s="218" t="s">
        <v>435</v>
      </c>
      <c r="D5641" s="240"/>
      <c r="E5641" s="240"/>
      <c r="F5641" s="240"/>
      <c r="G5641" s="251"/>
      <c r="H5641" s="241"/>
      <c r="I5641" s="206"/>
      <c r="J5641" s="228"/>
      <c r="K5641" s="207"/>
      <c r="L5641" s="229"/>
      <c r="M5641" s="209"/>
      <c r="N5641" s="210"/>
      <c r="O5641" s="198">
        <f>SUM(O5640)</f>
        <v>5.5781999999999998E-2</v>
      </c>
      <c r="P5641" s="166"/>
      <c r="Q5641" s="166"/>
      <c r="R5641" s="71"/>
    </row>
    <row r="5642" spans="1:41" s="61" customFormat="1" ht="110.25" x14ac:dyDescent="0.25">
      <c r="A5642" s="358"/>
      <c r="B5642" s="361"/>
      <c r="C5642" s="221" t="s">
        <v>82</v>
      </c>
      <c r="D5642" s="156" t="s">
        <v>46</v>
      </c>
      <c r="E5642" s="156" t="s">
        <v>54</v>
      </c>
      <c r="F5642" s="156" t="s">
        <v>285</v>
      </c>
      <c r="G5642" s="238">
        <f>MROUND(H5642*L5642*I5642/K5642,0.000000000001)</f>
        <v>2.3647169379999999E-3</v>
      </c>
      <c r="H5642" s="158">
        <f>H5538</f>
        <v>228.48206839032525</v>
      </c>
      <c r="I5642" s="291">
        <f>I5628</f>
        <v>5.7547999999999995E-2</v>
      </c>
      <c r="J5642" s="160"/>
      <c r="K5642" s="161">
        <f>K5628</f>
        <v>61164</v>
      </c>
      <c r="L5642" s="250">
        <f>$L$2150</f>
        <v>11</v>
      </c>
      <c r="M5642" s="163" t="str">
        <f>CONCATENATE(H5642," ",F5642,"*",L5642,"автобус","*",I5642,"/",K5642,"чел/час")</f>
        <v>228,482068390325 л бензина АИ 92 (12,5л/день(зимой)*20дней*7мес+10л/день(летом)*20дней*4мес)*11автобус*0,057548/61164чел/час</v>
      </c>
      <c r="N5642" s="278">
        <f>$N$5538</f>
        <v>57.007000000000005</v>
      </c>
      <c r="O5642" s="280">
        <f t="shared" ref="O5642:O5644" si="1494">MROUND(N5642*G5642,0.000001)</f>
        <v>0.13480499999999998</v>
      </c>
      <c r="P5642" s="166"/>
      <c r="Q5642" s="166">
        <f>O5642*K5642</f>
        <v>8245.2130199999992</v>
      </c>
      <c r="R5642" s="71"/>
    </row>
    <row r="5643" spans="1:41" s="61" customFormat="1" ht="47.25" x14ac:dyDescent="0.25">
      <c r="A5643" s="358"/>
      <c r="B5643" s="361"/>
      <c r="C5643" s="364" t="s">
        <v>118</v>
      </c>
      <c r="D5643" s="156" t="s">
        <v>47</v>
      </c>
      <c r="E5643" s="156" t="s">
        <v>28</v>
      </c>
      <c r="F5643" s="156" t="s">
        <v>239</v>
      </c>
      <c r="G5643" s="238">
        <f>MROUND(H5643*L5643*I5643/K5643,0.000000000001)</f>
        <v>1.8817605000000001E-5</v>
      </c>
      <c r="H5643" s="158">
        <f>H5539</f>
        <v>20</v>
      </c>
      <c r="I5643" s="159">
        <f>I5642</f>
        <v>5.7547999999999995E-2</v>
      </c>
      <c r="J5643" s="160"/>
      <c r="K5643" s="161">
        <f>K5642</f>
        <v>61164</v>
      </c>
      <c r="L5643" s="250">
        <v>1</v>
      </c>
      <c r="M5643" s="163" t="str">
        <f>CONCATENATE(H5643," ",F5643,"*",I5643,"/",K5643,"чел/час")</f>
        <v>20 манометров (потребность учреждений) *0,057548/61164чел/час</v>
      </c>
      <c r="N5643" s="278">
        <f>N5539</f>
        <v>679.9</v>
      </c>
      <c r="O5643" s="280">
        <f t="shared" si="1494"/>
        <v>1.2794E-2</v>
      </c>
      <c r="P5643" s="166"/>
      <c r="Q5643" s="166">
        <f>O5643*K5643</f>
        <v>782.53221599999995</v>
      </c>
      <c r="R5643" s="71"/>
    </row>
    <row r="5644" spans="1:41" s="61" customFormat="1" ht="47.25" x14ac:dyDescent="0.25">
      <c r="A5644" s="358"/>
      <c r="B5644" s="361"/>
      <c r="C5644" s="364"/>
      <c r="D5644" s="255" t="s">
        <v>113</v>
      </c>
      <c r="E5644" s="156" t="s">
        <v>28</v>
      </c>
      <c r="F5644" s="156" t="s">
        <v>240</v>
      </c>
      <c r="G5644" s="238">
        <f>MROUND(H5644*L5644*I5644/K5644,0.000000000001)</f>
        <v>9.4088026000000002E-5</v>
      </c>
      <c r="H5644" s="158">
        <v>100</v>
      </c>
      <c r="I5644" s="159">
        <f>I5643</f>
        <v>5.7547999999999995E-2</v>
      </c>
      <c r="J5644" s="160"/>
      <c r="K5644" s="161">
        <f>K5643</f>
        <v>61164</v>
      </c>
      <c r="L5644" s="250">
        <v>1</v>
      </c>
      <c r="M5644" s="163" t="str">
        <f>CONCATENATE(H5644," ",F5644,"*",I5644,"/",K5644,"чел/час")</f>
        <v>100 светильников (потребность учреждений)*0,057548/61164чел/час</v>
      </c>
      <c r="N5644" s="278">
        <f>N5540</f>
        <v>111.1635</v>
      </c>
      <c r="O5644" s="280">
        <f t="shared" si="1494"/>
        <v>1.0459E-2</v>
      </c>
      <c r="P5644" s="166"/>
      <c r="Q5644" s="166">
        <f>O5644*K5644</f>
        <v>639.71427599999993</v>
      </c>
      <c r="R5644" s="71"/>
    </row>
    <row r="5645" spans="1:41" s="109" customFormat="1" x14ac:dyDescent="0.25">
      <c r="A5645" s="359"/>
      <c r="B5645" s="362"/>
      <c r="C5645" s="218" t="s">
        <v>301</v>
      </c>
      <c r="D5645" s="256"/>
      <c r="E5645" s="240"/>
      <c r="F5645" s="240"/>
      <c r="G5645" s="227"/>
      <c r="H5645" s="241"/>
      <c r="I5645" s="206"/>
      <c r="J5645" s="228"/>
      <c r="K5645" s="207"/>
      <c r="L5645" s="257"/>
      <c r="M5645" s="209"/>
      <c r="N5645" s="281"/>
      <c r="O5645" s="279">
        <f>O5643+O5644</f>
        <v>2.3252999999999999E-2</v>
      </c>
      <c r="P5645" s="267"/>
      <c r="Q5645" s="166"/>
      <c r="R5645" s="71"/>
      <c r="S5645" s="62"/>
      <c r="T5645" s="62"/>
      <c r="U5645" s="62"/>
      <c r="V5645" s="62"/>
      <c r="W5645" s="62"/>
      <c r="X5645" s="62"/>
      <c r="Y5645" s="62"/>
      <c r="Z5645" s="62"/>
      <c r="AA5645" s="62"/>
      <c r="AB5645" s="62"/>
      <c r="AC5645" s="62"/>
      <c r="AD5645" s="62"/>
      <c r="AE5645" s="62"/>
      <c r="AF5645" s="62"/>
      <c r="AG5645" s="62"/>
      <c r="AH5645" s="62"/>
      <c r="AI5645" s="62"/>
      <c r="AJ5645" s="62"/>
      <c r="AK5645" s="62"/>
      <c r="AL5645" s="62"/>
      <c r="AM5645" s="62"/>
      <c r="AN5645" s="62"/>
      <c r="AO5645" s="62"/>
    </row>
    <row r="5646" spans="1:41" s="108" customFormat="1" x14ac:dyDescent="0.25">
      <c r="A5646" s="357" t="str">
        <f>школы!$B$34</f>
        <v>Реализация дополнительных общеразвивающих программ (художественная направленность)</v>
      </c>
      <c r="B5646" s="360" t="str">
        <f>школы!$A$34</f>
        <v>801012О.99.0.ББ57АЕ76000</v>
      </c>
      <c r="C5646" s="194"/>
      <c r="D5646" s="363" t="s">
        <v>15</v>
      </c>
      <c r="E5646" s="363"/>
      <c r="F5646" s="363"/>
      <c r="G5646" s="363"/>
      <c r="H5646" s="195"/>
      <c r="I5646" s="195"/>
      <c r="J5646" s="195"/>
      <c r="K5646" s="195"/>
      <c r="L5646" s="196"/>
      <c r="M5646" s="197"/>
      <c r="N5646" s="278"/>
      <c r="O5646" s="279">
        <f>O5647+O5652</f>
        <v>133.97852070547998</v>
      </c>
      <c r="P5646" s="166"/>
      <c r="Q5646" s="166">
        <f>O5646*K5646</f>
        <v>0</v>
      </c>
      <c r="R5646" s="71"/>
      <c r="S5646" s="61"/>
      <c r="T5646" s="61"/>
      <c r="U5646" s="61"/>
      <c r="V5646" s="61"/>
      <c r="W5646" s="61"/>
      <c r="X5646" s="61"/>
      <c r="Y5646" s="61"/>
      <c r="Z5646" s="61"/>
      <c r="AA5646" s="61"/>
      <c r="AB5646" s="61"/>
      <c r="AC5646" s="61"/>
      <c r="AD5646" s="61"/>
      <c r="AE5646" s="61"/>
      <c r="AF5646" s="61"/>
      <c r="AG5646" s="61"/>
      <c r="AH5646" s="61"/>
      <c r="AI5646" s="61"/>
      <c r="AJ5646" s="61"/>
      <c r="AK5646" s="61"/>
      <c r="AL5646" s="61"/>
      <c r="AM5646" s="61"/>
      <c r="AN5646" s="61"/>
      <c r="AO5646" s="61"/>
    </row>
    <row r="5647" spans="1:41" s="108" customFormat="1" x14ac:dyDescent="0.25">
      <c r="A5647" s="358"/>
      <c r="B5647" s="361"/>
      <c r="C5647" s="194"/>
      <c r="D5647" s="350" t="s">
        <v>62</v>
      </c>
      <c r="E5647" s="350"/>
      <c r="F5647" s="350"/>
      <c r="G5647" s="350"/>
      <c r="H5647" s="195"/>
      <c r="I5647" s="195"/>
      <c r="J5647" s="195"/>
      <c r="K5647" s="195"/>
      <c r="L5647" s="196"/>
      <c r="M5647" s="197"/>
      <c r="N5647" s="278"/>
      <c r="O5647" s="279">
        <f>O5648+O5650</f>
        <v>133.14481070547998</v>
      </c>
      <c r="P5647" s="166"/>
      <c r="Q5647" s="166">
        <f>O5647*K5647</f>
        <v>0</v>
      </c>
      <c r="R5647" s="71"/>
      <c r="S5647" s="61"/>
      <c r="T5647" s="61"/>
      <c r="U5647" s="61"/>
      <c r="V5647" s="61"/>
      <c r="W5647" s="61"/>
      <c r="X5647" s="61"/>
      <c r="Y5647" s="61"/>
      <c r="Z5647" s="61"/>
      <c r="AA5647" s="61"/>
      <c r="AB5647" s="61"/>
      <c r="AC5647" s="61"/>
      <c r="AD5647" s="61"/>
      <c r="AE5647" s="61"/>
      <c r="AF5647" s="61"/>
      <c r="AG5647" s="61"/>
      <c r="AH5647" s="61"/>
      <c r="AI5647" s="61"/>
      <c r="AJ5647" s="61"/>
      <c r="AK5647" s="61"/>
      <c r="AL5647" s="61"/>
      <c r="AM5647" s="61"/>
      <c r="AN5647" s="61"/>
      <c r="AO5647" s="61"/>
    </row>
    <row r="5648" spans="1:41" s="61" customFormat="1" ht="31.5" x14ac:dyDescent="0.25">
      <c r="A5648" s="358"/>
      <c r="B5648" s="361"/>
      <c r="C5648" s="194">
        <v>211</v>
      </c>
      <c r="D5648" s="194" t="s">
        <v>86</v>
      </c>
      <c r="E5648" s="199" t="s">
        <v>95</v>
      </c>
      <c r="F5648" s="199" t="s">
        <v>95</v>
      </c>
      <c r="G5648" s="238">
        <f>MROUND(H5648*L5648*I5648/K5648,0.000000000001)</f>
        <v>4.3144549669999997E-3</v>
      </c>
      <c r="H5648" s="201">
        <f>H5440</f>
        <v>368.4</v>
      </c>
      <c r="I5648" s="159">
        <f>школы!$K$34</f>
        <v>0.36996099999999998</v>
      </c>
      <c r="J5648" s="159"/>
      <c r="K5648" s="161">
        <f>школы!$G$34</f>
        <v>379080</v>
      </c>
      <c r="L5648" s="202">
        <v>12</v>
      </c>
      <c r="M5648" s="163" t="str">
        <f>CONCATENATE(H5648," ",F5648," ","в мес.","*",L5648,"мес.","*",I5648,"/",K5648,"чел/час")</f>
        <v>368,4 шт.ед в мес.*12мес.*0,369961/379080чел/час</v>
      </c>
      <c r="N5648" s="278">
        <f>N5440</f>
        <v>23702.349798678973</v>
      </c>
      <c r="O5648" s="280">
        <f>MROUND(N5648*G5648,0.00000000001)-0.0009</f>
        <v>102.26182081847999</v>
      </c>
      <c r="P5648" s="166"/>
      <c r="Q5648" s="166">
        <f>O5648*K5648</f>
        <v>38765411.035869397</v>
      </c>
      <c r="R5648" s="71"/>
    </row>
    <row r="5649" spans="1:41" s="109" customFormat="1" x14ac:dyDescent="0.25">
      <c r="A5649" s="358"/>
      <c r="B5649" s="361"/>
      <c r="C5649" s="203" t="s">
        <v>288</v>
      </c>
      <c r="D5649" s="203"/>
      <c r="E5649" s="204"/>
      <c r="F5649" s="204"/>
      <c r="G5649" s="205"/>
      <c r="H5649" s="206"/>
      <c r="I5649" s="206"/>
      <c r="J5649" s="206"/>
      <c r="K5649" s="207"/>
      <c r="L5649" s="208"/>
      <c r="M5649" s="209"/>
      <c r="N5649" s="281"/>
      <c r="O5649" s="279">
        <f>O5648</f>
        <v>102.26182081847999</v>
      </c>
      <c r="P5649" s="267"/>
      <c r="Q5649" s="166"/>
      <c r="R5649" s="71"/>
      <c r="S5649" s="62"/>
      <c r="T5649" s="62"/>
      <c r="U5649" s="62"/>
      <c r="V5649" s="62"/>
      <c r="W5649" s="62"/>
      <c r="X5649" s="62"/>
      <c r="Y5649" s="62"/>
      <c r="Z5649" s="62"/>
      <c r="AA5649" s="62"/>
      <c r="AB5649" s="62"/>
      <c r="AC5649" s="62"/>
      <c r="AD5649" s="62"/>
      <c r="AE5649" s="62"/>
      <c r="AF5649" s="62"/>
      <c r="AG5649" s="62"/>
      <c r="AH5649" s="62"/>
      <c r="AI5649" s="62"/>
      <c r="AJ5649" s="62"/>
      <c r="AK5649" s="62"/>
      <c r="AL5649" s="62"/>
      <c r="AM5649" s="62"/>
      <c r="AN5649" s="62"/>
      <c r="AO5649" s="62"/>
    </row>
    <row r="5650" spans="1:41" s="61" customFormat="1" x14ac:dyDescent="0.25">
      <c r="A5650" s="358"/>
      <c r="B5650" s="361"/>
      <c r="C5650" s="194">
        <v>213</v>
      </c>
      <c r="D5650" s="194" t="s">
        <v>87</v>
      </c>
      <c r="E5650" s="194" t="s">
        <v>88</v>
      </c>
      <c r="F5650" s="194"/>
      <c r="G5650" s="211">
        <v>30.2</v>
      </c>
      <c r="H5650" s="159"/>
      <c r="I5650" s="282">
        <f>I5648</f>
        <v>0.36996099999999998</v>
      </c>
      <c r="J5650" s="159"/>
      <c r="K5650" s="161">
        <f>K5648</f>
        <v>379080</v>
      </c>
      <c r="L5650" s="202"/>
      <c r="M5650" s="212"/>
      <c r="N5650" s="278"/>
      <c r="O5650" s="280">
        <f>MROUND(O5648*0.302,0.000000001)-0.00008</f>
        <v>30.882989887000001</v>
      </c>
      <c r="P5650" s="166"/>
      <c r="Q5650" s="166">
        <f>O5650*K5650</f>
        <v>11707123.806363961</v>
      </c>
      <c r="R5650" s="71"/>
    </row>
    <row r="5651" spans="1:41" s="109" customFormat="1" x14ac:dyDescent="0.25">
      <c r="A5651" s="358"/>
      <c r="B5651" s="361"/>
      <c r="C5651" s="203" t="s">
        <v>289</v>
      </c>
      <c r="D5651" s="203"/>
      <c r="E5651" s="203"/>
      <c r="F5651" s="203"/>
      <c r="G5651" s="213"/>
      <c r="H5651" s="214"/>
      <c r="I5651" s="206"/>
      <c r="J5651" s="214"/>
      <c r="K5651" s="207"/>
      <c r="L5651" s="215"/>
      <c r="M5651" s="216"/>
      <c r="N5651" s="281"/>
      <c r="O5651" s="279">
        <f>O5650</f>
        <v>30.882989887000001</v>
      </c>
      <c r="P5651" s="267"/>
      <c r="Q5651" s="166">
        <f>O5651*K5651</f>
        <v>0</v>
      </c>
      <c r="R5651" s="71"/>
      <c r="S5651" s="62"/>
      <c r="T5651" s="62"/>
      <c r="U5651" s="62"/>
      <c r="V5651" s="62"/>
      <c r="W5651" s="62"/>
      <c r="X5651" s="62"/>
      <c r="Y5651" s="62"/>
      <c r="Z5651" s="62"/>
      <c r="AA5651" s="62"/>
      <c r="AB5651" s="62"/>
      <c r="AC5651" s="62"/>
      <c r="AD5651" s="62"/>
      <c r="AE5651" s="62"/>
      <c r="AF5651" s="62"/>
      <c r="AG5651" s="62"/>
      <c r="AH5651" s="62"/>
      <c r="AI5651" s="62"/>
      <c r="AJ5651" s="62"/>
      <c r="AK5651" s="62"/>
      <c r="AL5651" s="62"/>
      <c r="AM5651" s="62"/>
      <c r="AN5651" s="62"/>
      <c r="AO5651" s="62"/>
    </row>
    <row r="5652" spans="1:41" s="108" customFormat="1" x14ac:dyDescent="0.25">
      <c r="A5652" s="358"/>
      <c r="B5652" s="361"/>
      <c r="C5652" s="194"/>
      <c r="D5652" s="356" t="s">
        <v>63</v>
      </c>
      <c r="E5652" s="356"/>
      <c r="F5652" s="356"/>
      <c r="G5652" s="356"/>
      <c r="H5652" s="195"/>
      <c r="I5652" s="159"/>
      <c r="J5652" s="195"/>
      <c r="K5652" s="161"/>
      <c r="L5652" s="196"/>
      <c r="M5652" s="197"/>
      <c r="N5652" s="278"/>
      <c r="O5652" s="280">
        <f>O5653</f>
        <v>0.83370999999999995</v>
      </c>
      <c r="P5652" s="166"/>
      <c r="Q5652" s="166">
        <f>O5652*K5652</f>
        <v>0</v>
      </c>
      <c r="R5652" s="71"/>
      <c r="S5652" s="61"/>
      <c r="T5652" s="61"/>
      <c r="U5652" s="61"/>
      <c r="V5652" s="61"/>
      <c r="W5652" s="61"/>
      <c r="X5652" s="61"/>
      <c r="Y5652" s="61"/>
      <c r="Z5652" s="61"/>
      <c r="AA5652" s="61"/>
      <c r="AB5652" s="61"/>
      <c r="AC5652" s="61"/>
      <c r="AD5652" s="61"/>
      <c r="AE5652" s="61"/>
      <c r="AF5652" s="61"/>
      <c r="AG5652" s="61"/>
      <c r="AH5652" s="61"/>
      <c r="AI5652" s="61"/>
      <c r="AJ5652" s="61"/>
      <c r="AK5652" s="61"/>
      <c r="AL5652" s="61"/>
      <c r="AM5652" s="61"/>
      <c r="AN5652" s="61"/>
      <c r="AO5652" s="61"/>
    </row>
    <row r="5653" spans="1:41" s="61" customFormat="1" x14ac:dyDescent="0.25">
      <c r="A5653" s="358"/>
      <c r="B5653" s="361"/>
      <c r="C5653" s="194" t="s">
        <v>118</v>
      </c>
      <c r="D5653" s="194" t="s">
        <v>259</v>
      </c>
      <c r="E5653" s="194" t="s">
        <v>260</v>
      </c>
      <c r="F5653" s="194" t="s">
        <v>261</v>
      </c>
      <c r="G5653" s="238">
        <f>MROUND(H5653*L5653*I5653/K5653,0.000000000001)</f>
        <v>1.1828446029999999E-3</v>
      </c>
      <c r="H5653" s="283">
        <f>H5445</f>
        <v>1212</v>
      </c>
      <c r="I5653" s="282">
        <f>I5650</f>
        <v>0.36996099999999998</v>
      </c>
      <c r="J5653" s="195"/>
      <c r="K5653" s="161">
        <f>K5650</f>
        <v>379080</v>
      </c>
      <c r="L5653" s="196">
        <v>1</v>
      </c>
      <c r="M5653" s="163" t="str">
        <f>CONCATENATE(H5653," ",F5653,"*",I5653,"/",K5653,"чел/час")</f>
        <v>1212 упаковок*0,369961/379080чел/час</v>
      </c>
      <c r="N5653" s="278">
        <f>N5445</f>
        <v>704.83454620462044</v>
      </c>
      <c r="O5653" s="280">
        <f>MROUND(N5653*G5653,0.000001)</f>
        <v>0.83370999999999995</v>
      </c>
      <c r="P5653" s="166"/>
      <c r="Q5653" s="166">
        <f>O5653*K5653</f>
        <v>316042.7868</v>
      </c>
      <c r="R5653" s="71"/>
    </row>
    <row r="5654" spans="1:41" s="109" customFormat="1" x14ac:dyDescent="0.25">
      <c r="A5654" s="358"/>
      <c r="B5654" s="361"/>
      <c r="C5654" s="203" t="s">
        <v>301</v>
      </c>
      <c r="D5654" s="203"/>
      <c r="E5654" s="203"/>
      <c r="F5654" s="203"/>
      <c r="G5654" s="227"/>
      <c r="H5654" s="214"/>
      <c r="I5654" s="206"/>
      <c r="J5654" s="214"/>
      <c r="K5654" s="207"/>
      <c r="L5654" s="215"/>
      <c r="M5654" s="209"/>
      <c r="N5654" s="281"/>
      <c r="O5654" s="279">
        <f>O5652+O5653</f>
        <v>1.6674199999999999</v>
      </c>
      <c r="P5654" s="267"/>
      <c r="Q5654" s="166"/>
      <c r="R5654" s="71"/>
      <c r="S5654" s="62"/>
      <c r="T5654" s="62"/>
      <c r="U5654" s="62"/>
      <c r="V5654" s="62"/>
      <c r="W5654" s="62"/>
      <c r="X5654" s="62"/>
      <c r="Y5654" s="62"/>
      <c r="Z5654" s="62"/>
      <c r="AA5654" s="62"/>
      <c r="AB5654" s="62"/>
      <c r="AC5654" s="62"/>
      <c r="AD5654" s="62"/>
      <c r="AE5654" s="62"/>
      <c r="AF5654" s="62"/>
      <c r="AG5654" s="62"/>
      <c r="AH5654" s="62"/>
      <c r="AI5654" s="62"/>
      <c r="AJ5654" s="62"/>
      <c r="AK5654" s="62"/>
      <c r="AL5654" s="62"/>
      <c r="AM5654" s="62"/>
      <c r="AN5654" s="62"/>
      <c r="AO5654" s="62"/>
    </row>
    <row r="5655" spans="1:41" s="108" customFormat="1" x14ac:dyDescent="0.25">
      <c r="A5655" s="358"/>
      <c r="B5655" s="361"/>
      <c r="C5655" s="194"/>
      <c r="D5655" s="350" t="s">
        <v>64</v>
      </c>
      <c r="E5655" s="350"/>
      <c r="F5655" s="350"/>
      <c r="G5655" s="350"/>
      <c r="H5655" s="195"/>
      <c r="I5655" s="159"/>
      <c r="J5655" s="195"/>
      <c r="K5655" s="161"/>
      <c r="L5655" s="196"/>
      <c r="M5655" s="197"/>
      <c r="N5655" s="278"/>
      <c r="O5655" s="280"/>
      <c r="P5655" s="166"/>
      <c r="Q5655" s="166">
        <f t="shared" ref="Q5655:Q5665" si="1495">O5655*K5655</f>
        <v>0</v>
      </c>
      <c r="R5655" s="71"/>
      <c r="S5655" s="61"/>
      <c r="T5655" s="61"/>
      <c r="U5655" s="61"/>
      <c r="V5655" s="61"/>
      <c r="W5655" s="61"/>
      <c r="X5655" s="61"/>
      <c r="Y5655" s="61"/>
      <c r="Z5655" s="61"/>
      <c r="AA5655" s="61"/>
      <c r="AB5655" s="61"/>
      <c r="AC5655" s="61"/>
      <c r="AD5655" s="61"/>
      <c r="AE5655" s="61"/>
      <c r="AF5655" s="61"/>
      <c r="AG5655" s="61"/>
      <c r="AH5655" s="61"/>
      <c r="AI5655" s="61"/>
      <c r="AJ5655" s="61"/>
      <c r="AK5655" s="61"/>
      <c r="AL5655" s="61"/>
      <c r="AM5655" s="61"/>
      <c r="AN5655" s="61"/>
      <c r="AO5655" s="61"/>
    </row>
    <row r="5656" spans="1:41" s="108" customFormat="1" x14ac:dyDescent="0.25">
      <c r="A5656" s="358"/>
      <c r="B5656" s="361"/>
      <c r="C5656" s="194"/>
      <c r="D5656" s="194"/>
      <c r="E5656" s="194"/>
      <c r="F5656" s="194"/>
      <c r="G5656" s="217"/>
      <c r="H5656" s="195"/>
      <c r="I5656" s="159"/>
      <c r="J5656" s="195"/>
      <c r="K5656" s="161"/>
      <c r="L5656" s="196"/>
      <c r="M5656" s="197"/>
      <c r="N5656" s="278"/>
      <c r="O5656" s="280"/>
      <c r="P5656" s="166"/>
      <c r="Q5656" s="166">
        <f t="shared" si="1495"/>
        <v>0</v>
      </c>
      <c r="R5656" s="71"/>
      <c r="S5656" s="61"/>
      <c r="T5656" s="61"/>
      <c r="U5656" s="61"/>
      <c r="V5656" s="61"/>
      <c r="W5656" s="61"/>
      <c r="X5656" s="61"/>
      <c r="Y5656" s="61"/>
      <c r="Z5656" s="61"/>
      <c r="AA5656" s="61"/>
      <c r="AB5656" s="61"/>
      <c r="AC5656" s="61"/>
      <c r="AD5656" s="61"/>
      <c r="AE5656" s="61"/>
      <c r="AF5656" s="61"/>
      <c r="AG5656" s="61"/>
      <c r="AH5656" s="61"/>
      <c r="AI5656" s="61"/>
      <c r="AJ5656" s="61"/>
      <c r="AK5656" s="61"/>
      <c r="AL5656" s="61"/>
      <c r="AM5656" s="61"/>
      <c r="AN5656" s="61"/>
      <c r="AO5656" s="61"/>
    </row>
    <row r="5657" spans="1:41" s="108" customFormat="1" x14ac:dyDescent="0.25">
      <c r="A5657" s="358"/>
      <c r="B5657" s="361"/>
      <c r="C5657" s="194"/>
      <c r="D5657" s="355" t="s">
        <v>5</v>
      </c>
      <c r="E5657" s="355"/>
      <c r="F5657" s="355"/>
      <c r="G5657" s="355"/>
      <c r="H5657" s="195"/>
      <c r="I5657" s="159"/>
      <c r="J5657" s="195"/>
      <c r="K5657" s="161"/>
      <c r="L5657" s="196"/>
      <c r="M5657" s="197"/>
      <c r="N5657" s="278"/>
      <c r="O5657" s="279">
        <f>O5658+O5667+O5678+O5680+O5691+O5687</f>
        <v>33.364200721000003</v>
      </c>
      <c r="P5657" s="166"/>
      <c r="Q5657" s="166">
        <f t="shared" si="1495"/>
        <v>0</v>
      </c>
      <c r="R5657" s="71"/>
      <c r="S5657" s="61"/>
      <c r="T5657" s="61"/>
      <c r="U5657" s="61"/>
      <c r="V5657" s="61"/>
      <c r="W5657" s="61"/>
      <c r="X5657" s="61"/>
      <c r="Y5657" s="61"/>
      <c r="Z5657" s="61"/>
      <c r="AA5657" s="61"/>
      <c r="AB5657" s="61"/>
      <c r="AC5657" s="61"/>
      <c r="AD5657" s="61"/>
      <c r="AE5657" s="61"/>
      <c r="AF5657" s="61"/>
      <c r="AG5657" s="61"/>
      <c r="AH5657" s="61"/>
      <c r="AI5657" s="61"/>
      <c r="AJ5657" s="61"/>
      <c r="AK5657" s="61"/>
      <c r="AL5657" s="61"/>
      <c r="AM5657" s="61"/>
      <c r="AN5657" s="61"/>
      <c r="AO5657" s="61"/>
    </row>
    <row r="5658" spans="1:41" s="108" customFormat="1" x14ac:dyDescent="0.25">
      <c r="A5658" s="358"/>
      <c r="B5658" s="361"/>
      <c r="C5658" s="221" t="s">
        <v>70</v>
      </c>
      <c r="D5658" s="355" t="s">
        <v>6</v>
      </c>
      <c r="E5658" s="355"/>
      <c r="F5658" s="355"/>
      <c r="G5658" s="355"/>
      <c r="H5658" s="189"/>
      <c r="I5658" s="159"/>
      <c r="J5658" s="189"/>
      <c r="K5658" s="161"/>
      <c r="L5658" s="190"/>
      <c r="M5658" s="197"/>
      <c r="N5658" s="278"/>
      <c r="O5658" s="279">
        <f>O5659+O5660+O5661+O5662+O5663+O5664+O5665</f>
        <v>6.2403269999999997</v>
      </c>
      <c r="P5658" s="166"/>
      <c r="Q5658" s="166">
        <f t="shared" si="1495"/>
        <v>0</v>
      </c>
      <c r="R5658" s="71"/>
      <c r="S5658" s="61"/>
      <c r="T5658" s="61"/>
      <c r="U5658" s="61"/>
      <c r="V5658" s="61"/>
      <c r="W5658" s="61"/>
      <c r="X5658" s="61"/>
      <c r="Y5658" s="61"/>
      <c r="Z5658" s="61"/>
      <c r="AA5658" s="61"/>
      <c r="AB5658" s="61"/>
      <c r="AC5658" s="61"/>
      <c r="AD5658" s="61"/>
      <c r="AE5658" s="61"/>
      <c r="AF5658" s="61"/>
      <c r="AG5658" s="61"/>
      <c r="AH5658" s="61"/>
      <c r="AI5658" s="61"/>
      <c r="AJ5658" s="61"/>
      <c r="AK5658" s="61"/>
      <c r="AL5658" s="61"/>
      <c r="AM5658" s="61"/>
      <c r="AN5658" s="61"/>
      <c r="AO5658" s="61"/>
    </row>
    <row r="5659" spans="1:41" s="61" customFormat="1" ht="31.5" x14ac:dyDescent="0.25">
      <c r="A5659" s="358"/>
      <c r="B5659" s="361"/>
      <c r="C5659" s="221" t="s">
        <v>72</v>
      </c>
      <c r="D5659" s="222" t="s">
        <v>7</v>
      </c>
      <c r="E5659" s="223" t="s">
        <v>8</v>
      </c>
      <c r="F5659" s="223" t="s">
        <v>8</v>
      </c>
      <c r="G5659" s="238">
        <f>MROUND(H5659*L5659*I5659/K5659,0.000000000001)</f>
        <v>0.11034040668299999</v>
      </c>
      <c r="H5659" s="160">
        <f>H5451</f>
        <v>113060.13705633247</v>
      </c>
      <c r="I5659" s="282">
        <f>I5653</f>
        <v>0.36996099999999998</v>
      </c>
      <c r="J5659" s="160"/>
      <c r="K5659" s="161">
        <f>K5653</f>
        <v>379080</v>
      </c>
      <c r="L5659" s="250">
        <v>1</v>
      </c>
      <c r="M5659" s="163" t="str">
        <f>CONCATENATE(H5659," ",F5659,"(лимиты выделенные УЖКХ) ","*",I5659,"/",K5659,"чел/час")</f>
        <v>113060,137056332 кВт час.(лимиты выделенные УЖКХ) *0,369961/379080чел/час</v>
      </c>
      <c r="N5659" s="278">
        <f>N5451</f>
        <v>10.942938264647223</v>
      </c>
      <c r="O5659" s="280">
        <f>MROUND(N5659*G5659,0.000001)</f>
        <v>1.2074479999999999</v>
      </c>
      <c r="P5659" s="166"/>
      <c r="Q5659" s="166">
        <f t="shared" si="1495"/>
        <v>457719.38783999992</v>
      </c>
      <c r="R5659" s="71"/>
    </row>
    <row r="5660" spans="1:41" s="61" customFormat="1" ht="31.5" x14ac:dyDescent="0.25">
      <c r="A5660" s="358"/>
      <c r="B5660" s="361"/>
      <c r="C5660" s="221" t="s">
        <v>73</v>
      </c>
      <c r="D5660" s="222" t="s">
        <v>9</v>
      </c>
      <c r="E5660" s="223" t="s">
        <v>10</v>
      </c>
      <c r="F5660" s="223" t="s">
        <v>10</v>
      </c>
      <c r="G5660" s="238">
        <f t="shared" ref="G5660:G5665" si="1496">MROUND(H5660*L5660*I5660/K5660,0.000000000001)</f>
        <v>1.3604664819999999E-3</v>
      </c>
      <c r="H5660" s="160">
        <f>H5452</f>
        <v>1394</v>
      </c>
      <c r="I5660" s="159">
        <f t="shared" ref="I5660:I5665" si="1497">I5659</f>
        <v>0.36996099999999998</v>
      </c>
      <c r="J5660" s="160"/>
      <c r="K5660" s="161">
        <f t="shared" ref="K5660:K5665" si="1498">K5659</f>
        <v>379080</v>
      </c>
      <c r="L5660" s="250">
        <v>1</v>
      </c>
      <c r="M5660" s="163" t="str">
        <f>CONCATENATE(H5660," ",F5660,"(лимиты выделенные УЖКХ) ","*",I5660,"/",K5660,"чел/час")</f>
        <v>1394 Гкал(лимиты выделенные УЖКХ) *0,369961/379080чел/час</v>
      </c>
      <c r="N5660" s="278">
        <f>N5556</f>
        <v>2976.2517790530851</v>
      </c>
      <c r="O5660" s="280">
        <f t="shared" ref="O5660:O5665" si="1499">MROUND(N5660*G5660,0.000001)</f>
        <v>4.0490909999999998</v>
      </c>
      <c r="P5660" s="166"/>
      <c r="Q5660" s="166">
        <f t="shared" si="1495"/>
        <v>1534929.41628</v>
      </c>
      <c r="R5660" s="71"/>
    </row>
    <row r="5661" spans="1:41" s="61" customFormat="1" ht="31.5" x14ac:dyDescent="0.25">
      <c r="A5661" s="358"/>
      <c r="B5661" s="361"/>
      <c r="C5661" s="364" t="s">
        <v>74</v>
      </c>
      <c r="D5661" s="222" t="s">
        <v>12</v>
      </c>
      <c r="E5661" s="222" t="s">
        <v>11</v>
      </c>
      <c r="F5661" s="222" t="s">
        <v>11</v>
      </c>
      <c r="G5661" s="238">
        <f t="shared" si="1496"/>
        <v>3.943898641E-3</v>
      </c>
      <c r="H5661" s="224">
        <f>H5453</f>
        <v>4041.1099999999997</v>
      </c>
      <c r="I5661" s="159">
        <f t="shared" si="1497"/>
        <v>0.36996099999999998</v>
      </c>
      <c r="J5661" s="160"/>
      <c r="K5661" s="161">
        <f t="shared" si="1498"/>
        <v>379080</v>
      </c>
      <c r="L5661" s="250">
        <v>1</v>
      </c>
      <c r="M5661" s="163" t="str">
        <f>CONCATENATE(H5661," ",F5661,"(лимиты выделенные УЖКХ) ","*",I5661,"/",K5661,"чел/час")</f>
        <v>4041,11 м3(лимиты выделенные УЖКХ) *0,369961/379080чел/час</v>
      </c>
      <c r="N5661" s="278">
        <f>N5453</f>
        <v>54.214180014896904</v>
      </c>
      <c r="O5661" s="280">
        <f t="shared" si="1499"/>
        <v>0.21381499999999998</v>
      </c>
      <c r="P5661" s="166"/>
      <c r="Q5661" s="166">
        <f t="shared" si="1495"/>
        <v>81052.990199999986</v>
      </c>
      <c r="R5661" s="71"/>
    </row>
    <row r="5662" spans="1:41" s="61" customFormat="1" ht="47.25" x14ac:dyDescent="0.25">
      <c r="A5662" s="358"/>
      <c r="B5662" s="361"/>
      <c r="C5662" s="364"/>
      <c r="D5662" s="222" t="s">
        <v>17</v>
      </c>
      <c r="E5662" s="222" t="s">
        <v>11</v>
      </c>
      <c r="F5662" s="222" t="s">
        <v>11</v>
      </c>
      <c r="G5662" s="238">
        <f t="shared" si="1496"/>
        <v>3.943898641E-3</v>
      </c>
      <c r="H5662" s="160">
        <f>H5558</f>
        <v>4041.1099999999997</v>
      </c>
      <c r="I5662" s="159">
        <f t="shared" si="1497"/>
        <v>0.36996099999999998</v>
      </c>
      <c r="J5662" s="160"/>
      <c r="K5662" s="161">
        <f t="shared" si="1498"/>
        <v>379080</v>
      </c>
      <c r="L5662" s="162">
        <f>$L$25</f>
        <v>1</v>
      </c>
      <c r="M5662" s="163" t="str">
        <f>CONCATENATE(H5662," ",F5662,"(лимиты выделенные УЖКХ) ","*",I5662,"/",K5662,"чел/час")</f>
        <v>4041,11 м3(лимиты выделенные УЖКХ) *0,369961/379080чел/час</v>
      </c>
      <c r="N5662" s="164">
        <f>N5454</f>
        <v>82.384170780821918</v>
      </c>
      <c r="O5662" s="280">
        <f t="shared" si="1499"/>
        <v>0.32491500000000001</v>
      </c>
      <c r="P5662" s="166"/>
      <c r="Q5662" s="166">
        <f t="shared" si="1495"/>
        <v>123168.7782</v>
      </c>
      <c r="R5662" s="71"/>
    </row>
    <row r="5663" spans="1:41" s="61" customFormat="1" ht="31.5" x14ac:dyDescent="0.25">
      <c r="A5663" s="358"/>
      <c r="B5663" s="361"/>
      <c r="C5663" s="364"/>
      <c r="D5663" s="222" t="s">
        <v>13</v>
      </c>
      <c r="E5663" s="222" t="s">
        <v>11</v>
      </c>
      <c r="F5663" s="222" t="s">
        <v>11</v>
      </c>
      <c r="G5663" s="238">
        <f t="shared" si="1496"/>
        <v>3.943898641E-3</v>
      </c>
      <c r="H5663" s="160">
        <f>H5455</f>
        <v>4041.1099999999997</v>
      </c>
      <c r="I5663" s="159">
        <f t="shared" si="1497"/>
        <v>0.36996099999999998</v>
      </c>
      <c r="J5663" s="160"/>
      <c r="K5663" s="161">
        <f t="shared" si="1498"/>
        <v>379080</v>
      </c>
      <c r="L5663" s="162">
        <v>1</v>
      </c>
      <c r="M5663" s="163" t="str">
        <f>CONCATENATE(H5663," ",F5663,"(лимиты выделенные УЖКХ) ","*",I5663,"/",K5663,"чел/час")</f>
        <v>4041,11 м3(лимиты выделенные УЖКХ) *0,369961/379080чел/час</v>
      </c>
      <c r="N5663" s="278">
        <f>N5455</f>
        <v>100.60427670019196</v>
      </c>
      <c r="O5663" s="280">
        <f t="shared" si="1499"/>
        <v>0.39677299999999999</v>
      </c>
      <c r="P5663" s="166"/>
      <c r="Q5663" s="166">
        <f t="shared" si="1495"/>
        <v>150408.70884000001</v>
      </c>
      <c r="R5663" s="71"/>
    </row>
    <row r="5664" spans="1:41" s="61" customFormat="1" x14ac:dyDescent="0.25">
      <c r="A5664" s="358"/>
      <c r="B5664" s="361"/>
      <c r="C5664" s="364" t="s">
        <v>216</v>
      </c>
      <c r="D5664" s="222" t="s">
        <v>23</v>
      </c>
      <c r="E5664" s="222" t="s">
        <v>11</v>
      </c>
      <c r="F5664" s="222" t="s">
        <v>11</v>
      </c>
      <c r="G5664" s="238">
        <f t="shared" si="1496"/>
        <v>2.4379091E-5</v>
      </c>
      <c r="H5664" s="160">
        <f>H5456</f>
        <v>24.979999999999997</v>
      </c>
      <c r="I5664" s="159">
        <f t="shared" si="1497"/>
        <v>0.36996099999999998</v>
      </c>
      <c r="J5664" s="160"/>
      <c r="K5664" s="161">
        <f t="shared" si="1498"/>
        <v>379080</v>
      </c>
      <c r="L5664" s="162">
        <v>1</v>
      </c>
      <c r="M5664" s="163" t="str">
        <f>CONCATENATE(H5664," ",F5664," ","*",I5664,"/",K5664,"чел/час")</f>
        <v>24,98 м3 *0,369961/379080чел/час</v>
      </c>
      <c r="N5664" s="164">
        <f>N5456</f>
        <v>776.35588470776622</v>
      </c>
      <c r="O5664" s="280">
        <f t="shared" si="1499"/>
        <v>1.8926999999999999E-2</v>
      </c>
      <c r="P5664" s="166"/>
      <c r="Q5664" s="166">
        <f t="shared" si="1495"/>
        <v>7174.8471599999993</v>
      </c>
      <c r="R5664" s="71"/>
    </row>
    <row r="5665" spans="1:41" s="61" customFormat="1" ht="63" x14ac:dyDescent="0.25">
      <c r="A5665" s="358"/>
      <c r="B5665" s="361"/>
      <c r="C5665" s="364"/>
      <c r="D5665" s="222" t="s">
        <v>24</v>
      </c>
      <c r="E5665" s="222" t="s">
        <v>25</v>
      </c>
      <c r="F5665" s="222" t="s">
        <v>248</v>
      </c>
      <c r="G5665" s="238">
        <f t="shared" si="1496"/>
        <v>4.8797220000000002E-6</v>
      </c>
      <c r="H5665" s="160">
        <f>H5457</f>
        <v>5</v>
      </c>
      <c r="I5665" s="159">
        <f t="shared" si="1497"/>
        <v>0.36996099999999998</v>
      </c>
      <c r="J5665" s="160"/>
      <c r="K5665" s="161">
        <f t="shared" si="1498"/>
        <v>379080</v>
      </c>
      <c r="L5665" s="250">
        <v>1</v>
      </c>
      <c r="M5665" s="163" t="str">
        <f>CONCATENATE(H5665," ",F5665,"(потребность из расчета 4 контейнера для уборки территории весной и осенью на 1 учреждение)","*",I5665,"/",K5665,"чел/час")</f>
        <v>5 контейнеров(потребность из расчета 4 контейнера для уборки территории весной и осенью на 1 учреждение)*0,369961/379080чел/час</v>
      </c>
      <c r="N5665" s="278">
        <f>N5457</f>
        <v>6016.38</v>
      </c>
      <c r="O5665" s="280">
        <f t="shared" si="1499"/>
        <v>2.9357999999999999E-2</v>
      </c>
      <c r="P5665" s="166"/>
      <c r="Q5665" s="166">
        <f t="shared" si="1495"/>
        <v>11129.030639999999</v>
      </c>
      <c r="R5665" s="71"/>
    </row>
    <row r="5666" spans="1:41" s="109" customFormat="1" x14ac:dyDescent="0.25">
      <c r="A5666" s="358"/>
      <c r="B5666" s="361"/>
      <c r="C5666" s="218" t="s">
        <v>290</v>
      </c>
      <c r="D5666" s="226"/>
      <c r="E5666" s="226"/>
      <c r="F5666" s="226"/>
      <c r="G5666" s="227"/>
      <c r="H5666" s="228"/>
      <c r="I5666" s="206"/>
      <c r="J5666" s="228"/>
      <c r="K5666" s="207"/>
      <c r="L5666" s="257"/>
      <c r="M5666" s="209"/>
      <c r="N5666" s="281"/>
      <c r="O5666" s="279">
        <f>SUM(O5659:O5665)</f>
        <v>6.2403269999999997</v>
      </c>
      <c r="P5666" s="267"/>
      <c r="Q5666" s="166"/>
      <c r="R5666" s="71"/>
      <c r="S5666" s="62"/>
      <c r="T5666" s="62"/>
      <c r="U5666" s="62"/>
      <c r="V5666" s="62"/>
      <c r="W5666" s="62"/>
      <c r="X5666" s="62"/>
      <c r="Y5666" s="62"/>
      <c r="Z5666" s="62"/>
      <c r="AA5666" s="62"/>
      <c r="AB5666" s="62"/>
      <c r="AC5666" s="62"/>
      <c r="AD5666" s="62"/>
      <c r="AE5666" s="62"/>
      <c r="AF5666" s="62"/>
      <c r="AG5666" s="62"/>
      <c r="AH5666" s="62"/>
      <c r="AI5666" s="62"/>
      <c r="AJ5666" s="62"/>
      <c r="AK5666" s="62"/>
      <c r="AL5666" s="62"/>
      <c r="AM5666" s="62"/>
      <c r="AN5666" s="62"/>
      <c r="AO5666" s="62"/>
    </row>
    <row r="5667" spans="1:41" s="108" customFormat="1" x14ac:dyDescent="0.25">
      <c r="A5667" s="358"/>
      <c r="B5667" s="361"/>
      <c r="C5667" s="221"/>
      <c r="D5667" s="356" t="s">
        <v>14</v>
      </c>
      <c r="E5667" s="356"/>
      <c r="F5667" s="356"/>
      <c r="G5667" s="356"/>
      <c r="H5667" s="188"/>
      <c r="I5667" s="159"/>
      <c r="J5667" s="188"/>
      <c r="K5667" s="161"/>
      <c r="L5667" s="250"/>
      <c r="M5667" s="230"/>
      <c r="N5667" s="278"/>
      <c r="O5667" s="279">
        <f>O5671+O5675+O5677</f>
        <v>23.050906566000002</v>
      </c>
      <c r="P5667" s="166"/>
      <c r="Q5667" s="166">
        <f>O5667*K5667</f>
        <v>0</v>
      </c>
      <c r="R5667" s="71"/>
      <c r="S5667" s="61"/>
      <c r="T5667" s="61"/>
      <c r="U5667" s="61"/>
      <c r="V5667" s="61"/>
      <c r="W5667" s="61"/>
      <c r="X5667" s="61"/>
      <c r="Y5667" s="61"/>
      <c r="Z5667" s="61"/>
      <c r="AA5667" s="61"/>
      <c r="AB5667" s="61"/>
      <c r="AC5667" s="61"/>
      <c r="AD5667" s="61"/>
      <c r="AE5667" s="61"/>
      <c r="AF5667" s="61"/>
      <c r="AG5667" s="61"/>
      <c r="AH5667" s="61"/>
      <c r="AI5667" s="61"/>
      <c r="AJ5667" s="61"/>
      <c r="AK5667" s="61"/>
      <c r="AL5667" s="61"/>
      <c r="AM5667" s="61"/>
      <c r="AN5667" s="61"/>
      <c r="AO5667" s="61"/>
    </row>
    <row r="5668" spans="1:41" s="61" customFormat="1" x14ac:dyDescent="0.25">
      <c r="A5668" s="358"/>
      <c r="B5668" s="361"/>
      <c r="C5668" s="221" t="s">
        <v>379</v>
      </c>
      <c r="D5668" s="231" t="s">
        <v>49</v>
      </c>
      <c r="E5668" s="231" t="s">
        <v>22</v>
      </c>
      <c r="F5668" s="231" t="s">
        <v>22</v>
      </c>
      <c r="G5668" s="238">
        <f>MROUND(H5668*L5668*I5668/K5668,0.000000000001)</f>
        <v>0</v>
      </c>
      <c r="H5668" s="160"/>
      <c r="I5668" s="159">
        <f>I5663</f>
        <v>0.36996099999999998</v>
      </c>
      <c r="J5668" s="160"/>
      <c r="K5668" s="161">
        <f>K5663</f>
        <v>379080</v>
      </c>
      <c r="L5668" s="250">
        <v>1</v>
      </c>
      <c r="M5668" s="163"/>
      <c r="N5668" s="278"/>
      <c r="O5668" s="280">
        <f>MROUND(N5668*G5668,0.000000001)</f>
        <v>0</v>
      </c>
      <c r="P5668" s="166"/>
      <c r="Q5668" s="166">
        <f>O5668*K5668</f>
        <v>0</v>
      </c>
      <c r="R5668" s="71"/>
    </row>
    <row r="5669" spans="1:41" s="61" customFormat="1" x14ac:dyDescent="0.25">
      <c r="A5669" s="358"/>
      <c r="B5669" s="361"/>
      <c r="C5669" s="221" t="s">
        <v>379</v>
      </c>
      <c r="D5669" s="231" t="s">
        <v>49</v>
      </c>
      <c r="E5669" s="231" t="s">
        <v>28</v>
      </c>
      <c r="F5669" s="231" t="s">
        <v>28</v>
      </c>
      <c r="G5669" s="238">
        <f>MROUND(H5669*L5669*I5669/K5669,0.000000000001)</f>
        <v>0</v>
      </c>
      <c r="H5669" s="160"/>
      <c r="I5669" s="159">
        <f>I5668</f>
        <v>0.36996099999999998</v>
      </c>
      <c r="J5669" s="160"/>
      <c r="K5669" s="161">
        <f>K5668</f>
        <v>379080</v>
      </c>
      <c r="L5669" s="250">
        <v>1</v>
      </c>
      <c r="M5669" s="163"/>
      <c r="N5669" s="278"/>
      <c r="O5669" s="280">
        <f>MROUND(N5669*G5669,0.000000001)</f>
        <v>0</v>
      </c>
      <c r="P5669" s="166"/>
      <c r="Q5669" s="166">
        <f>O5669*K5669</f>
        <v>0</v>
      </c>
      <c r="R5669" s="71"/>
    </row>
    <row r="5670" spans="1:41" s="61" customFormat="1" x14ac:dyDescent="0.25">
      <c r="A5670" s="358"/>
      <c r="B5670" s="361"/>
      <c r="C5670" s="221" t="s">
        <v>379</v>
      </c>
      <c r="D5670" s="231" t="s">
        <v>49</v>
      </c>
      <c r="E5670" s="231" t="s">
        <v>101</v>
      </c>
      <c r="F5670" s="231" t="s">
        <v>101</v>
      </c>
      <c r="G5670" s="238">
        <f>MROUND(H5670*L5670*I5670/K5670,0.000000000001)</f>
        <v>0</v>
      </c>
      <c r="H5670" s="160"/>
      <c r="I5670" s="159">
        <f>I5668</f>
        <v>0.36996099999999998</v>
      </c>
      <c r="J5670" s="160"/>
      <c r="K5670" s="161">
        <f>K5668</f>
        <v>379080</v>
      </c>
      <c r="L5670" s="250">
        <v>1</v>
      </c>
      <c r="M5670" s="163"/>
      <c r="N5670" s="278"/>
      <c r="O5670" s="280">
        <f>MROUND(N5670*G5670,0.000001)</f>
        <v>0</v>
      </c>
      <c r="P5670" s="166"/>
      <c r="Q5670" s="166">
        <f>O5670*K5670</f>
        <v>0</v>
      </c>
      <c r="R5670" s="71"/>
    </row>
    <row r="5671" spans="1:41" s="108" customFormat="1" x14ac:dyDescent="0.25">
      <c r="A5671" s="358"/>
      <c r="B5671" s="361"/>
      <c r="C5671" s="218" t="s">
        <v>380</v>
      </c>
      <c r="D5671" s="231"/>
      <c r="E5671" s="231"/>
      <c r="F5671" s="231"/>
      <c r="G5671" s="238"/>
      <c r="H5671" s="160"/>
      <c r="I5671" s="206"/>
      <c r="J5671" s="228"/>
      <c r="K5671" s="207"/>
      <c r="L5671" s="250"/>
      <c r="M5671" s="163"/>
      <c r="N5671" s="278"/>
      <c r="O5671" s="279">
        <f>SUM(O5668:O5670)</f>
        <v>0</v>
      </c>
      <c r="P5671" s="166"/>
      <c r="Q5671" s="166"/>
      <c r="R5671" s="71"/>
      <c r="S5671" s="61"/>
      <c r="T5671" s="61"/>
      <c r="U5671" s="61"/>
      <c r="V5671" s="61"/>
      <c r="W5671" s="61"/>
      <c r="X5671" s="61"/>
      <c r="Y5671" s="61"/>
      <c r="Z5671" s="61"/>
      <c r="AA5671" s="61"/>
      <c r="AB5671" s="61"/>
      <c r="AC5671" s="61"/>
      <c r="AD5671" s="61"/>
      <c r="AE5671" s="61"/>
      <c r="AF5671" s="61"/>
      <c r="AG5671" s="61"/>
      <c r="AH5671" s="61"/>
      <c r="AI5671" s="61"/>
      <c r="AJ5671" s="61"/>
      <c r="AK5671" s="61"/>
      <c r="AL5671" s="61"/>
      <c r="AM5671" s="61"/>
      <c r="AN5671" s="61"/>
      <c r="AO5671" s="61"/>
    </row>
    <row r="5672" spans="1:41" s="61" customFormat="1" x14ac:dyDescent="0.25">
      <c r="A5672" s="358"/>
      <c r="B5672" s="361"/>
      <c r="C5672" s="221" t="s">
        <v>76</v>
      </c>
      <c r="D5672" s="231" t="s">
        <v>49</v>
      </c>
      <c r="E5672" s="231" t="s">
        <v>22</v>
      </c>
      <c r="F5672" s="231" t="s">
        <v>22</v>
      </c>
      <c r="G5672" s="238">
        <f>MROUND(H5672*L5672*I5672/K5672,0.000000000001)</f>
        <v>9.7008872529999995E-3</v>
      </c>
      <c r="H5672" s="160">
        <f>H5464</f>
        <v>9940</v>
      </c>
      <c r="I5672" s="159">
        <f>I5670</f>
        <v>0.36996099999999998</v>
      </c>
      <c r="J5672" s="160"/>
      <c r="K5672" s="161">
        <f>K5670</f>
        <v>379080</v>
      </c>
      <c r="L5672" s="250">
        <v>1</v>
      </c>
      <c r="M5672" s="163" t="str">
        <f>CONCATENATE(H5672," ",F5672,"*",I5672,"/",K5672,"чел/час")</f>
        <v>9940 м2*0,369961/379080чел/час</v>
      </c>
      <c r="N5672" s="278">
        <f>N5464</f>
        <v>1444.6680080482897</v>
      </c>
      <c r="O5672" s="280">
        <f>MROUND(N5672*G5672,0.000000001)-0.0009</f>
        <v>14.013661464000002</v>
      </c>
      <c r="P5672" s="166"/>
      <c r="Q5672" s="166">
        <f>O5672*K5672</f>
        <v>5312298.7877731211</v>
      </c>
      <c r="R5672" s="71"/>
    </row>
    <row r="5673" spans="1:41" s="61" customFormat="1" x14ac:dyDescent="0.25">
      <c r="A5673" s="358"/>
      <c r="B5673" s="361"/>
      <c r="C5673" s="221"/>
      <c r="D5673" s="231" t="s">
        <v>49</v>
      </c>
      <c r="E5673" s="231" t="s">
        <v>28</v>
      </c>
      <c r="F5673" s="231" t="s">
        <v>28</v>
      </c>
      <c r="G5673" s="238">
        <f>MROUND(H5673*L5673*I5673/K5673,0.000000000001)</f>
        <v>4.1965609000000001E-5</v>
      </c>
      <c r="H5673" s="160">
        <f>H5465</f>
        <v>43</v>
      </c>
      <c r="I5673" s="159">
        <f>I5672</f>
        <v>0.36996099999999998</v>
      </c>
      <c r="J5673" s="160"/>
      <c r="K5673" s="161">
        <f>K5672</f>
        <v>379080</v>
      </c>
      <c r="L5673" s="250">
        <v>1</v>
      </c>
      <c r="M5673" s="163" t="str">
        <f>CONCATENATE(H5673," ",F5673,"*",I5673,"/",K5673,"чел/час")</f>
        <v>43 шт*0,369961/379080чел/час</v>
      </c>
      <c r="N5673" s="278">
        <f>N5465</f>
        <v>109534.88372093023</v>
      </c>
      <c r="O5673" s="280">
        <f>MROUND(N5673*G5673,0.000000001)</f>
        <v>4.5966981020000004</v>
      </c>
      <c r="P5673" s="166"/>
      <c r="Q5673" s="166">
        <f>O5673*K5673</f>
        <v>1742516.3165061602</v>
      </c>
      <c r="R5673" s="71"/>
    </row>
    <row r="5674" spans="1:41" s="61" customFormat="1" x14ac:dyDescent="0.25">
      <c r="A5674" s="358"/>
      <c r="B5674" s="361"/>
      <c r="C5674" s="221"/>
      <c r="D5674" s="231" t="s">
        <v>49</v>
      </c>
      <c r="E5674" s="231" t="s">
        <v>101</v>
      </c>
      <c r="F5674" s="231" t="s">
        <v>101</v>
      </c>
      <c r="G5674" s="238">
        <f>MROUND(H5674*L5674*I5674/K5674,0.000000000001)</f>
        <v>1.7762187930000001E-3</v>
      </c>
      <c r="H5674" s="160">
        <f>H5466</f>
        <v>1820</v>
      </c>
      <c r="I5674" s="159">
        <f>I5672</f>
        <v>0.36996099999999998</v>
      </c>
      <c r="J5674" s="160"/>
      <c r="K5674" s="161">
        <f>K5672</f>
        <v>379080</v>
      </c>
      <c r="L5674" s="250">
        <v>1</v>
      </c>
      <c r="M5674" s="163" t="str">
        <f>CONCATENATE(H5674," ",F5674,"*",I5674,"/",K5674,"чел/час")</f>
        <v>1820 погон.м.*0,369961/379080чел/час</v>
      </c>
      <c r="N5674" s="278">
        <f>N5466</f>
        <v>2500</v>
      </c>
      <c r="O5674" s="280">
        <f>MROUND(N5674*G5674,0.000001)</f>
        <v>4.4405469999999996</v>
      </c>
      <c r="P5674" s="166"/>
      <c r="Q5674" s="166">
        <f>O5674*K5674</f>
        <v>1683322.5567599998</v>
      </c>
      <c r="R5674" s="71"/>
    </row>
    <row r="5675" spans="1:41" s="108" customFormat="1" x14ac:dyDescent="0.25">
      <c r="A5675" s="358"/>
      <c r="B5675" s="361"/>
      <c r="C5675" s="218" t="s">
        <v>291</v>
      </c>
      <c r="D5675" s="231"/>
      <c r="E5675" s="231"/>
      <c r="F5675" s="231"/>
      <c r="G5675" s="238"/>
      <c r="H5675" s="160"/>
      <c r="I5675" s="206"/>
      <c r="J5675" s="228"/>
      <c r="K5675" s="207"/>
      <c r="L5675" s="250"/>
      <c r="M5675" s="163"/>
      <c r="N5675" s="278"/>
      <c r="O5675" s="279">
        <f>SUM(O5672:O5674)</f>
        <v>23.050906566000002</v>
      </c>
      <c r="P5675" s="166"/>
      <c r="Q5675" s="166"/>
      <c r="R5675" s="71"/>
      <c r="S5675" s="61"/>
      <c r="T5675" s="61"/>
      <c r="U5675" s="61"/>
      <c r="V5675" s="61"/>
      <c r="W5675" s="61"/>
      <c r="X5675" s="61"/>
      <c r="Y5675" s="61"/>
      <c r="Z5675" s="61"/>
      <c r="AA5675" s="61"/>
      <c r="AB5675" s="61"/>
      <c r="AC5675" s="61"/>
      <c r="AD5675" s="61"/>
      <c r="AE5675" s="61"/>
      <c r="AF5675" s="61"/>
      <c r="AG5675" s="61"/>
      <c r="AH5675" s="61"/>
      <c r="AI5675" s="61"/>
      <c r="AJ5675" s="61"/>
      <c r="AK5675" s="61"/>
      <c r="AL5675" s="61"/>
      <c r="AM5675" s="61"/>
      <c r="AN5675" s="61"/>
      <c r="AO5675" s="61"/>
    </row>
    <row r="5676" spans="1:41" s="61" customFormat="1" x14ac:dyDescent="0.25">
      <c r="A5676" s="358"/>
      <c r="B5676" s="361"/>
      <c r="C5676" s="221" t="s">
        <v>77</v>
      </c>
      <c r="D5676" s="231"/>
      <c r="E5676" s="231"/>
      <c r="F5676" s="231"/>
      <c r="G5676" s="238">
        <f>MROUND(H5676*L5676*I5676/K5676,0.000000000001)</f>
        <v>0</v>
      </c>
      <c r="H5676" s="160"/>
      <c r="I5676" s="159">
        <f>I5674</f>
        <v>0.36996099999999998</v>
      </c>
      <c r="J5676" s="160"/>
      <c r="K5676" s="161">
        <f>K5674</f>
        <v>379080</v>
      </c>
      <c r="L5676" s="250"/>
      <c r="M5676" s="163"/>
      <c r="N5676" s="278"/>
      <c r="O5676" s="280">
        <f>MROUND(N5676*G5676,0.000001)</f>
        <v>0</v>
      </c>
      <c r="P5676" s="166"/>
      <c r="Q5676" s="166">
        <f>O5676*K5676</f>
        <v>0</v>
      </c>
      <c r="R5676" s="71"/>
    </row>
    <row r="5677" spans="1:41" s="108" customFormat="1" x14ac:dyDescent="0.25">
      <c r="A5677" s="358"/>
      <c r="B5677" s="361"/>
      <c r="C5677" s="218" t="s">
        <v>292</v>
      </c>
      <c r="D5677" s="231"/>
      <c r="E5677" s="231"/>
      <c r="F5677" s="231"/>
      <c r="G5677" s="238"/>
      <c r="H5677" s="160"/>
      <c r="I5677" s="206"/>
      <c r="J5677" s="228"/>
      <c r="K5677" s="207"/>
      <c r="L5677" s="250"/>
      <c r="M5677" s="163"/>
      <c r="N5677" s="278"/>
      <c r="O5677" s="279">
        <f>O5676</f>
        <v>0</v>
      </c>
      <c r="P5677" s="166"/>
      <c r="Q5677" s="166"/>
      <c r="R5677" s="71"/>
      <c r="S5677" s="61"/>
      <c r="T5677" s="61"/>
      <c r="U5677" s="61"/>
      <c r="V5677" s="61"/>
      <c r="W5677" s="61"/>
      <c r="X5677" s="61"/>
      <c r="Y5677" s="61"/>
      <c r="Z5677" s="61"/>
      <c r="AA5677" s="61"/>
      <c r="AB5677" s="61"/>
      <c r="AC5677" s="61"/>
      <c r="AD5677" s="61"/>
      <c r="AE5677" s="61"/>
      <c r="AF5677" s="61"/>
      <c r="AG5677" s="61"/>
      <c r="AH5677" s="61"/>
      <c r="AI5677" s="61"/>
      <c r="AJ5677" s="61"/>
      <c r="AK5677" s="61"/>
      <c r="AL5677" s="61"/>
      <c r="AM5677" s="61"/>
      <c r="AN5677" s="61"/>
      <c r="AO5677" s="61"/>
    </row>
    <row r="5678" spans="1:41" s="108" customFormat="1" x14ac:dyDescent="0.25">
      <c r="A5678" s="358"/>
      <c r="B5678" s="361"/>
      <c r="C5678" s="221"/>
      <c r="D5678" s="350" t="s">
        <v>65</v>
      </c>
      <c r="E5678" s="350"/>
      <c r="F5678" s="350"/>
      <c r="G5678" s="350"/>
      <c r="H5678" s="195"/>
      <c r="I5678" s="159"/>
      <c r="J5678" s="195"/>
      <c r="K5678" s="161"/>
      <c r="L5678" s="196"/>
      <c r="M5678" s="230"/>
      <c r="N5678" s="278"/>
      <c r="O5678" s="280"/>
      <c r="P5678" s="166"/>
      <c r="Q5678" s="166">
        <f t="shared" ref="Q5678:Q5697" si="1500">O5678*K5678</f>
        <v>0</v>
      </c>
      <c r="R5678" s="71"/>
      <c r="S5678" s="61"/>
      <c r="T5678" s="61"/>
      <c r="U5678" s="61"/>
      <c r="V5678" s="61"/>
      <c r="W5678" s="61"/>
      <c r="X5678" s="61"/>
      <c r="Y5678" s="61"/>
      <c r="Z5678" s="61"/>
      <c r="AA5678" s="61"/>
      <c r="AB5678" s="61"/>
      <c r="AC5678" s="61"/>
      <c r="AD5678" s="61"/>
      <c r="AE5678" s="61"/>
      <c r="AF5678" s="61"/>
      <c r="AG5678" s="61"/>
      <c r="AH5678" s="61"/>
      <c r="AI5678" s="61"/>
      <c r="AJ5678" s="61"/>
      <c r="AK5678" s="61"/>
      <c r="AL5678" s="61"/>
      <c r="AM5678" s="61"/>
      <c r="AN5678" s="61"/>
      <c r="AO5678" s="61"/>
    </row>
    <row r="5679" spans="1:41" s="108" customFormat="1" x14ac:dyDescent="0.25">
      <c r="A5679" s="358"/>
      <c r="B5679" s="361"/>
      <c r="C5679" s="221"/>
      <c r="D5679" s="194"/>
      <c r="E5679" s="194"/>
      <c r="F5679" s="194"/>
      <c r="G5679" s="217"/>
      <c r="H5679" s="195"/>
      <c r="I5679" s="159"/>
      <c r="J5679" s="195"/>
      <c r="K5679" s="161"/>
      <c r="L5679" s="196"/>
      <c r="M5679" s="230"/>
      <c r="N5679" s="278"/>
      <c r="O5679" s="280"/>
      <c r="P5679" s="166"/>
      <c r="Q5679" s="166">
        <f t="shared" si="1500"/>
        <v>0</v>
      </c>
      <c r="R5679" s="71"/>
      <c r="S5679" s="61"/>
      <c r="T5679" s="61"/>
      <c r="U5679" s="61"/>
      <c r="V5679" s="61"/>
      <c r="W5679" s="61"/>
      <c r="X5679" s="61"/>
      <c r="Y5679" s="61"/>
      <c r="Z5679" s="61"/>
      <c r="AA5679" s="61"/>
      <c r="AB5679" s="61"/>
      <c r="AC5679" s="61"/>
      <c r="AD5679" s="61"/>
      <c r="AE5679" s="61"/>
      <c r="AF5679" s="61"/>
      <c r="AG5679" s="61"/>
      <c r="AH5679" s="61"/>
      <c r="AI5679" s="61"/>
      <c r="AJ5679" s="61"/>
      <c r="AK5679" s="61"/>
      <c r="AL5679" s="61"/>
      <c r="AM5679" s="61"/>
      <c r="AN5679" s="61"/>
      <c r="AO5679" s="61"/>
    </row>
    <row r="5680" spans="1:41" s="108" customFormat="1" x14ac:dyDescent="0.25">
      <c r="A5680" s="358"/>
      <c r="B5680" s="361"/>
      <c r="C5680" s="365" t="s">
        <v>357</v>
      </c>
      <c r="D5680" s="368" t="s">
        <v>66</v>
      </c>
      <c r="E5680" s="368"/>
      <c r="F5680" s="368"/>
      <c r="G5680" s="368"/>
      <c r="H5680" s="195"/>
      <c r="I5680" s="159"/>
      <c r="J5680" s="195"/>
      <c r="K5680" s="161"/>
      <c r="L5680" s="196"/>
      <c r="M5680" s="230"/>
      <c r="N5680" s="278"/>
      <c r="O5680" s="279">
        <f>O5686</f>
        <v>0.45731015499999994</v>
      </c>
      <c r="P5680" s="166"/>
      <c r="Q5680" s="166">
        <f t="shared" si="1500"/>
        <v>0</v>
      </c>
      <c r="R5680" s="71"/>
      <c r="S5680" s="61"/>
      <c r="T5680" s="61"/>
      <c r="U5680" s="61"/>
      <c r="V5680" s="61"/>
      <c r="W5680" s="61"/>
      <c r="X5680" s="61"/>
      <c r="Y5680" s="61"/>
      <c r="Z5680" s="61"/>
      <c r="AA5680" s="61"/>
      <c r="AB5680" s="61"/>
      <c r="AC5680" s="61"/>
      <c r="AD5680" s="61"/>
      <c r="AE5680" s="61"/>
      <c r="AF5680" s="61"/>
      <c r="AG5680" s="61"/>
      <c r="AH5680" s="61"/>
      <c r="AI5680" s="61"/>
      <c r="AJ5680" s="61"/>
      <c r="AK5680" s="61"/>
      <c r="AL5680" s="61"/>
      <c r="AM5680" s="61"/>
      <c r="AN5680" s="61"/>
      <c r="AO5680" s="61"/>
    </row>
    <row r="5681" spans="1:41" s="61" customFormat="1" x14ac:dyDescent="0.25">
      <c r="A5681" s="358"/>
      <c r="B5681" s="361"/>
      <c r="C5681" s="366"/>
      <c r="D5681" s="284" t="s">
        <v>241</v>
      </c>
      <c r="E5681" s="156" t="s">
        <v>28</v>
      </c>
      <c r="F5681" s="156" t="s">
        <v>28</v>
      </c>
      <c r="G5681" s="238">
        <f>MROUND(H5681*L5681*I5681/K5681,0.000000000001)</f>
        <v>1.9909265600000001E-4</v>
      </c>
      <c r="H5681" s="158">
        <f>H5473</f>
        <v>17</v>
      </c>
      <c r="I5681" s="159">
        <f>I5676</f>
        <v>0.36996099999999998</v>
      </c>
      <c r="J5681" s="160"/>
      <c r="K5681" s="161">
        <f>K5676</f>
        <v>379080</v>
      </c>
      <c r="L5681" s="250">
        <v>12</v>
      </c>
      <c r="M5681" s="163" t="str">
        <f>CONCATENATE(H5681," ",F5681,"*",L5681,"мес.","*",I5681,"/",K5681,"чел/час")</f>
        <v>17 шт*12мес.*0,369961/379080чел/час</v>
      </c>
      <c r="N5681" s="278">
        <f>N5473</f>
        <v>342.84676470588238</v>
      </c>
      <c r="O5681" s="280">
        <f>MROUND(N5681*G5681,0.000001)</f>
        <v>6.8257999999999999E-2</v>
      </c>
      <c r="P5681" s="166"/>
      <c r="Q5681" s="166">
        <f t="shared" si="1500"/>
        <v>25875.24264</v>
      </c>
      <c r="R5681" s="71"/>
    </row>
    <row r="5682" spans="1:41" s="61" customFormat="1" x14ac:dyDescent="0.25">
      <c r="A5682" s="358"/>
      <c r="B5682" s="361"/>
      <c r="C5682" s="366"/>
      <c r="D5682" s="284" t="s">
        <v>242</v>
      </c>
      <c r="E5682" s="156" t="s">
        <v>243</v>
      </c>
      <c r="F5682" s="156" t="s">
        <v>243</v>
      </c>
      <c r="G5682" s="238">
        <f>MROUND(H5682*L5682*I5682/K5682,0.000000000001)</f>
        <v>0.20267632370999999</v>
      </c>
      <c r="H5682" s="158">
        <f>H5474</f>
        <v>17306</v>
      </c>
      <c r="I5682" s="159">
        <f>I5681</f>
        <v>0.36996099999999998</v>
      </c>
      <c r="J5682" s="160"/>
      <c r="K5682" s="161">
        <f>K5681</f>
        <v>379080</v>
      </c>
      <c r="L5682" s="250">
        <v>12</v>
      </c>
      <c r="M5682" s="163" t="str">
        <f>CONCATENATE(H5682," ",F5682,"*",L5682,"мес.","*",I5682,"/",K5682,"чел/час")</f>
        <v>17306 мин.*12мес.*0,369961/379080чел/час</v>
      </c>
      <c r="N5682" s="278">
        <f>N5474</f>
        <v>0.82090079548518802</v>
      </c>
      <c r="O5682" s="280">
        <f>MROUND(N5682*G5682,0.000000001)</f>
        <v>0.166377155</v>
      </c>
      <c r="P5682" s="166"/>
      <c r="Q5682" s="166">
        <f t="shared" si="1500"/>
        <v>63070.251917399997</v>
      </c>
      <c r="R5682" s="71"/>
    </row>
    <row r="5683" spans="1:41" s="61" customFormat="1" ht="31.5" x14ac:dyDescent="0.25">
      <c r="A5683" s="358"/>
      <c r="B5683" s="361"/>
      <c r="C5683" s="366"/>
      <c r="D5683" s="285" t="s">
        <v>244</v>
      </c>
      <c r="E5683" s="286" t="s">
        <v>245</v>
      </c>
      <c r="F5683" s="286" t="s">
        <v>247</v>
      </c>
      <c r="G5683" s="238">
        <f>MROUND(H5683*L5683*I5683/K5683,0.000000000001)</f>
        <v>5.8556663999999996E-5</v>
      </c>
      <c r="H5683" s="158">
        <f>H5475</f>
        <v>5</v>
      </c>
      <c r="I5683" s="159">
        <f>I5682</f>
        <v>0.36996099999999998</v>
      </c>
      <c r="J5683" s="160"/>
      <c r="K5683" s="161">
        <f>K5682</f>
        <v>379080</v>
      </c>
      <c r="L5683" s="250">
        <v>12</v>
      </c>
      <c r="M5683" s="163" t="str">
        <f>CONCATENATE(H5683," ",F5683,"*",L5683,"мес.","*",I5683,"/",K5683,"чел/час")</f>
        <v>5 радиоточек*12мес.*0,369961/379080чел/час</v>
      </c>
      <c r="N5683" s="278">
        <f>N5475</f>
        <v>173.30166666666665</v>
      </c>
      <c r="O5683" s="280">
        <f>MROUND(N5683*G5683,0.000001)</f>
        <v>1.0147999999999999E-2</v>
      </c>
      <c r="P5683" s="166"/>
      <c r="Q5683" s="166">
        <f t="shared" si="1500"/>
        <v>3846.9038399999995</v>
      </c>
      <c r="R5683" s="71"/>
    </row>
    <row r="5684" spans="1:41" s="61" customFormat="1" ht="47.25" x14ac:dyDescent="0.25">
      <c r="A5684" s="358"/>
      <c r="B5684" s="361"/>
      <c r="C5684" s="366"/>
      <c r="D5684" s="285" t="s">
        <v>374</v>
      </c>
      <c r="E5684" s="156" t="s">
        <v>28</v>
      </c>
      <c r="F5684" s="156" t="s">
        <v>28</v>
      </c>
      <c r="G5684" s="238">
        <f>MROUND(H5684*L5684*I5684/K5684,0.000000000001)</f>
        <v>2.7326443000000001E-5</v>
      </c>
      <c r="H5684" s="158">
        <f>H5476</f>
        <v>7</v>
      </c>
      <c r="I5684" s="159">
        <f>I5682</f>
        <v>0.36996099999999998</v>
      </c>
      <c r="J5684" s="160"/>
      <c r="K5684" s="161">
        <f>K5682</f>
        <v>379080</v>
      </c>
      <c r="L5684" s="250">
        <f>L5476</f>
        <v>4</v>
      </c>
      <c r="M5684" s="163" t="str">
        <f>CONCATENATE(H5684," ",F5684,"*",L5684,"мес.","*",I5684,"/",K5684,"чел/час")</f>
        <v>7 шт*4мес.*0,369961/379080чел/час</v>
      </c>
      <c r="N5684" s="278">
        <f>N5476</f>
        <v>1313.8174999999999</v>
      </c>
      <c r="O5684" s="280">
        <f>MROUND(N5684*G5684,0.000001)</f>
        <v>3.5901999999999996E-2</v>
      </c>
      <c r="P5684" s="166"/>
      <c r="Q5684" s="166">
        <f t="shared" si="1500"/>
        <v>13609.730159999999</v>
      </c>
      <c r="R5684" s="71"/>
    </row>
    <row r="5685" spans="1:41" s="61" customFormat="1" x14ac:dyDescent="0.25">
      <c r="A5685" s="358"/>
      <c r="B5685" s="361"/>
      <c r="C5685" s="367"/>
      <c r="D5685" s="284" t="s">
        <v>246</v>
      </c>
      <c r="E5685" s="156" t="s">
        <v>28</v>
      </c>
      <c r="F5685" s="156" t="s">
        <v>28</v>
      </c>
      <c r="G5685" s="238">
        <f>MROUND(H5685*L5685*I5685/K5685,0.000000000001)</f>
        <v>5.8556663999999996E-5</v>
      </c>
      <c r="H5685" s="158">
        <v>5</v>
      </c>
      <c r="I5685" s="159">
        <f>I5683</f>
        <v>0.36996099999999998</v>
      </c>
      <c r="J5685" s="160"/>
      <c r="K5685" s="161">
        <f>K5683</f>
        <v>379080</v>
      </c>
      <c r="L5685" s="250">
        <v>12</v>
      </c>
      <c r="M5685" s="163" t="str">
        <f>CONCATENATE(H5685," ",F5685,"*",L5685,"мес.","*",I5685,"/",K5685,"чел/час")</f>
        <v>5 шт*12мес.*0,369961/379080чел/час</v>
      </c>
      <c r="N5685" s="278">
        <f>N5477</f>
        <v>3016.3089999999997</v>
      </c>
      <c r="O5685" s="280">
        <f>MROUND(N5685*G5685,0.000001)</f>
        <v>0.176625</v>
      </c>
      <c r="P5685" s="166"/>
      <c r="Q5685" s="166">
        <f t="shared" si="1500"/>
        <v>66955.005000000005</v>
      </c>
      <c r="R5685" s="71"/>
    </row>
    <row r="5686" spans="1:41" s="109" customFormat="1" x14ac:dyDescent="0.25">
      <c r="A5686" s="358"/>
      <c r="B5686" s="361"/>
      <c r="C5686" s="218" t="s">
        <v>358</v>
      </c>
      <c r="D5686" s="287"/>
      <c r="E5686" s="287"/>
      <c r="F5686" s="287"/>
      <c r="G5686" s="288"/>
      <c r="H5686" s="214"/>
      <c r="I5686" s="206"/>
      <c r="J5686" s="214"/>
      <c r="K5686" s="207"/>
      <c r="L5686" s="215"/>
      <c r="M5686" s="289"/>
      <c r="N5686" s="281"/>
      <c r="O5686" s="279">
        <f>SUM(O5681:O5685)</f>
        <v>0.45731015499999994</v>
      </c>
      <c r="P5686" s="267"/>
      <c r="Q5686" s="166">
        <f t="shared" si="1500"/>
        <v>0</v>
      </c>
      <c r="R5686" s="71"/>
      <c r="S5686" s="62"/>
      <c r="T5686" s="62"/>
      <c r="U5686" s="62"/>
      <c r="V5686" s="62"/>
      <c r="W5686" s="62"/>
      <c r="X5686" s="62"/>
      <c r="Y5686" s="62"/>
      <c r="Z5686" s="62"/>
      <c r="AA5686" s="62"/>
      <c r="AB5686" s="62"/>
      <c r="AC5686" s="62"/>
      <c r="AD5686" s="62"/>
      <c r="AE5686" s="62"/>
      <c r="AF5686" s="62"/>
      <c r="AG5686" s="62"/>
      <c r="AH5686" s="62"/>
      <c r="AI5686" s="62"/>
      <c r="AJ5686" s="62"/>
      <c r="AK5686" s="62"/>
      <c r="AL5686" s="62"/>
      <c r="AM5686" s="62"/>
      <c r="AN5686" s="62"/>
      <c r="AO5686" s="62"/>
    </row>
    <row r="5687" spans="1:41" s="108" customFormat="1" ht="15" customHeight="1" x14ac:dyDescent="0.25">
      <c r="A5687" s="358"/>
      <c r="B5687" s="361"/>
      <c r="C5687" s="365" t="s">
        <v>366</v>
      </c>
      <c r="D5687" s="368" t="s">
        <v>67</v>
      </c>
      <c r="E5687" s="368"/>
      <c r="F5687" s="368"/>
      <c r="G5687" s="368"/>
      <c r="H5687" s="195"/>
      <c r="I5687" s="159"/>
      <c r="J5687" s="195"/>
      <c r="K5687" s="161"/>
      <c r="L5687" s="196"/>
      <c r="M5687" s="230"/>
      <c r="N5687" s="278"/>
      <c r="O5687" s="279">
        <f>O5688</f>
        <v>6.1421999999999997E-2</v>
      </c>
      <c r="P5687" s="166"/>
      <c r="Q5687" s="166">
        <f t="shared" si="1500"/>
        <v>0</v>
      </c>
      <c r="R5687" s="71"/>
      <c r="S5687" s="61"/>
      <c r="T5687" s="61"/>
      <c r="U5687" s="61"/>
      <c r="V5687" s="61"/>
      <c r="W5687" s="61"/>
      <c r="X5687" s="61"/>
      <c r="Y5687" s="61"/>
      <c r="Z5687" s="61"/>
      <c r="AA5687" s="61"/>
      <c r="AB5687" s="61"/>
      <c r="AC5687" s="61"/>
      <c r="AD5687" s="61"/>
      <c r="AE5687" s="61"/>
      <c r="AF5687" s="61"/>
      <c r="AG5687" s="61"/>
      <c r="AH5687" s="61"/>
      <c r="AI5687" s="61"/>
      <c r="AJ5687" s="61"/>
      <c r="AK5687" s="61"/>
      <c r="AL5687" s="61"/>
      <c r="AM5687" s="61"/>
      <c r="AN5687" s="61"/>
      <c r="AO5687" s="61"/>
    </row>
    <row r="5688" spans="1:41" s="61" customFormat="1" x14ac:dyDescent="0.25">
      <c r="A5688" s="358"/>
      <c r="B5688" s="361"/>
      <c r="C5688" s="367"/>
      <c r="D5688" s="194" t="s">
        <v>367</v>
      </c>
      <c r="E5688" s="156" t="s">
        <v>28</v>
      </c>
      <c r="F5688" s="156" t="s">
        <v>28</v>
      </c>
      <c r="G5688" s="238">
        <f>MROUND(H5688*L5688*I5688/K5688,0.000000000001)</f>
        <v>2.3422664999999999E-5</v>
      </c>
      <c r="H5688" s="158">
        <f>H5480</f>
        <v>2</v>
      </c>
      <c r="I5688" s="159">
        <f>I5685</f>
        <v>0.36996099999999998</v>
      </c>
      <c r="J5688" s="195"/>
      <c r="K5688" s="161">
        <f>K5685</f>
        <v>379080</v>
      </c>
      <c r="L5688" s="250">
        <v>12</v>
      </c>
      <c r="M5688" s="163" t="str">
        <f>CONCATENATE(H5688," ",F5688,"*",L5688,"мес.","*",I5688,"/",K5688,"чел/час")</f>
        <v>2 шт*12мес.*0,369961/379080чел/час</v>
      </c>
      <c r="N5688" s="278">
        <f>N5480</f>
        <v>2622.3220833333335</v>
      </c>
      <c r="O5688" s="280">
        <f>MROUND(N5688*G5688,0.000001)</f>
        <v>6.1421999999999997E-2</v>
      </c>
      <c r="P5688" s="166"/>
      <c r="Q5688" s="166">
        <f t="shared" si="1500"/>
        <v>23283.851759999998</v>
      </c>
      <c r="R5688" s="71"/>
    </row>
    <row r="5689" spans="1:41" s="108" customFormat="1" x14ac:dyDescent="0.25">
      <c r="A5689" s="358"/>
      <c r="B5689" s="361"/>
      <c r="C5689" s="221"/>
      <c r="D5689" s="350" t="s">
        <v>68</v>
      </c>
      <c r="E5689" s="350"/>
      <c r="F5689" s="350"/>
      <c r="G5689" s="350"/>
      <c r="H5689" s="195"/>
      <c r="I5689" s="159"/>
      <c r="J5689" s="195"/>
      <c r="K5689" s="161"/>
      <c r="L5689" s="196"/>
      <c r="M5689" s="230"/>
      <c r="N5689" s="278"/>
      <c r="O5689" s="280"/>
      <c r="P5689" s="166"/>
      <c r="Q5689" s="166">
        <f t="shared" si="1500"/>
        <v>0</v>
      </c>
      <c r="R5689" s="71"/>
      <c r="S5689" s="61"/>
      <c r="T5689" s="61"/>
      <c r="U5689" s="61"/>
      <c r="V5689" s="61"/>
      <c r="W5689" s="61"/>
      <c r="X5689" s="61"/>
      <c r="Y5689" s="61"/>
      <c r="Z5689" s="61"/>
      <c r="AA5689" s="61"/>
      <c r="AB5689" s="61"/>
      <c r="AC5689" s="61"/>
      <c r="AD5689" s="61"/>
      <c r="AE5689" s="61"/>
      <c r="AF5689" s="61"/>
      <c r="AG5689" s="61"/>
      <c r="AH5689" s="61"/>
      <c r="AI5689" s="61"/>
      <c r="AJ5689" s="61"/>
      <c r="AK5689" s="61"/>
      <c r="AL5689" s="61"/>
      <c r="AM5689" s="61"/>
      <c r="AN5689" s="61"/>
      <c r="AO5689" s="61"/>
    </row>
    <row r="5690" spans="1:41" s="108" customFormat="1" x14ac:dyDescent="0.25">
      <c r="A5690" s="358"/>
      <c r="B5690" s="361"/>
      <c r="C5690" s="221"/>
      <c r="D5690" s="156"/>
      <c r="E5690" s="156"/>
      <c r="F5690" s="156"/>
      <c r="G5690" s="236"/>
      <c r="H5690" s="195"/>
      <c r="I5690" s="159"/>
      <c r="J5690" s="195"/>
      <c r="K5690" s="161"/>
      <c r="L5690" s="196"/>
      <c r="M5690" s="230"/>
      <c r="N5690" s="278"/>
      <c r="O5690" s="280"/>
      <c r="P5690" s="166"/>
      <c r="Q5690" s="166">
        <f t="shared" si="1500"/>
        <v>0</v>
      </c>
      <c r="R5690" s="71"/>
      <c r="S5690" s="61"/>
      <c r="T5690" s="61"/>
      <c r="U5690" s="61"/>
      <c r="V5690" s="61"/>
      <c r="W5690" s="61"/>
      <c r="X5690" s="61"/>
      <c r="Y5690" s="61"/>
      <c r="Z5690" s="61"/>
      <c r="AA5690" s="61"/>
      <c r="AB5690" s="61"/>
      <c r="AC5690" s="61"/>
      <c r="AD5690" s="61"/>
      <c r="AE5690" s="61"/>
      <c r="AF5690" s="61"/>
      <c r="AG5690" s="61"/>
      <c r="AH5690" s="61"/>
      <c r="AI5690" s="61"/>
      <c r="AJ5690" s="61"/>
      <c r="AK5690" s="61"/>
      <c r="AL5690" s="61"/>
      <c r="AM5690" s="61"/>
      <c r="AN5690" s="61"/>
      <c r="AO5690" s="61"/>
    </row>
    <row r="5691" spans="1:41" s="108" customFormat="1" x14ac:dyDescent="0.25">
      <c r="A5691" s="358"/>
      <c r="B5691" s="361"/>
      <c r="C5691" s="221"/>
      <c r="D5691" s="368" t="s">
        <v>69</v>
      </c>
      <c r="E5691" s="368"/>
      <c r="F5691" s="368"/>
      <c r="G5691" s="368"/>
      <c r="H5691" s="187"/>
      <c r="I5691" s="159"/>
      <c r="J5691" s="187"/>
      <c r="K5691" s="161"/>
      <c r="L5691" s="276"/>
      <c r="M5691" s="230"/>
      <c r="N5691" s="278"/>
      <c r="O5691" s="279">
        <f>O5698+O5714+O5717+O5730+O5731+O5732+O5743+O5745+O5749+O5746</f>
        <v>3.5542349999999994</v>
      </c>
      <c r="P5691" s="166"/>
      <c r="Q5691" s="166">
        <f t="shared" si="1500"/>
        <v>0</v>
      </c>
      <c r="R5691" s="71"/>
      <c r="S5691" s="61"/>
      <c r="T5691" s="61"/>
      <c r="U5691" s="61"/>
      <c r="V5691" s="61"/>
      <c r="W5691" s="61"/>
      <c r="X5691" s="61"/>
      <c r="Y5691" s="61"/>
      <c r="Z5691" s="61"/>
      <c r="AA5691" s="61"/>
      <c r="AB5691" s="61"/>
      <c r="AC5691" s="61"/>
      <c r="AD5691" s="61"/>
      <c r="AE5691" s="61"/>
      <c r="AF5691" s="61"/>
      <c r="AG5691" s="61"/>
      <c r="AH5691" s="61"/>
      <c r="AI5691" s="61"/>
      <c r="AJ5691" s="61"/>
      <c r="AK5691" s="61"/>
      <c r="AL5691" s="61"/>
      <c r="AM5691" s="61"/>
      <c r="AN5691" s="61"/>
      <c r="AO5691" s="61"/>
    </row>
    <row r="5692" spans="1:41" s="61" customFormat="1" ht="31.5" x14ac:dyDescent="0.25">
      <c r="A5692" s="358"/>
      <c r="B5692" s="361"/>
      <c r="C5692" s="365" t="s">
        <v>78</v>
      </c>
      <c r="D5692" s="156" t="s">
        <v>26</v>
      </c>
      <c r="E5692" s="156" t="s">
        <v>22</v>
      </c>
      <c r="F5692" s="156" t="s">
        <v>22</v>
      </c>
      <c r="G5692" s="238">
        <f t="shared" ref="G5692:G5697" si="1501">MROUND(H5692*L5692*I5692/K5692,0.000000000001)</f>
        <v>5.8091255139999999E-2</v>
      </c>
      <c r="H5692" s="158">
        <f>H5484</f>
        <v>4960.26</v>
      </c>
      <c r="I5692" s="159">
        <f>I5688</f>
        <v>0.36996099999999998</v>
      </c>
      <c r="J5692" s="160"/>
      <c r="K5692" s="161">
        <f>K5688</f>
        <v>379080</v>
      </c>
      <c r="L5692" s="250">
        <v>12</v>
      </c>
      <c r="M5692" s="163" t="str">
        <f>CONCATENATE(H5692," ",F5692,"(обрабатываемая площадь в мес.)","*",L5692,"мес.","*",I5692,"/",K5692,"чел/час")</f>
        <v>4960,26 м2(обрабатываемая площадь в мес.)*12мес.*0,369961/379080чел/час</v>
      </c>
      <c r="N5692" s="278">
        <f>N5484</f>
        <v>1.2085483758243856</v>
      </c>
      <c r="O5692" s="280">
        <f>MROUND(N5692*G5692,0.000001)</f>
        <v>7.0205999999999991E-2</v>
      </c>
      <c r="P5692" s="166"/>
      <c r="Q5692" s="166">
        <f t="shared" si="1500"/>
        <v>26613.690479999997</v>
      </c>
      <c r="R5692" s="71"/>
    </row>
    <row r="5693" spans="1:41" s="61" customFormat="1" ht="31.5" x14ac:dyDescent="0.25">
      <c r="A5693" s="358"/>
      <c r="B5693" s="361"/>
      <c r="C5693" s="366"/>
      <c r="D5693" s="156" t="s">
        <v>96</v>
      </c>
      <c r="E5693" s="156" t="s">
        <v>22</v>
      </c>
      <c r="F5693" s="156" t="s">
        <v>22</v>
      </c>
      <c r="G5693" s="238">
        <f t="shared" si="1501"/>
        <v>3.2174075874000001E-2</v>
      </c>
      <c r="H5693" s="158">
        <f>H5485</f>
        <v>2747.26</v>
      </c>
      <c r="I5693" s="159">
        <f>I5692</f>
        <v>0.36996099999999998</v>
      </c>
      <c r="J5693" s="160"/>
      <c r="K5693" s="161">
        <f>K5692</f>
        <v>379080</v>
      </c>
      <c r="L5693" s="250">
        <v>12</v>
      </c>
      <c r="M5693" s="163" t="str">
        <f>CONCATENATE(H5693," ",F5693,"(обрабатываемая площадь в мес.)","*",L5693,"мес.","*",I5693,"/",K5693,"чел/час")</f>
        <v>2747,26 м2(обрабатываемая площадь в мес.)*12мес.*0,369961/379080чел/час</v>
      </c>
      <c r="N5693" s="278">
        <f>N5485</f>
        <v>1.68496671835453</v>
      </c>
      <c r="O5693" s="280">
        <f>MROUND(N5693*G5693,0.000001)</f>
        <v>5.4211999999999996E-2</v>
      </c>
      <c r="P5693" s="166"/>
      <c r="Q5693" s="166">
        <f t="shared" si="1500"/>
        <v>20550.684959999999</v>
      </c>
      <c r="R5693" s="71"/>
    </row>
    <row r="5694" spans="1:41" s="135" customFormat="1" ht="31.5" x14ac:dyDescent="0.25">
      <c r="A5694" s="358"/>
      <c r="B5694" s="361"/>
      <c r="C5694" s="366"/>
      <c r="D5694" s="156" t="s">
        <v>385</v>
      </c>
      <c r="E5694" s="156" t="s">
        <v>22</v>
      </c>
      <c r="F5694" s="156" t="s">
        <v>22</v>
      </c>
      <c r="G5694" s="238">
        <f t="shared" si="1501"/>
        <v>6.4348151748000001E-2</v>
      </c>
      <c r="H5694" s="242">
        <f>$H$2098</f>
        <v>2747.26</v>
      </c>
      <c r="I5694" s="159">
        <f>I5693</f>
        <v>0.36996099999999998</v>
      </c>
      <c r="J5694" s="160"/>
      <c r="K5694" s="161">
        <f>K5693</f>
        <v>379080</v>
      </c>
      <c r="L5694" s="162">
        <v>24</v>
      </c>
      <c r="M5694" s="163" t="str">
        <f>CONCATENATE(H5694," ",F5694,"(обрабатываемая площадь в год)","*",L5694," раза в год.","*",I5694,"/",K5694,"чел.")</f>
        <v>2747,26 м2(обрабатываемая площадь в год)*24 раза в год.*0,369961/379080чел.</v>
      </c>
      <c r="N5694" s="164">
        <f>$N$5486</f>
        <v>1.8597276619856391</v>
      </c>
      <c r="O5694" s="165">
        <f>MROUND(G5694*N5694,0.000001)</f>
        <v>0.11967</v>
      </c>
      <c r="P5694" s="166"/>
      <c r="Q5694" s="166">
        <f t="shared" si="1500"/>
        <v>45364.503599999996</v>
      </c>
      <c r="R5694" s="71"/>
      <c r="S5694" s="61"/>
      <c r="T5694" s="61"/>
      <c r="U5694" s="61"/>
      <c r="V5694" s="61"/>
      <c r="W5694" s="61"/>
      <c r="X5694" s="61"/>
      <c r="Y5694" s="61"/>
      <c r="Z5694" s="61"/>
      <c r="AA5694" s="61"/>
      <c r="AB5694" s="61"/>
      <c r="AC5694" s="61"/>
      <c r="AD5694" s="61"/>
      <c r="AE5694" s="61"/>
      <c r="AF5694" s="61"/>
      <c r="AG5694" s="61"/>
      <c r="AH5694" s="61"/>
      <c r="AI5694" s="61"/>
      <c r="AJ5694" s="61"/>
      <c r="AK5694" s="61"/>
      <c r="AL5694" s="61"/>
      <c r="AM5694" s="61"/>
      <c r="AN5694" s="61"/>
      <c r="AO5694" s="61"/>
    </row>
    <row r="5695" spans="1:41" s="135" customFormat="1" ht="31.5" x14ac:dyDescent="0.25">
      <c r="A5695" s="358"/>
      <c r="B5695" s="361"/>
      <c r="C5695" s="366"/>
      <c r="D5695" s="156" t="s">
        <v>394</v>
      </c>
      <c r="E5695" s="156" t="s">
        <v>22</v>
      </c>
      <c r="F5695" s="156" t="s">
        <v>22</v>
      </c>
      <c r="G5695" s="238">
        <f t="shared" si="1501"/>
        <v>5.8091255139999999E-2</v>
      </c>
      <c r="H5695" s="243">
        <f>$H$2099</f>
        <v>4960.26</v>
      </c>
      <c r="I5695" s="159">
        <f>I5694</f>
        <v>0.36996099999999998</v>
      </c>
      <c r="J5695" s="160"/>
      <c r="K5695" s="161">
        <f>K5694</f>
        <v>379080</v>
      </c>
      <c r="L5695" s="162">
        <v>12</v>
      </c>
      <c r="M5695" s="163" t="str">
        <f>CONCATENATE(H5695," ",F5695,"(обрабатываемая площадь в мес.)","*",L5695,"мес.","*",I5695,"/",K5695,"чел.")</f>
        <v>4960,26 м2(обрабатываемая площадь в мес.)*12мес.*0,369961/379080чел.</v>
      </c>
      <c r="N5695" s="164">
        <f>$N$5487</f>
        <v>0.57006991568990339</v>
      </c>
      <c r="O5695" s="165">
        <f>MROUND(G5695*N5695,0.000001)</f>
        <v>3.3116E-2</v>
      </c>
      <c r="P5695" s="166"/>
      <c r="Q5695" s="166">
        <f t="shared" si="1500"/>
        <v>12553.61328</v>
      </c>
      <c r="R5695" s="71"/>
      <c r="S5695" s="61"/>
      <c r="T5695" s="61"/>
      <c r="U5695" s="61"/>
      <c r="V5695" s="61"/>
      <c r="W5695" s="61"/>
      <c r="X5695" s="61"/>
      <c r="Y5695" s="61"/>
      <c r="Z5695" s="61"/>
      <c r="AA5695" s="61"/>
      <c r="AB5695" s="61"/>
      <c r="AC5695" s="61"/>
      <c r="AD5695" s="61"/>
      <c r="AE5695" s="61"/>
      <c r="AF5695" s="61"/>
      <c r="AG5695" s="61"/>
      <c r="AH5695" s="61"/>
      <c r="AI5695" s="61"/>
      <c r="AJ5695" s="61"/>
      <c r="AK5695" s="61"/>
      <c r="AL5695" s="61"/>
      <c r="AM5695" s="61"/>
      <c r="AN5695" s="61"/>
      <c r="AO5695" s="61"/>
    </row>
    <row r="5696" spans="1:41" s="135" customFormat="1" ht="31.5" x14ac:dyDescent="0.25">
      <c r="A5696" s="358"/>
      <c r="B5696" s="361"/>
      <c r="C5696" s="366"/>
      <c r="D5696" s="156" t="s">
        <v>395</v>
      </c>
      <c r="E5696" s="156" t="s">
        <v>98</v>
      </c>
      <c r="F5696" s="156" t="s">
        <v>98</v>
      </c>
      <c r="G5696" s="238">
        <f t="shared" si="1501"/>
        <v>1.8347749999999999E-6</v>
      </c>
      <c r="H5696" s="242">
        <f>$H$2100</f>
        <v>1.8800000000000001</v>
      </c>
      <c r="I5696" s="159">
        <f>I5695</f>
        <v>0.36996099999999998</v>
      </c>
      <c r="J5696" s="160"/>
      <c r="K5696" s="161">
        <f>K5695</f>
        <v>379080</v>
      </c>
      <c r="L5696" s="162">
        <v>1</v>
      </c>
      <c r="M5696" s="163" t="str">
        <f>CONCATENATE(H5696," ",F5696,"(обрабатываемая площадь в год)","*",L5696," раз в год","*",I5696,"/",K5696,"чел.")</f>
        <v>1,88 Га(обрабатываемая площадь в год)*1 раз в год*0,369961/379080чел.</v>
      </c>
      <c r="N5696" s="164">
        <f>$N$5488</f>
        <v>570.07446808510633</v>
      </c>
      <c r="O5696" s="165">
        <f>MROUND(G5696*N5696,0.000001)</f>
        <v>1.0460000000000001E-3</v>
      </c>
      <c r="P5696" s="166"/>
      <c r="Q5696" s="166">
        <f t="shared" si="1500"/>
        <v>396.51768000000004</v>
      </c>
      <c r="R5696" s="71"/>
      <c r="S5696" s="61"/>
      <c r="T5696" s="61"/>
      <c r="U5696" s="61"/>
      <c r="V5696" s="61"/>
      <c r="W5696" s="61"/>
      <c r="X5696" s="61"/>
      <c r="Y5696" s="61"/>
      <c r="Z5696" s="61"/>
      <c r="AA5696" s="61"/>
      <c r="AB5696" s="61"/>
      <c r="AC5696" s="61"/>
      <c r="AD5696" s="61"/>
      <c r="AE5696" s="61"/>
      <c r="AF5696" s="61"/>
      <c r="AG5696" s="61"/>
      <c r="AH5696" s="61"/>
      <c r="AI5696" s="61"/>
      <c r="AJ5696" s="61"/>
      <c r="AK5696" s="61"/>
      <c r="AL5696" s="61"/>
      <c r="AM5696" s="61"/>
      <c r="AN5696" s="61"/>
      <c r="AO5696" s="61"/>
    </row>
    <row r="5697" spans="1:41" s="61" customFormat="1" ht="31.5" x14ac:dyDescent="0.25">
      <c r="A5697" s="358"/>
      <c r="B5697" s="361"/>
      <c r="C5697" s="367"/>
      <c r="D5697" s="156" t="s">
        <v>97</v>
      </c>
      <c r="E5697" s="156" t="s">
        <v>363</v>
      </c>
      <c r="F5697" s="156" t="s">
        <v>363</v>
      </c>
      <c r="G5697" s="238">
        <f t="shared" si="1501"/>
        <v>1.8347749999999999E-6</v>
      </c>
      <c r="H5697" s="158">
        <f>$H$2101</f>
        <v>1.8800000000000001</v>
      </c>
      <c r="I5697" s="159">
        <f>I5693</f>
        <v>0.36996099999999998</v>
      </c>
      <c r="J5697" s="160"/>
      <c r="K5697" s="161">
        <f>K5693</f>
        <v>379080</v>
      </c>
      <c r="L5697" s="250">
        <v>1</v>
      </c>
      <c r="M5697" s="163" t="str">
        <f>CONCATENATE(H5697," ",F5697,"(обрабатываемая площадь в мес.)","*",L5697,"мес.","*",I5697,"/",K5697,"чел/час")</f>
        <v>1,88 га(обрабатываемая площадь в мес.)*1мес.*0,369961/379080чел/час</v>
      </c>
      <c r="N5697" s="278">
        <f>$N$5489</f>
        <v>3102.4095744680853</v>
      </c>
      <c r="O5697" s="280">
        <f>MROUND(N5697*G5697,0.000001)</f>
        <v>5.692E-3</v>
      </c>
      <c r="P5697" s="166"/>
      <c r="Q5697" s="166">
        <f t="shared" si="1500"/>
        <v>2157.72336</v>
      </c>
      <c r="R5697" s="71"/>
    </row>
    <row r="5698" spans="1:41" s="109" customFormat="1" x14ac:dyDescent="0.25">
      <c r="A5698" s="358"/>
      <c r="B5698" s="361"/>
      <c r="C5698" s="218" t="s">
        <v>327</v>
      </c>
      <c r="D5698" s="240"/>
      <c r="E5698" s="240"/>
      <c r="F5698" s="240"/>
      <c r="G5698" s="227"/>
      <c r="H5698" s="241"/>
      <c r="I5698" s="206"/>
      <c r="J5698" s="228"/>
      <c r="K5698" s="207"/>
      <c r="L5698" s="257"/>
      <c r="M5698" s="209"/>
      <c r="N5698" s="281"/>
      <c r="O5698" s="279">
        <f>SUM(O5692:O5697)</f>
        <v>0.28394199999999992</v>
      </c>
      <c r="P5698" s="267"/>
      <c r="Q5698" s="166"/>
      <c r="R5698" s="71"/>
      <c r="S5698" s="62"/>
      <c r="T5698" s="62"/>
      <c r="U5698" s="62"/>
      <c r="V5698" s="62"/>
      <c r="W5698" s="62"/>
      <c r="X5698" s="62"/>
      <c r="Y5698" s="62"/>
      <c r="Z5698" s="62"/>
      <c r="AA5698" s="62"/>
      <c r="AB5698" s="62"/>
      <c r="AC5698" s="62"/>
      <c r="AD5698" s="62"/>
      <c r="AE5698" s="62"/>
      <c r="AF5698" s="62"/>
      <c r="AG5698" s="62"/>
      <c r="AH5698" s="62"/>
      <c r="AI5698" s="62"/>
      <c r="AJ5698" s="62"/>
      <c r="AK5698" s="62"/>
      <c r="AL5698" s="62"/>
      <c r="AM5698" s="62"/>
      <c r="AN5698" s="62"/>
      <c r="AO5698" s="62"/>
    </row>
    <row r="5699" spans="1:41" s="61" customFormat="1" x14ac:dyDescent="0.25">
      <c r="A5699" s="358"/>
      <c r="B5699" s="361"/>
      <c r="C5699" s="366" t="s">
        <v>77</v>
      </c>
      <c r="D5699" s="156" t="s">
        <v>397</v>
      </c>
      <c r="E5699" s="156" t="s">
        <v>433</v>
      </c>
      <c r="F5699" s="156" t="s">
        <v>433</v>
      </c>
      <c r="G5699" s="238">
        <f t="shared" ref="G5699:G5713" si="1502">MROUND(H5699*L5699*I5699/K5699,0.000000000001)</f>
        <v>0</v>
      </c>
      <c r="H5699" s="158"/>
      <c r="I5699" s="159">
        <f>I5693</f>
        <v>0.36996099999999998</v>
      </c>
      <c r="J5699" s="160"/>
      <c r="K5699" s="161">
        <f>K5693</f>
        <v>379080</v>
      </c>
      <c r="L5699" s="162">
        <v>1</v>
      </c>
      <c r="M5699" s="163"/>
      <c r="N5699" s="278"/>
      <c r="O5699" s="280">
        <f t="shared" ref="O5699:O5710" si="1503">MROUND(N5699*G5699,0.000001)</f>
        <v>0</v>
      </c>
      <c r="P5699" s="166"/>
      <c r="Q5699" s="166">
        <f t="shared" ref="Q5699:Q5713" si="1504">O5699*K5699</f>
        <v>0</v>
      </c>
      <c r="R5699" s="71"/>
    </row>
    <row r="5700" spans="1:41" s="61" customFormat="1" ht="63" x14ac:dyDescent="0.25">
      <c r="A5700" s="358"/>
      <c r="B5700" s="361"/>
      <c r="C5700" s="366"/>
      <c r="D5700" s="156" t="s">
        <v>249</v>
      </c>
      <c r="E5700" s="156" t="s">
        <v>22</v>
      </c>
      <c r="F5700" s="156" t="s">
        <v>22</v>
      </c>
      <c r="G5700" s="238">
        <f t="shared" si="1502"/>
        <v>8.0900715160000004E-3</v>
      </c>
      <c r="H5700" s="158">
        <f>H5492</f>
        <v>690.79</v>
      </c>
      <c r="I5700" s="159">
        <f>I5699</f>
        <v>0.36996099999999998</v>
      </c>
      <c r="J5700" s="160"/>
      <c r="K5700" s="161">
        <f>K5699</f>
        <v>379080</v>
      </c>
      <c r="L5700" s="250">
        <v>12</v>
      </c>
      <c r="M5700" s="163" t="str">
        <f>CONCATENATE(H5700," ",F5700,"*",L5700,"мес.","*",I5700,"/",K5700,"чел/час")</f>
        <v>690,79 м2*12мес.*0,369961/379080чел/час</v>
      </c>
      <c r="N5700" s="278">
        <f>N5492</f>
        <v>31.700778577184575</v>
      </c>
      <c r="O5700" s="280">
        <f t="shared" si="1503"/>
        <v>0.25646199999999997</v>
      </c>
      <c r="P5700" s="166"/>
      <c r="Q5700" s="166">
        <f t="shared" si="1504"/>
        <v>97219.614959999992</v>
      </c>
      <c r="R5700" s="71"/>
    </row>
    <row r="5701" spans="1:41" s="136" customFormat="1" x14ac:dyDescent="0.25">
      <c r="A5701" s="358"/>
      <c r="B5701" s="361"/>
      <c r="C5701" s="366"/>
      <c r="D5701" s="194" t="s">
        <v>398</v>
      </c>
      <c r="E5701" s="156" t="s">
        <v>60</v>
      </c>
      <c r="F5701" s="156" t="s">
        <v>60</v>
      </c>
      <c r="G5701" s="238">
        <f t="shared" si="1502"/>
        <v>4.8797220000000002E-6</v>
      </c>
      <c r="H5701" s="158">
        <f>$H$2105</f>
        <v>5</v>
      </c>
      <c r="I5701" s="159">
        <f>I5700</f>
        <v>0.36996099999999998</v>
      </c>
      <c r="J5701" s="160"/>
      <c r="K5701" s="161">
        <f>K5700</f>
        <v>379080</v>
      </c>
      <c r="L5701" s="250">
        <v>1</v>
      </c>
      <c r="M5701" s="163" t="str">
        <f>CONCATENATE(H5701," ",F5701,"*",I5701,"/",K5701,"чел/час")</f>
        <v>5 шт.*0,369961/379080чел/час</v>
      </c>
      <c r="N5701" s="278">
        <f>$N$5493</f>
        <v>5700.7</v>
      </c>
      <c r="O5701" s="280">
        <f t="shared" si="1503"/>
        <v>2.7817999999999999E-2</v>
      </c>
      <c r="P5701" s="166"/>
      <c r="Q5701" s="166">
        <f t="shared" si="1504"/>
        <v>10545.247439999999</v>
      </c>
      <c r="R5701" s="71"/>
      <c r="S5701" s="61"/>
      <c r="T5701" s="61"/>
      <c r="U5701" s="61"/>
      <c r="V5701" s="61"/>
      <c r="W5701" s="61"/>
      <c r="X5701" s="61"/>
      <c r="Y5701" s="61"/>
      <c r="Z5701" s="61"/>
      <c r="AA5701" s="61"/>
      <c r="AB5701" s="61"/>
      <c r="AC5701" s="61"/>
      <c r="AD5701" s="61"/>
      <c r="AE5701" s="61"/>
      <c r="AF5701" s="61"/>
      <c r="AG5701" s="61"/>
      <c r="AH5701" s="61"/>
      <c r="AI5701" s="61"/>
      <c r="AJ5701" s="61"/>
      <c r="AK5701" s="61"/>
      <c r="AL5701" s="61"/>
      <c r="AM5701" s="61"/>
      <c r="AN5701" s="61"/>
      <c r="AO5701" s="61"/>
    </row>
    <row r="5702" spans="1:41" s="136" customFormat="1" ht="63" x14ac:dyDescent="0.25">
      <c r="A5702" s="358"/>
      <c r="B5702" s="361"/>
      <c r="C5702" s="366"/>
      <c r="D5702" s="156" t="s">
        <v>33</v>
      </c>
      <c r="E5702" s="156" t="s">
        <v>56</v>
      </c>
      <c r="F5702" s="156" t="s">
        <v>220</v>
      </c>
      <c r="G5702" s="238">
        <f t="shared" si="1502"/>
        <v>4.8797220000000002E-6</v>
      </c>
      <c r="H5702" s="158">
        <f>$H$2106</f>
        <v>5</v>
      </c>
      <c r="I5702" s="159">
        <f>I5701</f>
        <v>0.36996099999999998</v>
      </c>
      <c r="J5702" s="160"/>
      <c r="K5702" s="161">
        <f>K5701</f>
        <v>379080</v>
      </c>
      <c r="L5702" s="250">
        <f>$L$2106</f>
        <v>1</v>
      </c>
      <c r="M5702" s="163" t="str">
        <f>CONCATENATE(H5702," ",F5702,"*",L5702," раз в год","*",I5702,"/",K5702,"чел.")</f>
        <v>5 дымоходов*1 раз в год*0,369961/379080чел.</v>
      </c>
      <c r="N5702" s="278">
        <f>$N$5494</f>
        <v>6840.8399999999992</v>
      </c>
      <c r="O5702" s="280">
        <f t="shared" si="1503"/>
        <v>3.3381000000000001E-2</v>
      </c>
      <c r="P5702" s="166"/>
      <c r="Q5702" s="166">
        <f t="shared" si="1504"/>
        <v>12654.06948</v>
      </c>
      <c r="R5702" s="71"/>
      <c r="S5702" s="61"/>
      <c r="T5702" s="61"/>
      <c r="U5702" s="61"/>
      <c r="V5702" s="61"/>
      <c r="W5702" s="61"/>
      <c r="X5702" s="61"/>
      <c r="Y5702" s="61"/>
      <c r="Z5702" s="61"/>
      <c r="AA5702" s="61"/>
      <c r="AB5702" s="61"/>
      <c r="AC5702" s="61"/>
      <c r="AD5702" s="61"/>
      <c r="AE5702" s="61"/>
      <c r="AF5702" s="61"/>
      <c r="AG5702" s="61"/>
      <c r="AH5702" s="61"/>
      <c r="AI5702" s="61"/>
      <c r="AJ5702" s="61"/>
      <c r="AK5702" s="61"/>
      <c r="AL5702" s="61"/>
      <c r="AM5702" s="61"/>
      <c r="AN5702" s="61"/>
      <c r="AO5702" s="61"/>
    </row>
    <row r="5703" spans="1:41" s="61" customFormat="1" ht="78.75" x14ac:dyDescent="0.25">
      <c r="A5703" s="358"/>
      <c r="B5703" s="361"/>
      <c r="C5703" s="366"/>
      <c r="D5703" s="156" t="s">
        <v>250</v>
      </c>
      <c r="E5703" s="156" t="s">
        <v>251</v>
      </c>
      <c r="F5703" s="156" t="s">
        <v>60</v>
      </c>
      <c r="G5703" s="238">
        <f t="shared" si="1502"/>
        <v>4.8797220000000002E-6</v>
      </c>
      <c r="H5703" s="158">
        <f>$H$2107</f>
        <v>5</v>
      </c>
      <c r="I5703" s="159">
        <f>I5700</f>
        <v>0.36996099999999998</v>
      </c>
      <c r="J5703" s="160"/>
      <c r="K5703" s="161">
        <f>K5700</f>
        <v>379080</v>
      </c>
      <c r="L5703" s="250">
        <v>1</v>
      </c>
      <c r="M5703" s="163" t="str">
        <f>CONCATENATE(H5703," ",F5703,"*",I5703,"/",K5703,"чел/час")</f>
        <v>5 шт.*0,369961/379080чел/час</v>
      </c>
      <c r="N5703" s="278">
        <f t="shared" ref="N5703:N5713" si="1505">N5495</f>
        <v>4560.5600000000004</v>
      </c>
      <c r="O5703" s="280">
        <f t="shared" si="1503"/>
        <v>2.2253999999999999E-2</v>
      </c>
      <c r="P5703" s="166"/>
      <c r="Q5703" s="166">
        <f t="shared" si="1504"/>
        <v>8436.0463199999995</v>
      </c>
      <c r="R5703" s="71"/>
    </row>
    <row r="5704" spans="1:41" s="61" customFormat="1" ht="47.25" x14ac:dyDescent="0.25">
      <c r="A5704" s="358"/>
      <c r="B5704" s="361"/>
      <c r="C5704" s="366"/>
      <c r="D5704" s="156" t="s">
        <v>401</v>
      </c>
      <c r="E5704" s="156" t="s">
        <v>60</v>
      </c>
      <c r="F5704" s="156" t="s">
        <v>402</v>
      </c>
      <c r="G5704" s="238">
        <f t="shared" si="1502"/>
        <v>9.7594440000000005E-6</v>
      </c>
      <c r="H5704" s="158">
        <f>H5496</f>
        <v>5</v>
      </c>
      <c r="I5704" s="159">
        <f>I5703</f>
        <v>0.36996099999999998</v>
      </c>
      <c r="J5704" s="160"/>
      <c r="K5704" s="161">
        <f>K5703</f>
        <v>379080</v>
      </c>
      <c r="L5704" s="250">
        <f>$L$2108</f>
        <v>2</v>
      </c>
      <c r="M5704" s="163" t="str">
        <f>CONCATENATE(H5704," ",F5704,"*",I5704,"/",K5704,"чел/час")</f>
        <v>5 противопожарных водопроводов*0,369961/379080чел/час</v>
      </c>
      <c r="N5704" s="278">
        <f t="shared" si="1505"/>
        <v>2850.35</v>
      </c>
      <c r="O5704" s="280">
        <f t="shared" si="1503"/>
        <v>2.7817999999999999E-2</v>
      </c>
      <c r="P5704" s="166"/>
      <c r="Q5704" s="166">
        <f t="shared" si="1504"/>
        <v>10545.247439999999</v>
      </c>
      <c r="R5704" s="71"/>
    </row>
    <row r="5705" spans="1:41" s="61" customFormat="1" ht="47.25" x14ac:dyDescent="0.25">
      <c r="A5705" s="358"/>
      <c r="B5705" s="361"/>
      <c r="C5705" s="366"/>
      <c r="D5705" s="156" t="s">
        <v>34</v>
      </c>
      <c r="E5705" s="156" t="s">
        <v>59</v>
      </c>
      <c r="F5705" s="156" t="s">
        <v>28</v>
      </c>
      <c r="G5705" s="238">
        <f t="shared" si="1502"/>
        <v>1.9518889999999998E-6</v>
      </c>
      <c r="H5705" s="158">
        <f>H5497</f>
        <v>2</v>
      </c>
      <c r="I5705" s="159">
        <f>I5704</f>
        <v>0.36996099999999998</v>
      </c>
      <c r="J5705" s="160"/>
      <c r="K5705" s="161">
        <f>K5704</f>
        <v>379080</v>
      </c>
      <c r="L5705" s="250">
        <v>1</v>
      </c>
      <c r="M5705" s="163" t="str">
        <f>CONCATENATE(H5705," ",F5705,"*",I5705,"/",K5705,"чел/час")</f>
        <v>2 шт*0,369961/379080чел/час</v>
      </c>
      <c r="N5705" s="278">
        <f t="shared" si="1505"/>
        <v>7845</v>
      </c>
      <c r="O5705" s="280">
        <f t="shared" si="1503"/>
        <v>1.5312999999999998E-2</v>
      </c>
      <c r="P5705" s="166"/>
      <c r="Q5705" s="166">
        <f t="shared" si="1504"/>
        <v>5804.8520399999998</v>
      </c>
      <c r="R5705" s="71"/>
    </row>
    <row r="5706" spans="1:41" s="61" customFormat="1" ht="47.25" x14ac:dyDescent="0.25">
      <c r="A5706" s="358"/>
      <c r="B5706" s="361"/>
      <c r="C5706" s="366"/>
      <c r="D5706" s="156" t="s">
        <v>222</v>
      </c>
      <c r="E5706" s="156" t="s">
        <v>60</v>
      </c>
      <c r="F5706" s="156" t="s">
        <v>60</v>
      </c>
      <c r="G5706" s="238">
        <f t="shared" si="1502"/>
        <v>1.9518889999999998E-6</v>
      </c>
      <c r="H5706" s="158">
        <f>H5498</f>
        <v>2</v>
      </c>
      <c r="I5706" s="159">
        <f>I5705</f>
        <v>0.36996099999999998</v>
      </c>
      <c r="J5706" s="160"/>
      <c r="K5706" s="161">
        <f>K5705</f>
        <v>379080</v>
      </c>
      <c r="L5706" s="250">
        <v>1</v>
      </c>
      <c r="M5706" s="163" t="str">
        <f>CONCATENATE(H5706," ",F5706,"*",I5706,"/",K5706,"чел/час")</f>
        <v>2 шт.*0,369961/379080чел/час</v>
      </c>
      <c r="N5706" s="278">
        <f t="shared" si="1505"/>
        <v>13598</v>
      </c>
      <c r="O5706" s="280">
        <f t="shared" si="1503"/>
        <v>2.6542E-2</v>
      </c>
      <c r="P5706" s="166"/>
      <c r="Q5706" s="166">
        <f t="shared" si="1504"/>
        <v>10061.541359999999</v>
      </c>
      <c r="R5706" s="71"/>
    </row>
    <row r="5707" spans="1:41" s="61" customFormat="1" ht="31.5" x14ac:dyDescent="0.25">
      <c r="A5707" s="358"/>
      <c r="B5707" s="361"/>
      <c r="C5707" s="366"/>
      <c r="D5707" s="156" t="s">
        <v>35</v>
      </c>
      <c r="E5707" s="156" t="s">
        <v>102</v>
      </c>
      <c r="F5707" s="156" t="s">
        <v>252</v>
      </c>
      <c r="G5707" s="238">
        <f t="shared" si="1502"/>
        <v>1.9518889999999998E-6</v>
      </c>
      <c r="H5707" s="158">
        <f>H5499</f>
        <v>2</v>
      </c>
      <c r="I5707" s="159">
        <f>I5705</f>
        <v>0.36996099999999998</v>
      </c>
      <c r="J5707" s="160"/>
      <c r="K5707" s="161">
        <f>K5705</f>
        <v>379080</v>
      </c>
      <c r="L5707" s="250">
        <v>1</v>
      </c>
      <c r="M5707" s="163" t="str">
        <f>CONCATENATE(H5707," ",F5707,"*",I5707,"/",K5707,"чел/час")</f>
        <v>2 замера*0,369961/379080чел/час</v>
      </c>
      <c r="N5707" s="278">
        <f t="shared" si="1505"/>
        <v>62500</v>
      </c>
      <c r="O5707" s="280">
        <f t="shared" si="1503"/>
        <v>0.12199299999999999</v>
      </c>
      <c r="P5707" s="166"/>
      <c r="Q5707" s="166">
        <f t="shared" si="1504"/>
        <v>46245.106439999996</v>
      </c>
      <c r="R5707" s="71"/>
    </row>
    <row r="5708" spans="1:41" s="61" customFormat="1" ht="47.25" x14ac:dyDescent="0.25">
      <c r="A5708" s="358"/>
      <c r="B5708" s="361"/>
      <c r="C5708" s="366"/>
      <c r="D5708" s="156" t="s">
        <v>399</v>
      </c>
      <c r="E5708" s="156" t="s">
        <v>60</v>
      </c>
      <c r="F5708" s="156" t="s">
        <v>60</v>
      </c>
      <c r="G5708" s="238">
        <f t="shared" si="1502"/>
        <v>3.9037776000000002E-5</v>
      </c>
      <c r="H5708" s="158">
        <f>$H$2112</f>
        <v>4</v>
      </c>
      <c r="I5708" s="159">
        <f>I5707</f>
        <v>0.36996099999999998</v>
      </c>
      <c r="J5708" s="160"/>
      <c r="K5708" s="161">
        <f>K5707</f>
        <v>379080</v>
      </c>
      <c r="L5708" s="250">
        <v>10</v>
      </c>
      <c r="M5708" s="163" t="str">
        <f>CONCATENATE(H5708," ",F5708,"*",L5708,"мес.","*",I5708,"/",K5708,"чел/час")</f>
        <v>4 шт.*10мес.*0,369961/379080чел/час</v>
      </c>
      <c r="N5708" s="278">
        <f t="shared" si="1505"/>
        <v>2522.5597499999994</v>
      </c>
      <c r="O5708" s="280">
        <f t="shared" si="1503"/>
        <v>9.8474999999999993E-2</v>
      </c>
      <c r="P5708" s="166"/>
      <c r="Q5708" s="166">
        <f t="shared" si="1504"/>
        <v>37329.902999999998</v>
      </c>
      <c r="R5708" s="71"/>
    </row>
    <row r="5709" spans="1:41" s="61" customFormat="1" ht="47.25" x14ac:dyDescent="0.25">
      <c r="A5709" s="358"/>
      <c r="B5709" s="361"/>
      <c r="C5709" s="366"/>
      <c r="D5709" s="156" t="s">
        <v>36</v>
      </c>
      <c r="E5709" s="156" t="s">
        <v>31</v>
      </c>
      <c r="F5709" s="156" t="s">
        <v>224</v>
      </c>
      <c r="G5709" s="238">
        <f t="shared" si="1502"/>
        <v>9.3690662000000003E-5</v>
      </c>
      <c r="H5709" s="158">
        <f>H5501</f>
        <v>8</v>
      </c>
      <c r="I5709" s="159">
        <f>I5708</f>
        <v>0.36996099999999998</v>
      </c>
      <c r="J5709" s="160"/>
      <c r="K5709" s="161">
        <f>K5708</f>
        <v>379080</v>
      </c>
      <c r="L5709" s="250">
        <v>12</v>
      </c>
      <c r="M5709" s="163" t="str">
        <f>CONCATENATE(H5709," ",F5709,"*",L5709,"мес.","*",I5709,"/",K5709,"чел/час")</f>
        <v>8 устройств*12мес.*0,369961/379080чел/час</v>
      </c>
      <c r="N5709" s="278">
        <f t="shared" si="1505"/>
        <v>2301.2000000000003</v>
      </c>
      <c r="O5709" s="280">
        <f t="shared" si="1503"/>
        <v>0.21560099999999999</v>
      </c>
      <c r="P5709" s="166"/>
      <c r="Q5709" s="166">
        <f t="shared" si="1504"/>
        <v>81730.02708</v>
      </c>
      <c r="R5709" s="71"/>
    </row>
    <row r="5710" spans="1:41" s="61" customFormat="1" ht="63" x14ac:dyDescent="0.25">
      <c r="A5710" s="358"/>
      <c r="B5710" s="361"/>
      <c r="C5710" s="366"/>
      <c r="D5710" s="156" t="s">
        <v>253</v>
      </c>
      <c r="E5710" s="156" t="s">
        <v>55</v>
      </c>
      <c r="F5710" s="156" t="s">
        <v>55</v>
      </c>
      <c r="G5710" s="238">
        <f t="shared" si="1502"/>
        <v>5.8556663999999996E-5</v>
      </c>
      <c r="H5710" s="158">
        <f>H5502</f>
        <v>5</v>
      </c>
      <c r="I5710" s="159">
        <f>I5709</f>
        <v>0.36996099999999998</v>
      </c>
      <c r="J5710" s="160"/>
      <c r="K5710" s="161">
        <f>K5709</f>
        <v>379080</v>
      </c>
      <c r="L5710" s="250">
        <v>12</v>
      </c>
      <c r="M5710" s="163" t="str">
        <f>CONCATENATE(H5710," ",F5710,"*",I5710,"/",K5710,"чел/час")</f>
        <v>5 система*0,369961/379080чел/час</v>
      </c>
      <c r="N5710" s="278">
        <f t="shared" si="1505"/>
        <v>4446.5460000000003</v>
      </c>
      <c r="O5710" s="280">
        <f t="shared" si="1503"/>
        <v>0.26037499999999997</v>
      </c>
      <c r="P5710" s="166"/>
      <c r="Q5710" s="166">
        <f t="shared" si="1504"/>
        <v>98702.954999999987</v>
      </c>
      <c r="R5710" s="71"/>
    </row>
    <row r="5711" spans="1:41" s="61" customFormat="1" ht="31.5" x14ac:dyDescent="0.25">
      <c r="A5711" s="358"/>
      <c r="B5711" s="361"/>
      <c r="C5711" s="366"/>
      <c r="D5711" s="156" t="s">
        <v>99</v>
      </c>
      <c r="E5711" s="156" t="s">
        <v>103</v>
      </c>
      <c r="F5711" s="156" t="s">
        <v>225</v>
      </c>
      <c r="G5711" s="238">
        <f t="shared" si="1502"/>
        <v>2.4398610000000001E-5</v>
      </c>
      <c r="H5711" s="158">
        <f>H5503</f>
        <v>25</v>
      </c>
      <c r="I5711" s="159">
        <f>I5710</f>
        <v>0.36996099999999998</v>
      </c>
      <c r="J5711" s="160"/>
      <c r="K5711" s="161">
        <f>K5710</f>
        <v>379080</v>
      </c>
      <c r="L5711" s="250">
        <v>1</v>
      </c>
      <c r="M5711" s="163" t="str">
        <f>CONCATENATE(H5711," ",F5711,"*",I5711,"/",K5711,"чел.")</f>
        <v>25 ед.*0,369961/379080чел.</v>
      </c>
      <c r="N5711" s="164">
        <f t="shared" si="1505"/>
        <v>15000</v>
      </c>
      <c r="O5711" s="165">
        <f>MROUND(G5711*N5711,0.000001)</f>
        <v>0.365979</v>
      </c>
      <c r="P5711" s="166"/>
      <c r="Q5711" s="166">
        <f t="shared" si="1504"/>
        <v>138735.31932000001</v>
      </c>
      <c r="R5711" s="71"/>
    </row>
    <row r="5712" spans="1:41" s="61" customFormat="1" x14ac:dyDescent="0.25">
      <c r="A5712" s="358"/>
      <c r="B5712" s="361"/>
      <c r="C5712" s="366"/>
      <c r="D5712" s="156" t="s">
        <v>27</v>
      </c>
      <c r="E5712" s="156" t="s">
        <v>28</v>
      </c>
      <c r="F5712" s="156" t="s">
        <v>28</v>
      </c>
      <c r="G5712" s="238">
        <f t="shared" si="1502"/>
        <v>1.46391659E-4</v>
      </c>
      <c r="H5712" s="160">
        <f>H5504</f>
        <v>150</v>
      </c>
      <c r="I5712" s="159">
        <f>I5710</f>
        <v>0.36996099999999998</v>
      </c>
      <c r="J5712" s="160"/>
      <c r="K5712" s="161">
        <f>K5710</f>
        <v>379080</v>
      </c>
      <c r="L5712" s="250">
        <v>1</v>
      </c>
      <c r="M5712" s="163" t="str">
        <f>CONCATENATE(H5712," ",F5712,"*",I5712,"/",K5712,"чел/час")</f>
        <v>150 шт*0,369961/379080чел/час</v>
      </c>
      <c r="N5712" s="278">
        <f t="shared" si="1505"/>
        <v>400</v>
      </c>
      <c r="O5712" s="280">
        <f t="shared" ref="O5712:O5713" si="1506">MROUND(N5712*G5712,0.000001)</f>
        <v>5.8556999999999998E-2</v>
      </c>
      <c r="P5712" s="166"/>
      <c r="Q5712" s="166">
        <f t="shared" si="1504"/>
        <v>22197.787560000001</v>
      </c>
      <c r="R5712" s="71"/>
    </row>
    <row r="5713" spans="1:41" s="61" customFormat="1" ht="31.5" x14ac:dyDescent="0.25">
      <c r="A5713" s="358"/>
      <c r="B5713" s="361"/>
      <c r="C5713" s="367"/>
      <c r="D5713" s="156" t="s">
        <v>104</v>
      </c>
      <c r="E5713" s="156" t="s">
        <v>105</v>
      </c>
      <c r="F5713" s="156" t="s">
        <v>226</v>
      </c>
      <c r="G5713" s="238">
        <f t="shared" si="1502"/>
        <v>4.8797220000000002E-6</v>
      </c>
      <c r="H5713" s="160">
        <f>H5505</f>
        <v>5</v>
      </c>
      <c r="I5713" s="159">
        <f>I5712</f>
        <v>0.36996099999999998</v>
      </c>
      <c r="J5713" s="160"/>
      <c r="K5713" s="161">
        <f>K5712</f>
        <v>379080</v>
      </c>
      <c r="L5713" s="250">
        <v>1</v>
      </c>
      <c r="M5713" s="163" t="str">
        <f>CONCATENATE(H5713," ",F5713,"*",I5713,"/",K5713,"чел/час")</f>
        <v>5 отключений*0,369961/379080чел/час</v>
      </c>
      <c r="N5713" s="278">
        <f t="shared" si="1505"/>
        <v>9414</v>
      </c>
      <c r="O5713" s="280">
        <f t="shared" si="1506"/>
        <v>4.5938E-2</v>
      </c>
      <c r="P5713" s="166"/>
      <c r="Q5713" s="166">
        <f t="shared" si="1504"/>
        <v>17414.177039999999</v>
      </c>
      <c r="R5713" s="71"/>
    </row>
    <row r="5714" spans="1:41" s="109" customFormat="1" x14ac:dyDescent="0.25">
      <c r="A5714" s="358"/>
      <c r="B5714" s="361"/>
      <c r="C5714" s="249" t="s">
        <v>326</v>
      </c>
      <c r="D5714" s="240"/>
      <c r="E5714" s="240"/>
      <c r="F5714" s="240"/>
      <c r="G5714" s="227"/>
      <c r="H5714" s="228"/>
      <c r="I5714" s="206"/>
      <c r="J5714" s="228"/>
      <c r="K5714" s="207"/>
      <c r="L5714" s="257"/>
      <c r="M5714" s="209"/>
      <c r="N5714" s="281"/>
      <c r="O5714" s="279">
        <f>SUM(O5699:O5713)</f>
        <v>1.576506</v>
      </c>
      <c r="P5714" s="267"/>
      <c r="Q5714" s="166"/>
      <c r="R5714" s="71"/>
      <c r="S5714" s="62"/>
      <c r="T5714" s="62"/>
      <c r="U5714" s="62"/>
      <c r="V5714" s="62"/>
      <c r="W5714" s="62"/>
      <c r="X5714" s="62"/>
      <c r="Y5714" s="62"/>
      <c r="Z5714" s="62"/>
      <c r="AA5714" s="62"/>
      <c r="AB5714" s="62"/>
      <c r="AC5714" s="62"/>
      <c r="AD5714" s="62"/>
      <c r="AE5714" s="62"/>
      <c r="AF5714" s="62"/>
      <c r="AG5714" s="62"/>
      <c r="AH5714" s="62"/>
      <c r="AI5714" s="62"/>
      <c r="AJ5714" s="62"/>
      <c r="AK5714" s="62"/>
      <c r="AL5714" s="62"/>
      <c r="AM5714" s="62"/>
      <c r="AN5714" s="62"/>
      <c r="AO5714" s="62"/>
    </row>
    <row r="5715" spans="1:41" s="61" customFormat="1" ht="31.5" x14ac:dyDescent="0.25">
      <c r="A5715" s="358"/>
      <c r="B5715" s="361"/>
      <c r="C5715" s="221" t="s">
        <v>79</v>
      </c>
      <c r="D5715" s="156" t="s">
        <v>37</v>
      </c>
      <c r="E5715" s="156" t="s">
        <v>61</v>
      </c>
      <c r="F5715" s="156" t="s">
        <v>254</v>
      </c>
      <c r="G5715" s="238">
        <f>MROUND(H5715*L5715*I5715/K5715,0.000000000001)</f>
        <v>9.7594399999999999E-7</v>
      </c>
      <c r="H5715" s="158">
        <f>$H$2119</f>
        <v>1</v>
      </c>
      <c r="I5715" s="159">
        <f>I5713</f>
        <v>0.36996099999999998</v>
      </c>
      <c r="J5715" s="160"/>
      <c r="K5715" s="161">
        <f>K5713</f>
        <v>379080</v>
      </c>
      <c r="L5715" s="250">
        <v>1</v>
      </c>
      <c r="M5715" s="163" t="str">
        <f>CONCATENATE(H5715," ",F5715,"*",I5715,"/",K5715,"чел/час")</f>
        <v>1 автобус*0,369961/379080чел/час</v>
      </c>
      <c r="N5715" s="278">
        <f>N5507</f>
        <v>24426.36</v>
      </c>
      <c r="O5715" s="280">
        <f>MROUND(N5715*G5715,0.000001)</f>
        <v>2.3838999999999999E-2</v>
      </c>
      <c r="P5715" s="166"/>
      <c r="Q5715" s="166">
        <f>O5715*K5715</f>
        <v>9036.8881199999996</v>
      </c>
      <c r="R5715" s="71"/>
    </row>
    <row r="5716" spans="1:41" s="61" customFormat="1" x14ac:dyDescent="0.25">
      <c r="A5716" s="358"/>
      <c r="B5716" s="361"/>
      <c r="C5716" s="221"/>
      <c r="D5716" s="156" t="s">
        <v>255</v>
      </c>
      <c r="E5716" s="156" t="s">
        <v>28</v>
      </c>
      <c r="F5716" s="156" t="s">
        <v>28</v>
      </c>
      <c r="G5716" s="238">
        <f>MROUND(H5716*L5716*I5716/K5716,0.000000000001)</f>
        <v>6.7340162999999999E-4</v>
      </c>
      <c r="H5716" s="158">
        <f>H5508</f>
        <v>345</v>
      </c>
      <c r="I5716" s="159">
        <f>I5715</f>
        <v>0.36996099999999998</v>
      </c>
      <c r="J5716" s="160"/>
      <c r="K5716" s="161">
        <f>K5715</f>
        <v>379080</v>
      </c>
      <c r="L5716" s="250">
        <v>2</v>
      </c>
      <c r="M5716" s="163" t="str">
        <f>CONCATENATE(H5716," ",F5716,"*",L5716,"раза в год","*",I5716,"/",K5716,"чел/час")</f>
        <v>345 шт*2раза в год*0,369961/379080чел/час</v>
      </c>
      <c r="N5716" s="278">
        <f>N5508</f>
        <v>456.05601449275366</v>
      </c>
      <c r="O5716" s="280">
        <f>MROUND(N5716*G5716,0.000001)</f>
        <v>0.30710899999999997</v>
      </c>
      <c r="P5716" s="166"/>
      <c r="Q5716" s="166">
        <f>O5716*K5716</f>
        <v>116418.87971999998</v>
      </c>
      <c r="R5716" s="71"/>
    </row>
    <row r="5717" spans="1:41" s="109" customFormat="1" x14ac:dyDescent="0.25">
      <c r="A5717" s="358"/>
      <c r="B5717" s="361"/>
      <c r="C5717" s="218" t="s">
        <v>328</v>
      </c>
      <c r="D5717" s="240"/>
      <c r="E5717" s="240"/>
      <c r="F5717" s="240"/>
      <c r="G5717" s="227"/>
      <c r="H5717" s="241"/>
      <c r="I5717" s="206"/>
      <c r="J5717" s="228"/>
      <c r="K5717" s="207"/>
      <c r="L5717" s="257"/>
      <c r="M5717" s="209"/>
      <c r="N5717" s="281"/>
      <c r="O5717" s="279">
        <f>O5716+O5715</f>
        <v>0.33094799999999996</v>
      </c>
      <c r="P5717" s="267"/>
      <c r="Q5717" s="166"/>
      <c r="R5717" s="71"/>
      <c r="S5717" s="62"/>
      <c r="T5717" s="62"/>
      <c r="U5717" s="62"/>
      <c r="V5717" s="62"/>
      <c r="W5717" s="62"/>
      <c r="X5717" s="62"/>
      <c r="Y5717" s="62"/>
      <c r="Z5717" s="62"/>
      <c r="AA5717" s="62"/>
      <c r="AB5717" s="62"/>
      <c r="AC5717" s="62"/>
      <c r="AD5717" s="62"/>
      <c r="AE5717" s="62"/>
      <c r="AF5717" s="62"/>
      <c r="AG5717" s="62"/>
      <c r="AH5717" s="62"/>
      <c r="AI5717" s="62"/>
      <c r="AJ5717" s="62"/>
      <c r="AK5717" s="62"/>
      <c r="AL5717" s="62"/>
      <c r="AM5717" s="62"/>
      <c r="AN5717" s="62"/>
      <c r="AO5717" s="62"/>
    </row>
    <row r="5718" spans="1:41" s="61" customFormat="1" x14ac:dyDescent="0.25">
      <c r="A5718" s="358"/>
      <c r="B5718" s="361"/>
      <c r="C5718" s="364" t="s">
        <v>80</v>
      </c>
      <c r="D5718" s="156" t="s">
        <v>38</v>
      </c>
      <c r="E5718" s="156" t="s">
        <v>57</v>
      </c>
      <c r="F5718" s="156" t="s">
        <v>228</v>
      </c>
      <c r="G5718" s="238">
        <f t="shared" ref="G5718:G5729" si="1507">MROUND(H5718*L5718*I5718/K5718,0.000000000001)</f>
        <v>9.3690662000000003E-5</v>
      </c>
      <c r="H5718" s="158">
        <f>H5510</f>
        <v>8</v>
      </c>
      <c r="I5718" s="159">
        <f>I5715</f>
        <v>0.36996099999999998</v>
      </c>
      <c r="J5718" s="160"/>
      <c r="K5718" s="161">
        <f>K5715</f>
        <v>379080</v>
      </c>
      <c r="L5718" s="250">
        <v>12</v>
      </c>
      <c r="M5718" s="163" t="str">
        <f>CONCATENATE(H5718," ",F5718,"*",L5718,"мес.","*",I5718,"/",K5718,"чел/час")</f>
        <v>8 зданий*12мес.*0,369961/379080чел/час</v>
      </c>
      <c r="N5718" s="278">
        <f t="shared" ref="N5718:N5726" si="1508">N5510</f>
        <v>4910.5830208333327</v>
      </c>
      <c r="O5718" s="280">
        <f t="shared" ref="O5718:O5729" si="1509">MROUND(N5718*G5718,0.000001)</f>
        <v>0.46007599999999998</v>
      </c>
      <c r="P5718" s="166"/>
      <c r="Q5718" s="166">
        <f t="shared" ref="Q5718:Q5729" si="1510">O5718*K5718</f>
        <v>174405.61007999998</v>
      </c>
      <c r="R5718" s="71"/>
    </row>
    <row r="5719" spans="1:41" s="61" customFormat="1" x14ac:dyDescent="0.25">
      <c r="A5719" s="358"/>
      <c r="B5719" s="361"/>
      <c r="C5719" s="364"/>
      <c r="D5719" s="156" t="s">
        <v>256</v>
      </c>
      <c r="E5719" s="156" t="s">
        <v>20</v>
      </c>
      <c r="F5719" s="156" t="s">
        <v>20</v>
      </c>
      <c r="G5719" s="238">
        <f t="shared" si="1507"/>
        <v>1.8250160099999999E-4</v>
      </c>
      <c r="H5719" s="158">
        <f>H5511</f>
        <v>187</v>
      </c>
      <c r="I5719" s="159">
        <f>I5716</f>
        <v>0.36996099999999998</v>
      </c>
      <c r="J5719" s="160"/>
      <c r="K5719" s="161">
        <f>K5716</f>
        <v>379080</v>
      </c>
      <c r="L5719" s="250">
        <v>1</v>
      </c>
      <c r="M5719" s="163" t="str">
        <f t="shared" ref="M5719:M5726" si="1511">CONCATENATE(H5719," ",F5719,"*",I5719,"/",K5719,"чел/час")</f>
        <v>187 чел.*0,369961/379080чел/час</v>
      </c>
      <c r="N5719" s="278">
        <f t="shared" si="1508"/>
        <v>1938.2379679144385</v>
      </c>
      <c r="O5719" s="280">
        <f t="shared" si="1509"/>
        <v>0.35373199999999999</v>
      </c>
      <c r="P5719" s="166"/>
      <c r="Q5719" s="166">
        <f t="shared" si="1510"/>
        <v>134092.72656000001</v>
      </c>
      <c r="R5719" s="71"/>
    </row>
    <row r="5720" spans="1:41" s="61" customFormat="1" ht="63" x14ac:dyDescent="0.25">
      <c r="A5720" s="358"/>
      <c r="B5720" s="361"/>
      <c r="C5720" s="364"/>
      <c r="D5720" s="156" t="s">
        <v>39</v>
      </c>
      <c r="E5720" s="156" t="s">
        <v>20</v>
      </c>
      <c r="F5720" s="156" t="s">
        <v>234</v>
      </c>
      <c r="G5720" s="238">
        <f t="shared" si="1507"/>
        <v>8.7834999999999998E-6</v>
      </c>
      <c r="H5720" s="158">
        <f>H5512</f>
        <v>9</v>
      </c>
      <c r="I5720" s="159">
        <f>I5718</f>
        <v>0.36996099999999998</v>
      </c>
      <c r="J5720" s="160"/>
      <c r="K5720" s="161">
        <f>K5718</f>
        <v>379080</v>
      </c>
      <c r="L5720" s="250">
        <v>1</v>
      </c>
      <c r="M5720" s="163" t="str">
        <f t="shared" si="1511"/>
        <v>9 чел(заявленная потребность руководителями учреждений)*0,369961/379080чел/час</v>
      </c>
      <c r="N5720" s="278">
        <f t="shared" si="1508"/>
        <v>798.09666666666669</v>
      </c>
      <c r="O5720" s="280">
        <f t="shared" si="1509"/>
        <v>7.0099999999999997E-3</v>
      </c>
      <c r="P5720" s="166"/>
      <c r="Q5720" s="166">
        <f t="shared" si="1510"/>
        <v>2657.3507999999997</v>
      </c>
      <c r="R5720" s="71"/>
    </row>
    <row r="5721" spans="1:41" s="61" customFormat="1" ht="63" x14ac:dyDescent="0.25">
      <c r="A5721" s="358"/>
      <c r="B5721" s="361"/>
      <c r="C5721" s="364"/>
      <c r="D5721" s="156" t="s">
        <v>40</v>
      </c>
      <c r="E5721" s="156" t="s">
        <v>20</v>
      </c>
      <c r="F5721" s="156" t="s">
        <v>234</v>
      </c>
      <c r="G5721" s="238">
        <f t="shared" si="1507"/>
        <v>1.2687277E-5</v>
      </c>
      <c r="H5721" s="158">
        <f>H5513</f>
        <v>13</v>
      </c>
      <c r="I5721" s="159">
        <f t="shared" ref="I5721:I5726" si="1512">I5720</f>
        <v>0.36996099999999998</v>
      </c>
      <c r="J5721" s="160"/>
      <c r="K5721" s="161">
        <f t="shared" ref="K5721:K5726" si="1513">K5720</f>
        <v>379080</v>
      </c>
      <c r="L5721" s="250">
        <v>1</v>
      </c>
      <c r="M5721" s="163" t="str">
        <f t="shared" si="1511"/>
        <v>13 чел(заявленная потребность руководителями учреждений)*0,369961/379080чел/час</v>
      </c>
      <c r="N5721" s="278">
        <f t="shared" si="1508"/>
        <v>1710.2100000000003</v>
      </c>
      <c r="O5721" s="280">
        <f t="shared" si="1509"/>
        <v>2.1697999999999999E-2</v>
      </c>
      <c r="P5721" s="166"/>
      <c r="Q5721" s="166">
        <f t="shared" si="1510"/>
        <v>8225.2778399999988</v>
      </c>
      <c r="R5721" s="71"/>
    </row>
    <row r="5722" spans="1:41" s="61" customFormat="1" ht="63" x14ac:dyDescent="0.25">
      <c r="A5722" s="358"/>
      <c r="B5722" s="361"/>
      <c r="C5722" s="364"/>
      <c r="D5722" s="156" t="s">
        <v>100</v>
      </c>
      <c r="E5722" s="156" t="s">
        <v>20</v>
      </c>
      <c r="F5722" s="156" t="s">
        <v>234</v>
      </c>
      <c r="G5722" s="238">
        <f t="shared" si="1507"/>
        <v>6.831611E-6</v>
      </c>
      <c r="H5722" s="158">
        <f>H5514</f>
        <v>7</v>
      </c>
      <c r="I5722" s="159">
        <f t="shared" si="1512"/>
        <v>0.36996099999999998</v>
      </c>
      <c r="J5722" s="160"/>
      <c r="K5722" s="161">
        <f t="shared" si="1513"/>
        <v>379080</v>
      </c>
      <c r="L5722" s="250">
        <v>1</v>
      </c>
      <c r="M5722" s="163" t="str">
        <f t="shared" si="1511"/>
        <v>7 чел(заявленная потребность руководителями учреждений)*0,369961/379080чел/час</v>
      </c>
      <c r="N5722" s="278">
        <f t="shared" si="1508"/>
        <v>3648.4471428571428</v>
      </c>
      <c r="O5722" s="280">
        <f t="shared" si="1509"/>
        <v>2.4924999999999999E-2</v>
      </c>
      <c r="P5722" s="166"/>
      <c r="Q5722" s="166">
        <f t="shared" si="1510"/>
        <v>9448.5689999999995</v>
      </c>
      <c r="R5722" s="71"/>
    </row>
    <row r="5723" spans="1:41" s="61" customFormat="1" ht="110.25" x14ac:dyDescent="0.25">
      <c r="A5723" s="358"/>
      <c r="B5723" s="361"/>
      <c r="C5723" s="364"/>
      <c r="D5723" s="156" t="s">
        <v>235</v>
      </c>
      <c r="E5723" s="156" t="s">
        <v>50</v>
      </c>
      <c r="F5723" s="156" t="s">
        <v>230</v>
      </c>
      <c r="G5723" s="238">
        <f t="shared" si="1507"/>
        <v>4.8797220000000002E-6</v>
      </c>
      <c r="H5723" s="158">
        <v>5</v>
      </c>
      <c r="I5723" s="159">
        <f t="shared" si="1512"/>
        <v>0.36996099999999998</v>
      </c>
      <c r="J5723" s="160"/>
      <c r="K5723" s="161">
        <f t="shared" si="1513"/>
        <v>379080</v>
      </c>
      <c r="L5723" s="250">
        <v>1</v>
      </c>
      <c r="M5723" s="163" t="str">
        <f t="shared" si="1511"/>
        <v>5 отчетов*0,369961/379080чел/час</v>
      </c>
      <c r="N5723" s="278">
        <f t="shared" si="1508"/>
        <v>6840.8399999999992</v>
      </c>
      <c r="O5723" s="280">
        <f t="shared" si="1509"/>
        <v>3.3381000000000001E-2</v>
      </c>
      <c r="P5723" s="166"/>
      <c r="Q5723" s="166">
        <f t="shared" si="1510"/>
        <v>12654.06948</v>
      </c>
      <c r="R5723" s="71"/>
    </row>
    <row r="5724" spans="1:41" s="61" customFormat="1" ht="63" x14ac:dyDescent="0.25">
      <c r="A5724" s="358"/>
      <c r="B5724" s="361"/>
      <c r="C5724" s="364"/>
      <c r="D5724" s="156" t="s">
        <v>42</v>
      </c>
      <c r="E5724" s="156" t="s">
        <v>51</v>
      </c>
      <c r="F5724" s="156" t="s">
        <v>407</v>
      </c>
      <c r="G5724" s="238">
        <f t="shared" si="1507"/>
        <v>2.5374554E-5</v>
      </c>
      <c r="H5724" s="158">
        <f>H5516</f>
        <v>26</v>
      </c>
      <c r="I5724" s="159">
        <f t="shared" si="1512"/>
        <v>0.36996099999999998</v>
      </c>
      <c r="J5724" s="160"/>
      <c r="K5724" s="161">
        <f t="shared" si="1513"/>
        <v>379080</v>
      </c>
      <c r="L5724" s="250">
        <v>1</v>
      </c>
      <c r="M5724" s="163" t="str">
        <f t="shared" si="1511"/>
        <v>26 ед (заявленная потребность руководителями учреждений)*0,369961/379080чел/час</v>
      </c>
      <c r="N5724" s="278">
        <f t="shared" si="1508"/>
        <v>1140.1400000000001</v>
      </c>
      <c r="O5724" s="280">
        <f t="shared" si="1509"/>
        <v>2.8930999999999998E-2</v>
      </c>
      <c r="P5724" s="166"/>
      <c r="Q5724" s="166">
        <f t="shared" si="1510"/>
        <v>10967.163479999999</v>
      </c>
      <c r="R5724" s="71"/>
    </row>
    <row r="5725" spans="1:41" s="61" customFormat="1" ht="31.5" x14ac:dyDescent="0.25">
      <c r="A5725" s="358"/>
      <c r="B5725" s="361"/>
      <c r="C5725" s="364"/>
      <c r="D5725" s="156" t="s">
        <v>43</v>
      </c>
      <c r="E5725" s="156" t="s">
        <v>52</v>
      </c>
      <c r="F5725" s="156" t="s">
        <v>231</v>
      </c>
      <c r="G5725" s="238">
        <f t="shared" si="1507"/>
        <v>4.8797220000000002E-6</v>
      </c>
      <c r="H5725" s="158">
        <v>5</v>
      </c>
      <c r="I5725" s="159">
        <f t="shared" si="1512"/>
        <v>0.36996099999999998</v>
      </c>
      <c r="J5725" s="160"/>
      <c r="K5725" s="161">
        <f t="shared" si="1513"/>
        <v>379080</v>
      </c>
      <c r="L5725" s="250">
        <v>1</v>
      </c>
      <c r="M5725" s="163" t="str">
        <f t="shared" si="1511"/>
        <v>5 ЭЦП*0,369961/379080чел/час</v>
      </c>
      <c r="N5725" s="278">
        <f t="shared" si="1508"/>
        <v>8099.55</v>
      </c>
      <c r="O5725" s="280">
        <f t="shared" si="1509"/>
        <v>3.9523999999999997E-2</v>
      </c>
      <c r="P5725" s="166"/>
      <c r="Q5725" s="166">
        <f t="shared" si="1510"/>
        <v>14982.757919999998</v>
      </c>
      <c r="R5725" s="71"/>
    </row>
    <row r="5726" spans="1:41" s="61" customFormat="1" x14ac:dyDescent="0.25">
      <c r="A5726" s="358"/>
      <c r="B5726" s="361"/>
      <c r="C5726" s="364"/>
      <c r="D5726" s="156" t="s">
        <v>373</v>
      </c>
      <c r="E5726" s="156" t="s">
        <v>28</v>
      </c>
      <c r="F5726" s="156" t="s">
        <v>28</v>
      </c>
      <c r="G5726" s="238">
        <f t="shared" si="1507"/>
        <v>4.8797220000000002E-6</v>
      </c>
      <c r="H5726" s="158">
        <f>H5518</f>
        <v>5</v>
      </c>
      <c r="I5726" s="159">
        <f t="shared" si="1512"/>
        <v>0.36996099999999998</v>
      </c>
      <c r="J5726" s="160"/>
      <c r="K5726" s="161">
        <f t="shared" si="1513"/>
        <v>379080</v>
      </c>
      <c r="L5726" s="250">
        <v>1</v>
      </c>
      <c r="M5726" s="163" t="str">
        <f t="shared" si="1511"/>
        <v>5 шт*0,369961/379080чел/час</v>
      </c>
      <c r="N5726" s="278">
        <f t="shared" si="1508"/>
        <v>24000</v>
      </c>
      <c r="O5726" s="280">
        <f t="shared" si="1509"/>
        <v>0.11711299999999999</v>
      </c>
      <c r="P5726" s="166"/>
      <c r="Q5726" s="166">
        <f t="shared" si="1510"/>
        <v>44395.196039999995</v>
      </c>
      <c r="R5726" s="71"/>
    </row>
    <row r="5727" spans="1:41" s="136" customFormat="1" ht="47.25" x14ac:dyDescent="0.25">
      <c r="A5727" s="358"/>
      <c r="B5727" s="361"/>
      <c r="C5727" s="364"/>
      <c r="D5727" s="156" t="s">
        <v>44</v>
      </c>
      <c r="E5727" s="156" t="s">
        <v>85</v>
      </c>
      <c r="F5727" s="156" t="s">
        <v>232</v>
      </c>
      <c r="G5727" s="238">
        <f t="shared" si="1507"/>
        <v>2.9668709500000001E-4</v>
      </c>
      <c r="H5727" s="158">
        <f>$H$2132</f>
        <v>304</v>
      </c>
      <c r="I5727" s="159">
        <f>I5725</f>
        <v>0.36996099999999998</v>
      </c>
      <c r="J5727" s="160"/>
      <c r="K5727" s="161">
        <f>K5725</f>
        <v>379080</v>
      </c>
      <c r="L5727" s="250">
        <v>1</v>
      </c>
      <c r="M5727" s="163" t="str">
        <f>CONCATENATE(H5727," ",F5727,"*",L5727,"мес.","*",I5727,"/",K5727,"чел.")</f>
        <v>304 мед.осмотров в мес.*1мес.*0,369961/379080чел.</v>
      </c>
      <c r="N5727" s="278">
        <f>$N$5520</f>
        <v>59.287269736842113</v>
      </c>
      <c r="O5727" s="280">
        <f t="shared" si="1509"/>
        <v>1.7589999999999998E-2</v>
      </c>
      <c r="P5727" s="166"/>
      <c r="Q5727" s="166">
        <f t="shared" si="1510"/>
        <v>6668.0171999999993</v>
      </c>
      <c r="R5727" s="71"/>
      <c r="S5727" s="71"/>
      <c r="T5727" s="61"/>
      <c r="U5727" s="61"/>
      <c r="V5727" s="61"/>
      <c r="W5727" s="61"/>
      <c r="X5727" s="61"/>
      <c r="Y5727" s="61"/>
      <c r="Z5727" s="61"/>
      <c r="AA5727" s="61"/>
      <c r="AB5727" s="61"/>
      <c r="AC5727" s="61"/>
      <c r="AD5727" s="61"/>
      <c r="AE5727" s="61"/>
      <c r="AF5727" s="61"/>
      <c r="AG5727" s="61"/>
      <c r="AH5727" s="61"/>
      <c r="AI5727" s="61"/>
      <c r="AJ5727" s="61"/>
      <c r="AK5727" s="61"/>
      <c r="AL5727" s="61"/>
      <c r="AM5727" s="61"/>
      <c r="AN5727" s="61"/>
      <c r="AO5727" s="61"/>
    </row>
    <row r="5728" spans="1:41" s="61" customFormat="1" ht="63" x14ac:dyDescent="0.25">
      <c r="A5728" s="358"/>
      <c r="B5728" s="361"/>
      <c r="C5728" s="364"/>
      <c r="D5728" s="156" t="s">
        <v>45</v>
      </c>
      <c r="E5728" s="156" t="s">
        <v>53</v>
      </c>
      <c r="F5728" s="156" t="s">
        <v>257</v>
      </c>
      <c r="G5728" s="238">
        <f t="shared" si="1507"/>
        <v>1.1711332999999999E-5</v>
      </c>
      <c r="H5728" s="158">
        <v>1</v>
      </c>
      <c r="I5728" s="159">
        <f>I5727</f>
        <v>0.36996099999999998</v>
      </c>
      <c r="J5728" s="160"/>
      <c r="K5728" s="161">
        <f>K5727</f>
        <v>379080</v>
      </c>
      <c r="L5728" s="250">
        <v>12</v>
      </c>
      <c r="M5728" s="163" t="str">
        <f>CONCATENATE(H5728," ",F5728,"*",L5728,"мес.","*",I5728,"/",K5728,"чел/час")</f>
        <v>1  машина, оборудованная системой ГЛОНАСС*12мес.*0,369961/379080чел/час</v>
      </c>
      <c r="N5728" s="278">
        <f>N5519</f>
        <v>921.23333333333346</v>
      </c>
      <c r="O5728" s="280">
        <f t="shared" si="1509"/>
        <v>1.0789E-2</v>
      </c>
      <c r="P5728" s="166"/>
      <c r="Q5728" s="166">
        <f t="shared" si="1510"/>
        <v>4089.8941199999999</v>
      </c>
      <c r="R5728" s="71"/>
    </row>
    <row r="5729" spans="1:41" s="61" customFormat="1" ht="31.5" x14ac:dyDescent="0.25">
      <c r="A5729" s="358"/>
      <c r="B5729" s="361"/>
      <c r="C5729" s="364"/>
      <c r="D5729" s="156" t="s">
        <v>408</v>
      </c>
      <c r="E5729" s="156" t="s">
        <v>20</v>
      </c>
      <c r="F5729" s="156" t="s">
        <v>20</v>
      </c>
      <c r="G5729" s="238">
        <f t="shared" si="1507"/>
        <v>0</v>
      </c>
      <c r="H5729" s="158"/>
      <c r="I5729" s="159">
        <f>I5727</f>
        <v>0.36996099999999998</v>
      </c>
      <c r="J5729" s="160"/>
      <c r="K5729" s="161">
        <f>K5727</f>
        <v>379080</v>
      </c>
      <c r="L5729" s="250">
        <f>L5521</f>
        <v>1</v>
      </c>
      <c r="M5729" s="163"/>
      <c r="N5729" s="278"/>
      <c r="O5729" s="280">
        <f t="shared" si="1509"/>
        <v>0</v>
      </c>
      <c r="P5729" s="166"/>
      <c r="Q5729" s="166">
        <f t="shared" si="1510"/>
        <v>0</v>
      </c>
      <c r="R5729" s="71"/>
    </row>
    <row r="5730" spans="1:41" s="109" customFormat="1" x14ac:dyDescent="0.25">
      <c r="A5730" s="358"/>
      <c r="B5730" s="361"/>
      <c r="C5730" s="245" t="s">
        <v>329</v>
      </c>
      <c r="D5730" s="240"/>
      <c r="E5730" s="240"/>
      <c r="F5730" s="240"/>
      <c r="G5730" s="227"/>
      <c r="H5730" s="241"/>
      <c r="I5730" s="206"/>
      <c r="J5730" s="228"/>
      <c r="K5730" s="207"/>
      <c r="L5730" s="257"/>
      <c r="M5730" s="209"/>
      <c r="N5730" s="281"/>
      <c r="O5730" s="279">
        <f>SUM(O5718:O5729)</f>
        <v>1.1147689999999999</v>
      </c>
      <c r="P5730" s="267"/>
      <c r="Q5730" s="166"/>
      <c r="R5730" s="71"/>
      <c r="S5730" s="62"/>
      <c r="T5730" s="62"/>
      <c r="U5730" s="62"/>
      <c r="V5730" s="62"/>
      <c r="W5730" s="62"/>
      <c r="X5730" s="62"/>
      <c r="Y5730" s="62"/>
      <c r="Z5730" s="62"/>
      <c r="AA5730" s="62"/>
      <c r="AB5730" s="62"/>
      <c r="AC5730" s="62"/>
      <c r="AD5730" s="62"/>
      <c r="AE5730" s="62"/>
      <c r="AF5730" s="62"/>
      <c r="AG5730" s="62"/>
      <c r="AH5730" s="62"/>
      <c r="AI5730" s="62"/>
      <c r="AJ5730" s="62"/>
      <c r="AK5730" s="62"/>
      <c r="AL5730" s="62"/>
      <c r="AM5730" s="62"/>
      <c r="AN5730" s="62"/>
      <c r="AO5730" s="62"/>
    </row>
    <row r="5731" spans="1:41" s="61" customFormat="1" ht="31.5" x14ac:dyDescent="0.25">
      <c r="A5731" s="358"/>
      <c r="B5731" s="361"/>
      <c r="C5731" s="252" t="s">
        <v>237</v>
      </c>
      <c r="D5731" s="156" t="s">
        <v>41</v>
      </c>
      <c r="E5731" s="156" t="s">
        <v>61</v>
      </c>
      <c r="F5731" s="156" t="s">
        <v>254</v>
      </c>
      <c r="G5731" s="238">
        <f t="shared" ref="G5731:G5738" si="1514">MROUND(H5731*L5731*I5731/K5731,0.000000000001)</f>
        <v>9.7594399999999999E-7</v>
      </c>
      <c r="H5731" s="158">
        <v>1</v>
      </c>
      <c r="I5731" s="159">
        <f>I5729</f>
        <v>0.36996099999999998</v>
      </c>
      <c r="J5731" s="160"/>
      <c r="K5731" s="161">
        <f>K5729</f>
        <v>379080</v>
      </c>
      <c r="L5731" s="250">
        <v>1</v>
      </c>
      <c r="M5731" s="163" t="str">
        <f>CONCATENATE(H5731," ",F5731,"*",I5731,"/",K5731,"чел/час")</f>
        <v>1 автобус*0,369961/379080чел/час</v>
      </c>
      <c r="N5731" s="278">
        <f>N5523</f>
        <v>26907.3</v>
      </c>
      <c r="O5731" s="280">
        <f t="shared" ref="O5731:O5742" si="1515">MROUND(N5731*G5731,0.000001)</f>
        <v>2.6259999999999999E-2</v>
      </c>
      <c r="P5731" s="166"/>
      <c r="Q5731" s="166">
        <f t="shared" ref="Q5731:Q5742" si="1516">O5731*K5731</f>
        <v>9954.6407999999992</v>
      </c>
      <c r="R5731" s="71"/>
    </row>
    <row r="5732" spans="1:41" s="61" customFormat="1" ht="78.75" x14ac:dyDescent="0.25">
      <c r="A5732" s="358"/>
      <c r="B5732" s="361"/>
      <c r="C5732" s="221" t="s">
        <v>236</v>
      </c>
      <c r="D5732" s="156" t="s">
        <v>19</v>
      </c>
      <c r="E5732" s="181" t="s">
        <v>20</v>
      </c>
      <c r="F5732" s="181" t="s">
        <v>238</v>
      </c>
      <c r="G5732" s="238">
        <f t="shared" si="1514"/>
        <v>0</v>
      </c>
      <c r="H5732" s="158"/>
      <c r="I5732" s="159">
        <f>I5729</f>
        <v>0.36996099999999998</v>
      </c>
      <c r="J5732" s="160"/>
      <c r="K5732" s="161">
        <f>K5729</f>
        <v>379080</v>
      </c>
      <c r="L5732" s="250"/>
      <c r="M5732" s="163"/>
      <c r="N5732" s="278"/>
      <c r="O5732" s="280">
        <f t="shared" si="1515"/>
        <v>0</v>
      </c>
      <c r="P5732" s="166"/>
      <c r="Q5732" s="166">
        <f t="shared" si="1516"/>
        <v>0</v>
      </c>
      <c r="R5732" s="71"/>
    </row>
    <row r="5733" spans="1:41" s="136" customFormat="1" ht="31.5" x14ac:dyDescent="0.25">
      <c r="A5733" s="358"/>
      <c r="B5733" s="361"/>
      <c r="C5733" s="372" t="s">
        <v>81</v>
      </c>
      <c r="D5733" s="156" t="s">
        <v>419</v>
      </c>
      <c r="E5733" s="156" t="s">
        <v>28</v>
      </c>
      <c r="F5733" s="156" t="s">
        <v>439</v>
      </c>
      <c r="G5733" s="238">
        <f t="shared" si="1514"/>
        <v>0</v>
      </c>
      <c r="H5733" s="158"/>
      <c r="I5733" s="159">
        <f>I5732</f>
        <v>0.36996099999999998</v>
      </c>
      <c r="J5733" s="160"/>
      <c r="K5733" s="161">
        <f>K5732</f>
        <v>379080</v>
      </c>
      <c r="L5733" s="250">
        <v>1</v>
      </c>
      <c r="M5733" s="163"/>
      <c r="N5733" s="278"/>
      <c r="O5733" s="280">
        <f t="shared" si="1515"/>
        <v>0</v>
      </c>
      <c r="P5733" s="166"/>
      <c r="Q5733" s="166">
        <f t="shared" si="1516"/>
        <v>0</v>
      </c>
      <c r="R5733" s="71"/>
      <c r="S5733" s="61"/>
      <c r="T5733" s="71"/>
      <c r="U5733" s="61"/>
      <c r="V5733" s="61"/>
      <c r="W5733" s="61"/>
      <c r="X5733" s="61"/>
      <c r="Y5733" s="61"/>
      <c r="Z5733" s="61"/>
      <c r="AA5733" s="61"/>
      <c r="AB5733" s="61"/>
      <c r="AC5733" s="61"/>
      <c r="AD5733" s="61"/>
      <c r="AE5733" s="61"/>
      <c r="AF5733" s="61"/>
      <c r="AG5733" s="61"/>
      <c r="AH5733" s="61"/>
      <c r="AI5733" s="61"/>
      <c r="AJ5733" s="61"/>
      <c r="AK5733" s="61"/>
      <c r="AL5733" s="61"/>
      <c r="AM5733" s="61"/>
      <c r="AN5733" s="61"/>
      <c r="AO5733" s="61"/>
    </row>
    <row r="5734" spans="1:41" s="136" customFormat="1" ht="31.5" x14ac:dyDescent="0.25">
      <c r="A5734" s="358"/>
      <c r="B5734" s="361"/>
      <c r="C5734" s="373"/>
      <c r="D5734" s="156" t="s">
        <v>425</v>
      </c>
      <c r="E5734" s="156" t="s">
        <v>28</v>
      </c>
      <c r="F5734" s="156" t="s">
        <v>439</v>
      </c>
      <c r="G5734" s="238">
        <f t="shared" si="1514"/>
        <v>0</v>
      </c>
      <c r="H5734" s="158"/>
      <c r="I5734" s="159">
        <f t="shared" ref="I5734:I5742" si="1517">I5733</f>
        <v>0.36996099999999998</v>
      </c>
      <c r="J5734" s="160"/>
      <c r="K5734" s="161">
        <f t="shared" ref="K5734:K5742" si="1518">K5733</f>
        <v>379080</v>
      </c>
      <c r="L5734" s="250">
        <v>1</v>
      </c>
      <c r="M5734" s="163" t="str">
        <f t="shared" ref="M5734:M5736" si="1519">CONCATENATE(H5734," ",F5734,"*",I5734,"/",K5734,"чел/час")</f>
        <v xml:space="preserve"> шт (потребность учреждений) *0,369961/379080чел/час</v>
      </c>
      <c r="N5734" s="278"/>
      <c r="O5734" s="280">
        <f t="shared" si="1515"/>
        <v>0</v>
      </c>
      <c r="P5734" s="166"/>
      <c r="Q5734" s="166">
        <f t="shared" si="1516"/>
        <v>0</v>
      </c>
      <c r="R5734" s="71"/>
      <c r="S5734" s="61"/>
      <c r="T5734" s="71"/>
      <c r="U5734" s="61"/>
      <c r="V5734" s="61"/>
      <c r="W5734" s="61"/>
      <c r="X5734" s="61"/>
      <c r="Y5734" s="61"/>
      <c r="Z5734" s="61"/>
      <c r="AA5734" s="61"/>
      <c r="AB5734" s="61"/>
      <c r="AC5734" s="61"/>
      <c r="AD5734" s="61"/>
      <c r="AE5734" s="61"/>
      <c r="AF5734" s="61"/>
      <c r="AG5734" s="61"/>
      <c r="AH5734" s="61"/>
      <c r="AI5734" s="61"/>
      <c r="AJ5734" s="61"/>
      <c r="AK5734" s="61"/>
      <c r="AL5734" s="61"/>
      <c r="AM5734" s="61"/>
      <c r="AN5734" s="61"/>
      <c r="AO5734" s="61"/>
    </row>
    <row r="5735" spans="1:41" s="136" customFormat="1" ht="31.5" x14ac:dyDescent="0.25">
      <c r="A5735" s="358"/>
      <c r="B5735" s="361"/>
      <c r="C5735" s="373"/>
      <c r="D5735" s="156" t="s">
        <v>426</v>
      </c>
      <c r="E5735" s="156" t="s">
        <v>28</v>
      </c>
      <c r="F5735" s="156" t="s">
        <v>439</v>
      </c>
      <c r="G5735" s="238">
        <f t="shared" si="1514"/>
        <v>0</v>
      </c>
      <c r="H5735" s="158"/>
      <c r="I5735" s="159">
        <f t="shared" si="1517"/>
        <v>0.36996099999999998</v>
      </c>
      <c r="J5735" s="160"/>
      <c r="K5735" s="161">
        <f t="shared" si="1518"/>
        <v>379080</v>
      </c>
      <c r="L5735" s="250">
        <v>1</v>
      </c>
      <c r="M5735" s="163" t="str">
        <f t="shared" si="1519"/>
        <v xml:space="preserve"> шт (потребность учреждений) *0,369961/379080чел/час</v>
      </c>
      <c r="N5735" s="278"/>
      <c r="O5735" s="280">
        <f t="shared" si="1515"/>
        <v>0</v>
      </c>
      <c r="P5735" s="166"/>
      <c r="Q5735" s="166">
        <f t="shared" si="1516"/>
        <v>0</v>
      </c>
      <c r="R5735" s="71"/>
      <c r="S5735" s="61"/>
      <c r="T5735" s="71"/>
      <c r="U5735" s="61"/>
      <c r="V5735" s="61"/>
      <c r="W5735" s="61"/>
      <c r="X5735" s="61"/>
      <c r="Y5735" s="61"/>
      <c r="Z5735" s="61"/>
      <c r="AA5735" s="61"/>
      <c r="AB5735" s="61"/>
      <c r="AC5735" s="61"/>
      <c r="AD5735" s="61"/>
      <c r="AE5735" s="61"/>
      <c r="AF5735" s="61"/>
      <c r="AG5735" s="61"/>
      <c r="AH5735" s="61"/>
      <c r="AI5735" s="61"/>
      <c r="AJ5735" s="61"/>
      <c r="AK5735" s="61"/>
      <c r="AL5735" s="61"/>
      <c r="AM5735" s="61"/>
      <c r="AN5735" s="61"/>
      <c r="AO5735" s="61"/>
    </row>
    <row r="5736" spans="1:41" s="136" customFormat="1" ht="31.5" x14ac:dyDescent="0.25">
      <c r="A5736" s="358"/>
      <c r="B5736" s="361"/>
      <c r="C5736" s="373"/>
      <c r="D5736" s="156" t="s">
        <v>427</v>
      </c>
      <c r="E5736" s="156" t="s">
        <v>28</v>
      </c>
      <c r="F5736" s="156" t="s">
        <v>439</v>
      </c>
      <c r="G5736" s="238">
        <f t="shared" si="1514"/>
        <v>0</v>
      </c>
      <c r="H5736" s="158"/>
      <c r="I5736" s="159">
        <f t="shared" si="1517"/>
        <v>0.36996099999999998</v>
      </c>
      <c r="J5736" s="160"/>
      <c r="K5736" s="161">
        <f t="shared" si="1518"/>
        <v>379080</v>
      </c>
      <c r="L5736" s="250">
        <v>1</v>
      </c>
      <c r="M5736" s="163" t="str">
        <f t="shared" si="1519"/>
        <v xml:space="preserve"> шт (потребность учреждений) *0,369961/379080чел/час</v>
      </c>
      <c r="N5736" s="278"/>
      <c r="O5736" s="280">
        <f t="shared" si="1515"/>
        <v>0</v>
      </c>
      <c r="P5736" s="166"/>
      <c r="Q5736" s="166">
        <f t="shared" si="1516"/>
        <v>0</v>
      </c>
      <c r="R5736" s="71"/>
      <c r="S5736" s="61"/>
      <c r="T5736" s="71"/>
      <c r="U5736" s="61"/>
      <c r="V5736" s="61"/>
      <c r="W5736" s="61"/>
      <c r="X5736" s="61"/>
      <c r="Y5736" s="61"/>
      <c r="Z5736" s="61"/>
      <c r="AA5736" s="61"/>
      <c r="AB5736" s="61"/>
      <c r="AC5736" s="61"/>
      <c r="AD5736" s="61"/>
      <c r="AE5736" s="61"/>
      <c r="AF5736" s="61"/>
      <c r="AG5736" s="61"/>
      <c r="AH5736" s="61"/>
      <c r="AI5736" s="61"/>
      <c r="AJ5736" s="61"/>
      <c r="AK5736" s="61"/>
      <c r="AL5736" s="61"/>
      <c r="AM5736" s="61"/>
      <c r="AN5736" s="61"/>
      <c r="AO5736" s="61"/>
    </row>
    <row r="5737" spans="1:41" s="136" customFormat="1" ht="31.5" x14ac:dyDescent="0.25">
      <c r="A5737" s="358"/>
      <c r="B5737" s="361"/>
      <c r="C5737" s="373"/>
      <c r="D5737" s="156" t="s">
        <v>428</v>
      </c>
      <c r="E5737" s="156" t="s">
        <v>28</v>
      </c>
      <c r="F5737" s="156" t="s">
        <v>439</v>
      </c>
      <c r="G5737" s="238">
        <f t="shared" si="1514"/>
        <v>0</v>
      </c>
      <c r="H5737" s="158"/>
      <c r="I5737" s="159">
        <f t="shared" si="1517"/>
        <v>0.36996099999999998</v>
      </c>
      <c r="J5737" s="160"/>
      <c r="K5737" s="161">
        <f t="shared" si="1518"/>
        <v>379080</v>
      </c>
      <c r="L5737" s="250">
        <v>1</v>
      </c>
      <c r="M5737" s="163"/>
      <c r="N5737" s="278"/>
      <c r="O5737" s="280">
        <f t="shared" si="1515"/>
        <v>0</v>
      </c>
      <c r="P5737" s="166"/>
      <c r="Q5737" s="166">
        <f t="shared" si="1516"/>
        <v>0</v>
      </c>
      <c r="R5737" s="71"/>
      <c r="S5737" s="61"/>
      <c r="T5737" s="71"/>
      <c r="U5737" s="61"/>
      <c r="V5737" s="61"/>
      <c r="W5737" s="61"/>
      <c r="X5737" s="61"/>
      <c r="Y5737" s="61"/>
      <c r="Z5737" s="61"/>
      <c r="AA5737" s="61"/>
      <c r="AB5737" s="61"/>
      <c r="AC5737" s="61"/>
      <c r="AD5737" s="61"/>
      <c r="AE5737" s="61"/>
      <c r="AF5737" s="61"/>
      <c r="AG5737" s="61"/>
      <c r="AH5737" s="61"/>
      <c r="AI5737" s="61"/>
      <c r="AJ5737" s="61"/>
      <c r="AK5737" s="61"/>
      <c r="AL5737" s="61"/>
      <c r="AM5737" s="61"/>
      <c r="AN5737" s="61"/>
      <c r="AO5737" s="61"/>
    </row>
    <row r="5738" spans="1:41" s="136" customFormat="1" ht="31.5" x14ac:dyDescent="0.25">
      <c r="A5738" s="358"/>
      <c r="B5738" s="361"/>
      <c r="C5738" s="373"/>
      <c r="D5738" s="156" t="s">
        <v>429</v>
      </c>
      <c r="E5738" s="156" t="s">
        <v>28</v>
      </c>
      <c r="F5738" s="156" t="s">
        <v>439</v>
      </c>
      <c r="G5738" s="238">
        <f t="shared" si="1514"/>
        <v>0</v>
      </c>
      <c r="H5738" s="158"/>
      <c r="I5738" s="159">
        <f t="shared" si="1517"/>
        <v>0.36996099999999998</v>
      </c>
      <c r="J5738" s="160"/>
      <c r="K5738" s="161">
        <f t="shared" si="1518"/>
        <v>379080</v>
      </c>
      <c r="L5738" s="250">
        <v>1</v>
      </c>
      <c r="M5738" s="163"/>
      <c r="N5738" s="278"/>
      <c r="O5738" s="280">
        <f t="shared" si="1515"/>
        <v>0</v>
      </c>
      <c r="P5738" s="166"/>
      <c r="Q5738" s="166">
        <f t="shared" si="1516"/>
        <v>0</v>
      </c>
      <c r="R5738" s="71"/>
      <c r="S5738" s="61"/>
      <c r="T5738" s="71"/>
      <c r="U5738" s="61"/>
      <c r="V5738" s="61"/>
      <c r="W5738" s="61"/>
      <c r="X5738" s="61"/>
      <c r="Y5738" s="61"/>
      <c r="Z5738" s="61"/>
      <c r="AA5738" s="61"/>
      <c r="AB5738" s="61"/>
      <c r="AC5738" s="61"/>
      <c r="AD5738" s="61"/>
      <c r="AE5738" s="61"/>
      <c r="AF5738" s="61"/>
      <c r="AG5738" s="61"/>
      <c r="AH5738" s="61"/>
      <c r="AI5738" s="61"/>
      <c r="AJ5738" s="61"/>
      <c r="AK5738" s="61"/>
      <c r="AL5738" s="61"/>
      <c r="AM5738" s="61"/>
      <c r="AN5738" s="61"/>
      <c r="AO5738" s="61"/>
    </row>
    <row r="5739" spans="1:41" s="136" customFormat="1" ht="31.5" x14ac:dyDescent="0.25">
      <c r="A5739" s="358"/>
      <c r="B5739" s="361"/>
      <c r="C5739" s="373"/>
      <c r="D5739" s="156" t="s">
        <v>110</v>
      </c>
      <c r="E5739" s="156" t="s">
        <v>28</v>
      </c>
      <c r="F5739" s="156" t="s">
        <v>439</v>
      </c>
      <c r="G5739" s="238">
        <f>MROUND(H5739*L5739*I5739/K5739,0.0000000000000001)</f>
        <v>0</v>
      </c>
      <c r="H5739" s="158"/>
      <c r="I5739" s="159">
        <f t="shared" si="1517"/>
        <v>0.36996099999999998</v>
      </c>
      <c r="J5739" s="160"/>
      <c r="K5739" s="161">
        <f t="shared" si="1518"/>
        <v>379080</v>
      </c>
      <c r="L5739" s="250">
        <v>1</v>
      </c>
      <c r="M5739" s="163"/>
      <c r="N5739" s="278"/>
      <c r="O5739" s="280">
        <f t="shared" si="1515"/>
        <v>0</v>
      </c>
      <c r="P5739" s="166"/>
      <c r="Q5739" s="166">
        <f t="shared" si="1516"/>
        <v>0</v>
      </c>
      <c r="R5739" s="71"/>
      <c r="S5739" s="61"/>
      <c r="T5739" s="71"/>
      <c r="U5739" s="61"/>
      <c r="V5739" s="61"/>
      <c r="W5739" s="61"/>
      <c r="X5739" s="61"/>
      <c r="Y5739" s="61"/>
      <c r="Z5739" s="61"/>
      <c r="AA5739" s="61"/>
      <c r="AB5739" s="61"/>
      <c r="AC5739" s="61"/>
      <c r="AD5739" s="61"/>
      <c r="AE5739" s="61"/>
      <c r="AF5739" s="61"/>
      <c r="AG5739" s="61"/>
      <c r="AH5739" s="61"/>
      <c r="AI5739" s="61"/>
      <c r="AJ5739" s="61"/>
      <c r="AK5739" s="61"/>
      <c r="AL5739" s="61"/>
      <c r="AM5739" s="61"/>
      <c r="AN5739" s="61"/>
      <c r="AO5739" s="61"/>
    </row>
    <row r="5740" spans="1:41" s="136" customFormat="1" ht="31.5" x14ac:dyDescent="0.25">
      <c r="A5740" s="358"/>
      <c r="B5740" s="361"/>
      <c r="C5740" s="373"/>
      <c r="D5740" s="156" t="s">
        <v>112</v>
      </c>
      <c r="E5740" s="156" t="s">
        <v>28</v>
      </c>
      <c r="F5740" s="156" t="s">
        <v>439</v>
      </c>
      <c r="G5740" s="238">
        <f t="shared" ref="G5740:G5742" si="1520">MROUND(H5740*L5740*I5740/K5740,0.000000000001)</f>
        <v>0</v>
      </c>
      <c r="H5740" s="158"/>
      <c r="I5740" s="159">
        <f t="shared" si="1517"/>
        <v>0.36996099999999998</v>
      </c>
      <c r="J5740" s="160"/>
      <c r="K5740" s="161">
        <f t="shared" si="1518"/>
        <v>379080</v>
      </c>
      <c r="L5740" s="250">
        <v>1</v>
      </c>
      <c r="M5740" s="163"/>
      <c r="N5740" s="278"/>
      <c r="O5740" s="280">
        <f t="shared" si="1515"/>
        <v>0</v>
      </c>
      <c r="P5740" s="166"/>
      <c r="Q5740" s="166">
        <f t="shared" si="1516"/>
        <v>0</v>
      </c>
      <c r="R5740" s="71"/>
      <c r="S5740" s="61"/>
      <c r="T5740" s="71"/>
      <c r="U5740" s="61"/>
      <c r="V5740" s="61"/>
      <c r="W5740" s="61"/>
      <c r="X5740" s="61"/>
      <c r="Y5740" s="61"/>
      <c r="Z5740" s="61"/>
      <c r="AA5740" s="61"/>
      <c r="AB5740" s="61"/>
      <c r="AC5740" s="61"/>
      <c r="AD5740" s="61"/>
      <c r="AE5740" s="61"/>
      <c r="AF5740" s="61"/>
      <c r="AG5740" s="61"/>
      <c r="AH5740" s="61"/>
      <c r="AI5740" s="61"/>
      <c r="AJ5740" s="61"/>
      <c r="AK5740" s="61"/>
      <c r="AL5740" s="61"/>
      <c r="AM5740" s="61"/>
      <c r="AN5740" s="61"/>
      <c r="AO5740" s="61"/>
    </row>
    <row r="5741" spans="1:41" s="136" customFormat="1" ht="31.5" x14ac:dyDescent="0.25">
      <c r="A5741" s="358"/>
      <c r="B5741" s="361"/>
      <c r="C5741" s="373"/>
      <c r="D5741" s="156" t="s">
        <v>111</v>
      </c>
      <c r="E5741" s="156" t="s">
        <v>28</v>
      </c>
      <c r="F5741" s="156" t="s">
        <v>439</v>
      </c>
      <c r="G5741" s="238">
        <f t="shared" si="1520"/>
        <v>0</v>
      </c>
      <c r="H5741" s="158"/>
      <c r="I5741" s="159">
        <f t="shared" si="1517"/>
        <v>0.36996099999999998</v>
      </c>
      <c r="J5741" s="160"/>
      <c r="K5741" s="161">
        <f t="shared" si="1518"/>
        <v>379080</v>
      </c>
      <c r="L5741" s="250">
        <v>1</v>
      </c>
      <c r="M5741" s="163"/>
      <c r="N5741" s="278"/>
      <c r="O5741" s="280">
        <f t="shared" si="1515"/>
        <v>0</v>
      </c>
      <c r="P5741" s="166"/>
      <c r="Q5741" s="166">
        <f t="shared" si="1516"/>
        <v>0</v>
      </c>
      <c r="R5741" s="71"/>
      <c r="S5741" s="61"/>
      <c r="T5741" s="71"/>
      <c r="U5741" s="61"/>
      <c r="V5741" s="61"/>
      <c r="W5741" s="61"/>
      <c r="X5741" s="61"/>
      <c r="Y5741" s="61"/>
      <c r="Z5741" s="61"/>
      <c r="AA5741" s="61"/>
      <c r="AB5741" s="61"/>
      <c r="AC5741" s="61"/>
      <c r="AD5741" s="61"/>
      <c r="AE5741" s="61"/>
      <c r="AF5741" s="61"/>
      <c r="AG5741" s="61"/>
      <c r="AH5741" s="61"/>
      <c r="AI5741" s="61"/>
      <c r="AJ5741" s="61"/>
      <c r="AK5741" s="61"/>
      <c r="AL5741" s="61"/>
      <c r="AM5741" s="61"/>
      <c r="AN5741" s="61"/>
      <c r="AO5741" s="61"/>
    </row>
    <row r="5742" spans="1:41" s="136" customFormat="1" ht="31.5" x14ac:dyDescent="0.25">
      <c r="A5742" s="358"/>
      <c r="B5742" s="361"/>
      <c r="C5742" s="374"/>
      <c r="D5742" s="156" t="s">
        <v>438</v>
      </c>
      <c r="E5742" s="156" t="s">
        <v>28</v>
      </c>
      <c r="F5742" s="156" t="s">
        <v>439</v>
      </c>
      <c r="G5742" s="238">
        <f t="shared" si="1520"/>
        <v>0</v>
      </c>
      <c r="H5742" s="158"/>
      <c r="I5742" s="159">
        <f t="shared" si="1517"/>
        <v>0.36996099999999998</v>
      </c>
      <c r="J5742" s="160"/>
      <c r="K5742" s="161">
        <f t="shared" si="1518"/>
        <v>379080</v>
      </c>
      <c r="L5742" s="250">
        <v>1</v>
      </c>
      <c r="M5742" s="163"/>
      <c r="N5742" s="278"/>
      <c r="O5742" s="280">
        <f t="shared" si="1515"/>
        <v>0</v>
      </c>
      <c r="P5742" s="166"/>
      <c r="Q5742" s="166">
        <f t="shared" si="1516"/>
        <v>0</v>
      </c>
      <c r="R5742" s="71"/>
      <c r="S5742" s="61"/>
      <c r="T5742" s="71"/>
      <c r="U5742" s="61"/>
      <c r="V5742" s="61"/>
      <c r="W5742" s="61"/>
      <c r="X5742" s="61"/>
      <c r="Y5742" s="61"/>
      <c r="Z5742" s="61"/>
      <c r="AA5742" s="61"/>
      <c r="AB5742" s="61"/>
      <c r="AC5742" s="61"/>
      <c r="AD5742" s="61"/>
      <c r="AE5742" s="61"/>
      <c r="AF5742" s="61"/>
      <c r="AG5742" s="61"/>
      <c r="AH5742" s="61"/>
      <c r="AI5742" s="61"/>
      <c r="AJ5742" s="61"/>
      <c r="AK5742" s="61"/>
      <c r="AL5742" s="61"/>
      <c r="AM5742" s="61"/>
      <c r="AN5742" s="61"/>
      <c r="AO5742" s="61"/>
    </row>
    <row r="5743" spans="1:41" s="61" customFormat="1" x14ac:dyDescent="0.25">
      <c r="A5743" s="358"/>
      <c r="B5743" s="361"/>
      <c r="C5743" s="245" t="s">
        <v>299</v>
      </c>
      <c r="D5743" s="240"/>
      <c r="E5743" s="240"/>
      <c r="F5743" s="181"/>
      <c r="G5743" s="227"/>
      <c r="H5743" s="241"/>
      <c r="I5743" s="206"/>
      <c r="J5743" s="228"/>
      <c r="K5743" s="207"/>
      <c r="L5743" s="257"/>
      <c r="M5743" s="209"/>
      <c r="N5743" s="290"/>
      <c r="O5743" s="279">
        <f>SUM(O5733:O5742)</f>
        <v>0</v>
      </c>
      <c r="P5743" s="166"/>
      <c r="Q5743" s="166">
        <f>O5743*K5743</f>
        <v>0</v>
      </c>
      <c r="R5743" s="71"/>
    </row>
    <row r="5744" spans="1:41" s="61" customFormat="1" ht="47.25" x14ac:dyDescent="0.25">
      <c r="A5744" s="358"/>
      <c r="B5744" s="361"/>
      <c r="C5744" s="221" t="s">
        <v>434</v>
      </c>
      <c r="D5744" s="156" t="s">
        <v>436</v>
      </c>
      <c r="E5744" s="156" t="s">
        <v>28</v>
      </c>
      <c r="F5744" s="156" t="s">
        <v>437</v>
      </c>
      <c r="G5744" s="238">
        <f>MROUND(H5744*L5744*I5744/K5744,0.000000000001)</f>
        <v>2.5374554E-5</v>
      </c>
      <c r="H5744" s="242">
        <f>$H$2148</f>
        <v>26</v>
      </c>
      <c r="I5744" s="159">
        <f>I5742</f>
        <v>0.36996099999999998</v>
      </c>
      <c r="J5744" s="160"/>
      <c r="K5744" s="161">
        <f>K5742</f>
        <v>379080</v>
      </c>
      <c r="L5744" s="162">
        <v>1</v>
      </c>
      <c r="M5744" s="163" t="str">
        <f>CONCATENATE(H5744," ",F5744,"*",I5744,"/",K5744,"чел.")</f>
        <v>26 огнетушителей (потребность учреждений) *0,369961/379080чел.</v>
      </c>
      <c r="N5744" s="164">
        <f>$N$5536</f>
        <v>2280.2800000000002</v>
      </c>
      <c r="O5744" s="165">
        <f>MROUND(G5744*N5744,0.000001)</f>
        <v>5.7860999999999996E-2</v>
      </c>
      <c r="P5744" s="166"/>
      <c r="Q5744" s="166">
        <f>O5744*K5744</f>
        <v>21933.94788</v>
      </c>
      <c r="R5744" s="71"/>
    </row>
    <row r="5745" spans="1:41" s="61" customFormat="1" x14ac:dyDescent="0.25">
      <c r="A5745" s="358"/>
      <c r="B5745" s="361"/>
      <c r="C5745" s="218" t="s">
        <v>435</v>
      </c>
      <c r="D5745" s="240"/>
      <c r="E5745" s="240"/>
      <c r="F5745" s="240"/>
      <c r="G5745" s="251"/>
      <c r="H5745" s="241"/>
      <c r="I5745" s="206"/>
      <c r="J5745" s="228"/>
      <c r="K5745" s="207"/>
      <c r="L5745" s="229"/>
      <c r="M5745" s="209"/>
      <c r="N5745" s="210"/>
      <c r="O5745" s="198">
        <f>SUM(O5744)</f>
        <v>5.7860999999999996E-2</v>
      </c>
      <c r="P5745" s="166"/>
      <c r="Q5745" s="166"/>
      <c r="R5745" s="71"/>
    </row>
    <row r="5746" spans="1:41" s="61" customFormat="1" ht="110.25" x14ac:dyDescent="0.25">
      <c r="A5746" s="358"/>
      <c r="B5746" s="361"/>
      <c r="C5746" s="221" t="s">
        <v>82</v>
      </c>
      <c r="D5746" s="156" t="s">
        <v>46</v>
      </c>
      <c r="E5746" s="156" t="s">
        <v>54</v>
      </c>
      <c r="F5746" s="156" t="s">
        <v>285</v>
      </c>
      <c r="G5746" s="238">
        <f>MROUND(H5746*L5746*I5746/K5746,0.000000000001)</f>
        <v>2.4528437259999998E-3</v>
      </c>
      <c r="H5746" s="158">
        <f>H5538</f>
        <v>228.48206839032525</v>
      </c>
      <c r="I5746" s="291">
        <f>I5732</f>
        <v>0.36996099999999998</v>
      </c>
      <c r="J5746" s="160"/>
      <c r="K5746" s="161">
        <f>K5732</f>
        <v>379080</v>
      </c>
      <c r="L5746" s="250">
        <f>$L$2150</f>
        <v>11</v>
      </c>
      <c r="M5746" s="163" t="str">
        <f>CONCATENATE(H5746," ",F5746,"*",L5746,"автобус","*",I5746,"/",K5746,"чел/час")</f>
        <v>228,482068390325 л бензина АИ 92 (12,5л/день(зимой)*20дней*7мес+10л/день(летом)*20дней*4мес)*11автобус*0,369961/379080чел/час</v>
      </c>
      <c r="N5746" s="278">
        <f>$N$5538</f>
        <v>57.007000000000005</v>
      </c>
      <c r="O5746" s="280">
        <f t="shared" ref="O5746:O5748" si="1521">MROUND(N5746*G5746,0.000001)</f>
        <v>0.13982899999999998</v>
      </c>
      <c r="P5746" s="166"/>
      <c r="Q5746" s="166">
        <f>O5746*K5746</f>
        <v>53006.377319999992</v>
      </c>
      <c r="R5746" s="71"/>
    </row>
    <row r="5747" spans="1:41" s="61" customFormat="1" ht="47.25" x14ac:dyDescent="0.25">
      <c r="A5747" s="358"/>
      <c r="B5747" s="361"/>
      <c r="C5747" s="364" t="s">
        <v>118</v>
      </c>
      <c r="D5747" s="156" t="s">
        <v>47</v>
      </c>
      <c r="E5747" s="156" t="s">
        <v>28</v>
      </c>
      <c r="F5747" s="156" t="s">
        <v>239</v>
      </c>
      <c r="G5747" s="238">
        <f>MROUND(H5747*L5747*I5747/K5747,0.000000000001)</f>
        <v>1.9518888000000001E-5</v>
      </c>
      <c r="H5747" s="158">
        <f>H5539</f>
        <v>20</v>
      </c>
      <c r="I5747" s="159">
        <f>I5746</f>
        <v>0.36996099999999998</v>
      </c>
      <c r="J5747" s="160"/>
      <c r="K5747" s="161">
        <f>K5746</f>
        <v>379080</v>
      </c>
      <c r="L5747" s="250">
        <v>1</v>
      </c>
      <c r="M5747" s="163" t="str">
        <f>CONCATENATE(H5747," ",F5747,"*",I5747,"/",K5747,"чел/час")</f>
        <v>20 манометров (потребность учреждений) *0,369961/379080чел/час</v>
      </c>
      <c r="N5747" s="278">
        <f>N5539</f>
        <v>679.9</v>
      </c>
      <c r="O5747" s="280">
        <f t="shared" si="1521"/>
        <v>1.3271E-2</v>
      </c>
      <c r="P5747" s="166"/>
      <c r="Q5747" s="166">
        <f>O5747*K5747</f>
        <v>5030.7706799999996</v>
      </c>
      <c r="R5747" s="71"/>
    </row>
    <row r="5748" spans="1:41" s="61" customFormat="1" ht="47.25" x14ac:dyDescent="0.25">
      <c r="A5748" s="358"/>
      <c r="B5748" s="361"/>
      <c r="C5748" s="364"/>
      <c r="D5748" s="255" t="s">
        <v>113</v>
      </c>
      <c r="E5748" s="156" t="s">
        <v>28</v>
      </c>
      <c r="F5748" s="156" t="s">
        <v>240</v>
      </c>
      <c r="G5748" s="238">
        <f>MROUND(H5748*L5748*I5748/K5748,0.000000000001)</f>
        <v>9.7594438999999995E-5</v>
      </c>
      <c r="H5748" s="158">
        <v>100</v>
      </c>
      <c r="I5748" s="159">
        <f>I5747</f>
        <v>0.36996099999999998</v>
      </c>
      <c r="J5748" s="160"/>
      <c r="K5748" s="161">
        <f>K5747</f>
        <v>379080</v>
      </c>
      <c r="L5748" s="250">
        <v>1</v>
      </c>
      <c r="M5748" s="163" t="str">
        <f>CONCATENATE(H5748," ",F5748,"*",I5748,"/",K5748,"чел/час")</f>
        <v>100 светильников (потребность учреждений)*0,369961/379080чел/час</v>
      </c>
      <c r="N5748" s="278">
        <f>N5540</f>
        <v>111.1635</v>
      </c>
      <c r="O5748" s="280">
        <f t="shared" si="1521"/>
        <v>1.0848999999999999E-2</v>
      </c>
      <c r="P5748" s="166"/>
      <c r="Q5748" s="166">
        <f>O5748*K5748</f>
        <v>4112.6389199999994</v>
      </c>
      <c r="R5748" s="71"/>
    </row>
    <row r="5749" spans="1:41" s="109" customFormat="1" x14ac:dyDescent="0.25">
      <c r="A5749" s="359"/>
      <c r="B5749" s="362"/>
      <c r="C5749" s="218" t="s">
        <v>301</v>
      </c>
      <c r="D5749" s="256"/>
      <c r="E5749" s="240"/>
      <c r="F5749" s="240"/>
      <c r="G5749" s="227"/>
      <c r="H5749" s="241"/>
      <c r="I5749" s="206"/>
      <c r="J5749" s="228"/>
      <c r="K5749" s="207"/>
      <c r="L5749" s="257"/>
      <c r="M5749" s="209"/>
      <c r="N5749" s="281"/>
      <c r="O5749" s="279">
        <f>O5747+O5748</f>
        <v>2.4119999999999999E-2</v>
      </c>
      <c r="P5749" s="267"/>
      <c r="Q5749" s="166"/>
      <c r="R5749" s="71"/>
      <c r="S5749" s="62"/>
      <c r="T5749" s="62"/>
      <c r="U5749" s="62"/>
      <c r="V5749" s="62"/>
      <c r="W5749" s="62"/>
      <c r="X5749" s="62"/>
      <c r="Y5749" s="62"/>
      <c r="Z5749" s="62"/>
      <c r="AA5749" s="62"/>
      <c r="AB5749" s="62"/>
      <c r="AC5749" s="62"/>
      <c r="AD5749" s="62"/>
      <c r="AE5749" s="62"/>
      <c r="AF5749" s="62"/>
      <c r="AG5749" s="62"/>
      <c r="AH5749" s="62"/>
      <c r="AI5749" s="62"/>
      <c r="AJ5749" s="62"/>
      <c r="AK5749" s="62"/>
      <c r="AL5749" s="62"/>
      <c r="AM5749" s="62"/>
      <c r="AN5749" s="62"/>
      <c r="AO5749" s="62"/>
    </row>
    <row r="5750" spans="1:41" s="108" customFormat="1" x14ac:dyDescent="0.25">
      <c r="A5750" s="357" t="str">
        <f>школы!$B$35</f>
        <v>Реализация дополнительных общеразвивающих программ (туристско-краеведческая направленность)</v>
      </c>
      <c r="B5750" s="360" t="str">
        <f>школы!$A$35</f>
        <v>801012О.99.0.ББ57АЖ00000</v>
      </c>
      <c r="C5750" s="194"/>
      <c r="D5750" s="363" t="s">
        <v>15</v>
      </c>
      <c r="E5750" s="363"/>
      <c r="F5750" s="363"/>
      <c r="G5750" s="363"/>
      <c r="H5750" s="195"/>
      <c r="I5750" s="195"/>
      <c r="J5750" s="195"/>
      <c r="K5750" s="195"/>
      <c r="L5750" s="196"/>
      <c r="M5750" s="197"/>
      <c r="N5750" s="278"/>
      <c r="O5750" s="279">
        <f>O5751+O5755</f>
        <v>161.57702199790003</v>
      </c>
      <c r="P5750" s="166"/>
      <c r="Q5750" s="166">
        <f t="shared" ref="Q5750:Q5767" si="1522">O5750*K5750</f>
        <v>0</v>
      </c>
      <c r="R5750" s="71"/>
      <c r="S5750" s="61"/>
      <c r="T5750" s="61"/>
      <c r="U5750" s="61"/>
      <c r="V5750" s="61"/>
      <c r="W5750" s="61"/>
      <c r="X5750" s="61"/>
      <c r="Y5750" s="61"/>
      <c r="Z5750" s="61"/>
      <c r="AA5750" s="61"/>
      <c r="AB5750" s="61"/>
      <c r="AC5750" s="61"/>
      <c r="AD5750" s="61"/>
      <c r="AE5750" s="61"/>
      <c r="AF5750" s="61"/>
      <c r="AG5750" s="61"/>
      <c r="AH5750" s="61"/>
      <c r="AI5750" s="61"/>
      <c r="AJ5750" s="61"/>
      <c r="AK5750" s="61"/>
      <c r="AL5750" s="61"/>
      <c r="AM5750" s="61"/>
      <c r="AN5750" s="61"/>
      <c r="AO5750" s="61"/>
    </row>
    <row r="5751" spans="1:41" s="108" customFormat="1" x14ac:dyDescent="0.25">
      <c r="A5751" s="358"/>
      <c r="B5751" s="361"/>
      <c r="C5751" s="194"/>
      <c r="D5751" s="350" t="s">
        <v>62</v>
      </c>
      <c r="E5751" s="350"/>
      <c r="F5751" s="350"/>
      <c r="G5751" s="350"/>
      <c r="H5751" s="195"/>
      <c r="I5751" s="195"/>
      <c r="J5751" s="195"/>
      <c r="K5751" s="195"/>
      <c r="L5751" s="196"/>
      <c r="M5751" s="197"/>
      <c r="N5751" s="278"/>
      <c r="O5751" s="279">
        <f>O5752+O5753</f>
        <v>160.57157899790002</v>
      </c>
      <c r="P5751" s="166"/>
      <c r="Q5751" s="166">
        <f t="shared" si="1522"/>
        <v>0</v>
      </c>
      <c r="R5751" s="71"/>
      <c r="S5751" s="61"/>
      <c r="T5751" s="61"/>
      <c r="U5751" s="61"/>
      <c r="V5751" s="61"/>
      <c r="W5751" s="61"/>
      <c r="X5751" s="61"/>
      <c r="Y5751" s="61"/>
      <c r="Z5751" s="61"/>
      <c r="AA5751" s="61"/>
      <c r="AB5751" s="61"/>
      <c r="AC5751" s="61"/>
      <c r="AD5751" s="61"/>
      <c r="AE5751" s="61"/>
      <c r="AF5751" s="61"/>
      <c r="AG5751" s="61"/>
      <c r="AH5751" s="61"/>
      <c r="AI5751" s="61"/>
      <c r="AJ5751" s="61"/>
      <c r="AK5751" s="61"/>
      <c r="AL5751" s="61"/>
      <c r="AM5751" s="61"/>
      <c r="AN5751" s="61"/>
      <c r="AO5751" s="61"/>
    </row>
    <row r="5752" spans="1:41" s="61" customFormat="1" ht="31.5" x14ac:dyDescent="0.25">
      <c r="A5752" s="358"/>
      <c r="B5752" s="361"/>
      <c r="C5752" s="194">
        <v>211</v>
      </c>
      <c r="D5752" s="194" t="s">
        <v>86</v>
      </c>
      <c r="E5752" s="199" t="s">
        <v>95</v>
      </c>
      <c r="F5752" s="199" t="s">
        <v>95</v>
      </c>
      <c r="G5752" s="238">
        <f>MROUND(H5752*L5752*I5752/K5752,0.000000000001)</f>
        <v>5.2031752579999998E-3</v>
      </c>
      <c r="H5752" s="201">
        <f>H5440</f>
        <v>368.4</v>
      </c>
      <c r="I5752" s="159">
        <f>школы!$K$35</f>
        <v>1.644E-2</v>
      </c>
      <c r="J5752" s="159"/>
      <c r="K5752" s="161">
        <f>школы!$G$35</f>
        <v>13968</v>
      </c>
      <c r="L5752" s="202">
        <v>12</v>
      </c>
      <c r="M5752" s="163" t="str">
        <f>CONCATENATE(H5752," ",F5752," ","в мес.","*",L5752,"мес.","*",I5752,"/",K5752,"чел/час")</f>
        <v>368,4 шт.ед в мес.*12мес.*0,01644/13968чел/час</v>
      </c>
      <c r="N5752" s="278">
        <f>N5440</f>
        <v>23702.349798678973</v>
      </c>
      <c r="O5752" s="280">
        <f>MROUND(N5752*G5752,0.0000000001)</f>
        <v>123.3274800289</v>
      </c>
      <c r="P5752" s="166"/>
      <c r="Q5752" s="166">
        <f t="shared" si="1522"/>
        <v>1722638.2410436752</v>
      </c>
      <c r="R5752" s="71"/>
    </row>
    <row r="5753" spans="1:41" s="61" customFormat="1" x14ac:dyDescent="0.25">
      <c r="A5753" s="358"/>
      <c r="B5753" s="361"/>
      <c r="C5753" s="194">
        <v>213</v>
      </c>
      <c r="D5753" s="194" t="s">
        <v>87</v>
      </c>
      <c r="E5753" s="194" t="s">
        <v>88</v>
      </c>
      <c r="F5753" s="194"/>
      <c r="G5753" s="211">
        <v>30.2</v>
      </c>
      <c r="H5753" s="159"/>
      <c r="I5753" s="282">
        <f>I5752</f>
        <v>1.644E-2</v>
      </c>
      <c r="J5753" s="159"/>
      <c r="K5753" s="161">
        <f>K5752</f>
        <v>13968</v>
      </c>
      <c r="L5753" s="202"/>
      <c r="M5753" s="212"/>
      <c r="N5753" s="278"/>
      <c r="O5753" s="280">
        <f>MROUND(O5752*0.302,0.000000001)-0.0008</f>
        <v>37.244098969000007</v>
      </c>
      <c r="P5753" s="166"/>
      <c r="Q5753" s="166">
        <f t="shared" si="1522"/>
        <v>520225.57439899212</v>
      </c>
      <c r="R5753" s="71"/>
    </row>
    <row r="5754" spans="1:41" s="108" customFormat="1" x14ac:dyDescent="0.25">
      <c r="A5754" s="358"/>
      <c r="B5754" s="361"/>
      <c r="C5754" s="194"/>
      <c r="D5754" s="194"/>
      <c r="E5754" s="194"/>
      <c r="F5754" s="194"/>
      <c r="G5754" s="217"/>
      <c r="H5754" s="195"/>
      <c r="I5754" s="159"/>
      <c r="J5754" s="195"/>
      <c r="K5754" s="161"/>
      <c r="L5754" s="196"/>
      <c r="M5754" s="197"/>
      <c r="N5754" s="278"/>
      <c r="O5754" s="280"/>
      <c r="P5754" s="166"/>
      <c r="Q5754" s="166">
        <f t="shared" si="1522"/>
        <v>0</v>
      </c>
      <c r="R5754" s="71"/>
      <c r="S5754" s="61"/>
      <c r="T5754" s="61"/>
      <c r="U5754" s="61"/>
      <c r="V5754" s="61"/>
      <c r="W5754" s="61"/>
      <c r="X5754" s="61"/>
      <c r="Y5754" s="61"/>
      <c r="Z5754" s="61"/>
      <c r="AA5754" s="61"/>
      <c r="AB5754" s="61"/>
      <c r="AC5754" s="61"/>
      <c r="AD5754" s="61"/>
      <c r="AE5754" s="61"/>
      <c r="AF5754" s="61"/>
      <c r="AG5754" s="61"/>
      <c r="AH5754" s="61"/>
      <c r="AI5754" s="61"/>
      <c r="AJ5754" s="61"/>
      <c r="AK5754" s="61"/>
      <c r="AL5754" s="61"/>
      <c r="AM5754" s="61"/>
      <c r="AN5754" s="61"/>
      <c r="AO5754" s="61"/>
    </row>
    <row r="5755" spans="1:41" s="108" customFormat="1" x14ac:dyDescent="0.25">
      <c r="A5755" s="358"/>
      <c r="B5755" s="361"/>
      <c r="C5755" s="194"/>
      <c r="D5755" s="356" t="s">
        <v>63</v>
      </c>
      <c r="E5755" s="356"/>
      <c r="F5755" s="356"/>
      <c r="G5755" s="356"/>
      <c r="H5755" s="195"/>
      <c r="I5755" s="159"/>
      <c r="J5755" s="195"/>
      <c r="K5755" s="161"/>
      <c r="L5755" s="196"/>
      <c r="M5755" s="197"/>
      <c r="N5755" s="278"/>
      <c r="O5755" s="280">
        <f>O5756</f>
        <v>1.0054429999999999</v>
      </c>
      <c r="P5755" s="166"/>
      <c r="Q5755" s="166">
        <f t="shared" si="1522"/>
        <v>0</v>
      </c>
      <c r="R5755" s="71"/>
      <c r="S5755" s="61"/>
      <c r="T5755" s="61"/>
      <c r="U5755" s="61"/>
      <c r="V5755" s="61"/>
      <c r="W5755" s="61"/>
      <c r="X5755" s="61"/>
      <c r="Y5755" s="61"/>
      <c r="Z5755" s="61"/>
      <c r="AA5755" s="61"/>
      <c r="AB5755" s="61"/>
      <c r="AC5755" s="61"/>
      <c r="AD5755" s="61"/>
      <c r="AE5755" s="61"/>
      <c r="AF5755" s="61"/>
      <c r="AG5755" s="61"/>
      <c r="AH5755" s="61"/>
      <c r="AI5755" s="61"/>
      <c r="AJ5755" s="61"/>
      <c r="AK5755" s="61"/>
      <c r="AL5755" s="61"/>
      <c r="AM5755" s="61"/>
      <c r="AN5755" s="61"/>
      <c r="AO5755" s="61"/>
    </row>
    <row r="5756" spans="1:41" s="61" customFormat="1" x14ac:dyDescent="0.25">
      <c r="A5756" s="358"/>
      <c r="B5756" s="361"/>
      <c r="C5756" s="194">
        <v>346</v>
      </c>
      <c r="D5756" s="194" t="s">
        <v>259</v>
      </c>
      <c r="E5756" s="194" t="s">
        <v>260</v>
      </c>
      <c r="F5756" s="194" t="s">
        <v>261</v>
      </c>
      <c r="G5756" s="238">
        <f>MROUND(H5756*L5756*I5756/K5756,0.000000000001)</f>
        <v>1.426494845E-3</v>
      </c>
      <c r="H5756" s="283">
        <f>H5445</f>
        <v>1212</v>
      </c>
      <c r="I5756" s="282">
        <f>I5753</f>
        <v>1.644E-2</v>
      </c>
      <c r="J5756" s="195"/>
      <c r="K5756" s="161">
        <f>K5753</f>
        <v>13968</v>
      </c>
      <c r="L5756" s="196">
        <v>1</v>
      </c>
      <c r="M5756" s="163" t="str">
        <f>CONCATENATE(H5756," ",F5756,"*",I5756,"/",K5756,"чел/час")</f>
        <v>1212 упаковок*0,01644/13968чел/час</v>
      </c>
      <c r="N5756" s="278">
        <f>N5445</f>
        <v>704.83454620462044</v>
      </c>
      <c r="O5756" s="280">
        <f>MROUND(N5756*G5756,0.000001)</f>
        <v>1.0054429999999999</v>
      </c>
      <c r="P5756" s="166"/>
      <c r="Q5756" s="166">
        <f t="shared" si="1522"/>
        <v>14044.027823999999</v>
      </c>
      <c r="R5756" s="71"/>
    </row>
    <row r="5757" spans="1:41" s="108" customFormat="1" x14ac:dyDescent="0.25">
      <c r="A5757" s="358"/>
      <c r="B5757" s="361"/>
      <c r="C5757" s="194"/>
      <c r="D5757" s="350" t="s">
        <v>64</v>
      </c>
      <c r="E5757" s="350"/>
      <c r="F5757" s="350"/>
      <c r="G5757" s="350"/>
      <c r="H5757" s="195"/>
      <c r="I5757" s="159"/>
      <c r="J5757" s="195"/>
      <c r="K5757" s="161"/>
      <c r="L5757" s="196"/>
      <c r="M5757" s="197"/>
      <c r="N5757" s="278"/>
      <c r="O5757" s="280"/>
      <c r="P5757" s="166"/>
      <c r="Q5757" s="166">
        <f t="shared" si="1522"/>
        <v>0</v>
      </c>
      <c r="R5757" s="71"/>
      <c r="S5757" s="61"/>
      <c r="T5757" s="61"/>
      <c r="U5757" s="61"/>
      <c r="V5757" s="61"/>
      <c r="W5757" s="61"/>
      <c r="X5757" s="61"/>
      <c r="Y5757" s="61"/>
      <c r="Z5757" s="61"/>
      <c r="AA5757" s="61"/>
      <c r="AB5757" s="61"/>
      <c r="AC5757" s="61"/>
      <c r="AD5757" s="61"/>
      <c r="AE5757" s="61"/>
      <c r="AF5757" s="61"/>
      <c r="AG5757" s="61"/>
      <c r="AH5757" s="61"/>
      <c r="AI5757" s="61"/>
      <c r="AJ5757" s="61"/>
      <c r="AK5757" s="61"/>
      <c r="AL5757" s="61"/>
      <c r="AM5757" s="61"/>
      <c r="AN5757" s="61"/>
      <c r="AO5757" s="61"/>
    </row>
    <row r="5758" spans="1:41" s="108" customFormat="1" x14ac:dyDescent="0.25">
      <c r="A5758" s="358"/>
      <c r="B5758" s="361"/>
      <c r="C5758" s="194"/>
      <c r="D5758" s="194"/>
      <c r="E5758" s="194"/>
      <c r="F5758" s="194"/>
      <c r="G5758" s="217"/>
      <c r="H5758" s="195"/>
      <c r="I5758" s="159"/>
      <c r="J5758" s="195"/>
      <c r="K5758" s="161"/>
      <c r="L5758" s="196"/>
      <c r="M5758" s="197"/>
      <c r="N5758" s="278"/>
      <c r="O5758" s="280"/>
      <c r="P5758" s="166"/>
      <c r="Q5758" s="166">
        <f t="shared" si="1522"/>
        <v>0</v>
      </c>
      <c r="R5758" s="71"/>
      <c r="S5758" s="61"/>
      <c r="T5758" s="61"/>
      <c r="U5758" s="61"/>
      <c r="V5758" s="61"/>
      <c r="W5758" s="61"/>
      <c r="X5758" s="61"/>
      <c r="Y5758" s="61"/>
      <c r="Z5758" s="61"/>
      <c r="AA5758" s="61"/>
      <c r="AB5758" s="61"/>
      <c r="AC5758" s="61"/>
      <c r="AD5758" s="61"/>
      <c r="AE5758" s="61"/>
      <c r="AF5758" s="61"/>
      <c r="AG5758" s="61"/>
      <c r="AH5758" s="61"/>
      <c r="AI5758" s="61"/>
      <c r="AJ5758" s="61"/>
      <c r="AK5758" s="61"/>
      <c r="AL5758" s="61"/>
      <c r="AM5758" s="61"/>
      <c r="AN5758" s="61"/>
      <c r="AO5758" s="61"/>
    </row>
    <row r="5759" spans="1:41" s="108" customFormat="1" x14ac:dyDescent="0.25">
      <c r="A5759" s="358"/>
      <c r="B5759" s="361"/>
      <c r="C5759" s="194"/>
      <c r="D5759" s="355" t="s">
        <v>5</v>
      </c>
      <c r="E5759" s="355"/>
      <c r="F5759" s="355"/>
      <c r="G5759" s="355"/>
      <c r="H5759" s="195"/>
      <c r="I5759" s="159"/>
      <c r="J5759" s="195"/>
      <c r="K5759" s="161"/>
      <c r="L5759" s="196"/>
      <c r="M5759" s="197"/>
      <c r="N5759" s="278"/>
      <c r="O5759" s="279">
        <f>O5760+O5769+O5780+O5782+O5793+O5789</f>
        <v>40.237778311</v>
      </c>
      <c r="P5759" s="166"/>
      <c r="Q5759" s="166">
        <f t="shared" si="1522"/>
        <v>0</v>
      </c>
      <c r="R5759" s="71"/>
      <c r="S5759" s="61"/>
      <c r="T5759" s="61"/>
      <c r="U5759" s="61"/>
      <c r="V5759" s="61"/>
      <c r="W5759" s="61"/>
      <c r="X5759" s="61"/>
      <c r="Y5759" s="61"/>
      <c r="Z5759" s="61"/>
      <c r="AA5759" s="61"/>
      <c r="AB5759" s="61"/>
      <c r="AC5759" s="61"/>
      <c r="AD5759" s="61"/>
      <c r="AE5759" s="61"/>
      <c r="AF5759" s="61"/>
      <c r="AG5759" s="61"/>
      <c r="AH5759" s="61"/>
      <c r="AI5759" s="61"/>
      <c r="AJ5759" s="61"/>
      <c r="AK5759" s="61"/>
      <c r="AL5759" s="61"/>
      <c r="AM5759" s="61"/>
      <c r="AN5759" s="61"/>
      <c r="AO5759" s="61"/>
    </row>
    <row r="5760" spans="1:41" s="108" customFormat="1" x14ac:dyDescent="0.25">
      <c r="A5760" s="358"/>
      <c r="B5760" s="361"/>
      <c r="C5760" s="221" t="s">
        <v>70</v>
      </c>
      <c r="D5760" s="355" t="s">
        <v>6</v>
      </c>
      <c r="E5760" s="355"/>
      <c r="F5760" s="355"/>
      <c r="G5760" s="355"/>
      <c r="H5760" s="189"/>
      <c r="I5760" s="159"/>
      <c r="J5760" s="189"/>
      <c r="K5760" s="161"/>
      <c r="L5760" s="190"/>
      <c r="M5760" s="197"/>
      <c r="N5760" s="278"/>
      <c r="O5760" s="279">
        <f>O5761+O5762+O5763+O5764+O5765+O5766+O5767</f>
        <v>7.525752999999999</v>
      </c>
      <c r="P5760" s="166"/>
      <c r="Q5760" s="166">
        <f t="shared" si="1522"/>
        <v>0</v>
      </c>
      <c r="R5760" s="71"/>
      <c r="S5760" s="61"/>
      <c r="T5760" s="61"/>
      <c r="U5760" s="61"/>
      <c r="V5760" s="61"/>
      <c r="W5760" s="61"/>
      <c r="X5760" s="61"/>
      <c r="Y5760" s="61"/>
      <c r="Z5760" s="61"/>
      <c r="AA5760" s="61"/>
      <c r="AB5760" s="61"/>
      <c r="AC5760" s="61"/>
      <c r="AD5760" s="61"/>
      <c r="AE5760" s="61"/>
      <c r="AF5760" s="61"/>
      <c r="AG5760" s="61"/>
      <c r="AH5760" s="61"/>
      <c r="AI5760" s="61"/>
      <c r="AJ5760" s="61"/>
      <c r="AK5760" s="61"/>
      <c r="AL5760" s="61"/>
      <c r="AM5760" s="61"/>
      <c r="AN5760" s="61"/>
      <c r="AO5760" s="61"/>
    </row>
    <row r="5761" spans="1:41" s="61" customFormat="1" ht="31.5" x14ac:dyDescent="0.25">
      <c r="A5761" s="358"/>
      <c r="B5761" s="361"/>
      <c r="C5761" s="221" t="s">
        <v>72</v>
      </c>
      <c r="D5761" s="222" t="s">
        <v>7</v>
      </c>
      <c r="E5761" s="223" t="s">
        <v>8</v>
      </c>
      <c r="F5761" s="223" t="s">
        <v>8</v>
      </c>
      <c r="G5761" s="238">
        <f t="shared" ref="G5761:G5767" si="1523">MROUND(H5761*L5761*I5761/K5761,0.000000000001)</f>
        <v>0.13306906165599999</v>
      </c>
      <c r="H5761" s="160">
        <f>H5451</f>
        <v>113060.13705633247</v>
      </c>
      <c r="I5761" s="282">
        <f>I5753</f>
        <v>1.644E-2</v>
      </c>
      <c r="J5761" s="160"/>
      <c r="K5761" s="161">
        <f>K5753</f>
        <v>13968</v>
      </c>
      <c r="L5761" s="250">
        <v>1</v>
      </c>
      <c r="M5761" s="163" t="str">
        <f>CONCATENATE(H5761," ",F5761,"(лимиты выделенные УЖКХ) ","*",I5761,"/",K5761,"чел/час")</f>
        <v>113060,137056332 кВт час.(лимиты выделенные УЖКХ) *0,01644/13968чел/час</v>
      </c>
      <c r="N5761" s="278">
        <f>N5451</f>
        <v>10.942938264647223</v>
      </c>
      <c r="O5761" s="280">
        <f>MROUND(N5761*G5761,0.000001)</f>
        <v>1.456167</v>
      </c>
      <c r="P5761" s="166"/>
      <c r="Q5761" s="166">
        <f t="shared" si="1522"/>
        <v>20339.740655999998</v>
      </c>
      <c r="R5761" s="71"/>
    </row>
    <row r="5762" spans="1:41" s="61" customFormat="1" ht="31.5" x14ac:dyDescent="0.25">
      <c r="A5762" s="358"/>
      <c r="B5762" s="361"/>
      <c r="C5762" s="221" t="s">
        <v>73</v>
      </c>
      <c r="D5762" s="222" t="s">
        <v>9</v>
      </c>
      <c r="E5762" s="223" t="s">
        <v>10</v>
      </c>
      <c r="F5762" s="223" t="s">
        <v>10</v>
      </c>
      <c r="G5762" s="238">
        <f t="shared" si="1523"/>
        <v>1.6407044669999999E-3</v>
      </c>
      <c r="H5762" s="160">
        <f>H5452</f>
        <v>1394</v>
      </c>
      <c r="I5762" s="159">
        <f t="shared" ref="I5762:I5767" si="1524">I5761</f>
        <v>1.644E-2</v>
      </c>
      <c r="J5762" s="160"/>
      <c r="K5762" s="161">
        <f t="shared" ref="K5762:K5767" si="1525">K5761</f>
        <v>13968</v>
      </c>
      <c r="L5762" s="250">
        <v>1</v>
      </c>
      <c r="M5762" s="163" t="str">
        <f>CONCATENATE(H5762," ",F5762,"(лимиты выделенные УЖКХ) ","*",I5762,"/",K5762,"чел/час")</f>
        <v>1394 Гкал(лимиты выделенные УЖКХ) *0,01644/13968чел/час</v>
      </c>
      <c r="N5762" s="278">
        <f>N5556</f>
        <v>2976.2517790530851</v>
      </c>
      <c r="O5762" s="280">
        <f t="shared" ref="O5762:O5767" si="1526">MROUND(N5762*G5762,0.000001)</f>
        <v>4.8831499999999997</v>
      </c>
      <c r="P5762" s="166"/>
      <c r="Q5762" s="166">
        <f t="shared" si="1522"/>
        <v>68207.839200000002</v>
      </c>
      <c r="R5762" s="71"/>
    </row>
    <row r="5763" spans="1:41" s="61" customFormat="1" ht="31.5" x14ac:dyDescent="0.25">
      <c r="A5763" s="358"/>
      <c r="B5763" s="361"/>
      <c r="C5763" s="364" t="s">
        <v>74</v>
      </c>
      <c r="D5763" s="222" t="s">
        <v>12</v>
      </c>
      <c r="E5763" s="222" t="s">
        <v>11</v>
      </c>
      <c r="F5763" s="222" t="s">
        <v>11</v>
      </c>
      <c r="G5763" s="238">
        <f t="shared" si="1523"/>
        <v>4.7562892609999997E-3</v>
      </c>
      <c r="H5763" s="224">
        <f>H5453</f>
        <v>4041.1099999999997</v>
      </c>
      <c r="I5763" s="159">
        <f t="shared" si="1524"/>
        <v>1.644E-2</v>
      </c>
      <c r="J5763" s="160"/>
      <c r="K5763" s="161">
        <f t="shared" si="1525"/>
        <v>13968</v>
      </c>
      <c r="L5763" s="250">
        <v>1</v>
      </c>
      <c r="M5763" s="163" t="str">
        <f>CONCATENATE(H5763," ",F5763,"(лимиты выделенные УЖКХ) ","*",I5763,"/",K5763,"чел/час")</f>
        <v>4041,11 м3(лимиты выделенные УЖКХ) *0,01644/13968чел/час</v>
      </c>
      <c r="N5763" s="278">
        <f>N5453</f>
        <v>54.214180014896904</v>
      </c>
      <c r="O5763" s="280">
        <f t="shared" si="1526"/>
        <v>0.25785799999999998</v>
      </c>
      <c r="P5763" s="166"/>
      <c r="Q5763" s="166">
        <f t="shared" si="1522"/>
        <v>3601.7605439999998</v>
      </c>
      <c r="R5763" s="71"/>
    </row>
    <row r="5764" spans="1:41" s="61" customFormat="1" ht="47.25" x14ac:dyDescent="0.25">
      <c r="A5764" s="358"/>
      <c r="B5764" s="361"/>
      <c r="C5764" s="364"/>
      <c r="D5764" s="222" t="s">
        <v>17</v>
      </c>
      <c r="E5764" s="222" t="s">
        <v>11</v>
      </c>
      <c r="F5764" s="222" t="s">
        <v>11</v>
      </c>
      <c r="G5764" s="238">
        <f t="shared" si="1523"/>
        <v>4.7562892609999997E-3</v>
      </c>
      <c r="H5764" s="160">
        <f>H5558</f>
        <v>4041.1099999999997</v>
      </c>
      <c r="I5764" s="159">
        <f t="shared" si="1524"/>
        <v>1.644E-2</v>
      </c>
      <c r="J5764" s="160"/>
      <c r="K5764" s="161">
        <f t="shared" si="1525"/>
        <v>13968</v>
      </c>
      <c r="L5764" s="162">
        <f>$L$25</f>
        <v>1</v>
      </c>
      <c r="M5764" s="163" t="str">
        <f>CONCATENATE(H5764," ",F5764,"(лимиты выделенные УЖКХ) ","*",I5764,"/",K5764,"чел/час")</f>
        <v>4041,11 м3(лимиты выделенные УЖКХ) *0,01644/13968чел/час</v>
      </c>
      <c r="N5764" s="164">
        <f>N5454</f>
        <v>82.384170780821918</v>
      </c>
      <c r="O5764" s="280">
        <f t="shared" si="1526"/>
        <v>0.391843</v>
      </c>
      <c r="P5764" s="166"/>
      <c r="Q5764" s="166">
        <f t="shared" si="1522"/>
        <v>5473.2630239999999</v>
      </c>
      <c r="R5764" s="71"/>
    </row>
    <row r="5765" spans="1:41" s="61" customFormat="1" ht="31.5" x14ac:dyDescent="0.25">
      <c r="A5765" s="358"/>
      <c r="B5765" s="361"/>
      <c r="C5765" s="364"/>
      <c r="D5765" s="222" t="s">
        <v>13</v>
      </c>
      <c r="E5765" s="222" t="s">
        <v>11</v>
      </c>
      <c r="F5765" s="222" t="s">
        <v>11</v>
      </c>
      <c r="G5765" s="238">
        <f t="shared" si="1523"/>
        <v>4.7562892609999997E-3</v>
      </c>
      <c r="H5765" s="160">
        <f>H5455</f>
        <v>4041.1099999999997</v>
      </c>
      <c r="I5765" s="159">
        <f t="shared" si="1524"/>
        <v>1.644E-2</v>
      </c>
      <c r="J5765" s="160"/>
      <c r="K5765" s="161">
        <f t="shared" si="1525"/>
        <v>13968</v>
      </c>
      <c r="L5765" s="162">
        <v>1</v>
      </c>
      <c r="M5765" s="163" t="str">
        <f>CONCATENATE(H5765," ",F5765,"(лимиты выделенные УЖКХ) ","*",I5765,"/",K5765,"чел/час")</f>
        <v>4041,11 м3(лимиты выделенные УЖКХ) *0,01644/13968чел/час</v>
      </c>
      <c r="N5765" s="278">
        <f>N5455</f>
        <v>100.60427670019196</v>
      </c>
      <c r="O5765" s="280">
        <f t="shared" si="1526"/>
        <v>0.47850299999999996</v>
      </c>
      <c r="P5765" s="166"/>
      <c r="Q5765" s="166">
        <f t="shared" si="1522"/>
        <v>6683.7299039999998</v>
      </c>
      <c r="R5765" s="71"/>
    </row>
    <row r="5766" spans="1:41" s="61" customFormat="1" x14ac:dyDescent="0.25">
      <c r="A5766" s="358"/>
      <c r="B5766" s="361"/>
      <c r="C5766" s="364" t="s">
        <v>216</v>
      </c>
      <c r="D5766" s="222" t="s">
        <v>23</v>
      </c>
      <c r="E5766" s="222" t="s">
        <v>11</v>
      </c>
      <c r="F5766" s="222" t="s">
        <v>11</v>
      </c>
      <c r="G5766" s="238">
        <f t="shared" si="1523"/>
        <v>2.9400859E-5</v>
      </c>
      <c r="H5766" s="160">
        <f>H5456</f>
        <v>24.979999999999997</v>
      </c>
      <c r="I5766" s="159">
        <f t="shared" si="1524"/>
        <v>1.644E-2</v>
      </c>
      <c r="J5766" s="160"/>
      <c r="K5766" s="161">
        <f t="shared" si="1525"/>
        <v>13968</v>
      </c>
      <c r="L5766" s="162">
        <v>1</v>
      </c>
      <c r="M5766" s="163" t="str">
        <f>CONCATENATE(H5766," ",F5766," ","*",I5766,"/",K5766,"чел/час")</f>
        <v>24,98 м3 *0,01644/13968чел/час</v>
      </c>
      <c r="N5766" s="164">
        <f>N5456</f>
        <v>776.35588470776622</v>
      </c>
      <c r="O5766" s="280">
        <f t="shared" si="1526"/>
        <v>2.2825999999999999E-2</v>
      </c>
      <c r="P5766" s="166"/>
      <c r="Q5766" s="166">
        <f t="shared" si="1522"/>
        <v>318.83356800000001</v>
      </c>
      <c r="R5766" s="71"/>
    </row>
    <row r="5767" spans="1:41" s="61" customFormat="1" ht="63" x14ac:dyDescent="0.25">
      <c r="A5767" s="358"/>
      <c r="B5767" s="361"/>
      <c r="C5767" s="364"/>
      <c r="D5767" s="222" t="s">
        <v>24</v>
      </c>
      <c r="E5767" s="222" t="s">
        <v>25</v>
      </c>
      <c r="F5767" s="222" t="s">
        <v>248</v>
      </c>
      <c r="G5767" s="238">
        <f t="shared" si="1523"/>
        <v>5.8848799999999996E-6</v>
      </c>
      <c r="H5767" s="160">
        <f>H5457</f>
        <v>5</v>
      </c>
      <c r="I5767" s="159">
        <f t="shared" si="1524"/>
        <v>1.644E-2</v>
      </c>
      <c r="J5767" s="160"/>
      <c r="K5767" s="161">
        <f t="shared" si="1525"/>
        <v>13968</v>
      </c>
      <c r="L5767" s="250">
        <v>1</v>
      </c>
      <c r="M5767" s="163" t="str">
        <f>CONCATENATE(H5767," ",F5767,"(потребность из расчета 4 контейнера для уборки территории весной и осенью на 1 учреждение)","*",I5767,"/",K5767,"чел/час")</f>
        <v>5 контейнеров(потребность из расчета 4 контейнера для уборки территории весной и осенью на 1 учреждение)*0,01644/13968чел/час</v>
      </c>
      <c r="N5767" s="278">
        <f>N5457</f>
        <v>6016.38</v>
      </c>
      <c r="O5767" s="280">
        <f t="shared" si="1526"/>
        <v>3.5406E-2</v>
      </c>
      <c r="P5767" s="166"/>
      <c r="Q5767" s="166">
        <f t="shared" si="1522"/>
        <v>494.55100800000002</v>
      </c>
      <c r="R5767" s="71"/>
    </row>
    <row r="5768" spans="1:41" s="109" customFormat="1" x14ac:dyDescent="0.25">
      <c r="A5768" s="358"/>
      <c r="B5768" s="361"/>
      <c r="C5768" s="218" t="s">
        <v>290</v>
      </c>
      <c r="D5768" s="226"/>
      <c r="E5768" s="226"/>
      <c r="F5768" s="226"/>
      <c r="G5768" s="227"/>
      <c r="H5768" s="228"/>
      <c r="I5768" s="206"/>
      <c r="J5768" s="228"/>
      <c r="K5768" s="207"/>
      <c r="L5768" s="257"/>
      <c r="M5768" s="209"/>
      <c r="N5768" s="281"/>
      <c r="O5768" s="279">
        <f>SUM(O5761:O5767)</f>
        <v>7.525752999999999</v>
      </c>
      <c r="P5768" s="267"/>
      <c r="Q5768" s="166"/>
      <c r="R5768" s="71"/>
      <c r="S5768" s="62"/>
      <c r="T5768" s="62"/>
      <c r="U5768" s="62"/>
      <c r="V5768" s="62"/>
      <c r="W5768" s="62"/>
      <c r="X5768" s="62"/>
      <c r="Y5768" s="62"/>
      <c r="Z5768" s="62"/>
      <c r="AA5768" s="62"/>
      <c r="AB5768" s="62"/>
      <c r="AC5768" s="62"/>
      <c r="AD5768" s="62"/>
      <c r="AE5768" s="62"/>
      <c r="AF5768" s="62"/>
      <c r="AG5768" s="62"/>
      <c r="AH5768" s="62"/>
      <c r="AI5768" s="62"/>
      <c r="AJ5768" s="62"/>
      <c r="AK5768" s="62"/>
      <c r="AL5768" s="62"/>
      <c r="AM5768" s="62"/>
      <c r="AN5768" s="62"/>
      <c r="AO5768" s="62"/>
    </row>
    <row r="5769" spans="1:41" s="108" customFormat="1" x14ac:dyDescent="0.25">
      <c r="A5769" s="358"/>
      <c r="B5769" s="361"/>
      <c r="C5769" s="221"/>
      <c r="D5769" s="356" t="s">
        <v>14</v>
      </c>
      <c r="E5769" s="356"/>
      <c r="F5769" s="356"/>
      <c r="G5769" s="356"/>
      <c r="H5769" s="188"/>
      <c r="I5769" s="159"/>
      <c r="J5769" s="188"/>
      <c r="K5769" s="161"/>
      <c r="L5769" s="250"/>
      <c r="M5769" s="230"/>
      <c r="N5769" s="278"/>
      <c r="O5769" s="279">
        <f>O5773+O5777+O5778</f>
        <v>27.800082311000001</v>
      </c>
      <c r="P5769" s="166"/>
      <c r="Q5769" s="166">
        <f>O5769*K5769</f>
        <v>0</v>
      </c>
      <c r="R5769" s="71"/>
      <c r="S5769" s="61"/>
      <c r="T5769" s="61"/>
      <c r="U5769" s="61"/>
      <c r="V5769" s="61"/>
      <c r="W5769" s="61"/>
      <c r="X5769" s="61"/>
      <c r="Y5769" s="61"/>
      <c r="Z5769" s="61"/>
      <c r="AA5769" s="61"/>
      <c r="AB5769" s="61"/>
      <c r="AC5769" s="61"/>
      <c r="AD5769" s="61"/>
      <c r="AE5769" s="61"/>
      <c r="AF5769" s="61"/>
      <c r="AG5769" s="61"/>
      <c r="AH5769" s="61"/>
      <c r="AI5769" s="61"/>
      <c r="AJ5769" s="61"/>
      <c r="AK5769" s="61"/>
      <c r="AL5769" s="61"/>
      <c r="AM5769" s="61"/>
      <c r="AN5769" s="61"/>
      <c r="AO5769" s="61"/>
    </row>
    <row r="5770" spans="1:41" s="61" customFormat="1" x14ac:dyDescent="0.25">
      <c r="A5770" s="358"/>
      <c r="B5770" s="361"/>
      <c r="C5770" s="221" t="s">
        <v>379</v>
      </c>
      <c r="D5770" s="231" t="s">
        <v>49</v>
      </c>
      <c r="E5770" s="231" t="s">
        <v>22</v>
      </c>
      <c r="F5770" s="231" t="s">
        <v>22</v>
      </c>
      <c r="G5770" s="238">
        <f>MROUND(H5770*L5770*I5770/K5770,0.000000000001)</f>
        <v>0</v>
      </c>
      <c r="H5770" s="160"/>
      <c r="I5770" s="159">
        <f>I5765</f>
        <v>1.644E-2</v>
      </c>
      <c r="J5770" s="160"/>
      <c r="K5770" s="161">
        <f>K5765</f>
        <v>13968</v>
      </c>
      <c r="L5770" s="250">
        <v>1</v>
      </c>
      <c r="M5770" s="163"/>
      <c r="N5770" s="278"/>
      <c r="O5770" s="280">
        <f>MROUND(N5770*G5770,0.000000001)</f>
        <v>0</v>
      </c>
      <c r="P5770" s="166"/>
      <c r="Q5770" s="166">
        <f>O5770*K5770</f>
        <v>0</v>
      </c>
      <c r="R5770" s="71"/>
    </row>
    <row r="5771" spans="1:41" s="61" customFormat="1" x14ac:dyDescent="0.25">
      <c r="A5771" s="358"/>
      <c r="B5771" s="361"/>
      <c r="C5771" s="221" t="s">
        <v>379</v>
      </c>
      <c r="D5771" s="231" t="s">
        <v>49</v>
      </c>
      <c r="E5771" s="231" t="s">
        <v>28</v>
      </c>
      <c r="F5771" s="231" t="s">
        <v>28</v>
      </c>
      <c r="G5771" s="238">
        <f>MROUND(H5771*L5771*I5771/K5771,0.000000000001)</f>
        <v>0</v>
      </c>
      <c r="H5771" s="160"/>
      <c r="I5771" s="159">
        <f>I5770</f>
        <v>1.644E-2</v>
      </c>
      <c r="J5771" s="160"/>
      <c r="K5771" s="161">
        <f>K5770</f>
        <v>13968</v>
      </c>
      <c r="L5771" s="250">
        <v>1</v>
      </c>
      <c r="M5771" s="163"/>
      <c r="N5771" s="278"/>
      <c r="O5771" s="280">
        <f>MROUND(N5771*G5771,0.000000001)</f>
        <v>0</v>
      </c>
      <c r="P5771" s="166"/>
      <c r="Q5771" s="166">
        <f>O5771*K5771</f>
        <v>0</v>
      </c>
      <c r="R5771" s="71"/>
    </row>
    <row r="5772" spans="1:41" s="61" customFormat="1" x14ac:dyDescent="0.25">
      <c r="A5772" s="358"/>
      <c r="B5772" s="361"/>
      <c r="C5772" s="221" t="s">
        <v>379</v>
      </c>
      <c r="D5772" s="231" t="s">
        <v>49</v>
      </c>
      <c r="E5772" s="231" t="s">
        <v>101</v>
      </c>
      <c r="F5772" s="231" t="s">
        <v>101</v>
      </c>
      <c r="G5772" s="238">
        <f>MROUND(H5772*L5772*I5772/K5772,0.000000000001)</f>
        <v>0</v>
      </c>
      <c r="H5772" s="160"/>
      <c r="I5772" s="159">
        <f>I5770</f>
        <v>1.644E-2</v>
      </c>
      <c r="J5772" s="160"/>
      <c r="K5772" s="161">
        <f>K5770</f>
        <v>13968</v>
      </c>
      <c r="L5772" s="250">
        <v>1</v>
      </c>
      <c r="M5772" s="163"/>
      <c r="N5772" s="278"/>
      <c r="O5772" s="280">
        <f>MROUND(N5772*G5772,0.000001)</f>
        <v>0</v>
      </c>
      <c r="P5772" s="166"/>
      <c r="Q5772" s="166">
        <f>O5772*K5772</f>
        <v>0</v>
      </c>
      <c r="R5772" s="71"/>
    </row>
    <row r="5773" spans="1:41" s="109" customFormat="1" x14ac:dyDescent="0.25">
      <c r="A5773" s="358"/>
      <c r="B5773" s="361"/>
      <c r="C5773" s="218" t="s">
        <v>380</v>
      </c>
      <c r="D5773" s="232"/>
      <c r="E5773" s="232"/>
      <c r="F5773" s="232"/>
      <c r="G5773" s="227"/>
      <c r="H5773" s="228"/>
      <c r="I5773" s="206"/>
      <c r="J5773" s="228"/>
      <c r="K5773" s="207"/>
      <c r="L5773" s="257"/>
      <c r="M5773" s="209"/>
      <c r="N5773" s="281"/>
      <c r="O5773" s="279">
        <f>SUM(O5770:O5772)</f>
        <v>0</v>
      </c>
      <c r="P5773" s="267"/>
      <c r="Q5773" s="166"/>
      <c r="R5773" s="72"/>
      <c r="S5773" s="62"/>
      <c r="T5773" s="62"/>
      <c r="U5773" s="62"/>
      <c r="V5773" s="62"/>
      <c r="W5773" s="62"/>
      <c r="X5773" s="62"/>
      <c r="Y5773" s="62"/>
      <c r="Z5773" s="62"/>
      <c r="AA5773" s="62"/>
      <c r="AB5773" s="62"/>
      <c r="AC5773" s="62"/>
      <c r="AD5773" s="62"/>
      <c r="AE5773" s="62"/>
      <c r="AF5773" s="62"/>
      <c r="AG5773" s="62"/>
      <c r="AH5773" s="62"/>
      <c r="AI5773" s="62"/>
      <c r="AJ5773" s="62"/>
      <c r="AK5773" s="62"/>
      <c r="AL5773" s="62"/>
      <c r="AM5773" s="62"/>
      <c r="AN5773" s="62"/>
      <c r="AO5773" s="62"/>
    </row>
    <row r="5774" spans="1:41" s="61" customFormat="1" x14ac:dyDescent="0.25">
      <c r="A5774" s="358"/>
      <c r="B5774" s="361"/>
      <c r="C5774" s="221" t="s">
        <v>76</v>
      </c>
      <c r="D5774" s="231" t="s">
        <v>49</v>
      </c>
      <c r="E5774" s="231" t="s">
        <v>22</v>
      </c>
      <c r="F5774" s="231" t="s">
        <v>22</v>
      </c>
      <c r="G5774" s="238">
        <f>MROUND(H5774*L5774*I5774/K5774,0.000000000001)</f>
        <v>1.1699140893000001E-2</v>
      </c>
      <c r="H5774" s="160">
        <f>H5464</f>
        <v>9940</v>
      </c>
      <c r="I5774" s="159">
        <f>I5772</f>
        <v>1.644E-2</v>
      </c>
      <c r="J5774" s="160"/>
      <c r="K5774" s="161">
        <f>K5772</f>
        <v>13968</v>
      </c>
      <c r="L5774" s="250">
        <v>1</v>
      </c>
      <c r="M5774" s="163" t="str">
        <f>CONCATENATE(H5774," ",F5774,"*",I5774,"/",K5774,"чел/час")</f>
        <v>9940 м2*0,01644/13968чел/час</v>
      </c>
      <c r="N5774" s="278">
        <f>N5464</f>
        <v>1444.6680080482897</v>
      </c>
      <c r="O5774" s="280">
        <f>MROUND(N5774*G5774,0.000000001)-0.00009</f>
        <v>16.901284570000001</v>
      </c>
      <c r="P5774" s="166"/>
      <c r="Q5774" s="166">
        <f>O5774*K5774</f>
        <v>236077.14287376002</v>
      </c>
      <c r="R5774" s="71"/>
    </row>
    <row r="5775" spans="1:41" s="61" customFormat="1" x14ac:dyDescent="0.25">
      <c r="A5775" s="358"/>
      <c r="B5775" s="361"/>
      <c r="C5775" s="221"/>
      <c r="D5775" s="231" t="s">
        <v>49</v>
      </c>
      <c r="E5775" s="231" t="s">
        <v>28</v>
      </c>
      <c r="F5775" s="231" t="s">
        <v>28</v>
      </c>
      <c r="G5775" s="238">
        <f>MROUND(H5775*L5775*I5775/K5775,0.000000000001)</f>
        <v>5.0609965999999999E-5</v>
      </c>
      <c r="H5775" s="160">
        <f>H5465</f>
        <v>43</v>
      </c>
      <c r="I5775" s="159">
        <f>I5774</f>
        <v>1.644E-2</v>
      </c>
      <c r="J5775" s="160"/>
      <c r="K5775" s="161">
        <f>K5774</f>
        <v>13968</v>
      </c>
      <c r="L5775" s="250">
        <v>1</v>
      </c>
      <c r="M5775" s="163" t="str">
        <f>CONCATENATE(H5775," ",F5775,"*",I5775,"/",K5775,"чел/час")</f>
        <v>43 шт*0,01644/13968чел/час</v>
      </c>
      <c r="N5775" s="278">
        <f>N5465</f>
        <v>109534.88372093023</v>
      </c>
      <c r="O5775" s="280">
        <f>MROUND(N5775*G5775,0.000000001)</f>
        <v>5.5435567410000006</v>
      </c>
      <c r="P5775" s="166"/>
      <c r="Q5775" s="166">
        <f>O5775*K5775</f>
        <v>77432.400558288005</v>
      </c>
      <c r="R5775" s="71"/>
    </row>
    <row r="5776" spans="1:41" s="61" customFormat="1" x14ac:dyDescent="0.25">
      <c r="A5776" s="358"/>
      <c r="B5776" s="361"/>
      <c r="C5776" s="221"/>
      <c r="D5776" s="231" t="s">
        <v>49</v>
      </c>
      <c r="E5776" s="231" t="s">
        <v>101</v>
      </c>
      <c r="F5776" s="231" t="s">
        <v>101</v>
      </c>
      <c r="G5776" s="238">
        <f>MROUND(H5776*L5776*I5776/K5776,0.000000000001)</f>
        <v>2.14209622E-3</v>
      </c>
      <c r="H5776" s="160">
        <f>H5466</f>
        <v>1820</v>
      </c>
      <c r="I5776" s="159">
        <f>I5774</f>
        <v>1.644E-2</v>
      </c>
      <c r="J5776" s="160"/>
      <c r="K5776" s="161">
        <f>K5774</f>
        <v>13968</v>
      </c>
      <c r="L5776" s="250">
        <v>1</v>
      </c>
      <c r="M5776" s="163" t="str">
        <f>CONCATENATE(H5776," ",F5776,"*",I5776,"/",K5776,"чел/час")</f>
        <v>1820 погон.м.*0,01644/13968чел/час</v>
      </c>
      <c r="N5776" s="278">
        <f>N5466</f>
        <v>2500</v>
      </c>
      <c r="O5776" s="280">
        <f>MROUND(N5776*G5776,0.000001)</f>
        <v>5.3552409999999995</v>
      </c>
      <c r="P5776" s="166"/>
      <c r="Q5776" s="166">
        <f>O5776*K5776</f>
        <v>74802.00628799999</v>
      </c>
      <c r="R5776" s="71"/>
    </row>
    <row r="5777" spans="1:41" s="109" customFormat="1" x14ac:dyDescent="0.25">
      <c r="A5777" s="358"/>
      <c r="B5777" s="361"/>
      <c r="C5777" s="218" t="s">
        <v>291</v>
      </c>
      <c r="D5777" s="232"/>
      <c r="E5777" s="232"/>
      <c r="F5777" s="232"/>
      <c r="G5777" s="227"/>
      <c r="H5777" s="228"/>
      <c r="I5777" s="206"/>
      <c r="J5777" s="228"/>
      <c r="K5777" s="207"/>
      <c r="L5777" s="257"/>
      <c r="M5777" s="209"/>
      <c r="N5777" s="281"/>
      <c r="O5777" s="279">
        <f>SUM(O5774:O5776)</f>
        <v>27.800082311000001</v>
      </c>
      <c r="P5777" s="267"/>
      <c r="Q5777" s="166"/>
      <c r="R5777" s="72"/>
      <c r="S5777" s="62"/>
      <c r="T5777" s="62"/>
      <c r="U5777" s="62"/>
      <c r="V5777" s="62"/>
      <c r="W5777" s="62"/>
      <c r="X5777" s="62"/>
      <c r="Y5777" s="62"/>
      <c r="Z5777" s="62"/>
      <c r="AA5777" s="62"/>
      <c r="AB5777" s="62"/>
      <c r="AC5777" s="62"/>
      <c r="AD5777" s="62"/>
      <c r="AE5777" s="62"/>
      <c r="AF5777" s="62"/>
      <c r="AG5777" s="62"/>
      <c r="AH5777" s="62"/>
      <c r="AI5777" s="62"/>
      <c r="AJ5777" s="62"/>
      <c r="AK5777" s="62"/>
      <c r="AL5777" s="62"/>
      <c r="AM5777" s="62"/>
      <c r="AN5777" s="62"/>
      <c r="AO5777" s="62"/>
    </row>
    <row r="5778" spans="1:41" s="61" customFormat="1" x14ac:dyDescent="0.25">
      <c r="A5778" s="358"/>
      <c r="B5778" s="361"/>
      <c r="C5778" s="221" t="s">
        <v>77</v>
      </c>
      <c r="D5778" s="231"/>
      <c r="E5778" s="231"/>
      <c r="F5778" s="231"/>
      <c r="G5778" s="238">
        <f>MROUND(H5778*L5778*I5778/K5778,0.000000000001)</f>
        <v>0</v>
      </c>
      <c r="H5778" s="160"/>
      <c r="I5778" s="159">
        <f>I5776</f>
        <v>1.644E-2</v>
      </c>
      <c r="J5778" s="160"/>
      <c r="K5778" s="161">
        <f>K5776</f>
        <v>13968</v>
      </c>
      <c r="L5778" s="250"/>
      <c r="M5778" s="163"/>
      <c r="N5778" s="278"/>
      <c r="O5778" s="280">
        <f>MROUND(N5778*G5778,0.000001)</f>
        <v>0</v>
      </c>
      <c r="P5778" s="166"/>
      <c r="Q5778" s="166">
        <f>O5778*K5778</f>
        <v>0</v>
      </c>
      <c r="R5778" s="71"/>
    </row>
    <row r="5779" spans="1:41" s="109" customFormat="1" x14ac:dyDescent="0.25">
      <c r="A5779" s="358"/>
      <c r="B5779" s="361"/>
      <c r="C5779" s="218" t="s">
        <v>292</v>
      </c>
      <c r="D5779" s="232"/>
      <c r="E5779" s="232"/>
      <c r="F5779" s="232"/>
      <c r="G5779" s="227"/>
      <c r="H5779" s="228"/>
      <c r="I5779" s="206"/>
      <c r="J5779" s="228"/>
      <c r="K5779" s="207"/>
      <c r="L5779" s="257"/>
      <c r="M5779" s="209"/>
      <c r="N5779" s="281"/>
      <c r="O5779" s="279">
        <f>O5778</f>
        <v>0</v>
      </c>
      <c r="P5779" s="267"/>
      <c r="Q5779" s="166"/>
      <c r="R5779" s="72"/>
      <c r="S5779" s="62"/>
      <c r="T5779" s="62"/>
      <c r="U5779" s="62"/>
      <c r="V5779" s="62"/>
      <c r="W5779" s="62"/>
      <c r="X5779" s="62"/>
      <c r="Y5779" s="62"/>
      <c r="Z5779" s="62"/>
      <c r="AA5779" s="62"/>
      <c r="AB5779" s="62"/>
      <c r="AC5779" s="62"/>
      <c r="AD5779" s="62"/>
      <c r="AE5779" s="62"/>
      <c r="AF5779" s="62"/>
      <c r="AG5779" s="62"/>
      <c r="AH5779" s="62"/>
      <c r="AI5779" s="62"/>
      <c r="AJ5779" s="62"/>
      <c r="AK5779" s="62"/>
      <c r="AL5779" s="62"/>
      <c r="AM5779" s="62"/>
      <c r="AN5779" s="62"/>
      <c r="AO5779" s="62"/>
    </row>
    <row r="5780" spans="1:41" s="108" customFormat="1" x14ac:dyDescent="0.25">
      <c r="A5780" s="358"/>
      <c r="B5780" s="361"/>
      <c r="C5780" s="221"/>
      <c r="D5780" s="350" t="s">
        <v>65</v>
      </c>
      <c r="E5780" s="350"/>
      <c r="F5780" s="350"/>
      <c r="G5780" s="350"/>
      <c r="H5780" s="195"/>
      <c r="I5780" s="159"/>
      <c r="J5780" s="195"/>
      <c r="K5780" s="161"/>
      <c r="L5780" s="196"/>
      <c r="M5780" s="230"/>
      <c r="N5780" s="278"/>
      <c r="O5780" s="280"/>
      <c r="P5780" s="166"/>
      <c r="Q5780" s="166">
        <f t="shared" ref="Q5780:Q5799" si="1527">O5780*K5780</f>
        <v>0</v>
      </c>
      <c r="R5780" s="71"/>
      <c r="S5780" s="61"/>
      <c r="T5780" s="61"/>
      <c r="U5780" s="61"/>
      <c r="V5780" s="61"/>
      <c r="W5780" s="61"/>
      <c r="X5780" s="61"/>
      <c r="Y5780" s="61"/>
      <c r="Z5780" s="61"/>
      <c r="AA5780" s="61"/>
      <c r="AB5780" s="61"/>
      <c r="AC5780" s="61"/>
      <c r="AD5780" s="61"/>
      <c r="AE5780" s="61"/>
      <c r="AF5780" s="61"/>
      <c r="AG5780" s="61"/>
      <c r="AH5780" s="61"/>
      <c r="AI5780" s="61"/>
      <c r="AJ5780" s="61"/>
      <c r="AK5780" s="61"/>
      <c r="AL5780" s="61"/>
      <c r="AM5780" s="61"/>
      <c r="AN5780" s="61"/>
      <c r="AO5780" s="61"/>
    </row>
    <row r="5781" spans="1:41" s="108" customFormat="1" x14ac:dyDescent="0.25">
      <c r="A5781" s="358"/>
      <c r="B5781" s="361"/>
      <c r="C5781" s="221"/>
      <c r="D5781" s="194"/>
      <c r="E5781" s="194"/>
      <c r="F5781" s="194"/>
      <c r="G5781" s="217"/>
      <c r="H5781" s="195"/>
      <c r="I5781" s="159"/>
      <c r="J5781" s="195"/>
      <c r="K5781" s="161"/>
      <c r="L5781" s="196"/>
      <c r="M5781" s="230"/>
      <c r="N5781" s="278"/>
      <c r="O5781" s="280"/>
      <c r="P5781" s="166"/>
      <c r="Q5781" s="166">
        <f t="shared" si="1527"/>
        <v>0</v>
      </c>
      <c r="R5781" s="71"/>
      <c r="S5781" s="61"/>
      <c r="T5781" s="61"/>
      <c r="U5781" s="61"/>
      <c r="V5781" s="61"/>
      <c r="W5781" s="61"/>
      <c r="X5781" s="61"/>
      <c r="Y5781" s="61"/>
      <c r="Z5781" s="61"/>
      <c r="AA5781" s="61"/>
      <c r="AB5781" s="61"/>
      <c r="AC5781" s="61"/>
      <c r="AD5781" s="61"/>
      <c r="AE5781" s="61"/>
      <c r="AF5781" s="61"/>
      <c r="AG5781" s="61"/>
      <c r="AH5781" s="61"/>
      <c r="AI5781" s="61"/>
      <c r="AJ5781" s="61"/>
      <c r="AK5781" s="61"/>
      <c r="AL5781" s="61"/>
      <c r="AM5781" s="61"/>
      <c r="AN5781" s="61"/>
      <c r="AO5781" s="61"/>
    </row>
    <row r="5782" spans="1:41" s="108" customFormat="1" x14ac:dyDescent="0.25">
      <c r="A5782" s="358"/>
      <c r="B5782" s="361"/>
      <c r="C5782" s="365" t="s">
        <v>357</v>
      </c>
      <c r="D5782" s="368" t="s">
        <v>66</v>
      </c>
      <c r="E5782" s="368"/>
      <c r="F5782" s="368"/>
      <c r="G5782" s="368"/>
      <c r="H5782" s="195"/>
      <c r="I5782" s="159"/>
      <c r="J5782" s="195"/>
      <c r="K5782" s="161"/>
      <c r="L5782" s="196"/>
      <c r="M5782" s="230"/>
      <c r="N5782" s="278"/>
      <c r="O5782" s="279">
        <f>O5788</f>
        <v>0.55150999999999994</v>
      </c>
      <c r="P5782" s="166"/>
      <c r="Q5782" s="166">
        <f t="shared" si="1527"/>
        <v>0</v>
      </c>
      <c r="R5782" s="71"/>
      <c r="S5782" s="61"/>
      <c r="T5782" s="61"/>
      <c r="U5782" s="61"/>
      <c r="V5782" s="61"/>
      <c r="W5782" s="61"/>
      <c r="X5782" s="61"/>
      <c r="Y5782" s="61"/>
      <c r="Z5782" s="61"/>
      <c r="AA5782" s="61"/>
      <c r="AB5782" s="61"/>
      <c r="AC5782" s="61"/>
      <c r="AD5782" s="61"/>
      <c r="AE5782" s="61"/>
      <c r="AF5782" s="61"/>
      <c r="AG5782" s="61"/>
      <c r="AH5782" s="61"/>
      <c r="AI5782" s="61"/>
      <c r="AJ5782" s="61"/>
      <c r="AK5782" s="61"/>
      <c r="AL5782" s="61"/>
      <c r="AM5782" s="61"/>
      <c r="AN5782" s="61"/>
      <c r="AO5782" s="61"/>
    </row>
    <row r="5783" spans="1:41" s="61" customFormat="1" x14ac:dyDescent="0.25">
      <c r="A5783" s="358"/>
      <c r="B5783" s="361"/>
      <c r="C5783" s="366"/>
      <c r="D5783" s="284" t="s">
        <v>241</v>
      </c>
      <c r="E5783" s="156" t="s">
        <v>28</v>
      </c>
      <c r="F5783" s="156" t="s">
        <v>28</v>
      </c>
      <c r="G5783" s="238">
        <f>MROUND(H5783*L5783*I5783/K5783,0.000000000001)</f>
        <v>2.4010309299999998E-4</v>
      </c>
      <c r="H5783" s="158">
        <f>H5473</f>
        <v>17</v>
      </c>
      <c r="I5783" s="159">
        <f>I5776</f>
        <v>1.644E-2</v>
      </c>
      <c r="J5783" s="160"/>
      <c r="K5783" s="161">
        <f>K5776</f>
        <v>13968</v>
      </c>
      <c r="L5783" s="250">
        <v>12</v>
      </c>
      <c r="M5783" s="163" t="str">
        <f>CONCATENATE(H5783," ",F5783,"*",L5783,"мес.","*",I5783,"/",K5783,"чел/час")</f>
        <v>17 шт*12мес.*0,01644/13968чел/час</v>
      </c>
      <c r="N5783" s="278">
        <f>N5473</f>
        <v>342.84676470588238</v>
      </c>
      <c r="O5783" s="280">
        <f>MROUND(N5783*G5783,0.000001)</f>
        <v>8.2318999999999989E-2</v>
      </c>
      <c r="P5783" s="166"/>
      <c r="Q5783" s="166">
        <f t="shared" si="1527"/>
        <v>1149.831792</v>
      </c>
      <c r="R5783" s="71"/>
    </row>
    <row r="5784" spans="1:41" s="61" customFormat="1" x14ac:dyDescent="0.25">
      <c r="A5784" s="358"/>
      <c r="B5784" s="361"/>
      <c r="C5784" s="366"/>
      <c r="D5784" s="284" t="s">
        <v>242</v>
      </c>
      <c r="E5784" s="156" t="s">
        <v>243</v>
      </c>
      <c r="F5784" s="156" t="s">
        <v>243</v>
      </c>
      <c r="G5784" s="238">
        <f>MROUND(H5784*L5784*I5784/K5784,0.000000000001)</f>
        <v>0.24442494845400001</v>
      </c>
      <c r="H5784" s="158">
        <f>H5474</f>
        <v>17306</v>
      </c>
      <c r="I5784" s="159">
        <f>I5783</f>
        <v>1.644E-2</v>
      </c>
      <c r="J5784" s="160"/>
      <c r="K5784" s="161">
        <f>K5783</f>
        <v>13968</v>
      </c>
      <c r="L5784" s="250">
        <v>12</v>
      </c>
      <c r="M5784" s="163" t="str">
        <f>CONCATENATE(H5784," ",F5784,"*",L5784,"мес.","*",I5784,"/",K5784,"чел/час")</f>
        <v>17306 мин.*12мес.*0,01644/13968чел/час</v>
      </c>
      <c r="N5784" s="278">
        <f>N5474</f>
        <v>0.82090079548518802</v>
      </c>
      <c r="O5784" s="280">
        <f>MROUND(N5784*G5784,0.000001)</f>
        <v>0.20064899999999999</v>
      </c>
      <c r="P5784" s="166"/>
      <c r="Q5784" s="166">
        <f t="shared" si="1527"/>
        <v>2802.6652319999998</v>
      </c>
      <c r="R5784" s="71"/>
    </row>
    <row r="5785" spans="1:41" s="61" customFormat="1" ht="31.5" x14ac:dyDescent="0.25">
      <c r="A5785" s="358"/>
      <c r="B5785" s="361"/>
      <c r="C5785" s="366"/>
      <c r="D5785" s="285" t="s">
        <v>244</v>
      </c>
      <c r="E5785" s="286" t="s">
        <v>245</v>
      </c>
      <c r="F5785" s="286" t="s">
        <v>247</v>
      </c>
      <c r="G5785" s="238">
        <f>MROUND(H5785*L5785*I5785/K5785,0.000000000001)</f>
        <v>7.0618557000000004E-5</v>
      </c>
      <c r="H5785" s="158">
        <f>H5475</f>
        <v>5</v>
      </c>
      <c r="I5785" s="159">
        <f>I5784</f>
        <v>1.644E-2</v>
      </c>
      <c r="J5785" s="160"/>
      <c r="K5785" s="161">
        <f>K5784</f>
        <v>13968</v>
      </c>
      <c r="L5785" s="250">
        <v>12</v>
      </c>
      <c r="M5785" s="163" t="str">
        <f>CONCATENATE(H5785," ",F5785,"*",L5785,"мес.","*",I5785,"/",K5785,"чел/час")</f>
        <v>5 радиоточек*12мес.*0,01644/13968чел/час</v>
      </c>
      <c r="N5785" s="278">
        <f>N5475</f>
        <v>173.30166666666665</v>
      </c>
      <c r="O5785" s="280">
        <f>MROUND(N5785*G5785,0.000001)</f>
        <v>1.2237999999999999E-2</v>
      </c>
      <c r="P5785" s="166"/>
      <c r="Q5785" s="166">
        <f t="shared" si="1527"/>
        <v>170.94038399999999</v>
      </c>
      <c r="R5785" s="71"/>
    </row>
    <row r="5786" spans="1:41" s="61" customFormat="1" ht="47.25" x14ac:dyDescent="0.25">
      <c r="A5786" s="358"/>
      <c r="B5786" s="361"/>
      <c r="C5786" s="366"/>
      <c r="D5786" s="285" t="s">
        <v>374</v>
      </c>
      <c r="E5786" s="156" t="s">
        <v>28</v>
      </c>
      <c r="F5786" s="156" t="s">
        <v>28</v>
      </c>
      <c r="G5786" s="238">
        <f>MROUND(H5786*L5786*I5786/K5786,0.000000000001)</f>
        <v>3.2955325999999997E-5</v>
      </c>
      <c r="H5786" s="158">
        <f>H5476</f>
        <v>7</v>
      </c>
      <c r="I5786" s="159">
        <f>I5784</f>
        <v>1.644E-2</v>
      </c>
      <c r="J5786" s="160"/>
      <c r="K5786" s="161">
        <f>K5784</f>
        <v>13968</v>
      </c>
      <c r="L5786" s="250">
        <f>L5476</f>
        <v>4</v>
      </c>
      <c r="M5786" s="163" t="str">
        <f>CONCATENATE(H5786," ",F5786,"*",L5786,"мес.","*",I5786,"/",K5786,"чел/час")</f>
        <v>7 шт*4мес.*0,01644/13968чел/час</v>
      </c>
      <c r="N5786" s="278">
        <f>N5476</f>
        <v>1313.8174999999999</v>
      </c>
      <c r="O5786" s="280">
        <f>MROUND(N5786*G5786,0.000001)</f>
        <v>4.3296999999999995E-2</v>
      </c>
      <c r="P5786" s="166"/>
      <c r="Q5786" s="166">
        <f t="shared" si="1527"/>
        <v>604.77249599999993</v>
      </c>
      <c r="R5786" s="71"/>
    </row>
    <row r="5787" spans="1:41" s="61" customFormat="1" x14ac:dyDescent="0.25">
      <c r="A5787" s="358"/>
      <c r="B5787" s="361"/>
      <c r="C5787" s="367"/>
      <c r="D5787" s="284" t="s">
        <v>246</v>
      </c>
      <c r="E5787" s="156" t="s">
        <v>28</v>
      </c>
      <c r="F5787" s="156" t="s">
        <v>28</v>
      </c>
      <c r="G5787" s="238">
        <f>MROUND(H5787*L5787*I5787/K5787,0.000000000001)</f>
        <v>7.0618557000000004E-5</v>
      </c>
      <c r="H5787" s="158">
        <v>5</v>
      </c>
      <c r="I5787" s="159">
        <f>I5785</f>
        <v>1.644E-2</v>
      </c>
      <c r="J5787" s="160"/>
      <c r="K5787" s="161">
        <f>K5785</f>
        <v>13968</v>
      </c>
      <c r="L5787" s="250">
        <v>12</v>
      </c>
      <c r="M5787" s="163" t="str">
        <f>CONCATENATE(H5787," ",F5787,"*",L5787,"мес.","*",I5787,"/",K5787,"чел/час")</f>
        <v>5 шт*12мес.*0,01644/13968чел/час</v>
      </c>
      <c r="N5787" s="278">
        <f>N5477</f>
        <v>3016.3089999999997</v>
      </c>
      <c r="O5787" s="280">
        <f>MROUND(N5787*G5787,0.000001)</f>
        <v>0.213007</v>
      </c>
      <c r="P5787" s="166"/>
      <c r="Q5787" s="166">
        <f t="shared" si="1527"/>
        <v>2975.2817759999998</v>
      </c>
      <c r="R5787" s="71"/>
    </row>
    <row r="5788" spans="1:41" s="109" customFormat="1" x14ac:dyDescent="0.25">
      <c r="A5788" s="358"/>
      <c r="B5788" s="361"/>
      <c r="C5788" s="218" t="s">
        <v>358</v>
      </c>
      <c r="D5788" s="287"/>
      <c r="E5788" s="287"/>
      <c r="F5788" s="287"/>
      <c r="G5788" s="288"/>
      <c r="H5788" s="214"/>
      <c r="I5788" s="206"/>
      <c r="J5788" s="214"/>
      <c r="K5788" s="207"/>
      <c r="L5788" s="215"/>
      <c r="M5788" s="289"/>
      <c r="N5788" s="281"/>
      <c r="O5788" s="279">
        <f>SUM(O5783:O5787)</f>
        <v>0.55150999999999994</v>
      </c>
      <c r="P5788" s="267"/>
      <c r="Q5788" s="166">
        <f t="shared" si="1527"/>
        <v>0</v>
      </c>
      <c r="R5788" s="71"/>
      <c r="S5788" s="62"/>
      <c r="T5788" s="62"/>
      <c r="U5788" s="62"/>
      <c r="V5788" s="62"/>
      <c r="W5788" s="62"/>
      <c r="X5788" s="62"/>
      <c r="Y5788" s="62"/>
      <c r="Z5788" s="62"/>
      <c r="AA5788" s="62"/>
      <c r="AB5788" s="62"/>
      <c r="AC5788" s="62"/>
      <c r="AD5788" s="62"/>
      <c r="AE5788" s="62"/>
      <c r="AF5788" s="62"/>
      <c r="AG5788" s="62"/>
      <c r="AH5788" s="62"/>
      <c r="AI5788" s="62"/>
      <c r="AJ5788" s="62"/>
      <c r="AK5788" s="62"/>
      <c r="AL5788" s="62"/>
      <c r="AM5788" s="62"/>
      <c r="AN5788" s="62"/>
      <c r="AO5788" s="62"/>
    </row>
    <row r="5789" spans="1:41" s="108" customFormat="1" x14ac:dyDescent="0.25">
      <c r="A5789" s="358"/>
      <c r="B5789" s="361"/>
      <c r="C5789" s="365" t="s">
        <v>366</v>
      </c>
      <c r="D5789" s="368" t="s">
        <v>67</v>
      </c>
      <c r="E5789" s="368"/>
      <c r="F5789" s="368"/>
      <c r="G5789" s="368"/>
      <c r="H5789" s="195"/>
      <c r="I5789" s="159"/>
      <c r="J5789" s="195"/>
      <c r="K5789" s="161"/>
      <c r="L5789" s="196"/>
      <c r="M5789" s="230"/>
      <c r="N5789" s="278"/>
      <c r="O5789" s="279">
        <f>O5790</f>
        <v>7.4074000000000001E-2</v>
      </c>
      <c r="P5789" s="166"/>
      <c r="Q5789" s="166">
        <f t="shared" si="1527"/>
        <v>0</v>
      </c>
      <c r="R5789" s="71"/>
      <c r="S5789" s="61"/>
      <c r="T5789" s="61"/>
      <c r="U5789" s="61"/>
      <c r="V5789" s="61"/>
      <c r="W5789" s="61"/>
      <c r="X5789" s="61"/>
      <c r="Y5789" s="61"/>
      <c r="Z5789" s="61"/>
      <c r="AA5789" s="61"/>
      <c r="AB5789" s="61"/>
      <c r="AC5789" s="61"/>
      <c r="AD5789" s="61"/>
      <c r="AE5789" s="61"/>
      <c r="AF5789" s="61"/>
      <c r="AG5789" s="61"/>
      <c r="AH5789" s="61"/>
      <c r="AI5789" s="61"/>
      <c r="AJ5789" s="61"/>
      <c r="AK5789" s="61"/>
      <c r="AL5789" s="61"/>
      <c r="AM5789" s="61"/>
      <c r="AN5789" s="61"/>
      <c r="AO5789" s="61"/>
    </row>
    <row r="5790" spans="1:41" s="61" customFormat="1" x14ac:dyDescent="0.25">
      <c r="A5790" s="358"/>
      <c r="B5790" s="361"/>
      <c r="C5790" s="367"/>
      <c r="D5790" s="194" t="s">
        <v>367</v>
      </c>
      <c r="E5790" s="156" t="s">
        <v>28</v>
      </c>
      <c r="F5790" s="156" t="s">
        <v>28</v>
      </c>
      <c r="G5790" s="238">
        <f>MROUND(H5790*L5790*I5790/K5790,0.000000000001)</f>
        <v>2.8247423E-5</v>
      </c>
      <c r="H5790" s="158">
        <f>H5480</f>
        <v>2</v>
      </c>
      <c r="I5790" s="159">
        <f>I5787</f>
        <v>1.644E-2</v>
      </c>
      <c r="J5790" s="160"/>
      <c r="K5790" s="161">
        <f>K5787</f>
        <v>13968</v>
      </c>
      <c r="L5790" s="250">
        <v>12</v>
      </c>
      <c r="M5790" s="163" t="str">
        <f>CONCATENATE(H5790," ",F5790,"*",L5790,"мес.","*",I5790,"/",K5790,"чел/час")</f>
        <v>2 шт*12мес.*0,01644/13968чел/час</v>
      </c>
      <c r="N5790" s="278">
        <f>N5480</f>
        <v>2622.3220833333335</v>
      </c>
      <c r="O5790" s="280">
        <f>MROUND(N5790*G5790,0.000001)</f>
        <v>7.4074000000000001E-2</v>
      </c>
      <c r="P5790" s="166"/>
      <c r="Q5790" s="166">
        <f t="shared" si="1527"/>
        <v>1034.665632</v>
      </c>
      <c r="R5790" s="71"/>
    </row>
    <row r="5791" spans="1:41" s="108" customFormat="1" x14ac:dyDescent="0.25">
      <c r="A5791" s="358"/>
      <c r="B5791" s="361"/>
      <c r="C5791" s="221"/>
      <c r="D5791" s="350" t="s">
        <v>68</v>
      </c>
      <c r="E5791" s="350"/>
      <c r="F5791" s="350"/>
      <c r="G5791" s="350"/>
      <c r="H5791" s="195"/>
      <c r="I5791" s="159"/>
      <c r="J5791" s="195"/>
      <c r="K5791" s="161"/>
      <c r="L5791" s="196"/>
      <c r="M5791" s="230"/>
      <c r="N5791" s="278"/>
      <c r="O5791" s="280"/>
      <c r="P5791" s="166"/>
      <c r="Q5791" s="166">
        <f t="shared" si="1527"/>
        <v>0</v>
      </c>
      <c r="R5791" s="71"/>
      <c r="S5791" s="61"/>
      <c r="T5791" s="61"/>
      <c r="U5791" s="61"/>
      <c r="V5791" s="61"/>
      <c r="W5791" s="61"/>
      <c r="X5791" s="61"/>
      <c r="Y5791" s="61"/>
      <c r="Z5791" s="61"/>
      <c r="AA5791" s="61"/>
      <c r="AB5791" s="61"/>
      <c r="AC5791" s="61"/>
      <c r="AD5791" s="61"/>
      <c r="AE5791" s="61"/>
      <c r="AF5791" s="61"/>
      <c r="AG5791" s="61"/>
      <c r="AH5791" s="61"/>
      <c r="AI5791" s="61"/>
      <c r="AJ5791" s="61"/>
      <c r="AK5791" s="61"/>
      <c r="AL5791" s="61"/>
      <c r="AM5791" s="61"/>
      <c r="AN5791" s="61"/>
      <c r="AO5791" s="61"/>
    </row>
    <row r="5792" spans="1:41" s="108" customFormat="1" x14ac:dyDescent="0.25">
      <c r="A5792" s="358"/>
      <c r="B5792" s="361"/>
      <c r="C5792" s="221"/>
      <c r="D5792" s="156"/>
      <c r="E5792" s="156"/>
      <c r="F5792" s="156"/>
      <c r="G5792" s="236"/>
      <c r="H5792" s="195"/>
      <c r="I5792" s="159"/>
      <c r="J5792" s="195"/>
      <c r="K5792" s="161"/>
      <c r="L5792" s="196"/>
      <c r="M5792" s="230"/>
      <c r="N5792" s="278"/>
      <c r="O5792" s="280"/>
      <c r="P5792" s="166"/>
      <c r="Q5792" s="166">
        <f t="shared" si="1527"/>
        <v>0</v>
      </c>
      <c r="R5792" s="71"/>
      <c r="S5792" s="61"/>
      <c r="T5792" s="61"/>
      <c r="U5792" s="61"/>
      <c r="V5792" s="61"/>
      <c r="W5792" s="61"/>
      <c r="X5792" s="61"/>
      <c r="Y5792" s="61"/>
      <c r="Z5792" s="61"/>
      <c r="AA5792" s="61"/>
      <c r="AB5792" s="61"/>
      <c r="AC5792" s="61"/>
      <c r="AD5792" s="61"/>
      <c r="AE5792" s="61"/>
      <c r="AF5792" s="61"/>
      <c r="AG5792" s="61"/>
      <c r="AH5792" s="61"/>
      <c r="AI5792" s="61"/>
      <c r="AJ5792" s="61"/>
      <c r="AK5792" s="61"/>
      <c r="AL5792" s="61"/>
      <c r="AM5792" s="61"/>
      <c r="AN5792" s="61"/>
      <c r="AO5792" s="61"/>
    </row>
    <row r="5793" spans="1:41" s="108" customFormat="1" x14ac:dyDescent="0.25">
      <c r="A5793" s="358"/>
      <c r="B5793" s="361"/>
      <c r="C5793" s="221"/>
      <c r="D5793" s="368" t="s">
        <v>69</v>
      </c>
      <c r="E5793" s="368"/>
      <c r="F5793" s="368"/>
      <c r="G5793" s="368"/>
      <c r="H5793" s="187"/>
      <c r="I5793" s="159"/>
      <c r="J5793" s="187"/>
      <c r="K5793" s="161"/>
      <c r="L5793" s="276"/>
      <c r="M5793" s="230"/>
      <c r="N5793" s="278"/>
      <c r="O5793" s="279">
        <f>O5800+O5816+O5819+O5832+O5833+O5834+O5845+O5847+O5851+O5848</f>
        <v>4.2863589999999991</v>
      </c>
      <c r="P5793" s="166"/>
      <c r="Q5793" s="166">
        <f t="shared" si="1527"/>
        <v>0</v>
      </c>
      <c r="R5793" s="71"/>
      <c r="S5793" s="61"/>
      <c r="T5793" s="61"/>
      <c r="U5793" s="61"/>
      <c r="V5793" s="61"/>
      <c r="W5793" s="61"/>
      <c r="X5793" s="61"/>
      <c r="Y5793" s="61"/>
      <c r="Z5793" s="61"/>
      <c r="AA5793" s="61"/>
      <c r="AB5793" s="61"/>
      <c r="AC5793" s="61"/>
      <c r="AD5793" s="61"/>
      <c r="AE5793" s="61"/>
      <c r="AF5793" s="61"/>
      <c r="AG5793" s="61"/>
      <c r="AH5793" s="61"/>
      <c r="AI5793" s="61"/>
      <c r="AJ5793" s="61"/>
      <c r="AK5793" s="61"/>
      <c r="AL5793" s="61"/>
      <c r="AM5793" s="61"/>
      <c r="AN5793" s="61"/>
      <c r="AO5793" s="61"/>
    </row>
    <row r="5794" spans="1:41" s="61" customFormat="1" ht="31.5" x14ac:dyDescent="0.25">
      <c r="A5794" s="358"/>
      <c r="B5794" s="361"/>
      <c r="C5794" s="365" t="s">
        <v>78</v>
      </c>
      <c r="D5794" s="156" t="s">
        <v>26</v>
      </c>
      <c r="E5794" s="156" t="s">
        <v>22</v>
      </c>
      <c r="F5794" s="156" t="s">
        <v>22</v>
      </c>
      <c r="G5794" s="238">
        <f t="shared" ref="G5794:G5799" si="1528">MROUND(H5794*L5794*I5794/K5794,0.000000000001)</f>
        <v>7.0057280412000003E-2</v>
      </c>
      <c r="H5794" s="158">
        <f>H5484</f>
        <v>4960.26</v>
      </c>
      <c r="I5794" s="159">
        <f>I5790</f>
        <v>1.644E-2</v>
      </c>
      <c r="J5794" s="160"/>
      <c r="K5794" s="161">
        <f>K5790</f>
        <v>13968</v>
      </c>
      <c r="L5794" s="250">
        <v>12</v>
      </c>
      <c r="M5794" s="163" t="str">
        <f>CONCATENATE(H5794," ",F5794,"(обрабатываемая площадь в мес.)","*",L5794,"мес.","*",I5794,"/",K5794,"чел/час")</f>
        <v>4960,26 м2(обрабатываемая площадь в мес.)*12мес.*0,01644/13968чел/час</v>
      </c>
      <c r="N5794" s="278">
        <f>N5484</f>
        <v>1.2085483758243856</v>
      </c>
      <c r="O5794" s="280">
        <f>MROUND(N5794*G5794,0.000001)</f>
        <v>8.4667999999999993E-2</v>
      </c>
      <c r="P5794" s="166"/>
      <c r="Q5794" s="166">
        <f t="shared" si="1527"/>
        <v>1182.6426239999998</v>
      </c>
      <c r="R5794" s="71"/>
    </row>
    <row r="5795" spans="1:41" s="61" customFormat="1" ht="31.5" x14ac:dyDescent="0.25">
      <c r="A5795" s="358"/>
      <c r="B5795" s="361"/>
      <c r="C5795" s="366"/>
      <c r="D5795" s="296" t="s">
        <v>96</v>
      </c>
      <c r="E5795" s="296" t="s">
        <v>22</v>
      </c>
      <c r="F5795" s="296" t="s">
        <v>22</v>
      </c>
      <c r="G5795" s="238">
        <f t="shared" si="1528"/>
        <v>3.8801507216000002E-2</v>
      </c>
      <c r="H5795" s="297">
        <f>H5485</f>
        <v>2747.26</v>
      </c>
      <c r="I5795" s="298">
        <f>I5794</f>
        <v>1.644E-2</v>
      </c>
      <c r="J5795" s="299"/>
      <c r="K5795" s="300">
        <f>K5794</f>
        <v>13968</v>
      </c>
      <c r="L5795" s="301">
        <v>12</v>
      </c>
      <c r="M5795" s="163" t="str">
        <f>CONCATENATE(H5795," ",F5795,"(обрабатываемая площадь в мес.)","*",L5795,"мес.","*",I5795,"/",K5795,"чел/час")</f>
        <v>2747,26 м2(обрабатываемая площадь в мес.)*12мес.*0,01644/13968чел/час</v>
      </c>
      <c r="N5795" s="302">
        <f>N5485</f>
        <v>1.68496671835453</v>
      </c>
      <c r="O5795" s="303">
        <f>MROUND(N5795*G5795,0.000001)</f>
        <v>6.5378999999999993E-2</v>
      </c>
      <c r="P5795" s="166"/>
      <c r="Q5795" s="166">
        <f t="shared" si="1527"/>
        <v>913.21387199999992</v>
      </c>
      <c r="R5795" s="71"/>
    </row>
    <row r="5796" spans="1:41" s="135" customFormat="1" ht="31.5" x14ac:dyDescent="0.25">
      <c r="A5796" s="358"/>
      <c r="B5796" s="361"/>
      <c r="C5796" s="366"/>
      <c r="D5796" s="156" t="s">
        <v>385</v>
      </c>
      <c r="E5796" s="156" t="s">
        <v>22</v>
      </c>
      <c r="F5796" s="156" t="s">
        <v>22</v>
      </c>
      <c r="G5796" s="238">
        <f t="shared" si="1528"/>
        <v>7.7603014432999995E-2</v>
      </c>
      <c r="H5796" s="242">
        <f>$H$2098</f>
        <v>2747.26</v>
      </c>
      <c r="I5796" s="298">
        <f>I5795</f>
        <v>1.644E-2</v>
      </c>
      <c r="J5796" s="160"/>
      <c r="K5796" s="300">
        <f>K5795</f>
        <v>13968</v>
      </c>
      <c r="L5796" s="162">
        <v>24</v>
      </c>
      <c r="M5796" s="163" t="str">
        <f>CONCATENATE(H5796," ",F5796,"(обрабатываемая площадь в год)","*",L5796," раза в год.","*",I5796,"/",K5796,"чел.")</f>
        <v>2747,26 м2(обрабатываемая площадь в год)*24 раза в год.*0,01644/13968чел.</v>
      </c>
      <c r="N5796" s="164">
        <f>$N$5486</f>
        <v>1.8597276619856391</v>
      </c>
      <c r="O5796" s="165">
        <f>MROUND(G5796*N5796,0.000001)</f>
        <v>0.14432</v>
      </c>
      <c r="P5796" s="166"/>
      <c r="Q5796" s="166">
        <f t="shared" si="1527"/>
        <v>2015.86176</v>
      </c>
      <c r="R5796" s="71"/>
      <c r="S5796" s="61"/>
      <c r="T5796" s="61"/>
      <c r="U5796" s="61"/>
      <c r="V5796" s="61"/>
      <c r="W5796" s="61"/>
      <c r="X5796" s="61"/>
      <c r="Y5796" s="61"/>
      <c r="Z5796" s="61"/>
      <c r="AA5796" s="61"/>
      <c r="AB5796" s="61"/>
      <c r="AC5796" s="61"/>
      <c r="AD5796" s="61"/>
      <c r="AE5796" s="61"/>
      <c r="AF5796" s="61"/>
      <c r="AG5796" s="61"/>
      <c r="AH5796" s="61"/>
      <c r="AI5796" s="61"/>
      <c r="AJ5796" s="61"/>
      <c r="AK5796" s="61"/>
      <c r="AL5796" s="61"/>
      <c r="AM5796" s="61"/>
      <c r="AN5796" s="61"/>
      <c r="AO5796" s="61"/>
    </row>
    <row r="5797" spans="1:41" s="135" customFormat="1" ht="31.5" x14ac:dyDescent="0.25">
      <c r="A5797" s="358"/>
      <c r="B5797" s="361"/>
      <c r="C5797" s="366"/>
      <c r="D5797" s="156" t="s">
        <v>394</v>
      </c>
      <c r="E5797" s="156" t="s">
        <v>22</v>
      </c>
      <c r="F5797" s="156" t="s">
        <v>22</v>
      </c>
      <c r="G5797" s="238">
        <f t="shared" si="1528"/>
        <v>7.0057280412000003E-2</v>
      </c>
      <c r="H5797" s="243">
        <f>$H$2099</f>
        <v>4960.26</v>
      </c>
      <c r="I5797" s="298">
        <f>I5796</f>
        <v>1.644E-2</v>
      </c>
      <c r="J5797" s="160"/>
      <c r="K5797" s="300">
        <f>K5796</f>
        <v>13968</v>
      </c>
      <c r="L5797" s="162">
        <v>12</v>
      </c>
      <c r="M5797" s="163" t="str">
        <f>CONCATENATE(H5797," ",F5797,"(обрабатываемая площадь в мес.)","*",L5797,"мес.","*",I5797,"/",K5797,"чел.")</f>
        <v>4960,26 м2(обрабатываемая площадь в мес.)*12мес.*0,01644/13968чел.</v>
      </c>
      <c r="N5797" s="164">
        <f>$N$5487</f>
        <v>0.57006991568990339</v>
      </c>
      <c r="O5797" s="165">
        <f>MROUND(G5797*N5797,0.000001)</f>
        <v>3.9938000000000001E-2</v>
      </c>
      <c r="P5797" s="166"/>
      <c r="Q5797" s="166">
        <f t="shared" si="1527"/>
        <v>557.85398399999997</v>
      </c>
      <c r="R5797" s="71"/>
      <c r="S5797" s="61"/>
      <c r="T5797" s="61"/>
      <c r="U5797" s="61"/>
      <c r="V5797" s="61"/>
      <c r="W5797" s="61"/>
      <c r="X5797" s="61"/>
      <c r="Y5797" s="61"/>
      <c r="Z5797" s="61"/>
      <c r="AA5797" s="61"/>
      <c r="AB5797" s="61"/>
      <c r="AC5797" s="61"/>
      <c r="AD5797" s="61"/>
      <c r="AE5797" s="61"/>
      <c r="AF5797" s="61"/>
      <c r="AG5797" s="61"/>
      <c r="AH5797" s="61"/>
      <c r="AI5797" s="61"/>
      <c r="AJ5797" s="61"/>
      <c r="AK5797" s="61"/>
      <c r="AL5797" s="61"/>
      <c r="AM5797" s="61"/>
      <c r="AN5797" s="61"/>
      <c r="AO5797" s="61"/>
    </row>
    <row r="5798" spans="1:41" s="135" customFormat="1" ht="31.5" x14ac:dyDescent="0.25">
      <c r="A5798" s="358"/>
      <c r="B5798" s="361"/>
      <c r="C5798" s="366"/>
      <c r="D5798" s="156" t="s">
        <v>395</v>
      </c>
      <c r="E5798" s="156" t="s">
        <v>98</v>
      </c>
      <c r="F5798" s="156" t="s">
        <v>98</v>
      </c>
      <c r="G5798" s="238">
        <f t="shared" si="1528"/>
        <v>2.2127149999999998E-6</v>
      </c>
      <c r="H5798" s="242">
        <f>$H$2100</f>
        <v>1.8800000000000001</v>
      </c>
      <c r="I5798" s="298">
        <f>I5797</f>
        <v>1.644E-2</v>
      </c>
      <c r="J5798" s="160"/>
      <c r="K5798" s="300">
        <f>K5797</f>
        <v>13968</v>
      </c>
      <c r="L5798" s="162">
        <v>1</v>
      </c>
      <c r="M5798" s="163" t="str">
        <f>CONCATENATE(H5798," ",F5798,"(обрабатываемая площадь в год)","*",L5798," раз в год","*",I5798,"/",K5798,"чел.")</f>
        <v>1,88 Га(обрабатываемая площадь в год)*1 раз в год*0,01644/13968чел.</v>
      </c>
      <c r="N5798" s="164">
        <f>$N$5488</f>
        <v>570.07446808510633</v>
      </c>
      <c r="O5798" s="165">
        <f>MROUND(G5798*N5798,0.000001)</f>
        <v>1.261E-3</v>
      </c>
      <c r="P5798" s="166"/>
      <c r="Q5798" s="166">
        <f t="shared" si="1527"/>
        <v>17.613648000000001</v>
      </c>
      <c r="R5798" s="71"/>
      <c r="S5798" s="61"/>
      <c r="T5798" s="61"/>
      <c r="U5798" s="61"/>
      <c r="V5798" s="61"/>
      <c r="W5798" s="61"/>
      <c r="X5798" s="61"/>
      <c r="Y5798" s="61"/>
      <c r="Z5798" s="61"/>
      <c r="AA5798" s="61"/>
      <c r="AB5798" s="61"/>
      <c r="AC5798" s="61"/>
      <c r="AD5798" s="61"/>
      <c r="AE5798" s="61"/>
      <c r="AF5798" s="61"/>
      <c r="AG5798" s="61"/>
      <c r="AH5798" s="61"/>
      <c r="AI5798" s="61"/>
      <c r="AJ5798" s="61"/>
      <c r="AK5798" s="61"/>
      <c r="AL5798" s="61"/>
      <c r="AM5798" s="61"/>
      <c r="AN5798" s="61"/>
      <c r="AO5798" s="61"/>
    </row>
    <row r="5799" spans="1:41" s="61" customFormat="1" ht="31.5" x14ac:dyDescent="0.25">
      <c r="A5799" s="358"/>
      <c r="B5799" s="361"/>
      <c r="C5799" s="367"/>
      <c r="D5799" s="156" t="s">
        <v>97</v>
      </c>
      <c r="E5799" s="296" t="s">
        <v>363</v>
      </c>
      <c r="F5799" s="296" t="s">
        <v>363</v>
      </c>
      <c r="G5799" s="238">
        <f t="shared" si="1528"/>
        <v>2.2127149999999998E-6</v>
      </c>
      <c r="H5799" s="158">
        <f>$H$2101</f>
        <v>1.8800000000000001</v>
      </c>
      <c r="I5799" s="298">
        <f>I5795</f>
        <v>1.644E-2</v>
      </c>
      <c r="J5799" s="299"/>
      <c r="K5799" s="300">
        <f>K5795</f>
        <v>13968</v>
      </c>
      <c r="L5799" s="301">
        <v>1</v>
      </c>
      <c r="M5799" s="163" t="str">
        <f>CONCATENATE(H5799," ",F5799,"(обрабатываемая площадь в мес.)","*",L5799,"мес.","*",I5799,"/",K5799,"чел/час")</f>
        <v>1,88 га(обрабатываемая площадь в мес.)*1мес.*0,01644/13968чел/час</v>
      </c>
      <c r="N5799" s="278">
        <f>$N$5489</f>
        <v>3102.4095744680853</v>
      </c>
      <c r="O5799" s="303">
        <f>MROUND(N5799*G5799,0.000001)</f>
        <v>6.8649999999999996E-3</v>
      </c>
      <c r="P5799" s="166"/>
      <c r="Q5799" s="166">
        <f t="shared" si="1527"/>
        <v>95.890319999999988</v>
      </c>
      <c r="R5799" s="71"/>
    </row>
    <row r="5800" spans="1:41" s="111" customFormat="1" x14ac:dyDescent="0.25">
      <c r="A5800" s="358"/>
      <c r="B5800" s="361"/>
      <c r="C5800" s="218" t="s">
        <v>327</v>
      </c>
      <c r="D5800" s="240"/>
      <c r="E5800" s="240"/>
      <c r="F5800" s="240"/>
      <c r="G5800" s="227"/>
      <c r="H5800" s="241"/>
      <c r="I5800" s="206"/>
      <c r="J5800" s="228"/>
      <c r="K5800" s="207"/>
      <c r="L5800" s="257"/>
      <c r="M5800" s="209"/>
      <c r="N5800" s="281"/>
      <c r="O5800" s="279">
        <f>SUM(O5794:O5799)</f>
        <v>0.34243099999999999</v>
      </c>
      <c r="P5800" s="304"/>
      <c r="Q5800" s="166"/>
      <c r="R5800" s="71"/>
      <c r="S5800" s="113"/>
      <c r="T5800" s="113"/>
      <c r="U5800" s="113"/>
      <c r="V5800" s="113"/>
      <c r="W5800" s="113"/>
      <c r="X5800" s="113"/>
      <c r="Y5800" s="113"/>
      <c r="Z5800" s="113"/>
      <c r="AA5800" s="113"/>
      <c r="AB5800" s="113"/>
      <c r="AC5800" s="113"/>
      <c r="AD5800" s="113"/>
      <c r="AE5800" s="113"/>
      <c r="AF5800" s="113"/>
      <c r="AG5800" s="113"/>
      <c r="AH5800" s="113"/>
      <c r="AI5800" s="113"/>
      <c r="AJ5800" s="113"/>
      <c r="AK5800" s="113"/>
      <c r="AL5800" s="113"/>
      <c r="AM5800" s="113"/>
      <c r="AN5800" s="113"/>
      <c r="AO5800" s="113"/>
    </row>
    <row r="5801" spans="1:41" s="61" customFormat="1" x14ac:dyDescent="0.25">
      <c r="A5801" s="358"/>
      <c r="B5801" s="361"/>
      <c r="C5801" s="366" t="s">
        <v>77</v>
      </c>
      <c r="D5801" s="156" t="s">
        <v>397</v>
      </c>
      <c r="E5801" s="156" t="s">
        <v>433</v>
      </c>
      <c r="F5801" s="156" t="s">
        <v>433</v>
      </c>
      <c r="G5801" s="238">
        <f t="shared" ref="G5801:G5815" si="1529">MROUND(H5801*L5801*I5801/K5801,0.000000000001)</f>
        <v>0</v>
      </c>
      <c r="H5801" s="305"/>
      <c r="I5801" s="306">
        <f>I5795</f>
        <v>1.644E-2</v>
      </c>
      <c r="J5801" s="307"/>
      <c r="K5801" s="308">
        <f>K5795</f>
        <v>13968</v>
      </c>
      <c r="L5801" s="162">
        <v>1</v>
      </c>
      <c r="M5801" s="163"/>
      <c r="N5801" s="309"/>
      <c r="O5801" s="310">
        <f t="shared" ref="O5801:O5812" si="1530">MROUND(N5801*G5801,0.000001)</f>
        <v>0</v>
      </c>
      <c r="P5801" s="166"/>
      <c r="Q5801" s="166">
        <f t="shared" ref="Q5801:Q5815" si="1531">O5801*K5801</f>
        <v>0</v>
      </c>
      <c r="R5801" s="71"/>
    </row>
    <row r="5802" spans="1:41" s="61" customFormat="1" ht="63" x14ac:dyDescent="0.25">
      <c r="A5802" s="358"/>
      <c r="B5802" s="361"/>
      <c r="C5802" s="366"/>
      <c r="D5802" s="156" t="s">
        <v>249</v>
      </c>
      <c r="E5802" s="156" t="s">
        <v>22</v>
      </c>
      <c r="F5802" s="156" t="s">
        <v>22</v>
      </c>
      <c r="G5802" s="238">
        <f t="shared" si="1529"/>
        <v>9.7565185570000004E-3</v>
      </c>
      <c r="H5802" s="158">
        <f>H5492</f>
        <v>690.79</v>
      </c>
      <c r="I5802" s="159">
        <f>I5801</f>
        <v>1.644E-2</v>
      </c>
      <c r="J5802" s="160"/>
      <c r="K5802" s="161">
        <f>K5801</f>
        <v>13968</v>
      </c>
      <c r="L5802" s="250">
        <v>12</v>
      </c>
      <c r="M5802" s="163" t="str">
        <f>CONCATENATE(H5802," ",F5802,"*",L5802,"мес.","*",I5802,"/",K5802,"чел/час")</f>
        <v>690,79 м2*12мес.*0,01644/13968чел/час</v>
      </c>
      <c r="N5802" s="278">
        <f>N5492</f>
        <v>31.700778577184575</v>
      </c>
      <c r="O5802" s="280">
        <f t="shared" si="1530"/>
        <v>0.30928899999999998</v>
      </c>
      <c r="P5802" s="166"/>
      <c r="Q5802" s="166">
        <f t="shared" si="1531"/>
        <v>4320.1487520000001</v>
      </c>
      <c r="R5802" s="71"/>
    </row>
    <row r="5803" spans="1:41" s="136" customFormat="1" x14ac:dyDescent="0.25">
      <c r="A5803" s="358"/>
      <c r="B5803" s="361"/>
      <c r="C5803" s="366"/>
      <c r="D5803" s="194" t="s">
        <v>398</v>
      </c>
      <c r="E5803" s="156" t="s">
        <v>60</v>
      </c>
      <c r="F5803" s="156" t="s">
        <v>60</v>
      </c>
      <c r="G5803" s="238">
        <f t="shared" si="1529"/>
        <v>5.8848799999999996E-6</v>
      </c>
      <c r="H5803" s="158">
        <f>$H$2105</f>
        <v>5</v>
      </c>
      <c r="I5803" s="159">
        <f>I5802</f>
        <v>1.644E-2</v>
      </c>
      <c r="J5803" s="160"/>
      <c r="K5803" s="161">
        <f>K5802</f>
        <v>13968</v>
      </c>
      <c r="L5803" s="250">
        <v>1</v>
      </c>
      <c r="M5803" s="163" t="str">
        <f>CONCATENATE(H5803," ",F5803,"*",I5803,"/",K5803,"чел/час")</f>
        <v>5 шт.*0,01644/13968чел/час</v>
      </c>
      <c r="N5803" s="278">
        <f>$N$5493</f>
        <v>5700.7</v>
      </c>
      <c r="O5803" s="280">
        <f t="shared" si="1530"/>
        <v>3.3548000000000001E-2</v>
      </c>
      <c r="P5803" s="166"/>
      <c r="Q5803" s="166">
        <f t="shared" si="1531"/>
        <v>468.59846400000004</v>
      </c>
      <c r="R5803" s="71"/>
      <c r="S5803" s="61"/>
      <c r="T5803" s="61"/>
      <c r="U5803" s="61"/>
      <c r="V5803" s="61"/>
      <c r="W5803" s="61"/>
      <c r="X5803" s="61"/>
      <c r="Y5803" s="61"/>
      <c r="Z5803" s="61"/>
      <c r="AA5803" s="61"/>
      <c r="AB5803" s="61"/>
      <c r="AC5803" s="61"/>
      <c r="AD5803" s="61"/>
      <c r="AE5803" s="61"/>
      <c r="AF5803" s="61"/>
      <c r="AG5803" s="61"/>
      <c r="AH5803" s="61"/>
      <c r="AI5803" s="61"/>
      <c r="AJ5803" s="61"/>
      <c r="AK5803" s="61"/>
      <c r="AL5803" s="61"/>
      <c r="AM5803" s="61"/>
      <c r="AN5803" s="61"/>
      <c r="AO5803" s="61"/>
    </row>
    <row r="5804" spans="1:41" s="136" customFormat="1" ht="63" x14ac:dyDescent="0.25">
      <c r="A5804" s="358"/>
      <c r="B5804" s="361"/>
      <c r="C5804" s="366"/>
      <c r="D5804" s="156" t="s">
        <v>33</v>
      </c>
      <c r="E5804" s="156" t="s">
        <v>56</v>
      </c>
      <c r="F5804" s="156" t="s">
        <v>220</v>
      </c>
      <c r="G5804" s="238">
        <f t="shared" si="1529"/>
        <v>5.8848799999999996E-6</v>
      </c>
      <c r="H5804" s="158">
        <f>$H$2106</f>
        <v>5</v>
      </c>
      <c r="I5804" s="159">
        <f>I5803</f>
        <v>1.644E-2</v>
      </c>
      <c r="J5804" s="160"/>
      <c r="K5804" s="161">
        <f>K5803</f>
        <v>13968</v>
      </c>
      <c r="L5804" s="250">
        <f>$L$2106</f>
        <v>1</v>
      </c>
      <c r="M5804" s="163" t="str">
        <f>CONCATENATE(H5804," ",F5804,"*",L5804," раз в год","*",I5804,"/",K5804,"чел.")</f>
        <v>5 дымоходов*1 раз в год*0,01644/13968чел.</v>
      </c>
      <c r="N5804" s="278">
        <f>$N$5494</f>
        <v>6840.8399999999992</v>
      </c>
      <c r="O5804" s="280">
        <f t="shared" si="1530"/>
        <v>4.0257999999999995E-2</v>
      </c>
      <c r="P5804" s="166"/>
      <c r="Q5804" s="166">
        <f t="shared" si="1531"/>
        <v>562.32374399999992</v>
      </c>
      <c r="R5804" s="71"/>
      <c r="S5804" s="61"/>
      <c r="T5804" s="61"/>
      <c r="U5804" s="61"/>
      <c r="V5804" s="61"/>
      <c r="W5804" s="61"/>
      <c r="X5804" s="61"/>
      <c r="Y5804" s="61"/>
      <c r="Z5804" s="61"/>
      <c r="AA5804" s="61"/>
      <c r="AB5804" s="61"/>
      <c r="AC5804" s="61"/>
      <c r="AD5804" s="61"/>
      <c r="AE5804" s="61"/>
      <c r="AF5804" s="61"/>
      <c r="AG5804" s="61"/>
      <c r="AH5804" s="61"/>
      <c r="AI5804" s="61"/>
      <c r="AJ5804" s="61"/>
      <c r="AK5804" s="61"/>
      <c r="AL5804" s="61"/>
      <c r="AM5804" s="61"/>
      <c r="AN5804" s="61"/>
      <c r="AO5804" s="61"/>
    </row>
    <row r="5805" spans="1:41" s="61" customFormat="1" ht="78.75" x14ac:dyDescent="0.25">
      <c r="A5805" s="358"/>
      <c r="B5805" s="361"/>
      <c r="C5805" s="366"/>
      <c r="D5805" s="156" t="s">
        <v>250</v>
      </c>
      <c r="E5805" s="156" t="s">
        <v>251</v>
      </c>
      <c r="F5805" s="156" t="s">
        <v>60</v>
      </c>
      <c r="G5805" s="238">
        <f t="shared" si="1529"/>
        <v>5.8848799999999996E-6</v>
      </c>
      <c r="H5805" s="158">
        <f>$H$2107</f>
        <v>5</v>
      </c>
      <c r="I5805" s="159">
        <f>I5802</f>
        <v>1.644E-2</v>
      </c>
      <c r="J5805" s="160"/>
      <c r="K5805" s="161">
        <f>K5802</f>
        <v>13968</v>
      </c>
      <c r="L5805" s="250">
        <v>1</v>
      </c>
      <c r="M5805" s="163" t="str">
        <f>CONCATENATE(H5805," ",F5805,"*",I5805,"/",K5805,"чел/час")</f>
        <v>5 шт.*0,01644/13968чел/час</v>
      </c>
      <c r="N5805" s="278">
        <f t="shared" ref="N5805:N5815" si="1532">N5495</f>
        <v>4560.5600000000004</v>
      </c>
      <c r="O5805" s="280">
        <f t="shared" si="1530"/>
        <v>2.6837999999999997E-2</v>
      </c>
      <c r="P5805" s="166"/>
      <c r="Q5805" s="166">
        <f t="shared" si="1531"/>
        <v>374.87318399999998</v>
      </c>
      <c r="R5805" s="71"/>
    </row>
    <row r="5806" spans="1:41" s="61" customFormat="1" ht="47.25" x14ac:dyDescent="0.25">
      <c r="A5806" s="358"/>
      <c r="B5806" s="361"/>
      <c r="C5806" s="366"/>
      <c r="D5806" s="156" t="s">
        <v>401</v>
      </c>
      <c r="E5806" s="156" t="s">
        <v>60</v>
      </c>
      <c r="F5806" s="156" t="s">
        <v>402</v>
      </c>
      <c r="G5806" s="238">
        <f t="shared" si="1529"/>
        <v>1.1769759E-5</v>
      </c>
      <c r="H5806" s="158">
        <f>H5496</f>
        <v>5</v>
      </c>
      <c r="I5806" s="159">
        <f>I5805</f>
        <v>1.644E-2</v>
      </c>
      <c r="J5806" s="160"/>
      <c r="K5806" s="161">
        <f>K5805</f>
        <v>13968</v>
      </c>
      <c r="L5806" s="250">
        <f>$L$2108</f>
        <v>2</v>
      </c>
      <c r="M5806" s="163" t="str">
        <f>CONCATENATE(H5806," ",F5806,"*",I5806,"/",K5806,"чел/час")</f>
        <v>5 противопожарных водопроводов*0,01644/13968чел/час</v>
      </c>
      <c r="N5806" s="278">
        <f t="shared" si="1532"/>
        <v>2850.35</v>
      </c>
      <c r="O5806" s="280">
        <f t="shared" si="1530"/>
        <v>3.3548000000000001E-2</v>
      </c>
      <c r="P5806" s="166"/>
      <c r="Q5806" s="166">
        <f t="shared" si="1531"/>
        <v>468.59846400000004</v>
      </c>
      <c r="R5806" s="71"/>
    </row>
    <row r="5807" spans="1:41" s="61" customFormat="1" ht="47.25" x14ac:dyDescent="0.25">
      <c r="A5807" s="358"/>
      <c r="B5807" s="361"/>
      <c r="C5807" s="366"/>
      <c r="D5807" s="156" t="s">
        <v>34</v>
      </c>
      <c r="E5807" s="156" t="s">
        <v>59</v>
      </c>
      <c r="F5807" s="156" t="s">
        <v>28</v>
      </c>
      <c r="G5807" s="238">
        <f t="shared" si="1529"/>
        <v>2.3539519999999998E-6</v>
      </c>
      <c r="H5807" s="158">
        <f>H5497</f>
        <v>2</v>
      </c>
      <c r="I5807" s="159">
        <f>I5806</f>
        <v>1.644E-2</v>
      </c>
      <c r="J5807" s="160"/>
      <c r="K5807" s="161">
        <f>K5806</f>
        <v>13968</v>
      </c>
      <c r="L5807" s="250">
        <v>1</v>
      </c>
      <c r="M5807" s="163" t="str">
        <f>CONCATENATE(H5807," ",F5807,"*",I5807,"/",K5807,"чел/час")</f>
        <v>2 шт*0,01644/13968чел/час</v>
      </c>
      <c r="N5807" s="278">
        <f t="shared" si="1532"/>
        <v>7845</v>
      </c>
      <c r="O5807" s="280">
        <f t="shared" si="1530"/>
        <v>1.8467000000000001E-2</v>
      </c>
      <c r="P5807" s="166"/>
      <c r="Q5807" s="166">
        <f t="shared" si="1531"/>
        <v>257.94705600000003</v>
      </c>
      <c r="R5807" s="71"/>
    </row>
    <row r="5808" spans="1:41" s="61" customFormat="1" ht="47.25" x14ac:dyDescent="0.25">
      <c r="A5808" s="358"/>
      <c r="B5808" s="361"/>
      <c r="C5808" s="366"/>
      <c r="D5808" s="156" t="s">
        <v>222</v>
      </c>
      <c r="E5808" s="156" t="s">
        <v>60</v>
      </c>
      <c r="F5808" s="156" t="s">
        <v>60</v>
      </c>
      <c r="G5808" s="238">
        <f t="shared" si="1529"/>
        <v>2.3539519999999998E-6</v>
      </c>
      <c r="H5808" s="158">
        <f>H5498</f>
        <v>2</v>
      </c>
      <c r="I5808" s="159">
        <f>I5807</f>
        <v>1.644E-2</v>
      </c>
      <c r="J5808" s="160"/>
      <c r="K5808" s="161">
        <f>K5807</f>
        <v>13968</v>
      </c>
      <c r="L5808" s="250">
        <v>1</v>
      </c>
      <c r="M5808" s="163" t="str">
        <f>CONCATENATE(H5808," ",F5808,"*",I5808,"/",K5808,"чел/час")</f>
        <v>2 шт.*0,01644/13968чел/час</v>
      </c>
      <c r="N5808" s="278">
        <f t="shared" si="1532"/>
        <v>13598</v>
      </c>
      <c r="O5808" s="280">
        <f t="shared" si="1530"/>
        <v>3.2008999999999996E-2</v>
      </c>
      <c r="P5808" s="166"/>
      <c r="Q5808" s="166">
        <f t="shared" si="1531"/>
        <v>447.10171199999996</v>
      </c>
      <c r="R5808" s="71"/>
    </row>
    <row r="5809" spans="1:41" s="61" customFormat="1" ht="31.5" x14ac:dyDescent="0.25">
      <c r="A5809" s="358"/>
      <c r="B5809" s="361"/>
      <c r="C5809" s="366"/>
      <c r="D5809" s="156" t="s">
        <v>35</v>
      </c>
      <c r="E5809" s="156" t="s">
        <v>102</v>
      </c>
      <c r="F5809" s="156" t="s">
        <v>252</v>
      </c>
      <c r="G5809" s="238">
        <f t="shared" si="1529"/>
        <v>2.3539519999999998E-6</v>
      </c>
      <c r="H5809" s="158">
        <f>H5499</f>
        <v>2</v>
      </c>
      <c r="I5809" s="159">
        <f>I5807</f>
        <v>1.644E-2</v>
      </c>
      <c r="J5809" s="160"/>
      <c r="K5809" s="161">
        <f>K5807</f>
        <v>13968</v>
      </c>
      <c r="L5809" s="250">
        <v>1</v>
      </c>
      <c r="M5809" s="163" t="str">
        <f>CONCATENATE(H5809," ",F5809,"*",I5809,"/",K5809,"чел/час")</f>
        <v>2 замера*0,01644/13968чел/час</v>
      </c>
      <c r="N5809" s="278">
        <f t="shared" si="1532"/>
        <v>62500</v>
      </c>
      <c r="O5809" s="280">
        <f t="shared" si="1530"/>
        <v>0.147122</v>
      </c>
      <c r="P5809" s="166"/>
      <c r="Q5809" s="166">
        <f t="shared" si="1531"/>
        <v>2055.0000960000002</v>
      </c>
      <c r="R5809" s="71"/>
    </row>
    <row r="5810" spans="1:41" s="61" customFormat="1" ht="47.25" x14ac:dyDescent="0.25">
      <c r="A5810" s="358"/>
      <c r="B5810" s="361"/>
      <c r="C5810" s="366"/>
      <c r="D5810" s="156" t="s">
        <v>399</v>
      </c>
      <c r="E5810" s="156" t="s">
        <v>60</v>
      </c>
      <c r="F5810" s="156" t="s">
        <v>60</v>
      </c>
      <c r="G5810" s="238">
        <f t="shared" si="1529"/>
        <v>4.7079037999999998E-5</v>
      </c>
      <c r="H5810" s="158">
        <f>$H$2112</f>
        <v>4</v>
      </c>
      <c r="I5810" s="159">
        <f>I5809</f>
        <v>1.644E-2</v>
      </c>
      <c r="J5810" s="160"/>
      <c r="K5810" s="161">
        <f>K5809</f>
        <v>13968</v>
      </c>
      <c r="L5810" s="250">
        <v>10</v>
      </c>
      <c r="M5810" s="163" t="str">
        <f>CONCATENATE(H5810," ",F5810,"*",L5810,"мес.","*",I5810,"/",K5810,"чел/час")</f>
        <v>4 шт.*10мес.*0,01644/13968чел/час</v>
      </c>
      <c r="N5810" s="278">
        <f t="shared" si="1532"/>
        <v>2522.5597499999994</v>
      </c>
      <c r="O5810" s="280">
        <f t="shared" si="1530"/>
        <v>0.11875999999999999</v>
      </c>
      <c r="P5810" s="166"/>
      <c r="Q5810" s="166">
        <f t="shared" si="1531"/>
        <v>1658.8396799999998</v>
      </c>
      <c r="R5810" s="71"/>
    </row>
    <row r="5811" spans="1:41" s="61" customFormat="1" ht="47.25" x14ac:dyDescent="0.25">
      <c r="A5811" s="358"/>
      <c r="B5811" s="361"/>
      <c r="C5811" s="366"/>
      <c r="D5811" s="156" t="s">
        <v>36</v>
      </c>
      <c r="E5811" s="156" t="s">
        <v>31</v>
      </c>
      <c r="F5811" s="156" t="s">
        <v>224</v>
      </c>
      <c r="G5811" s="238">
        <f t="shared" si="1529"/>
        <v>1.12989691E-4</v>
      </c>
      <c r="H5811" s="158">
        <f>H5501</f>
        <v>8</v>
      </c>
      <c r="I5811" s="159">
        <f>I5810</f>
        <v>1.644E-2</v>
      </c>
      <c r="J5811" s="160"/>
      <c r="K5811" s="161">
        <f>K5810</f>
        <v>13968</v>
      </c>
      <c r="L5811" s="250">
        <v>12</v>
      </c>
      <c r="M5811" s="163" t="str">
        <f>CONCATENATE(H5811," ",F5811,"*",L5811,"мес.","*",I5811,"/",K5811,"чел/час")</f>
        <v>8 устройств*12мес.*0,01644/13968чел/час</v>
      </c>
      <c r="N5811" s="278">
        <f t="shared" si="1532"/>
        <v>2301.2000000000003</v>
      </c>
      <c r="O5811" s="280">
        <f t="shared" si="1530"/>
        <v>0.26001199999999997</v>
      </c>
      <c r="P5811" s="166"/>
      <c r="Q5811" s="166">
        <f t="shared" si="1531"/>
        <v>3631.8476159999996</v>
      </c>
      <c r="R5811" s="71"/>
    </row>
    <row r="5812" spans="1:41" s="61" customFormat="1" ht="63" x14ac:dyDescent="0.25">
      <c r="A5812" s="358"/>
      <c r="B5812" s="361"/>
      <c r="C5812" s="366"/>
      <c r="D5812" s="156" t="s">
        <v>253</v>
      </c>
      <c r="E5812" s="156" t="s">
        <v>55</v>
      </c>
      <c r="F5812" s="156" t="s">
        <v>55</v>
      </c>
      <c r="G5812" s="238">
        <f t="shared" si="1529"/>
        <v>7.0618557000000004E-5</v>
      </c>
      <c r="H5812" s="158">
        <f>H5502</f>
        <v>5</v>
      </c>
      <c r="I5812" s="159">
        <f>I5811</f>
        <v>1.644E-2</v>
      </c>
      <c r="J5812" s="160"/>
      <c r="K5812" s="161">
        <f>K5811</f>
        <v>13968</v>
      </c>
      <c r="L5812" s="250">
        <v>12</v>
      </c>
      <c r="M5812" s="163" t="str">
        <f>CONCATENATE(H5812," ",F5812,"*",I5812,"/",K5812,"чел/час")</f>
        <v>5 система*0,01644/13968чел/час</v>
      </c>
      <c r="N5812" s="278">
        <f t="shared" si="1532"/>
        <v>4446.5460000000003</v>
      </c>
      <c r="O5812" s="280">
        <f t="shared" si="1530"/>
        <v>0.31400899999999998</v>
      </c>
      <c r="P5812" s="166"/>
      <c r="Q5812" s="166">
        <f t="shared" si="1531"/>
        <v>4386.0777119999993</v>
      </c>
      <c r="R5812" s="71"/>
    </row>
    <row r="5813" spans="1:41" s="61" customFormat="1" ht="31.5" x14ac:dyDescent="0.25">
      <c r="A5813" s="358"/>
      <c r="B5813" s="361"/>
      <c r="C5813" s="366"/>
      <c r="D5813" s="156" t="s">
        <v>99</v>
      </c>
      <c r="E5813" s="156" t="s">
        <v>103</v>
      </c>
      <c r="F5813" s="156" t="s">
        <v>225</v>
      </c>
      <c r="G5813" s="238">
        <f t="shared" si="1529"/>
        <v>2.9424399E-5</v>
      </c>
      <c r="H5813" s="158">
        <f>H5503</f>
        <v>25</v>
      </c>
      <c r="I5813" s="159">
        <f>I5812</f>
        <v>1.644E-2</v>
      </c>
      <c r="J5813" s="160"/>
      <c r="K5813" s="161">
        <f>K5812</f>
        <v>13968</v>
      </c>
      <c r="L5813" s="250">
        <v>1</v>
      </c>
      <c r="M5813" s="163" t="str">
        <f>CONCATENATE(H5813," ",F5813,"*",I5813,"/",K5813,"чел.")</f>
        <v>25 ед.*0,01644/13968чел.</v>
      </c>
      <c r="N5813" s="164">
        <f t="shared" si="1532"/>
        <v>15000</v>
      </c>
      <c r="O5813" s="165">
        <f>MROUND(G5813*N5813,0.000001)</f>
        <v>0.44136599999999998</v>
      </c>
      <c r="P5813" s="166"/>
      <c r="Q5813" s="166">
        <f t="shared" si="1531"/>
        <v>6165.0002880000002</v>
      </c>
      <c r="R5813" s="71"/>
    </row>
    <row r="5814" spans="1:41" s="61" customFormat="1" x14ac:dyDescent="0.25">
      <c r="A5814" s="358"/>
      <c r="B5814" s="361"/>
      <c r="C5814" s="366"/>
      <c r="D5814" s="156" t="s">
        <v>27</v>
      </c>
      <c r="E5814" s="156" t="s">
        <v>28</v>
      </c>
      <c r="F5814" s="156" t="s">
        <v>28</v>
      </c>
      <c r="G5814" s="238">
        <f t="shared" si="1529"/>
        <v>1.7654639200000001E-4</v>
      </c>
      <c r="H5814" s="160">
        <f>H5504</f>
        <v>150</v>
      </c>
      <c r="I5814" s="159">
        <f>I5812</f>
        <v>1.644E-2</v>
      </c>
      <c r="J5814" s="160"/>
      <c r="K5814" s="161">
        <f>K5812</f>
        <v>13968</v>
      </c>
      <c r="L5814" s="250">
        <v>1</v>
      </c>
      <c r="M5814" s="163" t="str">
        <f>CONCATENATE(H5814," ",F5814,"*",I5814,"/",K5814,"чел/час")</f>
        <v>150 шт*0,01644/13968чел/час</v>
      </c>
      <c r="N5814" s="278">
        <f t="shared" si="1532"/>
        <v>400</v>
      </c>
      <c r="O5814" s="280">
        <f t="shared" ref="O5814:O5815" si="1533">MROUND(N5814*G5814,0.000001)</f>
        <v>7.0619000000000001E-2</v>
      </c>
      <c r="P5814" s="166"/>
      <c r="Q5814" s="166">
        <f t="shared" si="1531"/>
        <v>986.40619200000003</v>
      </c>
      <c r="R5814" s="71"/>
    </row>
    <row r="5815" spans="1:41" s="61" customFormat="1" ht="31.5" x14ac:dyDescent="0.25">
      <c r="A5815" s="358"/>
      <c r="B5815" s="361"/>
      <c r="C5815" s="367"/>
      <c r="D5815" s="156" t="s">
        <v>104</v>
      </c>
      <c r="E5815" s="156" t="s">
        <v>105</v>
      </c>
      <c r="F5815" s="156" t="s">
        <v>226</v>
      </c>
      <c r="G5815" s="238">
        <f t="shared" si="1529"/>
        <v>5.8848799999999996E-6</v>
      </c>
      <c r="H5815" s="160">
        <f>H5505</f>
        <v>5</v>
      </c>
      <c r="I5815" s="159">
        <f>I5814</f>
        <v>1.644E-2</v>
      </c>
      <c r="J5815" s="160"/>
      <c r="K5815" s="161">
        <f>K5814</f>
        <v>13968</v>
      </c>
      <c r="L5815" s="250">
        <v>1</v>
      </c>
      <c r="M5815" s="163" t="str">
        <f>CONCATENATE(H5815," ",F5815,"*",I5815,"/",K5815,"чел/час")</f>
        <v>5 отключений*0,01644/13968чел/час</v>
      </c>
      <c r="N5815" s="278">
        <f t="shared" si="1532"/>
        <v>9414</v>
      </c>
      <c r="O5815" s="280">
        <f t="shared" si="1533"/>
        <v>5.5399999999999998E-2</v>
      </c>
      <c r="P5815" s="166"/>
      <c r="Q5815" s="166">
        <f t="shared" si="1531"/>
        <v>773.82719999999995</v>
      </c>
      <c r="R5815" s="71"/>
    </row>
    <row r="5816" spans="1:41" s="109" customFormat="1" x14ac:dyDescent="0.25">
      <c r="A5816" s="358"/>
      <c r="B5816" s="361"/>
      <c r="C5816" s="249" t="s">
        <v>326</v>
      </c>
      <c r="D5816" s="240"/>
      <c r="E5816" s="240"/>
      <c r="F5816" s="240"/>
      <c r="G5816" s="227"/>
      <c r="H5816" s="228"/>
      <c r="I5816" s="206"/>
      <c r="J5816" s="228"/>
      <c r="K5816" s="207"/>
      <c r="L5816" s="257"/>
      <c r="M5816" s="209"/>
      <c r="N5816" s="281"/>
      <c r="O5816" s="279">
        <f>SUM(O5801:O5815)</f>
        <v>1.9012449999999999</v>
      </c>
      <c r="P5816" s="267"/>
      <c r="Q5816" s="166"/>
      <c r="R5816" s="71"/>
      <c r="S5816" s="62"/>
      <c r="T5816" s="62"/>
      <c r="U5816" s="62"/>
      <c r="V5816" s="62"/>
      <c r="W5816" s="62"/>
      <c r="X5816" s="62"/>
      <c r="Y5816" s="62"/>
      <c r="Z5816" s="62"/>
      <c r="AA5816" s="62"/>
      <c r="AB5816" s="62"/>
      <c r="AC5816" s="62"/>
      <c r="AD5816" s="62"/>
      <c r="AE5816" s="62"/>
      <c r="AF5816" s="62"/>
      <c r="AG5816" s="62"/>
      <c r="AH5816" s="62"/>
      <c r="AI5816" s="62"/>
      <c r="AJ5816" s="62"/>
      <c r="AK5816" s="62"/>
      <c r="AL5816" s="62"/>
      <c r="AM5816" s="62"/>
      <c r="AN5816" s="62"/>
      <c r="AO5816" s="62"/>
    </row>
    <row r="5817" spans="1:41" s="61" customFormat="1" ht="31.5" x14ac:dyDescent="0.25">
      <c r="A5817" s="358"/>
      <c r="B5817" s="361"/>
      <c r="C5817" s="221" t="s">
        <v>79</v>
      </c>
      <c r="D5817" s="156" t="s">
        <v>37</v>
      </c>
      <c r="E5817" s="156" t="s">
        <v>61</v>
      </c>
      <c r="F5817" s="156" t="s">
        <v>254</v>
      </c>
      <c r="G5817" s="238">
        <f>MROUND(H5817*L5817*I5817/K5817,0.000000000001)</f>
        <v>1.1769759999999999E-6</v>
      </c>
      <c r="H5817" s="158">
        <f>$H$2119</f>
        <v>1</v>
      </c>
      <c r="I5817" s="159">
        <f>I5815</f>
        <v>1.644E-2</v>
      </c>
      <c r="J5817" s="160"/>
      <c r="K5817" s="161">
        <f>K5815</f>
        <v>13968</v>
      </c>
      <c r="L5817" s="250">
        <v>1</v>
      </c>
      <c r="M5817" s="163" t="str">
        <f>CONCATENATE(H5817," ",F5817,"*",I5817,"/",K5817,"чел/час")</f>
        <v>1 автобус*0,01644/13968чел/час</v>
      </c>
      <c r="N5817" s="278">
        <f>N5507</f>
        <v>24426.36</v>
      </c>
      <c r="O5817" s="280">
        <f>MROUND(N5817*G5817,0.000001)</f>
        <v>2.8749E-2</v>
      </c>
      <c r="P5817" s="166"/>
      <c r="Q5817" s="166">
        <f>O5817*K5817</f>
        <v>401.56603200000001</v>
      </c>
      <c r="R5817" s="71"/>
    </row>
    <row r="5818" spans="1:41" s="61" customFormat="1" x14ac:dyDescent="0.25">
      <c r="A5818" s="358"/>
      <c r="B5818" s="361"/>
      <c r="C5818" s="221"/>
      <c r="D5818" s="156" t="s">
        <v>255</v>
      </c>
      <c r="E5818" s="156" t="s">
        <v>28</v>
      </c>
      <c r="F5818" s="156" t="s">
        <v>28</v>
      </c>
      <c r="G5818" s="238">
        <f>MROUND(H5818*L5818*I5818/K5818,0.000000000001)</f>
        <v>8.1211340199999996E-4</v>
      </c>
      <c r="H5818" s="158">
        <f>H5508</f>
        <v>345</v>
      </c>
      <c r="I5818" s="159">
        <f>I5817</f>
        <v>1.644E-2</v>
      </c>
      <c r="J5818" s="160"/>
      <c r="K5818" s="161">
        <f>K5817</f>
        <v>13968</v>
      </c>
      <c r="L5818" s="250">
        <v>2</v>
      </c>
      <c r="M5818" s="163" t="str">
        <f>CONCATENATE(H5818," ",F5818,"*",L5818,"раза в год","*",I5818,"/",K5818,"чел/час")</f>
        <v>345 шт*2раза в год*0,01644/13968чел/час</v>
      </c>
      <c r="N5818" s="278">
        <f>N5508</f>
        <v>456.05601449275366</v>
      </c>
      <c r="O5818" s="280">
        <f>MROUND(N5818*G5818,0.000001)</f>
        <v>0.370369</v>
      </c>
      <c r="P5818" s="166"/>
      <c r="Q5818" s="166">
        <f>O5818*K5818</f>
        <v>5173.3141919999998</v>
      </c>
      <c r="R5818" s="71"/>
    </row>
    <row r="5819" spans="1:41" s="109" customFormat="1" x14ac:dyDescent="0.25">
      <c r="A5819" s="358"/>
      <c r="B5819" s="361"/>
      <c r="C5819" s="218" t="s">
        <v>328</v>
      </c>
      <c r="D5819" s="240"/>
      <c r="E5819" s="240"/>
      <c r="F5819" s="240"/>
      <c r="G5819" s="227"/>
      <c r="H5819" s="241"/>
      <c r="I5819" s="206"/>
      <c r="J5819" s="228"/>
      <c r="K5819" s="207"/>
      <c r="L5819" s="257"/>
      <c r="M5819" s="209"/>
      <c r="N5819" s="281"/>
      <c r="O5819" s="279">
        <f>O5818+O5817</f>
        <v>0.39911800000000003</v>
      </c>
      <c r="P5819" s="267"/>
      <c r="Q5819" s="166"/>
      <c r="R5819" s="71"/>
      <c r="S5819" s="62"/>
      <c r="T5819" s="62"/>
      <c r="U5819" s="62"/>
      <c r="V5819" s="62"/>
      <c r="W5819" s="62"/>
      <c r="X5819" s="62"/>
      <c r="Y5819" s="62"/>
      <c r="Z5819" s="62"/>
      <c r="AA5819" s="62"/>
      <c r="AB5819" s="62"/>
      <c r="AC5819" s="62"/>
      <c r="AD5819" s="62"/>
      <c r="AE5819" s="62"/>
      <c r="AF5819" s="62"/>
      <c r="AG5819" s="62"/>
      <c r="AH5819" s="62"/>
      <c r="AI5819" s="62"/>
      <c r="AJ5819" s="62"/>
      <c r="AK5819" s="62"/>
      <c r="AL5819" s="62"/>
      <c r="AM5819" s="62"/>
      <c r="AN5819" s="62"/>
      <c r="AO5819" s="62"/>
    </row>
    <row r="5820" spans="1:41" s="61" customFormat="1" x14ac:dyDescent="0.25">
      <c r="A5820" s="358"/>
      <c r="B5820" s="361"/>
      <c r="C5820" s="364" t="s">
        <v>80</v>
      </c>
      <c r="D5820" s="156" t="s">
        <v>38</v>
      </c>
      <c r="E5820" s="156" t="s">
        <v>57</v>
      </c>
      <c r="F5820" s="156" t="s">
        <v>228</v>
      </c>
      <c r="G5820" s="238">
        <f t="shared" ref="G5820:G5831" si="1534">MROUND(H5820*L5820*I5820/K5820,0.000000000001)</f>
        <v>1.12989691E-4</v>
      </c>
      <c r="H5820" s="158">
        <f>H5510</f>
        <v>8</v>
      </c>
      <c r="I5820" s="159">
        <f>I5817</f>
        <v>1.644E-2</v>
      </c>
      <c r="J5820" s="160"/>
      <c r="K5820" s="161">
        <f>K5817</f>
        <v>13968</v>
      </c>
      <c r="L5820" s="250">
        <v>12</v>
      </c>
      <c r="M5820" s="163" t="str">
        <f>CONCATENATE(H5820," ",F5820,"*",L5820,"мес.","*",I5820,"/",K5820,"чел/час")</f>
        <v>8 зданий*12мес.*0,01644/13968чел/час</v>
      </c>
      <c r="N5820" s="278">
        <f t="shared" ref="N5820:N5829" si="1535">N5510</f>
        <v>4910.5830208333327</v>
      </c>
      <c r="O5820" s="280">
        <f t="shared" ref="O5820:O5831" si="1536">MROUND(N5820*G5820,0.000001)</f>
        <v>0.55484499999999992</v>
      </c>
      <c r="P5820" s="166"/>
      <c r="Q5820" s="166">
        <f t="shared" ref="Q5820:Q5831" si="1537">O5820*K5820</f>
        <v>7750.074959999999</v>
      </c>
      <c r="R5820" s="71"/>
    </row>
    <row r="5821" spans="1:41" s="61" customFormat="1" x14ac:dyDescent="0.25">
      <c r="A5821" s="358"/>
      <c r="B5821" s="361"/>
      <c r="C5821" s="364"/>
      <c r="D5821" s="156" t="s">
        <v>256</v>
      </c>
      <c r="E5821" s="156" t="s">
        <v>20</v>
      </c>
      <c r="F5821" s="156" t="s">
        <v>20</v>
      </c>
      <c r="G5821" s="238">
        <f t="shared" si="1534"/>
        <v>2.20094502E-4</v>
      </c>
      <c r="H5821" s="158">
        <f>H5511</f>
        <v>187</v>
      </c>
      <c r="I5821" s="159">
        <f>I5818</f>
        <v>1.644E-2</v>
      </c>
      <c r="J5821" s="160"/>
      <c r="K5821" s="161">
        <f>K5818</f>
        <v>13968</v>
      </c>
      <c r="L5821" s="250">
        <v>1</v>
      </c>
      <c r="M5821" s="163" t="str">
        <f t="shared" ref="M5821:M5828" si="1538">CONCATENATE(H5821," ",F5821,"*",I5821,"/",K5821,"чел/час")</f>
        <v>187 чел.*0,01644/13968чел/час</v>
      </c>
      <c r="N5821" s="278">
        <f t="shared" si="1535"/>
        <v>1938.2379679144385</v>
      </c>
      <c r="O5821" s="280">
        <f t="shared" si="1536"/>
        <v>0.42659599999999998</v>
      </c>
      <c r="P5821" s="166"/>
      <c r="Q5821" s="166">
        <f t="shared" si="1537"/>
        <v>5958.6929279999995</v>
      </c>
      <c r="R5821" s="71"/>
    </row>
    <row r="5822" spans="1:41" s="61" customFormat="1" ht="63" x14ac:dyDescent="0.25">
      <c r="A5822" s="358"/>
      <c r="B5822" s="361"/>
      <c r="C5822" s="364"/>
      <c r="D5822" s="156" t="s">
        <v>39</v>
      </c>
      <c r="E5822" s="156" t="s">
        <v>20</v>
      </c>
      <c r="F5822" s="156" t="s">
        <v>234</v>
      </c>
      <c r="G5822" s="238">
        <f t="shared" si="1534"/>
        <v>1.0592783999999999E-5</v>
      </c>
      <c r="H5822" s="158">
        <f>H5512</f>
        <v>9</v>
      </c>
      <c r="I5822" s="159">
        <f>I5820</f>
        <v>1.644E-2</v>
      </c>
      <c r="J5822" s="160"/>
      <c r="K5822" s="161">
        <f>K5820</f>
        <v>13968</v>
      </c>
      <c r="L5822" s="250">
        <v>1</v>
      </c>
      <c r="M5822" s="163" t="str">
        <f t="shared" si="1538"/>
        <v>9 чел(заявленная потребность руководителями учреждений)*0,01644/13968чел/час</v>
      </c>
      <c r="N5822" s="278">
        <f t="shared" si="1535"/>
        <v>798.09666666666669</v>
      </c>
      <c r="O5822" s="280">
        <f t="shared" si="1536"/>
        <v>8.4539999999999997E-3</v>
      </c>
      <c r="P5822" s="166"/>
      <c r="Q5822" s="166">
        <f t="shared" si="1537"/>
        <v>118.085472</v>
      </c>
      <c r="R5822" s="71"/>
    </row>
    <row r="5823" spans="1:41" s="61" customFormat="1" ht="63" x14ac:dyDescent="0.25">
      <c r="A5823" s="358"/>
      <c r="B5823" s="361"/>
      <c r="C5823" s="364"/>
      <c r="D5823" s="156" t="s">
        <v>40</v>
      </c>
      <c r="E5823" s="156" t="s">
        <v>20</v>
      </c>
      <c r="F5823" s="156" t="s">
        <v>234</v>
      </c>
      <c r="G5823" s="238">
        <f t="shared" si="1534"/>
        <v>1.5300686999999998E-5</v>
      </c>
      <c r="H5823" s="158">
        <f>H5513</f>
        <v>13</v>
      </c>
      <c r="I5823" s="159">
        <f t="shared" ref="I5823:I5828" si="1539">I5822</f>
        <v>1.644E-2</v>
      </c>
      <c r="J5823" s="160"/>
      <c r="K5823" s="161">
        <f t="shared" ref="K5823:K5828" si="1540">K5822</f>
        <v>13968</v>
      </c>
      <c r="L5823" s="250">
        <v>1</v>
      </c>
      <c r="M5823" s="163" t="str">
        <f t="shared" si="1538"/>
        <v>13 чел(заявленная потребность руководителями учреждений)*0,01644/13968чел/час</v>
      </c>
      <c r="N5823" s="278">
        <f t="shared" si="1535"/>
        <v>1710.2100000000003</v>
      </c>
      <c r="O5823" s="280">
        <f t="shared" si="1536"/>
        <v>2.6166999999999999E-2</v>
      </c>
      <c r="P5823" s="166"/>
      <c r="Q5823" s="166">
        <f t="shared" si="1537"/>
        <v>365.50065599999999</v>
      </c>
      <c r="R5823" s="71"/>
    </row>
    <row r="5824" spans="1:41" s="61" customFormat="1" ht="63" x14ac:dyDescent="0.25">
      <c r="A5824" s="358"/>
      <c r="B5824" s="361"/>
      <c r="C5824" s="364"/>
      <c r="D5824" s="156" t="s">
        <v>100</v>
      </c>
      <c r="E5824" s="156" t="s">
        <v>20</v>
      </c>
      <c r="F5824" s="156" t="s">
        <v>234</v>
      </c>
      <c r="G5824" s="238">
        <f t="shared" si="1534"/>
        <v>8.2388320000000007E-6</v>
      </c>
      <c r="H5824" s="158">
        <f>H5514</f>
        <v>7</v>
      </c>
      <c r="I5824" s="159">
        <f t="shared" si="1539"/>
        <v>1.644E-2</v>
      </c>
      <c r="J5824" s="160"/>
      <c r="K5824" s="161">
        <f t="shared" si="1540"/>
        <v>13968</v>
      </c>
      <c r="L5824" s="250">
        <v>1</v>
      </c>
      <c r="M5824" s="163" t="str">
        <f t="shared" si="1538"/>
        <v>7 чел(заявленная потребность руководителями учреждений)*0,01644/13968чел/час</v>
      </c>
      <c r="N5824" s="278">
        <f t="shared" si="1535"/>
        <v>3648.4471428571428</v>
      </c>
      <c r="O5824" s="280">
        <f t="shared" si="1536"/>
        <v>3.0058999999999999E-2</v>
      </c>
      <c r="P5824" s="166"/>
      <c r="Q5824" s="166">
        <f t="shared" si="1537"/>
        <v>419.86411199999998</v>
      </c>
      <c r="R5824" s="71"/>
    </row>
    <row r="5825" spans="1:41" s="61" customFormat="1" ht="110.25" x14ac:dyDescent="0.25">
      <c r="A5825" s="358"/>
      <c r="B5825" s="361"/>
      <c r="C5825" s="364"/>
      <c r="D5825" s="156" t="s">
        <v>235</v>
      </c>
      <c r="E5825" s="156" t="s">
        <v>50</v>
      </c>
      <c r="F5825" s="156" t="s">
        <v>230</v>
      </c>
      <c r="G5825" s="238">
        <f t="shared" si="1534"/>
        <v>5.8848799999999996E-6</v>
      </c>
      <c r="H5825" s="158">
        <v>5</v>
      </c>
      <c r="I5825" s="159">
        <f t="shared" si="1539"/>
        <v>1.644E-2</v>
      </c>
      <c r="J5825" s="160"/>
      <c r="K5825" s="161">
        <f t="shared" si="1540"/>
        <v>13968</v>
      </c>
      <c r="L5825" s="250">
        <v>1</v>
      </c>
      <c r="M5825" s="163" t="str">
        <f t="shared" si="1538"/>
        <v>5 отчетов*0,01644/13968чел/час</v>
      </c>
      <c r="N5825" s="278">
        <f t="shared" si="1535"/>
        <v>6840.8399999999992</v>
      </c>
      <c r="O5825" s="280">
        <f t="shared" si="1536"/>
        <v>4.0257999999999995E-2</v>
      </c>
      <c r="P5825" s="166"/>
      <c r="Q5825" s="166">
        <f t="shared" si="1537"/>
        <v>562.32374399999992</v>
      </c>
      <c r="R5825" s="71"/>
    </row>
    <row r="5826" spans="1:41" s="61" customFormat="1" ht="63" x14ac:dyDescent="0.25">
      <c r="A5826" s="358"/>
      <c r="B5826" s="361"/>
      <c r="C5826" s="364"/>
      <c r="D5826" s="156" t="s">
        <v>42</v>
      </c>
      <c r="E5826" s="156" t="s">
        <v>51</v>
      </c>
      <c r="F5826" s="156" t="s">
        <v>407</v>
      </c>
      <c r="G5826" s="238">
        <f t="shared" si="1534"/>
        <v>3.0601375E-5</v>
      </c>
      <c r="H5826" s="158">
        <f>H5516</f>
        <v>26</v>
      </c>
      <c r="I5826" s="159">
        <f t="shared" si="1539"/>
        <v>1.644E-2</v>
      </c>
      <c r="J5826" s="160"/>
      <c r="K5826" s="161">
        <f t="shared" si="1540"/>
        <v>13968</v>
      </c>
      <c r="L5826" s="250">
        <v>1</v>
      </c>
      <c r="M5826" s="163" t="str">
        <f t="shared" si="1538"/>
        <v>26 ед (заявленная потребность руководителями учреждений)*0,01644/13968чел/час</v>
      </c>
      <c r="N5826" s="278">
        <f t="shared" si="1535"/>
        <v>1140.1400000000001</v>
      </c>
      <c r="O5826" s="280">
        <f t="shared" si="1536"/>
        <v>3.4889999999999997E-2</v>
      </c>
      <c r="P5826" s="166"/>
      <c r="Q5826" s="166">
        <f t="shared" si="1537"/>
        <v>487.34351999999996</v>
      </c>
      <c r="R5826" s="71"/>
    </row>
    <row r="5827" spans="1:41" s="61" customFormat="1" ht="31.5" x14ac:dyDescent="0.25">
      <c r="A5827" s="358"/>
      <c r="B5827" s="361"/>
      <c r="C5827" s="364"/>
      <c r="D5827" s="156" t="s">
        <v>43</v>
      </c>
      <c r="E5827" s="156" t="s">
        <v>52</v>
      </c>
      <c r="F5827" s="156" t="s">
        <v>231</v>
      </c>
      <c r="G5827" s="238">
        <f t="shared" si="1534"/>
        <v>5.8848799999999996E-6</v>
      </c>
      <c r="H5827" s="158">
        <v>5</v>
      </c>
      <c r="I5827" s="159">
        <f t="shared" si="1539"/>
        <v>1.644E-2</v>
      </c>
      <c r="J5827" s="160"/>
      <c r="K5827" s="161">
        <f t="shared" si="1540"/>
        <v>13968</v>
      </c>
      <c r="L5827" s="250">
        <v>1</v>
      </c>
      <c r="M5827" s="163" t="str">
        <f t="shared" si="1538"/>
        <v>5 ЭЦП*0,01644/13968чел/час</v>
      </c>
      <c r="N5827" s="278">
        <f t="shared" si="1535"/>
        <v>8099.55</v>
      </c>
      <c r="O5827" s="280">
        <f t="shared" si="1536"/>
        <v>4.7664999999999999E-2</v>
      </c>
      <c r="P5827" s="166"/>
      <c r="Q5827" s="166">
        <f t="shared" si="1537"/>
        <v>665.78471999999999</v>
      </c>
      <c r="R5827" s="71"/>
    </row>
    <row r="5828" spans="1:41" s="61" customFormat="1" x14ac:dyDescent="0.25">
      <c r="A5828" s="358"/>
      <c r="B5828" s="361"/>
      <c r="C5828" s="364"/>
      <c r="D5828" s="156" t="s">
        <v>373</v>
      </c>
      <c r="E5828" s="156" t="s">
        <v>28</v>
      </c>
      <c r="F5828" s="156" t="s">
        <v>28</v>
      </c>
      <c r="G5828" s="238">
        <f t="shared" si="1534"/>
        <v>5.8848799999999996E-6</v>
      </c>
      <c r="H5828" s="158">
        <f>H5518</f>
        <v>5</v>
      </c>
      <c r="I5828" s="159">
        <f t="shared" si="1539"/>
        <v>1.644E-2</v>
      </c>
      <c r="J5828" s="160"/>
      <c r="K5828" s="161">
        <f t="shared" si="1540"/>
        <v>13968</v>
      </c>
      <c r="L5828" s="250">
        <v>1</v>
      </c>
      <c r="M5828" s="163" t="str">
        <f t="shared" si="1538"/>
        <v>5 шт*0,01644/13968чел/час</v>
      </c>
      <c r="N5828" s="278">
        <f t="shared" si="1535"/>
        <v>24000</v>
      </c>
      <c r="O5828" s="280">
        <f t="shared" si="1536"/>
        <v>0.141237</v>
      </c>
      <c r="P5828" s="166"/>
      <c r="Q5828" s="166">
        <f t="shared" si="1537"/>
        <v>1972.7984160000001</v>
      </c>
      <c r="R5828" s="71"/>
    </row>
    <row r="5829" spans="1:41" s="61" customFormat="1" ht="63" x14ac:dyDescent="0.25">
      <c r="A5829" s="358"/>
      <c r="B5829" s="361"/>
      <c r="C5829" s="364"/>
      <c r="D5829" s="156" t="s">
        <v>45</v>
      </c>
      <c r="E5829" s="156" t="s">
        <v>53</v>
      </c>
      <c r="F5829" s="156" t="s">
        <v>257</v>
      </c>
      <c r="G5829" s="238">
        <f t="shared" si="1534"/>
        <v>1.4123711E-5</v>
      </c>
      <c r="H5829" s="158">
        <v>1</v>
      </c>
      <c r="I5829" s="159">
        <f>I5827</f>
        <v>1.644E-2</v>
      </c>
      <c r="J5829" s="160"/>
      <c r="K5829" s="161">
        <f>K5827</f>
        <v>13968</v>
      </c>
      <c r="L5829" s="250">
        <v>12</v>
      </c>
      <c r="M5829" s="163" t="str">
        <f>CONCATENATE(H5829," ",F5829,"*",L5829,"мес.","*",I5829,"/",K5829,"чел/час")</f>
        <v>1  машина, оборудованная системой ГЛОНАСС*12мес.*0,01644/13968чел/час</v>
      </c>
      <c r="N5829" s="278">
        <f t="shared" si="1535"/>
        <v>921.23333333333346</v>
      </c>
      <c r="O5829" s="280">
        <f t="shared" si="1536"/>
        <v>1.3011E-2</v>
      </c>
      <c r="P5829" s="166"/>
      <c r="Q5829" s="166">
        <f t="shared" si="1537"/>
        <v>181.73764800000001</v>
      </c>
      <c r="R5829" s="71"/>
    </row>
    <row r="5830" spans="1:41" s="136" customFormat="1" ht="47.25" x14ac:dyDescent="0.25">
      <c r="A5830" s="358"/>
      <c r="B5830" s="361"/>
      <c r="C5830" s="364"/>
      <c r="D5830" s="156" t="s">
        <v>44</v>
      </c>
      <c r="E5830" s="156" t="s">
        <v>85</v>
      </c>
      <c r="F5830" s="156" t="s">
        <v>232</v>
      </c>
      <c r="G5830" s="238">
        <f t="shared" si="1534"/>
        <v>3.5780068699999999E-4</v>
      </c>
      <c r="H5830" s="158">
        <f>$H$2132</f>
        <v>304</v>
      </c>
      <c r="I5830" s="159">
        <f>I5829</f>
        <v>1.644E-2</v>
      </c>
      <c r="J5830" s="160"/>
      <c r="K5830" s="161">
        <f>K5829</f>
        <v>13968</v>
      </c>
      <c r="L5830" s="250">
        <v>1</v>
      </c>
      <c r="M5830" s="163" t="str">
        <f>CONCATENATE(H5830," ",F5830,"*",L5830,"мес.","*",I5830,"/",K5830,"чел.")</f>
        <v>304 мед.осмотров в мес.*1мес.*0,01644/13968чел.</v>
      </c>
      <c r="N5830" s="278">
        <f>$N$5520</f>
        <v>59.287269736842113</v>
      </c>
      <c r="O5830" s="280">
        <f t="shared" si="1536"/>
        <v>2.1212999999999999E-2</v>
      </c>
      <c r="P5830" s="166"/>
      <c r="Q5830" s="166">
        <f t="shared" si="1537"/>
        <v>296.30318399999999</v>
      </c>
      <c r="R5830" s="71"/>
      <c r="S5830" s="71"/>
      <c r="T5830" s="61"/>
      <c r="U5830" s="61"/>
      <c r="V5830" s="61"/>
      <c r="W5830" s="61"/>
      <c r="X5830" s="61"/>
      <c r="Y5830" s="61"/>
      <c r="Z5830" s="61"/>
      <c r="AA5830" s="61"/>
      <c r="AB5830" s="61"/>
      <c r="AC5830" s="61"/>
      <c r="AD5830" s="61"/>
      <c r="AE5830" s="61"/>
      <c r="AF5830" s="61"/>
      <c r="AG5830" s="61"/>
      <c r="AH5830" s="61"/>
      <c r="AI5830" s="61"/>
      <c r="AJ5830" s="61"/>
      <c r="AK5830" s="61"/>
      <c r="AL5830" s="61"/>
      <c r="AM5830" s="61"/>
      <c r="AN5830" s="61"/>
      <c r="AO5830" s="61"/>
    </row>
    <row r="5831" spans="1:41" s="61" customFormat="1" ht="31.5" x14ac:dyDescent="0.25">
      <c r="A5831" s="358"/>
      <c r="B5831" s="361"/>
      <c r="C5831" s="364"/>
      <c r="D5831" s="156" t="s">
        <v>408</v>
      </c>
      <c r="E5831" s="156" t="s">
        <v>20</v>
      </c>
      <c r="F5831" s="156" t="s">
        <v>20</v>
      </c>
      <c r="G5831" s="238">
        <f t="shared" si="1534"/>
        <v>0</v>
      </c>
      <c r="H5831" s="158"/>
      <c r="I5831" s="159">
        <f>I5829</f>
        <v>1.644E-2</v>
      </c>
      <c r="J5831" s="160"/>
      <c r="K5831" s="161">
        <f>K5829</f>
        <v>13968</v>
      </c>
      <c r="L5831" s="250">
        <f>L5521</f>
        <v>1</v>
      </c>
      <c r="M5831" s="163"/>
      <c r="N5831" s="278"/>
      <c r="O5831" s="280">
        <f t="shared" si="1536"/>
        <v>0</v>
      </c>
      <c r="P5831" s="166"/>
      <c r="Q5831" s="166">
        <f t="shared" si="1537"/>
        <v>0</v>
      </c>
      <c r="R5831" s="71"/>
    </row>
    <row r="5832" spans="1:41" s="109" customFormat="1" x14ac:dyDescent="0.25">
      <c r="A5832" s="358"/>
      <c r="B5832" s="361"/>
      <c r="C5832" s="245" t="s">
        <v>329</v>
      </c>
      <c r="D5832" s="240"/>
      <c r="E5832" s="240"/>
      <c r="F5832" s="240"/>
      <c r="G5832" s="227"/>
      <c r="H5832" s="241"/>
      <c r="I5832" s="206"/>
      <c r="J5832" s="228"/>
      <c r="K5832" s="207"/>
      <c r="L5832" s="257"/>
      <c r="M5832" s="209"/>
      <c r="N5832" s="281"/>
      <c r="O5832" s="279">
        <f>SUM(O5820:O5831)</f>
        <v>1.344395</v>
      </c>
      <c r="P5832" s="267"/>
      <c r="Q5832" s="166"/>
      <c r="R5832" s="71"/>
      <c r="S5832" s="62"/>
      <c r="T5832" s="62"/>
      <c r="U5832" s="62"/>
      <c r="V5832" s="62"/>
      <c r="W5832" s="62"/>
      <c r="X5832" s="62"/>
      <c r="Y5832" s="62"/>
      <c r="Z5832" s="62"/>
      <c r="AA5832" s="62"/>
      <c r="AB5832" s="62"/>
      <c r="AC5832" s="62"/>
      <c r="AD5832" s="62"/>
      <c r="AE5832" s="62"/>
      <c r="AF5832" s="62"/>
      <c r="AG5832" s="62"/>
      <c r="AH5832" s="62"/>
      <c r="AI5832" s="62"/>
      <c r="AJ5832" s="62"/>
      <c r="AK5832" s="62"/>
      <c r="AL5832" s="62"/>
      <c r="AM5832" s="62"/>
      <c r="AN5832" s="62"/>
      <c r="AO5832" s="62"/>
    </row>
    <row r="5833" spans="1:41" s="61" customFormat="1" ht="31.5" x14ac:dyDescent="0.25">
      <c r="A5833" s="358"/>
      <c r="B5833" s="361"/>
      <c r="C5833" s="252" t="s">
        <v>237</v>
      </c>
      <c r="D5833" s="156" t="s">
        <v>41</v>
      </c>
      <c r="E5833" s="156" t="s">
        <v>61</v>
      </c>
      <c r="F5833" s="156" t="s">
        <v>254</v>
      </c>
      <c r="G5833" s="238">
        <f t="shared" ref="G5833:G5844" si="1541">MROUND(H5833*L5833*I5833/K5833,0.000000000001)</f>
        <v>1.1769759999999999E-6</v>
      </c>
      <c r="H5833" s="158">
        <v>1</v>
      </c>
      <c r="I5833" s="159">
        <f>I5831</f>
        <v>1.644E-2</v>
      </c>
      <c r="J5833" s="160"/>
      <c r="K5833" s="161">
        <f>K5831</f>
        <v>13968</v>
      </c>
      <c r="L5833" s="250">
        <v>1</v>
      </c>
      <c r="M5833" s="163" t="str">
        <f>CONCATENATE(H5833," ",F5833,"*",I5833,"/",K5833,"чел/час")</f>
        <v>1 автобус*0,01644/13968чел/час</v>
      </c>
      <c r="N5833" s="278">
        <f>N5523</f>
        <v>26907.3</v>
      </c>
      <c r="O5833" s="280">
        <f t="shared" ref="O5833:O5844" si="1542">MROUND(N5833*G5833,0.000001)</f>
        <v>3.1668999999999996E-2</v>
      </c>
      <c r="P5833" s="166"/>
      <c r="Q5833" s="166">
        <f t="shared" ref="Q5833:Q5844" si="1543">O5833*K5833</f>
        <v>442.35259199999996</v>
      </c>
      <c r="R5833" s="71"/>
    </row>
    <row r="5834" spans="1:41" s="61" customFormat="1" ht="78.75" x14ac:dyDescent="0.25">
      <c r="A5834" s="358"/>
      <c r="B5834" s="361"/>
      <c r="C5834" s="221" t="s">
        <v>236</v>
      </c>
      <c r="D5834" s="156" t="s">
        <v>19</v>
      </c>
      <c r="E5834" s="181" t="s">
        <v>20</v>
      </c>
      <c r="F5834" s="181" t="s">
        <v>238</v>
      </c>
      <c r="G5834" s="238">
        <f t="shared" si="1541"/>
        <v>0</v>
      </c>
      <c r="H5834" s="158"/>
      <c r="I5834" s="159">
        <f>I5831</f>
        <v>1.644E-2</v>
      </c>
      <c r="J5834" s="160"/>
      <c r="K5834" s="161">
        <f>K5831</f>
        <v>13968</v>
      </c>
      <c r="L5834" s="250"/>
      <c r="M5834" s="163"/>
      <c r="N5834" s="278"/>
      <c r="O5834" s="280">
        <f t="shared" si="1542"/>
        <v>0</v>
      </c>
      <c r="P5834" s="166"/>
      <c r="Q5834" s="166">
        <f t="shared" si="1543"/>
        <v>0</v>
      </c>
      <c r="R5834" s="71"/>
    </row>
    <row r="5835" spans="1:41" s="136" customFormat="1" ht="31.5" x14ac:dyDescent="0.25">
      <c r="A5835" s="358"/>
      <c r="B5835" s="361"/>
      <c r="C5835" s="372" t="s">
        <v>81</v>
      </c>
      <c r="D5835" s="156" t="s">
        <v>419</v>
      </c>
      <c r="E5835" s="156" t="s">
        <v>28</v>
      </c>
      <c r="F5835" s="156" t="s">
        <v>439</v>
      </c>
      <c r="G5835" s="238">
        <f t="shared" si="1541"/>
        <v>0</v>
      </c>
      <c r="H5835" s="158"/>
      <c r="I5835" s="159">
        <f>I5834</f>
        <v>1.644E-2</v>
      </c>
      <c r="J5835" s="160"/>
      <c r="K5835" s="161">
        <f>K5834</f>
        <v>13968</v>
      </c>
      <c r="L5835" s="250">
        <v>1</v>
      </c>
      <c r="M5835" s="163"/>
      <c r="N5835" s="278"/>
      <c r="O5835" s="280">
        <f t="shared" si="1542"/>
        <v>0</v>
      </c>
      <c r="P5835" s="166"/>
      <c r="Q5835" s="166">
        <f t="shared" si="1543"/>
        <v>0</v>
      </c>
      <c r="R5835" s="71"/>
      <c r="S5835" s="61"/>
      <c r="T5835" s="71"/>
      <c r="U5835" s="61"/>
      <c r="V5835" s="61"/>
      <c r="W5835" s="61"/>
      <c r="X5835" s="61"/>
      <c r="Y5835" s="61"/>
      <c r="Z5835" s="61"/>
      <c r="AA5835" s="61"/>
      <c r="AB5835" s="61"/>
      <c r="AC5835" s="61"/>
      <c r="AD5835" s="61"/>
      <c r="AE5835" s="61"/>
      <c r="AF5835" s="61"/>
      <c r="AG5835" s="61"/>
      <c r="AH5835" s="61"/>
      <c r="AI5835" s="61"/>
      <c r="AJ5835" s="61"/>
      <c r="AK5835" s="61"/>
      <c r="AL5835" s="61"/>
      <c r="AM5835" s="61"/>
      <c r="AN5835" s="61"/>
      <c r="AO5835" s="61"/>
    </row>
    <row r="5836" spans="1:41" s="136" customFormat="1" ht="31.5" x14ac:dyDescent="0.25">
      <c r="A5836" s="358"/>
      <c r="B5836" s="361"/>
      <c r="C5836" s="373"/>
      <c r="D5836" s="156" t="s">
        <v>425</v>
      </c>
      <c r="E5836" s="156" t="s">
        <v>28</v>
      </c>
      <c r="F5836" s="156" t="s">
        <v>439</v>
      </c>
      <c r="G5836" s="238">
        <f t="shared" si="1541"/>
        <v>0</v>
      </c>
      <c r="H5836" s="158"/>
      <c r="I5836" s="159">
        <f t="shared" ref="I5836:I5844" si="1544">I5835</f>
        <v>1.644E-2</v>
      </c>
      <c r="J5836" s="160"/>
      <c r="K5836" s="161">
        <f t="shared" ref="K5836:K5844" si="1545">K5835</f>
        <v>13968</v>
      </c>
      <c r="L5836" s="250">
        <v>1</v>
      </c>
      <c r="M5836" s="163"/>
      <c r="N5836" s="278"/>
      <c r="O5836" s="280">
        <f t="shared" si="1542"/>
        <v>0</v>
      </c>
      <c r="P5836" s="166"/>
      <c r="Q5836" s="166">
        <f t="shared" si="1543"/>
        <v>0</v>
      </c>
      <c r="R5836" s="71"/>
      <c r="S5836" s="61"/>
      <c r="T5836" s="71"/>
      <c r="U5836" s="61"/>
      <c r="V5836" s="61"/>
      <c r="W5836" s="61"/>
      <c r="X5836" s="61"/>
      <c r="Y5836" s="61"/>
      <c r="Z5836" s="61"/>
      <c r="AA5836" s="61"/>
      <c r="AB5836" s="61"/>
      <c r="AC5836" s="61"/>
      <c r="AD5836" s="61"/>
      <c r="AE5836" s="61"/>
      <c r="AF5836" s="61"/>
      <c r="AG5836" s="61"/>
      <c r="AH5836" s="61"/>
      <c r="AI5836" s="61"/>
      <c r="AJ5836" s="61"/>
      <c r="AK5836" s="61"/>
      <c r="AL5836" s="61"/>
      <c r="AM5836" s="61"/>
      <c r="AN5836" s="61"/>
      <c r="AO5836" s="61"/>
    </row>
    <row r="5837" spans="1:41" s="136" customFormat="1" ht="31.5" x14ac:dyDescent="0.25">
      <c r="A5837" s="358"/>
      <c r="B5837" s="361"/>
      <c r="C5837" s="373"/>
      <c r="D5837" s="156" t="s">
        <v>426</v>
      </c>
      <c r="E5837" s="156" t="s">
        <v>28</v>
      </c>
      <c r="F5837" s="156" t="s">
        <v>439</v>
      </c>
      <c r="G5837" s="238">
        <f t="shared" si="1541"/>
        <v>0</v>
      </c>
      <c r="H5837" s="158"/>
      <c r="I5837" s="159">
        <f t="shared" si="1544"/>
        <v>1.644E-2</v>
      </c>
      <c r="J5837" s="160"/>
      <c r="K5837" s="161">
        <f t="shared" si="1545"/>
        <v>13968</v>
      </c>
      <c r="L5837" s="250">
        <v>1</v>
      </c>
      <c r="M5837" s="163"/>
      <c r="N5837" s="278"/>
      <c r="O5837" s="280">
        <f t="shared" si="1542"/>
        <v>0</v>
      </c>
      <c r="P5837" s="166"/>
      <c r="Q5837" s="166">
        <f t="shared" si="1543"/>
        <v>0</v>
      </c>
      <c r="R5837" s="71"/>
      <c r="S5837" s="61"/>
      <c r="T5837" s="71"/>
      <c r="U5837" s="61"/>
      <c r="V5837" s="61"/>
      <c r="W5837" s="61"/>
      <c r="X5837" s="61"/>
      <c r="Y5837" s="61"/>
      <c r="Z5837" s="61"/>
      <c r="AA5837" s="61"/>
      <c r="AB5837" s="61"/>
      <c r="AC5837" s="61"/>
      <c r="AD5837" s="61"/>
      <c r="AE5837" s="61"/>
      <c r="AF5837" s="61"/>
      <c r="AG5837" s="61"/>
      <c r="AH5837" s="61"/>
      <c r="AI5837" s="61"/>
      <c r="AJ5837" s="61"/>
      <c r="AK5837" s="61"/>
      <c r="AL5837" s="61"/>
      <c r="AM5837" s="61"/>
      <c r="AN5837" s="61"/>
      <c r="AO5837" s="61"/>
    </row>
    <row r="5838" spans="1:41" s="136" customFormat="1" ht="31.5" x14ac:dyDescent="0.25">
      <c r="A5838" s="358"/>
      <c r="B5838" s="361"/>
      <c r="C5838" s="373"/>
      <c r="D5838" s="156" t="s">
        <v>427</v>
      </c>
      <c r="E5838" s="156" t="s">
        <v>28</v>
      </c>
      <c r="F5838" s="156" t="s">
        <v>439</v>
      </c>
      <c r="G5838" s="238">
        <f t="shared" si="1541"/>
        <v>0</v>
      </c>
      <c r="H5838" s="158"/>
      <c r="I5838" s="159">
        <f t="shared" si="1544"/>
        <v>1.644E-2</v>
      </c>
      <c r="J5838" s="160"/>
      <c r="K5838" s="161">
        <f t="shared" si="1545"/>
        <v>13968</v>
      </c>
      <c r="L5838" s="250">
        <v>1</v>
      </c>
      <c r="M5838" s="163"/>
      <c r="N5838" s="278"/>
      <c r="O5838" s="280">
        <f t="shared" si="1542"/>
        <v>0</v>
      </c>
      <c r="P5838" s="166"/>
      <c r="Q5838" s="166">
        <f t="shared" si="1543"/>
        <v>0</v>
      </c>
      <c r="R5838" s="71"/>
      <c r="S5838" s="61"/>
      <c r="T5838" s="71"/>
      <c r="U5838" s="61"/>
      <c r="V5838" s="61"/>
      <c r="W5838" s="61"/>
      <c r="X5838" s="61"/>
      <c r="Y5838" s="61"/>
      <c r="Z5838" s="61"/>
      <c r="AA5838" s="61"/>
      <c r="AB5838" s="61"/>
      <c r="AC5838" s="61"/>
      <c r="AD5838" s="61"/>
      <c r="AE5838" s="61"/>
      <c r="AF5838" s="61"/>
      <c r="AG5838" s="61"/>
      <c r="AH5838" s="61"/>
      <c r="AI5838" s="61"/>
      <c r="AJ5838" s="61"/>
      <c r="AK5838" s="61"/>
      <c r="AL5838" s="61"/>
      <c r="AM5838" s="61"/>
      <c r="AN5838" s="61"/>
      <c r="AO5838" s="61"/>
    </row>
    <row r="5839" spans="1:41" s="136" customFormat="1" ht="31.5" x14ac:dyDescent="0.25">
      <c r="A5839" s="358"/>
      <c r="B5839" s="361"/>
      <c r="C5839" s="373"/>
      <c r="D5839" s="156" t="s">
        <v>428</v>
      </c>
      <c r="E5839" s="156" t="s">
        <v>28</v>
      </c>
      <c r="F5839" s="156" t="s">
        <v>439</v>
      </c>
      <c r="G5839" s="238">
        <f t="shared" si="1541"/>
        <v>0</v>
      </c>
      <c r="H5839" s="158"/>
      <c r="I5839" s="159">
        <f t="shared" si="1544"/>
        <v>1.644E-2</v>
      </c>
      <c r="J5839" s="160"/>
      <c r="K5839" s="161">
        <f t="shared" si="1545"/>
        <v>13968</v>
      </c>
      <c r="L5839" s="250">
        <v>1</v>
      </c>
      <c r="M5839" s="163"/>
      <c r="N5839" s="278"/>
      <c r="O5839" s="280">
        <f t="shared" si="1542"/>
        <v>0</v>
      </c>
      <c r="P5839" s="166"/>
      <c r="Q5839" s="166">
        <f t="shared" si="1543"/>
        <v>0</v>
      </c>
      <c r="R5839" s="71"/>
      <c r="S5839" s="61"/>
      <c r="T5839" s="71"/>
      <c r="U5839" s="61"/>
      <c r="V5839" s="61"/>
      <c r="W5839" s="61"/>
      <c r="X5839" s="61"/>
      <c r="Y5839" s="61"/>
      <c r="Z5839" s="61"/>
      <c r="AA5839" s="61"/>
      <c r="AB5839" s="61"/>
      <c r="AC5839" s="61"/>
      <c r="AD5839" s="61"/>
      <c r="AE5839" s="61"/>
      <c r="AF5839" s="61"/>
      <c r="AG5839" s="61"/>
      <c r="AH5839" s="61"/>
      <c r="AI5839" s="61"/>
      <c r="AJ5839" s="61"/>
      <c r="AK5839" s="61"/>
      <c r="AL5839" s="61"/>
      <c r="AM5839" s="61"/>
      <c r="AN5839" s="61"/>
      <c r="AO5839" s="61"/>
    </row>
    <row r="5840" spans="1:41" s="136" customFormat="1" ht="31.5" x14ac:dyDescent="0.25">
      <c r="A5840" s="358"/>
      <c r="B5840" s="361"/>
      <c r="C5840" s="373"/>
      <c r="D5840" s="156" t="s">
        <v>429</v>
      </c>
      <c r="E5840" s="156" t="s">
        <v>28</v>
      </c>
      <c r="F5840" s="156" t="s">
        <v>439</v>
      </c>
      <c r="G5840" s="238">
        <f t="shared" si="1541"/>
        <v>0</v>
      </c>
      <c r="H5840" s="158"/>
      <c r="I5840" s="159">
        <f t="shared" si="1544"/>
        <v>1.644E-2</v>
      </c>
      <c r="J5840" s="160"/>
      <c r="K5840" s="161">
        <f t="shared" si="1545"/>
        <v>13968</v>
      </c>
      <c r="L5840" s="250">
        <v>1</v>
      </c>
      <c r="M5840" s="163"/>
      <c r="N5840" s="278"/>
      <c r="O5840" s="280">
        <f t="shared" si="1542"/>
        <v>0</v>
      </c>
      <c r="P5840" s="166"/>
      <c r="Q5840" s="166">
        <f t="shared" si="1543"/>
        <v>0</v>
      </c>
      <c r="R5840" s="71"/>
      <c r="S5840" s="61"/>
      <c r="T5840" s="71"/>
      <c r="U5840" s="61"/>
      <c r="V5840" s="61"/>
      <c r="W5840" s="61"/>
      <c r="X5840" s="61"/>
      <c r="Y5840" s="61"/>
      <c r="Z5840" s="61"/>
      <c r="AA5840" s="61"/>
      <c r="AB5840" s="61"/>
      <c r="AC5840" s="61"/>
      <c r="AD5840" s="61"/>
      <c r="AE5840" s="61"/>
      <c r="AF5840" s="61"/>
      <c r="AG5840" s="61"/>
      <c r="AH5840" s="61"/>
      <c r="AI5840" s="61"/>
      <c r="AJ5840" s="61"/>
      <c r="AK5840" s="61"/>
      <c r="AL5840" s="61"/>
      <c r="AM5840" s="61"/>
      <c r="AN5840" s="61"/>
      <c r="AO5840" s="61"/>
    </row>
    <row r="5841" spans="1:41" s="136" customFormat="1" ht="31.5" x14ac:dyDescent="0.25">
      <c r="A5841" s="358"/>
      <c r="B5841" s="361"/>
      <c r="C5841" s="373"/>
      <c r="D5841" s="156" t="s">
        <v>110</v>
      </c>
      <c r="E5841" s="156" t="s">
        <v>28</v>
      </c>
      <c r="F5841" s="156" t="s">
        <v>439</v>
      </c>
      <c r="G5841" s="238">
        <f t="shared" si="1541"/>
        <v>0</v>
      </c>
      <c r="H5841" s="158"/>
      <c r="I5841" s="159">
        <f t="shared" si="1544"/>
        <v>1.644E-2</v>
      </c>
      <c r="J5841" s="160"/>
      <c r="K5841" s="161">
        <f t="shared" si="1545"/>
        <v>13968</v>
      </c>
      <c r="L5841" s="250">
        <v>1</v>
      </c>
      <c r="M5841" s="163"/>
      <c r="N5841" s="278"/>
      <c r="O5841" s="280">
        <f t="shared" si="1542"/>
        <v>0</v>
      </c>
      <c r="P5841" s="166"/>
      <c r="Q5841" s="166">
        <f t="shared" si="1543"/>
        <v>0</v>
      </c>
      <c r="R5841" s="71"/>
      <c r="S5841" s="61"/>
      <c r="T5841" s="71"/>
      <c r="U5841" s="61"/>
      <c r="V5841" s="61"/>
      <c r="W5841" s="61"/>
      <c r="X5841" s="61"/>
      <c r="Y5841" s="61"/>
      <c r="Z5841" s="61"/>
      <c r="AA5841" s="61"/>
      <c r="AB5841" s="61"/>
      <c r="AC5841" s="61"/>
      <c r="AD5841" s="61"/>
      <c r="AE5841" s="61"/>
      <c r="AF5841" s="61"/>
      <c r="AG5841" s="61"/>
      <c r="AH5841" s="61"/>
      <c r="AI5841" s="61"/>
      <c r="AJ5841" s="61"/>
      <c r="AK5841" s="61"/>
      <c r="AL5841" s="61"/>
      <c r="AM5841" s="61"/>
      <c r="AN5841" s="61"/>
      <c r="AO5841" s="61"/>
    </row>
    <row r="5842" spans="1:41" s="136" customFormat="1" ht="31.5" x14ac:dyDescent="0.25">
      <c r="A5842" s="358"/>
      <c r="B5842" s="361"/>
      <c r="C5842" s="373"/>
      <c r="D5842" s="156" t="s">
        <v>112</v>
      </c>
      <c r="E5842" s="156" t="s">
        <v>28</v>
      </c>
      <c r="F5842" s="156" t="s">
        <v>439</v>
      </c>
      <c r="G5842" s="238">
        <f t="shared" si="1541"/>
        <v>0</v>
      </c>
      <c r="H5842" s="158"/>
      <c r="I5842" s="159">
        <f t="shared" si="1544"/>
        <v>1.644E-2</v>
      </c>
      <c r="J5842" s="160"/>
      <c r="K5842" s="161">
        <f t="shared" si="1545"/>
        <v>13968</v>
      </c>
      <c r="L5842" s="250">
        <v>1</v>
      </c>
      <c r="M5842" s="163"/>
      <c r="N5842" s="278"/>
      <c r="O5842" s="280">
        <f t="shared" si="1542"/>
        <v>0</v>
      </c>
      <c r="P5842" s="166"/>
      <c r="Q5842" s="166">
        <f t="shared" si="1543"/>
        <v>0</v>
      </c>
      <c r="R5842" s="71"/>
      <c r="S5842" s="61"/>
      <c r="T5842" s="71"/>
      <c r="U5842" s="61"/>
      <c r="V5842" s="61"/>
      <c r="W5842" s="61"/>
      <c r="X5842" s="61"/>
      <c r="Y5842" s="61"/>
      <c r="Z5842" s="61"/>
      <c r="AA5842" s="61"/>
      <c r="AB5842" s="61"/>
      <c r="AC5842" s="61"/>
      <c r="AD5842" s="61"/>
      <c r="AE5842" s="61"/>
      <c r="AF5842" s="61"/>
      <c r="AG5842" s="61"/>
      <c r="AH5842" s="61"/>
      <c r="AI5842" s="61"/>
      <c r="AJ5842" s="61"/>
      <c r="AK5842" s="61"/>
      <c r="AL5842" s="61"/>
      <c r="AM5842" s="61"/>
      <c r="AN5842" s="61"/>
      <c r="AO5842" s="61"/>
    </row>
    <row r="5843" spans="1:41" s="136" customFormat="1" ht="31.5" x14ac:dyDescent="0.25">
      <c r="A5843" s="358"/>
      <c r="B5843" s="361"/>
      <c r="C5843" s="373"/>
      <c r="D5843" s="156" t="s">
        <v>111</v>
      </c>
      <c r="E5843" s="156" t="s">
        <v>28</v>
      </c>
      <c r="F5843" s="156" t="s">
        <v>439</v>
      </c>
      <c r="G5843" s="238">
        <f t="shared" si="1541"/>
        <v>0</v>
      </c>
      <c r="H5843" s="158"/>
      <c r="I5843" s="159">
        <f t="shared" si="1544"/>
        <v>1.644E-2</v>
      </c>
      <c r="J5843" s="160"/>
      <c r="K5843" s="161">
        <f t="shared" si="1545"/>
        <v>13968</v>
      </c>
      <c r="L5843" s="250">
        <v>1</v>
      </c>
      <c r="M5843" s="163"/>
      <c r="N5843" s="278"/>
      <c r="O5843" s="280">
        <f t="shared" si="1542"/>
        <v>0</v>
      </c>
      <c r="P5843" s="166"/>
      <c r="Q5843" s="166">
        <f t="shared" si="1543"/>
        <v>0</v>
      </c>
      <c r="R5843" s="71"/>
      <c r="S5843" s="61"/>
      <c r="T5843" s="71"/>
      <c r="U5843" s="61"/>
      <c r="V5843" s="61"/>
      <c r="W5843" s="61"/>
      <c r="X5843" s="61"/>
      <c r="Y5843" s="61"/>
      <c r="Z5843" s="61"/>
      <c r="AA5843" s="61"/>
      <c r="AB5843" s="61"/>
      <c r="AC5843" s="61"/>
      <c r="AD5843" s="61"/>
      <c r="AE5843" s="61"/>
      <c r="AF5843" s="61"/>
      <c r="AG5843" s="61"/>
      <c r="AH5843" s="61"/>
      <c r="AI5843" s="61"/>
      <c r="AJ5843" s="61"/>
      <c r="AK5843" s="61"/>
      <c r="AL5843" s="61"/>
      <c r="AM5843" s="61"/>
      <c r="AN5843" s="61"/>
      <c r="AO5843" s="61"/>
    </row>
    <row r="5844" spans="1:41" s="136" customFormat="1" ht="31.5" x14ac:dyDescent="0.25">
      <c r="A5844" s="358"/>
      <c r="B5844" s="361"/>
      <c r="C5844" s="374"/>
      <c r="D5844" s="156" t="s">
        <v>438</v>
      </c>
      <c r="E5844" s="156" t="s">
        <v>28</v>
      </c>
      <c r="F5844" s="156" t="s">
        <v>439</v>
      </c>
      <c r="G5844" s="238">
        <f t="shared" si="1541"/>
        <v>0</v>
      </c>
      <c r="H5844" s="158"/>
      <c r="I5844" s="159">
        <f t="shared" si="1544"/>
        <v>1.644E-2</v>
      </c>
      <c r="J5844" s="160"/>
      <c r="K5844" s="161">
        <f t="shared" si="1545"/>
        <v>13968</v>
      </c>
      <c r="L5844" s="250">
        <v>1</v>
      </c>
      <c r="M5844" s="163"/>
      <c r="N5844" s="278"/>
      <c r="O5844" s="280">
        <f t="shared" si="1542"/>
        <v>0</v>
      </c>
      <c r="P5844" s="166"/>
      <c r="Q5844" s="166">
        <f t="shared" si="1543"/>
        <v>0</v>
      </c>
      <c r="R5844" s="71"/>
      <c r="S5844" s="61"/>
      <c r="T5844" s="71"/>
      <c r="U5844" s="61"/>
      <c r="V5844" s="61"/>
      <c r="W5844" s="61"/>
      <c r="X5844" s="61"/>
      <c r="Y5844" s="61"/>
      <c r="Z5844" s="61"/>
      <c r="AA5844" s="61"/>
      <c r="AB5844" s="61"/>
      <c r="AC5844" s="61"/>
      <c r="AD5844" s="61"/>
      <c r="AE5844" s="61"/>
      <c r="AF5844" s="61"/>
      <c r="AG5844" s="61"/>
      <c r="AH5844" s="61"/>
      <c r="AI5844" s="61"/>
      <c r="AJ5844" s="61"/>
      <c r="AK5844" s="61"/>
      <c r="AL5844" s="61"/>
      <c r="AM5844" s="61"/>
      <c r="AN5844" s="61"/>
      <c r="AO5844" s="61"/>
    </row>
    <row r="5845" spans="1:41" s="61" customFormat="1" x14ac:dyDescent="0.25">
      <c r="A5845" s="358"/>
      <c r="B5845" s="361"/>
      <c r="C5845" s="245" t="s">
        <v>299</v>
      </c>
      <c r="D5845" s="240"/>
      <c r="E5845" s="240"/>
      <c r="F5845" s="181"/>
      <c r="G5845" s="227"/>
      <c r="H5845" s="241"/>
      <c r="I5845" s="206"/>
      <c r="J5845" s="228"/>
      <c r="K5845" s="207"/>
      <c r="L5845" s="257"/>
      <c r="M5845" s="209"/>
      <c r="N5845" s="290"/>
      <c r="O5845" s="279">
        <f>SUM(O5835:O5844)</f>
        <v>0</v>
      </c>
      <c r="P5845" s="166"/>
      <c r="Q5845" s="166">
        <f>O5845*K5845</f>
        <v>0</v>
      </c>
      <c r="R5845" s="71"/>
    </row>
    <row r="5846" spans="1:41" s="61" customFormat="1" ht="47.25" x14ac:dyDescent="0.25">
      <c r="A5846" s="358"/>
      <c r="B5846" s="361"/>
      <c r="C5846" s="221" t="s">
        <v>434</v>
      </c>
      <c r="D5846" s="156" t="s">
        <v>436</v>
      </c>
      <c r="E5846" s="156" t="s">
        <v>28</v>
      </c>
      <c r="F5846" s="156" t="s">
        <v>437</v>
      </c>
      <c r="G5846" s="238">
        <f>MROUND(H5846*L5846*I5846/K5846,0.000000000001)</f>
        <v>3.0601375E-5</v>
      </c>
      <c r="H5846" s="242">
        <f>$H$2148</f>
        <v>26</v>
      </c>
      <c r="I5846" s="159">
        <f>I5844</f>
        <v>1.644E-2</v>
      </c>
      <c r="J5846" s="160"/>
      <c r="K5846" s="161">
        <f>K5844</f>
        <v>13968</v>
      </c>
      <c r="L5846" s="162">
        <v>1</v>
      </c>
      <c r="M5846" s="163" t="str">
        <f>CONCATENATE(H5846," ",F5846,"*",I5846,"/",K5846,"чел.")</f>
        <v>26 огнетушителей (потребность учреждений) *0,01644/13968чел.</v>
      </c>
      <c r="N5846" s="164">
        <f>$N$5536</f>
        <v>2280.2800000000002</v>
      </c>
      <c r="O5846" s="165">
        <f>MROUND(G5846*N5846,0.000001)</f>
        <v>6.9779999999999995E-2</v>
      </c>
      <c r="P5846" s="166"/>
      <c r="Q5846" s="166">
        <f>O5846*K5846</f>
        <v>974.68703999999991</v>
      </c>
      <c r="R5846" s="71"/>
    </row>
    <row r="5847" spans="1:41" s="61" customFormat="1" x14ac:dyDescent="0.25">
      <c r="A5847" s="358"/>
      <c r="B5847" s="361"/>
      <c r="C5847" s="218" t="s">
        <v>435</v>
      </c>
      <c r="D5847" s="240"/>
      <c r="E5847" s="240"/>
      <c r="F5847" s="240"/>
      <c r="G5847" s="251"/>
      <c r="H5847" s="241"/>
      <c r="I5847" s="206"/>
      <c r="J5847" s="228"/>
      <c r="K5847" s="207"/>
      <c r="L5847" s="229"/>
      <c r="M5847" s="209"/>
      <c r="N5847" s="210"/>
      <c r="O5847" s="198">
        <f>SUM(O5846)</f>
        <v>6.9779999999999995E-2</v>
      </c>
      <c r="P5847" s="166"/>
      <c r="Q5847" s="166"/>
      <c r="R5847" s="71"/>
    </row>
    <row r="5848" spans="1:41" s="61" customFormat="1" ht="110.25" x14ac:dyDescent="0.25">
      <c r="A5848" s="358"/>
      <c r="B5848" s="361"/>
      <c r="C5848" s="221" t="s">
        <v>82</v>
      </c>
      <c r="D5848" s="156" t="s">
        <v>46</v>
      </c>
      <c r="E5848" s="156" t="s">
        <v>54</v>
      </c>
      <c r="F5848" s="156" t="s">
        <v>285</v>
      </c>
      <c r="G5848" s="238">
        <f>MROUND(H5848*L5848*I5848/K5848,0.000000000001)</f>
        <v>2.9580968819999998E-3</v>
      </c>
      <c r="H5848" s="158">
        <f>H5538</f>
        <v>228.48206839032525</v>
      </c>
      <c r="I5848" s="159">
        <f>I5834</f>
        <v>1.644E-2</v>
      </c>
      <c r="J5848" s="160"/>
      <c r="K5848" s="161">
        <f>K5834</f>
        <v>13968</v>
      </c>
      <c r="L5848" s="250">
        <f>$L$2150</f>
        <v>11</v>
      </c>
      <c r="M5848" s="163" t="str">
        <f>CONCATENATE(H5848," ",F5848,"*",L5848,"автобус","*",I5848,"/",K5848,"чел/час")</f>
        <v>228,482068390325 л бензина АИ 92 (12,5л/день(зимой)*20дней*7мес+10л/день(летом)*20дней*4мес)*11автобус*0,01644/13968чел/час</v>
      </c>
      <c r="N5848" s="278">
        <f>$N$5538</f>
        <v>57.007000000000005</v>
      </c>
      <c r="O5848" s="280">
        <f t="shared" ref="O5848:O5850" si="1546">MROUND(N5848*G5848,0.000001)</f>
        <v>0.168632</v>
      </c>
      <c r="P5848" s="166"/>
      <c r="Q5848" s="166">
        <f>O5848*K5848</f>
        <v>2355.4517759999999</v>
      </c>
      <c r="R5848" s="71"/>
    </row>
    <row r="5849" spans="1:41" s="61" customFormat="1" ht="47.25" x14ac:dyDescent="0.25">
      <c r="A5849" s="358"/>
      <c r="B5849" s="361"/>
      <c r="C5849" s="364" t="s">
        <v>118</v>
      </c>
      <c r="D5849" s="156" t="s">
        <v>47</v>
      </c>
      <c r="E5849" s="156" t="s">
        <v>28</v>
      </c>
      <c r="F5849" s="156" t="s">
        <v>239</v>
      </c>
      <c r="G5849" s="238">
        <f>MROUND(H5849*L5849*I5849/K5849,0.000000000001)</f>
        <v>2.3539518999999999E-5</v>
      </c>
      <c r="H5849" s="158">
        <f>H5539</f>
        <v>20</v>
      </c>
      <c r="I5849" s="159">
        <f>I5848</f>
        <v>1.644E-2</v>
      </c>
      <c r="J5849" s="160"/>
      <c r="K5849" s="161">
        <f>K5848</f>
        <v>13968</v>
      </c>
      <c r="L5849" s="250">
        <v>1</v>
      </c>
      <c r="M5849" s="163" t="str">
        <f>CONCATENATE(H5849," ",F5849,"*",I5849,"/",K5849,"чел/час")</f>
        <v>20 манометров (потребность учреждений) *0,01644/13968чел/час</v>
      </c>
      <c r="N5849" s="278">
        <f>N5539</f>
        <v>679.9</v>
      </c>
      <c r="O5849" s="280">
        <f t="shared" si="1546"/>
        <v>1.6004999999999998E-2</v>
      </c>
      <c r="P5849" s="166"/>
      <c r="Q5849" s="166">
        <f>O5849*K5849</f>
        <v>223.55783999999997</v>
      </c>
      <c r="R5849" s="71"/>
    </row>
    <row r="5850" spans="1:41" s="61" customFormat="1" ht="47.25" x14ac:dyDescent="0.25">
      <c r="A5850" s="358"/>
      <c r="B5850" s="361"/>
      <c r="C5850" s="364"/>
      <c r="D5850" s="255" t="s">
        <v>113</v>
      </c>
      <c r="E5850" s="156" t="s">
        <v>28</v>
      </c>
      <c r="F5850" s="156" t="s">
        <v>240</v>
      </c>
      <c r="G5850" s="238">
        <f>MROUND(H5850*L5850*I5850/K5850,0.000000000001)</f>
        <v>1.17697595E-4</v>
      </c>
      <c r="H5850" s="158">
        <v>100</v>
      </c>
      <c r="I5850" s="159">
        <f>I5849</f>
        <v>1.644E-2</v>
      </c>
      <c r="J5850" s="160"/>
      <c r="K5850" s="161">
        <f>K5849</f>
        <v>13968</v>
      </c>
      <c r="L5850" s="250">
        <v>1</v>
      </c>
      <c r="M5850" s="163" t="str">
        <f>CONCATENATE(H5850," ",F5850,"*",I5850,"/",K5850,"чел/час")</f>
        <v>100 светильников (потребность учреждений)*0,01644/13968чел/час</v>
      </c>
      <c r="N5850" s="278">
        <f>N5540</f>
        <v>111.1635</v>
      </c>
      <c r="O5850" s="280">
        <f t="shared" si="1546"/>
        <v>1.3084E-2</v>
      </c>
      <c r="P5850" s="166"/>
      <c r="Q5850" s="166">
        <f>O5850*K5850</f>
        <v>182.75731200000001</v>
      </c>
      <c r="R5850" s="71"/>
    </row>
    <row r="5851" spans="1:41" s="109" customFormat="1" x14ac:dyDescent="0.25">
      <c r="A5851" s="359"/>
      <c r="B5851" s="362"/>
      <c r="C5851" s="218" t="s">
        <v>301</v>
      </c>
      <c r="D5851" s="256"/>
      <c r="E5851" s="240"/>
      <c r="F5851" s="240"/>
      <c r="G5851" s="227"/>
      <c r="H5851" s="241"/>
      <c r="I5851" s="206"/>
      <c r="J5851" s="228"/>
      <c r="K5851" s="207"/>
      <c r="L5851" s="257"/>
      <c r="M5851" s="209"/>
      <c r="N5851" s="281"/>
      <c r="O5851" s="279">
        <f>O5849+O5850</f>
        <v>2.9088999999999997E-2</v>
      </c>
      <c r="P5851" s="267"/>
      <c r="Q5851" s="166"/>
      <c r="R5851" s="71"/>
      <c r="S5851" s="62"/>
      <c r="T5851" s="62"/>
      <c r="U5851" s="62"/>
      <c r="V5851" s="62"/>
      <c r="W5851" s="62"/>
      <c r="X5851" s="62"/>
      <c r="Y5851" s="62"/>
      <c r="Z5851" s="62"/>
      <c r="AA5851" s="62"/>
      <c r="AB5851" s="62"/>
      <c r="AC5851" s="62"/>
      <c r="AD5851" s="62"/>
      <c r="AE5851" s="62"/>
      <c r="AF5851" s="62"/>
      <c r="AG5851" s="62"/>
      <c r="AH5851" s="62"/>
      <c r="AI5851" s="62"/>
      <c r="AJ5851" s="62"/>
      <c r="AK5851" s="62"/>
      <c r="AL5851" s="62"/>
      <c r="AM5851" s="62"/>
      <c r="AN5851" s="62"/>
      <c r="AO5851" s="62"/>
    </row>
    <row r="5852" spans="1:41" s="108" customFormat="1" x14ac:dyDescent="0.25">
      <c r="A5852" s="357" t="str">
        <f>школы!$B$36</f>
        <v>Реализация дополнительных общеразвивающих программ (физкультурно-спортивная направленность)</v>
      </c>
      <c r="B5852" s="360" t="str">
        <f>школы!$A$36</f>
        <v>801012О.99.0.ББ57АЕ52000</v>
      </c>
      <c r="C5852" s="194"/>
      <c r="D5852" s="363" t="s">
        <v>15</v>
      </c>
      <c r="E5852" s="363"/>
      <c r="F5852" s="363"/>
      <c r="G5852" s="363"/>
      <c r="H5852" s="195"/>
      <c r="I5852" s="195"/>
      <c r="J5852" s="195"/>
      <c r="K5852" s="195"/>
      <c r="L5852" s="196"/>
      <c r="M5852" s="197"/>
      <c r="N5852" s="278"/>
      <c r="O5852" s="279">
        <f>O5853+O5857</f>
        <v>136.07479659040001</v>
      </c>
      <c r="P5852" s="166"/>
      <c r="Q5852" s="166">
        <f t="shared" ref="Q5852:Q5869" si="1547">O5852*K5852</f>
        <v>0</v>
      </c>
      <c r="R5852" s="71"/>
      <c r="S5852" s="61"/>
      <c r="T5852" s="61"/>
      <c r="U5852" s="61"/>
      <c r="V5852" s="61"/>
      <c r="W5852" s="61"/>
      <c r="X5852" s="61"/>
      <c r="Y5852" s="61"/>
      <c r="Z5852" s="61"/>
      <c r="AA5852" s="61"/>
      <c r="AB5852" s="61"/>
      <c r="AC5852" s="61"/>
      <c r="AD5852" s="61"/>
      <c r="AE5852" s="61"/>
      <c r="AF5852" s="61"/>
      <c r="AG5852" s="61"/>
      <c r="AH5852" s="61"/>
      <c r="AI5852" s="61"/>
      <c r="AJ5852" s="61"/>
      <c r="AK5852" s="61"/>
      <c r="AL5852" s="61"/>
      <c r="AM5852" s="61"/>
      <c r="AN5852" s="61"/>
      <c r="AO5852" s="61"/>
    </row>
    <row r="5853" spans="1:41" s="108" customFormat="1" x14ac:dyDescent="0.25">
      <c r="A5853" s="358"/>
      <c r="B5853" s="361"/>
      <c r="C5853" s="194"/>
      <c r="D5853" s="350" t="s">
        <v>62</v>
      </c>
      <c r="E5853" s="350"/>
      <c r="F5853" s="350"/>
      <c r="G5853" s="350"/>
      <c r="H5853" s="195"/>
      <c r="I5853" s="195"/>
      <c r="J5853" s="195"/>
      <c r="K5853" s="195"/>
      <c r="L5853" s="196"/>
      <c r="M5853" s="197"/>
      <c r="N5853" s="278"/>
      <c r="O5853" s="279">
        <f>O5854+O5855</f>
        <v>135.2280455904</v>
      </c>
      <c r="P5853" s="166"/>
      <c r="Q5853" s="166">
        <f t="shared" si="1547"/>
        <v>0</v>
      </c>
      <c r="R5853" s="71"/>
      <c r="S5853" s="61"/>
      <c r="T5853" s="61"/>
      <c r="U5853" s="61"/>
      <c r="V5853" s="61"/>
      <c r="W5853" s="61"/>
      <c r="X5853" s="61"/>
      <c r="Y5853" s="61"/>
      <c r="Z5853" s="61"/>
      <c r="AA5853" s="61"/>
      <c r="AB5853" s="61"/>
      <c r="AC5853" s="61"/>
      <c r="AD5853" s="61"/>
      <c r="AE5853" s="61"/>
      <c r="AF5853" s="61"/>
      <c r="AG5853" s="61"/>
      <c r="AH5853" s="61"/>
      <c r="AI5853" s="61"/>
      <c r="AJ5853" s="61"/>
      <c r="AK5853" s="61"/>
      <c r="AL5853" s="61"/>
      <c r="AM5853" s="61"/>
      <c r="AN5853" s="61"/>
      <c r="AO5853" s="61"/>
    </row>
    <row r="5854" spans="1:41" s="61" customFormat="1" ht="31.5" x14ac:dyDescent="0.25">
      <c r="A5854" s="358"/>
      <c r="B5854" s="361"/>
      <c r="C5854" s="194">
        <v>211</v>
      </c>
      <c r="D5854" s="194" t="s">
        <v>86</v>
      </c>
      <c r="E5854" s="199" t="s">
        <v>95</v>
      </c>
      <c r="F5854" s="199" t="s">
        <v>95</v>
      </c>
      <c r="G5854" s="238">
        <f>MROUND(H5854*L5854*I5854/K5854,0.000000000001)</f>
        <v>4.381945313E-3</v>
      </c>
      <c r="H5854" s="201">
        <f>H5440</f>
        <v>368.4</v>
      </c>
      <c r="I5854" s="159">
        <f>школы!$K$36</f>
        <v>8.2214999999999996E-2</v>
      </c>
      <c r="J5854" s="159"/>
      <c r="K5854" s="161">
        <f>школы!$G$36</f>
        <v>82944</v>
      </c>
      <c r="L5854" s="202">
        <v>12</v>
      </c>
      <c r="M5854" s="163" t="str">
        <f>CONCATENATE(H5854," ",F5854," ","в мес.","*",L5854,"мес.","*",I5854,"/",K5854,"чел/час")</f>
        <v>368,4 шт.ед в мес.*12мес.*0,082215/82944чел/час</v>
      </c>
      <c r="N5854" s="278">
        <f>N5440</f>
        <v>23702.349798678973</v>
      </c>
      <c r="O5854" s="280">
        <f>MROUND(N5854*G5854,0.0000000001)</f>
        <v>103.86240060740001</v>
      </c>
      <c r="P5854" s="166"/>
      <c r="Q5854" s="166">
        <f t="shared" si="1547"/>
        <v>8614762.9559801854</v>
      </c>
      <c r="R5854" s="71"/>
    </row>
    <row r="5855" spans="1:41" s="61" customFormat="1" x14ac:dyDescent="0.25">
      <c r="A5855" s="358"/>
      <c r="B5855" s="361"/>
      <c r="C5855" s="194">
        <v>213</v>
      </c>
      <c r="D5855" s="194" t="s">
        <v>87</v>
      </c>
      <c r="E5855" s="194" t="s">
        <v>88</v>
      </c>
      <c r="F5855" s="194"/>
      <c r="G5855" s="211">
        <v>30.2</v>
      </c>
      <c r="H5855" s="159"/>
      <c r="I5855" s="282">
        <f>I5854</f>
        <v>8.2214999999999996E-2</v>
      </c>
      <c r="J5855" s="159"/>
      <c r="K5855" s="161">
        <f>K5854</f>
        <v>82944</v>
      </c>
      <c r="L5855" s="202"/>
      <c r="M5855" s="212"/>
      <c r="N5855" s="278"/>
      <c r="O5855" s="280">
        <f>MROUND(O5854*0.302,0.000000001)-0.0008</f>
        <v>31.365644982999999</v>
      </c>
      <c r="P5855" s="166"/>
      <c r="Q5855" s="166">
        <f t="shared" si="1547"/>
        <v>2601592.0574699519</v>
      </c>
      <c r="R5855" s="71"/>
    </row>
    <row r="5856" spans="1:41" s="108" customFormat="1" x14ac:dyDescent="0.25">
      <c r="A5856" s="358"/>
      <c r="B5856" s="361"/>
      <c r="C5856" s="194"/>
      <c r="D5856" s="194"/>
      <c r="E5856" s="194"/>
      <c r="F5856" s="194"/>
      <c r="G5856" s="217"/>
      <c r="H5856" s="195"/>
      <c r="I5856" s="159"/>
      <c r="J5856" s="195"/>
      <c r="K5856" s="161"/>
      <c r="L5856" s="196"/>
      <c r="M5856" s="197"/>
      <c r="N5856" s="278"/>
      <c r="O5856" s="280"/>
      <c r="P5856" s="166"/>
      <c r="Q5856" s="166">
        <f t="shared" si="1547"/>
        <v>0</v>
      </c>
      <c r="R5856" s="71"/>
      <c r="S5856" s="61"/>
      <c r="T5856" s="61"/>
      <c r="U5856" s="61"/>
      <c r="V5856" s="61"/>
      <c r="W5856" s="61"/>
      <c r="X5856" s="61"/>
      <c r="Y5856" s="61"/>
      <c r="Z5856" s="61"/>
      <c r="AA5856" s="61"/>
      <c r="AB5856" s="61"/>
      <c r="AC5856" s="61"/>
      <c r="AD5856" s="61"/>
      <c r="AE5856" s="61"/>
      <c r="AF5856" s="61"/>
      <c r="AG5856" s="61"/>
      <c r="AH5856" s="61"/>
      <c r="AI5856" s="61"/>
      <c r="AJ5856" s="61"/>
      <c r="AK5856" s="61"/>
      <c r="AL5856" s="61"/>
      <c r="AM5856" s="61"/>
      <c r="AN5856" s="61"/>
      <c r="AO5856" s="61"/>
    </row>
    <row r="5857" spans="1:41" s="108" customFormat="1" x14ac:dyDescent="0.25">
      <c r="A5857" s="358"/>
      <c r="B5857" s="361"/>
      <c r="C5857" s="194"/>
      <c r="D5857" s="356" t="s">
        <v>63</v>
      </c>
      <c r="E5857" s="356"/>
      <c r="F5857" s="356"/>
      <c r="G5857" s="356"/>
      <c r="H5857" s="195"/>
      <c r="I5857" s="159"/>
      <c r="J5857" s="195"/>
      <c r="K5857" s="161"/>
      <c r="L5857" s="196"/>
      <c r="M5857" s="197"/>
      <c r="N5857" s="278"/>
      <c r="O5857" s="280">
        <f>O5858</f>
        <v>0.84675099999999992</v>
      </c>
      <c r="P5857" s="166"/>
      <c r="Q5857" s="166">
        <f t="shared" si="1547"/>
        <v>0</v>
      </c>
      <c r="R5857" s="71"/>
      <c r="S5857" s="61"/>
      <c r="T5857" s="61"/>
      <c r="U5857" s="61"/>
      <c r="V5857" s="61"/>
      <c r="W5857" s="61"/>
      <c r="X5857" s="61"/>
      <c r="Y5857" s="61"/>
      <c r="Z5857" s="61"/>
      <c r="AA5857" s="61"/>
      <c r="AB5857" s="61"/>
      <c r="AC5857" s="61"/>
      <c r="AD5857" s="61"/>
      <c r="AE5857" s="61"/>
      <c r="AF5857" s="61"/>
      <c r="AG5857" s="61"/>
      <c r="AH5857" s="61"/>
      <c r="AI5857" s="61"/>
      <c r="AJ5857" s="61"/>
      <c r="AK5857" s="61"/>
      <c r="AL5857" s="61"/>
      <c r="AM5857" s="61"/>
      <c r="AN5857" s="61"/>
      <c r="AO5857" s="61"/>
    </row>
    <row r="5858" spans="1:41" s="61" customFormat="1" x14ac:dyDescent="0.25">
      <c r="A5858" s="358"/>
      <c r="B5858" s="361"/>
      <c r="C5858" s="194">
        <v>346</v>
      </c>
      <c r="D5858" s="194" t="s">
        <v>259</v>
      </c>
      <c r="E5858" s="194" t="s">
        <v>260</v>
      </c>
      <c r="F5858" s="194" t="s">
        <v>261</v>
      </c>
      <c r="G5858" s="238">
        <f>MROUND(H5858*L5858*I5858/K5858,0.00000000001)</f>
        <v>1.2013476599999999E-3</v>
      </c>
      <c r="H5858" s="283">
        <f>H5445</f>
        <v>1212</v>
      </c>
      <c r="I5858" s="282">
        <f>I5855</f>
        <v>8.2214999999999996E-2</v>
      </c>
      <c r="J5858" s="195"/>
      <c r="K5858" s="161">
        <f>K5855</f>
        <v>82944</v>
      </c>
      <c r="L5858" s="196">
        <v>1</v>
      </c>
      <c r="M5858" s="163" t="str">
        <f>CONCATENATE(H5858," ",F5858,"*",I5858,"/",K5858,"чел/час")</f>
        <v>1212 упаковок*0,082215/82944чел/час</v>
      </c>
      <c r="N5858" s="278">
        <f>N5445</f>
        <v>704.83454620462044</v>
      </c>
      <c r="O5858" s="280">
        <f>MROUND(N5858*G5858,0.000001)</f>
        <v>0.84675099999999992</v>
      </c>
      <c r="P5858" s="166"/>
      <c r="Q5858" s="166">
        <f t="shared" si="1547"/>
        <v>70232.914943999989</v>
      </c>
      <c r="R5858" s="71"/>
    </row>
    <row r="5859" spans="1:41" s="108" customFormat="1" x14ac:dyDescent="0.25">
      <c r="A5859" s="358"/>
      <c r="B5859" s="361"/>
      <c r="C5859" s="194"/>
      <c r="D5859" s="350" t="s">
        <v>64</v>
      </c>
      <c r="E5859" s="350"/>
      <c r="F5859" s="350"/>
      <c r="G5859" s="350"/>
      <c r="H5859" s="195"/>
      <c r="I5859" s="159"/>
      <c r="J5859" s="195"/>
      <c r="K5859" s="161"/>
      <c r="L5859" s="196"/>
      <c r="M5859" s="197"/>
      <c r="N5859" s="278"/>
      <c r="O5859" s="280"/>
      <c r="P5859" s="166"/>
      <c r="Q5859" s="166">
        <f t="shared" si="1547"/>
        <v>0</v>
      </c>
      <c r="R5859" s="71"/>
      <c r="S5859" s="61"/>
      <c r="T5859" s="61"/>
      <c r="U5859" s="61"/>
      <c r="V5859" s="61"/>
      <c r="W5859" s="61"/>
      <c r="X5859" s="61"/>
      <c r="Y5859" s="61"/>
      <c r="Z5859" s="61"/>
      <c r="AA5859" s="61"/>
      <c r="AB5859" s="61"/>
      <c r="AC5859" s="61"/>
      <c r="AD5859" s="61"/>
      <c r="AE5859" s="61"/>
      <c r="AF5859" s="61"/>
      <c r="AG5859" s="61"/>
      <c r="AH5859" s="61"/>
      <c r="AI5859" s="61"/>
      <c r="AJ5859" s="61"/>
      <c r="AK5859" s="61"/>
      <c r="AL5859" s="61"/>
      <c r="AM5859" s="61"/>
      <c r="AN5859" s="61"/>
      <c r="AO5859" s="61"/>
    </row>
    <row r="5860" spans="1:41" s="108" customFormat="1" x14ac:dyDescent="0.25">
      <c r="A5860" s="358"/>
      <c r="B5860" s="361"/>
      <c r="C5860" s="194"/>
      <c r="D5860" s="194"/>
      <c r="E5860" s="194"/>
      <c r="F5860" s="194"/>
      <c r="G5860" s="217"/>
      <c r="H5860" s="195"/>
      <c r="I5860" s="159"/>
      <c r="J5860" s="195"/>
      <c r="K5860" s="161"/>
      <c r="L5860" s="196"/>
      <c r="M5860" s="197"/>
      <c r="N5860" s="278"/>
      <c r="O5860" s="280"/>
      <c r="P5860" s="166"/>
      <c r="Q5860" s="166">
        <f t="shared" si="1547"/>
        <v>0</v>
      </c>
      <c r="R5860" s="71"/>
      <c r="S5860" s="61"/>
      <c r="T5860" s="61"/>
      <c r="U5860" s="61"/>
      <c r="V5860" s="61"/>
      <c r="W5860" s="61"/>
      <c r="X5860" s="61"/>
      <c r="Y5860" s="61"/>
      <c r="Z5860" s="61"/>
      <c r="AA5860" s="61"/>
      <c r="AB5860" s="61"/>
      <c r="AC5860" s="61"/>
      <c r="AD5860" s="61"/>
      <c r="AE5860" s="61"/>
      <c r="AF5860" s="61"/>
      <c r="AG5860" s="61"/>
      <c r="AH5860" s="61"/>
      <c r="AI5860" s="61"/>
      <c r="AJ5860" s="61"/>
      <c r="AK5860" s="61"/>
      <c r="AL5860" s="61"/>
      <c r="AM5860" s="61"/>
      <c r="AN5860" s="61"/>
      <c r="AO5860" s="61"/>
    </row>
    <row r="5861" spans="1:41" s="108" customFormat="1" x14ac:dyDescent="0.25">
      <c r="A5861" s="358"/>
      <c r="B5861" s="361"/>
      <c r="C5861" s="194"/>
      <c r="D5861" s="355" t="s">
        <v>5</v>
      </c>
      <c r="E5861" s="355"/>
      <c r="F5861" s="355"/>
      <c r="G5861" s="355"/>
      <c r="H5861" s="195"/>
      <c r="I5861" s="159"/>
      <c r="J5861" s="195"/>
      <c r="K5861" s="161"/>
      <c r="L5861" s="196"/>
      <c r="M5861" s="197"/>
      <c r="N5861" s="278"/>
      <c r="O5861" s="279">
        <f>O5862+O5871+O5882+O5884+O5895+O5891</f>
        <v>33.887025312199995</v>
      </c>
      <c r="P5861" s="166"/>
      <c r="Q5861" s="166">
        <f t="shared" si="1547"/>
        <v>0</v>
      </c>
      <c r="R5861" s="71"/>
      <c r="S5861" s="61"/>
      <c r="T5861" s="61"/>
      <c r="U5861" s="61"/>
      <c r="V5861" s="61"/>
      <c r="W5861" s="61"/>
      <c r="X5861" s="61"/>
      <c r="Y5861" s="61"/>
      <c r="Z5861" s="61"/>
      <c r="AA5861" s="61"/>
      <c r="AB5861" s="61"/>
      <c r="AC5861" s="61"/>
      <c r="AD5861" s="61"/>
      <c r="AE5861" s="61"/>
      <c r="AF5861" s="61"/>
      <c r="AG5861" s="61"/>
      <c r="AH5861" s="61"/>
      <c r="AI5861" s="61"/>
      <c r="AJ5861" s="61"/>
      <c r="AK5861" s="61"/>
      <c r="AL5861" s="61"/>
      <c r="AM5861" s="61"/>
      <c r="AN5861" s="61"/>
      <c r="AO5861" s="61"/>
    </row>
    <row r="5862" spans="1:41" s="108" customFormat="1" x14ac:dyDescent="0.25">
      <c r="A5862" s="358"/>
      <c r="B5862" s="361"/>
      <c r="C5862" s="221" t="s">
        <v>70</v>
      </c>
      <c r="D5862" s="355" t="s">
        <v>6</v>
      </c>
      <c r="E5862" s="355"/>
      <c r="F5862" s="355"/>
      <c r="G5862" s="355"/>
      <c r="H5862" s="189"/>
      <c r="I5862" s="159"/>
      <c r="J5862" s="189"/>
      <c r="K5862" s="161"/>
      <c r="L5862" s="190"/>
      <c r="M5862" s="197"/>
      <c r="N5862" s="278"/>
      <c r="O5862" s="279">
        <f>O5863+O5864+O5865+O5866+O5867+O5868+O5869</f>
        <v>6.3379430000000001</v>
      </c>
      <c r="P5862" s="166"/>
      <c r="Q5862" s="166">
        <f t="shared" si="1547"/>
        <v>0</v>
      </c>
      <c r="R5862" s="71"/>
      <c r="S5862" s="61"/>
      <c r="T5862" s="61"/>
      <c r="U5862" s="61"/>
      <c r="V5862" s="61"/>
      <c r="W5862" s="61"/>
      <c r="X5862" s="61"/>
      <c r="Y5862" s="61"/>
      <c r="Z5862" s="61"/>
      <c r="AA5862" s="61"/>
      <c r="AB5862" s="61"/>
      <c r="AC5862" s="61"/>
      <c r="AD5862" s="61"/>
      <c r="AE5862" s="61"/>
      <c r="AF5862" s="61"/>
      <c r="AG5862" s="61"/>
      <c r="AH5862" s="61"/>
      <c r="AI5862" s="61"/>
      <c r="AJ5862" s="61"/>
      <c r="AK5862" s="61"/>
      <c r="AL5862" s="61"/>
      <c r="AM5862" s="61"/>
      <c r="AN5862" s="61"/>
      <c r="AO5862" s="61"/>
    </row>
    <row r="5863" spans="1:41" s="61" customFormat="1" ht="31.5" x14ac:dyDescent="0.25">
      <c r="A5863" s="358"/>
      <c r="B5863" s="361"/>
      <c r="C5863" s="221" t="s">
        <v>72</v>
      </c>
      <c r="D5863" s="222" t="s">
        <v>7</v>
      </c>
      <c r="E5863" s="223" t="s">
        <v>8</v>
      </c>
      <c r="F5863" s="223" t="s">
        <v>8</v>
      </c>
      <c r="G5863" s="238">
        <f t="shared" ref="G5863:G5869" si="1548">MROUND(H5863*L5863*I5863/K5863,0.00000000001)</f>
        <v>0.11206644445</v>
      </c>
      <c r="H5863" s="160">
        <f>H5451</f>
        <v>113060.13705633247</v>
      </c>
      <c r="I5863" s="282">
        <f>I5855</f>
        <v>8.2214999999999996E-2</v>
      </c>
      <c r="J5863" s="160"/>
      <c r="K5863" s="161">
        <f>K5855</f>
        <v>82944</v>
      </c>
      <c r="L5863" s="250">
        <v>1</v>
      </c>
      <c r="M5863" s="163" t="str">
        <f>CONCATENATE(H5863," ",F5863,"(лимиты выделенные УЖКХ) ","*",I5863,"/",K5863,"чел/час")</f>
        <v>113060,137056332 кВт час.(лимиты выделенные УЖКХ) *0,082215/82944чел/час</v>
      </c>
      <c r="N5863" s="278">
        <f>N5451</f>
        <v>10.942938264647223</v>
      </c>
      <c r="O5863" s="280">
        <f>MROUND(N5863*G5863,0.000001)</f>
        <v>1.2263359999999999</v>
      </c>
      <c r="P5863" s="166"/>
      <c r="Q5863" s="166">
        <f t="shared" si="1547"/>
        <v>101717.21318399999</v>
      </c>
      <c r="R5863" s="71"/>
    </row>
    <row r="5864" spans="1:41" s="61" customFormat="1" ht="31.5" x14ac:dyDescent="0.25">
      <c r="A5864" s="358"/>
      <c r="B5864" s="361"/>
      <c r="C5864" s="221" t="s">
        <v>73</v>
      </c>
      <c r="D5864" s="222" t="s">
        <v>9</v>
      </c>
      <c r="E5864" s="223" t="s">
        <v>10</v>
      </c>
      <c r="F5864" s="223" t="s">
        <v>10</v>
      </c>
      <c r="G5864" s="238">
        <f t="shared" si="1548"/>
        <v>1.3817480499999999E-3</v>
      </c>
      <c r="H5864" s="160">
        <f>H5452</f>
        <v>1394</v>
      </c>
      <c r="I5864" s="159">
        <f t="shared" ref="I5864:I5869" si="1549">I5863</f>
        <v>8.2214999999999996E-2</v>
      </c>
      <c r="J5864" s="160"/>
      <c r="K5864" s="161">
        <f t="shared" ref="K5864:K5869" si="1550">K5863</f>
        <v>82944</v>
      </c>
      <c r="L5864" s="250">
        <v>1</v>
      </c>
      <c r="M5864" s="163" t="str">
        <f>CONCATENATE(H5864," ",F5864,"(лимиты выделенные УЖКХ) ","*",I5864,"/",K5864,"чел/час")</f>
        <v>1394 Гкал(лимиты выделенные УЖКХ) *0,082215/82944чел/час</v>
      </c>
      <c r="N5864" s="278">
        <f>N5556</f>
        <v>2976.2517790530851</v>
      </c>
      <c r="O5864" s="280">
        <f t="shared" ref="O5864:O5869" si="1551">MROUND(N5864*G5864,0.000001)</f>
        <v>4.1124299999999998</v>
      </c>
      <c r="P5864" s="166"/>
      <c r="Q5864" s="166">
        <f t="shared" si="1547"/>
        <v>341101.39392</v>
      </c>
      <c r="R5864" s="71"/>
    </row>
    <row r="5865" spans="1:41" s="61" customFormat="1" ht="31.5" x14ac:dyDescent="0.25">
      <c r="A5865" s="358"/>
      <c r="B5865" s="361"/>
      <c r="C5865" s="364" t="s">
        <v>74</v>
      </c>
      <c r="D5865" s="222" t="s">
        <v>12</v>
      </c>
      <c r="E5865" s="222" t="s">
        <v>11</v>
      </c>
      <c r="F5865" s="222" t="s">
        <v>11</v>
      </c>
      <c r="G5865" s="238">
        <f t="shared" si="1548"/>
        <v>4.0055924299999997E-3</v>
      </c>
      <c r="H5865" s="224">
        <f>H5453</f>
        <v>4041.1099999999997</v>
      </c>
      <c r="I5865" s="159">
        <f t="shared" si="1549"/>
        <v>8.2214999999999996E-2</v>
      </c>
      <c r="J5865" s="160"/>
      <c r="K5865" s="161">
        <f t="shared" si="1550"/>
        <v>82944</v>
      </c>
      <c r="L5865" s="250">
        <v>1</v>
      </c>
      <c r="M5865" s="163" t="str">
        <f>CONCATENATE(H5865," ",F5865,"(лимиты выделенные УЖКХ) ","*",I5865,"/",K5865,"чел/час")</f>
        <v>4041,11 м3(лимиты выделенные УЖКХ) *0,082215/82944чел/час</v>
      </c>
      <c r="N5865" s="278">
        <f>N5453</f>
        <v>54.214180014896904</v>
      </c>
      <c r="O5865" s="280">
        <f t="shared" si="1551"/>
        <v>0.21715999999999999</v>
      </c>
      <c r="P5865" s="166"/>
      <c r="Q5865" s="166">
        <f t="shared" si="1547"/>
        <v>18012.119039999998</v>
      </c>
      <c r="R5865" s="71"/>
    </row>
    <row r="5866" spans="1:41" s="61" customFormat="1" ht="47.25" x14ac:dyDescent="0.25">
      <c r="A5866" s="358"/>
      <c r="B5866" s="361"/>
      <c r="C5866" s="364"/>
      <c r="D5866" s="222" t="s">
        <v>17</v>
      </c>
      <c r="E5866" s="222" t="s">
        <v>11</v>
      </c>
      <c r="F5866" s="222" t="s">
        <v>11</v>
      </c>
      <c r="G5866" s="238">
        <f t="shared" si="1548"/>
        <v>4.0055924299999997E-3</v>
      </c>
      <c r="H5866" s="160">
        <f>H5558</f>
        <v>4041.1099999999997</v>
      </c>
      <c r="I5866" s="159">
        <f t="shared" si="1549"/>
        <v>8.2214999999999996E-2</v>
      </c>
      <c r="J5866" s="160"/>
      <c r="K5866" s="161">
        <f t="shared" si="1550"/>
        <v>82944</v>
      </c>
      <c r="L5866" s="162">
        <f>$L$25</f>
        <v>1</v>
      </c>
      <c r="M5866" s="163" t="str">
        <f>CONCATENATE(H5866," ",F5866,"(лимиты выделенные УЖКХ) ","*",I5866,"/",K5866,"чел/час")</f>
        <v>4041,11 м3(лимиты выделенные УЖКХ) *0,082215/82944чел/час</v>
      </c>
      <c r="N5866" s="164">
        <f>N5454</f>
        <v>82.384170780821918</v>
      </c>
      <c r="O5866" s="280">
        <f t="shared" si="1551"/>
        <v>0.32999699999999998</v>
      </c>
      <c r="P5866" s="166"/>
      <c r="Q5866" s="166">
        <f t="shared" si="1547"/>
        <v>27371.271167999999</v>
      </c>
      <c r="R5866" s="71"/>
    </row>
    <row r="5867" spans="1:41" s="61" customFormat="1" ht="31.5" x14ac:dyDescent="0.25">
      <c r="A5867" s="358"/>
      <c r="B5867" s="361"/>
      <c r="C5867" s="364"/>
      <c r="D5867" s="222" t="s">
        <v>13</v>
      </c>
      <c r="E5867" s="222" t="s">
        <v>11</v>
      </c>
      <c r="F5867" s="222" t="s">
        <v>11</v>
      </c>
      <c r="G5867" s="238">
        <f t="shared" si="1548"/>
        <v>4.0055924299999997E-3</v>
      </c>
      <c r="H5867" s="160">
        <f>H5455</f>
        <v>4041.1099999999997</v>
      </c>
      <c r="I5867" s="159">
        <f t="shared" si="1549"/>
        <v>8.2214999999999996E-2</v>
      </c>
      <c r="J5867" s="160"/>
      <c r="K5867" s="161">
        <f t="shared" si="1550"/>
        <v>82944</v>
      </c>
      <c r="L5867" s="162">
        <v>1</v>
      </c>
      <c r="M5867" s="163" t="str">
        <f>CONCATENATE(H5867," ",F5867,"(лимиты выделенные УЖКХ) ","*",I5867,"/",K5867,"чел/час")</f>
        <v>4041,11 м3(лимиты выделенные УЖКХ) *0,082215/82944чел/час</v>
      </c>
      <c r="N5867" s="278">
        <f>N5455</f>
        <v>100.60427670019196</v>
      </c>
      <c r="O5867" s="280">
        <f t="shared" si="1551"/>
        <v>0.40298</v>
      </c>
      <c r="P5867" s="166"/>
      <c r="Q5867" s="166">
        <f t="shared" si="1547"/>
        <v>33424.773119999998</v>
      </c>
      <c r="R5867" s="71"/>
    </row>
    <row r="5868" spans="1:41" s="61" customFormat="1" x14ac:dyDescent="0.25">
      <c r="A5868" s="358"/>
      <c r="B5868" s="361"/>
      <c r="C5868" s="364" t="s">
        <v>216</v>
      </c>
      <c r="D5868" s="222" t="s">
        <v>23</v>
      </c>
      <c r="E5868" s="222" t="s">
        <v>11</v>
      </c>
      <c r="F5868" s="222" t="s">
        <v>11</v>
      </c>
      <c r="G5868" s="238">
        <f t="shared" si="1548"/>
        <v>2.4760449999999998E-5</v>
      </c>
      <c r="H5868" s="160">
        <f>H5456</f>
        <v>24.979999999999997</v>
      </c>
      <c r="I5868" s="159">
        <f t="shared" si="1549"/>
        <v>8.2214999999999996E-2</v>
      </c>
      <c r="J5868" s="160"/>
      <c r="K5868" s="161">
        <f t="shared" si="1550"/>
        <v>82944</v>
      </c>
      <c r="L5868" s="162">
        <v>1</v>
      </c>
      <c r="M5868" s="163" t="str">
        <f>CONCATENATE(H5868," ",F5868," ","*",I5868,"/",K5868,"чел/час")</f>
        <v>24,98 м3 *0,082215/82944чел/час</v>
      </c>
      <c r="N5868" s="164">
        <f>N5456</f>
        <v>776.35588470776622</v>
      </c>
      <c r="O5868" s="280">
        <f t="shared" si="1551"/>
        <v>1.9223000000000001E-2</v>
      </c>
      <c r="P5868" s="166"/>
      <c r="Q5868" s="166">
        <f t="shared" si="1547"/>
        <v>1594.4325120000001</v>
      </c>
      <c r="R5868" s="71"/>
    </row>
    <row r="5869" spans="1:41" s="61" customFormat="1" ht="63" x14ac:dyDescent="0.25">
      <c r="A5869" s="358"/>
      <c r="B5869" s="361"/>
      <c r="C5869" s="364"/>
      <c r="D5869" s="222" t="s">
        <v>24</v>
      </c>
      <c r="E5869" s="222" t="s">
        <v>25</v>
      </c>
      <c r="F5869" s="222" t="s">
        <v>248</v>
      </c>
      <c r="G5869" s="238">
        <f t="shared" si="1548"/>
        <v>4.9560499999999998E-6</v>
      </c>
      <c r="H5869" s="160">
        <f>H5457</f>
        <v>5</v>
      </c>
      <c r="I5869" s="159">
        <f t="shared" si="1549"/>
        <v>8.2214999999999996E-2</v>
      </c>
      <c r="J5869" s="160"/>
      <c r="K5869" s="161">
        <f t="shared" si="1550"/>
        <v>82944</v>
      </c>
      <c r="L5869" s="250">
        <v>1</v>
      </c>
      <c r="M5869" s="163" t="str">
        <f>CONCATENATE(H5869," ",F5869,"(потребность из расчета 4 контейнера для уборки территории весной и осенью на 1 учреждение)","*",I5869,"/",K5869,"чел/час")</f>
        <v>5 контейнеров(потребность из расчета 4 контейнера для уборки территории весной и осенью на 1 учреждение)*0,082215/82944чел/час</v>
      </c>
      <c r="N5869" s="278">
        <f>N5457</f>
        <v>6016.38</v>
      </c>
      <c r="O5869" s="280">
        <f t="shared" si="1551"/>
        <v>2.9817E-2</v>
      </c>
      <c r="P5869" s="166"/>
      <c r="Q5869" s="166">
        <f t="shared" si="1547"/>
        <v>2473.1412479999999</v>
      </c>
      <c r="R5869" s="71"/>
    </row>
    <row r="5870" spans="1:41" s="109" customFormat="1" x14ac:dyDescent="0.25">
      <c r="A5870" s="358"/>
      <c r="B5870" s="361"/>
      <c r="C5870" s="218" t="s">
        <v>290</v>
      </c>
      <c r="D5870" s="226"/>
      <c r="E5870" s="226"/>
      <c r="F5870" s="226"/>
      <c r="G5870" s="227"/>
      <c r="H5870" s="228"/>
      <c r="I5870" s="206"/>
      <c r="J5870" s="228"/>
      <c r="K5870" s="207"/>
      <c r="L5870" s="257"/>
      <c r="M5870" s="209"/>
      <c r="N5870" s="281"/>
      <c r="O5870" s="279">
        <f>SUM(O5863:O5869)</f>
        <v>6.3379430000000001</v>
      </c>
      <c r="P5870" s="267"/>
      <c r="Q5870" s="166"/>
      <c r="R5870" s="71"/>
      <c r="S5870" s="62"/>
      <c r="T5870" s="62"/>
      <c r="U5870" s="62"/>
      <c r="V5870" s="62"/>
      <c r="W5870" s="62"/>
      <c r="X5870" s="62"/>
      <c r="Y5870" s="62"/>
      <c r="Z5870" s="62"/>
      <c r="AA5870" s="62"/>
      <c r="AB5870" s="62"/>
      <c r="AC5870" s="62"/>
      <c r="AD5870" s="62"/>
      <c r="AE5870" s="62"/>
      <c r="AF5870" s="62"/>
      <c r="AG5870" s="62"/>
      <c r="AH5870" s="62"/>
      <c r="AI5870" s="62"/>
      <c r="AJ5870" s="62"/>
      <c r="AK5870" s="62"/>
      <c r="AL5870" s="62"/>
      <c r="AM5870" s="62"/>
      <c r="AN5870" s="62"/>
      <c r="AO5870" s="62"/>
    </row>
    <row r="5871" spans="1:41" s="108" customFormat="1" x14ac:dyDescent="0.25">
      <c r="A5871" s="358"/>
      <c r="B5871" s="361"/>
      <c r="C5871" s="221"/>
      <c r="D5871" s="356" t="s">
        <v>14</v>
      </c>
      <c r="E5871" s="356"/>
      <c r="F5871" s="356"/>
      <c r="G5871" s="356"/>
      <c r="H5871" s="188"/>
      <c r="I5871" s="159"/>
      <c r="J5871" s="188"/>
      <c r="K5871" s="161"/>
      <c r="L5871" s="250"/>
      <c r="M5871" s="230"/>
      <c r="N5871" s="278"/>
      <c r="O5871" s="279">
        <f>O5875+O5879+O5880</f>
        <v>23.412402544999999</v>
      </c>
      <c r="P5871" s="166"/>
      <c r="Q5871" s="166">
        <f>O5871*K5871</f>
        <v>0</v>
      </c>
      <c r="R5871" s="71"/>
      <c r="S5871" s="61"/>
      <c r="T5871" s="61"/>
      <c r="U5871" s="61"/>
      <c r="V5871" s="61"/>
      <c r="W5871" s="61"/>
      <c r="X5871" s="61"/>
      <c r="Y5871" s="61"/>
      <c r="Z5871" s="61"/>
      <c r="AA5871" s="61"/>
      <c r="AB5871" s="61"/>
      <c r="AC5871" s="61"/>
      <c r="AD5871" s="61"/>
      <c r="AE5871" s="61"/>
      <c r="AF5871" s="61"/>
      <c r="AG5871" s="61"/>
      <c r="AH5871" s="61"/>
      <c r="AI5871" s="61"/>
      <c r="AJ5871" s="61"/>
      <c r="AK5871" s="61"/>
      <c r="AL5871" s="61"/>
      <c r="AM5871" s="61"/>
      <c r="AN5871" s="61"/>
      <c r="AO5871" s="61"/>
    </row>
    <row r="5872" spans="1:41" s="61" customFormat="1" x14ac:dyDescent="0.25">
      <c r="A5872" s="358"/>
      <c r="B5872" s="361"/>
      <c r="C5872" s="221" t="s">
        <v>379</v>
      </c>
      <c r="D5872" s="231" t="s">
        <v>49</v>
      </c>
      <c r="E5872" s="231" t="s">
        <v>22</v>
      </c>
      <c r="F5872" s="231" t="s">
        <v>22</v>
      </c>
      <c r="G5872" s="238">
        <f>MROUND(H5872*L5872*I5872/K5872,0.00000000001)</f>
        <v>0</v>
      </c>
      <c r="H5872" s="160"/>
      <c r="I5872" s="159">
        <f>I5867</f>
        <v>8.2214999999999996E-2</v>
      </c>
      <c r="J5872" s="160"/>
      <c r="K5872" s="161">
        <f>K5867</f>
        <v>82944</v>
      </c>
      <c r="L5872" s="250">
        <v>1</v>
      </c>
      <c r="M5872" s="163"/>
      <c r="N5872" s="278"/>
      <c r="O5872" s="280">
        <f>MROUND(N5872*G5872,0.000000001)</f>
        <v>0</v>
      </c>
      <c r="P5872" s="166"/>
      <c r="Q5872" s="166">
        <f>O5872*K5872</f>
        <v>0</v>
      </c>
      <c r="R5872" s="71"/>
    </row>
    <row r="5873" spans="1:41" s="61" customFormat="1" x14ac:dyDescent="0.25">
      <c r="A5873" s="358"/>
      <c r="B5873" s="361"/>
      <c r="C5873" s="221" t="s">
        <v>379</v>
      </c>
      <c r="D5873" s="231" t="s">
        <v>49</v>
      </c>
      <c r="E5873" s="231" t="s">
        <v>28</v>
      </c>
      <c r="F5873" s="231" t="s">
        <v>28</v>
      </c>
      <c r="G5873" s="238">
        <f>MROUND(H5873*L5873*I5873/K5873,0.00000000001)</f>
        <v>0</v>
      </c>
      <c r="H5873" s="160"/>
      <c r="I5873" s="159">
        <f>I5872</f>
        <v>8.2214999999999996E-2</v>
      </c>
      <c r="J5873" s="160"/>
      <c r="K5873" s="161">
        <f>K5872</f>
        <v>82944</v>
      </c>
      <c r="L5873" s="250">
        <v>1</v>
      </c>
      <c r="M5873" s="163"/>
      <c r="N5873" s="278"/>
      <c r="O5873" s="280">
        <f>MROUND(N5873*G5873,0.000000001)</f>
        <v>0</v>
      </c>
      <c r="P5873" s="166"/>
      <c r="Q5873" s="166">
        <f>O5873*K5873</f>
        <v>0</v>
      </c>
      <c r="R5873" s="71"/>
    </row>
    <row r="5874" spans="1:41" s="61" customFormat="1" x14ac:dyDescent="0.25">
      <c r="A5874" s="358"/>
      <c r="B5874" s="361"/>
      <c r="C5874" s="221" t="s">
        <v>379</v>
      </c>
      <c r="D5874" s="231" t="s">
        <v>49</v>
      </c>
      <c r="E5874" s="231" t="s">
        <v>101</v>
      </c>
      <c r="F5874" s="231" t="s">
        <v>101</v>
      </c>
      <c r="G5874" s="238">
        <f>MROUND(H5874*L5874*I5874/K5874,0.00000000001)</f>
        <v>0</v>
      </c>
      <c r="H5874" s="160"/>
      <c r="I5874" s="159">
        <f>I5872</f>
        <v>8.2214999999999996E-2</v>
      </c>
      <c r="J5874" s="160"/>
      <c r="K5874" s="161">
        <f>K5872</f>
        <v>82944</v>
      </c>
      <c r="L5874" s="250">
        <v>1</v>
      </c>
      <c r="M5874" s="163"/>
      <c r="N5874" s="278"/>
      <c r="O5874" s="280">
        <f>MROUND(N5874*G5874,0.000001)</f>
        <v>0</v>
      </c>
      <c r="P5874" s="166"/>
      <c r="Q5874" s="166">
        <f>O5874*K5874</f>
        <v>0</v>
      </c>
      <c r="R5874" s="71"/>
    </row>
    <row r="5875" spans="1:41" s="109" customFormat="1" x14ac:dyDescent="0.25">
      <c r="A5875" s="358"/>
      <c r="B5875" s="361"/>
      <c r="C5875" s="218" t="s">
        <v>380</v>
      </c>
      <c r="D5875" s="232"/>
      <c r="E5875" s="232"/>
      <c r="F5875" s="232"/>
      <c r="G5875" s="227"/>
      <c r="H5875" s="228"/>
      <c r="I5875" s="206"/>
      <c r="J5875" s="228"/>
      <c r="K5875" s="207"/>
      <c r="L5875" s="257"/>
      <c r="M5875" s="209"/>
      <c r="N5875" s="281"/>
      <c r="O5875" s="279">
        <f>SUM(O5872:O5874)</f>
        <v>0</v>
      </c>
      <c r="P5875" s="267"/>
      <c r="Q5875" s="166"/>
      <c r="R5875" s="72"/>
      <c r="S5875" s="62"/>
      <c r="T5875" s="62"/>
      <c r="U5875" s="62"/>
      <c r="V5875" s="62"/>
      <c r="W5875" s="62"/>
      <c r="X5875" s="62"/>
      <c r="Y5875" s="62"/>
      <c r="Z5875" s="62"/>
      <c r="AA5875" s="62"/>
      <c r="AB5875" s="62"/>
      <c r="AC5875" s="62"/>
      <c r="AD5875" s="62"/>
      <c r="AE5875" s="62"/>
      <c r="AF5875" s="62"/>
      <c r="AG5875" s="62"/>
      <c r="AH5875" s="62"/>
      <c r="AI5875" s="62"/>
      <c r="AJ5875" s="62"/>
      <c r="AK5875" s="62"/>
      <c r="AL5875" s="62"/>
      <c r="AM5875" s="62"/>
      <c r="AN5875" s="62"/>
      <c r="AO5875" s="62"/>
    </row>
    <row r="5876" spans="1:41" s="61" customFormat="1" x14ac:dyDescent="0.25">
      <c r="A5876" s="358"/>
      <c r="B5876" s="361"/>
      <c r="C5876" s="221" t="s">
        <v>76</v>
      </c>
      <c r="D5876" s="231" t="s">
        <v>49</v>
      </c>
      <c r="E5876" s="231" t="s">
        <v>22</v>
      </c>
      <c r="F5876" s="231" t="s">
        <v>22</v>
      </c>
      <c r="G5876" s="238">
        <f>MROUND(H5876*L5876*I5876/K5876,0.00000000001)</f>
        <v>9.8526367199999985E-3</v>
      </c>
      <c r="H5876" s="160">
        <f>H5464</f>
        <v>9940</v>
      </c>
      <c r="I5876" s="159">
        <f>I5874</f>
        <v>8.2214999999999996E-2</v>
      </c>
      <c r="J5876" s="160"/>
      <c r="K5876" s="161">
        <f>K5874</f>
        <v>82944</v>
      </c>
      <c r="L5876" s="250">
        <v>1</v>
      </c>
      <c r="M5876" s="163" t="str">
        <f>CONCATENATE(H5876," ",F5876,"*",I5876,"/",K5876,"чел/час")</f>
        <v>9940 м2*0,082215/82944чел/час</v>
      </c>
      <c r="N5876" s="278">
        <f>N5464</f>
        <v>1444.6680080482897</v>
      </c>
      <c r="O5876" s="280">
        <f>MROUND(N5876*G5876,0.000000001)</f>
        <v>14.233789064000002</v>
      </c>
      <c r="P5876" s="166"/>
      <c r="Q5876" s="166">
        <f>O5876*K5876</f>
        <v>1180607.4001244162</v>
      </c>
      <c r="R5876" s="71"/>
    </row>
    <row r="5877" spans="1:41" s="61" customFormat="1" x14ac:dyDescent="0.25">
      <c r="A5877" s="358"/>
      <c r="B5877" s="361"/>
      <c r="C5877" s="221"/>
      <c r="D5877" s="231" t="s">
        <v>49</v>
      </c>
      <c r="E5877" s="231" t="s">
        <v>28</v>
      </c>
      <c r="F5877" s="231" t="s">
        <v>28</v>
      </c>
      <c r="G5877" s="238">
        <f>MROUND(H5877*L5877*I5877/K5877,0.00000000001)</f>
        <v>4.2622069999999998E-5</v>
      </c>
      <c r="H5877" s="160">
        <f>H5465</f>
        <v>43</v>
      </c>
      <c r="I5877" s="159">
        <f>I5876</f>
        <v>8.2214999999999996E-2</v>
      </c>
      <c r="J5877" s="160"/>
      <c r="K5877" s="161">
        <f>K5876</f>
        <v>82944</v>
      </c>
      <c r="L5877" s="250">
        <v>1</v>
      </c>
      <c r="M5877" s="163" t="str">
        <f>CONCATENATE(H5877," ",F5877,"*",I5877,"/",K5877,"чел/час")</f>
        <v>43 шт*0,082215/82944чел/час</v>
      </c>
      <c r="N5877" s="278">
        <f>N5465</f>
        <v>109534.88372093023</v>
      </c>
      <c r="O5877" s="280">
        <f>MROUND(N5877*G5877,0.000000001)</f>
        <v>4.6686034809999999</v>
      </c>
      <c r="P5877" s="166"/>
      <c r="Q5877" s="166">
        <f>O5877*K5877</f>
        <v>387232.64712806401</v>
      </c>
      <c r="R5877" s="71"/>
    </row>
    <row r="5878" spans="1:41" s="61" customFormat="1" x14ac:dyDescent="0.25">
      <c r="A5878" s="358"/>
      <c r="B5878" s="361"/>
      <c r="C5878" s="221"/>
      <c r="D5878" s="231" t="s">
        <v>49</v>
      </c>
      <c r="E5878" s="231" t="s">
        <v>101</v>
      </c>
      <c r="F5878" s="231" t="s">
        <v>101</v>
      </c>
      <c r="G5878" s="238">
        <f>MROUND(H5878*L5878*I5878/K5878,0.00000000001)</f>
        <v>1.8040039099999998E-3</v>
      </c>
      <c r="H5878" s="160">
        <f>H5466</f>
        <v>1820</v>
      </c>
      <c r="I5878" s="159">
        <f>I5876</f>
        <v>8.2214999999999996E-2</v>
      </c>
      <c r="J5878" s="160"/>
      <c r="K5878" s="161">
        <f>K5876</f>
        <v>82944</v>
      </c>
      <c r="L5878" s="250">
        <v>1</v>
      </c>
      <c r="M5878" s="163" t="str">
        <f>CONCATENATE(H5878," ",F5878,"*",I5878,"/",K5878,"чел/час")</f>
        <v>1820 погон.м.*0,082215/82944чел/час</v>
      </c>
      <c r="N5878" s="278">
        <f>N5466</f>
        <v>2500</v>
      </c>
      <c r="O5878" s="280">
        <f>MROUND(N5878*G5878,0.000001)</f>
        <v>4.5100099999999994</v>
      </c>
      <c r="P5878" s="166"/>
      <c r="Q5878" s="166">
        <f>O5878*K5878</f>
        <v>374078.26943999995</v>
      </c>
      <c r="R5878" s="71"/>
    </row>
    <row r="5879" spans="1:41" s="109" customFormat="1" x14ac:dyDescent="0.25">
      <c r="A5879" s="358"/>
      <c r="B5879" s="361"/>
      <c r="C5879" s="218" t="s">
        <v>291</v>
      </c>
      <c r="D5879" s="232"/>
      <c r="E5879" s="232"/>
      <c r="F5879" s="232"/>
      <c r="G5879" s="227"/>
      <c r="H5879" s="228"/>
      <c r="I5879" s="206"/>
      <c r="J5879" s="228"/>
      <c r="K5879" s="207"/>
      <c r="L5879" s="257"/>
      <c r="M5879" s="209"/>
      <c r="N5879" s="281"/>
      <c r="O5879" s="279">
        <f>SUM(O5876:O5878)</f>
        <v>23.412402544999999</v>
      </c>
      <c r="P5879" s="267"/>
      <c r="Q5879" s="166"/>
      <c r="R5879" s="72"/>
      <c r="S5879" s="62"/>
      <c r="T5879" s="62"/>
      <c r="U5879" s="62"/>
      <c r="V5879" s="62"/>
      <c r="W5879" s="62"/>
      <c r="X5879" s="62"/>
      <c r="Y5879" s="62"/>
      <c r="Z5879" s="62"/>
      <c r="AA5879" s="62"/>
      <c r="AB5879" s="62"/>
      <c r="AC5879" s="62"/>
      <c r="AD5879" s="62"/>
      <c r="AE5879" s="62"/>
      <c r="AF5879" s="62"/>
      <c r="AG5879" s="62"/>
      <c r="AH5879" s="62"/>
      <c r="AI5879" s="62"/>
      <c r="AJ5879" s="62"/>
      <c r="AK5879" s="62"/>
      <c r="AL5879" s="62"/>
      <c r="AM5879" s="62"/>
      <c r="AN5879" s="62"/>
      <c r="AO5879" s="62"/>
    </row>
    <row r="5880" spans="1:41" s="61" customFormat="1" x14ac:dyDescent="0.25">
      <c r="A5880" s="358"/>
      <c r="B5880" s="361"/>
      <c r="C5880" s="221" t="s">
        <v>77</v>
      </c>
      <c r="D5880" s="231"/>
      <c r="E5880" s="231"/>
      <c r="F5880" s="231"/>
      <c r="G5880" s="238">
        <f>MROUND(H5880*L5880*I5880/K5880,0.00000000001)</f>
        <v>0</v>
      </c>
      <c r="H5880" s="160"/>
      <c r="I5880" s="159">
        <f>I5878</f>
        <v>8.2214999999999996E-2</v>
      </c>
      <c r="J5880" s="160"/>
      <c r="K5880" s="161">
        <f>K5878</f>
        <v>82944</v>
      </c>
      <c r="L5880" s="250"/>
      <c r="M5880" s="163"/>
      <c r="N5880" s="278"/>
      <c r="O5880" s="280">
        <f>MROUND(N5880*G5880,0.000001)</f>
        <v>0</v>
      </c>
      <c r="P5880" s="166"/>
      <c r="Q5880" s="166">
        <f>O5880*K5880</f>
        <v>0</v>
      </c>
      <c r="R5880" s="71"/>
    </row>
    <row r="5881" spans="1:41" s="109" customFormat="1" x14ac:dyDescent="0.25">
      <c r="A5881" s="358"/>
      <c r="B5881" s="361"/>
      <c r="C5881" s="218" t="s">
        <v>292</v>
      </c>
      <c r="D5881" s="232"/>
      <c r="E5881" s="232"/>
      <c r="F5881" s="232"/>
      <c r="G5881" s="227"/>
      <c r="H5881" s="228"/>
      <c r="I5881" s="206"/>
      <c r="J5881" s="228"/>
      <c r="K5881" s="207"/>
      <c r="L5881" s="257"/>
      <c r="M5881" s="209"/>
      <c r="N5881" s="281"/>
      <c r="O5881" s="279">
        <f>O5880</f>
        <v>0</v>
      </c>
      <c r="P5881" s="267"/>
      <c r="Q5881" s="166"/>
      <c r="R5881" s="72"/>
      <c r="S5881" s="62"/>
      <c r="T5881" s="62"/>
      <c r="U5881" s="62"/>
      <c r="V5881" s="62"/>
      <c r="W5881" s="62"/>
      <c r="X5881" s="62"/>
      <c r="Y5881" s="62"/>
      <c r="Z5881" s="62"/>
      <c r="AA5881" s="62"/>
      <c r="AB5881" s="62"/>
      <c r="AC5881" s="62"/>
      <c r="AD5881" s="62"/>
      <c r="AE5881" s="62"/>
      <c r="AF5881" s="62"/>
      <c r="AG5881" s="62"/>
      <c r="AH5881" s="62"/>
      <c r="AI5881" s="62"/>
      <c r="AJ5881" s="62"/>
      <c r="AK5881" s="62"/>
      <c r="AL5881" s="62"/>
      <c r="AM5881" s="62"/>
      <c r="AN5881" s="62"/>
      <c r="AO5881" s="62"/>
    </row>
    <row r="5882" spans="1:41" s="108" customFormat="1" x14ac:dyDescent="0.25">
      <c r="A5882" s="358"/>
      <c r="B5882" s="361"/>
      <c r="C5882" s="221"/>
      <c r="D5882" s="350" t="s">
        <v>65</v>
      </c>
      <c r="E5882" s="350"/>
      <c r="F5882" s="350"/>
      <c r="G5882" s="350"/>
      <c r="H5882" s="195"/>
      <c r="I5882" s="159"/>
      <c r="J5882" s="195"/>
      <c r="K5882" s="161"/>
      <c r="L5882" s="196"/>
      <c r="M5882" s="230"/>
      <c r="N5882" s="278"/>
      <c r="O5882" s="280"/>
      <c r="P5882" s="166"/>
      <c r="Q5882" s="166">
        <f t="shared" ref="Q5882:Q5901" si="1552">O5882*K5882</f>
        <v>0</v>
      </c>
      <c r="R5882" s="71"/>
      <c r="S5882" s="61"/>
      <c r="T5882" s="61"/>
      <c r="U5882" s="61"/>
      <c r="V5882" s="61"/>
      <c r="W5882" s="61"/>
      <c r="X5882" s="61"/>
      <c r="Y5882" s="61"/>
      <c r="Z5882" s="61"/>
      <c r="AA5882" s="61"/>
      <c r="AB5882" s="61"/>
      <c r="AC5882" s="61"/>
      <c r="AD5882" s="61"/>
      <c r="AE5882" s="61"/>
      <c r="AF5882" s="61"/>
      <c r="AG5882" s="61"/>
      <c r="AH5882" s="61"/>
      <c r="AI5882" s="61"/>
      <c r="AJ5882" s="61"/>
      <c r="AK5882" s="61"/>
      <c r="AL5882" s="61"/>
      <c r="AM5882" s="61"/>
      <c r="AN5882" s="61"/>
      <c r="AO5882" s="61"/>
    </row>
    <row r="5883" spans="1:41" s="108" customFormat="1" x14ac:dyDescent="0.25">
      <c r="A5883" s="358"/>
      <c r="B5883" s="361"/>
      <c r="C5883" s="221"/>
      <c r="D5883" s="194"/>
      <c r="E5883" s="194"/>
      <c r="F5883" s="194"/>
      <c r="G5883" s="217"/>
      <c r="H5883" s="195"/>
      <c r="I5883" s="159"/>
      <c r="J5883" s="195"/>
      <c r="K5883" s="161"/>
      <c r="L5883" s="196"/>
      <c r="M5883" s="230"/>
      <c r="N5883" s="278"/>
      <c r="O5883" s="280"/>
      <c r="P5883" s="166"/>
      <c r="Q5883" s="166">
        <f t="shared" si="1552"/>
        <v>0</v>
      </c>
      <c r="R5883" s="71"/>
      <c r="S5883" s="61"/>
      <c r="T5883" s="61"/>
      <c r="U5883" s="61"/>
      <c r="V5883" s="61"/>
      <c r="W5883" s="61"/>
      <c r="X5883" s="61"/>
      <c r="Y5883" s="61"/>
      <c r="Z5883" s="61"/>
      <c r="AA5883" s="61"/>
      <c r="AB5883" s="61"/>
      <c r="AC5883" s="61"/>
      <c r="AD5883" s="61"/>
      <c r="AE5883" s="61"/>
      <c r="AF5883" s="61"/>
      <c r="AG5883" s="61"/>
      <c r="AH5883" s="61"/>
      <c r="AI5883" s="61"/>
      <c r="AJ5883" s="61"/>
      <c r="AK5883" s="61"/>
      <c r="AL5883" s="61"/>
      <c r="AM5883" s="61"/>
      <c r="AN5883" s="61"/>
      <c r="AO5883" s="61"/>
    </row>
    <row r="5884" spans="1:41" s="108" customFormat="1" ht="14.25" customHeight="1" x14ac:dyDescent="0.25">
      <c r="A5884" s="358"/>
      <c r="B5884" s="361"/>
      <c r="C5884" s="365" t="s">
        <v>357</v>
      </c>
      <c r="D5884" s="368" t="s">
        <v>66</v>
      </c>
      <c r="E5884" s="368"/>
      <c r="F5884" s="368"/>
      <c r="G5884" s="368"/>
      <c r="H5884" s="195"/>
      <c r="I5884" s="159"/>
      <c r="J5884" s="195"/>
      <c r="K5884" s="161"/>
      <c r="L5884" s="196"/>
      <c r="M5884" s="230"/>
      <c r="N5884" s="278"/>
      <c r="O5884" s="279">
        <f>O5890</f>
        <v>0.46446476720000002</v>
      </c>
      <c r="P5884" s="166"/>
      <c r="Q5884" s="166">
        <f t="shared" si="1552"/>
        <v>0</v>
      </c>
      <c r="R5884" s="71"/>
      <c r="S5884" s="61"/>
      <c r="T5884" s="61"/>
      <c r="U5884" s="61"/>
      <c r="V5884" s="61"/>
      <c r="W5884" s="61"/>
      <c r="X5884" s="61"/>
      <c r="Y5884" s="61"/>
      <c r="Z5884" s="61"/>
      <c r="AA5884" s="61"/>
      <c r="AB5884" s="61"/>
      <c r="AC5884" s="61"/>
      <c r="AD5884" s="61"/>
      <c r="AE5884" s="61"/>
      <c r="AF5884" s="61"/>
      <c r="AG5884" s="61"/>
      <c r="AH5884" s="61"/>
      <c r="AI5884" s="61"/>
      <c r="AJ5884" s="61"/>
      <c r="AK5884" s="61"/>
      <c r="AL5884" s="61"/>
      <c r="AM5884" s="61"/>
      <c r="AN5884" s="61"/>
      <c r="AO5884" s="61"/>
    </row>
    <row r="5885" spans="1:41" s="61" customFormat="1" x14ac:dyDescent="0.25">
      <c r="A5885" s="358"/>
      <c r="B5885" s="361"/>
      <c r="C5885" s="366"/>
      <c r="D5885" s="284" t="s">
        <v>241</v>
      </c>
      <c r="E5885" s="156" t="s">
        <v>28</v>
      </c>
      <c r="F5885" s="156" t="s">
        <v>28</v>
      </c>
      <c r="G5885" s="238">
        <f>MROUND(H5885*L5885*I5885/K5885,0.00000000001)</f>
        <v>2.0220703E-4</v>
      </c>
      <c r="H5885" s="158">
        <f>H5473</f>
        <v>17</v>
      </c>
      <c r="I5885" s="159">
        <f>I5878</f>
        <v>8.2214999999999996E-2</v>
      </c>
      <c r="J5885" s="160"/>
      <c r="K5885" s="161">
        <f>K5878</f>
        <v>82944</v>
      </c>
      <c r="L5885" s="250">
        <v>12</v>
      </c>
      <c r="M5885" s="163" t="str">
        <f>CONCATENATE(H5885," ",F5885,"*",L5885,"мес.","*",I5885,"/",K5885,"чел/час")</f>
        <v>17 шт*12мес.*0,082215/82944чел/час</v>
      </c>
      <c r="N5885" s="278">
        <f>N5473</f>
        <v>342.84676470588238</v>
      </c>
      <c r="O5885" s="280">
        <f>MROUND(N5885*G5885,0.000001)</f>
        <v>6.9325999999999999E-2</v>
      </c>
      <c r="P5885" s="166"/>
      <c r="Q5885" s="166">
        <f t="shared" si="1552"/>
        <v>5750.1757440000001</v>
      </c>
      <c r="R5885" s="71"/>
    </row>
    <row r="5886" spans="1:41" s="61" customFormat="1" x14ac:dyDescent="0.25">
      <c r="A5886" s="358"/>
      <c r="B5886" s="361"/>
      <c r="C5886" s="366"/>
      <c r="D5886" s="284" t="s">
        <v>242</v>
      </c>
      <c r="E5886" s="156" t="s">
        <v>243</v>
      </c>
      <c r="F5886" s="156" t="s">
        <v>243</v>
      </c>
      <c r="G5886" s="238">
        <f>MROUND(H5886*L5886*I5886/K5886,0.00000000001)</f>
        <v>0.20584675780999998</v>
      </c>
      <c r="H5886" s="158">
        <f>H5474</f>
        <v>17306</v>
      </c>
      <c r="I5886" s="159">
        <f>I5885</f>
        <v>8.2214999999999996E-2</v>
      </c>
      <c r="J5886" s="160"/>
      <c r="K5886" s="161">
        <f>K5885</f>
        <v>82944</v>
      </c>
      <c r="L5886" s="250">
        <v>12</v>
      </c>
      <c r="M5886" s="163" t="str">
        <f>CONCATENATE(H5886," ",F5886,"*",L5886,"мес.","*",I5886,"/",K5886,"чел/час")</f>
        <v>17306 мин.*12мес.*0,082215/82944чел/час</v>
      </c>
      <c r="N5886" s="278">
        <f>N5474</f>
        <v>0.82090079548518802</v>
      </c>
      <c r="O5886" s="280">
        <f>MROUND(N5886*G5886,0.0000000001)</f>
        <v>0.16897976720000002</v>
      </c>
      <c r="P5886" s="166"/>
      <c r="Q5886" s="166">
        <f t="shared" si="1552"/>
        <v>14015.857810636802</v>
      </c>
      <c r="R5886" s="71"/>
    </row>
    <row r="5887" spans="1:41" s="61" customFormat="1" ht="31.5" x14ac:dyDescent="0.25">
      <c r="A5887" s="358"/>
      <c r="B5887" s="361"/>
      <c r="C5887" s="366"/>
      <c r="D5887" s="285" t="s">
        <v>244</v>
      </c>
      <c r="E5887" s="286" t="s">
        <v>245</v>
      </c>
      <c r="F5887" s="286" t="s">
        <v>247</v>
      </c>
      <c r="G5887" s="238">
        <f>MROUND(H5887*L5887*I5887/K5887,0.00000000001)</f>
        <v>5.9472659999999994E-5</v>
      </c>
      <c r="H5887" s="158">
        <f>H5475</f>
        <v>5</v>
      </c>
      <c r="I5887" s="159">
        <f>I5886</f>
        <v>8.2214999999999996E-2</v>
      </c>
      <c r="J5887" s="160"/>
      <c r="K5887" s="161">
        <f>K5886</f>
        <v>82944</v>
      </c>
      <c r="L5887" s="250">
        <v>12</v>
      </c>
      <c r="M5887" s="163" t="str">
        <f>CONCATENATE(H5887," ",F5887,"*",L5887,"мес.","*",I5887,"/",K5887,"чел/час")</f>
        <v>5 радиоточек*12мес.*0,082215/82944чел/час</v>
      </c>
      <c r="N5887" s="278">
        <f>N5475</f>
        <v>173.30166666666665</v>
      </c>
      <c r="O5887" s="280">
        <f>MROUND(N5887*G5887,0.000001)</f>
        <v>1.0307E-2</v>
      </c>
      <c r="P5887" s="166"/>
      <c r="Q5887" s="166">
        <f t="shared" si="1552"/>
        <v>854.90380800000003</v>
      </c>
      <c r="R5887" s="71"/>
    </row>
    <row r="5888" spans="1:41" s="61" customFormat="1" ht="47.25" x14ac:dyDescent="0.25">
      <c r="A5888" s="358"/>
      <c r="B5888" s="361"/>
      <c r="C5888" s="366"/>
      <c r="D5888" s="285" t="s">
        <v>374</v>
      </c>
      <c r="E5888" s="156" t="s">
        <v>28</v>
      </c>
      <c r="F5888" s="156" t="s">
        <v>28</v>
      </c>
      <c r="G5888" s="238">
        <f>MROUND(H5888*L5888*I5888/K5888,0.00000000001)</f>
        <v>2.7753909999999999E-5</v>
      </c>
      <c r="H5888" s="158">
        <f>H5476</f>
        <v>7</v>
      </c>
      <c r="I5888" s="159">
        <f>I5886</f>
        <v>8.2214999999999996E-2</v>
      </c>
      <c r="J5888" s="160"/>
      <c r="K5888" s="161">
        <f>K5886</f>
        <v>82944</v>
      </c>
      <c r="L5888" s="250">
        <f>L5476</f>
        <v>4</v>
      </c>
      <c r="M5888" s="163" t="str">
        <f>CONCATENATE(H5888," ",F5888,"*",L5888,"мес.","*",I5888,"/",K5888,"чел/час")</f>
        <v>7 шт*4мес.*0,082215/82944чел/час</v>
      </c>
      <c r="N5888" s="278">
        <f>N5476</f>
        <v>1313.8174999999999</v>
      </c>
      <c r="O5888" s="280">
        <f>MROUND(N5888*G5888,0.000001)</f>
        <v>3.6463999999999996E-2</v>
      </c>
      <c r="P5888" s="166"/>
      <c r="Q5888" s="166">
        <f t="shared" si="1552"/>
        <v>3024.4700159999998</v>
      </c>
      <c r="R5888" s="71"/>
    </row>
    <row r="5889" spans="1:41" s="61" customFormat="1" x14ac:dyDescent="0.25">
      <c r="A5889" s="358"/>
      <c r="B5889" s="361"/>
      <c r="C5889" s="367"/>
      <c r="D5889" s="284" t="s">
        <v>246</v>
      </c>
      <c r="E5889" s="156" t="s">
        <v>28</v>
      </c>
      <c r="F5889" s="156" t="s">
        <v>28</v>
      </c>
      <c r="G5889" s="238">
        <f>MROUND(H5889*L5889*I5889/K5889,0.00000000001)</f>
        <v>5.9472659999999994E-5</v>
      </c>
      <c r="H5889" s="158">
        <v>5</v>
      </c>
      <c r="I5889" s="159">
        <f>I5887</f>
        <v>8.2214999999999996E-2</v>
      </c>
      <c r="J5889" s="160"/>
      <c r="K5889" s="161">
        <f>K5887</f>
        <v>82944</v>
      </c>
      <c r="L5889" s="250">
        <v>12</v>
      </c>
      <c r="M5889" s="163" t="str">
        <f>CONCATENATE(H5889," ",F5889,"*",L5889,"мес.","*",I5889,"/",K5889,"чел/час")</f>
        <v>5 шт*12мес.*0,082215/82944чел/час</v>
      </c>
      <c r="N5889" s="278">
        <f>N5477</f>
        <v>3016.3089999999997</v>
      </c>
      <c r="O5889" s="280">
        <f>MROUND(N5889*G5889,0.000001)</f>
        <v>0.17938799999999999</v>
      </c>
      <c r="P5889" s="166"/>
      <c r="Q5889" s="166">
        <f t="shared" si="1552"/>
        <v>14879.158271999999</v>
      </c>
      <c r="R5889" s="71"/>
    </row>
    <row r="5890" spans="1:41" s="109" customFormat="1" x14ac:dyDescent="0.25">
      <c r="A5890" s="358"/>
      <c r="B5890" s="361"/>
      <c r="C5890" s="218" t="s">
        <v>358</v>
      </c>
      <c r="D5890" s="287"/>
      <c r="E5890" s="287"/>
      <c r="F5890" s="287"/>
      <c r="G5890" s="288"/>
      <c r="H5890" s="214"/>
      <c r="I5890" s="206"/>
      <c r="J5890" s="214"/>
      <c r="K5890" s="207"/>
      <c r="L5890" s="215"/>
      <c r="M5890" s="289"/>
      <c r="N5890" s="281"/>
      <c r="O5890" s="279">
        <f>SUM(O5885:O5889)</f>
        <v>0.46446476720000002</v>
      </c>
      <c r="P5890" s="267"/>
      <c r="Q5890" s="166">
        <f t="shared" si="1552"/>
        <v>0</v>
      </c>
      <c r="R5890" s="71"/>
      <c r="S5890" s="62"/>
      <c r="T5890" s="62"/>
      <c r="U5890" s="62"/>
      <c r="V5890" s="62"/>
      <c r="W5890" s="62"/>
      <c r="X5890" s="62"/>
      <c r="Y5890" s="62"/>
      <c r="Z5890" s="62"/>
      <c r="AA5890" s="62"/>
      <c r="AB5890" s="62"/>
      <c r="AC5890" s="62"/>
      <c r="AD5890" s="62"/>
      <c r="AE5890" s="62"/>
      <c r="AF5890" s="62"/>
      <c r="AG5890" s="62"/>
      <c r="AH5890" s="62"/>
      <c r="AI5890" s="62"/>
      <c r="AJ5890" s="62"/>
      <c r="AK5890" s="62"/>
      <c r="AL5890" s="62"/>
      <c r="AM5890" s="62"/>
      <c r="AN5890" s="62"/>
      <c r="AO5890" s="62"/>
    </row>
    <row r="5891" spans="1:41" s="108" customFormat="1" x14ac:dyDescent="0.25">
      <c r="A5891" s="358"/>
      <c r="B5891" s="361"/>
      <c r="C5891" s="365" t="s">
        <v>366</v>
      </c>
      <c r="D5891" s="368" t="s">
        <v>67</v>
      </c>
      <c r="E5891" s="368"/>
      <c r="F5891" s="368"/>
      <c r="G5891" s="368"/>
      <c r="H5891" s="195"/>
      <c r="I5891" s="159"/>
      <c r="J5891" s="195"/>
      <c r="K5891" s="161"/>
      <c r="L5891" s="196"/>
      <c r="M5891" s="230"/>
      <c r="N5891" s="278"/>
      <c r="O5891" s="279">
        <f>O5892</f>
        <v>6.2382999999999994E-2</v>
      </c>
      <c r="P5891" s="166"/>
      <c r="Q5891" s="166">
        <f t="shared" si="1552"/>
        <v>0</v>
      </c>
      <c r="R5891" s="71"/>
      <c r="S5891" s="61"/>
      <c r="T5891" s="61"/>
      <c r="U5891" s="61"/>
      <c r="V5891" s="61"/>
      <c r="W5891" s="61"/>
      <c r="X5891" s="61"/>
      <c r="Y5891" s="61"/>
      <c r="Z5891" s="61"/>
      <c r="AA5891" s="61"/>
      <c r="AB5891" s="61"/>
      <c r="AC5891" s="61"/>
      <c r="AD5891" s="61"/>
      <c r="AE5891" s="61"/>
      <c r="AF5891" s="61"/>
      <c r="AG5891" s="61"/>
      <c r="AH5891" s="61"/>
      <c r="AI5891" s="61"/>
      <c r="AJ5891" s="61"/>
      <c r="AK5891" s="61"/>
      <c r="AL5891" s="61"/>
      <c r="AM5891" s="61"/>
      <c r="AN5891" s="61"/>
      <c r="AO5891" s="61"/>
    </row>
    <row r="5892" spans="1:41" s="61" customFormat="1" x14ac:dyDescent="0.25">
      <c r="A5892" s="358"/>
      <c r="B5892" s="361"/>
      <c r="C5892" s="367"/>
      <c r="D5892" s="194" t="s">
        <v>367</v>
      </c>
      <c r="E5892" s="156" t="s">
        <v>28</v>
      </c>
      <c r="F5892" s="156" t="s">
        <v>28</v>
      </c>
      <c r="G5892" s="238">
        <f>MROUND(H5892*L5892*I5892/K5892,0.00000000001)</f>
        <v>2.378906E-5</v>
      </c>
      <c r="H5892" s="158">
        <f>H5480</f>
        <v>2</v>
      </c>
      <c r="I5892" s="159">
        <f>I5889</f>
        <v>8.2214999999999996E-2</v>
      </c>
      <c r="J5892" s="160"/>
      <c r="K5892" s="161">
        <f>K5889</f>
        <v>82944</v>
      </c>
      <c r="L5892" s="250">
        <v>12</v>
      </c>
      <c r="M5892" s="163" t="str">
        <f>CONCATENATE(H5892," ",F5892,"*",L5892,"мес.","*",I5892,"/",K5892,"чел/час")</f>
        <v>2 шт*12мес.*0,082215/82944чел/час</v>
      </c>
      <c r="N5892" s="278">
        <f>N5480</f>
        <v>2622.3220833333335</v>
      </c>
      <c r="O5892" s="280">
        <f>MROUND(N5892*G5892,0.000001)</f>
        <v>6.2382999999999994E-2</v>
      </c>
      <c r="P5892" s="166"/>
      <c r="Q5892" s="166">
        <f t="shared" si="1552"/>
        <v>5174.2955519999996</v>
      </c>
      <c r="R5892" s="71"/>
    </row>
    <row r="5893" spans="1:41" s="108" customFormat="1" x14ac:dyDescent="0.25">
      <c r="A5893" s="358"/>
      <c r="B5893" s="361"/>
      <c r="C5893" s="221"/>
      <c r="D5893" s="350" t="s">
        <v>68</v>
      </c>
      <c r="E5893" s="350"/>
      <c r="F5893" s="350"/>
      <c r="G5893" s="350"/>
      <c r="H5893" s="195"/>
      <c r="I5893" s="159"/>
      <c r="J5893" s="195"/>
      <c r="K5893" s="161"/>
      <c r="L5893" s="196"/>
      <c r="M5893" s="230"/>
      <c r="N5893" s="278"/>
      <c r="O5893" s="280"/>
      <c r="P5893" s="166"/>
      <c r="Q5893" s="166">
        <f t="shared" si="1552"/>
        <v>0</v>
      </c>
      <c r="R5893" s="71"/>
      <c r="S5893" s="61"/>
      <c r="T5893" s="61"/>
      <c r="U5893" s="61"/>
      <c r="V5893" s="61"/>
      <c r="W5893" s="61"/>
      <c r="X5893" s="61"/>
      <c r="Y5893" s="61"/>
      <c r="Z5893" s="61"/>
      <c r="AA5893" s="61"/>
      <c r="AB5893" s="61"/>
      <c r="AC5893" s="61"/>
      <c r="AD5893" s="61"/>
      <c r="AE5893" s="61"/>
      <c r="AF5893" s="61"/>
      <c r="AG5893" s="61"/>
      <c r="AH5893" s="61"/>
      <c r="AI5893" s="61"/>
      <c r="AJ5893" s="61"/>
      <c r="AK5893" s="61"/>
      <c r="AL5893" s="61"/>
      <c r="AM5893" s="61"/>
      <c r="AN5893" s="61"/>
      <c r="AO5893" s="61"/>
    </row>
    <row r="5894" spans="1:41" s="108" customFormat="1" x14ac:dyDescent="0.25">
      <c r="A5894" s="358"/>
      <c r="B5894" s="361"/>
      <c r="C5894" s="221"/>
      <c r="D5894" s="156"/>
      <c r="E5894" s="156"/>
      <c r="F5894" s="156"/>
      <c r="G5894" s="236"/>
      <c r="H5894" s="195"/>
      <c r="I5894" s="159"/>
      <c r="J5894" s="195"/>
      <c r="K5894" s="161"/>
      <c r="L5894" s="196"/>
      <c r="M5894" s="230"/>
      <c r="N5894" s="278"/>
      <c r="O5894" s="280"/>
      <c r="P5894" s="166"/>
      <c r="Q5894" s="166">
        <f t="shared" si="1552"/>
        <v>0</v>
      </c>
      <c r="R5894" s="71"/>
      <c r="S5894" s="61"/>
      <c r="T5894" s="61"/>
      <c r="U5894" s="61"/>
      <c r="V5894" s="61"/>
      <c r="W5894" s="61"/>
      <c r="X5894" s="61"/>
      <c r="Y5894" s="61"/>
      <c r="Z5894" s="61"/>
      <c r="AA5894" s="61"/>
      <c r="AB5894" s="61"/>
      <c r="AC5894" s="61"/>
      <c r="AD5894" s="61"/>
      <c r="AE5894" s="61"/>
      <c r="AF5894" s="61"/>
      <c r="AG5894" s="61"/>
      <c r="AH5894" s="61"/>
      <c r="AI5894" s="61"/>
      <c r="AJ5894" s="61"/>
      <c r="AK5894" s="61"/>
      <c r="AL5894" s="61"/>
      <c r="AM5894" s="61"/>
      <c r="AN5894" s="61"/>
      <c r="AO5894" s="61"/>
    </row>
    <row r="5895" spans="1:41" s="108" customFormat="1" x14ac:dyDescent="0.25">
      <c r="A5895" s="358"/>
      <c r="B5895" s="361"/>
      <c r="C5895" s="221"/>
      <c r="D5895" s="368" t="s">
        <v>69</v>
      </c>
      <c r="E5895" s="368"/>
      <c r="F5895" s="368"/>
      <c r="G5895" s="368"/>
      <c r="H5895" s="187"/>
      <c r="I5895" s="159"/>
      <c r="J5895" s="187"/>
      <c r="K5895" s="161"/>
      <c r="L5895" s="276"/>
      <c r="M5895" s="230"/>
      <c r="N5895" s="278"/>
      <c r="O5895" s="279">
        <f>O5902+O5918+O5921+O5934+O5935+O5936+O5947+O5949+O5953+O5950</f>
        <v>3.6098320000000004</v>
      </c>
      <c r="P5895" s="166"/>
      <c r="Q5895" s="166">
        <f t="shared" si="1552"/>
        <v>0</v>
      </c>
      <c r="R5895" s="71"/>
      <c r="S5895" s="61"/>
      <c r="T5895" s="61"/>
      <c r="U5895" s="61"/>
      <c r="V5895" s="61"/>
      <c r="W5895" s="61"/>
      <c r="X5895" s="61"/>
      <c r="Y5895" s="61"/>
      <c r="Z5895" s="61"/>
      <c r="AA5895" s="61"/>
      <c r="AB5895" s="61"/>
      <c r="AC5895" s="61"/>
      <c r="AD5895" s="61"/>
      <c r="AE5895" s="61"/>
      <c r="AF5895" s="61"/>
      <c r="AG5895" s="61"/>
      <c r="AH5895" s="61"/>
      <c r="AI5895" s="61"/>
      <c r="AJ5895" s="61"/>
      <c r="AK5895" s="61"/>
      <c r="AL5895" s="61"/>
      <c r="AM5895" s="61"/>
      <c r="AN5895" s="61"/>
      <c r="AO5895" s="61"/>
    </row>
    <row r="5896" spans="1:41" s="61" customFormat="1" ht="31.5" x14ac:dyDescent="0.25">
      <c r="A5896" s="358"/>
      <c r="B5896" s="361"/>
      <c r="C5896" s="365" t="s">
        <v>78</v>
      </c>
      <c r="D5896" s="156" t="s">
        <v>26</v>
      </c>
      <c r="E5896" s="156" t="s">
        <v>22</v>
      </c>
      <c r="F5896" s="156" t="s">
        <v>22</v>
      </c>
      <c r="G5896" s="238">
        <f t="shared" ref="G5896:G5901" si="1553">MROUND(H5896*L5896*I5896/K5896,0.00000000001)</f>
        <v>5.899996758E-2</v>
      </c>
      <c r="H5896" s="158">
        <f>H5484</f>
        <v>4960.26</v>
      </c>
      <c r="I5896" s="159">
        <f>I5892</f>
        <v>8.2214999999999996E-2</v>
      </c>
      <c r="J5896" s="160"/>
      <c r="K5896" s="161">
        <f>K5892</f>
        <v>82944</v>
      </c>
      <c r="L5896" s="250">
        <v>12</v>
      </c>
      <c r="M5896" s="163" t="str">
        <f>CONCATENATE(H5896," ",F5896,"(обрабатываемая площадь в мес.)","*",L5896,"мес.","*",I5896,"/",K5896,"чел/час")</f>
        <v>4960,26 м2(обрабатываемая площадь в мес.)*12мес.*0,082215/82944чел/час</v>
      </c>
      <c r="N5896" s="278">
        <f>N5484</f>
        <v>1.2085483758243856</v>
      </c>
      <c r="O5896" s="280">
        <f>MROUND(N5896*G5896,0.000001)</f>
        <v>7.1303999999999992E-2</v>
      </c>
      <c r="P5896" s="166"/>
      <c r="Q5896" s="166">
        <f t="shared" si="1552"/>
        <v>5914.2389759999996</v>
      </c>
      <c r="R5896" s="71"/>
    </row>
    <row r="5897" spans="1:41" s="61" customFormat="1" ht="31.5" x14ac:dyDescent="0.25">
      <c r="A5897" s="358"/>
      <c r="B5897" s="361"/>
      <c r="C5897" s="366"/>
      <c r="D5897" s="156" t="s">
        <v>96</v>
      </c>
      <c r="E5897" s="156" t="s">
        <v>22</v>
      </c>
      <c r="F5897" s="156" t="s">
        <v>22</v>
      </c>
      <c r="G5897" s="238">
        <f t="shared" si="1553"/>
        <v>3.2677369919999998E-2</v>
      </c>
      <c r="H5897" s="158">
        <f>H5485</f>
        <v>2747.26</v>
      </c>
      <c r="I5897" s="298">
        <f>I5896</f>
        <v>8.2214999999999996E-2</v>
      </c>
      <c r="J5897" s="299"/>
      <c r="K5897" s="300">
        <f>K5896</f>
        <v>82944</v>
      </c>
      <c r="L5897" s="250">
        <v>12</v>
      </c>
      <c r="M5897" s="163" t="str">
        <f>CONCATENATE(H5897," ",F5897,"(обрабатываемая площадь в мес.)","*",L5897,"мес.","*",I5897,"/",K5897,"чел/час")</f>
        <v>2747,26 м2(обрабатываемая площадь в мес.)*12мес.*0,082215/82944чел/час</v>
      </c>
      <c r="N5897" s="278">
        <f>N5485</f>
        <v>1.68496671835453</v>
      </c>
      <c r="O5897" s="280">
        <f>MROUND(N5897*G5897,0.000001)</f>
        <v>5.5059999999999998E-2</v>
      </c>
      <c r="P5897" s="166"/>
      <c r="Q5897" s="166">
        <f t="shared" si="1552"/>
        <v>4566.8966399999999</v>
      </c>
      <c r="R5897" s="71"/>
    </row>
    <row r="5898" spans="1:41" s="135" customFormat="1" ht="31.5" x14ac:dyDescent="0.25">
      <c r="A5898" s="358"/>
      <c r="B5898" s="361"/>
      <c r="C5898" s="366"/>
      <c r="D5898" s="156" t="s">
        <v>385</v>
      </c>
      <c r="E5898" s="156" t="s">
        <v>22</v>
      </c>
      <c r="F5898" s="156" t="s">
        <v>22</v>
      </c>
      <c r="G5898" s="238">
        <f t="shared" si="1553"/>
        <v>6.5354739839999995E-2</v>
      </c>
      <c r="H5898" s="242">
        <f>$H$2098</f>
        <v>2747.26</v>
      </c>
      <c r="I5898" s="298">
        <f>I5897</f>
        <v>8.2214999999999996E-2</v>
      </c>
      <c r="J5898" s="160"/>
      <c r="K5898" s="300">
        <f>K5897</f>
        <v>82944</v>
      </c>
      <c r="L5898" s="162">
        <v>24</v>
      </c>
      <c r="M5898" s="163" t="str">
        <f>CONCATENATE(H5898," ",F5898,"(обрабатываемая площадь в год)","*",L5898," раза в год.","*",I5898,"/",K5898,"чел.")</f>
        <v>2747,26 м2(обрабатываемая площадь в год)*24 раза в год.*0,082215/82944чел.</v>
      </c>
      <c r="N5898" s="164">
        <f>$N$5486</f>
        <v>1.8597276619856391</v>
      </c>
      <c r="O5898" s="165">
        <f>MROUND(G5898*N5898,0.000001)</f>
        <v>0.121542</v>
      </c>
      <c r="P5898" s="166"/>
      <c r="Q5898" s="166">
        <f t="shared" si="1552"/>
        <v>10081.179647999999</v>
      </c>
      <c r="R5898" s="71"/>
      <c r="S5898" s="61"/>
      <c r="T5898" s="61"/>
      <c r="U5898" s="61"/>
      <c r="V5898" s="61"/>
      <c r="W5898" s="61"/>
      <c r="X5898" s="61"/>
      <c r="Y5898" s="61"/>
      <c r="Z5898" s="61"/>
      <c r="AA5898" s="61"/>
      <c r="AB5898" s="61"/>
      <c r="AC5898" s="61"/>
      <c r="AD5898" s="61"/>
      <c r="AE5898" s="61"/>
      <c r="AF5898" s="61"/>
      <c r="AG5898" s="61"/>
      <c r="AH5898" s="61"/>
      <c r="AI5898" s="61"/>
      <c r="AJ5898" s="61"/>
      <c r="AK5898" s="61"/>
      <c r="AL5898" s="61"/>
      <c r="AM5898" s="61"/>
      <c r="AN5898" s="61"/>
      <c r="AO5898" s="61"/>
    </row>
    <row r="5899" spans="1:41" s="135" customFormat="1" ht="31.5" x14ac:dyDescent="0.25">
      <c r="A5899" s="358"/>
      <c r="B5899" s="361"/>
      <c r="C5899" s="366"/>
      <c r="D5899" s="156" t="s">
        <v>394</v>
      </c>
      <c r="E5899" s="156" t="s">
        <v>22</v>
      </c>
      <c r="F5899" s="156" t="s">
        <v>22</v>
      </c>
      <c r="G5899" s="238">
        <f t="shared" si="1553"/>
        <v>5.899996758E-2</v>
      </c>
      <c r="H5899" s="243">
        <f>$H$2099</f>
        <v>4960.26</v>
      </c>
      <c r="I5899" s="298">
        <f>I5898</f>
        <v>8.2214999999999996E-2</v>
      </c>
      <c r="J5899" s="160"/>
      <c r="K5899" s="300">
        <f>K5898</f>
        <v>82944</v>
      </c>
      <c r="L5899" s="162">
        <v>12</v>
      </c>
      <c r="M5899" s="163" t="str">
        <f>CONCATENATE(H5899," ",F5899,"(обрабатываемая площадь в мес.)","*",L5899,"мес.","*",I5899,"/",K5899,"чел.")</f>
        <v>4960,26 м2(обрабатываемая площадь в мес.)*12мес.*0,082215/82944чел.</v>
      </c>
      <c r="N5899" s="164">
        <f>$N$5487</f>
        <v>0.57006991568990339</v>
      </c>
      <c r="O5899" s="165">
        <f>MROUND(G5899*N5899,0.000001)</f>
        <v>3.3633999999999997E-2</v>
      </c>
      <c r="P5899" s="166"/>
      <c r="Q5899" s="166">
        <f t="shared" si="1552"/>
        <v>2789.7384959999999</v>
      </c>
      <c r="R5899" s="71"/>
      <c r="S5899" s="61"/>
      <c r="T5899" s="61"/>
      <c r="U5899" s="61"/>
      <c r="V5899" s="61"/>
      <c r="W5899" s="61"/>
      <c r="X5899" s="61"/>
      <c r="Y5899" s="61"/>
      <c r="Z5899" s="61"/>
      <c r="AA5899" s="61"/>
      <c r="AB5899" s="61"/>
      <c r="AC5899" s="61"/>
      <c r="AD5899" s="61"/>
      <c r="AE5899" s="61"/>
      <c r="AF5899" s="61"/>
      <c r="AG5899" s="61"/>
      <c r="AH5899" s="61"/>
      <c r="AI5899" s="61"/>
      <c r="AJ5899" s="61"/>
      <c r="AK5899" s="61"/>
      <c r="AL5899" s="61"/>
      <c r="AM5899" s="61"/>
      <c r="AN5899" s="61"/>
      <c r="AO5899" s="61"/>
    </row>
    <row r="5900" spans="1:41" s="135" customFormat="1" ht="31.5" x14ac:dyDescent="0.25">
      <c r="A5900" s="358"/>
      <c r="B5900" s="361"/>
      <c r="C5900" s="366"/>
      <c r="D5900" s="156" t="s">
        <v>395</v>
      </c>
      <c r="E5900" s="156" t="s">
        <v>98</v>
      </c>
      <c r="F5900" s="156" t="s">
        <v>98</v>
      </c>
      <c r="G5900" s="238">
        <f t="shared" si="1553"/>
        <v>1.8634799999999999E-6</v>
      </c>
      <c r="H5900" s="242">
        <f>$H$2100</f>
        <v>1.8800000000000001</v>
      </c>
      <c r="I5900" s="298">
        <f>I5899</f>
        <v>8.2214999999999996E-2</v>
      </c>
      <c r="J5900" s="160"/>
      <c r="K5900" s="300">
        <f>K5899</f>
        <v>82944</v>
      </c>
      <c r="L5900" s="162">
        <v>1</v>
      </c>
      <c r="M5900" s="163" t="str">
        <f>CONCATENATE(H5900," ",F5900,"(обрабатываемая площадь в год)","*",L5900," раз в год","*",I5900,"/",K5900,"чел.")</f>
        <v>1,88 Га(обрабатываемая площадь в год)*1 раз в год*0,082215/82944чел.</v>
      </c>
      <c r="N5900" s="164">
        <f>$N$5488</f>
        <v>570.07446808510633</v>
      </c>
      <c r="O5900" s="165">
        <f>MROUND(G5900*N5900,0.000001)</f>
        <v>1.062E-3</v>
      </c>
      <c r="P5900" s="166"/>
      <c r="Q5900" s="166">
        <f t="shared" si="1552"/>
        <v>88.086528000000001</v>
      </c>
      <c r="R5900" s="71"/>
      <c r="S5900" s="61"/>
      <c r="T5900" s="61"/>
      <c r="U5900" s="61"/>
      <c r="V5900" s="61"/>
      <c r="W5900" s="61"/>
      <c r="X5900" s="61"/>
      <c r="Y5900" s="61"/>
      <c r="Z5900" s="61"/>
      <c r="AA5900" s="61"/>
      <c r="AB5900" s="61"/>
      <c r="AC5900" s="61"/>
      <c r="AD5900" s="61"/>
      <c r="AE5900" s="61"/>
      <c r="AF5900" s="61"/>
      <c r="AG5900" s="61"/>
      <c r="AH5900" s="61"/>
      <c r="AI5900" s="61"/>
      <c r="AJ5900" s="61"/>
      <c r="AK5900" s="61"/>
      <c r="AL5900" s="61"/>
      <c r="AM5900" s="61"/>
      <c r="AN5900" s="61"/>
      <c r="AO5900" s="61"/>
    </row>
    <row r="5901" spans="1:41" s="61" customFormat="1" ht="31.5" x14ac:dyDescent="0.25">
      <c r="A5901" s="358"/>
      <c r="B5901" s="361"/>
      <c r="C5901" s="367"/>
      <c r="D5901" s="156" t="s">
        <v>97</v>
      </c>
      <c r="E5901" s="156" t="s">
        <v>363</v>
      </c>
      <c r="F5901" s="156" t="s">
        <v>363</v>
      </c>
      <c r="G5901" s="238">
        <f t="shared" si="1553"/>
        <v>1.8634799999999999E-6</v>
      </c>
      <c r="H5901" s="158">
        <f>$H$2101</f>
        <v>1.8800000000000001</v>
      </c>
      <c r="I5901" s="298">
        <f>I5897</f>
        <v>8.2214999999999996E-2</v>
      </c>
      <c r="J5901" s="299"/>
      <c r="K5901" s="300">
        <f>K5897</f>
        <v>82944</v>
      </c>
      <c r="L5901" s="250">
        <v>1</v>
      </c>
      <c r="M5901" s="163" t="str">
        <f>CONCATENATE(H5901," ",F5901,"(обрабатываемая площадь в мес.)","*",L5901,"мес.","*",I5901,"/",K5901,"чел/час")</f>
        <v>1,88 га(обрабатываемая площадь в мес.)*1мес.*0,082215/82944чел/час</v>
      </c>
      <c r="N5901" s="278">
        <f>$N$5489</f>
        <v>3102.4095744680853</v>
      </c>
      <c r="O5901" s="280">
        <f>MROUND(N5901*G5901,0.000001)</f>
        <v>5.7809999999999997E-3</v>
      </c>
      <c r="P5901" s="166"/>
      <c r="Q5901" s="166">
        <f t="shared" si="1552"/>
        <v>479.49926399999998</v>
      </c>
      <c r="R5901" s="71"/>
    </row>
    <row r="5902" spans="1:41" s="109" customFormat="1" x14ac:dyDescent="0.25">
      <c r="A5902" s="358"/>
      <c r="B5902" s="361"/>
      <c r="C5902" s="218" t="s">
        <v>327</v>
      </c>
      <c r="D5902" s="240"/>
      <c r="E5902" s="240"/>
      <c r="F5902" s="240"/>
      <c r="G5902" s="227"/>
      <c r="H5902" s="241"/>
      <c r="I5902" s="206"/>
      <c r="J5902" s="228"/>
      <c r="K5902" s="207"/>
      <c r="L5902" s="257"/>
      <c r="M5902" s="209"/>
      <c r="N5902" s="281"/>
      <c r="O5902" s="279">
        <f>SUM(O5896:O5901)</f>
        <v>0.28838299999999994</v>
      </c>
      <c r="P5902" s="267"/>
      <c r="Q5902" s="166"/>
      <c r="R5902" s="71"/>
      <c r="S5902" s="62"/>
      <c r="T5902" s="62"/>
      <c r="U5902" s="62"/>
      <c r="V5902" s="62"/>
      <c r="W5902" s="62"/>
      <c r="X5902" s="62"/>
      <c r="Y5902" s="62"/>
      <c r="Z5902" s="62"/>
      <c r="AA5902" s="62"/>
      <c r="AB5902" s="62"/>
      <c r="AC5902" s="62"/>
      <c r="AD5902" s="62"/>
      <c r="AE5902" s="62"/>
      <c r="AF5902" s="62"/>
      <c r="AG5902" s="62"/>
      <c r="AH5902" s="62"/>
      <c r="AI5902" s="62"/>
      <c r="AJ5902" s="62"/>
      <c r="AK5902" s="62"/>
      <c r="AL5902" s="62"/>
      <c r="AM5902" s="62"/>
      <c r="AN5902" s="62"/>
      <c r="AO5902" s="62"/>
    </row>
    <row r="5903" spans="1:41" s="61" customFormat="1" x14ac:dyDescent="0.25">
      <c r="A5903" s="358"/>
      <c r="B5903" s="361"/>
      <c r="C5903" s="366" t="s">
        <v>77</v>
      </c>
      <c r="D5903" s="156" t="s">
        <v>397</v>
      </c>
      <c r="E5903" s="156" t="s">
        <v>433</v>
      </c>
      <c r="F5903" s="156" t="s">
        <v>433</v>
      </c>
      <c r="G5903" s="238">
        <f t="shared" ref="G5903:G5917" si="1554">MROUND(H5903*L5903*I5903/K5903,0.00000000001)</f>
        <v>0</v>
      </c>
      <c r="H5903" s="158"/>
      <c r="I5903" s="306">
        <f>I5897</f>
        <v>8.2214999999999996E-2</v>
      </c>
      <c r="J5903" s="307"/>
      <c r="K5903" s="308">
        <f>K5897</f>
        <v>82944</v>
      </c>
      <c r="L5903" s="162">
        <v>1</v>
      </c>
      <c r="M5903" s="163"/>
      <c r="N5903" s="278"/>
      <c r="O5903" s="280">
        <f t="shared" ref="O5903:O5914" si="1555">MROUND(N5903*G5903,0.000001)</f>
        <v>0</v>
      </c>
      <c r="P5903" s="166"/>
      <c r="Q5903" s="166">
        <f t="shared" ref="Q5903:Q5917" si="1556">O5903*K5903</f>
        <v>0</v>
      </c>
      <c r="R5903" s="71"/>
    </row>
    <row r="5904" spans="1:41" s="61" customFormat="1" ht="63" x14ac:dyDescent="0.25">
      <c r="A5904" s="358"/>
      <c r="B5904" s="361"/>
      <c r="C5904" s="366"/>
      <c r="D5904" s="156" t="s">
        <v>249</v>
      </c>
      <c r="E5904" s="156" t="s">
        <v>22</v>
      </c>
      <c r="F5904" s="156" t="s">
        <v>22</v>
      </c>
      <c r="G5904" s="238">
        <f t="shared" si="1554"/>
        <v>8.2166232400000001E-3</v>
      </c>
      <c r="H5904" s="158">
        <f>H5492</f>
        <v>690.79</v>
      </c>
      <c r="I5904" s="159">
        <f>I5903</f>
        <v>8.2214999999999996E-2</v>
      </c>
      <c r="J5904" s="160"/>
      <c r="K5904" s="161">
        <f>K5903</f>
        <v>82944</v>
      </c>
      <c r="L5904" s="250">
        <v>12</v>
      </c>
      <c r="M5904" s="163" t="str">
        <f>CONCATENATE(H5904," ",F5904,"*",L5904,"мес.","*",I5904,"/",K5904,"чел/час")</f>
        <v>690,79 м2*12мес.*0,082215/82944чел/час</v>
      </c>
      <c r="N5904" s="278">
        <f>N5492</f>
        <v>31.700778577184575</v>
      </c>
      <c r="O5904" s="280">
        <f t="shared" si="1555"/>
        <v>0.26047300000000001</v>
      </c>
      <c r="P5904" s="166"/>
      <c r="Q5904" s="166">
        <f t="shared" si="1556"/>
        <v>21604.672512000001</v>
      </c>
      <c r="R5904" s="71"/>
    </row>
    <row r="5905" spans="1:41" s="136" customFormat="1" x14ac:dyDescent="0.25">
      <c r="A5905" s="358"/>
      <c r="B5905" s="361"/>
      <c r="C5905" s="366"/>
      <c r="D5905" s="194" t="s">
        <v>398</v>
      </c>
      <c r="E5905" s="156" t="s">
        <v>60</v>
      </c>
      <c r="F5905" s="156" t="s">
        <v>60</v>
      </c>
      <c r="G5905" s="238">
        <f t="shared" si="1554"/>
        <v>4.9560499999999998E-6</v>
      </c>
      <c r="H5905" s="158">
        <f>$H$2105</f>
        <v>5</v>
      </c>
      <c r="I5905" s="159">
        <f>I5904</f>
        <v>8.2214999999999996E-2</v>
      </c>
      <c r="J5905" s="160"/>
      <c r="K5905" s="161">
        <f>K5904</f>
        <v>82944</v>
      </c>
      <c r="L5905" s="250">
        <v>1</v>
      </c>
      <c r="M5905" s="163" t="str">
        <f>CONCATENATE(H5905," ",F5905,"*",I5905,"/",K5905,"чел/час")</f>
        <v>5 шт.*0,082215/82944чел/час</v>
      </c>
      <c r="N5905" s="278">
        <f>$N$5493</f>
        <v>5700.7</v>
      </c>
      <c r="O5905" s="280">
        <f t="shared" si="1555"/>
        <v>2.8253E-2</v>
      </c>
      <c r="P5905" s="166"/>
      <c r="Q5905" s="166">
        <f t="shared" si="1556"/>
        <v>2343.4168319999999</v>
      </c>
      <c r="R5905" s="71"/>
      <c r="S5905" s="61"/>
      <c r="T5905" s="61"/>
      <c r="U5905" s="61"/>
      <c r="V5905" s="61"/>
      <c r="W5905" s="61"/>
      <c r="X5905" s="61"/>
      <c r="Y5905" s="61"/>
      <c r="Z5905" s="61"/>
      <c r="AA5905" s="61"/>
      <c r="AB5905" s="61"/>
      <c r="AC5905" s="61"/>
      <c r="AD5905" s="61"/>
      <c r="AE5905" s="61"/>
      <c r="AF5905" s="61"/>
      <c r="AG5905" s="61"/>
      <c r="AH5905" s="61"/>
      <c r="AI5905" s="61"/>
      <c r="AJ5905" s="61"/>
      <c r="AK5905" s="61"/>
      <c r="AL5905" s="61"/>
      <c r="AM5905" s="61"/>
      <c r="AN5905" s="61"/>
      <c r="AO5905" s="61"/>
    </row>
    <row r="5906" spans="1:41" s="136" customFormat="1" ht="63" x14ac:dyDescent="0.25">
      <c r="A5906" s="358"/>
      <c r="B5906" s="361"/>
      <c r="C5906" s="366"/>
      <c r="D5906" s="156" t="s">
        <v>33</v>
      </c>
      <c r="E5906" s="156" t="s">
        <v>56</v>
      </c>
      <c r="F5906" s="156" t="s">
        <v>220</v>
      </c>
      <c r="G5906" s="238">
        <f t="shared" si="1554"/>
        <v>4.9560499999999998E-6</v>
      </c>
      <c r="H5906" s="158">
        <f>$H$2106</f>
        <v>5</v>
      </c>
      <c r="I5906" s="159">
        <f>I5905</f>
        <v>8.2214999999999996E-2</v>
      </c>
      <c r="J5906" s="160"/>
      <c r="K5906" s="161">
        <f>K5905</f>
        <v>82944</v>
      </c>
      <c r="L5906" s="250">
        <f>$L$2106</f>
        <v>1</v>
      </c>
      <c r="M5906" s="163" t="str">
        <f>CONCATENATE(H5906," ",F5906,"*",L5906," раз в год","*",I5906,"/",K5906,"чел.")</f>
        <v>5 дымоходов*1 раз в год*0,082215/82944чел.</v>
      </c>
      <c r="N5906" s="278">
        <f>$N$5494</f>
        <v>6840.8399999999992</v>
      </c>
      <c r="O5906" s="280">
        <f t="shared" si="1555"/>
        <v>3.3903999999999997E-2</v>
      </c>
      <c r="P5906" s="166"/>
      <c r="Q5906" s="166">
        <f t="shared" si="1556"/>
        <v>2812.1333759999998</v>
      </c>
      <c r="R5906" s="71"/>
      <c r="S5906" s="61"/>
      <c r="T5906" s="61"/>
      <c r="U5906" s="61"/>
      <c r="V5906" s="61"/>
      <c r="W5906" s="61"/>
      <c r="X5906" s="61"/>
      <c r="Y5906" s="61"/>
      <c r="Z5906" s="61"/>
      <c r="AA5906" s="61"/>
      <c r="AB5906" s="61"/>
      <c r="AC5906" s="61"/>
      <c r="AD5906" s="61"/>
      <c r="AE5906" s="61"/>
      <c r="AF5906" s="61"/>
      <c r="AG5906" s="61"/>
      <c r="AH5906" s="61"/>
      <c r="AI5906" s="61"/>
      <c r="AJ5906" s="61"/>
      <c r="AK5906" s="61"/>
      <c r="AL5906" s="61"/>
      <c r="AM5906" s="61"/>
      <c r="AN5906" s="61"/>
      <c r="AO5906" s="61"/>
    </row>
    <row r="5907" spans="1:41" s="61" customFormat="1" ht="78.75" x14ac:dyDescent="0.25">
      <c r="A5907" s="358"/>
      <c r="B5907" s="361"/>
      <c r="C5907" s="366"/>
      <c r="D5907" s="156" t="s">
        <v>250</v>
      </c>
      <c r="E5907" s="156" t="s">
        <v>251</v>
      </c>
      <c r="F5907" s="156" t="s">
        <v>60</v>
      </c>
      <c r="G5907" s="238">
        <f t="shared" si="1554"/>
        <v>4.9560499999999998E-6</v>
      </c>
      <c r="H5907" s="158">
        <f>$H$2107</f>
        <v>5</v>
      </c>
      <c r="I5907" s="159">
        <f>I5904</f>
        <v>8.2214999999999996E-2</v>
      </c>
      <c r="J5907" s="160"/>
      <c r="K5907" s="161">
        <f>K5904</f>
        <v>82944</v>
      </c>
      <c r="L5907" s="250">
        <v>1</v>
      </c>
      <c r="M5907" s="163" t="str">
        <f>CONCATENATE(H5907," ",F5907,"*",I5907,"/",K5907,"чел/час")</f>
        <v>5 шт.*0,082215/82944чел/час</v>
      </c>
      <c r="N5907" s="278">
        <f t="shared" ref="N5907:N5917" si="1557">N5495</f>
        <v>4560.5600000000004</v>
      </c>
      <c r="O5907" s="280">
        <f t="shared" si="1555"/>
        <v>2.2602000000000001E-2</v>
      </c>
      <c r="P5907" s="166"/>
      <c r="Q5907" s="166">
        <f t="shared" si="1556"/>
        <v>1874.700288</v>
      </c>
      <c r="R5907" s="71"/>
    </row>
    <row r="5908" spans="1:41" s="61" customFormat="1" ht="47.25" x14ac:dyDescent="0.25">
      <c r="A5908" s="358"/>
      <c r="B5908" s="361"/>
      <c r="C5908" s="366"/>
      <c r="D5908" s="156" t="s">
        <v>401</v>
      </c>
      <c r="E5908" s="156" t="s">
        <v>60</v>
      </c>
      <c r="F5908" s="156" t="s">
        <v>402</v>
      </c>
      <c r="G5908" s="238">
        <f t="shared" si="1554"/>
        <v>9.9121100000000002E-6</v>
      </c>
      <c r="H5908" s="158">
        <f>H5496</f>
        <v>5</v>
      </c>
      <c r="I5908" s="159">
        <f>I5907</f>
        <v>8.2214999999999996E-2</v>
      </c>
      <c r="J5908" s="160"/>
      <c r="K5908" s="161">
        <f>K5907</f>
        <v>82944</v>
      </c>
      <c r="L5908" s="250">
        <f>$L$2108</f>
        <v>2</v>
      </c>
      <c r="M5908" s="163" t="str">
        <f>CONCATENATE(H5908," ",F5908,"*",I5908,"/",K5908,"чел/час")</f>
        <v>5 противопожарных водопроводов*0,082215/82944чел/час</v>
      </c>
      <c r="N5908" s="278">
        <f t="shared" si="1557"/>
        <v>2850.35</v>
      </c>
      <c r="O5908" s="280">
        <f t="shared" si="1555"/>
        <v>2.8253E-2</v>
      </c>
      <c r="P5908" s="166"/>
      <c r="Q5908" s="166">
        <f t="shared" si="1556"/>
        <v>2343.4168319999999</v>
      </c>
      <c r="R5908" s="71"/>
    </row>
    <row r="5909" spans="1:41" s="61" customFormat="1" ht="47.25" x14ac:dyDescent="0.25">
      <c r="A5909" s="358"/>
      <c r="B5909" s="361"/>
      <c r="C5909" s="366"/>
      <c r="D5909" s="156" t="s">
        <v>34</v>
      </c>
      <c r="E5909" s="156" t="s">
        <v>59</v>
      </c>
      <c r="F5909" s="156" t="s">
        <v>28</v>
      </c>
      <c r="G5909" s="238">
        <f t="shared" si="1554"/>
        <v>1.98242E-6</v>
      </c>
      <c r="H5909" s="158">
        <f>H5497</f>
        <v>2</v>
      </c>
      <c r="I5909" s="159">
        <f>I5908</f>
        <v>8.2214999999999996E-2</v>
      </c>
      <c r="J5909" s="160"/>
      <c r="K5909" s="161">
        <f>K5908</f>
        <v>82944</v>
      </c>
      <c r="L5909" s="250">
        <v>1</v>
      </c>
      <c r="M5909" s="163" t="str">
        <f>CONCATENATE(H5909," ",F5909,"*",I5909,"/",K5909,"чел/час")</f>
        <v>2 шт*0,082215/82944чел/час</v>
      </c>
      <c r="N5909" s="278">
        <f t="shared" si="1557"/>
        <v>7845</v>
      </c>
      <c r="O5909" s="280">
        <f t="shared" si="1555"/>
        <v>1.5552E-2</v>
      </c>
      <c r="P5909" s="166"/>
      <c r="Q5909" s="166">
        <f t="shared" si="1556"/>
        <v>1289.9450879999999</v>
      </c>
      <c r="R5909" s="71"/>
    </row>
    <row r="5910" spans="1:41" s="61" customFormat="1" ht="47.25" x14ac:dyDescent="0.25">
      <c r="A5910" s="358"/>
      <c r="B5910" s="361"/>
      <c r="C5910" s="366"/>
      <c r="D5910" s="156" t="s">
        <v>222</v>
      </c>
      <c r="E5910" s="156" t="s">
        <v>60</v>
      </c>
      <c r="F5910" s="156" t="s">
        <v>60</v>
      </c>
      <c r="G5910" s="238">
        <f t="shared" si="1554"/>
        <v>1.98242E-6</v>
      </c>
      <c r="H5910" s="158">
        <f>H5498</f>
        <v>2</v>
      </c>
      <c r="I5910" s="159">
        <f>I5909</f>
        <v>8.2214999999999996E-2</v>
      </c>
      <c r="J5910" s="160"/>
      <c r="K5910" s="161">
        <f>K5909</f>
        <v>82944</v>
      </c>
      <c r="L5910" s="250">
        <v>1</v>
      </c>
      <c r="M5910" s="163" t="str">
        <f>CONCATENATE(H5910," ",F5910,"*",I5910,"/",K5910,"чел/час")</f>
        <v>2 шт.*0,082215/82944чел/час</v>
      </c>
      <c r="N5910" s="278">
        <f t="shared" si="1557"/>
        <v>13598</v>
      </c>
      <c r="O5910" s="280">
        <f t="shared" si="1555"/>
        <v>2.6956999999999998E-2</v>
      </c>
      <c r="P5910" s="166"/>
      <c r="Q5910" s="166">
        <f t="shared" si="1556"/>
        <v>2235.9214079999997</v>
      </c>
      <c r="R5910" s="71"/>
    </row>
    <row r="5911" spans="1:41" s="61" customFormat="1" ht="31.5" x14ac:dyDescent="0.25">
      <c r="A5911" s="358"/>
      <c r="B5911" s="361"/>
      <c r="C5911" s="366"/>
      <c r="D5911" s="156" t="s">
        <v>35</v>
      </c>
      <c r="E5911" s="156" t="s">
        <v>102</v>
      </c>
      <c r="F5911" s="156" t="s">
        <v>252</v>
      </c>
      <c r="G5911" s="238">
        <f t="shared" si="1554"/>
        <v>1.98242E-6</v>
      </c>
      <c r="H5911" s="158">
        <f>H5499</f>
        <v>2</v>
      </c>
      <c r="I5911" s="159">
        <f>I5909</f>
        <v>8.2214999999999996E-2</v>
      </c>
      <c r="J5911" s="160"/>
      <c r="K5911" s="161">
        <f>K5909</f>
        <v>82944</v>
      </c>
      <c r="L5911" s="250">
        <v>1</v>
      </c>
      <c r="M5911" s="163" t="str">
        <f>CONCATENATE(H5911," ",F5911,"*",I5911,"/",K5911,"чел/час")</f>
        <v>2 замера*0,082215/82944чел/час</v>
      </c>
      <c r="N5911" s="278">
        <f t="shared" si="1557"/>
        <v>62500</v>
      </c>
      <c r="O5911" s="280">
        <f t="shared" si="1555"/>
        <v>0.123901</v>
      </c>
      <c r="P5911" s="166"/>
      <c r="Q5911" s="166">
        <f t="shared" si="1556"/>
        <v>10276.844544</v>
      </c>
      <c r="R5911" s="71"/>
    </row>
    <row r="5912" spans="1:41" s="61" customFormat="1" ht="47.25" x14ac:dyDescent="0.25">
      <c r="A5912" s="358"/>
      <c r="B5912" s="361"/>
      <c r="C5912" s="366"/>
      <c r="D5912" s="156" t="s">
        <v>399</v>
      </c>
      <c r="E5912" s="156" t="s">
        <v>60</v>
      </c>
      <c r="F5912" s="156" t="s">
        <v>60</v>
      </c>
      <c r="G5912" s="238">
        <f t="shared" si="1554"/>
        <v>3.9648440000000001E-5</v>
      </c>
      <c r="H5912" s="158">
        <f>$H$2112</f>
        <v>4</v>
      </c>
      <c r="I5912" s="159">
        <f>I5911</f>
        <v>8.2214999999999996E-2</v>
      </c>
      <c r="J5912" s="160"/>
      <c r="K5912" s="161">
        <f>K5911</f>
        <v>82944</v>
      </c>
      <c r="L5912" s="250">
        <v>10</v>
      </c>
      <c r="M5912" s="163" t="str">
        <f>CONCATENATE(H5912," ",F5912,"*",L5912,"мес.","*",I5912,"/",K5912,"чел/час")</f>
        <v>4 шт.*10мес.*0,082215/82944чел/час</v>
      </c>
      <c r="N5912" s="278">
        <f t="shared" si="1557"/>
        <v>2522.5597499999994</v>
      </c>
      <c r="O5912" s="280">
        <f t="shared" si="1555"/>
        <v>0.10001599999999999</v>
      </c>
      <c r="P5912" s="166"/>
      <c r="Q5912" s="166">
        <f t="shared" si="1556"/>
        <v>8295.7271039999996</v>
      </c>
      <c r="R5912" s="71"/>
    </row>
    <row r="5913" spans="1:41" s="61" customFormat="1" ht="47.25" x14ac:dyDescent="0.25">
      <c r="A5913" s="358"/>
      <c r="B5913" s="361"/>
      <c r="C5913" s="366"/>
      <c r="D5913" s="156" t="s">
        <v>36</v>
      </c>
      <c r="E5913" s="156" t="s">
        <v>31</v>
      </c>
      <c r="F5913" s="156" t="s">
        <v>224</v>
      </c>
      <c r="G5913" s="238">
        <f t="shared" si="1554"/>
        <v>9.5156249999999999E-5</v>
      </c>
      <c r="H5913" s="158">
        <f>H5501</f>
        <v>8</v>
      </c>
      <c r="I5913" s="159">
        <f>I5912</f>
        <v>8.2214999999999996E-2</v>
      </c>
      <c r="J5913" s="160"/>
      <c r="K5913" s="161">
        <f>K5912</f>
        <v>82944</v>
      </c>
      <c r="L5913" s="250">
        <v>12</v>
      </c>
      <c r="M5913" s="163" t="str">
        <f>CONCATENATE(H5913," ",F5913,"*",L5913,"мес.","*",I5913,"/",K5913,"чел/час")</f>
        <v>8 устройств*12мес.*0,082215/82944чел/час</v>
      </c>
      <c r="N5913" s="278">
        <f t="shared" si="1557"/>
        <v>2301.2000000000003</v>
      </c>
      <c r="O5913" s="280">
        <f t="shared" si="1555"/>
        <v>0.218974</v>
      </c>
      <c r="P5913" s="166"/>
      <c r="Q5913" s="166">
        <f t="shared" si="1556"/>
        <v>18162.579455999999</v>
      </c>
      <c r="R5913" s="71"/>
    </row>
    <row r="5914" spans="1:41" s="61" customFormat="1" ht="63" x14ac:dyDescent="0.25">
      <c r="A5914" s="358"/>
      <c r="B5914" s="361"/>
      <c r="C5914" s="366"/>
      <c r="D5914" s="156" t="s">
        <v>253</v>
      </c>
      <c r="E5914" s="156" t="s">
        <v>55</v>
      </c>
      <c r="F5914" s="156" t="s">
        <v>55</v>
      </c>
      <c r="G5914" s="238">
        <f t="shared" si="1554"/>
        <v>5.9472659999999994E-5</v>
      </c>
      <c r="H5914" s="158">
        <f>H5502</f>
        <v>5</v>
      </c>
      <c r="I5914" s="159">
        <f>I5913</f>
        <v>8.2214999999999996E-2</v>
      </c>
      <c r="J5914" s="160"/>
      <c r="K5914" s="161">
        <f>K5913</f>
        <v>82944</v>
      </c>
      <c r="L5914" s="250">
        <v>12</v>
      </c>
      <c r="M5914" s="163" t="str">
        <f>CONCATENATE(H5914," ",F5914,"*",I5914,"/",K5914,"чел/час")</f>
        <v>5 система*0,082215/82944чел/час</v>
      </c>
      <c r="N5914" s="278">
        <f t="shared" si="1557"/>
        <v>4446.5460000000003</v>
      </c>
      <c r="O5914" s="280">
        <f t="shared" si="1555"/>
        <v>0.26444799999999996</v>
      </c>
      <c r="P5914" s="166"/>
      <c r="Q5914" s="166">
        <f t="shared" si="1556"/>
        <v>21934.374911999996</v>
      </c>
      <c r="R5914" s="71"/>
    </row>
    <row r="5915" spans="1:41" s="61" customFormat="1" ht="31.5" x14ac:dyDescent="0.25">
      <c r="A5915" s="358"/>
      <c r="B5915" s="361"/>
      <c r="C5915" s="366"/>
      <c r="D5915" s="156" t="s">
        <v>99</v>
      </c>
      <c r="E5915" s="156" t="s">
        <v>103</v>
      </c>
      <c r="F5915" s="156" t="s">
        <v>225</v>
      </c>
      <c r="G5915" s="238">
        <f t="shared" si="1554"/>
        <v>2.4780269999999998E-5</v>
      </c>
      <c r="H5915" s="158">
        <f>H5503</f>
        <v>25</v>
      </c>
      <c r="I5915" s="159">
        <f>I5914</f>
        <v>8.2214999999999996E-2</v>
      </c>
      <c r="J5915" s="160"/>
      <c r="K5915" s="161">
        <f>K5914</f>
        <v>82944</v>
      </c>
      <c r="L5915" s="250">
        <v>1</v>
      </c>
      <c r="M5915" s="163" t="str">
        <f>CONCATENATE(H5915," ",F5915,"*",I5915,"/",K5915,"чел.")</f>
        <v>25 ед.*0,082215/82944чел.</v>
      </c>
      <c r="N5915" s="164">
        <f t="shared" si="1557"/>
        <v>15000</v>
      </c>
      <c r="O5915" s="165">
        <f>MROUND(G5915*N5915,0.000001)</f>
        <v>0.37170399999999998</v>
      </c>
      <c r="P5915" s="166"/>
      <c r="Q5915" s="166">
        <f t="shared" si="1556"/>
        <v>30830.616575999997</v>
      </c>
      <c r="R5915" s="71"/>
    </row>
    <row r="5916" spans="1:41" s="61" customFormat="1" x14ac:dyDescent="0.25">
      <c r="A5916" s="358"/>
      <c r="B5916" s="361"/>
      <c r="C5916" s="366"/>
      <c r="D5916" s="156" t="s">
        <v>27</v>
      </c>
      <c r="E5916" s="156" t="s">
        <v>28</v>
      </c>
      <c r="F5916" s="156" t="s">
        <v>28</v>
      </c>
      <c r="G5916" s="238">
        <f t="shared" si="1554"/>
        <v>1.4868164E-4</v>
      </c>
      <c r="H5916" s="160">
        <f>H5504</f>
        <v>150</v>
      </c>
      <c r="I5916" s="159">
        <f>I5914</f>
        <v>8.2214999999999996E-2</v>
      </c>
      <c r="J5916" s="160"/>
      <c r="K5916" s="161">
        <f>K5914</f>
        <v>82944</v>
      </c>
      <c r="L5916" s="250">
        <v>1</v>
      </c>
      <c r="M5916" s="163" t="str">
        <f>CONCATENATE(H5916," ",F5916,"*",I5916,"/",K5916,"чел/час")</f>
        <v>150 шт*0,082215/82944чел/час</v>
      </c>
      <c r="N5916" s="278">
        <f t="shared" si="1557"/>
        <v>400</v>
      </c>
      <c r="O5916" s="280">
        <f t="shared" ref="O5916:O5917" si="1558">MROUND(N5916*G5916,0.000001)</f>
        <v>5.9472999999999998E-2</v>
      </c>
      <c r="P5916" s="166"/>
      <c r="Q5916" s="166">
        <f t="shared" si="1556"/>
        <v>4932.9285119999995</v>
      </c>
      <c r="R5916" s="71"/>
    </row>
    <row r="5917" spans="1:41" s="61" customFormat="1" ht="31.5" x14ac:dyDescent="0.25">
      <c r="A5917" s="358"/>
      <c r="B5917" s="361"/>
      <c r="C5917" s="367"/>
      <c r="D5917" s="156" t="s">
        <v>104</v>
      </c>
      <c r="E5917" s="156" t="s">
        <v>105</v>
      </c>
      <c r="F5917" s="156" t="s">
        <v>226</v>
      </c>
      <c r="G5917" s="238">
        <f t="shared" si="1554"/>
        <v>4.9560499999999998E-6</v>
      </c>
      <c r="H5917" s="160">
        <f>H5505</f>
        <v>5</v>
      </c>
      <c r="I5917" s="159">
        <f>I5916</f>
        <v>8.2214999999999996E-2</v>
      </c>
      <c r="J5917" s="160"/>
      <c r="K5917" s="161">
        <f>K5916</f>
        <v>82944</v>
      </c>
      <c r="L5917" s="250">
        <v>1</v>
      </c>
      <c r="M5917" s="163" t="str">
        <f>CONCATENATE(H5917," ",F5917,"*",I5917,"/",K5917,"чел/час")</f>
        <v>5 отключений*0,082215/82944чел/час</v>
      </c>
      <c r="N5917" s="278">
        <f t="shared" si="1557"/>
        <v>9414</v>
      </c>
      <c r="O5917" s="280">
        <f t="shared" si="1558"/>
        <v>4.6655999999999996E-2</v>
      </c>
      <c r="P5917" s="166"/>
      <c r="Q5917" s="166">
        <f t="shared" si="1556"/>
        <v>3869.8352639999998</v>
      </c>
      <c r="R5917" s="71"/>
    </row>
    <row r="5918" spans="1:41" s="109" customFormat="1" x14ac:dyDescent="0.25">
      <c r="A5918" s="358"/>
      <c r="B5918" s="361"/>
      <c r="C5918" s="249" t="s">
        <v>326</v>
      </c>
      <c r="D5918" s="240"/>
      <c r="E5918" s="240"/>
      <c r="F5918" s="240"/>
      <c r="G5918" s="227"/>
      <c r="H5918" s="228"/>
      <c r="I5918" s="206"/>
      <c r="J5918" s="228"/>
      <c r="K5918" s="207"/>
      <c r="L5918" s="257"/>
      <c r="M5918" s="209"/>
      <c r="N5918" s="281"/>
      <c r="O5918" s="279">
        <f>SUM(O5903:O5917)</f>
        <v>1.6011660000000001</v>
      </c>
      <c r="P5918" s="267"/>
      <c r="Q5918" s="166"/>
      <c r="R5918" s="71"/>
      <c r="S5918" s="62"/>
      <c r="T5918" s="62"/>
      <c r="U5918" s="62"/>
      <c r="V5918" s="62"/>
      <c r="W5918" s="62"/>
      <c r="X5918" s="62"/>
      <c r="Y5918" s="62"/>
      <c r="Z5918" s="62"/>
      <c r="AA5918" s="62"/>
      <c r="AB5918" s="62"/>
      <c r="AC5918" s="62"/>
      <c r="AD5918" s="62"/>
      <c r="AE5918" s="62"/>
      <c r="AF5918" s="62"/>
      <c r="AG5918" s="62"/>
      <c r="AH5918" s="62"/>
      <c r="AI5918" s="62"/>
      <c r="AJ5918" s="62"/>
      <c r="AK5918" s="62"/>
      <c r="AL5918" s="62"/>
      <c r="AM5918" s="62"/>
      <c r="AN5918" s="62"/>
      <c r="AO5918" s="62"/>
    </row>
    <row r="5919" spans="1:41" s="61" customFormat="1" ht="31.5" x14ac:dyDescent="0.25">
      <c r="A5919" s="358"/>
      <c r="B5919" s="361"/>
      <c r="C5919" s="221" t="s">
        <v>79</v>
      </c>
      <c r="D5919" s="156" t="s">
        <v>37</v>
      </c>
      <c r="E5919" s="156" t="s">
        <v>61</v>
      </c>
      <c r="F5919" s="156" t="s">
        <v>254</v>
      </c>
      <c r="G5919" s="238">
        <f>MROUND(H5919*L5919*I5919/K5919,0.00000000001)</f>
        <v>9.9120999999999999E-7</v>
      </c>
      <c r="H5919" s="158">
        <f>$H$2119</f>
        <v>1</v>
      </c>
      <c r="I5919" s="159">
        <f>I5917</f>
        <v>8.2214999999999996E-2</v>
      </c>
      <c r="J5919" s="160"/>
      <c r="K5919" s="161">
        <f>K5917</f>
        <v>82944</v>
      </c>
      <c r="L5919" s="250">
        <v>1</v>
      </c>
      <c r="M5919" s="163" t="str">
        <f>CONCATENATE(H5919," ",F5919,"*",I5919,"/",K5919,"чел/час")</f>
        <v>1 автобус*0,082215/82944чел/час</v>
      </c>
      <c r="N5919" s="278">
        <f>N5507</f>
        <v>24426.36</v>
      </c>
      <c r="O5919" s="280">
        <f>MROUND(N5919*G5919,0.000001)</f>
        <v>2.4211999999999997E-2</v>
      </c>
      <c r="P5919" s="166"/>
      <c r="Q5919" s="166">
        <f>O5919*K5919</f>
        <v>2008.2401279999997</v>
      </c>
      <c r="R5919" s="71"/>
    </row>
    <row r="5920" spans="1:41" s="61" customFormat="1" x14ac:dyDescent="0.25">
      <c r="A5920" s="358"/>
      <c r="B5920" s="361"/>
      <c r="C5920" s="221"/>
      <c r="D5920" s="156" t="s">
        <v>255</v>
      </c>
      <c r="E5920" s="156" t="s">
        <v>28</v>
      </c>
      <c r="F5920" s="156" t="s">
        <v>28</v>
      </c>
      <c r="G5920" s="238">
        <f>MROUND(H5920*L5920*I5920/K5920,0.00000000001)</f>
        <v>6.8393554999999996E-4</v>
      </c>
      <c r="H5920" s="158">
        <f>H5508</f>
        <v>345</v>
      </c>
      <c r="I5920" s="159">
        <f>I5919</f>
        <v>8.2214999999999996E-2</v>
      </c>
      <c r="J5920" s="160"/>
      <c r="K5920" s="161">
        <f>K5919</f>
        <v>82944</v>
      </c>
      <c r="L5920" s="250">
        <v>2</v>
      </c>
      <c r="M5920" s="163" t="str">
        <f>CONCATENATE(H5920," ",F5920,"*",L5920,"раза в год","*",I5920,"/",K5920,"чел/час")</f>
        <v>345 шт*2раза в год*0,082215/82944чел/час</v>
      </c>
      <c r="N5920" s="278">
        <f>N5508</f>
        <v>456.05601449275366</v>
      </c>
      <c r="O5920" s="280">
        <f>MROUND(N5920*G5920,0.000001)</f>
        <v>0.311913</v>
      </c>
      <c r="P5920" s="166"/>
      <c r="Q5920" s="166">
        <f>O5920*K5920</f>
        <v>25871.311871999998</v>
      </c>
      <c r="R5920" s="71"/>
    </row>
    <row r="5921" spans="1:41" s="109" customFormat="1" x14ac:dyDescent="0.25">
      <c r="A5921" s="358"/>
      <c r="B5921" s="361"/>
      <c r="C5921" s="218" t="s">
        <v>328</v>
      </c>
      <c r="D5921" s="240"/>
      <c r="E5921" s="240"/>
      <c r="F5921" s="240"/>
      <c r="G5921" s="227"/>
      <c r="H5921" s="241"/>
      <c r="I5921" s="206"/>
      <c r="J5921" s="228"/>
      <c r="K5921" s="207"/>
      <c r="L5921" s="257"/>
      <c r="M5921" s="209"/>
      <c r="N5921" s="281"/>
      <c r="O5921" s="279">
        <f>O5920+O5919</f>
        <v>0.33612500000000001</v>
      </c>
      <c r="P5921" s="267"/>
      <c r="Q5921" s="166"/>
      <c r="R5921" s="71"/>
      <c r="S5921" s="62"/>
      <c r="T5921" s="62"/>
      <c r="U5921" s="62"/>
      <c r="V5921" s="62"/>
      <c r="W5921" s="62"/>
      <c r="X5921" s="62"/>
      <c r="Y5921" s="62"/>
      <c r="Z5921" s="62"/>
      <c r="AA5921" s="62"/>
      <c r="AB5921" s="62"/>
      <c r="AC5921" s="62"/>
      <c r="AD5921" s="62"/>
      <c r="AE5921" s="62"/>
      <c r="AF5921" s="62"/>
      <c r="AG5921" s="62"/>
      <c r="AH5921" s="62"/>
      <c r="AI5921" s="62"/>
      <c r="AJ5921" s="62"/>
      <c r="AK5921" s="62"/>
      <c r="AL5921" s="62"/>
      <c r="AM5921" s="62"/>
      <c r="AN5921" s="62"/>
      <c r="AO5921" s="62"/>
    </row>
    <row r="5922" spans="1:41" s="61" customFormat="1" x14ac:dyDescent="0.25">
      <c r="A5922" s="358"/>
      <c r="B5922" s="361"/>
      <c r="C5922" s="364" t="s">
        <v>80</v>
      </c>
      <c r="D5922" s="156" t="s">
        <v>38</v>
      </c>
      <c r="E5922" s="156" t="s">
        <v>57</v>
      </c>
      <c r="F5922" s="156" t="s">
        <v>228</v>
      </c>
      <c r="G5922" s="238">
        <f t="shared" ref="G5922:G5933" si="1559">MROUND(H5922*L5922*I5922/K5922,0.00000000001)</f>
        <v>9.5156249999999999E-5</v>
      </c>
      <c r="H5922" s="158">
        <f>H5510</f>
        <v>8</v>
      </c>
      <c r="I5922" s="159">
        <f>I5919</f>
        <v>8.2214999999999996E-2</v>
      </c>
      <c r="J5922" s="160"/>
      <c r="K5922" s="161">
        <f>K5919</f>
        <v>82944</v>
      </c>
      <c r="L5922" s="250">
        <v>12</v>
      </c>
      <c r="M5922" s="163" t="str">
        <f>CONCATENATE(H5922," ",F5922,"*",L5922,"мес.","*",I5922,"/",K5922,"чел/час")</f>
        <v>8 зданий*12мес.*0,082215/82944чел/час</v>
      </c>
      <c r="N5922" s="278">
        <f t="shared" ref="N5922:N5931" si="1560">N5510</f>
        <v>4910.5830208333327</v>
      </c>
      <c r="O5922" s="280">
        <f t="shared" ref="O5922:O5933" si="1561">MROUND(N5922*G5922,0.000001)</f>
        <v>0.46727299999999999</v>
      </c>
      <c r="P5922" s="166"/>
      <c r="Q5922" s="166">
        <f t="shared" ref="Q5922:Q5933" si="1562">O5922*K5922</f>
        <v>38757.491712000003</v>
      </c>
      <c r="R5922" s="71"/>
    </row>
    <row r="5923" spans="1:41" s="61" customFormat="1" x14ac:dyDescent="0.25">
      <c r="A5923" s="358"/>
      <c r="B5923" s="361"/>
      <c r="C5923" s="364"/>
      <c r="D5923" s="156" t="s">
        <v>256</v>
      </c>
      <c r="E5923" s="156" t="s">
        <v>20</v>
      </c>
      <c r="F5923" s="156" t="s">
        <v>20</v>
      </c>
      <c r="G5923" s="238">
        <f t="shared" si="1559"/>
        <v>1.8535644999999998E-4</v>
      </c>
      <c r="H5923" s="158">
        <f>H5511</f>
        <v>187</v>
      </c>
      <c r="I5923" s="159">
        <f>I5920</f>
        <v>8.2214999999999996E-2</v>
      </c>
      <c r="J5923" s="160"/>
      <c r="K5923" s="161">
        <f>K5920</f>
        <v>82944</v>
      </c>
      <c r="L5923" s="250">
        <v>1</v>
      </c>
      <c r="M5923" s="163" t="str">
        <f t="shared" ref="M5923:M5930" si="1563">CONCATENATE(H5923," ",F5923,"*",I5923,"/",K5923,"чел/час")</f>
        <v>187 чел.*0,082215/82944чел/час</v>
      </c>
      <c r="N5923" s="278">
        <f t="shared" si="1560"/>
        <v>1938.2379679144385</v>
      </c>
      <c r="O5923" s="280">
        <f t="shared" si="1561"/>
        <v>0.359265</v>
      </c>
      <c r="P5923" s="166"/>
      <c r="Q5923" s="166">
        <f t="shared" si="1562"/>
        <v>29798.87616</v>
      </c>
      <c r="R5923" s="71"/>
    </row>
    <row r="5924" spans="1:41" s="61" customFormat="1" ht="63" x14ac:dyDescent="0.25">
      <c r="A5924" s="358"/>
      <c r="B5924" s="361"/>
      <c r="C5924" s="364"/>
      <c r="D5924" s="156" t="s">
        <v>39</v>
      </c>
      <c r="E5924" s="156" t="s">
        <v>20</v>
      </c>
      <c r="F5924" s="156" t="s">
        <v>234</v>
      </c>
      <c r="G5924" s="238">
        <f t="shared" si="1559"/>
        <v>8.9208999999999996E-6</v>
      </c>
      <c r="H5924" s="158">
        <f>H5512</f>
        <v>9</v>
      </c>
      <c r="I5924" s="159">
        <f>I5922</f>
        <v>8.2214999999999996E-2</v>
      </c>
      <c r="J5924" s="160"/>
      <c r="K5924" s="161">
        <f>K5922</f>
        <v>82944</v>
      </c>
      <c r="L5924" s="250">
        <v>1</v>
      </c>
      <c r="M5924" s="163" t="str">
        <f t="shared" si="1563"/>
        <v>9 чел(заявленная потребность руководителями учреждений)*0,082215/82944чел/час</v>
      </c>
      <c r="N5924" s="278">
        <f t="shared" si="1560"/>
        <v>798.09666666666669</v>
      </c>
      <c r="O5924" s="280">
        <f t="shared" si="1561"/>
        <v>7.1199999999999996E-3</v>
      </c>
      <c r="P5924" s="166"/>
      <c r="Q5924" s="166">
        <f t="shared" si="1562"/>
        <v>590.56128000000001</v>
      </c>
      <c r="R5924" s="71"/>
    </row>
    <row r="5925" spans="1:41" s="61" customFormat="1" ht="63" x14ac:dyDescent="0.25">
      <c r="A5925" s="358"/>
      <c r="B5925" s="361"/>
      <c r="C5925" s="364"/>
      <c r="D5925" s="156" t="s">
        <v>40</v>
      </c>
      <c r="E5925" s="156" t="s">
        <v>20</v>
      </c>
      <c r="F5925" s="156" t="s">
        <v>234</v>
      </c>
      <c r="G5925" s="238">
        <f t="shared" si="1559"/>
        <v>1.2885739999999999E-5</v>
      </c>
      <c r="H5925" s="158">
        <f>H5513</f>
        <v>13</v>
      </c>
      <c r="I5925" s="159">
        <f t="shared" ref="I5925:I5930" si="1564">I5924</f>
        <v>8.2214999999999996E-2</v>
      </c>
      <c r="J5925" s="160"/>
      <c r="K5925" s="161">
        <f t="shared" ref="K5925:K5930" si="1565">K5924</f>
        <v>82944</v>
      </c>
      <c r="L5925" s="250">
        <v>1</v>
      </c>
      <c r="M5925" s="163" t="str">
        <f t="shared" si="1563"/>
        <v>13 чел(заявленная потребность руководителями учреждений)*0,082215/82944чел/час</v>
      </c>
      <c r="N5925" s="278">
        <f t="shared" si="1560"/>
        <v>1710.2100000000003</v>
      </c>
      <c r="O5925" s="280">
        <f t="shared" si="1561"/>
        <v>2.2036999999999998E-2</v>
      </c>
      <c r="P5925" s="166"/>
      <c r="Q5925" s="166">
        <f t="shared" si="1562"/>
        <v>1827.8369279999997</v>
      </c>
      <c r="R5925" s="71"/>
    </row>
    <row r="5926" spans="1:41" s="61" customFormat="1" ht="63" x14ac:dyDescent="0.25">
      <c r="A5926" s="358"/>
      <c r="B5926" s="361"/>
      <c r="C5926" s="364"/>
      <c r="D5926" s="156" t="s">
        <v>100</v>
      </c>
      <c r="E5926" s="156" t="s">
        <v>20</v>
      </c>
      <c r="F5926" s="156" t="s">
        <v>234</v>
      </c>
      <c r="G5926" s="238">
        <f t="shared" si="1559"/>
        <v>6.9384799999999992E-6</v>
      </c>
      <c r="H5926" s="158">
        <f>H5514</f>
        <v>7</v>
      </c>
      <c r="I5926" s="159">
        <f t="shared" si="1564"/>
        <v>8.2214999999999996E-2</v>
      </c>
      <c r="J5926" s="160"/>
      <c r="K5926" s="161">
        <f t="shared" si="1565"/>
        <v>82944</v>
      </c>
      <c r="L5926" s="250">
        <v>1</v>
      </c>
      <c r="M5926" s="163" t="str">
        <f t="shared" si="1563"/>
        <v>7 чел(заявленная потребность руководителями учреждений)*0,082215/82944чел/час</v>
      </c>
      <c r="N5926" s="278">
        <f t="shared" si="1560"/>
        <v>3648.4471428571428</v>
      </c>
      <c r="O5926" s="280">
        <f t="shared" si="1561"/>
        <v>2.5314999999999997E-2</v>
      </c>
      <c r="P5926" s="166"/>
      <c r="Q5926" s="166">
        <f t="shared" si="1562"/>
        <v>2099.7273599999999</v>
      </c>
      <c r="R5926" s="71"/>
    </row>
    <row r="5927" spans="1:41" s="61" customFormat="1" ht="110.25" x14ac:dyDescent="0.25">
      <c r="A5927" s="358"/>
      <c r="B5927" s="361"/>
      <c r="C5927" s="364"/>
      <c r="D5927" s="156" t="s">
        <v>235</v>
      </c>
      <c r="E5927" s="156" t="s">
        <v>50</v>
      </c>
      <c r="F5927" s="156" t="s">
        <v>230</v>
      </c>
      <c r="G5927" s="238">
        <f t="shared" si="1559"/>
        <v>4.9560499999999998E-6</v>
      </c>
      <c r="H5927" s="158">
        <v>5</v>
      </c>
      <c r="I5927" s="159">
        <f t="shared" si="1564"/>
        <v>8.2214999999999996E-2</v>
      </c>
      <c r="J5927" s="160"/>
      <c r="K5927" s="161">
        <f t="shared" si="1565"/>
        <v>82944</v>
      </c>
      <c r="L5927" s="250">
        <v>1</v>
      </c>
      <c r="M5927" s="163" t="str">
        <f t="shared" si="1563"/>
        <v>5 отчетов*0,082215/82944чел/час</v>
      </c>
      <c r="N5927" s="278">
        <f t="shared" si="1560"/>
        <v>6840.8399999999992</v>
      </c>
      <c r="O5927" s="280">
        <f t="shared" si="1561"/>
        <v>3.3903999999999997E-2</v>
      </c>
      <c r="P5927" s="166"/>
      <c r="Q5927" s="166">
        <f t="shared" si="1562"/>
        <v>2812.1333759999998</v>
      </c>
      <c r="R5927" s="71"/>
    </row>
    <row r="5928" spans="1:41" s="61" customFormat="1" ht="63" x14ac:dyDescent="0.25">
      <c r="A5928" s="358"/>
      <c r="B5928" s="361"/>
      <c r="C5928" s="364"/>
      <c r="D5928" s="156" t="s">
        <v>42</v>
      </c>
      <c r="E5928" s="156" t="s">
        <v>51</v>
      </c>
      <c r="F5928" s="156" t="s">
        <v>407</v>
      </c>
      <c r="G5928" s="238">
        <f t="shared" si="1559"/>
        <v>2.5771479999999997E-5</v>
      </c>
      <c r="H5928" s="158">
        <f>H5516</f>
        <v>26</v>
      </c>
      <c r="I5928" s="159">
        <f t="shared" si="1564"/>
        <v>8.2214999999999996E-2</v>
      </c>
      <c r="J5928" s="160"/>
      <c r="K5928" s="161">
        <f t="shared" si="1565"/>
        <v>82944</v>
      </c>
      <c r="L5928" s="250">
        <v>1</v>
      </c>
      <c r="M5928" s="163" t="str">
        <f t="shared" si="1563"/>
        <v>26 ед (заявленная потребность руководителями учреждений)*0,082215/82944чел/час</v>
      </c>
      <c r="N5928" s="278">
        <f t="shared" si="1560"/>
        <v>1140.1400000000001</v>
      </c>
      <c r="O5928" s="280">
        <f t="shared" si="1561"/>
        <v>2.9382999999999999E-2</v>
      </c>
      <c r="P5928" s="166"/>
      <c r="Q5928" s="166">
        <f t="shared" si="1562"/>
        <v>2437.143552</v>
      </c>
      <c r="R5928" s="71"/>
    </row>
    <row r="5929" spans="1:41" s="61" customFormat="1" ht="31.5" x14ac:dyDescent="0.25">
      <c r="A5929" s="358"/>
      <c r="B5929" s="361"/>
      <c r="C5929" s="364"/>
      <c r="D5929" s="156" t="s">
        <v>43</v>
      </c>
      <c r="E5929" s="156" t="s">
        <v>52</v>
      </c>
      <c r="F5929" s="156" t="s">
        <v>231</v>
      </c>
      <c r="G5929" s="238">
        <f t="shared" si="1559"/>
        <v>4.9560499999999998E-6</v>
      </c>
      <c r="H5929" s="158">
        <v>5</v>
      </c>
      <c r="I5929" s="159">
        <f t="shared" si="1564"/>
        <v>8.2214999999999996E-2</v>
      </c>
      <c r="J5929" s="160"/>
      <c r="K5929" s="161">
        <f t="shared" si="1565"/>
        <v>82944</v>
      </c>
      <c r="L5929" s="250">
        <v>1</v>
      </c>
      <c r="M5929" s="163" t="str">
        <f t="shared" si="1563"/>
        <v>5 ЭЦП*0,082215/82944чел/час</v>
      </c>
      <c r="N5929" s="278">
        <f t="shared" si="1560"/>
        <v>8099.55</v>
      </c>
      <c r="O5929" s="280">
        <f t="shared" si="1561"/>
        <v>4.0141999999999997E-2</v>
      </c>
      <c r="P5929" s="166"/>
      <c r="Q5929" s="166">
        <f t="shared" si="1562"/>
        <v>3329.5380479999999</v>
      </c>
      <c r="R5929" s="71"/>
    </row>
    <row r="5930" spans="1:41" s="61" customFormat="1" x14ac:dyDescent="0.25">
      <c r="A5930" s="358"/>
      <c r="B5930" s="361"/>
      <c r="C5930" s="364"/>
      <c r="D5930" s="156" t="s">
        <v>373</v>
      </c>
      <c r="E5930" s="156" t="s">
        <v>28</v>
      </c>
      <c r="F5930" s="156" t="s">
        <v>28</v>
      </c>
      <c r="G5930" s="238">
        <f t="shared" si="1559"/>
        <v>4.9560499999999998E-6</v>
      </c>
      <c r="H5930" s="158">
        <f>H5518</f>
        <v>5</v>
      </c>
      <c r="I5930" s="159">
        <f t="shared" si="1564"/>
        <v>8.2214999999999996E-2</v>
      </c>
      <c r="J5930" s="160"/>
      <c r="K5930" s="161">
        <f t="shared" si="1565"/>
        <v>82944</v>
      </c>
      <c r="L5930" s="250">
        <v>1</v>
      </c>
      <c r="M5930" s="163" t="str">
        <f t="shared" si="1563"/>
        <v>5 шт*0,082215/82944чел/час</v>
      </c>
      <c r="N5930" s="278">
        <f t="shared" si="1560"/>
        <v>24000</v>
      </c>
      <c r="O5930" s="280">
        <f t="shared" si="1561"/>
        <v>0.118945</v>
      </c>
      <c r="P5930" s="166"/>
      <c r="Q5930" s="166">
        <f t="shared" si="1562"/>
        <v>9865.7740799999992</v>
      </c>
      <c r="R5930" s="71"/>
    </row>
    <row r="5931" spans="1:41" s="61" customFormat="1" ht="63" x14ac:dyDescent="0.25">
      <c r="A5931" s="358"/>
      <c r="B5931" s="361"/>
      <c r="C5931" s="364"/>
      <c r="D5931" s="156" t="s">
        <v>45</v>
      </c>
      <c r="E5931" s="156" t="s">
        <v>53</v>
      </c>
      <c r="F5931" s="156" t="s">
        <v>257</v>
      </c>
      <c r="G5931" s="238">
        <f t="shared" si="1559"/>
        <v>1.189453E-5</v>
      </c>
      <c r="H5931" s="158">
        <v>1</v>
      </c>
      <c r="I5931" s="159">
        <f>I5929</f>
        <v>8.2214999999999996E-2</v>
      </c>
      <c r="J5931" s="160"/>
      <c r="K5931" s="161">
        <f>K5929</f>
        <v>82944</v>
      </c>
      <c r="L5931" s="250">
        <v>12</v>
      </c>
      <c r="M5931" s="163" t="str">
        <f>CONCATENATE(H5931," ",F5931,"*",L5931,"мес.","*",I5931,"/",K5931,"чел/час")</f>
        <v>1  машина, оборудованная системой ГЛОНАСС*12мес.*0,082215/82944чел/час</v>
      </c>
      <c r="N5931" s="278">
        <f t="shared" si="1560"/>
        <v>921.23333333333346</v>
      </c>
      <c r="O5931" s="280">
        <f t="shared" si="1561"/>
        <v>1.0957999999999999E-2</v>
      </c>
      <c r="P5931" s="166"/>
      <c r="Q5931" s="166">
        <f t="shared" si="1562"/>
        <v>908.90035199999988</v>
      </c>
      <c r="R5931" s="71"/>
    </row>
    <row r="5932" spans="1:41" s="136" customFormat="1" ht="47.25" x14ac:dyDescent="0.25">
      <c r="A5932" s="358"/>
      <c r="B5932" s="361"/>
      <c r="C5932" s="364"/>
      <c r="D5932" s="156" t="s">
        <v>44</v>
      </c>
      <c r="E5932" s="156" t="s">
        <v>85</v>
      </c>
      <c r="F5932" s="156" t="s">
        <v>232</v>
      </c>
      <c r="G5932" s="238">
        <f t="shared" si="1559"/>
        <v>3.0132812999999998E-4</v>
      </c>
      <c r="H5932" s="158">
        <f>$H$2132</f>
        <v>304</v>
      </c>
      <c r="I5932" s="159">
        <f>I5931</f>
        <v>8.2214999999999996E-2</v>
      </c>
      <c r="J5932" s="160"/>
      <c r="K5932" s="161">
        <f>K5931</f>
        <v>82944</v>
      </c>
      <c r="L5932" s="250">
        <v>1</v>
      </c>
      <c r="M5932" s="163" t="str">
        <f>CONCATENATE(H5932," ",F5932,"*",L5932,"мес.","*",I5932,"/",K5932,"чел.")</f>
        <v>304 мед.осмотров в мес.*1мес.*0,082215/82944чел.</v>
      </c>
      <c r="N5932" s="278">
        <f>$N$5520</f>
        <v>59.287269736842113</v>
      </c>
      <c r="O5932" s="280">
        <f t="shared" si="1561"/>
        <v>1.7864999999999999E-2</v>
      </c>
      <c r="P5932" s="166"/>
      <c r="Q5932" s="166">
        <f t="shared" si="1562"/>
        <v>1481.7945599999998</v>
      </c>
      <c r="R5932" s="71"/>
      <c r="S5932" s="71"/>
      <c r="T5932" s="61"/>
      <c r="U5932" s="61"/>
      <c r="V5932" s="61"/>
      <c r="W5932" s="61"/>
      <c r="X5932" s="61"/>
      <c r="Y5932" s="61"/>
      <c r="Z5932" s="61"/>
      <c r="AA5932" s="61"/>
      <c r="AB5932" s="61"/>
      <c r="AC5932" s="61"/>
      <c r="AD5932" s="61"/>
      <c r="AE5932" s="61"/>
      <c r="AF5932" s="61"/>
      <c r="AG5932" s="61"/>
      <c r="AH5932" s="61"/>
      <c r="AI5932" s="61"/>
      <c r="AJ5932" s="61"/>
      <c r="AK5932" s="61"/>
      <c r="AL5932" s="61"/>
      <c r="AM5932" s="61"/>
      <c r="AN5932" s="61"/>
      <c r="AO5932" s="61"/>
    </row>
    <row r="5933" spans="1:41" s="61" customFormat="1" ht="31.5" x14ac:dyDescent="0.25">
      <c r="A5933" s="358"/>
      <c r="B5933" s="361"/>
      <c r="C5933" s="364"/>
      <c r="D5933" s="156" t="s">
        <v>408</v>
      </c>
      <c r="E5933" s="156" t="s">
        <v>20</v>
      </c>
      <c r="F5933" s="156" t="s">
        <v>20</v>
      </c>
      <c r="G5933" s="238">
        <f t="shared" si="1559"/>
        <v>0</v>
      </c>
      <c r="H5933" s="158"/>
      <c r="I5933" s="159">
        <f>I5931</f>
        <v>8.2214999999999996E-2</v>
      </c>
      <c r="J5933" s="160"/>
      <c r="K5933" s="161">
        <f>K5931</f>
        <v>82944</v>
      </c>
      <c r="L5933" s="250">
        <f>L5521</f>
        <v>1</v>
      </c>
      <c r="M5933" s="163"/>
      <c r="N5933" s="278"/>
      <c r="O5933" s="280">
        <f t="shared" si="1561"/>
        <v>0</v>
      </c>
      <c r="P5933" s="166"/>
      <c r="Q5933" s="166">
        <f t="shared" si="1562"/>
        <v>0</v>
      </c>
      <c r="R5933" s="71"/>
    </row>
    <row r="5934" spans="1:41" s="109" customFormat="1" x14ac:dyDescent="0.25">
      <c r="A5934" s="358"/>
      <c r="B5934" s="361"/>
      <c r="C5934" s="245" t="s">
        <v>329</v>
      </c>
      <c r="D5934" s="240"/>
      <c r="E5934" s="240"/>
      <c r="F5934" s="240"/>
      <c r="G5934" s="227"/>
      <c r="H5934" s="241"/>
      <c r="I5934" s="206"/>
      <c r="J5934" s="228"/>
      <c r="K5934" s="207"/>
      <c r="L5934" s="257"/>
      <c r="M5934" s="209"/>
      <c r="N5934" s="281"/>
      <c r="O5934" s="279">
        <f>SUM(O5922:O5933)</f>
        <v>1.1322070000000002</v>
      </c>
      <c r="P5934" s="267"/>
      <c r="Q5934" s="166"/>
      <c r="R5934" s="71"/>
      <c r="S5934" s="62"/>
      <c r="T5934" s="62"/>
      <c r="U5934" s="62"/>
      <c r="V5934" s="62"/>
      <c r="W5934" s="62"/>
      <c r="X5934" s="62"/>
      <c r="Y5934" s="62"/>
      <c r="Z5934" s="62"/>
      <c r="AA5934" s="62"/>
      <c r="AB5934" s="62"/>
      <c r="AC5934" s="62"/>
      <c r="AD5934" s="62"/>
      <c r="AE5934" s="62"/>
      <c r="AF5934" s="62"/>
      <c r="AG5934" s="62"/>
      <c r="AH5934" s="62"/>
      <c r="AI5934" s="62"/>
      <c r="AJ5934" s="62"/>
      <c r="AK5934" s="62"/>
      <c r="AL5934" s="62"/>
      <c r="AM5934" s="62"/>
      <c r="AN5934" s="62"/>
      <c r="AO5934" s="62"/>
    </row>
    <row r="5935" spans="1:41" s="61" customFormat="1" ht="31.5" x14ac:dyDescent="0.25">
      <c r="A5935" s="358"/>
      <c r="B5935" s="361"/>
      <c r="C5935" s="252" t="s">
        <v>237</v>
      </c>
      <c r="D5935" s="156" t="s">
        <v>41</v>
      </c>
      <c r="E5935" s="156" t="s">
        <v>61</v>
      </c>
      <c r="F5935" s="156" t="s">
        <v>254</v>
      </c>
      <c r="G5935" s="238">
        <f t="shared" ref="G5935:G5946" si="1566">MROUND(H5935*L5935*I5935/K5935,0.00000000001)</f>
        <v>9.9120999999999999E-7</v>
      </c>
      <c r="H5935" s="158">
        <v>1</v>
      </c>
      <c r="I5935" s="159">
        <f>I5933</f>
        <v>8.2214999999999996E-2</v>
      </c>
      <c r="J5935" s="160"/>
      <c r="K5935" s="161">
        <f>K5933</f>
        <v>82944</v>
      </c>
      <c r="L5935" s="250">
        <v>1</v>
      </c>
      <c r="M5935" s="163" t="str">
        <f>CONCATENATE(H5935," ",F5935,"*",I5935,"/",K5935,"чел/час")</f>
        <v>1 автобус*0,082215/82944чел/час</v>
      </c>
      <c r="N5935" s="278">
        <f>N5523</f>
        <v>26907.3</v>
      </c>
      <c r="O5935" s="280">
        <f t="shared" ref="O5935:O5946" si="1567">MROUND(N5935*G5935,0.000001)</f>
        <v>2.6671E-2</v>
      </c>
      <c r="P5935" s="166"/>
      <c r="Q5935" s="166">
        <f t="shared" ref="Q5935:Q5946" si="1568">O5935*K5935</f>
        <v>2212.1994239999999</v>
      </c>
      <c r="R5935" s="71"/>
    </row>
    <row r="5936" spans="1:41" s="61" customFormat="1" ht="78.75" x14ac:dyDescent="0.25">
      <c r="A5936" s="358"/>
      <c r="B5936" s="361"/>
      <c r="C5936" s="221" t="s">
        <v>236</v>
      </c>
      <c r="D5936" s="156" t="s">
        <v>19</v>
      </c>
      <c r="E5936" s="181" t="s">
        <v>20</v>
      </c>
      <c r="F5936" s="181" t="s">
        <v>238</v>
      </c>
      <c r="G5936" s="238">
        <f t="shared" si="1566"/>
        <v>0</v>
      </c>
      <c r="H5936" s="158"/>
      <c r="I5936" s="159">
        <f>I5933</f>
        <v>8.2214999999999996E-2</v>
      </c>
      <c r="J5936" s="160"/>
      <c r="K5936" s="161">
        <f>K5933</f>
        <v>82944</v>
      </c>
      <c r="L5936" s="250"/>
      <c r="M5936" s="163"/>
      <c r="N5936" s="278"/>
      <c r="O5936" s="280">
        <f t="shared" si="1567"/>
        <v>0</v>
      </c>
      <c r="P5936" s="166"/>
      <c r="Q5936" s="166">
        <f t="shared" si="1568"/>
        <v>0</v>
      </c>
      <c r="R5936" s="71"/>
    </row>
    <row r="5937" spans="1:41" s="136" customFormat="1" ht="31.5" x14ac:dyDescent="0.25">
      <c r="A5937" s="358"/>
      <c r="B5937" s="361"/>
      <c r="C5937" s="372" t="s">
        <v>81</v>
      </c>
      <c r="D5937" s="156" t="s">
        <v>419</v>
      </c>
      <c r="E5937" s="156" t="s">
        <v>28</v>
      </c>
      <c r="F5937" s="156" t="s">
        <v>439</v>
      </c>
      <c r="G5937" s="238">
        <f t="shared" si="1566"/>
        <v>0</v>
      </c>
      <c r="H5937" s="158"/>
      <c r="I5937" s="159">
        <f>I5936</f>
        <v>8.2214999999999996E-2</v>
      </c>
      <c r="J5937" s="160"/>
      <c r="K5937" s="161">
        <f>K5936</f>
        <v>82944</v>
      </c>
      <c r="L5937" s="250">
        <v>1</v>
      </c>
      <c r="M5937" s="163"/>
      <c r="N5937" s="278"/>
      <c r="O5937" s="280">
        <f t="shared" si="1567"/>
        <v>0</v>
      </c>
      <c r="P5937" s="166"/>
      <c r="Q5937" s="166">
        <f t="shared" si="1568"/>
        <v>0</v>
      </c>
      <c r="R5937" s="71"/>
      <c r="S5937" s="61"/>
      <c r="T5937" s="71"/>
      <c r="U5937" s="61"/>
      <c r="V5937" s="61"/>
      <c r="W5937" s="61"/>
      <c r="X5937" s="61"/>
      <c r="Y5937" s="61"/>
      <c r="Z5937" s="61"/>
      <c r="AA5937" s="61"/>
      <c r="AB5937" s="61"/>
      <c r="AC5937" s="61"/>
      <c r="AD5937" s="61"/>
      <c r="AE5937" s="61"/>
      <c r="AF5937" s="61"/>
      <c r="AG5937" s="61"/>
      <c r="AH5937" s="61"/>
      <c r="AI5937" s="61"/>
      <c r="AJ5937" s="61"/>
      <c r="AK5937" s="61"/>
      <c r="AL5937" s="61"/>
      <c r="AM5937" s="61"/>
      <c r="AN5937" s="61"/>
      <c r="AO5937" s="61"/>
    </row>
    <row r="5938" spans="1:41" s="136" customFormat="1" ht="31.5" x14ac:dyDescent="0.25">
      <c r="A5938" s="358"/>
      <c r="B5938" s="361"/>
      <c r="C5938" s="373"/>
      <c r="D5938" s="156" t="s">
        <v>425</v>
      </c>
      <c r="E5938" s="156" t="s">
        <v>28</v>
      </c>
      <c r="F5938" s="156" t="s">
        <v>439</v>
      </c>
      <c r="G5938" s="238">
        <f t="shared" si="1566"/>
        <v>0</v>
      </c>
      <c r="H5938" s="158"/>
      <c r="I5938" s="159">
        <f t="shared" ref="I5938:I5946" si="1569">I5937</f>
        <v>8.2214999999999996E-2</v>
      </c>
      <c r="J5938" s="160"/>
      <c r="K5938" s="161">
        <f t="shared" ref="K5938:K5946" si="1570">K5937</f>
        <v>82944</v>
      </c>
      <c r="L5938" s="250">
        <v>1</v>
      </c>
      <c r="M5938" s="163"/>
      <c r="N5938" s="278"/>
      <c r="O5938" s="280">
        <f t="shared" si="1567"/>
        <v>0</v>
      </c>
      <c r="P5938" s="166"/>
      <c r="Q5938" s="166">
        <f t="shared" si="1568"/>
        <v>0</v>
      </c>
      <c r="R5938" s="71"/>
      <c r="S5938" s="61"/>
      <c r="T5938" s="71"/>
      <c r="U5938" s="61"/>
      <c r="V5938" s="61"/>
      <c r="W5938" s="61"/>
      <c r="X5938" s="61"/>
      <c r="Y5938" s="61"/>
      <c r="Z5938" s="61"/>
      <c r="AA5938" s="61"/>
      <c r="AB5938" s="61"/>
      <c r="AC5938" s="61"/>
      <c r="AD5938" s="61"/>
      <c r="AE5938" s="61"/>
      <c r="AF5938" s="61"/>
      <c r="AG5938" s="61"/>
      <c r="AH5938" s="61"/>
      <c r="AI5938" s="61"/>
      <c r="AJ5938" s="61"/>
      <c r="AK5938" s="61"/>
      <c r="AL5938" s="61"/>
      <c r="AM5938" s="61"/>
      <c r="AN5938" s="61"/>
      <c r="AO5938" s="61"/>
    </row>
    <row r="5939" spans="1:41" s="136" customFormat="1" ht="31.5" x14ac:dyDescent="0.25">
      <c r="A5939" s="358"/>
      <c r="B5939" s="361"/>
      <c r="C5939" s="373"/>
      <c r="D5939" s="156" t="s">
        <v>426</v>
      </c>
      <c r="E5939" s="156" t="s">
        <v>28</v>
      </c>
      <c r="F5939" s="156" t="s">
        <v>439</v>
      </c>
      <c r="G5939" s="238">
        <f t="shared" si="1566"/>
        <v>0</v>
      </c>
      <c r="H5939" s="158"/>
      <c r="I5939" s="159">
        <f t="shared" si="1569"/>
        <v>8.2214999999999996E-2</v>
      </c>
      <c r="J5939" s="160"/>
      <c r="K5939" s="161">
        <f t="shared" si="1570"/>
        <v>82944</v>
      </c>
      <c r="L5939" s="250">
        <v>1</v>
      </c>
      <c r="M5939" s="163"/>
      <c r="N5939" s="278"/>
      <c r="O5939" s="280">
        <f t="shared" si="1567"/>
        <v>0</v>
      </c>
      <c r="P5939" s="166"/>
      <c r="Q5939" s="166">
        <f t="shared" si="1568"/>
        <v>0</v>
      </c>
      <c r="R5939" s="71"/>
      <c r="S5939" s="61"/>
      <c r="T5939" s="71"/>
      <c r="U5939" s="61"/>
      <c r="V5939" s="61"/>
      <c r="W5939" s="61"/>
      <c r="X5939" s="61"/>
      <c r="Y5939" s="61"/>
      <c r="Z5939" s="61"/>
      <c r="AA5939" s="61"/>
      <c r="AB5939" s="61"/>
      <c r="AC5939" s="61"/>
      <c r="AD5939" s="61"/>
      <c r="AE5939" s="61"/>
      <c r="AF5939" s="61"/>
      <c r="AG5939" s="61"/>
      <c r="AH5939" s="61"/>
      <c r="AI5939" s="61"/>
      <c r="AJ5939" s="61"/>
      <c r="AK5939" s="61"/>
      <c r="AL5939" s="61"/>
      <c r="AM5939" s="61"/>
      <c r="AN5939" s="61"/>
      <c r="AO5939" s="61"/>
    </row>
    <row r="5940" spans="1:41" s="136" customFormat="1" ht="31.5" x14ac:dyDescent="0.25">
      <c r="A5940" s="358"/>
      <c r="B5940" s="361"/>
      <c r="C5940" s="373"/>
      <c r="D5940" s="156" t="s">
        <v>427</v>
      </c>
      <c r="E5940" s="156" t="s">
        <v>28</v>
      </c>
      <c r="F5940" s="156" t="s">
        <v>439</v>
      </c>
      <c r="G5940" s="238">
        <f t="shared" si="1566"/>
        <v>0</v>
      </c>
      <c r="H5940" s="158"/>
      <c r="I5940" s="159">
        <f t="shared" si="1569"/>
        <v>8.2214999999999996E-2</v>
      </c>
      <c r="J5940" s="160"/>
      <c r="K5940" s="161">
        <f t="shared" si="1570"/>
        <v>82944</v>
      </c>
      <c r="L5940" s="250">
        <v>1</v>
      </c>
      <c r="M5940" s="163"/>
      <c r="N5940" s="278"/>
      <c r="O5940" s="280">
        <f t="shared" si="1567"/>
        <v>0</v>
      </c>
      <c r="P5940" s="166"/>
      <c r="Q5940" s="166">
        <f t="shared" si="1568"/>
        <v>0</v>
      </c>
      <c r="R5940" s="71"/>
      <c r="S5940" s="61"/>
      <c r="T5940" s="71"/>
      <c r="U5940" s="61"/>
      <c r="V5940" s="61"/>
      <c r="W5940" s="61"/>
      <c r="X5940" s="61"/>
      <c r="Y5940" s="61"/>
      <c r="Z5940" s="61"/>
      <c r="AA5940" s="61"/>
      <c r="AB5940" s="61"/>
      <c r="AC5940" s="61"/>
      <c r="AD5940" s="61"/>
      <c r="AE5940" s="61"/>
      <c r="AF5940" s="61"/>
      <c r="AG5940" s="61"/>
      <c r="AH5940" s="61"/>
      <c r="AI5940" s="61"/>
      <c r="AJ5940" s="61"/>
      <c r="AK5940" s="61"/>
      <c r="AL5940" s="61"/>
      <c r="AM5940" s="61"/>
      <c r="AN5940" s="61"/>
      <c r="AO5940" s="61"/>
    </row>
    <row r="5941" spans="1:41" s="136" customFormat="1" ht="31.5" x14ac:dyDescent="0.25">
      <c r="A5941" s="358"/>
      <c r="B5941" s="361"/>
      <c r="C5941" s="373"/>
      <c r="D5941" s="156" t="s">
        <v>428</v>
      </c>
      <c r="E5941" s="156" t="s">
        <v>28</v>
      </c>
      <c r="F5941" s="156" t="s">
        <v>439</v>
      </c>
      <c r="G5941" s="238">
        <f t="shared" si="1566"/>
        <v>0</v>
      </c>
      <c r="H5941" s="158"/>
      <c r="I5941" s="159">
        <f t="shared" si="1569"/>
        <v>8.2214999999999996E-2</v>
      </c>
      <c r="J5941" s="160"/>
      <c r="K5941" s="161">
        <f t="shared" si="1570"/>
        <v>82944</v>
      </c>
      <c r="L5941" s="250">
        <v>1</v>
      </c>
      <c r="M5941" s="163"/>
      <c r="N5941" s="278"/>
      <c r="O5941" s="280">
        <f t="shared" si="1567"/>
        <v>0</v>
      </c>
      <c r="P5941" s="166"/>
      <c r="Q5941" s="166">
        <f t="shared" si="1568"/>
        <v>0</v>
      </c>
      <c r="R5941" s="71"/>
      <c r="S5941" s="61"/>
      <c r="T5941" s="71"/>
      <c r="U5941" s="61"/>
      <c r="V5941" s="61"/>
      <c r="W5941" s="61"/>
      <c r="X5941" s="61"/>
      <c r="Y5941" s="61"/>
      <c r="Z5941" s="61"/>
      <c r="AA5941" s="61"/>
      <c r="AB5941" s="61"/>
      <c r="AC5941" s="61"/>
      <c r="AD5941" s="61"/>
      <c r="AE5941" s="61"/>
      <c r="AF5941" s="61"/>
      <c r="AG5941" s="61"/>
      <c r="AH5941" s="61"/>
      <c r="AI5941" s="61"/>
      <c r="AJ5941" s="61"/>
      <c r="AK5941" s="61"/>
      <c r="AL5941" s="61"/>
      <c r="AM5941" s="61"/>
      <c r="AN5941" s="61"/>
      <c r="AO5941" s="61"/>
    </row>
    <row r="5942" spans="1:41" s="136" customFormat="1" ht="31.5" x14ac:dyDescent="0.25">
      <c r="A5942" s="358"/>
      <c r="B5942" s="361"/>
      <c r="C5942" s="373"/>
      <c r="D5942" s="156" t="s">
        <v>429</v>
      </c>
      <c r="E5942" s="156" t="s">
        <v>28</v>
      </c>
      <c r="F5942" s="156" t="s">
        <v>439</v>
      </c>
      <c r="G5942" s="238">
        <f t="shared" si="1566"/>
        <v>0</v>
      </c>
      <c r="H5942" s="158"/>
      <c r="I5942" s="159">
        <f t="shared" si="1569"/>
        <v>8.2214999999999996E-2</v>
      </c>
      <c r="J5942" s="160"/>
      <c r="K5942" s="161">
        <f t="shared" si="1570"/>
        <v>82944</v>
      </c>
      <c r="L5942" s="250">
        <v>1</v>
      </c>
      <c r="M5942" s="163"/>
      <c r="N5942" s="278"/>
      <c r="O5942" s="280">
        <f t="shared" si="1567"/>
        <v>0</v>
      </c>
      <c r="P5942" s="166"/>
      <c r="Q5942" s="166">
        <f t="shared" si="1568"/>
        <v>0</v>
      </c>
      <c r="R5942" s="71"/>
      <c r="S5942" s="61"/>
      <c r="T5942" s="71"/>
      <c r="U5942" s="61"/>
      <c r="V5942" s="61"/>
      <c r="W5942" s="61"/>
      <c r="X5942" s="61"/>
      <c r="Y5942" s="61"/>
      <c r="Z5942" s="61"/>
      <c r="AA5942" s="61"/>
      <c r="AB5942" s="61"/>
      <c r="AC5942" s="61"/>
      <c r="AD5942" s="61"/>
      <c r="AE5942" s="61"/>
      <c r="AF5942" s="61"/>
      <c r="AG5942" s="61"/>
      <c r="AH5942" s="61"/>
      <c r="AI5942" s="61"/>
      <c r="AJ5942" s="61"/>
      <c r="AK5942" s="61"/>
      <c r="AL5942" s="61"/>
      <c r="AM5942" s="61"/>
      <c r="AN5942" s="61"/>
      <c r="AO5942" s="61"/>
    </row>
    <row r="5943" spans="1:41" s="136" customFormat="1" ht="31.5" x14ac:dyDescent="0.25">
      <c r="A5943" s="358"/>
      <c r="B5943" s="361"/>
      <c r="C5943" s="373"/>
      <c r="D5943" s="156" t="s">
        <v>110</v>
      </c>
      <c r="E5943" s="156" t="s">
        <v>28</v>
      </c>
      <c r="F5943" s="156" t="s">
        <v>439</v>
      </c>
      <c r="G5943" s="238">
        <f t="shared" si="1566"/>
        <v>0</v>
      </c>
      <c r="H5943" s="158"/>
      <c r="I5943" s="159">
        <f t="shared" si="1569"/>
        <v>8.2214999999999996E-2</v>
      </c>
      <c r="J5943" s="160"/>
      <c r="K5943" s="161">
        <f t="shared" si="1570"/>
        <v>82944</v>
      </c>
      <c r="L5943" s="250">
        <v>1</v>
      </c>
      <c r="M5943" s="163"/>
      <c r="N5943" s="278"/>
      <c r="O5943" s="280">
        <f t="shared" si="1567"/>
        <v>0</v>
      </c>
      <c r="P5943" s="166"/>
      <c r="Q5943" s="166">
        <f t="shared" si="1568"/>
        <v>0</v>
      </c>
      <c r="R5943" s="71"/>
      <c r="S5943" s="61"/>
      <c r="T5943" s="71"/>
      <c r="U5943" s="61"/>
      <c r="V5943" s="61"/>
      <c r="W5943" s="61"/>
      <c r="X5943" s="61"/>
      <c r="Y5943" s="61"/>
      <c r="Z5943" s="61"/>
      <c r="AA5943" s="61"/>
      <c r="AB5943" s="61"/>
      <c r="AC5943" s="61"/>
      <c r="AD5943" s="61"/>
      <c r="AE5943" s="61"/>
      <c r="AF5943" s="61"/>
      <c r="AG5943" s="61"/>
      <c r="AH5943" s="61"/>
      <c r="AI5943" s="61"/>
      <c r="AJ5943" s="61"/>
      <c r="AK5943" s="61"/>
      <c r="AL5943" s="61"/>
      <c r="AM5943" s="61"/>
      <c r="AN5943" s="61"/>
      <c r="AO5943" s="61"/>
    </row>
    <row r="5944" spans="1:41" s="136" customFormat="1" ht="31.5" x14ac:dyDescent="0.25">
      <c r="A5944" s="358"/>
      <c r="B5944" s="361"/>
      <c r="C5944" s="373"/>
      <c r="D5944" s="156" t="s">
        <v>112</v>
      </c>
      <c r="E5944" s="156" t="s">
        <v>28</v>
      </c>
      <c r="F5944" s="156" t="s">
        <v>439</v>
      </c>
      <c r="G5944" s="238">
        <f t="shared" si="1566"/>
        <v>0</v>
      </c>
      <c r="H5944" s="158"/>
      <c r="I5944" s="159">
        <f t="shared" si="1569"/>
        <v>8.2214999999999996E-2</v>
      </c>
      <c r="J5944" s="160"/>
      <c r="K5944" s="161">
        <f t="shared" si="1570"/>
        <v>82944</v>
      </c>
      <c r="L5944" s="250">
        <v>1</v>
      </c>
      <c r="M5944" s="163"/>
      <c r="N5944" s="278"/>
      <c r="O5944" s="280">
        <f t="shared" si="1567"/>
        <v>0</v>
      </c>
      <c r="P5944" s="166"/>
      <c r="Q5944" s="166">
        <f t="shared" si="1568"/>
        <v>0</v>
      </c>
      <c r="R5944" s="71"/>
      <c r="S5944" s="61"/>
      <c r="T5944" s="71"/>
      <c r="U5944" s="61"/>
      <c r="V5944" s="61"/>
      <c r="W5944" s="61"/>
      <c r="X5944" s="61"/>
      <c r="Y5944" s="61"/>
      <c r="Z5944" s="61"/>
      <c r="AA5944" s="61"/>
      <c r="AB5944" s="61"/>
      <c r="AC5944" s="61"/>
      <c r="AD5944" s="61"/>
      <c r="AE5944" s="61"/>
      <c r="AF5944" s="61"/>
      <c r="AG5944" s="61"/>
      <c r="AH5944" s="61"/>
      <c r="AI5944" s="61"/>
      <c r="AJ5944" s="61"/>
      <c r="AK5944" s="61"/>
      <c r="AL5944" s="61"/>
      <c r="AM5944" s="61"/>
      <c r="AN5944" s="61"/>
      <c r="AO5944" s="61"/>
    </row>
    <row r="5945" spans="1:41" s="136" customFormat="1" ht="31.5" x14ac:dyDescent="0.25">
      <c r="A5945" s="358"/>
      <c r="B5945" s="361"/>
      <c r="C5945" s="373"/>
      <c r="D5945" s="156" t="s">
        <v>111</v>
      </c>
      <c r="E5945" s="156" t="s">
        <v>28</v>
      </c>
      <c r="F5945" s="156" t="s">
        <v>439</v>
      </c>
      <c r="G5945" s="238">
        <f t="shared" si="1566"/>
        <v>0</v>
      </c>
      <c r="H5945" s="158"/>
      <c r="I5945" s="159">
        <f t="shared" si="1569"/>
        <v>8.2214999999999996E-2</v>
      </c>
      <c r="J5945" s="160"/>
      <c r="K5945" s="161">
        <f t="shared" si="1570"/>
        <v>82944</v>
      </c>
      <c r="L5945" s="250">
        <v>1</v>
      </c>
      <c r="M5945" s="163"/>
      <c r="N5945" s="278"/>
      <c r="O5945" s="280">
        <f t="shared" si="1567"/>
        <v>0</v>
      </c>
      <c r="P5945" s="166"/>
      <c r="Q5945" s="166">
        <f t="shared" si="1568"/>
        <v>0</v>
      </c>
      <c r="R5945" s="71"/>
      <c r="S5945" s="61"/>
      <c r="T5945" s="71"/>
      <c r="U5945" s="61"/>
      <c r="V5945" s="61"/>
      <c r="W5945" s="61"/>
      <c r="X5945" s="61"/>
      <c r="Y5945" s="61"/>
      <c r="Z5945" s="61"/>
      <c r="AA5945" s="61"/>
      <c r="AB5945" s="61"/>
      <c r="AC5945" s="61"/>
      <c r="AD5945" s="61"/>
      <c r="AE5945" s="61"/>
      <c r="AF5945" s="61"/>
      <c r="AG5945" s="61"/>
      <c r="AH5945" s="61"/>
      <c r="AI5945" s="61"/>
      <c r="AJ5945" s="61"/>
      <c r="AK5945" s="61"/>
      <c r="AL5945" s="61"/>
      <c r="AM5945" s="61"/>
      <c r="AN5945" s="61"/>
      <c r="AO5945" s="61"/>
    </row>
    <row r="5946" spans="1:41" s="136" customFormat="1" ht="31.5" x14ac:dyDescent="0.25">
      <c r="A5946" s="358"/>
      <c r="B5946" s="361"/>
      <c r="C5946" s="374"/>
      <c r="D5946" s="156" t="s">
        <v>438</v>
      </c>
      <c r="E5946" s="156" t="s">
        <v>28</v>
      </c>
      <c r="F5946" s="156" t="s">
        <v>439</v>
      </c>
      <c r="G5946" s="238">
        <f t="shared" si="1566"/>
        <v>0</v>
      </c>
      <c r="H5946" s="158"/>
      <c r="I5946" s="159">
        <f t="shared" si="1569"/>
        <v>8.2214999999999996E-2</v>
      </c>
      <c r="J5946" s="160"/>
      <c r="K5946" s="161">
        <f t="shared" si="1570"/>
        <v>82944</v>
      </c>
      <c r="L5946" s="250">
        <v>1</v>
      </c>
      <c r="M5946" s="163"/>
      <c r="N5946" s="278"/>
      <c r="O5946" s="280">
        <f t="shared" si="1567"/>
        <v>0</v>
      </c>
      <c r="P5946" s="166"/>
      <c r="Q5946" s="166">
        <f t="shared" si="1568"/>
        <v>0</v>
      </c>
      <c r="R5946" s="71"/>
      <c r="S5946" s="61"/>
      <c r="T5946" s="71"/>
      <c r="U5946" s="61"/>
      <c r="V5946" s="61"/>
      <c r="W5946" s="61"/>
      <c r="X5946" s="61"/>
      <c r="Y5946" s="61"/>
      <c r="Z5946" s="61"/>
      <c r="AA5946" s="61"/>
      <c r="AB5946" s="61"/>
      <c r="AC5946" s="61"/>
      <c r="AD5946" s="61"/>
      <c r="AE5946" s="61"/>
      <c r="AF5946" s="61"/>
      <c r="AG5946" s="61"/>
      <c r="AH5946" s="61"/>
      <c r="AI5946" s="61"/>
      <c r="AJ5946" s="61"/>
      <c r="AK5946" s="61"/>
      <c r="AL5946" s="61"/>
      <c r="AM5946" s="61"/>
      <c r="AN5946" s="61"/>
      <c r="AO5946" s="61"/>
    </row>
    <row r="5947" spans="1:41" s="61" customFormat="1" x14ac:dyDescent="0.25">
      <c r="A5947" s="358"/>
      <c r="B5947" s="361"/>
      <c r="C5947" s="245" t="s">
        <v>299</v>
      </c>
      <c r="D5947" s="240"/>
      <c r="E5947" s="240"/>
      <c r="F5947" s="181"/>
      <c r="G5947" s="227"/>
      <c r="H5947" s="241"/>
      <c r="I5947" s="206"/>
      <c r="J5947" s="228"/>
      <c r="K5947" s="207"/>
      <c r="L5947" s="257"/>
      <c r="M5947" s="209"/>
      <c r="N5947" s="290"/>
      <c r="O5947" s="279">
        <f>SUM(O5937:O5946)</f>
        <v>0</v>
      </c>
      <c r="P5947" s="166"/>
      <c r="Q5947" s="166">
        <f>O5947*K5947</f>
        <v>0</v>
      </c>
      <c r="R5947" s="71"/>
    </row>
    <row r="5948" spans="1:41" s="61" customFormat="1" ht="47.25" x14ac:dyDescent="0.25">
      <c r="A5948" s="358"/>
      <c r="B5948" s="361"/>
      <c r="C5948" s="221" t="s">
        <v>434</v>
      </c>
      <c r="D5948" s="156" t="s">
        <v>436</v>
      </c>
      <c r="E5948" s="156" t="s">
        <v>28</v>
      </c>
      <c r="F5948" s="156" t="s">
        <v>437</v>
      </c>
      <c r="G5948" s="238">
        <f>MROUND(H5948*L5948*I5948/K5948,0.00000000001)</f>
        <v>2.5771479999999997E-5</v>
      </c>
      <c r="H5948" s="242">
        <f>$H$2148</f>
        <v>26</v>
      </c>
      <c r="I5948" s="159">
        <f>I5946</f>
        <v>8.2214999999999996E-2</v>
      </c>
      <c r="J5948" s="160"/>
      <c r="K5948" s="161">
        <f>K5946</f>
        <v>82944</v>
      </c>
      <c r="L5948" s="162">
        <v>1</v>
      </c>
      <c r="M5948" s="163" t="str">
        <f>CONCATENATE(H5948," ",F5948,"*",I5948,"/",K5948,"чел.")</f>
        <v>26 огнетушителей (потребность учреждений) *0,082215/82944чел.</v>
      </c>
      <c r="N5948" s="164">
        <f>$N$5536</f>
        <v>2280.2800000000002</v>
      </c>
      <c r="O5948" s="165">
        <f>MROUND(G5948*N5948,0.000001)</f>
        <v>5.8765999999999999E-2</v>
      </c>
      <c r="P5948" s="166"/>
      <c r="Q5948" s="166">
        <f>O5948*K5948</f>
        <v>4874.287104</v>
      </c>
      <c r="R5948" s="71"/>
    </row>
    <row r="5949" spans="1:41" s="61" customFormat="1" x14ac:dyDescent="0.25">
      <c r="A5949" s="358"/>
      <c r="B5949" s="361"/>
      <c r="C5949" s="218" t="s">
        <v>435</v>
      </c>
      <c r="D5949" s="240"/>
      <c r="E5949" s="240"/>
      <c r="F5949" s="240"/>
      <c r="G5949" s="251"/>
      <c r="H5949" s="241"/>
      <c r="I5949" s="206"/>
      <c r="J5949" s="228"/>
      <c r="K5949" s="207"/>
      <c r="L5949" s="229"/>
      <c r="M5949" s="209"/>
      <c r="N5949" s="210"/>
      <c r="O5949" s="198">
        <f>SUM(O5948)</f>
        <v>5.8765999999999999E-2</v>
      </c>
      <c r="P5949" s="166"/>
      <c r="Q5949" s="166"/>
      <c r="R5949" s="71"/>
    </row>
    <row r="5950" spans="1:41" s="61" customFormat="1" ht="110.25" x14ac:dyDescent="0.25">
      <c r="A5950" s="358"/>
      <c r="B5950" s="361"/>
      <c r="C5950" s="221" t="s">
        <v>82</v>
      </c>
      <c r="D5950" s="156" t="s">
        <v>46</v>
      </c>
      <c r="E5950" s="156" t="s">
        <v>54</v>
      </c>
      <c r="F5950" s="156" t="s">
        <v>285</v>
      </c>
      <c r="G5950" s="238">
        <f>MROUND(H5950*L5950*I5950/K5950,0.00000000001)</f>
        <v>2.4912131799999996E-3</v>
      </c>
      <c r="H5950" s="158">
        <f>H5642</f>
        <v>228.48206839032525</v>
      </c>
      <c r="I5950" s="159">
        <f>I5936</f>
        <v>8.2214999999999996E-2</v>
      </c>
      <c r="J5950" s="160"/>
      <c r="K5950" s="161">
        <f>K5936</f>
        <v>82944</v>
      </c>
      <c r="L5950" s="250">
        <f>$L$2150</f>
        <v>11</v>
      </c>
      <c r="M5950" s="163" t="str">
        <f>CONCATENATE(H5950," ",F5950,"*",L5950,"автобус","*",I5950,"/",K5950,"чел/час")</f>
        <v>228,482068390325 л бензина АИ 92 (12,5л/день(зимой)*20дней*7мес+10л/день(летом)*20дней*4мес)*11автобус*0,082215/82944чел/час</v>
      </c>
      <c r="N5950" s="278">
        <f>$N$5538</f>
        <v>57.007000000000005</v>
      </c>
      <c r="O5950" s="280">
        <f t="shared" ref="O5950:O5952" si="1571">MROUND(N5950*G5950,0.000001)</f>
        <v>0.142017</v>
      </c>
      <c r="P5950" s="166"/>
      <c r="Q5950" s="166">
        <f>O5950*K5950</f>
        <v>11779.458048</v>
      </c>
      <c r="R5950" s="71"/>
    </row>
    <row r="5951" spans="1:41" s="61" customFormat="1" ht="47.25" x14ac:dyDescent="0.25">
      <c r="A5951" s="358"/>
      <c r="B5951" s="361"/>
      <c r="C5951" s="364" t="s">
        <v>118</v>
      </c>
      <c r="D5951" s="156" t="s">
        <v>47</v>
      </c>
      <c r="E5951" s="156" t="s">
        <v>28</v>
      </c>
      <c r="F5951" s="156" t="s">
        <v>239</v>
      </c>
      <c r="G5951" s="238">
        <f>MROUND(H5951*L5951*I5951/K5951,0.00000000001)</f>
        <v>1.982422E-5</v>
      </c>
      <c r="H5951" s="158">
        <f>H5539</f>
        <v>20</v>
      </c>
      <c r="I5951" s="159">
        <f>I5950</f>
        <v>8.2214999999999996E-2</v>
      </c>
      <c r="J5951" s="160"/>
      <c r="K5951" s="161">
        <f>K5950</f>
        <v>82944</v>
      </c>
      <c r="L5951" s="250">
        <v>1</v>
      </c>
      <c r="M5951" s="163" t="str">
        <f>CONCATENATE(H5951," ",F5951,"*",I5951,"/",K5951,"чел/час")</f>
        <v>20 манометров (потребность учреждений) *0,082215/82944чел/час</v>
      </c>
      <c r="N5951" s="278">
        <f>N5539</f>
        <v>679.9</v>
      </c>
      <c r="O5951" s="280">
        <f t="shared" si="1571"/>
        <v>1.3477999999999999E-2</v>
      </c>
      <c r="P5951" s="166"/>
      <c r="Q5951" s="166">
        <f>O5951*K5951</f>
        <v>1117.919232</v>
      </c>
      <c r="R5951" s="71"/>
    </row>
    <row r="5952" spans="1:41" s="61" customFormat="1" ht="47.25" x14ac:dyDescent="0.25">
      <c r="A5952" s="358"/>
      <c r="B5952" s="361"/>
      <c r="C5952" s="364"/>
      <c r="D5952" s="255" t="s">
        <v>113</v>
      </c>
      <c r="E5952" s="156" t="s">
        <v>28</v>
      </c>
      <c r="F5952" s="156" t="s">
        <v>240</v>
      </c>
      <c r="G5952" s="238">
        <f>MROUND(H5952*L5952*I5952/K5952,0.00000000001)</f>
        <v>9.9121089999999995E-5</v>
      </c>
      <c r="H5952" s="158">
        <v>100</v>
      </c>
      <c r="I5952" s="159">
        <f>I5951</f>
        <v>8.2214999999999996E-2</v>
      </c>
      <c r="J5952" s="160"/>
      <c r="K5952" s="161">
        <f>K5951</f>
        <v>82944</v>
      </c>
      <c r="L5952" s="250">
        <v>1</v>
      </c>
      <c r="M5952" s="163" t="str">
        <f>CONCATENATE(H5952," ",F5952,"*",I5952,"/",K5952,"чел/час")</f>
        <v>100 светильников (потребность учреждений)*0,082215/82944чел/час</v>
      </c>
      <c r="N5952" s="278">
        <f>N5540</f>
        <v>111.1635</v>
      </c>
      <c r="O5952" s="280">
        <f t="shared" si="1571"/>
        <v>1.1018999999999999E-2</v>
      </c>
      <c r="P5952" s="166"/>
      <c r="Q5952" s="166">
        <f>O5952*K5952</f>
        <v>913.95993599999997</v>
      </c>
      <c r="R5952" s="71"/>
    </row>
    <row r="5953" spans="1:41" s="109" customFormat="1" x14ac:dyDescent="0.25">
      <c r="A5953" s="359"/>
      <c r="B5953" s="362"/>
      <c r="C5953" s="218" t="s">
        <v>301</v>
      </c>
      <c r="D5953" s="256"/>
      <c r="E5953" s="240"/>
      <c r="F5953" s="240"/>
      <c r="G5953" s="227"/>
      <c r="H5953" s="241"/>
      <c r="I5953" s="206"/>
      <c r="J5953" s="228"/>
      <c r="K5953" s="207"/>
      <c r="L5953" s="257"/>
      <c r="M5953" s="209"/>
      <c r="N5953" s="281"/>
      <c r="O5953" s="279">
        <f>O5951+O5952</f>
        <v>2.4496999999999998E-2</v>
      </c>
      <c r="P5953" s="267"/>
      <c r="Q5953" s="166"/>
      <c r="R5953" s="71"/>
      <c r="S5953" s="62"/>
      <c r="T5953" s="62"/>
      <c r="U5953" s="62"/>
      <c r="V5953" s="62"/>
      <c r="W5953" s="62"/>
      <c r="X5953" s="62"/>
      <c r="Y5953" s="62"/>
      <c r="Z5953" s="62"/>
      <c r="AA5953" s="62"/>
      <c r="AB5953" s="62"/>
      <c r="AC5953" s="62"/>
      <c r="AD5953" s="62"/>
      <c r="AE5953" s="62"/>
      <c r="AF5953" s="62"/>
      <c r="AG5953" s="62"/>
      <c r="AH5953" s="62"/>
      <c r="AI5953" s="62"/>
      <c r="AJ5953" s="62"/>
      <c r="AK5953" s="62"/>
      <c r="AL5953" s="62"/>
      <c r="AM5953" s="62"/>
      <c r="AN5953" s="62"/>
      <c r="AO5953" s="62"/>
    </row>
    <row r="5954" spans="1:41" s="108" customFormat="1" x14ac:dyDescent="0.25">
      <c r="A5954" s="357" t="str">
        <f>школы!$B$37</f>
        <v>Реализация дополнительных общеразвивающих программ (социально-гуманитпрная направленность)</v>
      </c>
      <c r="B5954" s="360" t="str">
        <f>школы!$A$37</f>
        <v>801012О.99.0.ББ57АЖ24000</v>
      </c>
      <c r="C5954" s="194"/>
      <c r="D5954" s="363" t="s">
        <v>15</v>
      </c>
      <c r="E5954" s="363"/>
      <c r="F5954" s="363"/>
      <c r="G5954" s="363"/>
      <c r="H5954" s="195"/>
      <c r="I5954" s="195"/>
      <c r="J5954" s="195"/>
      <c r="K5954" s="195"/>
      <c r="L5954" s="196"/>
      <c r="M5954" s="197"/>
      <c r="N5954" s="278"/>
      <c r="O5954" s="279">
        <f>O5955+O5959</f>
        <v>186.92915678</v>
      </c>
      <c r="P5954" s="166"/>
      <c r="Q5954" s="166">
        <f t="shared" ref="Q5954:Q5971" si="1572">O5954*K5954</f>
        <v>0</v>
      </c>
      <c r="R5954" s="71"/>
      <c r="S5954" s="61"/>
      <c r="T5954" s="61"/>
      <c r="U5954" s="61"/>
      <c r="V5954" s="61"/>
      <c r="W5954" s="61"/>
      <c r="X5954" s="61"/>
      <c r="Y5954" s="61"/>
      <c r="Z5954" s="61"/>
      <c r="AA5954" s="61"/>
      <c r="AB5954" s="61"/>
      <c r="AC5954" s="61"/>
      <c r="AD5954" s="61"/>
      <c r="AE5954" s="61"/>
      <c r="AF5954" s="61"/>
      <c r="AG5954" s="61"/>
      <c r="AH5954" s="61"/>
      <c r="AI5954" s="61"/>
      <c r="AJ5954" s="61"/>
      <c r="AK5954" s="61"/>
      <c r="AL5954" s="61"/>
      <c r="AM5954" s="61"/>
      <c r="AN5954" s="61"/>
      <c r="AO5954" s="61"/>
    </row>
    <row r="5955" spans="1:41" s="108" customFormat="1" x14ac:dyDescent="0.25">
      <c r="A5955" s="358"/>
      <c r="B5955" s="361"/>
      <c r="C5955" s="194"/>
      <c r="D5955" s="350" t="s">
        <v>62</v>
      </c>
      <c r="E5955" s="350"/>
      <c r="F5955" s="350"/>
      <c r="G5955" s="350"/>
      <c r="H5955" s="195"/>
      <c r="I5955" s="195"/>
      <c r="J5955" s="195"/>
      <c r="K5955" s="195"/>
      <c r="L5955" s="196"/>
      <c r="M5955" s="197"/>
      <c r="N5955" s="278"/>
      <c r="O5955" s="279">
        <f>O5956+O5957</f>
        <v>185.76596178</v>
      </c>
      <c r="P5955" s="166"/>
      <c r="Q5955" s="166">
        <f t="shared" si="1572"/>
        <v>0</v>
      </c>
      <c r="R5955" s="71"/>
      <c r="S5955" s="61"/>
      <c r="T5955" s="61"/>
      <c r="U5955" s="61"/>
      <c r="V5955" s="61"/>
      <c r="W5955" s="61"/>
      <c r="X5955" s="61"/>
      <c r="Y5955" s="61"/>
      <c r="Z5955" s="61"/>
      <c r="AA5955" s="61"/>
      <c r="AB5955" s="61"/>
      <c r="AC5955" s="61"/>
      <c r="AD5955" s="61"/>
      <c r="AE5955" s="61"/>
      <c r="AF5955" s="61"/>
      <c r="AG5955" s="61"/>
      <c r="AH5955" s="61"/>
      <c r="AI5955" s="61"/>
      <c r="AJ5955" s="61"/>
      <c r="AK5955" s="61"/>
      <c r="AL5955" s="61"/>
      <c r="AM5955" s="61"/>
      <c r="AN5955" s="61"/>
      <c r="AO5955" s="61"/>
    </row>
    <row r="5956" spans="1:41" s="61" customFormat="1" ht="31.5" x14ac:dyDescent="0.25">
      <c r="A5956" s="358"/>
      <c r="B5956" s="361"/>
      <c r="C5956" s="194">
        <v>211</v>
      </c>
      <c r="D5956" s="194" t="s">
        <v>86</v>
      </c>
      <c r="E5956" s="199" t="s">
        <v>95</v>
      </c>
      <c r="F5956" s="199" t="s">
        <v>95</v>
      </c>
      <c r="G5956" s="238">
        <f>MROUND(H5956*L5956*I5956/K5956,0.00000000001)</f>
        <v>6.0195462099999998E-3</v>
      </c>
      <c r="H5956" s="201">
        <f>H5440</f>
        <v>368.4</v>
      </c>
      <c r="I5956" s="159">
        <f>школы!$K$37+школы!$K$38</f>
        <v>0.19555899999999998</v>
      </c>
      <c r="J5956" s="159"/>
      <c r="K5956" s="161">
        <f>школы!$G$37+школы!$G$38</f>
        <v>143620</v>
      </c>
      <c r="L5956" s="202">
        <v>12</v>
      </c>
      <c r="M5956" s="163" t="str">
        <f>CONCATENATE(H5956," ",F5956," ","в мес.","*",L5956,"мес.","*",I5956,"/",K5956,"чел/час")</f>
        <v>368,4 шт.ед в мес.*12мес.*0,195559/143620чел/час</v>
      </c>
      <c r="N5956" s="278">
        <f>N5440</f>
        <v>23702.349798678973</v>
      </c>
      <c r="O5956" s="280">
        <f>MROUND(N5956*G5956,0.000001)</f>
        <v>142.67739</v>
      </c>
      <c r="P5956" s="166"/>
      <c r="Q5956" s="166">
        <f t="shared" si="1572"/>
        <v>20491326.751800001</v>
      </c>
      <c r="R5956" s="71"/>
    </row>
    <row r="5957" spans="1:41" s="61" customFormat="1" x14ac:dyDescent="0.25">
      <c r="A5957" s="358"/>
      <c r="B5957" s="361"/>
      <c r="C5957" s="194">
        <v>213</v>
      </c>
      <c r="D5957" s="194" t="s">
        <v>87</v>
      </c>
      <c r="E5957" s="194" t="s">
        <v>88</v>
      </c>
      <c r="F5957" s="194"/>
      <c r="G5957" s="211">
        <v>30.2</v>
      </c>
      <c r="H5957" s="159"/>
      <c r="I5957" s="282">
        <f>I5956</f>
        <v>0.19555899999999998</v>
      </c>
      <c r="J5957" s="159"/>
      <c r="K5957" s="161">
        <f>K5956</f>
        <v>143620</v>
      </c>
      <c r="L5957" s="202"/>
      <c r="M5957" s="212"/>
      <c r="N5957" s="278"/>
      <c r="O5957" s="280">
        <f>MROUND(O5956*0.302,0.000000001)</f>
        <v>43.088571780000002</v>
      </c>
      <c r="P5957" s="166"/>
      <c r="Q5957" s="166">
        <f t="shared" si="1572"/>
        <v>6188380.6790436003</v>
      </c>
      <c r="R5957" s="71"/>
    </row>
    <row r="5958" spans="1:41" s="108" customFormat="1" x14ac:dyDescent="0.25">
      <c r="A5958" s="358"/>
      <c r="B5958" s="361"/>
      <c r="C5958" s="194"/>
      <c r="D5958" s="194"/>
      <c r="E5958" s="194"/>
      <c r="F5958" s="194"/>
      <c r="G5958" s="217"/>
      <c r="H5958" s="195"/>
      <c r="I5958" s="159"/>
      <c r="J5958" s="195"/>
      <c r="K5958" s="161"/>
      <c r="L5958" s="196"/>
      <c r="M5958" s="197"/>
      <c r="N5958" s="278"/>
      <c r="O5958" s="280"/>
      <c r="P5958" s="166"/>
      <c r="Q5958" s="166">
        <f t="shared" si="1572"/>
        <v>0</v>
      </c>
      <c r="R5958" s="71"/>
      <c r="S5958" s="61"/>
      <c r="T5958" s="61"/>
      <c r="U5958" s="61"/>
      <c r="V5958" s="61"/>
      <c r="W5958" s="61"/>
      <c r="X5958" s="61"/>
      <c r="Y5958" s="61"/>
      <c r="Z5958" s="61"/>
      <c r="AA5958" s="61"/>
      <c r="AB5958" s="61"/>
      <c r="AC5958" s="61"/>
      <c r="AD5958" s="61"/>
      <c r="AE5958" s="61"/>
      <c r="AF5958" s="61"/>
      <c r="AG5958" s="61"/>
      <c r="AH5958" s="61"/>
      <c r="AI5958" s="61"/>
      <c r="AJ5958" s="61"/>
      <c r="AK5958" s="61"/>
      <c r="AL5958" s="61"/>
      <c r="AM5958" s="61"/>
      <c r="AN5958" s="61"/>
      <c r="AO5958" s="61"/>
    </row>
    <row r="5959" spans="1:41" s="108" customFormat="1" x14ac:dyDescent="0.25">
      <c r="A5959" s="358"/>
      <c r="B5959" s="361"/>
      <c r="C5959" s="194"/>
      <c r="D5959" s="356" t="s">
        <v>63</v>
      </c>
      <c r="E5959" s="356"/>
      <c r="F5959" s="356"/>
      <c r="G5959" s="356"/>
      <c r="H5959" s="195"/>
      <c r="I5959" s="159"/>
      <c r="J5959" s="195"/>
      <c r="K5959" s="161"/>
      <c r="L5959" s="196"/>
      <c r="M5959" s="197"/>
      <c r="N5959" s="278"/>
      <c r="O5959" s="280">
        <f>O5960</f>
        <v>1.163195</v>
      </c>
      <c r="P5959" s="166"/>
      <c r="Q5959" s="166">
        <f t="shared" si="1572"/>
        <v>0</v>
      </c>
      <c r="R5959" s="71"/>
      <c r="S5959" s="61"/>
      <c r="T5959" s="61"/>
      <c r="U5959" s="61"/>
      <c r="V5959" s="61"/>
      <c r="W5959" s="61"/>
      <c r="X5959" s="61"/>
      <c r="Y5959" s="61"/>
      <c r="Z5959" s="61"/>
      <c r="AA5959" s="61"/>
      <c r="AB5959" s="61"/>
      <c r="AC5959" s="61"/>
      <c r="AD5959" s="61"/>
      <c r="AE5959" s="61"/>
      <c r="AF5959" s="61"/>
      <c r="AG5959" s="61"/>
      <c r="AH5959" s="61"/>
      <c r="AI5959" s="61"/>
      <c r="AJ5959" s="61"/>
      <c r="AK5959" s="61"/>
      <c r="AL5959" s="61"/>
      <c r="AM5959" s="61"/>
      <c r="AN5959" s="61"/>
      <c r="AO5959" s="61"/>
    </row>
    <row r="5960" spans="1:41" s="61" customFormat="1" x14ac:dyDescent="0.25">
      <c r="A5960" s="358"/>
      <c r="B5960" s="361"/>
      <c r="C5960" s="194">
        <v>346</v>
      </c>
      <c r="D5960" s="194" t="s">
        <v>259</v>
      </c>
      <c r="E5960" s="194" t="s">
        <v>260</v>
      </c>
      <c r="F5960" s="194" t="s">
        <v>261</v>
      </c>
      <c r="G5960" s="238">
        <f>MROUND(H5960*L5960*I5960/K5960,0.000000000001)</f>
        <v>1.6503099010000001E-3</v>
      </c>
      <c r="H5960" s="283">
        <f>H5445</f>
        <v>1212</v>
      </c>
      <c r="I5960" s="282">
        <f>I5957</f>
        <v>0.19555899999999998</v>
      </c>
      <c r="J5960" s="195"/>
      <c r="K5960" s="161">
        <f>K5957</f>
        <v>143620</v>
      </c>
      <c r="L5960" s="196">
        <v>1</v>
      </c>
      <c r="M5960" s="163" t="str">
        <f>CONCATENATE(H5960," ",F5960,"*",I5960,"/",K5960,"чел/час")</f>
        <v>1212 упаковок*0,195559/143620чел/час</v>
      </c>
      <c r="N5960" s="278">
        <f>N5445</f>
        <v>704.83454620462044</v>
      </c>
      <c r="O5960" s="280">
        <f>MROUND(N5960*G5960,0.000001)</f>
        <v>1.163195</v>
      </c>
      <c r="P5960" s="166"/>
      <c r="Q5960" s="166">
        <f t="shared" si="1572"/>
        <v>167058.06589999999</v>
      </c>
      <c r="R5960" s="71"/>
    </row>
    <row r="5961" spans="1:41" s="108" customFormat="1" x14ac:dyDescent="0.25">
      <c r="A5961" s="358"/>
      <c r="B5961" s="361"/>
      <c r="C5961" s="194"/>
      <c r="D5961" s="350" t="s">
        <v>64</v>
      </c>
      <c r="E5961" s="350"/>
      <c r="F5961" s="350"/>
      <c r="G5961" s="350"/>
      <c r="H5961" s="195"/>
      <c r="I5961" s="159"/>
      <c r="J5961" s="195"/>
      <c r="K5961" s="161"/>
      <c r="L5961" s="196"/>
      <c r="M5961" s="197"/>
      <c r="N5961" s="278"/>
      <c r="O5961" s="280"/>
      <c r="P5961" s="166"/>
      <c r="Q5961" s="166">
        <f t="shared" si="1572"/>
        <v>0</v>
      </c>
      <c r="R5961" s="71"/>
      <c r="S5961" s="61"/>
      <c r="T5961" s="61"/>
      <c r="U5961" s="61"/>
      <c r="V5961" s="61"/>
      <c r="W5961" s="61"/>
      <c r="X5961" s="61"/>
      <c r="Y5961" s="61"/>
      <c r="Z5961" s="61"/>
      <c r="AA5961" s="61"/>
      <c r="AB5961" s="61"/>
      <c r="AC5961" s="61"/>
      <c r="AD5961" s="61"/>
      <c r="AE5961" s="61"/>
      <c r="AF5961" s="61"/>
      <c r="AG5961" s="61"/>
      <c r="AH5961" s="61"/>
      <c r="AI5961" s="61"/>
      <c r="AJ5961" s="61"/>
      <c r="AK5961" s="61"/>
      <c r="AL5961" s="61"/>
      <c r="AM5961" s="61"/>
      <c r="AN5961" s="61"/>
      <c r="AO5961" s="61"/>
    </row>
    <row r="5962" spans="1:41" s="108" customFormat="1" x14ac:dyDescent="0.25">
      <c r="A5962" s="358"/>
      <c r="B5962" s="361"/>
      <c r="C5962" s="194"/>
      <c r="D5962" s="194"/>
      <c r="E5962" s="194"/>
      <c r="F5962" s="194"/>
      <c r="G5962" s="217"/>
      <c r="H5962" s="195"/>
      <c r="I5962" s="159"/>
      <c r="J5962" s="195"/>
      <c r="K5962" s="161"/>
      <c r="L5962" s="196"/>
      <c r="M5962" s="197"/>
      <c r="N5962" s="278"/>
      <c r="O5962" s="280"/>
      <c r="P5962" s="166"/>
      <c r="Q5962" s="166">
        <f t="shared" si="1572"/>
        <v>0</v>
      </c>
      <c r="R5962" s="71"/>
      <c r="S5962" s="61"/>
      <c r="T5962" s="61"/>
      <c r="U5962" s="61"/>
      <c r="V5962" s="61"/>
      <c r="W5962" s="61"/>
      <c r="X5962" s="61"/>
      <c r="Y5962" s="61"/>
      <c r="Z5962" s="61"/>
      <c r="AA5962" s="61"/>
      <c r="AB5962" s="61"/>
      <c r="AC5962" s="61"/>
      <c r="AD5962" s="61"/>
      <c r="AE5962" s="61"/>
      <c r="AF5962" s="61"/>
      <c r="AG5962" s="61"/>
      <c r="AH5962" s="61"/>
      <c r="AI5962" s="61"/>
      <c r="AJ5962" s="61"/>
      <c r="AK5962" s="61"/>
      <c r="AL5962" s="61"/>
      <c r="AM5962" s="61"/>
      <c r="AN5962" s="61"/>
      <c r="AO5962" s="61"/>
    </row>
    <row r="5963" spans="1:41" s="108" customFormat="1" x14ac:dyDescent="0.25">
      <c r="A5963" s="358"/>
      <c r="B5963" s="361"/>
      <c r="C5963" s="194"/>
      <c r="D5963" s="355" t="s">
        <v>5</v>
      </c>
      <c r="E5963" s="355"/>
      <c r="F5963" s="355"/>
      <c r="G5963" s="355"/>
      <c r="H5963" s="195"/>
      <c r="I5963" s="159"/>
      <c r="J5963" s="195"/>
      <c r="K5963" s="161"/>
      <c r="L5963" s="196"/>
      <c r="M5963" s="197"/>
      <c r="N5963" s="278"/>
      <c r="O5963" s="279">
        <f>O5964+O5973+O5984+O5986+O5997+O5993</f>
        <v>46.550729769000007</v>
      </c>
      <c r="P5963" s="166"/>
      <c r="Q5963" s="166">
        <f t="shared" si="1572"/>
        <v>0</v>
      </c>
      <c r="R5963" s="71"/>
      <c r="S5963" s="61"/>
      <c r="T5963" s="61"/>
      <c r="U5963" s="61"/>
      <c r="V5963" s="61"/>
      <c r="W5963" s="61"/>
      <c r="X5963" s="61"/>
      <c r="Y5963" s="61"/>
      <c r="Z5963" s="61"/>
      <c r="AA5963" s="61"/>
      <c r="AB5963" s="61"/>
      <c r="AC5963" s="61"/>
      <c r="AD5963" s="61"/>
      <c r="AE5963" s="61"/>
      <c r="AF5963" s="61"/>
      <c r="AG5963" s="61"/>
      <c r="AH5963" s="61"/>
      <c r="AI5963" s="61"/>
      <c r="AJ5963" s="61"/>
      <c r="AK5963" s="61"/>
      <c r="AL5963" s="61"/>
      <c r="AM5963" s="61"/>
      <c r="AN5963" s="61"/>
      <c r="AO5963" s="61"/>
    </row>
    <row r="5964" spans="1:41" s="108" customFormat="1" x14ac:dyDescent="0.25">
      <c r="A5964" s="358"/>
      <c r="B5964" s="361"/>
      <c r="C5964" s="221" t="s">
        <v>70</v>
      </c>
      <c r="D5964" s="355" t="s">
        <v>6</v>
      </c>
      <c r="E5964" s="355"/>
      <c r="F5964" s="355"/>
      <c r="G5964" s="355"/>
      <c r="H5964" s="189"/>
      <c r="I5964" s="159"/>
      <c r="J5964" s="189"/>
      <c r="K5964" s="161"/>
      <c r="L5964" s="190"/>
      <c r="M5964" s="197"/>
      <c r="N5964" s="278"/>
      <c r="O5964" s="279">
        <f>O5965+O5966+O5967+O5968+O5969+O5970+O5971</f>
        <v>8.7065329999999985</v>
      </c>
      <c r="P5964" s="166"/>
      <c r="Q5964" s="166">
        <f t="shared" si="1572"/>
        <v>0</v>
      </c>
      <c r="R5964" s="71"/>
      <c r="S5964" s="61"/>
      <c r="T5964" s="61"/>
      <c r="U5964" s="61"/>
      <c r="V5964" s="61"/>
      <c r="W5964" s="61"/>
      <c r="X5964" s="61"/>
      <c r="Y5964" s="61"/>
      <c r="Z5964" s="61"/>
      <c r="AA5964" s="61"/>
      <c r="AB5964" s="61"/>
      <c r="AC5964" s="61"/>
      <c r="AD5964" s="61"/>
      <c r="AE5964" s="61"/>
      <c r="AF5964" s="61"/>
      <c r="AG5964" s="61"/>
      <c r="AH5964" s="61"/>
      <c r="AI5964" s="61"/>
      <c r="AJ5964" s="61"/>
      <c r="AK5964" s="61"/>
      <c r="AL5964" s="61"/>
      <c r="AM5964" s="61"/>
      <c r="AN5964" s="61"/>
      <c r="AO5964" s="61"/>
    </row>
    <row r="5965" spans="1:41" s="61" customFormat="1" ht="31.5" x14ac:dyDescent="0.25">
      <c r="A5965" s="358"/>
      <c r="B5965" s="361"/>
      <c r="C5965" s="221" t="s">
        <v>72</v>
      </c>
      <c r="D5965" s="222" t="s">
        <v>7</v>
      </c>
      <c r="E5965" s="223" t="s">
        <v>8</v>
      </c>
      <c r="F5965" s="223" t="s">
        <v>8</v>
      </c>
      <c r="G5965" s="238">
        <f t="shared" ref="G5965:G5971" si="1573">MROUND(H5965*L5965*I5965/K5965,0.000000000001)</f>
        <v>0.15394741221700001</v>
      </c>
      <c r="H5965" s="160">
        <f>H5451</f>
        <v>113060.13705633247</v>
      </c>
      <c r="I5965" s="282">
        <f>I5957</f>
        <v>0.19555899999999998</v>
      </c>
      <c r="J5965" s="160"/>
      <c r="K5965" s="161">
        <f>K5957</f>
        <v>143620</v>
      </c>
      <c r="L5965" s="250">
        <v>1</v>
      </c>
      <c r="M5965" s="163" t="str">
        <f>CONCATENATE(H5965," ",F5965,"(лимиты выделенные УЖКХ) ","*",I5965,"/",K5965,"чел/час")</f>
        <v>113060,137056332 кВт час.(лимиты выделенные УЖКХ) *0,195559/143620чел/час</v>
      </c>
      <c r="N5965" s="278">
        <f>N5451</f>
        <v>10.942938264647223</v>
      </c>
      <c r="O5965" s="280">
        <f>MROUND(N5965*G5965,0.000001)</f>
        <v>1.6846369999999999</v>
      </c>
      <c r="P5965" s="166"/>
      <c r="Q5965" s="166">
        <f t="shared" si="1572"/>
        <v>241947.56594</v>
      </c>
      <c r="R5965" s="71"/>
    </row>
    <row r="5966" spans="1:41" s="61" customFormat="1" ht="31.5" x14ac:dyDescent="0.25">
      <c r="A5966" s="358"/>
      <c r="B5966" s="361"/>
      <c r="C5966" s="221" t="s">
        <v>73</v>
      </c>
      <c r="D5966" s="222" t="s">
        <v>9</v>
      </c>
      <c r="E5966" s="223" t="s">
        <v>10</v>
      </c>
      <c r="F5966" s="223" t="s">
        <v>10</v>
      </c>
      <c r="G5966" s="238">
        <f t="shared" si="1573"/>
        <v>1.898128715E-3</v>
      </c>
      <c r="H5966" s="160">
        <f>H5452</f>
        <v>1394</v>
      </c>
      <c r="I5966" s="159">
        <f t="shared" ref="I5966:I5971" si="1574">I5965</f>
        <v>0.19555899999999998</v>
      </c>
      <c r="J5966" s="160"/>
      <c r="K5966" s="161">
        <f t="shared" ref="K5966:K5971" si="1575">K5965</f>
        <v>143620</v>
      </c>
      <c r="L5966" s="250">
        <v>1</v>
      </c>
      <c r="M5966" s="163" t="str">
        <f>CONCATENATE(H5966," ",F5966,"(лимиты выделенные УЖКХ) ","*",I5966,"/",K5966,"чел/час")</f>
        <v>1394 Гкал(лимиты выделенные УЖКХ) *0,195559/143620чел/час</v>
      </c>
      <c r="N5966" s="278">
        <f>N5556</f>
        <v>2976.2517790530851</v>
      </c>
      <c r="O5966" s="280">
        <f t="shared" ref="O5966:O5971" si="1576">MROUND(N5966*G5966,0.000001)</f>
        <v>5.6493089999999997</v>
      </c>
      <c r="P5966" s="166"/>
      <c r="Q5966" s="166">
        <f t="shared" si="1572"/>
        <v>811353.75857999991</v>
      </c>
      <c r="R5966" s="71"/>
    </row>
    <row r="5967" spans="1:41" s="61" customFormat="1" ht="31.5" x14ac:dyDescent="0.25">
      <c r="A5967" s="358"/>
      <c r="B5967" s="361"/>
      <c r="C5967" s="364" t="s">
        <v>74</v>
      </c>
      <c r="D5967" s="222" t="s">
        <v>12</v>
      </c>
      <c r="E5967" s="222" t="s">
        <v>11</v>
      </c>
      <c r="F5967" s="222" t="s">
        <v>11</v>
      </c>
      <c r="G5967" s="238">
        <f t="shared" si="1573"/>
        <v>5.5025444259999999E-3</v>
      </c>
      <c r="H5967" s="224">
        <f>H5453</f>
        <v>4041.1099999999997</v>
      </c>
      <c r="I5967" s="159">
        <f t="shared" si="1574"/>
        <v>0.19555899999999998</v>
      </c>
      <c r="J5967" s="160"/>
      <c r="K5967" s="161">
        <f t="shared" si="1575"/>
        <v>143620</v>
      </c>
      <c r="L5967" s="250">
        <v>1</v>
      </c>
      <c r="M5967" s="163" t="str">
        <f>CONCATENATE(H5967," ",F5967,"(лимиты выделенные УЖКХ) ","*",I5967,"/",K5967,"чел/час")</f>
        <v>4041,11 м3(лимиты выделенные УЖКХ) *0,195559/143620чел/час</v>
      </c>
      <c r="N5967" s="278">
        <f>N5453</f>
        <v>54.214180014896904</v>
      </c>
      <c r="O5967" s="280">
        <f t="shared" si="1576"/>
        <v>0.29831599999999997</v>
      </c>
      <c r="P5967" s="166"/>
      <c r="Q5967" s="166">
        <f t="shared" si="1572"/>
        <v>42844.143919999995</v>
      </c>
      <c r="R5967" s="71"/>
    </row>
    <row r="5968" spans="1:41" s="61" customFormat="1" ht="47.25" x14ac:dyDescent="0.25">
      <c r="A5968" s="358"/>
      <c r="B5968" s="361"/>
      <c r="C5968" s="364"/>
      <c r="D5968" s="222" t="s">
        <v>17</v>
      </c>
      <c r="E5968" s="222" t="s">
        <v>11</v>
      </c>
      <c r="F5968" s="222" t="s">
        <v>11</v>
      </c>
      <c r="G5968" s="238">
        <f t="shared" si="1573"/>
        <v>5.5025444259999999E-3</v>
      </c>
      <c r="H5968" s="160">
        <f>H5558</f>
        <v>4041.1099999999997</v>
      </c>
      <c r="I5968" s="159">
        <f t="shared" si="1574"/>
        <v>0.19555899999999998</v>
      </c>
      <c r="J5968" s="160"/>
      <c r="K5968" s="161">
        <f t="shared" si="1575"/>
        <v>143620</v>
      </c>
      <c r="L5968" s="162">
        <f>$L$25</f>
        <v>1</v>
      </c>
      <c r="M5968" s="163" t="str">
        <f>CONCATENATE(H5968," ",F5968,"(лимиты выделенные УЖКХ) ","*",I5968,"/",K5968,"чел/час")</f>
        <v>4041,11 м3(лимиты выделенные УЖКХ) *0,195559/143620чел/час</v>
      </c>
      <c r="N5968" s="164">
        <f>N5454</f>
        <v>82.384170780821918</v>
      </c>
      <c r="O5968" s="280">
        <f t="shared" si="1576"/>
        <v>0.45332299999999998</v>
      </c>
      <c r="P5968" s="166"/>
      <c r="Q5968" s="166">
        <f t="shared" si="1572"/>
        <v>65106.249259999997</v>
      </c>
      <c r="R5968" s="71"/>
    </row>
    <row r="5969" spans="1:41" s="61" customFormat="1" ht="31.5" x14ac:dyDescent="0.25">
      <c r="A5969" s="358"/>
      <c r="B5969" s="361"/>
      <c r="C5969" s="364"/>
      <c r="D5969" s="222" t="s">
        <v>13</v>
      </c>
      <c r="E5969" s="222" t="s">
        <v>11</v>
      </c>
      <c r="F5969" s="222" t="s">
        <v>11</v>
      </c>
      <c r="G5969" s="238">
        <f t="shared" si="1573"/>
        <v>5.5025444259999999E-3</v>
      </c>
      <c r="H5969" s="160">
        <f>H5455</f>
        <v>4041.1099999999997</v>
      </c>
      <c r="I5969" s="159">
        <f t="shared" si="1574"/>
        <v>0.19555899999999998</v>
      </c>
      <c r="J5969" s="160"/>
      <c r="K5969" s="161">
        <f t="shared" si="1575"/>
        <v>143620</v>
      </c>
      <c r="L5969" s="162">
        <v>1</v>
      </c>
      <c r="M5969" s="163" t="str">
        <f>CONCATENATE(H5969," ",F5969,"(лимиты выделенные УЖКХ) ","*",I5969,"/",K5969,"чел/час")</f>
        <v>4041,11 м3(лимиты выделенные УЖКХ) *0,195559/143620чел/час</v>
      </c>
      <c r="N5969" s="278">
        <f>N5455</f>
        <v>100.60427670019196</v>
      </c>
      <c r="O5969" s="280">
        <f t="shared" si="1576"/>
        <v>0.55357999999999996</v>
      </c>
      <c r="P5969" s="166"/>
      <c r="Q5969" s="166">
        <f t="shared" si="1572"/>
        <v>79505.159599999999</v>
      </c>
      <c r="R5969" s="71"/>
    </row>
    <row r="5970" spans="1:41" s="61" customFormat="1" x14ac:dyDescent="0.25">
      <c r="A5970" s="358"/>
      <c r="B5970" s="361"/>
      <c r="C5970" s="364" t="s">
        <v>216</v>
      </c>
      <c r="D5970" s="222" t="s">
        <v>23</v>
      </c>
      <c r="E5970" s="222" t="s">
        <v>11</v>
      </c>
      <c r="F5970" s="222" t="s">
        <v>11</v>
      </c>
      <c r="G5970" s="238">
        <f t="shared" si="1573"/>
        <v>3.4013812999999998E-5</v>
      </c>
      <c r="H5970" s="160">
        <f>H5456</f>
        <v>24.979999999999997</v>
      </c>
      <c r="I5970" s="159">
        <f t="shared" si="1574"/>
        <v>0.19555899999999998</v>
      </c>
      <c r="J5970" s="160"/>
      <c r="K5970" s="161">
        <f t="shared" si="1575"/>
        <v>143620</v>
      </c>
      <c r="L5970" s="162">
        <v>1</v>
      </c>
      <c r="M5970" s="163" t="str">
        <f>CONCATENATE(H5970," ",F5970," ","*",I5970,"/",K5970,"чел/час")</f>
        <v>24,98 м3 *0,195559/143620чел/час</v>
      </c>
      <c r="N5970" s="164">
        <f>N5456</f>
        <v>776.35588470776622</v>
      </c>
      <c r="O5970" s="280">
        <f t="shared" si="1576"/>
        <v>2.6407E-2</v>
      </c>
      <c r="P5970" s="166"/>
      <c r="Q5970" s="166">
        <f t="shared" si="1572"/>
        <v>3792.5733399999999</v>
      </c>
      <c r="R5970" s="71"/>
    </row>
    <row r="5971" spans="1:41" s="61" customFormat="1" ht="63" x14ac:dyDescent="0.25">
      <c r="A5971" s="358"/>
      <c r="B5971" s="361"/>
      <c r="C5971" s="364"/>
      <c r="D5971" s="222" t="s">
        <v>24</v>
      </c>
      <c r="E5971" s="222" t="s">
        <v>25</v>
      </c>
      <c r="F5971" s="222" t="s">
        <v>248</v>
      </c>
      <c r="G5971" s="238">
        <f t="shared" si="1573"/>
        <v>6.8082089999999999E-6</v>
      </c>
      <c r="H5971" s="160">
        <f>H5457</f>
        <v>5</v>
      </c>
      <c r="I5971" s="159">
        <f t="shared" si="1574"/>
        <v>0.19555899999999998</v>
      </c>
      <c r="J5971" s="160"/>
      <c r="K5971" s="161">
        <f t="shared" si="1575"/>
        <v>143620</v>
      </c>
      <c r="L5971" s="250">
        <v>1</v>
      </c>
      <c r="M5971" s="163" t="str">
        <f>CONCATENATE(H5971," ",F5971,"(потребность из расчета 4 контейнера для уборки территории весной и осенью на 1 учреждение)","*",I5971,"/",K5971,"чел/час")</f>
        <v>5 контейнеров(потребность из расчета 4 контейнера для уборки территории весной и осенью на 1 учреждение)*0,195559/143620чел/час</v>
      </c>
      <c r="N5971" s="278">
        <f>N5457</f>
        <v>6016.38</v>
      </c>
      <c r="O5971" s="280">
        <f t="shared" si="1576"/>
        <v>4.0960999999999997E-2</v>
      </c>
      <c r="P5971" s="166"/>
      <c r="Q5971" s="166">
        <f t="shared" si="1572"/>
        <v>5882.8188199999995</v>
      </c>
      <c r="R5971" s="71"/>
    </row>
    <row r="5972" spans="1:41" s="109" customFormat="1" x14ac:dyDescent="0.25">
      <c r="A5972" s="358"/>
      <c r="B5972" s="361"/>
      <c r="C5972" s="218" t="s">
        <v>290</v>
      </c>
      <c r="D5972" s="226"/>
      <c r="E5972" s="226"/>
      <c r="F5972" s="226"/>
      <c r="G5972" s="227"/>
      <c r="H5972" s="228"/>
      <c r="I5972" s="206"/>
      <c r="J5972" s="228"/>
      <c r="K5972" s="207"/>
      <c r="L5972" s="257"/>
      <c r="M5972" s="209"/>
      <c r="N5972" s="281"/>
      <c r="O5972" s="279">
        <f>SUM(O5965:O5971)</f>
        <v>8.7065329999999985</v>
      </c>
      <c r="P5972" s="267"/>
      <c r="Q5972" s="166"/>
      <c r="R5972" s="71"/>
      <c r="S5972" s="62"/>
      <c r="T5972" s="62"/>
      <c r="U5972" s="62"/>
      <c r="V5972" s="62"/>
      <c r="W5972" s="62"/>
      <c r="X5972" s="62"/>
      <c r="Y5972" s="62"/>
      <c r="Z5972" s="62"/>
      <c r="AA5972" s="62"/>
      <c r="AB5972" s="62"/>
      <c r="AC5972" s="62"/>
      <c r="AD5972" s="62"/>
      <c r="AE5972" s="62"/>
      <c r="AF5972" s="62"/>
      <c r="AG5972" s="62"/>
      <c r="AH5972" s="62"/>
      <c r="AI5972" s="62"/>
      <c r="AJ5972" s="62"/>
      <c r="AK5972" s="62"/>
      <c r="AL5972" s="62"/>
      <c r="AM5972" s="62"/>
      <c r="AN5972" s="62"/>
      <c r="AO5972" s="62"/>
    </row>
    <row r="5973" spans="1:41" s="108" customFormat="1" ht="15" customHeight="1" x14ac:dyDescent="0.25">
      <c r="A5973" s="358"/>
      <c r="B5973" s="361"/>
      <c r="C5973" s="221"/>
      <c r="D5973" s="356" t="s">
        <v>14</v>
      </c>
      <c r="E5973" s="356"/>
      <c r="F5973" s="356"/>
      <c r="G5973" s="356"/>
      <c r="H5973" s="188"/>
      <c r="I5973" s="159"/>
      <c r="J5973" s="188"/>
      <c r="K5973" s="161"/>
      <c r="L5973" s="250"/>
      <c r="M5973" s="230"/>
      <c r="N5973" s="278"/>
      <c r="O5973" s="279">
        <f>O5977+O5981+O5982</f>
        <v>32.161579769000006</v>
      </c>
      <c r="P5973" s="166"/>
      <c r="Q5973" s="166">
        <f>O5973*K5973</f>
        <v>0</v>
      </c>
      <c r="R5973" s="71"/>
      <c r="S5973" s="61"/>
      <c r="T5973" s="61"/>
      <c r="U5973" s="61"/>
      <c r="V5973" s="61"/>
      <c r="W5973" s="61"/>
      <c r="X5973" s="61"/>
      <c r="Y5973" s="61"/>
      <c r="Z5973" s="61"/>
      <c r="AA5973" s="61"/>
      <c r="AB5973" s="61"/>
      <c r="AC5973" s="61"/>
      <c r="AD5973" s="61"/>
      <c r="AE5973" s="61"/>
      <c r="AF5973" s="61"/>
      <c r="AG5973" s="61"/>
      <c r="AH5973" s="61"/>
      <c r="AI5973" s="61"/>
      <c r="AJ5973" s="61"/>
      <c r="AK5973" s="61"/>
      <c r="AL5973" s="61"/>
      <c r="AM5973" s="61"/>
      <c r="AN5973" s="61"/>
      <c r="AO5973" s="61"/>
    </row>
    <row r="5974" spans="1:41" s="61" customFormat="1" x14ac:dyDescent="0.25">
      <c r="A5974" s="358"/>
      <c r="B5974" s="361"/>
      <c r="C5974" s="221" t="s">
        <v>379</v>
      </c>
      <c r="D5974" s="231" t="s">
        <v>49</v>
      </c>
      <c r="E5974" s="231" t="s">
        <v>22</v>
      </c>
      <c r="F5974" s="231" t="s">
        <v>22</v>
      </c>
      <c r="G5974" s="238">
        <f>MROUND(H5974*L5974*I5974/K5974,0.000000000001)</f>
        <v>0</v>
      </c>
      <c r="H5974" s="160"/>
      <c r="I5974" s="159">
        <f>I5969</f>
        <v>0.19555899999999998</v>
      </c>
      <c r="J5974" s="160"/>
      <c r="K5974" s="161">
        <f>K5969</f>
        <v>143620</v>
      </c>
      <c r="L5974" s="250">
        <v>1</v>
      </c>
      <c r="M5974" s="163"/>
      <c r="N5974" s="278"/>
      <c r="O5974" s="280">
        <f>MROUND(N5974*G5974,0.000000001)</f>
        <v>0</v>
      </c>
      <c r="P5974" s="166"/>
      <c r="Q5974" s="166">
        <f>O5974*K5974</f>
        <v>0</v>
      </c>
      <c r="R5974" s="71"/>
    </row>
    <row r="5975" spans="1:41" s="61" customFormat="1" x14ac:dyDescent="0.25">
      <c r="A5975" s="358"/>
      <c r="B5975" s="361"/>
      <c r="C5975" s="221" t="s">
        <v>379</v>
      </c>
      <c r="D5975" s="231" t="s">
        <v>49</v>
      </c>
      <c r="E5975" s="231" t="s">
        <v>28</v>
      </c>
      <c r="F5975" s="231" t="s">
        <v>28</v>
      </c>
      <c r="G5975" s="238">
        <f>MROUND(H5975*L5975*I5975/K5975,0.000000000001)</f>
        <v>0</v>
      </c>
      <c r="H5975" s="160"/>
      <c r="I5975" s="159">
        <f>I5974</f>
        <v>0.19555899999999998</v>
      </c>
      <c r="J5975" s="160"/>
      <c r="K5975" s="161">
        <f>K5974</f>
        <v>143620</v>
      </c>
      <c r="L5975" s="250">
        <v>1</v>
      </c>
      <c r="M5975" s="163"/>
      <c r="N5975" s="278"/>
      <c r="O5975" s="280">
        <f>MROUND(N5975*G5975,0.000000001)</f>
        <v>0</v>
      </c>
      <c r="P5975" s="166"/>
      <c r="Q5975" s="166">
        <f>O5975*K5975</f>
        <v>0</v>
      </c>
      <c r="R5975" s="71"/>
    </row>
    <row r="5976" spans="1:41" s="61" customFormat="1" x14ac:dyDescent="0.25">
      <c r="A5976" s="358"/>
      <c r="B5976" s="361"/>
      <c r="C5976" s="221" t="s">
        <v>379</v>
      </c>
      <c r="D5976" s="231" t="s">
        <v>49</v>
      </c>
      <c r="E5976" s="231" t="s">
        <v>101</v>
      </c>
      <c r="F5976" s="231" t="s">
        <v>101</v>
      </c>
      <c r="G5976" s="238">
        <f>MROUND(H5976*L5976*I5976/K5976,0.000000000001)</f>
        <v>0</v>
      </c>
      <c r="H5976" s="160"/>
      <c r="I5976" s="159">
        <f>I5974</f>
        <v>0.19555899999999998</v>
      </c>
      <c r="J5976" s="160"/>
      <c r="K5976" s="161">
        <f>K5974</f>
        <v>143620</v>
      </c>
      <c r="L5976" s="250">
        <v>1</v>
      </c>
      <c r="M5976" s="163"/>
      <c r="N5976" s="278"/>
      <c r="O5976" s="280">
        <f>MROUND(N5976*G5976,0.000001)</f>
        <v>0</v>
      </c>
      <c r="P5976" s="166"/>
      <c r="Q5976" s="166">
        <f>O5976*K5976</f>
        <v>0</v>
      </c>
      <c r="R5976" s="71"/>
    </row>
    <row r="5977" spans="1:41" s="109" customFormat="1" x14ac:dyDescent="0.25">
      <c r="A5977" s="358"/>
      <c r="B5977" s="361"/>
      <c r="C5977" s="218" t="s">
        <v>380</v>
      </c>
      <c r="D5977" s="232"/>
      <c r="E5977" s="232"/>
      <c r="F5977" s="232"/>
      <c r="G5977" s="227"/>
      <c r="H5977" s="228"/>
      <c r="I5977" s="206"/>
      <c r="J5977" s="228"/>
      <c r="K5977" s="207"/>
      <c r="L5977" s="257"/>
      <c r="M5977" s="209"/>
      <c r="N5977" s="281"/>
      <c r="O5977" s="279">
        <f>SUM(O5974:O5976)</f>
        <v>0</v>
      </c>
      <c r="P5977" s="267"/>
      <c r="Q5977" s="166"/>
      <c r="R5977" s="72"/>
      <c r="S5977" s="62"/>
      <c r="T5977" s="62"/>
      <c r="U5977" s="62"/>
      <c r="V5977" s="62"/>
      <c r="W5977" s="62"/>
      <c r="X5977" s="62"/>
      <c r="Y5977" s="62"/>
      <c r="Z5977" s="62"/>
      <c r="AA5977" s="62"/>
      <c r="AB5977" s="62"/>
      <c r="AC5977" s="62"/>
      <c r="AD5977" s="62"/>
      <c r="AE5977" s="62"/>
      <c r="AF5977" s="62"/>
      <c r="AG5977" s="62"/>
      <c r="AH5977" s="62"/>
      <c r="AI5977" s="62"/>
      <c r="AJ5977" s="62"/>
      <c r="AK5977" s="62"/>
      <c r="AL5977" s="62"/>
      <c r="AM5977" s="62"/>
      <c r="AN5977" s="62"/>
      <c r="AO5977" s="62"/>
    </row>
    <row r="5978" spans="1:41" s="61" customFormat="1" x14ac:dyDescent="0.25">
      <c r="A5978" s="358"/>
      <c r="B5978" s="361"/>
      <c r="C5978" s="221" t="s">
        <v>76</v>
      </c>
      <c r="D5978" s="231" t="s">
        <v>49</v>
      </c>
      <c r="E5978" s="231" t="s">
        <v>22</v>
      </c>
      <c r="F5978" s="231" t="s">
        <v>22</v>
      </c>
      <c r="G5978" s="238">
        <f>MROUND(H5978*L5978*I5978/K5978,0.000000000001)</f>
        <v>1.3534719815999999E-2</v>
      </c>
      <c r="H5978" s="160">
        <f>H5464</f>
        <v>9940</v>
      </c>
      <c r="I5978" s="159">
        <f>I5976</f>
        <v>0.19555899999999998</v>
      </c>
      <c r="J5978" s="160"/>
      <c r="K5978" s="161">
        <f>K5976</f>
        <v>143620</v>
      </c>
      <c r="L5978" s="250">
        <v>1</v>
      </c>
      <c r="M5978" s="163" t="str">
        <f>CONCATENATE(H5978," ",F5978,"*",I5978,"/",K5978,"чел/час")</f>
        <v>9940 м2*0,195559/143620чел/час</v>
      </c>
      <c r="N5978" s="278">
        <f>N5464</f>
        <v>1444.6680080482897</v>
      </c>
      <c r="O5978" s="280">
        <f>MROUND(N5978*G5978,0.000000001)-0.0004</f>
        <v>19.552776716000004</v>
      </c>
      <c r="P5978" s="166"/>
      <c r="Q5978" s="166">
        <f>O5978*K5978</f>
        <v>2808169.7919519204</v>
      </c>
      <c r="R5978" s="71"/>
    </row>
    <row r="5979" spans="1:41" s="61" customFormat="1" x14ac:dyDescent="0.25">
      <c r="A5979" s="358"/>
      <c r="B5979" s="361"/>
      <c r="C5979" s="221"/>
      <c r="D5979" s="231" t="s">
        <v>49</v>
      </c>
      <c r="E5979" s="231" t="s">
        <v>28</v>
      </c>
      <c r="F5979" s="231" t="s">
        <v>28</v>
      </c>
      <c r="G5979" s="238">
        <f>MROUND(H5979*L5979*I5979/K5979,0.000000000001)</f>
        <v>5.8550598999999999E-5</v>
      </c>
      <c r="H5979" s="160">
        <f>H5465</f>
        <v>43</v>
      </c>
      <c r="I5979" s="159">
        <f>I5978</f>
        <v>0.19555899999999998</v>
      </c>
      <c r="J5979" s="160"/>
      <c r="K5979" s="161">
        <f>K5978</f>
        <v>143620</v>
      </c>
      <c r="L5979" s="250">
        <v>1</v>
      </c>
      <c r="M5979" s="163" t="str">
        <f>CONCATENATE(H5979," ",F5979,"*",I5979,"/",K5979,"чел/час")</f>
        <v>43 шт*0,195559/143620чел/час</v>
      </c>
      <c r="N5979" s="278">
        <f>N5465</f>
        <v>109534.88372093023</v>
      </c>
      <c r="O5979" s="280">
        <f>MROUND(N5979*G5979,0.000000001)</f>
        <v>6.4133330530000006</v>
      </c>
      <c r="P5979" s="166"/>
      <c r="Q5979" s="166">
        <f>O5979*K5979</f>
        <v>921082.89307186007</v>
      </c>
      <c r="R5979" s="71"/>
    </row>
    <row r="5980" spans="1:41" s="61" customFormat="1" x14ac:dyDescent="0.25">
      <c r="A5980" s="358"/>
      <c r="B5980" s="361"/>
      <c r="C5980" s="221"/>
      <c r="D5980" s="231" t="s">
        <v>49</v>
      </c>
      <c r="E5980" s="231" t="s">
        <v>101</v>
      </c>
      <c r="F5980" s="231" t="s">
        <v>101</v>
      </c>
      <c r="G5980" s="238">
        <f>MROUND(H5980*L5980*I5980/K5980,0.000000000001)</f>
        <v>2.478188135E-3</v>
      </c>
      <c r="H5980" s="160">
        <f>H5466</f>
        <v>1820</v>
      </c>
      <c r="I5980" s="159">
        <f>I5978</f>
        <v>0.19555899999999998</v>
      </c>
      <c r="J5980" s="160"/>
      <c r="K5980" s="161">
        <f>K5978</f>
        <v>143620</v>
      </c>
      <c r="L5980" s="250">
        <v>1</v>
      </c>
      <c r="M5980" s="163" t="str">
        <f>CONCATENATE(H5980," ",F5980,"*",I5980,"/",K5980,"чел/час")</f>
        <v>1820 погон.м.*0,195559/143620чел/час</v>
      </c>
      <c r="N5980" s="278">
        <f>N5466</f>
        <v>2500</v>
      </c>
      <c r="O5980" s="280">
        <f>MROUND(N5980*G5980,0.000001)</f>
        <v>6.1954699999999994</v>
      </c>
      <c r="P5980" s="166"/>
      <c r="Q5980" s="166">
        <f>O5980*K5980</f>
        <v>889793.40139999986</v>
      </c>
      <c r="R5980" s="71"/>
    </row>
    <row r="5981" spans="1:41" s="109" customFormat="1" x14ac:dyDescent="0.25">
      <c r="A5981" s="358"/>
      <c r="B5981" s="361"/>
      <c r="C5981" s="218" t="s">
        <v>291</v>
      </c>
      <c r="D5981" s="232"/>
      <c r="E5981" s="232"/>
      <c r="F5981" s="232"/>
      <c r="G5981" s="227"/>
      <c r="H5981" s="228"/>
      <c r="I5981" s="206"/>
      <c r="J5981" s="228"/>
      <c r="K5981" s="207"/>
      <c r="L5981" s="257"/>
      <c r="M5981" s="209"/>
      <c r="N5981" s="281"/>
      <c r="O5981" s="279">
        <f>SUM(O5978:O5980)</f>
        <v>32.161579769000006</v>
      </c>
      <c r="P5981" s="267"/>
      <c r="Q5981" s="166"/>
      <c r="R5981" s="72"/>
      <c r="S5981" s="62"/>
      <c r="T5981" s="62"/>
      <c r="U5981" s="62"/>
      <c r="V5981" s="62"/>
      <c r="W5981" s="62"/>
      <c r="X5981" s="62"/>
      <c r="Y5981" s="62"/>
      <c r="Z5981" s="62"/>
      <c r="AA5981" s="62"/>
      <c r="AB5981" s="62"/>
      <c r="AC5981" s="62"/>
      <c r="AD5981" s="62"/>
      <c r="AE5981" s="62"/>
      <c r="AF5981" s="62"/>
      <c r="AG5981" s="62"/>
      <c r="AH5981" s="62"/>
      <c r="AI5981" s="62"/>
      <c r="AJ5981" s="62"/>
      <c r="AK5981" s="62"/>
      <c r="AL5981" s="62"/>
      <c r="AM5981" s="62"/>
      <c r="AN5981" s="62"/>
      <c r="AO5981" s="62"/>
    </row>
    <row r="5982" spans="1:41" s="61" customFormat="1" x14ac:dyDescent="0.25">
      <c r="A5982" s="358"/>
      <c r="B5982" s="361"/>
      <c r="C5982" s="221" t="s">
        <v>77</v>
      </c>
      <c r="D5982" s="231"/>
      <c r="E5982" s="231"/>
      <c r="F5982" s="231"/>
      <c r="G5982" s="238">
        <f>MROUND(H5982*L5982*I5982/K5982,0.000000000001)</f>
        <v>0</v>
      </c>
      <c r="H5982" s="160"/>
      <c r="I5982" s="159">
        <f>I5980</f>
        <v>0.19555899999999998</v>
      </c>
      <c r="J5982" s="160"/>
      <c r="K5982" s="161">
        <f>K5980</f>
        <v>143620</v>
      </c>
      <c r="L5982" s="250"/>
      <c r="M5982" s="163"/>
      <c r="N5982" s="278"/>
      <c r="O5982" s="280">
        <f>MROUND(N5982*G5982,0.000001)</f>
        <v>0</v>
      </c>
      <c r="P5982" s="166"/>
      <c r="Q5982" s="166">
        <f>O5982*K5982</f>
        <v>0</v>
      </c>
      <c r="R5982" s="71"/>
    </row>
    <row r="5983" spans="1:41" s="109" customFormat="1" x14ac:dyDescent="0.25">
      <c r="A5983" s="358"/>
      <c r="B5983" s="361"/>
      <c r="C5983" s="218" t="s">
        <v>292</v>
      </c>
      <c r="D5983" s="232"/>
      <c r="E5983" s="232"/>
      <c r="F5983" s="232"/>
      <c r="G5983" s="227"/>
      <c r="H5983" s="228"/>
      <c r="I5983" s="206"/>
      <c r="J5983" s="228"/>
      <c r="K5983" s="207"/>
      <c r="L5983" s="257"/>
      <c r="M5983" s="209"/>
      <c r="N5983" s="281"/>
      <c r="O5983" s="279">
        <f>O5982</f>
        <v>0</v>
      </c>
      <c r="P5983" s="267"/>
      <c r="Q5983" s="166"/>
      <c r="R5983" s="72"/>
      <c r="S5983" s="62"/>
      <c r="T5983" s="62"/>
      <c r="U5983" s="62"/>
      <c r="V5983" s="62"/>
      <c r="W5983" s="62"/>
      <c r="X5983" s="62"/>
      <c r="Y5983" s="62"/>
      <c r="Z5983" s="62"/>
      <c r="AA5983" s="62"/>
      <c r="AB5983" s="62"/>
      <c r="AC5983" s="62"/>
      <c r="AD5983" s="62"/>
      <c r="AE5983" s="62"/>
      <c r="AF5983" s="62"/>
      <c r="AG5983" s="62"/>
      <c r="AH5983" s="62"/>
      <c r="AI5983" s="62"/>
      <c r="AJ5983" s="62"/>
      <c r="AK5983" s="62"/>
      <c r="AL5983" s="62"/>
      <c r="AM5983" s="62"/>
      <c r="AN5983" s="62"/>
      <c r="AO5983" s="62"/>
    </row>
    <row r="5984" spans="1:41" s="108" customFormat="1" x14ac:dyDescent="0.25">
      <c r="A5984" s="358"/>
      <c r="B5984" s="361"/>
      <c r="C5984" s="221"/>
      <c r="D5984" s="350" t="s">
        <v>65</v>
      </c>
      <c r="E5984" s="350"/>
      <c r="F5984" s="350"/>
      <c r="G5984" s="350"/>
      <c r="H5984" s="195"/>
      <c r="I5984" s="159"/>
      <c r="J5984" s="195"/>
      <c r="K5984" s="161"/>
      <c r="L5984" s="196"/>
      <c r="M5984" s="230"/>
      <c r="N5984" s="278"/>
      <c r="O5984" s="280"/>
      <c r="P5984" s="166"/>
      <c r="Q5984" s="166">
        <f t="shared" ref="Q5984:Q6003" si="1577">O5984*K5984</f>
        <v>0</v>
      </c>
      <c r="R5984" s="71"/>
      <c r="S5984" s="61"/>
      <c r="T5984" s="61"/>
      <c r="U5984" s="61"/>
      <c r="V5984" s="61"/>
      <c r="W5984" s="61"/>
      <c r="X5984" s="61"/>
      <c r="Y5984" s="61"/>
      <c r="Z5984" s="61"/>
      <c r="AA5984" s="61"/>
      <c r="AB5984" s="61"/>
      <c r="AC5984" s="61"/>
      <c r="AD5984" s="61"/>
      <c r="AE5984" s="61"/>
      <c r="AF5984" s="61"/>
      <c r="AG5984" s="61"/>
      <c r="AH5984" s="61"/>
      <c r="AI5984" s="61"/>
      <c r="AJ5984" s="61"/>
      <c r="AK5984" s="61"/>
      <c r="AL5984" s="61"/>
      <c r="AM5984" s="61"/>
      <c r="AN5984" s="61"/>
      <c r="AO5984" s="61"/>
    </row>
    <row r="5985" spans="1:41" s="108" customFormat="1" x14ac:dyDescent="0.25">
      <c r="A5985" s="358"/>
      <c r="B5985" s="361"/>
      <c r="C5985" s="221"/>
      <c r="D5985" s="194"/>
      <c r="E5985" s="194"/>
      <c r="F5985" s="194"/>
      <c r="G5985" s="217"/>
      <c r="H5985" s="195"/>
      <c r="I5985" s="159"/>
      <c r="J5985" s="195"/>
      <c r="K5985" s="161"/>
      <c r="L5985" s="196"/>
      <c r="M5985" s="230"/>
      <c r="N5985" s="278"/>
      <c r="O5985" s="280"/>
      <c r="P5985" s="166"/>
      <c r="Q5985" s="166">
        <f t="shared" si="1577"/>
        <v>0</v>
      </c>
      <c r="R5985" s="71"/>
      <c r="S5985" s="61"/>
      <c r="T5985" s="61"/>
      <c r="U5985" s="61"/>
      <c r="V5985" s="61"/>
      <c r="W5985" s="61"/>
      <c r="X5985" s="61"/>
      <c r="Y5985" s="61"/>
      <c r="Z5985" s="61"/>
      <c r="AA5985" s="61"/>
      <c r="AB5985" s="61"/>
      <c r="AC5985" s="61"/>
      <c r="AD5985" s="61"/>
      <c r="AE5985" s="61"/>
      <c r="AF5985" s="61"/>
      <c r="AG5985" s="61"/>
      <c r="AH5985" s="61"/>
      <c r="AI5985" s="61"/>
      <c r="AJ5985" s="61"/>
      <c r="AK5985" s="61"/>
      <c r="AL5985" s="61"/>
      <c r="AM5985" s="61"/>
      <c r="AN5985" s="61"/>
      <c r="AO5985" s="61"/>
    </row>
    <row r="5986" spans="1:41" s="108" customFormat="1" x14ac:dyDescent="0.25">
      <c r="A5986" s="358"/>
      <c r="B5986" s="361"/>
      <c r="C5986" s="365" t="s">
        <v>357</v>
      </c>
      <c r="D5986" s="368" t="s">
        <v>66</v>
      </c>
      <c r="E5986" s="368"/>
      <c r="F5986" s="368"/>
      <c r="G5986" s="368"/>
      <c r="H5986" s="195"/>
      <c r="I5986" s="159"/>
      <c r="J5986" s="195"/>
      <c r="K5986" s="161"/>
      <c r="L5986" s="196"/>
      <c r="M5986" s="230"/>
      <c r="N5986" s="278"/>
      <c r="O5986" s="279">
        <f>O5992</f>
        <v>0.63804099999999997</v>
      </c>
      <c r="P5986" s="166"/>
      <c r="Q5986" s="166">
        <f t="shared" si="1577"/>
        <v>0</v>
      </c>
      <c r="R5986" s="71"/>
      <c r="S5986" s="61"/>
      <c r="T5986" s="61"/>
      <c r="U5986" s="61"/>
      <c r="V5986" s="61"/>
      <c r="W5986" s="61"/>
      <c r="X5986" s="61"/>
      <c r="Y5986" s="61"/>
      <c r="Z5986" s="61"/>
      <c r="AA5986" s="61"/>
      <c r="AB5986" s="61"/>
      <c r="AC5986" s="61"/>
      <c r="AD5986" s="61"/>
      <c r="AE5986" s="61"/>
      <c r="AF5986" s="61"/>
      <c r="AG5986" s="61"/>
      <c r="AH5986" s="61"/>
      <c r="AI5986" s="61"/>
      <c r="AJ5986" s="61"/>
      <c r="AK5986" s="61"/>
      <c r="AL5986" s="61"/>
      <c r="AM5986" s="61"/>
      <c r="AN5986" s="61"/>
      <c r="AO5986" s="61"/>
    </row>
    <row r="5987" spans="1:41" s="61" customFormat="1" x14ac:dyDescent="0.25">
      <c r="A5987" s="358"/>
      <c r="B5987" s="361"/>
      <c r="C5987" s="366"/>
      <c r="D5987" s="284" t="s">
        <v>241</v>
      </c>
      <c r="E5987" s="156" t="s">
        <v>28</v>
      </c>
      <c r="F5987" s="156" t="s">
        <v>28</v>
      </c>
      <c r="G5987" s="238">
        <f>MROUND(H5987*L5987*I5987/K5987,0.000000000001)</f>
        <v>2.7777493400000001E-4</v>
      </c>
      <c r="H5987" s="158">
        <f>H5473</f>
        <v>17</v>
      </c>
      <c r="I5987" s="159">
        <f>I5980</f>
        <v>0.19555899999999998</v>
      </c>
      <c r="J5987" s="160"/>
      <c r="K5987" s="161">
        <f>K5980</f>
        <v>143620</v>
      </c>
      <c r="L5987" s="250">
        <v>12</v>
      </c>
      <c r="M5987" s="163" t="str">
        <f>CONCATENATE(H5987," ",F5987,"*",L5987,"мес.","*",I5987,"/",K5987,"чел/час")</f>
        <v>17 шт*12мес.*0,195559/143620чел/час</v>
      </c>
      <c r="N5987" s="278">
        <f>N5473</f>
        <v>342.84676470588238</v>
      </c>
      <c r="O5987" s="280">
        <f>MROUND(N5987*G5987,0.000001)</f>
        <v>9.5233999999999999E-2</v>
      </c>
      <c r="P5987" s="166"/>
      <c r="Q5987" s="166">
        <f t="shared" si="1577"/>
        <v>13677.507079999999</v>
      </c>
      <c r="R5987" s="71"/>
    </row>
    <row r="5988" spans="1:41" s="61" customFormat="1" x14ac:dyDescent="0.25">
      <c r="A5988" s="358"/>
      <c r="B5988" s="361"/>
      <c r="C5988" s="366"/>
      <c r="D5988" s="284" t="s">
        <v>242</v>
      </c>
      <c r="E5988" s="156" t="s">
        <v>243</v>
      </c>
      <c r="F5988" s="156" t="s">
        <v>243</v>
      </c>
      <c r="G5988" s="238">
        <f>MROUND(H5988*L5988*I5988/K5988,0.000000000001)</f>
        <v>0.28277488266299999</v>
      </c>
      <c r="H5988" s="158">
        <f>H5474</f>
        <v>17306</v>
      </c>
      <c r="I5988" s="159">
        <f>I5987</f>
        <v>0.19555899999999998</v>
      </c>
      <c r="J5988" s="160"/>
      <c r="K5988" s="161">
        <f>K5987</f>
        <v>143620</v>
      </c>
      <c r="L5988" s="250">
        <v>12</v>
      </c>
      <c r="M5988" s="163" t="str">
        <f>CONCATENATE(H5988," ",F5988,"*",L5988,"мес.","*",I5988,"/",K5988,"чел/час")</f>
        <v>17306 мин.*12мес.*0,195559/143620чел/час</v>
      </c>
      <c r="N5988" s="278">
        <f>N5474</f>
        <v>0.82090079548518802</v>
      </c>
      <c r="O5988" s="280">
        <f>MROUND(N5988*G5988,0.000001)</f>
        <v>0.23213</v>
      </c>
      <c r="P5988" s="166"/>
      <c r="Q5988" s="166">
        <f t="shared" si="1577"/>
        <v>33338.510600000001</v>
      </c>
      <c r="R5988" s="71"/>
    </row>
    <row r="5989" spans="1:41" s="61" customFormat="1" ht="31.5" x14ac:dyDescent="0.25">
      <c r="A5989" s="358"/>
      <c r="B5989" s="361"/>
      <c r="C5989" s="366"/>
      <c r="D5989" s="285" t="s">
        <v>244</v>
      </c>
      <c r="E5989" s="286" t="s">
        <v>245</v>
      </c>
      <c r="F5989" s="286" t="s">
        <v>247</v>
      </c>
      <c r="G5989" s="238">
        <f>MROUND(H5989*L5989*I5989/K5989,0.000000000001)</f>
        <v>8.1698509999999998E-5</v>
      </c>
      <c r="H5989" s="158">
        <f>H5475</f>
        <v>5</v>
      </c>
      <c r="I5989" s="159">
        <f>I5988</f>
        <v>0.19555899999999998</v>
      </c>
      <c r="J5989" s="160"/>
      <c r="K5989" s="161">
        <f>K5988</f>
        <v>143620</v>
      </c>
      <c r="L5989" s="250">
        <v>12</v>
      </c>
      <c r="M5989" s="163" t="str">
        <f>CONCATENATE(H5989," ",F5989,"*",L5989,"мес.","*",I5989,"/",K5989,"чел/час")</f>
        <v>5 радиоточек*12мес.*0,195559/143620чел/час</v>
      </c>
      <c r="N5989" s="278">
        <f>N5475</f>
        <v>173.30166666666665</v>
      </c>
      <c r="O5989" s="280">
        <f>MROUND(N5989*G5989,0.000001)</f>
        <v>1.4157999999999999E-2</v>
      </c>
      <c r="P5989" s="166"/>
      <c r="Q5989" s="166">
        <f t="shared" si="1577"/>
        <v>2033.3719599999997</v>
      </c>
      <c r="R5989" s="71"/>
    </row>
    <row r="5990" spans="1:41" s="61" customFormat="1" ht="47.25" x14ac:dyDescent="0.25">
      <c r="A5990" s="358"/>
      <c r="B5990" s="361"/>
      <c r="C5990" s="366"/>
      <c r="D5990" s="285" t="s">
        <v>374</v>
      </c>
      <c r="E5990" s="156" t="s">
        <v>28</v>
      </c>
      <c r="F5990" s="156" t="s">
        <v>28</v>
      </c>
      <c r="G5990" s="238">
        <f>MROUND(H5990*L5990*I5990/K5990,0.000000000001)</f>
        <v>3.8125971000000001E-5</v>
      </c>
      <c r="H5990" s="158">
        <f>H5476</f>
        <v>7</v>
      </c>
      <c r="I5990" s="159">
        <f>I5988</f>
        <v>0.19555899999999998</v>
      </c>
      <c r="J5990" s="160"/>
      <c r="K5990" s="161">
        <f>K5988</f>
        <v>143620</v>
      </c>
      <c r="L5990" s="250">
        <f>L5476</f>
        <v>4</v>
      </c>
      <c r="M5990" s="163" t="str">
        <f>CONCATENATE(H5990," ",F5990,"*",L5990,"мес.","*",I5990,"/",K5990,"чел/час")</f>
        <v>7 шт*4мес.*0,195559/143620чел/час</v>
      </c>
      <c r="N5990" s="278">
        <f>N5476</f>
        <v>1313.8174999999999</v>
      </c>
      <c r="O5990" s="280">
        <f>MROUND(N5990*G5990,0.000001)</f>
        <v>5.0090999999999997E-2</v>
      </c>
      <c r="P5990" s="166"/>
      <c r="Q5990" s="166">
        <f t="shared" si="1577"/>
        <v>7194.0694199999998</v>
      </c>
      <c r="R5990" s="71"/>
    </row>
    <row r="5991" spans="1:41" s="61" customFormat="1" x14ac:dyDescent="0.25">
      <c r="A5991" s="358"/>
      <c r="B5991" s="361"/>
      <c r="C5991" s="367"/>
      <c r="D5991" s="284" t="s">
        <v>246</v>
      </c>
      <c r="E5991" s="156" t="s">
        <v>28</v>
      </c>
      <c r="F5991" s="156" t="s">
        <v>28</v>
      </c>
      <c r="G5991" s="238">
        <f>MROUND(H5991*L5991*I5991/K5991,0.000000000001)</f>
        <v>8.1698509999999998E-5</v>
      </c>
      <c r="H5991" s="158">
        <v>5</v>
      </c>
      <c r="I5991" s="159">
        <f>I5989</f>
        <v>0.19555899999999998</v>
      </c>
      <c r="J5991" s="160"/>
      <c r="K5991" s="161">
        <f>K5989</f>
        <v>143620</v>
      </c>
      <c r="L5991" s="250">
        <v>12</v>
      </c>
      <c r="M5991" s="163" t="str">
        <f>CONCATENATE(H5991," ",F5991,"*",L5991,"мес.","*",I5991,"/",K5991,"чел/час")</f>
        <v>5 шт*12мес.*0,195559/143620чел/час</v>
      </c>
      <c r="N5991" s="278">
        <f>N5477</f>
        <v>3016.3089999999997</v>
      </c>
      <c r="O5991" s="280">
        <f>MROUND(N5991*G5991,0.000001)</f>
        <v>0.24642799999999998</v>
      </c>
      <c r="P5991" s="166"/>
      <c r="Q5991" s="166">
        <f t="shared" si="1577"/>
        <v>35391.98936</v>
      </c>
      <c r="R5991" s="71"/>
    </row>
    <row r="5992" spans="1:41" s="109" customFormat="1" x14ac:dyDescent="0.25">
      <c r="A5992" s="358"/>
      <c r="B5992" s="361"/>
      <c r="C5992" s="218" t="s">
        <v>358</v>
      </c>
      <c r="D5992" s="287"/>
      <c r="E5992" s="287"/>
      <c r="F5992" s="287"/>
      <c r="G5992" s="288"/>
      <c r="H5992" s="214"/>
      <c r="I5992" s="206"/>
      <c r="J5992" s="214"/>
      <c r="K5992" s="207"/>
      <c r="L5992" s="215"/>
      <c r="M5992" s="289"/>
      <c r="N5992" s="281"/>
      <c r="O5992" s="279">
        <f>SUM(O5987:O5991)</f>
        <v>0.63804099999999997</v>
      </c>
      <c r="P5992" s="267"/>
      <c r="Q5992" s="166">
        <f t="shared" si="1577"/>
        <v>0</v>
      </c>
      <c r="R5992" s="71"/>
      <c r="S5992" s="62"/>
      <c r="T5992" s="62"/>
      <c r="U5992" s="62"/>
      <c r="V5992" s="62"/>
      <c r="W5992" s="62"/>
      <c r="X5992" s="62"/>
      <c r="Y5992" s="62"/>
      <c r="Z5992" s="62"/>
      <c r="AA5992" s="62"/>
      <c r="AB5992" s="62"/>
      <c r="AC5992" s="62"/>
      <c r="AD5992" s="62"/>
      <c r="AE5992" s="62"/>
      <c r="AF5992" s="62"/>
      <c r="AG5992" s="62"/>
      <c r="AH5992" s="62"/>
      <c r="AI5992" s="62"/>
      <c r="AJ5992" s="62"/>
      <c r="AK5992" s="62"/>
      <c r="AL5992" s="62"/>
      <c r="AM5992" s="62"/>
      <c r="AN5992" s="62"/>
      <c r="AO5992" s="62"/>
    </row>
    <row r="5993" spans="1:41" s="108" customFormat="1" x14ac:dyDescent="0.25">
      <c r="A5993" s="358"/>
      <c r="B5993" s="361"/>
      <c r="C5993" s="365" t="s">
        <v>366</v>
      </c>
      <c r="D5993" s="368" t="s">
        <v>67</v>
      </c>
      <c r="E5993" s="368"/>
      <c r="F5993" s="368"/>
      <c r="G5993" s="368"/>
      <c r="H5993" s="195"/>
      <c r="I5993" s="159"/>
      <c r="J5993" s="195"/>
      <c r="K5993" s="161"/>
      <c r="L5993" s="196"/>
      <c r="M5993" s="230"/>
      <c r="N5993" s="278"/>
      <c r="O5993" s="279">
        <f>O5994</f>
        <v>8.5695999999999994E-2</v>
      </c>
      <c r="P5993" s="166"/>
      <c r="Q5993" s="166">
        <f t="shared" si="1577"/>
        <v>0</v>
      </c>
      <c r="R5993" s="71"/>
      <c r="S5993" s="61"/>
      <c r="T5993" s="61"/>
      <c r="U5993" s="61"/>
      <c r="V5993" s="61"/>
      <c r="W5993" s="61"/>
      <c r="X5993" s="61"/>
      <c r="Y5993" s="61"/>
      <c r="Z5993" s="61"/>
      <c r="AA5993" s="61"/>
      <c r="AB5993" s="61"/>
      <c r="AC5993" s="61"/>
      <c r="AD5993" s="61"/>
      <c r="AE5993" s="61"/>
      <c r="AF5993" s="61"/>
      <c r="AG5993" s="61"/>
      <c r="AH5993" s="61"/>
      <c r="AI5993" s="61"/>
      <c r="AJ5993" s="61"/>
      <c r="AK5993" s="61"/>
      <c r="AL5993" s="61"/>
      <c r="AM5993" s="61"/>
      <c r="AN5993" s="61"/>
      <c r="AO5993" s="61"/>
    </row>
    <row r="5994" spans="1:41" s="61" customFormat="1" x14ac:dyDescent="0.25">
      <c r="A5994" s="358"/>
      <c r="B5994" s="361"/>
      <c r="C5994" s="367"/>
      <c r="D5994" s="194" t="s">
        <v>367</v>
      </c>
      <c r="E5994" s="156" t="s">
        <v>28</v>
      </c>
      <c r="F5994" s="156" t="s">
        <v>28</v>
      </c>
      <c r="G5994" s="238">
        <f>MROUND(H5994*L5994*I5994/K5994,0.000000000001)</f>
        <v>3.2679404000000002E-5</v>
      </c>
      <c r="H5994" s="158">
        <f>H5480</f>
        <v>2</v>
      </c>
      <c r="I5994" s="159">
        <f>I5991</f>
        <v>0.19555899999999998</v>
      </c>
      <c r="J5994" s="160"/>
      <c r="K5994" s="161">
        <f>K5991</f>
        <v>143620</v>
      </c>
      <c r="L5994" s="250">
        <v>12</v>
      </c>
      <c r="M5994" s="163" t="str">
        <f>CONCATENATE(H5994," ",F5994,"*",L5994,"мес.","*",I5994,"/",K5994,"чел/час")</f>
        <v>2 шт*12мес.*0,195559/143620чел/час</v>
      </c>
      <c r="N5994" s="278">
        <f>N5480</f>
        <v>2622.3220833333335</v>
      </c>
      <c r="O5994" s="280">
        <f>MROUND(N5994*G5994,0.000001)</f>
        <v>8.5695999999999994E-2</v>
      </c>
      <c r="P5994" s="166"/>
      <c r="Q5994" s="166">
        <f t="shared" si="1577"/>
        <v>12307.659519999999</v>
      </c>
      <c r="R5994" s="71"/>
    </row>
    <row r="5995" spans="1:41" s="108" customFormat="1" x14ac:dyDescent="0.25">
      <c r="A5995" s="358"/>
      <c r="B5995" s="361"/>
      <c r="C5995" s="221"/>
      <c r="D5995" s="350" t="s">
        <v>68</v>
      </c>
      <c r="E5995" s="350"/>
      <c r="F5995" s="350"/>
      <c r="G5995" s="350"/>
      <c r="H5995" s="195"/>
      <c r="I5995" s="159"/>
      <c r="J5995" s="195"/>
      <c r="K5995" s="161"/>
      <c r="L5995" s="196"/>
      <c r="M5995" s="230"/>
      <c r="N5995" s="278"/>
      <c r="O5995" s="280"/>
      <c r="P5995" s="166"/>
      <c r="Q5995" s="166">
        <f t="shared" si="1577"/>
        <v>0</v>
      </c>
      <c r="R5995" s="71"/>
      <c r="S5995" s="61"/>
      <c r="T5995" s="61"/>
      <c r="U5995" s="61"/>
      <c r="V5995" s="61"/>
      <c r="W5995" s="61"/>
      <c r="X5995" s="61"/>
      <c r="Y5995" s="61"/>
      <c r="Z5995" s="61"/>
      <c r="AA5995" s="61"/>
      <c r="AB5995" s="61"/>
      <c r="AC5995" s="61"/>
      <c r="AD5995" s="61"/>
      <c r="AE5995" s="61"/>
      <c r="AF5995" s="61"/>
      <c r="AG5995" s="61"/>
      <c r="AH5995" s="61"/>
      <c r="AI5995" s="61"/>
      <c r="AJ5995" s="61"/>
      <c r="AK5995" s="61"/>
      <c r="AL5995" s="61"/>
      <c r="AM5995" s="61"/>
      <c r="AN5995" s="61"/>
      <c r="AO5995" s="61"/>
    </row>
    <row r="5996" spans="1:41" s="108" customFormat="1" x14ac:dyDescent="0.25">
      <c r="A5996" s="358"/>
      <c r="B5996" s="361"/>
      <c r="C5996" s="221"/>
      <c r="D5996" s="156"/>
      <c r="E5996" s="156"/>
      <c r="F5996" s="156"/>
      <c r="G5996" s="236"/>
      <c r="H5996" s="195"/>
      <c r="I5996" s="159"/>
      <c r="J5996" s="195"/>
      <c r="K5996" s="161"/>
      <c r="L5996" s="196"/>
      <c r="M5996" s="230"/>
      <c r="N5996" s="278"/>
      <c r="O5996" s="280"/>
      <c r="P5996" s="166"/>
      <c r="Q5996" s="166">
        <f t="shared" si="1577"/>
        <v>0</v>
      </c>
      <c r="R5996" s="71"/>
      <c r="S5996" s="61"/>
      <c r="T5996" s="61"/>
      <c r="U5996" s="61"/>
      <c r="V5996" s="61"/>
      <c r="W5996" s="61"/>
      <c r="X5996" s="61"/>
      <c r="Y5996" s="61"/>
      <c r="Z5996" s="61"/>
      <c r="AA5996" s="61"/>
      <c r="AB5996" s="61"/>
      <c r="AC5996" s="61"/>
      <c r="AD5996" s="61"/>
      <c r="AE5996" s="61"/>
      <c r="AF5996" s="61"/>
      <c r="AG5996" s="61"/>
      <c r="AH5996" s="61"/>
      <c r="AI5996" s="61"/>
      <c r="AJ5996" s="61"/>
      <c r="AK5996" s="61"/>
      <c r="AL5996" s="61"/>
      <c r="AM5996" s="61"/>
      <c r="AN5996" s="61"/>
      <c r="AO5996" s="61"/>
    </row>
    <row r="5997" spans="1:41" s="108" customFormat="1" x14ac:dyDescent="0.25">
      <c r="A5997" s="358"/>
      <c r="B5997" s="361"/>
      <c r="C5997" s="221"/>
      <c r="D5997" s="368" t="s">
        <v>69</v>
      </c>
      <c r="E5997" s="368"/>
      <c r="F5997" s="368"/>
      <c r="G5997" s="368"/>
      <c r="H5997" s="187"/>
      <c r="I5997" s="159"/>
      <c r="J5997" s="187"/>
      <c r="K5997" s="161"/>
      <c r="L5997" s="276"/>
      <c r="M5997" s="230"/>
      <c r="N5997" s="278"/>
      <c r="O5997" s="279">
        <f>O6004+O6020+O6023+O6036+O6037+O6038+O6049+O6051+O6055+O6052</f>
        <v>4.9588799999999988</v>
      </c>
      <c r="P5997" s="166"/>
      <c r="Q5997" s="166">
        <f t="shared" si="1577"/>
        <v>0</v>
      </c>
      <c r="R5997" s="71"/>
      <c r="S5997" s="61"/>
      <c r="T5997" s="61"/>
      <c r="U5997" s="61"/>
      <c r="V5997" s="61"/>
      <c r="W5997" s="61"/>
      <c r="X5997" s="61"/>
      <c r="Y5997" s="61"/>
      <c r="Z5997" s="61"/>
      <c r="AA5997" s="61"/>
      <c r="AB5997" s="61"/>
      <c r="AC5997" s="61"/>
      <c r="AD5997" s="61"/>
      <c r="AE5997" s="61"/>
      <c r="AF5997" s="61"/>
      <c r="AG5997" s="61"/>
      <c r="AH5997" s="61"/>
      <c r="AI5997" s="61"/>
      <c r="AJ5997" s="61"/>
      <c r="AK5997" s="61"/>
      <c r="AL5997" s="61"/>
      <c r="AM5997" s="61"/>
      <c r="AN5997" s="61"/>
      <c r="AO5997" s="61"/>
    </row>
    <row r="5998" spans="1:41" s="61" customFormat="1" ht="31.5" x14ac:dyDescent="0.25">
      <c r="A5998" s="358"/>
      <c r="B5998" s="361"/>
      <c r="C5998" s="365" t="s">
        <v>78</v>
      </c>
      <c r="D5998" s="156" t="s">
        <v>26</v>
      </c>
      <c r="E5998" s="156" t="s">
        <v>22</v>
      </c>
      <c r="F5998" s="156" t="s">
        <v>22</v>
      </c>
      <c r="G5998" s="238">
        <f t="shared" ref="G5998:G6003" si="1578">MROUND(H5998*L5998*I5998/K5998,0.000000000001)</f>
        <v>8.1049170199999993E-2</v>
      </c>
      <c r="H5998" s="158">
        <f>H5484</f>
        <v>4960.26</v>
      </c>
      <c r="I5998" s="159">
        <f>I5994</f>
        <v>0.19555899999999998</v>
      </c>
      <c r="J5998" s="160"/>
      <c r="K5998" s="161">
        <f>K5994</f>
        <v>143620</v>
      </c>
      <c r="L5998" s="250">
        <v>12</v>
      </c>
      <c r="M5998" s="163" t="str">
        <f>CONCATENATE(H5998," ",F5998,"(обрабатываемая площадь в мес.)","*",L5998,"мес.","*",I5998,"/",K5998,"чел/час")</f>
        <v>4960,26 м2(обрабатываемая площадь в мес.)*12мес.*0,195559/143620чел/час</v>
      </c>
      <c r="N5998" s="278">
        <f>N5484</f>
        <v>1.2085483758243856</v>
      </c>
      <c r="O5998" s="280">
        <f>MROUND(N5998*G5998,0.000001)</f>
        <v>9.7951999999999997E-2</v>
      </c>
      <c r="P5998" s="166"/>
      <c r="Q5998" s="166">
        <f t="shared" si="1577"/>
        <v>14067.866239999999</v>
      </c>
      <c r="R5998" s="71"/>
    </row>
    <row r="5999" spans="1:41" s="61" customFormat="1" ht="31.5" x14ac:dyDescent="0.25">
      <c r="A5999" s="358"/>
      <c r="B5999" s="361"/>
      <c r="C5999" s="366"/>
      <c r="D5999" s="156" t="s">
        <v>96</v>
      </c>
      <c r="E5999" s="156" t="s">
        <v>22</v>
      </c>
      <c r="F5999" s="156" t="s">
        <v>22</v>
      </c>
      <c r="G5999" s="238">
        <f t="shared" si="1578"/>
        <v>4.4889409692999996E-2</v>
      </c>
      <c r="H5999" s="158">
        <f>H5485</f>
        <v>2747.26</v>
      </c>
      <c r="I5999" s="298">
        <f>I5998</f>
        <v>0.19555899999999998</v>
      </c>
      <c r="J5999" s="299"/>
      <c r="K5999" s="300">
        <f>K5998</f>
        <v>143620</v>
      </c>
      <c r="L5999" s="250">
        <v>12</v>
      </c>
      <c r="M5999" s="163" t="str">
        <f>CONCATENATE(H5999," ",F5999,"(обрабатываемая площадь в мес.)","*",L5999,"мес.","*",I5999,"/",K5999,"чел/час")</f>
        <v>2747,26 м2(обрабатываемая площадь в мес.)*12мес.*0,195559/143620чел/час</v>
      </c>
      <c r="N5999" s="278">
        <f>N5485</f>
        <v>1.68496671835453</v>
      </c>
      <c r="O5999" s="280">
        <f>MROUND(N5999*G5999,0.000001)</f>
        <v>7.5636999999999996E-2</v>
      </c>
      <c r="P5999" s="166"/>
      <c r="Q5999" s="166">
        <f t="shared" si="1577"/>
        <v>10862.985939999999</v>
      </c>
      <c r="R5999" s="71"/>
    </row>
    <row r="6000" spans="1:41" s="135" customFormat="1" ht="31.5" x14ac:dyDescent="0.25">
      <c r="A6000" s="358"/>
      <c r="B6000" s="361"/>
      <c r="C6000" s="366"/>
      <c r="D6000" s="156" t="s">
        <v>385</v>
      </c>
      <c r="E6000" s="156" t="s">
        <v>22</v>
      </c>
      <c r="F6000" s="156" t="s">
        <v>22</v>
      </c>
      <c r="G6000" s="238">
        <f t="shared" si="1578"/>
        <v>8.9778819385999992E-2</v>
      </c>
      <c r="H6000" s="242">
        <f>$H$2098</f>
        <v>2747.26</v>
      </c>
      <c r="I6000" s="298">
        <f>I5999</f>
        <v>0.19555899999999998</v>
      </c>
      <c r="J6000" s="160"/>
      <c r="K6000" s="300">
        <f>K5999</f>
        <v>143620</v>
      </c>
      <c r="L6000" s="162">
        <v>24</v>
      </c>
      <c r="M6000" s="163" t="str">
        <f>CONCATENATE(H6000," ",F6000,"(обрабатываемая площадь в год)","*",L6000," раза в год.","*",I6000,"/",K6000,"чел.")</f>
        <v>2747,26 м2(обрабатываемая площадь в год)*24 раза в год.*0,195559/143620чел.</v>
      </c>
      <c r="N6000" s="164">
        <f>$N$5486</f>
        <v>1.8597276619856391</v>
      </c>
      <c r="O6000" s="165">
        <f>MROUND(G6000*N6000,0.000001)</f>
        <v>0.166964</v>
      </c>
      <c r="P6000" s="166"/>
      <c r="Q6000" s="166">
        <f t="shared" si="1577"/>
        <v>23979.36968</v>
      </c>
      <c r="R6000" s="71"/>
      <c r="S6000" s="61"/>
      <c r="T6000" s="61"/>
      <c r="U6000" s="61"/>
      <c r="V6000" s="61"/>
      <c r="W6000" s="61"/>
      <c r="X6000" s="61"/>
      <c r="Y6000" s="61"/>
      <c r="Z6000" s="61"/>
      <c r="AA6000" s="61"/>
      <c r="AB6000" s="61"/>
      <c r="AC6000" s="61"/>
      <c r="AD6000" s="61"/>
      <c r="AE6000" s="61"/>
      <c r="AF6000" s="61"/>
      <c r="AG6000" s="61"/>
      <c r="AH6000" s="61"/>
      <c r="AI6000" s="61"/>
      <c r="AJ6000" s="61"/>
      <c r="AK6000" s="61"/>
      <c r="AL6000" s="61"/>
      <c r="AM6000" s="61"/>
      <c r="AN6000" s="61"/>
      <c r="AO6000" s="61"/>
    </row>
    <row r="6001" spans="1:41" s="135" customFormat="1" ht="31.5" x14ac:dyDescent="0.25">
      <c r="A6001" s="358"/>
      <c r="B6001" s="361"/>
      <c r="C6001" s="366"/>
      <c r="D6001" s="156" t="s">
        <v>394</v>
      </c>
      <c r="E6001" s="156" t="s">
        <v>22</v>
      </c>
      <c r="F6001" s="156" t="s">
        <v>22</v>
      </c>
      <c r="G6001" s="238">
        <f t="shared" si="1578"/>
        <v>8.1049170199999993E-2</v>
      </c>
      <c r="H6001" s="243">
        <f>$H$2099</f>
        <v>4960.26</v>
      </c>
      <c r="I6001" s="298">
        <f>I6000</f>
        <v>0.19555899999999998</v>
      </c>
      <c r="J6001" s="160"/>
      <c r="K6001" s="300">
        <f>K6000</f>
        <v>143620</v>
      </c>
      <c r="L6001" s="162">
        <v>12</v>
      </c>
      <c r="M6001" s="163" t="str">
        <f>CONCATENATE(H6001," ",F6001,"(обрабатываемая площадь в мес.)","*",L6001,"мес.","*",I6001,"/",K6001,"чел.")</f>
        <v>4960,26 м2(обрабатываемая площадь в мес.)*12мес.*0,195559/143620чел.</v>
      </c>
      <c r="N6001" s="164">
        <f>$N$5487</f>
        <v>0.57006991568990339</v>
      </c>
      <c r="O6001" s="165">
        <f>MROUND(G6001*N6001,0.000001)</f>
        <v>4.6203999999999995E-2</v>
      </c>
      <c r="P6001" s="166"/>
      <c r="Q6001" s="166">
        <f t="shared" si="1577"/>
        <v>6635.818479999999</v>
      </c>
      <c r="R6001" s="71"/>
      <c r="S6001" s="61"/>
      <c r="T6001" s="61"/>
      <c r="U6001" s="61"/>
      <c r="V6001" s="61"/>
      <c r="W6001" s="61"/>
      <c r="X6001" s="61"/>
      <c r="Y6001" s="61"/>
      <c r="Z6001" s="61"/>
      <c r="AA6001" s="61"/>
      <c r="AB6001" s="61"/>
      <c r="AC6001" s="61"/>
      <c r="AD6001" s="61"/>
      <c r="AE6001" s="61"/>
      <c r="AF6001" s="61"/>
      <c r="AG6001" s="61"/>
      <c r="AH6001" s="61"/>
      <c r="AI6001" s="61"/>
      <c r="AJ6001" s="61"/>
      <c r="AK6001" s="61"/>
      <c r="AL6001" s="61"/>
      <c r="AM6001" s="61"/>
      <c r="AN6001" s="61"/>
      <c r="AO6001" s="61"/>
    </row>
    <row r="6002" spans="1:41" s="135" customFormat="1" ht="31.5" x14ac:dyDescent="0.25">
      <c r="A6002" s="358"/>
      <c r="B6002" s="361"/>
      <c r="C6002" s="366"/>
      <c r="D6002" s="156" t="s">
        <v>395</v>
      </c>
      <c r="E6002" s="156" t="s">
        <v>98</v>
      </c>
      <c r="F6002" s="156" t="s">
        <v>98</v>
      </c>
      <c r="G6002" s="238">
        <f t="shared" si="1578"/>
        <v>2.5598870000000001E-6</v>
      </c>
      <c r="H6002" s="242">
        <f>$H$2100</f>
        <v>1.8800000000000001</v>
      </c>
      <c r="I6002" s="298">
        <f>I6001</f>
        <v>0.19555899999999998</v>
      </c>
      <c r="J6002" s="160"/>
      <c r="K6002" s="300">
        <f>K6001</f>
        <v>143620</v>
      </c>
      <c r="L6002" s="162">
        <v>1</v>
      </c>
      <c r="M6002" s="163" t="str">
        <f>CONCATENATE(H6002," ",F6002,"(обрабатываемая площадь в год)","*",L6002," раз в год","*",I6002,"/",K6002,"чел.")</f>
        <v>1,88 Га(обрабатываемая площадь в год)*1 раз в год*0,195559/143620чел.</v>
      </c>
      <c r="N6002" s="164">
        <f>$N$5488</f>
        <v>570.07446808510633</v>
      </c>
      <c r="O6002" s="165">
        <f>MROUND(G6002*N6002,0.000001)</f>
        <v>1.459E-3</v>
      </c>
      <c r="P6002" s="166"/>
      <c r="Q6002" s="166">
        <f t="shared" si="1577"/>
        <v>209.54158000000001</v>
      </c>
      <c r="R6002" s="71"/>
      <c r="S6002" s="61"/>
      <c r="T6002" s="61"/>
      <c r="U6002" s="61"/>
      <c r="V6002" s="61"/>
      <c r="W6002" s="61"/>
      <c r="X6002" s="61"/>
      <c r="Y6002" s="61"/>
      <c r="Z6002" s="61"/>
      <c r="AA6002" s="61"/>
      <c r="AB6002" s="61"/>
      <c r="AC6002" s="61"/>
      <c r="AD6002" s="61"/>
      <c r="AE6002" s="61"/>
      <c r="AF6002" s="61"/>
      <c r="AG6002" s="61"/>
      <c r="AH6002" s="61"/>
      <c r="AI6002" s="61"/>
      <c r="AJ6002" s="61"/>
      <c r="AK6002" s="61"/>
      <c r="AL6002" s="61"/>
      <c r="AM6002" s="61"/>
      <c r="AN6002" s="61"/>
      <c r="AO6002" s="61"/>
    </row>
    <row r="6003" spans="1:41" s="61" customFormat="1" ht="31.5" x14ac:dyDescent="0.25">
      <c r="A6003" s="358"/>
      <c r="B6003" s="361"/>
      <c r="C6003" s="367"/>
      <c r="D6003" s="156" t="s">
        <v>97</v>
      </c>
      <c r="E6003" s="156" t="s">
        <v>363</v>
      </c>
      <c r="F6003" s="156" t="s">
        <v>363</v>
      </c>
      <c r="G6003" s="238">
        <f t="shared" si="1578"/>
        <v>2.5598870000000001E-6</v>
      </c>
      <c r="H6003" s="158">
        <f>$H$2101</f>
        <v>1.8800000000000001</v>
      </c>
      <c r="I6003" s="298">
        <f>I5999</f>
        <v>0.19555899999999998</v>
      </c>
      <c r="J6003" s="299"/>
      <c r="K6003" s="300">
        <f>K5999</f>
        <v>143620</v>
      </c>
      <c r="L6003" s="250">
        <v>1</v>
      </c>
      <c r="M6003" s="163" t="str">
        <f>CONCATENATE(H6003," ",F6003,"(обрабатываемая площадь в мес.)","*",L6003,"мес.","*",I6003,"/",K6003,"чел/час")</f>
        <v>1,88 га(обрабатываемая площадь в мес.)*1мес.*0,195559/143620чел/час</v>
      </c>
      <c r="N6003" s="278">
        <f>$N$5489</f>
        <v>3102.4095744680853</v>
      </c>
      <c r="O6003" s="280">
        <f>MROUND(N6003*G6003,0.000001)</f>
        <v>7.9419999999999994E-3</v>
      </c>
      <c r="P6003" s="166"/>
      <c r="Q6003" s="166">
        <f t="shared" si="1577"/>
        <v>1140.63004</v>
      </c>
      <c r="R6003" s="71"/>
    </row>
    <row r="6004" spans="1:41" s="109" customFormat="1" x14ac:dyDescent="0.25">
      <c r="A6004" s="358"/>
      <c r="B6004" s="361"/>
      <c r="C6004" s="218" t="s">
        <v>327</v>
      </c>
      <c r="D6004" s="240"/>
      <c r="E6004" s="240"/>
      <c r="F6004" s="240"/>
      <c r="G6004" s="227"/>
      <c r="H6004" s="241"/>
      <c r="I6004" s="206"/>
      <c r="J6004" s="228"/>
      <c r="K6004" s="207"/>
      <c r="L6004" s="257"/>
      <c r="M6004" s="209"/>
      <c r="N6004" s="281"/>
      <c r="O6004" s="279">
        <f>SUM(O5998:O6003)</f>
        <v>0.39615800000000001</v>
      </c>
      <c r="P6004" s="267"/>
      <c r="Q6004" s="166"/>
      <c r="R6004" s="71"/>
      <c r="S6004" s="62"/>
      <c r="T6004" s="62"/>
      <c r="U6004" s="62"/>
      <c r="V6004" s="62"/>
      <c r="W6004" s="62"/>
      <c r="X6004" s="62"/>
      <c r="Y6004" s="62"/>
      <c r="Z6004" s="62"/>
      <c r="AA6004" s="62"/>
      <c r="AB6004" s="62"/>
      <c r="AC6004" s="62"/>
      <c r="AD6004" s="62"/>
      <c r="AE6004" s="62"/>
      <c r="AF6004" s="62"/>
      <c r="AG6004" s="62"/>
      <c r="AH6004" s="62"/>
      <c r="AI6004" s="62"/>
      <c r="AJ6004" s="62"/>
      <c r="AK6004" s="62"/>
      <c r="AL6004" s="62"/>
      <c r="AM6004" s="62"/>
      <c r="AN6004" s="62"/>
      <c r="AO6004" s="62"/>
    </row>
    <row r="6005" spans="1:41" s="61" customFormat="1" x14ac:dyDescent="0.25">
      <c r="A6005" s="358"/>
      <c r="B6005" s="361"/>
      <c r="C6005" s="366" t="s">
        <v>77</v>
      </c>
      <c r="D6005" s="156" t="s">
        <v>397</v>
      </c>
      <c r="E6005" s="156" t="s">
        <v>433</v>
      </c>
      <c r="F6005" s="156" t="s">
        <v>433</v>
      </c>
      <c r="G6005" s="238">
        <f t="shared" ref="G6005:G6019" si="1579">MROUND(H6005*L6005*I6005/K6005,0.000000000001)</f>
        <v>0</v>
      </c>
      <c r="H6005" s="158"/>
      <c r="I6005" s="306">
        <f>I5999</f>
        <v>0.19555899999999998</v>
      </c>
      <c r="J6005" s="307"/>
      <c r="K6005" s="308">
        <f>K5999</f>
        <v>143620</v>
      </c>
      <c r="L6005" s="162">
        <v>1</v>
      </c>
      <c r="M6005" s="163"/>
      <c r="N6005" s="278"/>
      <c r="O6005" s="280">
        <f t="shared" ref="O6005:O6016" si="1580">MROUND(N6005*G6005,0.000001)</f>
        <v>0</v>
      </c>
      <c r="P6005" s="166"/>
      <c r="Q6005" s="166">
        <f t="shared" ref="Q6005:Q6019" si="1581">O6005*K6005</f>
        <v>0</v>
      </c>
      <c r="R6005" s="71"/>
    </row>
    <row r="6006" spans="1:41" s="61" customFormat="1" ht="63" x14ac:dyDescent="0.25">
      <c r="A6006" s="358"/>
      <c r="B6006" s="361"/>
      <c r="C6006" s="366"/>
      <c r="D6006" s="156" t="s">
        <v>249</v>
      </c>
      <c r="E6006" s="156" t="s">
        <v>22</v>
      </c>
      <c r="F6006" s="156" t="s">
        <v>22</v>
      </c>
      <c r="G6006" s="238">
        <f t="shared" si="1579"/>
        <v>1.1287302738999999E-2</v>
      </c>
      <c r="H6006" s="158">
        <f>H5492</f>
        <v>690.79</v>
      </c>
      <c r="I6006" s="159">
        <f>I6005</f>
        <v>0.19555899999999998</v>
      </c>
      <c r="J6006" s="160"/>
      <c r="K6006" s="161">
        <f>K6005</f>
        <v>143620</v>
      </c>
      <c r="L6006" s="250">
        <v>12</v>
      </c>
      <c r="M6006" s="163" t="str">
        <f>CONCATENATE(H6006," ",F6006,"*",L6006,"мес.","*",I6006,"/",K6006,"чел/час")</f>
        <v>690,79 м2*12мес.*0,195559/143620чел/час</v>
      </c>
      <c r="N6006" s="278">
        <f>N5596</f>
        <v>31.700778577184575</v>
      </c>
      <c r="O6006" s="280">
        <f t="shared" si="1580"/>
        <v>0.35781599999999997</v>
      </c>
      <c r="P6006" s="166"/>
      <c r="Q6006" s="166">
        <f t="shared" si="1581"/>
        <v>51389.533919999994</v>
      </c>
      <c r="R6006" s="71"/>
    </row>
    <row r="6007" spans="1:41" s="136" customFormat="1" x14ac:dyDescent="0.25">
      <c r="A6007" s="358"/>
      <c r="B6007" s="361"/>
      <c r="C6007" s="366"/>
      <c r="D6007" s="194" t="s">
        <v>398</v>
      </c>
      <c r="E6007" s="156" t="s">
        <v>60</v>
      </c>
      <c r="F6007" s="156" t="s">
        <v>60</v>
      </c>
      <c r="G6007" s="238">
        <f t="shared" si="1579"/>
        <v>6.8082089999999999E-6</v>
      </c>
      <c r="H6007" s="158">
        <f>$H$2105</f>
        <v>5</v>
      </c>
      <c r="I6007" s="159">
        <f>I6006</f>
        <v>0.19555899999999998</v>
      </c>
      <c r="J6007" s="160"/>
      <c r="K6007" s="161">
        <f>K6006</f>
        <v>143620</v>
      </c>
      <c r="L6007" s="250">
        <v>1</v>
      </c>
      <c r="M6007" s="163" t="str">
        <f>CONCATENATE(H6007," ",F6007,"*",I6007,"/",K6007,"чел/час")</f>
        <v>5 шт.*0,195559/143620чел/час</v>
      </c>
      <c r="N6007" s="278">
        <f>$N$5493</f>
        <v>5700.7</v>
      </c>
      <c r="O6007" s="280">
        <f t="shared" si="1580"/>
        <v>3.8811999999999999E-2</v>
      </c>
      <c r="P6007" s="166"/>
      <c r="Q6007" s="166">
        <f t="shared" si="1581"/>
        <v>5574.1794399999999</v>
      </c>
      <c r="R6007" s="71"/>
      <c r="S6007" s="61"/>
      <c r="T6007" s="61"/>
      <c r="U6007" s="61"/>
      <c r="V6007" s="61"/>
      <c r="W6007" s="61"/>
      <c r="X6007" s="61"/>
      <c r="Y6007" s="61"/>
      <c r="Z6007" s="61"/>
      <c r="AA6007" s="61"/>
      <c r="AB6007" s="61"/>
      <c r="AC6007" s="61"/>
      <c r="AD6007" s="61"/>
      <c r="AE6007" s="61"/>
      <c r="AF6007" s="61"/>
      <c r="AG6007" s="61"/>
      <c r="AH6007" s="61"/>
      <c r="AI6007" s="61"/>
      <c r="AJ6007" s="61"/>
      <c r="AK6007" s="61"/>
      <c r="AL6007" s="61"/>
      <c r="AM6007" s="61"/>
      <c r="AN6007" s="61"/>
      <c r="AO6007" s="61"/>
    </row>
    <row r="6008" spans="1:41" s="136" customFormat="1" ht="63" x14ac:dyDescent="0.25">
      <c r="A6008" s="358"/>
      <c r="B6008" s="361"/>
      <c r="C6008" s="366"/>
      <c r="D6008" s="156" t="s">
        <v>33</v>
      </c>
      <c r="E6008" s="156" t="s">
        <v>56</v>
      </c>
      <c r="F6008" s="156" t="s">
        <v>220</v>
      </c>
      <c r="G6008" s="238">
        <f t="shared" si="1579"/>
        <v>6.8082089999999999E-6</v>
      </c>
      <c r="H6008" s="158">
        <f>$H$2106</f>
        <v>5</v>
      </c>
      <c r="I6008" s="159">
        <f>I6007</f>
        <v>0.19555899999999998</v>
      </c>
      <c r="J6008" s="160"/>
      <c r="K6008" s="161">
        <f>K6007</f>
        <v>143620</v>
      </c>
      <c r="L6008" s="250">
        <f>$L$2106</f>
        <v>1</v>
      </c>
      <c r="M6008" s="163" t="str">
        <f>CONCATENATE(H6008," ",F6008,"*",L6008," раз в год","*",I6008,"/",K6008,"чел.")</f>
        <v>5 дымоходов*1 раз в год*0,195559/143620чел.</v>
      </c>
      <c r="N6008" s="278">
        <f>$N$5494</f>
        <v>6840.8399999999992</v>
      </c>
      <c r="O6008" s="280">
        <f t="shared" si="1580"/>
        <v>4.6573999999999997E-2</v>
      </c>
      <c r="P6008" s="166"/>
      <c r="Q6008" s="166">
        <f t="shared" si="1581"/>
        <v>6688.9578799999999</v>
      </c>
      <c r="R6008" s="71"/>
      <c r="S6008" s="61"/>
      <c r="T6008" s="61"/>
      <c r="U6008" s="61"/>
      <c r="V6008" s="61"/>
      <c r="W6008" s="61"/>
      <c r="X6008" s="61"/>
      <c r="Y6008" s="61"/>
      <c r="Z6008" s="61"/>
      <c r="AA6008" s="61"/>
      <c r="AB6008" s="61"/>
      <c r="AC6008" s="61"/>
      <c r="AD6008" s="61"/>
      <c r="AE6008" s="61"/>
      <c r="AF6008" s="61"/>
      <c r="AG6008" s="61"/>
      <c r="AH6008" s="61"/>
      <c r="AI6008" s="61"/>
      <c r="AJ6008" s="61"/>
      <c r="AK6008" s="61"/>
      <c r="AL6008" s="61"/>
      <c r="AM6008" s="61"/>
      <c r="AN6008" s="61"/>
      <c r="AO6008" s="61"/>
    </row>
    <row r="6009" spans="1:41" s="61" customFormat="1" ht="78.75" x14ac:dyDescent="0.25">
      <c r="A6009" s="358"/>
      <c r="B6009" s="361"/>
      <c r="C6009" s="366"/>
      <c r="D6009" s="156" t="s">
        <v>250</v>
      </c>
      <c r="E6009" s="156" t="s">
        <v>251</v>
      </c>
      <c r="F6009" s="156" t="s">
        <v>60</v>
      </c>
      <c r="G6009" s="238">
        <f t="shared" si="1579"/>
        <v>6.8082089999999999E-6</v>
      </c>
      <c r="H6009" s="158">
        <f>$H$2107</f>
        <v>5</v>
      </c>
      <c r="I6009" s="159">
        <f>I6006</f>
        <v>0.19555899999999998</v>
      </c>
      <c r="J6009" s="160"/>
      <c r="K6009" s="161">
        <f>K6006</f>
        <v>143620</v>
      </c>
      <c r="L6009" s="250">
        <v>1</v>
      </c>
      <c r="M6009" s="163" t="str">
        <f>CONCATENATE(H6009," ",F6009,"*",I6009,"/",K6009,"чел/час")</f>
        <v>5 шт.*0,195559/143620чел/час</v>
      </c>
      <c r="N6009" s="278">
        <f t="shared" ref="N6009:N6019" si="1582">N5495</f>
        <v>4560.5600000000004</v>
      </c>
      <c r="O6009" s="280">
        <f t="shared" si="1580"/>
        <v>3.1049E-2</v>
      </c>
      <c r="P6009" s="166"/>
      <c r="Q6009" s="166">
        <f t="shared" si="1581"/>
        <v>4459.25738</v>
      </c>
      <c r="R6009" s="71"/>
    </row>
    <row r="6010" spans="1:41" s="61" customFormat="1" ht="47.25" x14ac:dyDescent="0.25">
      <c r="A6010" s="358"/>
      <c r="B6010" s="361"/>
      <c r="C6010" s="366"/>
      <c r="D6010" s="156" t="s">
        <v>401</v>
      </c>
      <c r="E6010" s="156" t="s">
        <v>60</v>
      </c>
      <c r="F6010" s="156" t="s">
        <v>402</v>
      </c>
      <c r="G6010" s="238">
        <f t="shared" si="1579"/>
        <v>1.3616418E-5</v>
      </c>
      <c r="H6010" s="158">
        <f>H5496</f>
        <v>5</v>
      </c>
      <c r="I6010" s="159">
        <f>I6009</f>
        <v>0.19555899999999998</v>
      </c>
      <c r="J6010" s="160"/>
      <c r="K6010" s="161">
        <f>K6009</f>
        <v>143620</v>
      </c>
      <c r="L6010" s="250">
        <f>$L$2108</f>
        <v>2</v>
      </c>
      <c r="M6010" s="163" t="str">
        <f>CONCATENATE(H6010," ",F6010,"*",I6010,"/",K6010,"чел/час")</f>
        <v>5 противопожарных водопроводов*0,195559/143620чел/час</v>
      </c>
      <c r="N6010" s="278">
        <f t="shared" si="1582"/>
        <v>2850.35</v>
      </c>
      <c r="O6010" s="280">
        <f t="shared" si="1580"/>
        <v>3.8811999999999999E-2</v>
      </c>
      <c r="P6010" s="166"/>
      <c r="Q6010" s="166">
        <f t="shared" si="1581"/>
        <v>5574.1794399999999</v>
      </c>
      <c r="R6010" s="71"/>
    </row>
    <row r="6011" spans="1:41" s="61" customFormat="1" ht="47.25" x14ac:dyDescent="0.25">
      <c r="A6011" s="358"/>
      <c r="B6011" s="361"/>
      <c r="C6011" s="366"/>
      <c r="D6011" s="156" t="s">
        <v>34</v>
      </c>
      <c r="E6011" s="156" t="s">
        <v>59</v>
      </c>
      <c r="F6011" s="156" t="s">
        <v>28</v>
      </c>
      <c r="G6011" s="238">
        <f t="shared" si="1579"/>
        <v>2.7232839999999998E-6</v>
      </c>
      <c r="H6011" s="158">
        <f>H5497</f>
        <v>2</v>
      </c>
      <c r="I6011" s="159">
        <f>I6010</f>
        <v>0.19555899999999998</v>
      </c>
      <c r="J6011" s="160"/>
      <c r="K6011" s="161">
        <f>K6010</f>
        <v>143620</v>
      </c>
      <c r="L6011" s="250">
        <v>1</v>
      </c>
      <c r="M6011" s="163" t="str">
        <f>CONCATENATE(H6011," ",F6011,"*",I6011,"/",K6011,"чел/час")</f>
        <v>2 шт*0,195559/143620чел/час</v>
      </c>
      <c r="N6011" s="278">
        <f t="shared" si="1582"/>
        <v>7845</v>
      </c>
      <c r="O6011" s="280">
        <f t="shared" si="1580"/>
        <v>2.1363999999999998E-2</v>
      </c>
      <c r="P6011" s="166"/>
      <c r="Q6011" s="166">
        <f t="shared" si="1581"/>
        <v>3068.2976799999997</v>
      </c>
      <c r="R6011" s="71"/>
    </row>
    <row r="6012" spans="1:41" s="61" customFormat="1" ht="47.25" x14ac:dyDescent="0.25">
      <c r="A6012" s="358"/>
      <c r="B6012" s="361"/>
      <c r="C6012" s="366"/>
      <c r="D6012" s="156" t="s">
        <v>222</v>
      </c>
      <c r="E6012" s="156" t="s">
        <v>60</v>
      </c>
      <c r="F6012" s="156" t="s">
        <v>60</v>
      </c>
      <c r="G6012" s="238">
        <f t="shared" si="1579"/>
        <v>2.7232839999999998E-6</v>
      </c>
      <c r="H6012" s="158">
        <f>H5498</f>
        <v>2</v>
      </c>
      <c r="I6012" s="159">
        <f>I6011</f>
        <v>0.19555899999999998</v>
      </c>
      <c r="J6012" s="160"/>
      <c r="K6012" s="161">
        <f>K6011</f>
        <v>143620</v>
      </c>
      <c r="L6012" s="250">
        <v>1</v>
      </c>
      <c r="M6012" s="163" t="str">
        <f>CONCATENATE(H6012," ",F6012,"*",I6012,"/",K6012,"чел/час")</f>
        <v>2 шт.*0,195559/143620чел/час</v>
      </c>
      <c r="N6012" s="278">
        <f t="shared" si="1582"/>
        <v>13598</v>
      </c>
      <c r="O6012" s="280">
        <f t="shared" si="1580"/>
        <v>3.7031000000000001E-2</v>
      </c>
      <c r="P6012" s="166"/>
      <c r="Q6012" s="166">
        <f t="shared" si="1581"/>
        <v>5318.3922200000006</v>
      </c>
      <c r="R6012" s="71"/>
    </row>
    <row r="6013" spans="1:41" s="61" customFormat="1" ht="31.5" x14ac:dyDescent="0.25">
      <c r="A6013" s="358"/>
      <c r="B6013" s="361"/>
      <c r="C6013" s="366"/>
      <c r="D6013" s="156" t="s">
        <v>35</v>
      </c>
      <c r="E6013" s="156" t="s">
        <v>102</v>
      </c>
      <c r="F6013" s="156" t="s">
        <v>252</v>
      </c>
      <c r="G6013" s="238">
        <f t="shared" si="1579"/>
        <v>2.7232839999999998E-6</v>
      </c>
      <c r="H6013" s="158">
        <f>H5499</f>
        <v>2</v>
      </c>
      <c r="I6013" s="159">
        <f>I6011</f>
        <v>0.19555899999999998</v>
      </c>
      <c r="J6013" s="160"/>
      <c r="K6013" s="161">
        <f>K6011</f>
        <v>143620</v>
      </c>
      <c r="L6013" s="250">
        <v>1</v>
      </c>
      <c r="M6013" s="163" t="str">
        <f>CONCATENATE(H6013," ",F6013,"*",I6013,"/",K6013,"чел/час")</f>
        <v>2 замера*0,195559/143620чел/час</v>
      </c>
      <c r="N6013" s="278">
        <f t="shared" si="1582"/>
        <v>62500</v>
      </c>
      <c r="O6013" s="280">
        <f t="shared" si="1580"/>
        <v>0.170205</v>
      </c>
      <c r="P6013" s="166"/>
      <c r="Q6013" s="166">
        <f t="shared" si="1581"/>
        <v>24444.842099999998</v>
      </c>
      <c r="R6013" s="71"/>
    </row>
    <row r="6014" spans="1:41" s="61" customFormat="1" ht="47.25" x14ac:dyDescent="0.25">
      <c r="A6014" s="358"/>
      <c r="B6014" s="361"/>
      <c r="C6014" s="366"/>
      <c r="D6014" s="156" t="s">
        <v>399</v>
      </c>
      <c r="E6014" s="156" t="s">
        <v>60</v>
      </c>
      <c r="F6014" s="156" t="s">
        <v>60</v>
      </c>
      <c r="G6014" s="238">
        <f t="shared" si="1579"/>
        <v>5.4465673000000002E-5</v>
      </c>
      <c r="H6014" s="158">
        <f>$H$2112</f>
        <v>4</v>
      </c>
      <c r="I6014" s="159">
        <f>I6013</f>
        <v>0.19555899999999998</v>
      </c>
      <c r="J6014" s="160"/>
      <c r="K6014" s="161">
        <f>K6013</f>
        <v>143620</v>
      </c>
      <c r="L6014" s="250">
        <v>10</v>
      </c>
      <c r="M6014" s="163" t="str">
        <f>CONCATENATE(H6014," ",F6014,"*",L6014,"мес.","*",I6014,"/",K6014,"чел/час")</f>
        <v>4 шт.*10мес.*0,195559/143620чел/час</v>
      </c>
      <c r="N6014" s="278">
        <f t="shared" si="1582"/>
        <v>2522.5597499999994</v>
      </c>
      <c r="O6014" s="280">
        <f t="shared" si="1580"/>
        <v>0.13739299999999999</v>
      </c>
      <c r="P6014" s="166"/>
      <c r="Q6014" s="166">
        <f t="shared" si="1581"/>
        <v>19732.382659999999</v>
      </c>
      <c r="R6014" s="71"/>
    </row>
    <row r="6015" spans="1:41" s="61" customFormat="1" ht="47.25" x14ac:dyDescent="0.25">
      <c r="A6015" s="358"/>
      <c r="B6015" s="361"/>
      <c r="C6015" s="366"/>
      <c r="D6015" s="156" t="s">
        <v>36</v>
      </c>
      <c r="E6015" s="156" t="s">
        <v>31</v>
      </c>
      <c r="F6015" s="156" t="s">
        <v>224</v>
      </c>
      <c r="G6015" s="238">
        <f t="shared" si="1579"/>
        <v>1.3071761600000001E-4</v>
      </c>
      <c r="H6015" s="158">
        <f>H5501</f>
        <v>8</v>
      </c>
      <c r="I6015" s="159">
        <f>I6014</f>
        <v>0.19555899999999998</v>
      </c>
      <c r="J6015" s="160"/>
      <c r="K6015" s="161">
        <f>K6014</f>
        <v>143620</v>
      </c>
      <c r="L6015" s="250">
        <v>12</v>
      </c>
      <c r="M6015" s="163" t="str">
        <f>CONCATENATE(H6015," ",F6015,"*",L6015,"мес.","*",I6015,"/",K6015,"чел/час")</f>
        <v>8 устройств*12мес.*0,195559/143620чел/час</v>
      </c>
      <c r="N6015" s="278">
        <f t="shared" si="1582"/>
        <v>2301.2000000000003</v>
      </c>
      <c r="O6015" s="280">
        <f t="shared" si="1580"/>
        <v>0.30080699999999999</v>
      </c>
      <c r="P6015" s="166"/>
      <c r="Q6015" s="166">
        <f t="shared" si="1581"/>
        <v>43201.901339999997</v>
      </c>
      <c r="R6015" s="71"/>
    </row>
    <row r="6016" spans="1:41" s="61" customFormat="1" ht="63" x14ac:dyDescent="0.25">
      <c r="A6016" s="358"/>
      <c r="B6016" s="361"/>
      <c r="C6016" s="366"/>
      <c r="D6016" s="156" t="s">
        <v>253</v>
      </c>
      <c r="E6016" s="156" t="s">
        <v>55</v>
      </c>
      <c r="F6016" s="156" t="s">
        <v>55</v>
      </c>
      <c r="G6016" s="238">
        <f t="shared" si="1579"/>
        <v>8.1698509999999998E-5</v>
      </c>
      <c r="H6016" s="158">
        <f>H5502</f>
        <v>5</v>
      </c>
      <c r="I6016" s="159">
        <f>I6015</f>
        <v>0.19555899999999998</v>
      </c>
      <c r="J6016" s="160"/>
      <c r="K6016" s="161">
        <f>K6015</f>
        <v>143620</v>
      </c>
      <c r="L6016" s="250">
        <v>12</v>
      </c>
      <c r="M6016" s="163" t="str">
        <f>CONCATENATE(H6016," ",F6016,"*",I6016,"/",K6016,"чел/час")</f>
        <v>5 система*0,195559/143620чел/час</v>
      </c>
      <c r="N6016" s="278">
        <f t="shared" si="1582"/>
        <v>4446.5460000000003</v>
      </c>
      <c r="O6016" s="280">
        <f t="shared" si="1580"/>
        <v>0.36327599999999999</v>
      </c>
      <c r="P6016" s="166"/>
      <c r="Q6016" s="166">
        <f t="shared" si="1581"/>
        <v>52173.699119999997</v>
      </c>
      <c r="R6016" s="71"/>
    </row>
    <row r="6017" spans="1:41" s="61" customFormat="1" ht="31.5" x14ac:dyDescent="0.25">
      <c r="A6017" s="358"/>
      <c r="B6017" s="361"/>
      <c r="C6017" s="366"/>
      <c r="D6017" s="156" t="s">
        <v>99</v>
      </c>
      <c r="E6017" s="156" t="s">
        <v>103</v>
      </c>
      <c r="F6017" s="156" t="s">
        <v>225</v>
      </c>
      <c r="G6017" s="238">
        <f t="shared" si="1579"/>
        <v>3.4041046000000001E-5</v>
      </c>
      <c r="H6017" s="158">
        <f>H5503</f>
        <v>25</v>
      </c>
      <c r="I6017" s="159">
        <f>I6016</f>
        <v>0.19555899999999998</v>
      </c>
      <c r="J6017" s="160"/>
      <c r="K6017" s="161">
        <f>K6016</f>
        <v>143620</v>
      </c>
      <c r="L6017" s="250">
        <v>1</v>
      </c>
      <c r="M6017" s="163" t="str">
        <f>CONCATENATE(H6017," ",F6017,"*",I6017,"/",K6017,"чел.")</f>
        <v>25 ед.*0,195559/143620чел.</v>
      </c>
      <c r="N6017" s="164">
        <f t="shared" si="1582"/>
        <v>15000</v>
      </c>
      <c r="O6017" s="165">
        <f>MROUND(G6017*N6017,0.000001)</f>
        <v>0.51061599999999996</v>
      </c>
      <c r="P6017" s="166"/>
      <c r="Q6017" s="166">
        <f t="shared" si="1581"/>
        <v>73334.66992</v>
      </c>
      <c r="R6017" s="71"/>
    </row>
    <row r="6018" spans="1:41" s="61" customFormat="1" x14ac:dyDescent="0.25">
      <c r="A6018" s="358"/>
      <c r="B6018" s="361"/>
      <c r="C6018" s="366"/>
      <c r="D6018" s="156" t="s">
        <v>27</v>
      </c>
      <c r="E6018" s="156" t="s">
        <v>28</v>
      </c>
      <c r="F6018" s="156" t="s">
        <v>28</v>
      </c>
      <c r="G6018" s="238">
        <f t="shared" si="1579"/>
        <v>2.0424627500000001E-4</v>
      </c>
      <c r="H6018" s="160">
        <f>H5504</f>
        <v>150</v>
      </c>
      <c r="I6018" s="159">
        <f>I6016</f>
        <v>0.19555899999999998</v>
      </c>
      <c r="J6018" s="160"/>
      <c r="K6018" s="161">
        <f>K6016</f>
        <v>143620</v>
      </c>
      <c r="L6018" s="250">
        <v>1</v>
      </c>
      <c r="M6018" s="163" t="str">
        <f>CONCATENATE(H6018," ",F6018,"*",I6018,"/",K6018,"чел/час")</f>
        <v>150 шт*0,195559/143620чел/час</v>
      </c>
      <c r="N6018" s="278">
        <f t="shared" si="1582"/>
        <v>400</v>
      </c>
      <c r="O6018" s="280">
        <f t="shared" ref="O6018:O6019" si="1583">MROUND(N6018*G6018,0.000001)</f>
        <v>8.1698999999999994E-2</v>
      </c>
      <c r="P6018" s="166"/>
      <c r="Q6018" s="166">
        <f t="shared" si="1581"/>
        <v>11733.610379999998</v>
      </c>
      <c r="R6018" s="71"/>
    </row>
    <row r="6019" spans="1:41" s="61" customFormat="1" ht="31.5" x14ac:dyDescent="0.25">
      <c r="A6019" s="358"/>
      <c r="B6019" s="361"/>
      <c r="C6019" s="367"/>
      <c r="D6019" s="156" t="s">
        <v>104</v>
      </c>
      <c r="E6019" s="156" t="s">
        <v>105</v>
      </c>
      <c r="F6019" s="156" t="s">
        <v>226</v>
      </c>
      <c r="G6019" s="238">
        <f t="shared" si="1579"/>
        <v>6.8082089999999999E-6</v>
      </c>
      <c r="H6019" s="160">
        <f>H5505</f>
        <v>5</v>
      </c>
      <c r="I6019" s="159">
        <f>I6018</f>
        <v>0.19555899999999998</v>
      </c>
      <c r="J6019" s="160"/>
      <c r="K6019" s="161">
        <f>K6018</f>
        <v>143620</v>
      </c>
      <c r="L6019" s="250">
        <v>1</v>
      </c>
      <c r="M6019" s="163" t="str">
        <f>CONCATENATE(H6019," ",F6019,"*",I6019,"/",K6019,"чел/час")</f>
        <v>5 отключений*0,195559/143620чел/час</v>
      </c>
      <c r="N6019" s="278">
        <f t="shared" si="1582"/>
        <v>9414</v>
      </c>
      <c r="O6019" s="280">
        <f t="shared" si="1583"/>
        <v>6.4091999999999996E-2</v>
      </c>
      <c r="P6019" s="166"/>
      <c r="Q6019" s="166">
        <f t="shared" si="1581"/>
        <v>9204.893039999999</v>
      </c>
      <c r="R6019" s="71"/>
    </row>
    <row r="6020" spans="1:41" s="109" customFormat="1" x14ac:dyDescent="0.25">
      <c r="A6020" s="358"/>
      <c r="B6020" s="361"/>
      <c r="C6020" s="249" t="s">
        <v>326</v>
      </c>
      <c r="D6020" s="240"/>
      <c r="E6020" s="240"/>
      <c r="F6020" s="240"/>
      <c r="G6020" s="227"/>
      <c r="H6020" s="228"/>
      <c r="I6020" s="206"/>
      <c r="J6020" s="228"/>
      <c r="K6020" s="207"/>
      <c r="L6020" s="257"/>
      <c r="M6020" s="209"/>
      <c r="N6020" s="281"/>
      <c r="O6020" s="279">
        <f>SUM(O6005:O6019)</f>
        <v>2.1995459999999998</v>
      </c>
      <c r="P6020" s="267"/>
      <c r="Q6020" s="166"/>
      <c r="R6020" s="71"/>
      <c r="S6020" s="62"/>
      <c r="T6020" s="62"/>
      <c r="U6020" s="62"/>
      <c r="V6020" s="62"/>
      <c r="W6020" s="62"/>
      <c r="X6020" s="62"/>
      <c r="Y6020" s="62"/>
      <c r="Z6020" s="62"/>
      <c r="AA6020" s="62"/>
      <c r="AB6020" s="62"/>
      <c r="AC6020" s="62"/>
      <c r="AD6020" s="62"/>
      <c r="AE6020" s="62"/>
      <c r="AF6020" s="62"/>
      <c r="AG6020" s="62"/>
      <c r="AH6020" s="62"/>
      <c r="AI6020" s="62"/>
      <c r="AJ6020" s="62"/>
      <c r="AK6020" s="62"/>
      <c r="AL6020" s="62"/>
      <c r="AM6020" s="62"/>
      <c r="AN6020" s="62"/>
      <c r="AO6020" s="62"/>
    </row>
    <row r="6021" spans="1:41" s="61" customFormat="1" ht="31.5" x14ac:dyDescent="0.25">
      <c r="A6021" s="358"/>
      <c r="B6021" s="361"/>
      <c r="C6021" s="221" t="s">
        <v>79</v>
      </c>
      <c r="D6021" s="156" t="s">
        <v>37</v>
      </c>
      <c r="E6021" s="156" t="s">
        <v>61</v>
      </c>
      <c r="F6021" s="156" t="s">
        <v>254</v>
      </c>
      <c r="G6021" s="238">
        <f>MROUND(H6021*L6021*I6021/K6021,0.000000000001)</f>
        <v>1.3616419999999999E-6</v>
      </c>
      <c r="H6021" s="158">
        <f>$H$2119</f>
        <v>1</v>
      </c>
      <c r="I6021" s="159">
        <f>I6019</f>
        <v>0.19555899999999998</v>
      </c>
      <c r="J6021" s="160"/>
      <c r="K6021" s="161">
        <f>K6019</f>
        <v>143620</v>
      </c>
      <c r="L6021" s="250">
        <v>1</v>
      </c>
      <c r="M6021" s="163" t="str">
        <f>CONCATENATE(H6021," ",F6021,"*",I6021,"/",K6021,"чел/час")</f>
        <v>1 автобус*0,195559/143620чел/час</v>
      </c>
      <c r="N6021" s="278">
        <f>N5507</f>
        <v>24426.36</v>
      </c>
      <c r="O6021" s="280">
        <f>MROUND(N6021*G6021,0.000001)</f>
        <v>3.3259999999999998E-2</v>
      </c>
      <c r="P6021" s="166"/>
      <c r="Q6021" s="166">
        <f>O6021*K6021</f>
        <v>4776.8011999999999</v>
      </c>
      <c r="R6021" s="71"/>
    </row>
    <row r="6022" spans="1:41" s="61" customFormat="1" x14ac:dyDescent="0.25">
      <c r="A6022" s="358"/>
      <c r="B6022" s="361"/>
      <c r="C6022" s="221"/>
      <c r="D6022" s="156" t="s">
        <v>255</v>
      </c>
      <c r="E6022" s="156" t="s">
        <v>28</v>
      </c>
      <c r="F6022" s="156" t="s">
        <v>28</v>
      </c>
      <c r="G6022" s="238">
        <f>MROUND(H6022*L6022*I6022/K6022,0.000000000001)</f>
        <v>9.3953286499999999E-4</v>
      </c>
      <c r="H6022" s="158">
        <f>H5508</f>
        <v>345</v>
      </c>
      <c r="I6022" s="159">
        <f>I6021</f>
        <v>0.19555899999999998</v>
      </c>
      <c r="J6022" s="160"/>
      <c r="K6022" s="161">
        <f>K6021</f>
        <v>143620</v>
      </c>
      <c r="L6022" s="250">
        <v>2</v>
      </c>
      <c r="M6022" s="163" t="str">
        <f>CONCATENATE(H6022," ",F6022,"*",L6022,"раза в год","*",I6022,"/",K6022,"чел/час")</f>
        <v>345 шт*2раза в год*0,195559/143620чел/час</v>
      </c>
      <c r="N6022" s="278">
        <f>N5508</f>
        <v>456.05601449275366</v>
      </c>
      <c r="O6022" s="280">
        <f>MROUND(N6022*G6022,0.000001)</f>
        <v>0.42847999999999997</v>
      </c>
      <c r="P6022" s="166"/>
      <c r="Q6022" s="166">
        <f>O6022*K6022</f>
        <v>61538.297599999998</v>
      </c>
      <c r="R6022" s="71"/>
    </row>
    <row r="6023" spans="1:41" s="109" customFormat="1" x14ac:dyDescent="0.25">
      <c r="A6023" s="358"/>
      <c r="B6023" s="361"/>
      <c r="C6023" s="218" t="s">
        <v>328</v>
      </c>
      <c r="D6023" s="240"/>
      <c r="E6023" s="240"/>
      <c r="F6023" s="240"/>
      <c r="G6023" s="227"/>
      <c r="H6023" s="241"/>
      <c r="I6023" s="206"/>
      <c r="J6023" s="228"/>
      <c r="K6023" s="207"/>
      <c r="L6023" s="257"/>
      <c r="M6023" s="209"/>
      <c r="N6023" s="281"/>
      <c r="O6023" s="279">
        <f>O6022+O6021</f>
        <v>0.46173999999999998</v>
      </c>
      <c r="P6023" s="267"/>
      <c r="Q6023" s="166"/>
      <c r="R6023" s="71"/>
      <c r="S6023" s="62"/>
      <c r="T6023" s="62"/>
      <c r="U6023" s="62"/>
      <c r="V6023" s="62"/>
      <c r="W6023" s="62"/>
      <c r="X6023" s="62"/>
      <c r="Y6023" s="62"/>
      <c r="Z6023" s="62"/>
      <c r="AA6023" s="62"/>
      <c r="AB6023" s="62"/>
      <c r="AC6023" s="62"/>
      <c r="AD6023" s="62"/>
      <c r="AE6023" s="62"/>
      <c r="AF6023" s="62"/>
      <c r="AG6023" s="62"/>
      <c r="AH6023" s="62"/>
      <c r="AI6023" s="62"/>
      <c r="AJ6023" s="62"/>
      <c r="AK6023" s="62"/>
      <c r="AL6023" s="62"/>
      <c r="AM6023" s="62"/>
      <c r="AN6023" s="62"/>
      <c r="AO6023" s="62"/>
    </row>
    <row r="6024" spans="1:41" s="61" customFormat="1" x14ac:dyDescent="0.25">
      <c r="A6024" s="358"/>
      <c r="B6024" s="361"/>
      <c r="C6024" s="364" t="s">
        <v>80</v>
      </c>
      <c r="D6024" s="156" t="s">
        <v>38</v>
      </c>
      <c r="E6024" s="156" t="s">
        <v>57</v>
      </c>
      <c r="F6024" s="156" t="s">
        <v>228</v>
      </c>
      <c r="G6024" s="238">
        <f t="shared" ref="G6024:G6035" si="1584">MROUND(H6024*L6024*I6024/K6024,0.000000000001)</f>
        <v>1.3071761600000001E-4</v>
      </c>
      <c r="H6024" s="158">
        <f>H5510</f>
        <v>8</v>
      </c>
      <c r="I6024" s="159">
        <f>I6021</f>
        <v>0.19555899999999998</v>
      </c>
      <c r="J6024" s="160"/>
      <c r="K6024" s="161">
        <f>K6021</f>
        <v>143620</v>
      </c>
      <c r="L6024" s="250">
        <v>12</v>
      </c>
      <c r="M6024" s="163" t="str">
        <f>CONCATENATE(H6024," ",F6024,"*",L6024,"мес.","*",I6024,"/",K6024,"чел/час")</f>
        <v>8 зданий*12мес.*0,195559/143620чел/час</v>
      </c>
      <c r="N6024" s="278">
        <f t="shared" ref="N6024:N6033" si="1585">N5510</f>
        <v>4910.5830208333327</v>
      </c>
      <c r="O6024" s="280">
        <f t="shared" ref="O6024:O6035" si="1586">MROUND(N6024*G6024,0.000001)</f>
        <v>0.64190000000000003</v>
      </c>
      <c r="P6024" s="166"/>
      <c r="Q6024" s="166">
        <f t="shared" ref="Q6024:Q6035" si="1587">O6024*K6024</f>
        <v>92189.678</v>
      </c>
      <c r="R6024" s="71"/>
    </row>
    <row r="6025" spans="1:41" s="61" customFormat="1" x14ac:dyDescent="0.25">
      <c r="A6025" s="358"/>
      <c r="B6025" s="361"/>
      <c r="C6025" s="364"/>
      <c r="D6025" s="156" t="s">
        <v>256</v>
      </c>
      <c r="E6025" s="156" t="s">
        <v>20</v>
      </c>
      <c r="F6025" s="156" t="s">
        <v>20</v>
      </c>
      <c r="G6025" s="238">
        <f t="shared" si="1584"/>
        <v>2.5462702300000002E-4</v>
      </c>
      <c r="H6025" s="158">
        <f>H5511</f>
        <v>187</v>
      </c>
      <c r="I6025" s="159">
        <f>I6022</f>
        <v>0.19555899999999998</v>
      </c>
      <c r="J6025" s="160"/>
      <c r="K6025" s="161">
        <f>K6022</f>
        <v>143620</v>
      </c>
      <c r="L6025" s="250">
        <v>1</v>
      </c>
      <c r="M6025" s="163" t="str">
        <f t="shared" ref="M6025:M6032" si="1588">CONCATENATE(H6025," ",F6025,"*",I6025,"/",K6025,"чел/час")</f>
        <v>187 чел.*0,195559/143620чел/час</v>
      </c>
      <c r="N6025" s="278">
        <f t="shared" si="1585"/>
        <v>1938.2379679144385</v>
      </c>
      <c r="O6025" s="280">
        <f t="shared" si="1586"/>
        <v>0.49352799999999997</v>
      </c>
      <c r="P6025" s="166"/>
      <c r="Q6025" s="166">
        <f t="shared" si="1587"/>
        <v>70880.49136</v>
      </c>
      <c r="R6025" s="71"/>
    </row>
    <row r="6026" spans="1:41" s="61" customFormat="1" ht="63" x14ac:dyDescent="0.25">
      <c r="A6026" s="358"/>
      <c r="B6026" s="361"/>
      <c r="C6026" s="364"/>
      <c r="D6026" s="156" t="s">
        <v>39</v>
      </c>
      <c r="E6026" s="156" t="s">
        <v>20</v>
      </c>
      <c r="F6026" s="156" t="s">
        <v>234</v>
      </c>
      <c r="G6026" s="238">
        <f t="shared" si="1584"/>
        <v>1.2254775999999999E-5</v>
      </c>
      <c r="H6026" s="158">
        <f>H5512</f>
        <v>9</v>
      </c>
      <c r="I6026" s="159">
        <f>I6024</f>
        <v>0.19555899999999998</v>
      </c>
      <c r="J6026" s="160"/>
      <c r="K6026" s="161">
        <f>K6024</f>
        <v>143620</v>
      </c>
      <c r="L6026" s="250">
        <v>1</v>
      </c>
      <c r="M6026" s="163" t="str">
        <f t="shared" si="1588"/>
        <v>9 чел(заявленная потребность руководителями учреждений)*0,195559/143620чел/час</v>
      </c>
      <c r="N6026" s="278">
        <f t="shared" si="1585"/>
        <v>798.09666666666669</v>
      </c>
      <c r="O6026" s="280">
        <f t="shared" si="1586"/>
        <v>9.7799999999999988E-3</v>
      </c>
      <c r="P6026" s="166"/>
      <c r="Q6026" s="166">
        <f t="shared" si="1587"/>
        <v>1404.6035999999999</v>
      </c>
      <c r="R6026" s="71"/>
    </row>
    <row r="6027" spans="1:41" s="61" customFormat="1" ht="63" x14ac:dyDescent="0.25">
      <c r="A6027" s="358"/>
      <c r="B6027" s="361"/>
      <c r="C6027" s="364"/>
      <c r="D6027" s="156" t="s">
        <v>40</v>
      </c>
      <c r="E6027" s="156" t="s">
        <v>20</v>
      </c>
      <c r="F6027" s="156" t="s">
        <v>234</v>
      </c>
      <c r="G6027" s="238">
        <f t="shared" si="1584"/>
        <v>1.7701344E-5</v>
      </c>
      <c r="H6027" s="158">
        <f>H5513</f>
        <v>13</v>
      </c>
      <c r="I6027" s="159">
        <f t="shared" ref="I6027:I6032" si="1589">I6026</f>
        <v>0.19555899999999998</v>
      </c>
      <c r="J6027" s="160"/>
      <c r="K6027" s="161">
        <f t="shared" ref="K6027:K6032" si="1590">K6026</f>
        <v>143620</v>
      </c>
      <c r="L6027" s="250">
        <v>1</v>
      </c>
      <c r="M6027" s="163" t="str">
        <f t="shared" si="1588"/>
        <v>13 чел(заявленная потребность руководителями учреждений)*0,195559/143620чел/час</v>
      </c>
      <c r="N6027" s="278">
        <f t="shared" si="1585"/>
        <v>1710.2100000000003</v>
      </c>
      <c r="O6027" s="280">
        <f t="shared" si="1586"/>
        <v>3.0272999999999998E-2</v>
      </c>
      <c r="P6027" s="166"/>
      <c r="Q6027" s="166">
        <f t="shared" si="1587"/>
        <v>4347.8082599999998</v>
      </c>
      <c r="R6027" s="71"/>
    </row>
    <row r="6028" spans="1:41" s="61" customFormat="1" ht="63" x14ac:dyDescent="0.25">
      <c r="A6028" s="358"/>
      <c r="B6028" s="361"/>
      <c r="C6028" s="364"/>
      <c r="D6028" s="156" t="s">
        <v>100</v>
      </c>
      <c r="E6028" s="156" t="s">
        <v>20</v>
      </c>
      <c r="F6028" s="156" t="s">
        <v>234</v>
      </c>
      <c r="G6028" s="238">
        <f t="shared" si="1584"/>
        <v>9.5314929999999993E-6</v>
      </c>
      <c r="H6028" s="158">
        <f>H5514</f>
        <v>7</v>
      </c>
      <c r="I6028" s="159">
        <f t="shared" si="1589"/>
        <v>0.19555899999999998</v>
      </c>
      <c r="J6028" s="160"/>
      <c r="K6028" s="161">
        <f t="shared" si="1590"/>
        <v>143620</v>
      </c>
      <c r="L6028" s="250">
        <v>1</v>
      </c>
      <c r="M6028" s="163" t="str">
        <f t="shared" si="1588"/>
        <v>7 чел(заявленная потребность руководителями учреждений)*0,195559/143620чел/час</v>
      </c>
      <c r="N6028" s="278">
        <f t="shared" si="1585"/>
        <v>3648.4471428571428</v>
      </c>
      <c r="O6028" s="280">
        <f t="shared" si="1586"/>
        <v>3.4775E-2</v>
      </c>
      <c r="P6028" s="166"/>
      <c r="Q6028" s="166">
        <f t="shared" si="1587"/>
        <v>4994.3855000000003</v>
      </c>
      <c r="R6028" s="71"/>
    </row>
    <row r="6029" spans="1:41" s="61" customFormat="1" ht="110.25" x14ac:dyDescent="0.25">
      <c r="A6029" s="358"/>
      <c r="B6029" s="361"/>
      <c r="C6029" s="364"/>
      <c r="D6029" s="156" t="s">
        <v>235</v>
      </c>
      <c r="E6029" s="156" t="s">
        <v>50</v>
      </c>
      <c r="F6029" s="156" t="s">
        <v>230</v>
      </c>
      <c r="G6029" s="238">
        <f t="shared" si="1584"/>
        <v>6.8082089999999999E-6</v>
      </c>
      <c r="H6029" s="158">
        <v>5</v>
      </c>
      <c r="I6029" s="159">
        <f t="shared" si="1589"/>
        <v>0.19555899999999998</v>
      </c>
      <c r="J6029" s="160"/>
      <c r="K6029" s="161">
        <f t="shared" si="1590"/>
        <v>143620</v>
      </c>
      <c r="L6029" s="250">
        <v>1</v>
      </c>
      <c r="M6029" s="163" t="str">
        <f t="shared" si="1588"/>
        <v>5 отчетов*0,195559/143620чел/час</v>
      </c>
      <c r="N6029" s="278">
        <f t="shared" si="1585"/>
        <v>6840.8399999999992</v>
      </c>
      <c r="O6029" s="280">
        <f t="shared" si="1586"/>
        <v>4.6573999999999997E-2</v>
      </c>
      <c r="P6029" s="166"/>
      <c r="Q6029" s="166">
        <f t="shared" si="1587"/>
        <v>6688.9578799999999</v>
      </c>
      <c r="R6029" s="71"/>
    </row>
    <row r="6030" spans="1:41" s="61" customFormat="1" ht="63" x14ac:dyDescent="0.25">
      <c r="A6030" s="358"/>
      <c r="B6030" s="361"/>
      <c r="C6030" s="364"/>
      <c r="D6030" s="156" t="s">
        <v>42</v>
      </c>
      <c r="E6030" s="156" t="s">
        <v>51</v>
      </c>
      <c r="F6030" s="156" t="s">
        <v>407</v>
      </c>
      <c r="G6030" s="238">
        <f t="shared" si="1584"/>
        <v>3.5402688E-5</v>
      </c>
      <c r="H6030" s="158">
        <f>H5516</f>
        <v>26</v>
      </c>
      <c r="I6030" s="159">
        <f t="shared" si="1589"/>
        <v>0.19555899999999998</v>
      </c>
      <c r="J6030" s="160"/>
      <c r="K6030" s="161">
        <f t="shared" si="1590"/>
        <v>143620</v>
      </c>
      <c r="L6030" s="250">
        <v>1</v>
      </c>
      <c r="M6030" s="163" t="str">
        <f t="shared" si="1588"/>
        <v>26 ед (заявленная потребность руководителями учреждений)*0,195559/143620чел/час</v>
      </c>
      <c r="N6030" s="278">
        <f t="shared" si="1585"/>
        <v>1140.1400000000001</v>
      </c>
      <c r="O6030" s="280">
        <f t="shared" si="1586"/>
        <v>4.0363999999999997E-2</v>
      </c>
      <c r="P6030" s="166"/>
      <c r="Q6030" s="166">
        <f t="shared" si="1587"/>
        <v>5797.0776799999994</v>
      </c>
      <c r="R6030" s="71"/>
    </row>
    <row r="6031" spans="1:41" s="61" customFormat="1" ht="31.5" x14ac:dyDescent="0.25">
      <c r="A6031" s="358"/>
      <c r="B6031" s="361"/>
      <c r="C6031" s="364"/>
      <c r="D6031" s="156" t="s">
        <v>43</v>
      </c>
      <c r="E6031" s="156" t="s">
        <v>52</v>
      </c>
      <c r="F6031" s="156" t="s">
        <v>231</v>
      </c>
      <c r="G6031" s="238">
        <f t="shared" si="1584"/>
        <v>6.8082089999999999E-6</v>
      </c>
      <c r="H6031" s="158">
        <v>5</v>
      </c>
      <c r="I6031" s="159">
        <f t="shared" si="1589"/>
        <v>0.19555899999999998</v>
      </c>
      <c r="J6031" s="160"/>
      <c r="K6031" s="161">
        <f t="shared" si="1590"/>
        <v>143620</v>
      </c>
      <c r="L6031" s="250">
        <v>1</v>
      </c>
      <c r="M6031" s="163" t="str">
        <f t="shared" si="1588"/>
        <v>5 ЭЦП*0,195559/143620чел/час</v>
      </c>
      <c r="N6031" s="278">
        <f t="shared" si="1585"/>
        <v>8099.55</v>
      </c>
      <c r="O6031" s="280">
        <f t="shared" si="1586"/>
        <v>5.5142999999999998E-2</v>
      </c>
      <c r="P6031" s="166"/>
      <c r="Q6031" s="166">
        <f t="shared" si="1587"/>
        <v>7919.6376599999994</v>
      </c>
      <c r="R6031" s="71"/>
    </row>
    <row r="6032" spans="1:41" s="61" customFormat="1" x14ac:dyDescent="0.25">
      <c r="A6032" s="358"/>
      <c r="B6032" s="361"/>
      <c r="C6032" s="364"/>
      <c r="D6032" s="156" t="s">
        <v>373</v>
      </c>
      <c r="E6032" s="156" t="s">
        <v>28</v>
      </c>
      <c r="F6032" s="156" t="s">
        <v>28</v>
      </c>
      <c r="G6032" s="238">
        <f t="shared" si="1584"/>
        <v>6.8082089999999999E-6</v>
      </c>
      <c r="H6032" s="158">
        <f>H5518</f>
        <v>5</v>
      </c>
      <c r="I6032" s="159">
        <f t="shared" si="1589"/>
        <v>0.19555899999999998</v>
      </c>
      <c r="J6032" s="160"/>
      <c r="K6032" s="161">
        <f t="shared" si="1590"/>
        <v>143620</v>
      </c>
      <c r="L6032" s="250">
        <v>1</v>
      </c>
      <c r="M6032" s="163" t="str">
        <f t="shared" si="1588"/>
        <v>5 шт*0,195559/143620чел/час</v>
      </c>
      <c r="N6032" s="278">
        <f t="shared" si="1585"/>
        <v>24000</v>
      </c>
      <c r="O6032" s="280">
        <f t="shared" si="1586"/>
        <v>0.16339699999999999</v>
      </c>
      <c r="P6032" s="166"/>
      <c r="Q6032" s="166">
        <f t="shared" si="1587"/>
        <v>23467.077139999998</v>
      </c>
      <c r="R6032" s="71"/>
    </row>
    <row r="6033" spans="1:41" s="61" customFormat="1" ht="63" x14ac:dyDescent="0.25">
      <c r="A6033" s="358"/>
      <c r="B6033" s="361"/>
      <c r="C6033" s="364"/>
      <c r="D6033" s="156" t="s">
        <v>45</v>
      </c>
      <c r="E6033" s="156" t="s">
        <v>53</v>
      </c>
      <c r="F6033" s="156" t="s">
        <v>257</v>
      </c>
      <c r="G6033" s="238">
        <f t="shared" si="1584"/>
        <v>1.6339702000000001E-5</v>
      </c>
      <c r="H6033" s="158">
        <v>1</v>
      </c>
      <c r="I6033" s="159">
        <f>I6031</f>
        <v>0.19555899999999998</v>
      </c>
      <c r="J6033" s="160"/>
      <c r="K6033" s="161">
        <f>K6031</f>
        <v>143620</v>
      </c>
      <c r="L6033" s="250">
        <v>12</v>
      </c>
      <c r="M6033" s="163" t="str">
        <f>CONCATENATE(H6033," ",F6033,"*",L6033,"мес.","*",I6033,"/",K6033,"чел/час")</f>
        <v>1  машина, оборудованная системой ГЛОНАСС*12мес.*0,195559/143620чел/час</v>
      </c>
      <c r="N6033" s="278">
        <f t="shared" si="1585"/>
        <v>921.23333333333346</v>
      </c>
      <c r="O6033" s="280">
        <f t="shared" si="1586"/>
        <v>1.5052999999999999E-2</v>
      </c>
      <c r="P6033" s="166"/>
      <c r="Q6033" s="166">
        <f t="shared" si="1587"/>
        <v>2161.9118599999997</v>
      </c>
      <c r="R6033" s="71"/>
    </row>
    <row r="6034" spans="1:41" s="136" customFormat="1" ht="47.25" x14ac:dyDescent="0.25">
      <c r="A6034" s="358"/>
      <c r="B6034" s="361"/>
      <c r="C6034" s="364"/>
      <c r="D6034" s="156" t="s">
        <v>44</v>
      </c>
      <c r="E6034" s="156" t="s">
        <v>85</v>
      </c>
      <c r="F6034" s="156" t="s">
        <v>232</v>
      </c>
      <c r="G6034" s="238">
        <f t="shared" si="1584"/>
        <v>4.1393911700000002E-4</v>
      </c>
      <c r="H6034" s="158">
        <f>$H$2132</f>
        <v>304</v>
      </c>
      <c r="I6034" s="159">
        <f>I6033</f>
        <v>0.19555899999999998</v>
      </c>
      <c r="J6034" s="160"/>
      <c r="K6034" s="161">
        <f>K6033</f>
        <v>143620</v>
      </c>
      <c r="L6034" s="250">
        <v>1</v>
      </c>
      <c r="M6034" s="163" t="str">
        <f>CONCATENATE(H6034," ",F6034,"*",L6034,"мес.","*",I6034,"/",K6034,"чел.")</f>
        <v>304 мед.осмотров в мес.*1мес.*0,195559/143620чел.</v>
      </c>
      <c r="N6034" s="278">
        <f>$N$5520</f>
        <v>59.287269736842113</v>
      </c>
      <c r="O6034" s="280">
        <f t="shared" si="1586"/>
        <v>2.4541E-2</v>
      </c>
      <c r="P6034" s="166"/>
      <c r="Q6034" s="166">
        <f t="shared" si="1587"/>
        <v>3524.5784199999998</v>
      </c>
      <c r="R6034" s="71"/>
      <c r="S6034" s="71"/>
      <c r="T6034" s="61"/>
      <c r="U6034" s="61"/>
      <c r="V6034" s="61"/>
      <c r="W6034" s="61"/>
      <c r="X6034" s="61"/>
      <c r="Y6034" s="61"/>
      <c r="Z6034" s="61"/>
      <c r="AA6034" s="61"/>
      <c r="AB6034" s="61"/>
      <c r="AC6034" s="61"/>
      <c r="AD6034" s="61"/>
      <c r="AE6034" s="61"/>
      <c r="AF6034" s="61"/>
      <c r="AG6034" s="61"/>
      <c r="AH6034" s="61"/>
      <c r="AI6034" s="61"/>
      <c r="AJ6034" s="61"/>
      <c r="AK6034" s="61"/>
      <c r="AL6034" s="61"/>
      <c r="AM6034" s="61"/>
      <c r="AN6034" s="61"/>
      <c r="AO6034" s="61"/>
    </row>
    <row r="6035" spans="1:41" s="61" customFormat="1" ht="31.5" x14ac:dyDescent="0.25">
      <c r="A6035" s="358"/>
      <c r="B6035" s="361"/>
      <c r="C6035" s="364"/>
      <c r="D6035" s="156" t="s">
        <v>408</v>
      </c>
      <c r="E6035" s="156" t="s">
        <v>20</v>
      </c>
      <c r="F6035" s="156" t="s">
        <v>20</v>
      </c>
      <c r="G6035" s="238">
        <f t="shared" si="1584"/>
        <v>0</v>
      </c>
      <c r="H6035" s="158"/>
      <c r="I6035" s="159">
        <f>I6033</f>
        <v>0.19555899999999998</v>
      </c>
      <c r="J6035" s="160"/>
      <c r="K6035" s="161">
        <f>K6033</f>
        <v>143620</v>
      </c>
      <c r="L6035" s="250">
        <f>L5521</f>
        <v>1</v>
      </c>
      <c r="M6035" s="163"/>
      <c r="N6035" s="278"/>
      <c r="O6035" s="280">
        <f t="shared" si="1586"/>
        <v>0</v>
      </c>
      <c r="P6035" s="166"/>
      <c r="Q6035" s="166">
        <f t="shared" si="1587"/>
        <v>0</v>
      </c>
      <c r="R6035" s="71"/>
    </row>
    <row r="6036" spans="1:41" s="109" customFormat="1" x14ac:dyDescent="0.25">
      <c r="A6036" s="358"/>
      <c r="B6036" s="361"/>
      <c r="C6036" s="245" t="s">
        <v>329</v>
      </c>
      <c r="D6036" s="240"/>
      <c r="E6036" s="240"/>
      <c r="F6036" s="240"/>
      <c r="G6036" s="227"/>
      <c r="H6036" s="241"/>
      <c r="I6036" s="206"/>
      <c r="J6036" s="228"/>
      <c r="K6036" s="207"/>
      <c r="L6036" s="257"/>
      <c r="M6036" s="209"/>
      <c r="N6036" s="281"/>
      <c r="O6036" s="279">
        <f>SUM(O6024:O6035)</f>
        <v>1.5553279999999998</v>
      </c>
      <c r="P6036" s="267"/>
      <c r="Q6036" s="166"/>
      <c r="R6036" s="71"/>
      <c r="S6036" s="62"/>
      <c r="T6036" s="62"/>
      <c r="U6036" s="62"/>
      <c r="V6036" s="62"/>
      <c r="W6036" s="62"/>
      <c r="X6036" s="62"/>
      <c r="Y6036" s="62"/>
      <c r="Z6036" s="62"/>
      <c r="AA6036" s="62"/>
      <c r="AB6036" s="62"/>
      <c r="AC6036" s="62"/>
      <c r="AD6036" s="62"/>
      <c r="AE6036" s="62"/>
      <c r="AF6036" s="62"/>
      <c r="AG6036" s="62"/>
      <c r="AH6036" s="62"/>
      <c r="AI6036" s="62"/>
      <c r="AJ6036" s="62"/>
      <c r="AK6036" s="62"/>
      <c r="AL6036" s="62"/>
      <c r="AM6036" s="62"/>
      <c r="AN6036" s="62"/>
      <c r="AO6036" s="62"/>
    </row>
    <row r="6037" spans="1:41" s="61" customFormat="1" ht="31.5" x14ac:dyDescent="0.25">
      <c r="A6037" s="358"/>
      <c r="B6037" s="361"/>
      <c r="C6037" s="252" t="s">
        <v>237</v>
      </c>
      <c r="D6037" s="156" t="s">
        <v>41</v>
      </c>
      <c r="E6037" s="156" t="s">
        <v>61</v>
      </c>
      <c r="F6037" s="156" t="s">
        <v>254</v>
      </c>
      <c r="G6037" s="238">
        <f t="shared" ref="G6037:G6048" si="1591">MROUND(H6037*L6037*I6037/K6037,0.000000000001)</f>
        <v>1.3616419999999999E-6</v>
      </c>
      <c r="H6037" s="158">
        <v>1</v>
      </c>
      <c r="I6037" s="159">
        <f>I6035</f>
        <v>0.19555899999999998</v>
      </c>
      <c r="J6037" s="160"/>
      <c r="K6037" s="161">
        <f>K6035</f>
        <v>143620</v>
      </c>
      <c r="L6037" s="250">
        <v>1</v>
      </c>
      <c r="M6037" s="163" t="str">
        <f>CONCATENATE(H6037," ",F6037,"*",I6037,"/",K6037,"чел/час")</f>
        <v>1 автобус*0,195559/143620чел/час</v>
      </c>
      <c r="N6037" s="278">
        <f>N5523</f>
        <v>26907.3</v>
      </c>
      <c r="O6037" s="280">
        <f t="shared" ref="O6037:O6048" si="1592">MROUND(N6037*G6037,0.000001)</f>
        <v>3.6637999999999997E-2</v>
      </c>
      <c r="P6037" s="166"/>
      <c r="Q6037" s="166">
        <f t="shared" ref="Q6037:Q6048" si="1593">O6037*K6037</f>
        <v>5261.9495599999991</v>
      </c>
      <c r="R6037" s="71"/>
    </row>
    <row r="6038" spans="1:41" s="61" customFormat="1" ht="78.75" x14ac:dyDescent="0.25">
      <c r="A6038" s="358"/>
      <c r="B6038" s="361"/>
      <c r="C6038" s="221" t="s">
        <v>236</v>
      </c>
      <c r="D6038" s="156" t="s">
        <v>19</v>
      </c>
      <c r="E6038" s="181" t="s">
        <v>20</v>
      </c>
      <c r="F6038" s="181" t="s">
        <v>238</v>
      </c>
      <c r="G6038" s="238">
        <f t="shared" si="1591"/>
        <v>0</v>
      </c>
      <c r="H6038" s="158"/>
      <c r="I6038" s="159">
        <f>I6035</f>
        <v>0.19555899999999998</v>
      </c>
      <c r="J6038" s="160"/>
      <c r="K6038" s="161">
        <f>K6035</f>
        <v>143620</v>
      </c>
      <c r="L6038" s="250"/>
      <c r="M6038" s="163"/>
      <c r="N6038" s="278"/>
      <c r="O6038" s="280">
        <f t="shared" si="1592"/>
        <v>0</v>
      </c>
      <c r="P6038" s="166"/>
      <c r="Q6038" s="166">
        <f t="shared" si="1593"/>
        <v>0</v>
      </c>
      <c r="R6038" s="71"/>
    </row>
    <row r="6039" spans="1:41" s="136" customFormat="1" ht="31.5" x14ac:dyDescent="0.25">
      <c r="A6039" s="358"/>
      <c r="B6039" s="361"/>
      <c r="C6039" s="372" t="s">
        <v>81</v>
      </c>
      <c r="D6039" s="156" t="s">
        <v>419</v>
      </c>
      <c r="E6039" s="156" t="s">
        <v>28</v>
      </c>
      <c r="F6039" s="156" t="s">
        <v>439</v>
      </c>
      <c r="G6039" s="238">
        <f t="shared" si="1591"/>
        <v>0</v>
      </c>
      <c r="H6039" s="158"/>
      <c r="I6039" s="159">
        <f>I6038</f>
        <v>0.19555899999999998</v>
      </c>
      <c r="J6039" s="160"/>
      <c r="K6039" s="161">
        <f>K6038</f>
        <v>143620</v>
      </c>
      <c r="L6039" s="250">
        <v>1</v>
      </c>
      <c r="M6039" s="163"/>
      <c r="N6039" s="278"/>
      <c r="O6039" s="280">
        <f t="shared" si="1592"/>
        <v>0</v>
      </c>
      <c r="P6039" s="166"/>
      <c r="Q6039" s="166">
        <f t="shared" si="1593"/>
        <v>0</v>
      </c>
      <c r="R6039" s="71"/>
      <c r="S6039" s="61"/>
      <c r="T6039" s="71"/>
      <c r="U6039" s="61"/>
      <c r="V6039" s="61"/>
      <c r="W6039" s="61"/>
      <c r="X6039" s="61"/>
      <c r="Y6039" s="61"/>
      <c r="Z6039" s="61"/>
      <c r="AA6039" s="61"/>
      <c r="AB6039" s="61"/>
      <c r="AC6039" s="61"/>
      <c r="AD6039" s="61"/>
      <c r="AE6039" s="61"/>
      <c r="AF6039" s="61"/>
      <c r="AG6039" s="61"/>
      <c r="AH6039" s="61"/>
      <c r="AI6039" s="61"/>
      <c r="AJ6039" s="61"/>
      <c r="AK6039" s="61"/>
      <c r="AL6039" s="61"/>
      <c r="AM6039" s="61"/>
      <c r="AN6039" s="61"/>
      <c r="AO6039" s="61"/>
    </row>
    <row r="6040" spans="1:41" s="136" customFormat="1" ht="31.5" x14ac:dyDescent="0.25">
      <c r="A6040" s="358"/>
      <c r="B6040" s="361"/>
      <c r="C6040" s="373"/>
      <c r="D6040" s="156" t="s">
        <v>425</v>
      </c>
      <c r="E6040" s="156" t="s">
        <v>28</v>
      </c>
      <c r="F6040" s="156" t="s">
        <v>439</v>
      </c>
      <c r="G6040" s="238">
        <f t="shared" si="1591"/>
        <v>0</v>
      </c>
      <c r="H6040" s="158"/>
      <c r="I6040" s="159">
        <f t="shared" ref="I6040:I6048" si="1594">I6039</f>
        <v>0.19555899999999998</v>
      </c>
      <c r="J6040" s="160"/>
      <c r="K6040" s="161">
        <f t="shared" ref="K6040:K6048" si="1595">K6039</f>
        <v>143620</v>
      </c>
      <c r="L6040" s="250">
        <v>1</v>
      </c>
      <c r="M6040" s="163"/>
      <c r="N6040" s="278"/>
      <c r="O6040" s="280">
        <f t="shared" si="1592"/>
        <v>0</v>
      </c>
      <c r="P6040" s="166"/>
      <c r="Q6040" s="166">
        <f t="shared" si="1593"/>
        <v>0</v>
      </c>
      <c r="R6040" s="71"/>
      <c r="S6040" s="61"/>
      <c r="T6040" s="71"/>
      <c r="U6040" s="61"/>
      <c r="V6040" s="61"/>
      <c r="W6040" s="61"/>
      <c r="X6040" s="61"/>
      <c r="Y6040" s="61"/>
      <c r="Z6040" s="61"/>
      <c r="AA6040" s="61"/>
      <c r="AB6040" s="61"/>
      <c r="AC6040" s="61"/>
      <c r="AD6040" s="61"/>
      <c r="AE6040" s="61"/>
      <c r="AF6040" s="61"/>
      <c r="AG6040" s="61"/>
      <c r="AH6040" s="61"/>
      <c r="AI6040" s="61"/>
      <c r="AJ6040" s="61"/>
      <c r="AK6040" s="61"/>
      <c r="AL6040" s="61"/>
      <c r="AM6040" s="61"/>
      <c r="AN6040" s="61"/>
      <c r="AO6040" s="61"/>
    </row>
    <row r="6041" spans="1:41" s="136" customFormat="1" ht="31.5" x14ac:dyDescent="0.25">
      <c r="A6041" s="358"/>
      <c r="B6041" s="361"/>
      <c r="C6041" s="373"/>
      <c r="D6041" s="156" t="s">
        <v>426</v>
      </c>
      <c r="E6041" s="156" t="s">
        <v>28</v>
      </c>
      <c r="F6041" s="156" t="s">
        <v>439</v>
      </c>
      <c r="G6041" s="238">
        <f t="shared" si="1591"/>
        <v>0</v>
      </c>
      <c r="H6041" s="158"/>
      <c r="I6041" s="159">
        <f t="shared" si="1594"/>
        <v>0.19555899999999998</v>
      </c>
      <c r="J6041" s="160"/>
      <c r="K6041" s="161">
        <f t="shared" si="1595"/>
        <v>143620</v>
      </c>
      <c r="L6041" s="250">
        <v>1</v>
      </c>
      <c r="M6041" s="163"/>
      <c r="N6041" s="278"/>
      <c r="O6041" s="280">
        <f t="shared" si="1592"/>
        <v>0</v>
      </c>
      <c r="P6041" s="166"/>
      <c r="Q6041" s="166">
        <f t="shared" si="1593"/>
        <v>0</v>
      </c>
      <c r="R6041" s="71"/>
      <c r="S6041" s="61"/>
      <c r="T6041" s="71"/>
      <c r="U6041" s="61"/>
      <c r="V6041" s="61"/>
      <c r="W6041" s="61"/>
      <c r="X6041" s="61"/>
      <c r="Y6041" s="61"/>
      <c r="Z6041" s="61"/>
      <c r="AA6041" s="61"/>
      <c r="AB6041" s="61"/>
      <c r="AC6041" s="61"/>
      <c r="AD6041" s="61"/>
      <c r="AE6041" s="61"/>
      <c r="AF6041" s="61"/>
      <c r="AG6041" s="61"/>
      <c r="AH6041" s="61"/>
      <c r="AI6041" s="61"/>
      <c r="AJ6041" s="61"/>
      <c r="AK6041" s="61"/>
      <c r="AL6041" s="61"/>
      <c r="AM6041" s="61"/>
      <c r="AN6041" s="61"/>
      <c r="AO6041" s="61"/>
    </row>
    <row r="6042" spans="1:41" s="136" customFormat="1" ht="31.5" x14ac:dyDescent="0.25">
      <c r="A6042" s="358"/>
      <c r="B6042" s="361"/>
      <c r="C6042" s="373"/>
      <c r="D6042" s="156" t="s">
        <v>427</v>
      </c>
      <c r="E6042" s="156" t="s">
        <v>28</v>
      </c>
      <c r="F6042" s="156" t="s">
        <v>439</v>
      </c>
      <c r="G6042" s="238">
        <f t="shared" si="1591"/>
        <v>0</v>
      </c>
      <c r="H6042" s="158"/>
      <c r="I6042" s="159">
        <f t="shared" si="1594"/>
        <v>0.19555899999999998</v>
      </c>
      <c r="J6042" s="160"/>
      <c r="K6042" s="161">
        <f t="shared" si="1595"/>
        <v>143620</v>
      </c>
      <c r="L6042" s="250">
        <v>1</v>
      </c>
      <c r="M6042" s="163"/>
      <c r="N6042" s="278"/>
      <c r="O6042" s="280">
        <f t="shared" si="1592"/>
        <v>0</v>
      </c>
      <c r="P6042" s="166"/>
      <c r="Q6042" s="166">
        <f t="shared" si="1593"/>
        <v>0</v>
      </c>
      <c r="R6042" s="71"/>
      <c r="S6042" s="61"/>
      <c r="T6042" s="71"/>
      <c r="U6042" s="61"/>
      <c r="V6042" s="61"/>
      <c r="W6042" s="61"/>
      <c r="X6042" s="61"/>
      <c r="Y6042" s="61"/>
      <c r="Z6042" s="61"/>
      <c r="AA6042" s="61"/>
      <c r="AB6042" s="61"/>
      <c r="AC6042" s="61"/>
      <c r="AD6042" s="61"/>
      <c r="AE6042" s="61"/>
      <c r="AF6042" s="61"/>
      <c r="AG6042" s="61"/>
      <c r="AH6042" s="61"/>
      <c r="AI6042" s="61"/>
      <c r="AJ6042" s="61"/>
      <c r="AK6042" s="61"/>
      <c r="AL6042" s="61"/>
      <c r="AM6042" s="61"/>
      <c r="AN6042" s="61"/>
      <c r="AO6042" s="61"/>
    </row>
    <row r="6043" spans="1:41" s="136" customFormat="1" ht="31.5" x14ac:dyDescent="0.25">
      <c r="A6043" s="358"/>
      <c r="B6043" s="361"/>
      <c r="C6043" s="373"/>
      <c r="D6043" s="156" t="s">
        <v>428</v>
      </c>
      <c r="E6043" s="156" t="s">
        <v>28</v>
      </c>
      <c r="F6043" s="156" t="s">
        <v>439</v>
      </c>
      <c r="G6043" s="238">
        <f t="shared" si="1591"/>
        <v>0</v>
      </c>
      <c r="H6043" s="158"/>
      <c r="I6043" s="159">
        <f t="shared" si="1594"/>
        <v>0.19555899999999998</v>
      </c>
      <c r="J6043" s="160"/>
      <c r="K6043" s="161">
        <f t="shared" si="1595"/>
        <v>143620</v>
      </c>
      <c r="L6043" s="250">
        <v>1</v>
      </c>
      <c r="M6043" s="163"/>
      <c r="N6043" s="278"/>
      <c r="O6043" s="280">
        <f t="shared" si="1592"/>
        <v>0</v>
      </c>
      <c r="P6043" s="166"/>
      <c r="Q6043" s="166">
        <f t="shared" si="1593"/>
        <v>0</v>
      </c>
      <c r="R6043" s="71"/>
      <c r="S6043" s="61"/>
      <c r="T6043" s="71"/>
      <c r="U6043" s="61"/>
      <c r="V6043" s="61"/>
      <c r="W6043" s="61"/>
      <c r="X6043" s="61"/>
      <c r="Y6043" s="61"/>
      <c r="Z6043" s="61"/>
      <c r="AA6043" s="61"/>
      <c r="AB6043" s="61"/>
      <c r="AC6043" s="61"/>
      <c r="AD6043" s="61"/>
      <c r="AE6043" s="61"/>
      <c r="AF6043" s="61"/>
      <c r="AG6043" s="61"/>
      <c r="AH6043" s="61"/>
      <c r="AI6043" s="61"/>
      <c r="AJ6043" s="61"/>
      <c r="AK6043" s="61"/>
      <c r="AL6043" s="61"/>
      <c r="AM6043" s="61"/>
      <c r="AN6043" s="61"/>
      <c r="AO6043" s="61"/>
    </row>
    <row r="6044" spans="1:41" s="136" customFormat="1" ht="31.5" x14ac:dyDescent="0.25">
      <c r="A6044" s="358"/>
      <c r="B6044" s="361"/>
      <c r="C6044" s="373"/>
      <c r="D6044" s="156" t="s">
        <v>429</v>
      </c>
      <c r="E6044" s="156" t="s">
        <v>28</v>
      </c>
      <c r="F6044" s="156" t="s">
        <v>439</v>
      </c>
      <c r="G6044" s="238">
        <f t="shared" si="1591"/>
        <v>0</v>
      </c>
      <c r="H6044" s="158"/>
      <c r="I6044" s="159">
        <f t="shared" si="1594"/>
        <v>0.19555899999999998</v>
      </c>
      <c r="J6044" s="160"/>
      <c r="K6044" s="161">
        <f t="shared" si="1595"/>
        <v>143620</v>
      </c>
      <c r="L6044" s="250">
        <v>1</v>
      </c>
      <c r="M6044" s="163"/>
      <c r="N6044" s="278"/>
      <c r="O6044" s="280">
        <f t="shared" si="1592"/>
        <v>0</v>
      </c>
      <c r="P6044" s="166"/>
      <c r="Q6044" s="166">
        <f t="shared" si="1593"/>
        <v>0</v>
      </c>
      <c r="R6044" s="71"/>
      <c r="S6044" s="61"/>
      <c r="T6044" s="71"/>
      <c r="U6044" s="61"/>
      <c r="V6044" s="61"/>
      <c r="W6044" s="61"/>
      <c r="X6044" s="61"/>
      <c r="Y6044" s="61"/>
      <c r="Z6044" s="61"/>
      <c r="AA6044" s="61"/>
      <c r="AB6044" s="61"/>
      <c r="AC6044" s="61"/>
      <c r="AD6044" s="61"/>
      <c r="AE6044" s="61"/>
      <c r="AF6044" s="61"/>
      <c r="AG6044" s="61"/>
      <c r="AH6044" s="61"/>
      <c r="AI6044" s="61"/>
      <c r="AJ6044" s="61"/>
      <c r="AK6044" s="61"/>
      <c r="AL6044" s="61"/>
      <c r="AM6044" s="61"/>
      <c r="AN6044" s="61"/>
      <c r="AO6044" s="61"/>
    </row>
    <row r="6045" spans="1:41" s="136" customFormat="1" ht="31.5" x14ac:dyDescent="0.25">
      <c r="A6045" s="358"/>
      <c r="B6045" s="361"/>
      <c r="C6045" s="373"/>
      <c r="D6045" s="156" t="s">
        <v>110</v>
      </c>
      <c r="E6045" s="156" t="s">
        <v>28</v>
      </c>
      <c r="F6045" s="156" t="s">
        <v>439</v>
      </c>
      <c r="G6045" s="238">
        <f t="shared" si="1591"/>
        <v>0</v>
      </c>
      <c r="H6045" s="158"/>
      <c r="I6045" s="159">
        <f t="shared" si="1594"/>
        <v>0.19555899999999998</v>
      </c>
      <c r="J6045" s="160"/>
      <c r="K6045" s="161">
        <f t="shared" si="1595"/>
        <v>143620</v>
      </c>
      <c r="L6045" s="250">
        <v>1</v>
      </c>
      <c r="M6045" s="163"/>
      <c r="N6045" s="278"/>
      <c r="O6045" s="280">
        <f t="shared" si="1592"/>
        <v>0</v>
      </c>
      <c r="P6045" s="166"/>
      <c r="Q6045" s="166">
        <f t="shared" si="1593"/>
        <v>0</v>
      </c>
      <c r="R6045" s="71"/>
      <c r="S6045" s="61"/>
      <c r="T6045" s="71"/>
      <c r="U6045" s="61"/>
      <c r="V6045" s="61"/>
      <c r="W6045" s="61"/>
      <c r="X6045" s="61"/>
      <c r="Y6045" s="61"/>
      <c r="Z6045" s="61"/>
      <c r="AA6045" s="61"/>
      <c r="AB6045" s="61"/>
      <c r="AC6045" s="61"/>
      <c r="AD6045" s="61"/>
      <c r="AE6045" s="61"/>
      <c r="AF6045" s="61"/>
      <c r="AG6045" s="61"/>
      <c r="AH6045" s="61"/>
      <c r="AI6045" s="61"/>
      <c r="AJ6045" s="61"/>
      <c r="AK6045" s="61"/>
      <c r="AL6045" s="61"/>
      <c r="AM6045" s="61"/>
      <c r="AN6045" s="61"/>
      <c r="AO6045" s="61"/>
    </row>
    <row r="6046" spans="1:41" s="136" customFormat="1" ht="31.5" x14ac:dyDescent="0.25">
      <c r="A6046" s="358"/>
      <c r="B6046" s="361"/>
      <c r="C6046" s="373"/>
      <c r="D6046" s="156" t="s">
        <v>112</v>
      </c>
      <c r="E6046" s="156" t="s">
        <v>28</v>
      </c>
      <c r="F6046" s="156" t="s">
        <v>439</v>
      </c>
      <c r="G6046" s="238">
        <f t="shared" si="1591"/>
        <v>0</v>
      </c>
      <c r="H6046" s="158"/>
      <c r="I6046" s="159">
        <f t="shared" si="1594"/>
        <v>0.19555899999999998</v>
      </c>
      <c r="J6046" s="160"/>
      <c r="K6046" s="161">
        <f t="shared" si="1595"/>
        <v>143620</v>
      </c>
      <c r="L6046" s="250">
        <v>1</v>
      </c>
      <c r="M6046" s="163"/>
      <c r="N6046" s="278"/>
      <c r="O6046" s="280">
        <f t="shared" si="1592"/>
        <v>0</v>
      </c>
      <c r="P6046" s="166"/>
      <c r="Q6046" s="166">
        <f t="shared" si="1593"/>
        <v>0</v>
      </c>
      <c r="R6046" s="71"/>
      <c r="S6046" s="61"/>
      <c r="T6046" s="71"/>
      <c r="U6046" s="61"/>
      <c r="V6046" s="61"/>
      <c r="W6046" s="61"/>
      <c r="X6046" s="61"/>
      <c r="Y6046" s="61"/>
      <c r="Z6046" s="61"/>
      <c r="AA6046" s="61"/>
      <c r="AB6046" s="61"/>
      <c r="AC6046" s="61"/>
      <c r="AD6046" s="61"/>
      <c r="AE6046" s="61"/>
      <c r="AF6046" s="61"/>
      <c r="AG6046" s="61"/>
      <c r="AH6046" s="61"/>
      <c r="AI6046" s="61"/>
      <c r="AJ6046" s="61"/>
      <c r="AK6046" s="61"/>
      <c r="AL6046" s="61"/>
      <c r="AM6046" s="61"/>
      <c r="AN6046" s="61"/>
      <c r="AO6046" s="61"/>
    </row>
    <row r="6047" spans="1:41" s="136" customFormat="1" ht="31.5" x14ac:dyDescent="0.25">
      <c r="A6047" s="358"/>
      <c r="B6047" s="361"/>
      <c r="C6047" s="373"/>
      <c r="D6047" s="156" t="s">
        <v>111</v>
      </c>
      <c r="E6047" s="156" t="s">
        <v>28</v>
      </c>
      <c r="F6047" s="156" t="s">
        <v>439</v>
      </c>
      <c r="G6047" s="238">
        <f t="shared" si="1591"/>
        <v>0</v>
      </c>
      <c r="H6047" s="158"/>
      <c r="I6047" s="159">
        <f t="shared" si="1594"/>
        <v>0.19555899999999998</v>
      </c>
      <c r="J6047" s="160"/>
      <c r="K6047" s="161">
        <f t="shared" si="1595"/>
        <v>143620</v>
      </c>
      <c r="L6047" s="250">
        <v>1</v>
      </c>
      <c r="M6047" s="163"/>
      <c r="N6047" s="278"/>
      <c r="O6047" s="280">
        <f t="shared" si="1592"/>
        <v>0</v>
      </c>
      <c r="P6047" s="166"/>
      <c r="Q6047" s="166">
        <f t="shared" si="1593"/>
        <v>0</v>
      </c>
      <c r="R6047" s="71"/>
      <c r="S6047" s="61"/>
      <c r="T6047" s="71"/>
      <c r="U6047" s="61"/>
      <c r="V6047" s="61"/>
      <c r="W6047" s="61"/>
      <c r="X6047" s="61"/>
      <c r="Y6047" s="61"/>
      <c r="Z6047" s="61"/>
      <c r="AA6047" s="61"/>
      <c r="AB6047" s="61"/>
      <c r="AC6047" s="61"/>
      <c r="AD6047" s="61"/>
      <c r="AE6047" s="61"/>
      <c r="AF6047" s="61"/>
      <c r="AG6047" s="61"/>
      <c r="AH6047" s="61"/>
      <c r="AI6047" s="61"/>
      <c r="AJ6047" s="61"/>
      <c r="AK6047" s="61"/>
      <c r="AL6047" s="61"/>
      <c r="AM6047" s="61"/>
      <c r="AN6047" s="61"/>
      <c r="AO6047" s="61"/>
    </row>
    <row r="6048" spans="1:41" s="136" customFormat="1" ht="31.5" x14ac:dyDescent="0.25">
      <c r="A6048" s="358"/>
      <c r="B6048" s="361"/>
      <c r="C6048" s="374"/>
      <c r="D6048" s="156" t="s">
        <v>438</v>
      </c>
      <c r="E6048" s="156" t="s">
        <v>28</v>
      </c>
      <c r="F6048" s="156" t="s">
        <v>439</v>
      </c>
      <c r="G6048" s="238">
        <f t="shared" si="1591"/>
        <v>0</v>
      </c>
      <c r="H6048" s="158"/>
      <c r="I6048" s="159">
        <f t="shared" si="1594"/>
        <v>0.19555899999999998</v>
      </c>
      <c r="J6048" s="160"/>
      <c r="K6048" s="161">
        <f t="shared" si="1595"/>
        <v>143620</v>
      </c>
      <c r="L6048" s="250">
        <v>1</v>
      </c>
      <c r="M6048" s="163"/>
      <c r="N6048" s="278"/>
      <c r="O6048" s="280">
        <f t="shared" si="1592"/>
        <v>0</v>
      </c>
      <c r="P6048" s="166"/>
      <c r="Q6048" s="166">
        <f t="shared" si="1593"/>
        <v>0</v>
      </c>
      <c r="R6048" s="71"/>
      <c r="S6048" s="61"/>
      <c r="T6048" s="71"/>
      <c r="U6048" s="61"/>
      <c r="V6048" s="61"/>
      <c r="W6048" s="61"/>
      <c r="X6048" s="61"/>
      <c r="Y6048" s="61"/>
      <c r="Z6048" s="61"/>
      <c r="AA6048" s="61"/>
      <c r="AB6048" s="61"/>
      <c r="AC6048" s="61"/>
      <c r="AD6048" s="61"/>
      <c r="AE6048" s="61"/>
      <c r="AF6048" s="61"/>
      <c r="AG6048" s="61"/>
      <c r="AH6048" s="61"/>
      <c r="AI6048" s="61"/>
      <c r="AJ6048" s="61"/>
      <c r="AK6048" s="61"/>
      <c r="AL6048" s="61"/>
      <c r="AM6048" s="61"/>
      <c r="AN6048" s="61"/>
      <c r="AO6048" s="61"/>
    </row>
    <row r="6049" spans="1:41" s="61" customFormat="1" x14ac:dyDescent="0.25">
      <c r="A6049" s="358"/>
      <c r="B6049" s="361"/>
      <c r="C6049" s="245" t="s">
        <v>299</v>
      </c>
      <c r="D6049" s="240"/>
      <c r="E6049" s="240"/>
      <c r="F6049" s="181"/>
      <c r="G6049" s="227"/>
      <c r="H6049" s="241"/>
      <c r="I6049" s="206"/>
      <c r="J6049" s="228"/>
      <c r="K6049" s="207"/>
      <c r="L6049" s="257"/>
      <c r="M6049" s="209"/>
      <c r="N6049" s="290"/>
      <c r="O6049" s="279">
        <f>SUM(O6039:O6048)</f>
        <v>0</v>
      </c>
      <c r="P6049" s="166"/>
      <c r="Q6049" s="166">
        <f>O6049*K6049</f>
        <v>0</v>
      </c>
      <c r="R6049" s="71"/>
    </row>
    <row r="6050" spans="1:41" s="61" customFormat="1" ht="47.25" x14ac:dyDescent="0.25">
      <c r="A6050" s="358"/>
      <c r="B6050" s="361"/>
      <c r="C6050" s="221" t="s">
        <v>434</v>
      </c>
      <c r="D6050" s="156" t="s">
        <v>436</v>
      </c>
      <c r="E6050" s="156" t="s">
        <v>28</v>
      </c>
      <c r="F6050" s="156" t="s">
        <v>437</v>
      </c>
      <c r="G6050" s="238">
        <f>MROUND(H6050*L6050*I6050/K6050,0.000000000001)</f>
        <v>3.5402688E-5</v>
      </c>
      <c r="H6050" s="242">
        <f>$H$2148</f>
        <v>26</v>
      </c>
      <c r="I6050" s="159">
        <f>I6048</f>
        <v>0.19555899999999998</v>
      </c>
      <c r="J6050" s="160"/>
      <c r="K6050" s="161">
        <f>K6048</f>
        <v>143620</v>
      </c>
      <c r="L6050" s="162">
        <v>1</v>
      </c>
      <c r="M6050" s="163" t="str">
        <f>CONCATENATE(H6050," ",F6050,"*",I6050,"/",K6050,"чел.")</f>
        <v>26 огнетушителей (потребность учреждений) *0,195559/143620чел.</v>
      </c>
      <c r="N6050" s="164">
        <f>$N$5536</f>
        <v>2280.2800000000002</v>
      </c>
      <c r="O6050" s="165">
        <f>MROUND(G6050*N6050,0.000001)</f>
        <v>8.0727999999999994E-2</v>
      </c>
      <c r="P6050" s="166"/>
      <c r="Q6050" s="166">
        <f>O6050*K6050</f>
        <v>11594.155359999999</v>
      </c>
      <c r="R6050" s="71"/>
    </row>
    <row r="6051" spans="1:41" s="61" customFormat="1" x14ac:dyDescent="0.25">
      <c r="A6051" s="358"/>
      <c r="B6051" s="361"/>
      <c r="C6051" s="218" t="s">
        <v>435</v>
      </c>
      <c r="D6051" s="240"/>
      <c r="E6051" s="240"/>
      <c r="F6051" s="240"/>
      <c r="G6051" s="251"/>
      <c r="H6051" s="241"/>
      <c r="I6051" s="206"/>
      <c r="J6051" s="228"/>
      <c r="K6051" s="207"/>
      <c r="L6051" s="229"/>
      <c r="M6051" s="209"/>
      <c r="N6051" s="210"/>
      <c r="O6051" s="198">
        <f>SUM(O6050)</f>
        <v>8.0727999999999994E-2</v>
      </c>
      <c r="P6051" s="166"/>
      <c r="Q6051" s="166"/>
      <c r="R6051" s="71"/>
    </row>
    <row r="6052" spans="1:41" s="61" customFormat="1" ht="110.25" x14ac:dyDescent="0.25">
      <c r="A6052" s="358"/>
      <c r="B6052" s="361"/>
      <c r="C6052" s="221" t="s">
        <v>82</v>
      </c>
      <c r="D6052" s="156" t="s">
        <v>46</v>
      </c>
      <c r="E6052" s="156" t="s">
        <v>54</v>
      </c>
      <c r="F6052" s="156" t="s">
        <v>285</v>
      </c>
      <c r="G6052" s="238">
        <f>MROUND(H6052*L6052*I6052/K6052,0.000000000001)</f>
        <v>3.4222181660000001E-3</v>
      </c>
      <c r="H6052" s="158">
        <f>H5746</f>
        <v>228.48206839032525</v>
      </c>
      <c r="I6052" s="159">
        <f>I6038</f>
        <v>0.19555899999999998</v>
      </c>
      <c r="J6052" s="160"/>
      <c r="K6052" s="161">
        <f>K6038</f>
        <v>143620</v>
      </c>
      <c r="L6052" s="250">
        <f>$L$2150</f>
        <v>11</v>
      </c>
      <c r="M6052" s="163" t="str">
        <f>CONCATENATE(H6052," ",F6052,"*",L6052,"автобус","*",I6052,"/",K6052,"чел/час")</f>
        <v>228,482068390325 л бензина АИ 92 (12,5л/день(зимой)*20дней*7мес+10л/день(летом)*20дней*4мес)*11автобус*0,195559/143620чел/час</v>
      </c>
      <c r="N6052" s="278">
        <f>$N$5538</f>
        <v>57.007000000000005</v>
      </c>
      <c r="O6052" s="280">
        <f t="shared" ref="O6052:O6054" si="1596">MROUND(N6052*G6052,0.000001)</f>
        <v>0.19508999999999999</v>
      </c>
      <c r="P6052" s="166"/>
      <c r="Q6052" s="166">
        <f>O6052*K6052</f>
        <v>28018.825799999999</v>
      </c>
      <c r="R6052" s="71"/>
    </row>
    <row r="6053" spans="1:41" s="61" customFormat="1" ht="47.25" x14ac:dyDescent="0.25">
      <c r="A6053" s="358"/>
      <c r="B6053" s="361"/>
      <c r="C6053" s="364" t="s">
        <v>118</v>
      </c>
      <c r="D6053" s="156" t="s">
        <v>47</v>
      </c>
      <c r="E6053" s="156" t="s">
        <v>28</v>
      </c>
      <c r="F6053" s="156" t="s">
        <v>239</v>
      </c>
      <c r="G6053" s="238">
        <f>MROUND(H6053*L6053*I6053/K6053,0.000000000001)</f>
        <v>2.7232836999999999E-5</v>
      </c>
      <c r="H6053" s="158">
        <f>H5539</f>
        <v>20</v>
      </c>
      <c r="I6053" s="159">
        <f>I6052</f>
        <v>0.19555899999999998</v>
      </c>
      <c r="J6053" s="160"/>
      <c r="K6053" s="161">
        <f>K6052</f>
        <v>143620</v>
      </c>
      <c r="L6053" s="250">
        <v>1</v>
      </c>
      <c r="M6053" s="163" t="str">
        <f>CONCATENATE(H6053," ",F6053,"*",I6053,"/",K6053,"чел/час")</f>
        <v>20 манометров (потребность учреждений) *0,195559/143620чел/час</v>
      </c>
      <c r="N6053" s="278">
        <f>N5539</f>
        <v>679.9</v>
      </c>
      <c r="O6053" s="280">
        <f t="shared" si="1596"/>
        <v>1.8515999999999998E-2</v>
      </c>
      <c r="P6053" s="166"/>
      <c r="Q6053" s="166">
        <f>O6053*K6053</f>
        <v>2659.2679199999998</v>
      </c>
      <c r="R6053" s="71"/>
    </row>
    <row r="6054" spans="1:41" s="61" customFormat="1" ht="47.25" x14ac:dyDescent="0.25">
      <c r="A6054" s="358"/>
      <c r="B6054" s="361"/>
      <c r="C6054" s="364"/>
      <c r="D6054" s="255" t="s">
        <v>113</v>
      </c>
      <c r="E6054" s="156" t="s">
        <v>28</v>
      </c>
      <c r="F6054" s="156" t="s">
        <v>240</v>
      </c>
      <c r="G6054" s="238">
        <f>MROUND(H6054*L6054*I6054/K6054,0.000000000001)</f>
        <v>1.3616418300000001E-4</v>
      </c>
      <c r="H6054" s="158">
        <v>100</v>
      </c>
      <c r="I6054" s="159">
        <f>I6053</f>
        <v>0.19555899999999998</v>
      </c>
      <c r="J6054" s="160"/>
      <c r="K6054" s="161">
        <f>K6053</f>
        <v>143620</v>
      </c>
      <c r="L6054" s="250">
        <v>1</v>
      </c>
      <c r="M6054" s="163" t="str">
        <f>CONCATENATE(H6054," ",F6054,"*",I6054,"/",K6054,"чел/час")</f>
        <v>100 светильников (потребность учреждений)*0,195559/143620чел/час</v>
      </c>
      <c r="N6054" s="278">
        <f>N5540</f>
        <v>111.1635</v>
      </c>
      <c r="O6054" s="280">
        <f t="shared" si="1596"/>
        <v>1.5136E-2</v>
      </c>
      <c r="P6054" s="166"/>
      <c r="Q6054" s="166">
        <f>O6054*K6054</f>
        <v>2173.83232</v>
      </c>
      <c r="R6054" s="71"/>
    </row>
    <row r="6055" spans="1:41" s="109" customFormat="1" x14ac:dyDescent="0.25">
      <c r="A6055" s="359"/>
      <c r="B6055" s="362"/>
      <c r="C6055" s="218" t="s">
        <v>301</v>
      </c>
      <c r="D6055" s="256"/>
      <c r="E6055" s="240"/>
      <c r="F6055" s="240"/>
      <c r="G6055" s="227"/>
      <c r="H6055" s="241"/>
      <c r="I6055" s="206"/>
      <c r="J6055" s="228"/>
      <c r="K6055" s="207"/>
      <c r="L6055" s="257"/>
      <c r="M6055" s="209"/>
      <c r="N6055" s="281"/>
      <c r="O6055" s="279">
        <f>O6053+O6054</f>
        <v>3.3652000000000001E-2</v>
      </c>
      <c r="P6055" s="267"/>
      <c r="Q6055" s="166"/>
      <c r="R6055" s="71"/>
      <c r="S6055" s="62"/>
      <c r="T6055" s="62"/>
      <c r="U6055" s="62"/>
      <c r="V6055" s="62"/>
      <c r="W6055" s="62"/>
      <c r="X6055" s="62"/>
      <c r="Y6055" s="62"/>
      <c r="Z6055" s="62"/>
      <c r="AA6055" s="62"/>
      <c r="AB6055" s="62"/>
      <c r="AC6055" s="62"/>
      <c r="AD6055" s="62"/>
      <c r="AE6055" s="62"/>
      <c r="AF6055" s="62"/>
      <c r="AG6055" s="62"/>
      <c r="AH6055" s="62"/>
      <c r="AI6055" s="62"/>
      <c r="AJ6055" s="62"/>
      <c r="AK6055" s="62"/>
      <c r="AL6055" s="62"/>
      <c r="AM6055" s="62"/>
      <c r="AN6055" s="62"/>
      <c r="AO6055" s="62"/>
    </row>
    <row r="6056" spans="1:41" s="108" customFormat="1" x14ac:dyDescent="0.25">
      <c r="A6056" s="357" t="str">
        <f>школы!$B$39</f>
        <v>Психолого-медико-педагогическое обследование детей</v>
      </c>
      <c r="B6056" s="360" t="str">
        <f>школы!$A$39</f>
        <v>880900О.99.0.ББ13АА02000</v>
      </c>
      <c r="C6056" s="194"/>
      <c r="D6056" s="363" t="s">
        <v>15</v>
      </c>
      <c r="E6056" s="363"/>
      <c r="F6056" s="363"/>
      <c r="G6056" s="363"/>
      <c r="H6056" s="195"/>
      <c r="I6056" s="195"/>
      <c r="J6056" s="195"/>
      <c r="K6056" s="195"/>
      <c r="L6056" s="196"/>
      <c r="M6056" s="197"/>
      <c r="N6056" s="278"/>
      <c r="O6056" s="279">
        <f>O6057+O6061</f>
        <v>2620.0927784034698</v>
      </c>
      <c r="P6056" s="166"/>
      <c r="Q6056" s="166">
        <f t="shared" ref="Q6056:Q6073" si="1597">O6056*K6056</f>
        <v>0</v>
      </c>
      <c r="R6056" s="71"/>
      <c r="S6056" s="61"/>
      <c r="T6056" s="61"/>
      <c r="U6056" s="61"/>
      <c r="V6056" s="61"/>
      <c r="W6056" s="61"/>
      <c r="X6056" s="61"/>
      <c r="Y6056" s="61"/>
      <c r="Z6056" s="61"/>
      <c r="AA6056" s="61"/>
      <c r="AB6056" s="61"/>
      <c r="AC6056" s="61"/>
      <c r="AD6056" s="61"/>
      <c r="AE6056" s="61"/>
      <c r="AF6056" s="61"/>
      <c r="AG6056" s="61"/>
      <c r="AH6056" s="61"/>
      <c r="AI6056" s="61"/>
      <c r="AJ6056" s="61"/>
      <c r="AK6056" s="61"/>
      <c r="AL6056" s="61"/>
      <c r="AM6056" s="61"/>
      <c r="AN6056" s="61"/>
      <c r="AO6056" s="61"/>
    </row>
    <row r="6057" spans="1:41" s="108" customFormat="1" x14ac:dyDescent="0.25">
      <c r="A6057" s="358"/>
      <c r="B6057" s="361"/>
      <c r="C6057" s="194"/>
      <c r="D6057" s="350" t="s">
        <v>62</v>
      </c>
      <c r="E6057" s="350"/>
      <c r="F6057" s="350"/>
      <c r="G6057" s="350"/>
      <c r="H6057" s="195"/>
      <c r="I6057" s="195"/>
      <c r="J6057" s="195"/>
      <c r="K6057" s="195"/>
      <c r="L6057" s="196"/>
      <c r="M6057" s="197"/>
      <c r="N6057" s="278"/>
      <c r="O6057" s="279">
        <f>O6058+O6059</f>
        <v>2603.7888484034697</v>
      </c>
      <c r="P6057" s="166"/>
      <c r="Q6057" s="166">
        <f t="shared" si="1597"/>
        <v>0</v>
      </c>
      <c r="R6057" s="71"/>
      <c r="S6057" s="61"/>
      <c r="T6057" s="61"/>
      <c r="U6057" s="61"/>
      <c r="V6057" s="61"/>
      <c r="W6057" s="61"/>
      <c r="X6057" s="61"/>
      <c r="Y6057" s="61"/>
      <c r="Z6057" s="61"/>
      <c r="AA6057" s="61"/>
      <c r="AB6057" s="61"/>
      <c r="AC6057" s="61"/>
      <c r="AD6057" s="61"/>
      <c r="AE6057" s="61"/>
      <c r="AF6057" s="61"/>
      <c r="AG6057" s="61"/>
      <c r="AH6057" s="61"/>
      <c r="AI6057" s="61"/>
      <c r="AJ6057" s="61"/>
      <c r="AK6057" s="61"/>
      <c r="AL6057" s="61"/>
      <c r="AM6057" s="61"/>
      <c r="AN6057" s="61"/>
      <c r="AO6057" s="61"/>
    </row>
    <row r="6058" spans="1:41" s="61" customFormat="1" x14ac:dyDescent="0.25">
      <c r="A6058" s="358"/>
      <c r="B6058" s="361"/>
      <c r="C6058" s="194">
        <v>211</v>
      </c>
      <c r="D6058" s="194" t="s">
        <v>86</v>
      </c>
      <c r="E6058" s="199" t="s">
        <v>95</v>
      </c>
      <c r="F6058" s="199" t="s">
        <v>95</v>
      </c>
      <c r="G6058" s="238">
        <f>MROUND(H6058*L6058*I6058/K6058,0.000000000001)</f>
        <v>8.4372977454999998E-2</v>
      </c>
      <c r="H6058" s="201">
        <f>H5440</f>
        <v>368.4</v>
      </c>
      <c r="I6058" s="159">
        <f>школы!$K$39</f>
        <v>2.0993999999999999E-2</v>
      </c>
      <c r="J6058" s="159"/>
      <c r="K6058" s="161">
        <f>школы!$G$39</f>
        <v>1100</v>
      </c>
      <c r="L6058" s="202">
        <v>12</v>
      </c>
      <c r="M6058" s="163" t="str">
        <f>CONCATENATE(H6058," ",F6058," ","в мес.","*",L6058,"мес.","*",I6058,"/",K6058,"чел")</f>
        <v>368,4 шт.ед в мес.*12мес.*0,020994/1100чел</v>
      </c>
      <c r="N6058" s="278">
        <f>N5440</f>
        <v>23702.349798678973</v>
      </c>
      <c r="O6058" s="280">
        <f>MROUND(N6058*G6058,0.00000000001)</f>
        <v>1999.8378251944698</v>
      </c>
      <c r="P6058" s="166"/>
      <c r="Q6058" s="166">
        <f t="shared" si="1597"/>
        <v>2199821.6077139168</v>
      </c>
      <c r="R6058" s="71"/>
    </row>
    <row r="6059" spans="1:41" s="61" customFormat="1" x14ac:dyDescent="0.25">
      <c r="A6059" s="358"/>
      <c r="B6059" s="361"/>
      <c r="C6059" s="194">
        <v>213</v>
      </c>
      <c r="D6059" s="194" t="s">
        <v>87</v>
      </c>
      <c r="E6059" s="194" t="s">
        <v>88</v>
      </c>
      <c r="F6059" s="194"/>
      <c r="G6059" s="211">
        <v>30.2</v>
      </c>
      <c r="H6059" s="159"/>
      <c r="I6059" s="282">
        <f>I6058</f>
        <v>2.0993999999999999E-2</v>
      </c>
      <c r="J6059" s="159"/>
      <c r="K6059" s="161">
        <f>K6058</f>
        <v>1100</v>
      </c>
      <c r="L6059" s="202"/>
      <c r="M6059" s="212"/>
      <c r="N6059" s="278"/>
      <c r="O6059" s="280">
        <f>MROUND(O6058*0.302,0.000000001)</f>
        <v>603.95102320900003</v>
      </c>
      <c r="P6059" s="166"/>
      <c r="Q6059" s="166">
        <f t="shared" si="1597"/>
        <v>664346.12552990008</v>
      </c>
      <c r="R6059" s="71"/>
    </row>
    <row r="6060" spans="1:41" s="108" customFormat="1" x14ac:dyDescent="0.25">
      <c r="A6060" s="358"/>
      <c r="B6060" s="361"/>
      <c r="C6060" s="194"/>
      <c r="D6060" s="194"/>
      <c r="E6060" s="194"/>
      <c r="F6060" s="194"/>
      <c r="G6060" s="217"/>
      <c r="H6060" s="195"/>
      <c r="I6060" s="159"/>
      <c r="J6060" s="195"/>
      <c r="K6060" s="161"/>
      <c r="L6060" s="196"/>
      <c r="M6060" s="197"/>
      <c r="N6060" s="278"/>
      <c r="O6060" s="280"/>
      <c r="P6060" s="166"/>
      <c r="Q6060" s="166">
        <f t="shared" si="1597"/>
        <v>0</v>
      </c>
      <c r="R6060" s="71"/>
      <c r="S6060" s="61"/>
      <c r="T6060" s="61"/>
      <c r="U6060" s="61"/>
      <c r="V6060" s="61"/>
      <c r="W6060" s="61"/>
      <c r="X6060" s="61"/>
      <c r="Y6060" s="61"/>
      <c r="Z6060" s="61"/>
      <c r="AA6060" s="61"/>
      <c r="AB6060" s="61"/>
      <c r="AC6060" s="61"/>
      <c r="AD6060" s="61"/>
      <c r="AE6060" s="61"/>
      <c r="AF6060" s="61"/>
      <c r="AG6060" s="61"/>
      <c r="AH6060" s="61"/>
      <c r="AI6060" s="61"/>
      <c r="AJ6060" s="61"/>
      <c r="AK6060" s="61"/>
      <c r="AL6060" s="61"/>
      <c r="AM6060" s="61"/>
      <c r="AN6060" s="61"/>
      <c r="AO6060" s="61"/>
    </row>
    <row r="6061" spans="1:41" s="108" customFormat="1" x14ac:dyDescent="0.25">
      <c r="A6061" s="358"/>
      <c r="B6061" s="361"/>
      <c r="C6061" s="194"/>
      <c r="D6061" s="356" t="s">
        <v>63</v>
      </c>
      <c r="E6061" s="356"/>
      <c r="F6061" s="356"/>
      <c r="G6061" s="356"/>
      <c r="H6061" s="195"/>
      <c r="I6061" s="159"/>
      <c r="J6061" s="195"/>
      <c r="K6061" s="161"/>
      <c r="L6061" s="196"/>
      <c r="M6061" s="197"/>
      <c r="N6061" s="278"/>
      <c r="O6061" s="280">
        <f>O6062</f>
        <v>16.303929999999998</v>
      </c>
      <c r="P6061" s="166"/>
      <c r="Q6061" s="166">
        <f t="shared" si="1597"/>
        <v>0</v>
      </c>
      <c r="R6061" s="71"/>
      <c r="S6061" s="61"/>
      <c r="T6061" s="61"/>
      <c r="U6061" s="61"/>
      <c r="V6061" s="61"/>
      <c r="W6061" s="61"/>
      <c r="X6061" s="61"/>
      <c r="Y6061" s="61"/>
      <c r="Z6061" s="61"/>
      <c r="AA6061" s="61"/>
      <c r="AB6061" s="61"/>
      <c r="AC6061" s="61"/>
      <c r="AD6061" s="61"/>
      <c r="AE6061" s="61"/>
      <c r="AF6061" s="61"/>
      <c r="AG6061" s="61"/>
      <c r="AH6061" s="61"/>
      <c r="AI6061" s="61"/>
      <c r="AJ6061" s="61"/>
      <c r="AK6061" s="61"/>
      <c r="AL6061" s="61"/>
      <c r="AM6061" s="61"/>
      <c r="AN6061" s="61"/>
      <c r="AO6061" s="61"/>
    </row>
    <row r="6062" spans="1:41" s="61" customFormat="1" x14ac:dyDescent="0.25">
      <c r="A6062" s="358"/>
      <c r="B6062" s="361"/>
      <c r="C6062" s="194">
        <v>346</v>
      </c>
      <c r="D6062" s="194" t="s">
        <v>259</v>
      </c>
      <c r="E6062" s="194" t="s">
        <v>260</v>
      </c>
      <c r="F6062" s="194" t="s">
        <v>261</v>
      </c>
      <c r="G6062" s="238">
        <f>MROUND(H6062*L6062*I6062/K6062,0.00000000001)</f>
        <v>2.313157091E-2</v>
      </c>
      <c r="H6062" s="283">
        <f>H5445</f>
        <v>1212</v>
      </c>
      <c r="I6062" s="282">
        <f>I6059</f>
        <v>2.0993999999999999E-2</v>
      </c>
      <c r="J6062" s="195"/>
      <c r="K6062" s="161">
        <f>K6059</f>
        <v>1100</v>
      </c>
      <c r="L6062" s="196">
        <v>1</v>
      </c>
      <c r="M6062" s="163" t="str">
        <f>CONCATENATE(H6062," ",F6062,"*",I6062,"/",K6062,"чел")</f>
        <v>1212 упаковок*0,020994/1100чел</v>
      </c>
      <c r="N6062" s="278">
        <f>N5445</f>
        <v>704.83454620462044</v>
      </c>
      <c r="O6062" s="280">
        <f>MROUND(N6062*G6062,0.000001)</f>
        <v>16.303929999999998</v>
      </c>
      <c r="P6062" s="166"/>
      <c r="Q6062" s="166">
        <f t="shared" si="1597"/>
        <v>17934.322999999997</v>
      </c>
      <c r="R6062" s="71"/>
    </row>
    <row r="6063" spans="1:41" s="108" customFormat="1" x14ac:dyDescent="0.25">
      <c r="A6063" s="358"/>
      <c r="B6063" s="361"/>
      <c r="C6063" s="194"/>
      <c r="D6063" s="350" t="s">
        <v>64</v>
      </c>
      <c r="E6063" s="350"/>
      <c r="F6063" s="350"/>
      <c r="G6063" s="350"/>
      <c r="H6063" s="195"/>
      <c r="I6063" s="159"/>
      <c r="J6063" s="195"/>
      <c r="K6063" s="161"/>
      <c r="L6063" s="196"/>
      <c r="M6063" s="197"/>
      <c r="N6063" s="278"/>
      <c r="O6063" s="280"/>
      <c r="P6063" s="166"/>
      <c r="Q6063" s="166">
        <f t="shared" si="1597"/>
        <v>0</v>
      </c>
      <c r="R6063" s="71"/>
      <c r="S6063" s="61"/>
      <c r="T6063" s="61"/>
      <c r="U6063" s="61"/>
      <c r="V6063" s="61"/>
      <c r="W6063" s="61"/>
      <c r="X6063" s="61"/>
      <c r="Y6063" s="61"/>
      <c r="Z6063" s="61"/>
      <c r="AA6063" s="61"/>
      <c r="AB6063" s="61"/>
      <c r="AC6063" s="61"/>
      <c r="AD6063" s="61"/>
      <c r="AE6063" s="61"/>
      <c r="AF6063" s="61"/>
      <c r="AG6063" s="61"/>
      <c r="AH6063" s="61"/>
      <c r="AI6063" s="61"/>
      <c r="AJ6063" s="61"/>
      <c r="AK6063" s="61"/>
      <c r="AL6063" s="61"/>
      <c r="AM6063" s="61"/>
      <c r="AN6063" s="61"/>
      <c r="AO6063" s="61"/>
    </row>
    <row r="6064" spans="1:41" s="108" customFormat="1" x14ac:dyDescent="0.25">
      <c r="A6064" s="358"/>
      <c r="B6064" s="361"/>
      <c r="C6064" s="194"/>
      <c r="D6064" s="194"/>
      <c r="E6064" s="194"/>
      <c r="F6064" s="194"/>
      <c r="G6064" s="217"/>
      <c r="H6064" s="195"/>
      <c r="I6064" s="159"/>
      <c r="J6064" s="195"/>
      <c r="K6064" s="161"/>
      <c r="L6064" s="196"/>
      <c r="M6064" s="197"/>
      <c r="N6064" s="278"/>
      <c r="O6064" s="280"/>
      <c r="P6064" s="166"/>
      <c r="Q6064" s="166">
        <f t="shared" si="1597"/>
        <v>0</v>
      </c>
      <c r="R6064" s="71"/>
      <c r="S6064" s="61"/>
      <c r="T6064" s="61"/>
      <c r="U6064" s="61"/>
      <c r="V6064" s="61"/>
      <c r="W6064" s="61"/>
      <c r="X6064" s="61"/>
      <c r="Y6064" s="61"/>
      <c r="Z6064" s="61"/>
      <c r="AA6064" s="61"/>
      <c r="AB6064" s="61"/>
      <c r="AC6064" s="61"/>
      <c r="AD6064" s="61"/>
      <c r="AE6064" s="61"/>
      <c r="AF6064" s="61"/>
      <c r="AG6064" s="61"/>
      <c r="AH6064" s="61"/>
      <c r="AI6064" s="61"/>
      <c r="AJ6064" s="61"/>
      <c r="AK6064" s="61"/>
      <c r="AL6064" s="61"/>
      <c r="AM6064" s="61"/>
      <c r="AN6064" s="61"/>
      <c r="AO6064" s="61"/>
    </row>
    <row r="6065" spans="1:41" s="108" customFormat="1" x14ac:dyDescent="0.25">
      <c r="A6065" s="358"/>
      <c r="B6065" s="361"/>
      <c r="C6065" s="194"/>
      <c r="D6065" s="355" t="s">
        <v>5</v>
      </c>
      <c r="E6065" s="355"/>
      <c r="F6065" s="355"/>
      <c r="G6065" s="355"/>
      <c r="H6065" s="195"/>
      <c r="I6065" s="159"/>
      <c r="J6065" s="195"/>
      <c r="K6065" s="161"/>
      <c r="L6065" s="196"/>
      <c r="M6065" s="197"/>
      <c r="N6065" s="278"/>
      <c r="O6065" s="279">
        <f>O6066+O6075+O6086+O6088+O6099+O6095</f>
        <v>652.99751089599999</v>
      </c>
      <c r="P6065" s="166"/>
      <c r="Q6065" s="166">
        <f t="shared" si="1597"/>
        <v>0</v>
      </c>
      <c r="R6065" s="71"/>
      <c r="S6065" s="61"/>
      <c r="T6065" s="61"/>
      <c r="U6065" s="61"/>
      <c r="V6065" s="61"/>
      <c r="W6065" s="61"/>
      <c r="X6065" s="61"/>
      <c r="Y6065" s="61"/>
      <c r="Z6065" s="61"/>
      <c r="AA6065" s="61"/>
      <c r="AB6065" s="61"/>
      <c r="AC6065" s="61"/>
      <c r="AD6065" s="61"/>
      <c r="AE6065" s="61"/>
      <c r="AF6065" s="61"/>
      <c r="AG6065" s="61"/>
      <c r="AH6065" s="61"/>
      <c r="AI6065" s="61"/>
      <c r="AJ6065" s="61"/>
      <c r="AK6065" s="61"/>
      <c r="AL6065" s="61"/>
      <c r="AM6065" s="61"/>
      <c r="AN6065" s="61"/>
      <c r="AO6065" s="61"/>
    </row>
    <row r="6066" spans="1:41" s="108" customFormat="1" x14ac:dyDescent="0.25">
      <c r="A6066" s="358"/>
      <c r="B6066" s="361"/>
      <c r="C6066" s="221" t="s">
        <v>70</v>
      </c>
      <c r="D6066" s="355" t="s">
        <v>6</v>
      </c>
      <c r="E6066" s="355"/>
      <c r="F6066" s="355"/>
      <c r="G6066" s="355"/>
      <c r="H6066" s="189"/>
      <c r="I6066" s="159"/>
      <c r="J6066" s="189"/>
      <c r="K6066" s="161"/>
      <c r="L6066" s="190"/>
      <c r="M6066" s="197"/>
      <c r="N6066" s="278"/>
      <c r="O6066" s="279">
        <f>O6067+O6068+O6069+O6070+O6071+O6072+O6073</f>
        <v>122.035112</v>
      </c>
      <c r="P6066" s="166"/>
      <c r="Q6066" s="166">
        <f t="shared" si="1597"/>
        <v>0</v>
      </c>
      <c r="R6066" s="71"/>
      <c r="S6066" s="61"/>
      <c r="T6066" s="61"/>
      <c r="U6066" s="61"/>
      <c r="V6066" s="61"/>
      <c r="W6066" s="61"/>
      <c r="X6066" s="61"/>
      <c r="Y6066" s="61"/>
      <c r="Z6066" s="61"/>
      <c r="AA6066" s="61"/>
      <c r="AB6066" s="61"/>
      <c r="AC6066" s="61"/>
      <c r="AD6066" s="61"/>
      <c r="AE6066" s="61"/>
      <c r="AF6066" s="61"/>
      <c r="AG6066" s="61"/>
      <c r="AH6066" s="61"/>
      <c r="AI6066" s="61"/>
      <c r="AJ6066" s="61"/>
      <c r="AK6066" s="61"/>
      <c r="AL6066" s="61"/>
      <c r="AM6066" s="61"/>
      <c r="AN6066" s="61"/>
      <c r="AO6066" s="61"/>
    </row>
    <row r="6067" spans="1:41" s="61" customFormat="1" ht="31.5" x14ac:dyDescent="0.25">
      <c r="A6067" s="358"/>
      <c r="B6067" s="361"/>
      <c r="C6067" s="221" t="s">
        <v>72</v>
      </c>
      <c r="D6067" s="222" t="s">
        <v>7</v>
      </c>
      <c r="E6067" s="223" t="s">
        <v>8</v>
      </c>
      <c r="F6067" s="223" t="s">
        <v>8</v>
      </c>
      <c r="G6067" s="238">
        <f t="shared" ref="G6067:G6073" si="1598">MROUND(H6067*L6067*I6067/K6067,0.00000000001)</f>
        <v>2.15780410669</v>
      </c>
      <c r="H6067" s="160">
        <f>H5451</f>
        <v>113060.13705633247</v>
      </c>
      <c r="I6067" s="282">
        <f>I6059</f>
        <v>2.0993999999999999E-2</v>
      </c>
      <c r="J6067" s="160"/>
      <c r="K6067" s="161">
        <f>K6059</f>
        <v>1100</v>
      </c>
      <c r="L6067" s="250">
        <v>1</v>
      </c>
      <c r="M6067" s="163" t="str">
        <f>CONCATENATE(H6067," ",F6067,"(лимиты выделенные УЖКХ) ","*",I6067,"/",K6067,"чел")</f>
        <v>113060,137056332 кВт час.(лимиты выделенные УЖКХ) *0,020994/1100чел</v>
      </c>
      <c r="N6067" s="278">
        <f>N5451</f>
        <v>10.942938264647223</v>
      </c>
      <c r="O6067" s="280">
        <f>MROUND(N6067*G6067,0.000001)</f>
        <v>23.612717</v>
      </c>
      <c r="P6067" s="166"/>
      <c r="Q6067" s="166">
        <f t="shared" si="1597"/>
        <v>25973.988700000002</v>
      </c>
      <c r="R6067" s="71"/>
    </row>
    <row r="6068" spans="1:41" s="61" customFormat="1" ht="31.5" x14ac:dyDescent="0.25">
      <c r="A6068" s="358"/>
      <c r="B6068" s="361"/>
      <c r="C6068" s="221" t="s">
        <v>73</v>
      </c>
      <c r="D6068" s="222" t="s">
        <v>9</v>
      </c>
      <c r="E6068" s="223" t="s">
        <v>10</v>
      </c>
      <c r="F6068" s="223" t="s">
        <v>10</v>
      </c>
      <c r="G6068" s="238">
        <f t="shared" si="1598"/>
        <v>2.6605123639999999E-2</v>
      </c>
      <c r="H6068" s="160">
        <f>H5452</f>
        <v>1394</v>
      </c>
      <c r="I6068" s="159">
        <f t="shared" ref="I6068:I6073" si="1599">I6067</f>
        <v>2.0993999999999999E-2</v>
      </c>
      <c r="J6068" s="160"/>
      <c r="K6068" s="161">
        <f t="shared" ref="K6068:K6073" si="1600">K6067</f>
        <v>1100</v>
      </c>
      <c r="L6068" s="250">
        <v>1</v>
      </c>
      <c r="M6068" s="163" t="str">
        <f>CONCATENATE(H6068," ",F6068,"(лимиты выделенные УЖКХ) ","*",I6068,"/",K6068,"чел")</f>
        <v>1394 Гкал(лимиты выделенные УЖКХ) *0,020994/1100чел</v>
      </c>
      <c r="N6068" s="278">
        <f>N5556</f>
        <v>2976.2517790530851</v>
      </c>
      <c r="O6068" s="280">
        <f t="shared" ref="O6068:O6073" si="1601">MROUND(N6068*G6068,0.000001)</f>
        <v>79.18354699999999</v>
      </c>
      <c r="P6068" s="166"/>
      <c r="Q6068" s="166">
        <f t="shared" si="1597"/>
        <v>87101.901699999988</v>
      </c>
      <c r="R6068" s="71"/>
    </row>
    <row r="6069" spans="1:41" s="61" customFormat="1" ht="31.5" x14ac:dyDescent="0.25">
      <c r="A6069" s="358"/>
      <c r="B6069" s="361"/>
      <c r="C6069" s="364" t="s">
        <v>74</v>
      </c>
      <c r="D6069" s="222" t="s">
        <v>12</v>
      </c>
      <c r="E6069" s="222" t="s">
        <v>11</v>
      </c>
      <c r="F6069" s="222" t="s">
        <v>11</v>
      </c>
      <c r="G6069" s="238">
        <f t="shared" si="1598"/>
        <v>7.7126421219999991E-2</v>
      </c>
      <c r="H6069" s="224">
        <f>H5453</f>
        <v>4041.1099999999997</v>
      </c>
      <c r="I6069" s="159">
        <f t="shared" si="1599"/>
        <v>2.0993999999999999E-2</v>
      </c>
      <c r="J6069" s="160"/>
      <c r="K6069" s="161">
        <f t="shared" si="1600"/>
        <v>1100</v>
      </c>
      <c r="L6069" s="250">
        <v>1</v>
      </c>
      <c r="M6069" s="163" t="str">
        <f>CONCATENATE(H6069," ",F6069,"(лимиты выделенные УЖКХ) ","*",I6069,"/",K6069,"чел")</f>
        <v>4041,11 м3(лимиты выделенные УЖКХ) *0,020994/1100чел</v>
      </c>
      <c r="N6069" s="278">
        <f>N5453</f>
        <v>54.214180014896904</v>
      </c>
      <c r="O6069" s="280">
        <f t="shared" si="1601"/>
        <v>4.1813459999999996</v>
      </c>
      <c r="P6069" s="166"/>
      <c r="Q6069" s="166">
        <f t="shared" si="1597"/>
        <v>4599.4805999999999</v>
      </c>
      <c r="R6069" s="71"/>
    </row>
    <row r="6070" spans="1:41" s="61" customFormat="1" ht="47.25" x14ac:dyDescent="0.25">
      <c r="A6070" s="358"/>
      <c r="B6070" s="361"/>
      <c r="C6070" s="364"/>
      <c r="D6070" s="222" t="s">
        <v>17</v>
      </c>
      <c r="E6070" s="222" t="s">
        <v>11</v>
      </c>
      <c r="F6070" s="222" t="s">
        <v>11</v>
      </c>
      <c r="G6070" s="238">
        <f t="shared" si="1598"/>
        <v>7.7126421219999991E-2</v>
      </c>
      <c r="H6070" s="160">
        <f>H5558</f>
        <v>4041.1099999999997</v>
      </c>
      <c r="I6070" s="159">
        <f t="shared" si="1599"/>
        <v>2.0993999999999999E-2</v>
      </c>
      <c r="J6070" s="160"/>
      <c r="K6070" s="161">
        <f t="shared" si="1600"/>
        <v>1100</v>
      </c>
      <c r="L6070" s="162">
        <f>$L$25</f>
        <v>1</v>
      </c>
      <c r="M6070" s="163" t="str">
        <f>CONCATENATE(H6070," ",F6070,"(лимиты выделенные УЖКХ) ","*",I6070,"/",K6070,"чел")</f>
        <v>4041,11 м3(лимиты выделенные УЖКХ) *0,020994/1100чел</v>
      </c>
      <c r="N6070" s="164">
        <f>N5454</f>
        <v>82.384170780821918</v>
      </c>
      <c r="O6070" s="280">
        <f t="shared" si="1601"/>
        <v>6.3539959999999995</v>
      </c>
      <c r="P6070" s="166"/>
      <c r="Q6070" s="166">
        <f t="shared" si="1597"/>
        <v>6989.3955999999998</v>
      </c>
      <c r="R6070" s="71"/>
    </row>
    <row r="6071" spans="1:41" s="61" customFormat="1" ht="31.5" x14ac:dyDescent="0.25">
      <c r="A6071" s="358"/>
      <c r="B6071" s="361"/>
      <c r="C6071" s="364"/>
      <c r="D6071" s="222" t="s">
        <v>13</v>
      </c>
      <c r="E6071" s="222" t="s">
        <v>11</v>
      </c>
      <c r="F6071" s="222" t="s">
        <v>11</v>
      </c>
      <c r="G6071" s="238">
        <f t="shared" si="1598"/>
        <v>7.7126421219999991E-2</v>
      </c>
      <c r="H6071" s="160">
        <f>H5455</f>
        <v>4041.1099999999997</v>
      </c>
      <c r="I6071" s="159">
        <f t="shared" si="1599"/>
        <v>2.0993999999999999E-2</v>
      </c>
      <c r="J6071" s="160"/>
      <c r="K6071" s="161">
        <f t="shared" si="1600"/>
        <v>1100</v>
      </c>
      <c r="L6071" s="162">
        <v>1</v>
      </c>
      <c r="M6071" s="163" t="str">
        <f>CONCATENATE(H6071," ",F6071,"(лимиты выделенные УЖКХ) ","*",I6071,"/",K6071,"чел")</f>
        <v>4041,11 м3(лимиты выделенные УЖКХ) *0,020994/1100чел</v>
      </c>
      <c r="N6071" s="278">
        <f>N5455</f>
        <v>100.60427670019196</v>
      </c>
      <c r="O6071" s="280">
        <f t="shared" si="1601"/>
        <v>7.7592479999999995</v>
      </c>
      <c r="P6071" s="166"/>
      <c r="Q6071" s="166">
        <f t="shared" si="1597"/>
        <v>8535.1728000000003</v>
      </c>
      <c r="R6071" s="71"/>
    </row>
    <row r="6072" spans="1:41" s="61" customFormat="1" x14ac:dyDescent="0.25">
      <c r="A6072" s="358"/>
      <c r="B6072" s="361"/>
      <c r="C6072" s="364" t="s">
        <v>216</v>
      </c>
      <c r="D6072" s="222" t="s">
        <v>23</v>
      </c>
      <c r="E6072" s="222" t="s">
        <v>11</v>
      </c>
      <c r="F6072" s="222" t="s">
        <v>11</v>
      </c>
      <c r="G6072" s="238">
        <f t="shared" si="1598"/>
        <v>4.7675464999999997E-4</v>
      </c>
      <c r="H6072" s="160">
        <f>H5456</f>
        <v>24.979999999999997</v>
      </c>
      <c r="I6072" s="159">
        <f t="shared" si="1599"/>
        <v>2.0993999999999999E-2</v>
      </c>
      <c r="J6072" s="160"/>
      <c r="K6072" s="161">
        <f t="shared" si="1600"/>
        <v>1100</v>
      </c>
      <c r="L6072" s="162">
        <v>1</v>
      </c>
      <c r="M6072" s="163" t="str">
        <f>CONCATENATE(H6072," ",F6072," ","*",I6072,"/",K6072,"чел")</f>
        <v>24,98 м3 *0,020994/1100чел</v>
      </c>
      <c r="N6072" s="164">
        <f>N5456</f>
        <v>776.35588470776622</v>
      </c>
      <c r="O6072" s="280">
        <f t="shared" si="1601"/>
        <v>0.37013099999999999</v>
      </c>
      <c r="P6072" s="166"/>
      <c r="Q6072" s="166">
        <f t="shared" si="1597"/>
        <v>407.14409999999998</v>
      </c>
      <c r="R6072" s="71"/>
    </row>
    <row r="6073" spans="1:41" s="61" customFormat="1" ht="47.25" x14ac:dyDescent="0.25">
      <c r="A6073" s="358"/>
      <c r="B6073" s="361"/>
      <c r="C6073" s="364"/>
      <c r="D6073" s="222" t="s">
        <v>24</v>
      </c>
      <c r="E6073" s="222" t="s">
        <v>25</v>
      </c>
      <c r="F6073" s="222" t="s">
        <v>248</v>
      </c>
      <c r="G6073" s="238">
        <f t="shared" si="1598"/>
        <v>9.5427269999999998E-5</v>
      </c>
      <c r="H6073" s="160">
        <f>H5457</f>
        <v>5</v>
      </c>
      <c r="I6073" s="159">
        <f t="shared" si="1599"/>
        <v>2.0993999999999999E-2</v>
      </c>
      <c r="J6073" s="160"/>
      <c r="K6073" s="161">
        <f t="shared" si="1600"/>
        <v>1100</v>
      </c>
      <c r="L6073" s="250">
        <v>1</v>
      </c>
      <c r="M6073" s="163" t="str">
        <f>CONCATENATE(H6073," ",F6073,"(потребность из расчета 4 контейнера для уборки территории весной и осенью на 1 учреждение)","*",I6073,"/",K6073,"чел")</f>
        <v>5 контейнеров(потребность из расчета 4 контейнера для уборки территории весной и осенью на 1 учреждение)*0,020994/1100чел</v>
      </c>
      <c r="N6073" s="278">
        <f>N5561</f>
        <v>6016.38</v>
      </c>
      <c r="O6073" s="280">
        <f t="shared" si="1601"/>
        <v>0.57412699999999994</v>
      </c>
      <c r="P6073" s="166"/>
      <c r="Q6073" s="166">
        <f t="shared" si="1597"/>
        <v>631.53969999999993</v>
      </c>
      <c r="R6073" s="71"/>
    </row>
    <row r="6074" spans="1:41" s="109" customFormat="1" x14ac:dyDescent="0.25">
      <c r="A6074" s="358"/>
      <c r="B6074" s="361"/>
      <c r="C6074" s="218" t="s">
        <v>290</v>
      </c>
      <c r="D6074" s="226"/>
      <c r="E6074" s="226"/>
      <c r="F6074" s="226"/>
      <c r="G6074" s="227"/>
      <c r="H6074" s="228"/>
      <c r="I6074" s="206"/>
      <c r="J6074" s="228"/>
      <c r="K6074" s="207"/>
      <c r="L6074" s="257"/>
      <c r="M6074" s="209"/>
      <c r="N6074" s="281"/>
      <c r="O6074" s="279">
        <f>SUM(O6067:O6073)</f>
        <v>122.035112</v>
      </c>
      <c r="P6074" s="267"/>
      <c r="Q6074" s="166"/>
      <c r="R6074" s="71"/>
      <c r="S6074" s="62"/>
      <c r="T6074" s="62"/>
      <c r="U6074" s="62"/>
      <c r="V6074" s="62"/>
      <c r="W6074" s="62"/>
      <c r="X6074" s="62"/>
      <c r="Y6074" s="62"/>
      <c r="Z6074" s="62"/>
      <c r="AA6074" s="62"/>
      <c r="AB6074" s="62"/>
      <c r="AC6074" s="62"/>
      <c r="AD6074" s="62"/>
      <c r="AE6074" s="62"/>
      <c r="AF6074" s="62"/>
      <c r="AG6074" s="62"/>
      <c r="AH6074" s="62"/>
      <c r="AI6074" s="62"/>
      <c r="AJ6074" s="62"/>
      <c r="AK6074" s="62"/>
      <c r="AL6074" s="62"/>
      <c r="AM6074" s="62"/>
      <c r="AN6074" s="62"/>
      <c r="AO6074" s="62"/>
    </row>
    <row r="6075" spans="1:41" s="108" customFormat="1" x14ac:dyDescent="0.25">
      <c r="A6075" s="358"/>
      <c r="B6075" s="361"/>
      <c r="C6075" s="221"/>
      <c r="D6075" s="356" t="s">
        <v>14</v>
      </c>
      <c r="E6075" s="356"/>
      <c r="F6075" s="356"/>
      <c r="G6075" s="356"/>
      <c r="H6075" s="188"/>
      <c r="I6075" s="159"/>
      <c r="J6075" s="188"/>
      <c r="K6075" s="161"/>
      <c r="L6075" s="250"/>
      <c r="M6075" s="230"/>
      <c r="N6075" s="278"/>
      <c r="O6075" s="279">
        <f>O6079+O6083+O6084</f>
        <v>450.79843667700004</v>
      </c>
      <c r="P6075" s="166"/>
      <c r="Q6075" s="166">
        <f>O6075*K6075</f>
        <v>0</v>
      </c>
      <c r="R6075" s="71"/>
      <c r="S6075" s="61"/>
      <c r="T6075" s="61"/>
      <c r="U6075" s="61"/>
      <c r="V6075" s="61"/>
      <c r="W6075" s="61"/>
      <c r="X6075" s="61"/>
      <c r="Y6075" s="61"/>
      <c r="Z6075" s="61"/>
      <c r="AA6075" s="61"/>
      <c r="AB6075" s="61"/>
      <c r="AC6075" s="61"/>
      <c r="AD6075" s="61"/>
      <c r="AE6075" s="61"/>
      <c r="AF6075" s="61"/>
      <c r="AG6075" s="61"/>
      <c r="AH6075" s="61"/>
      <c r="AI6075" s="61"/>
      <c r="AJ6075" s="61"/>
      <c r="AK6075" s="61"/>
      <c r="AL6075" s="61"/>
      <c r="AM6075" s="61"/>
      <c r="AN6075" s="61"/>
      <c r="AO6075" s="61"/>
    </row>
    <row r="6076" spans="1:41" s="61" customFormat="1" x14ac:dyDescent="0.25">
      <c r="A6076" s="358"/>
      <c r="B6076" s="361"/>
      <c r="C6076" s="221" t="s">
        <v>379</v>
      </c>
      <c r="D6076" s="231" t="s">
        <v>49</v>
      </c>
      <c r="E6076" s="231" t="s">
        <v>22</v>
      </c>
      <c r="F6076" s="231" t="s">
        <v>22</v>
      </c>
      <c r="G6076" s="238">
        <f>MROUND(H6076*L6076*I6076/K6076,0.00000000001)</f>
        <v>0</v>
      </c>
      <c r="H6076" s="160"/>
      <c r="I6076" s="159">
        <f>I6071</f>
        <v>2.0993999999999999E-2</v>
      </c>
      <c r="J6076" s="160"/>
      <c r="K6076" s="161">
        <f>K6071</f>
        <v>1100</v>
      </c>
      <c r="L6076" s="250">
        <v>1</v>
      </c>
      <c r="M6076" s="163"/>
      <c r="N6076" s="278"/>
      <c r="O6076" s="280">
        <f>MROUND(N6076*G6076,0.000000001)</f>
        <v>0</v>
      </c>
      <c r="P6076" s="166"/>
      <c r="Q6076" s="166">
        <f>O6076*K6076</f>
        <v>0</v>
      </c>
      <c r="R6076" s="71"/>
    </row>
    <row r="6077" spans="1:41" s="61" customFormat="1" x14ac:dyDescent="0.25">
      <c r="A6077" s="358"/>
      <c r="B6077" s="361"/>
      <c r="C6077" s="221" t="s">
        <v>379</v>
      </c>
      <c r="D6077" s="231" t="s">
        <v>49</v>
      </c>
      <c r="E6077" s="231" t="s">
        <v>28</v>
      </c>
      <c r="F6077" s="231" t="s">
        <v>28</v>
      </c>
      <c r="G6077" s="238">
        <f>MROUND(H6077*L6077*I6077/K6077,0.00000000001)</f>
        <v>0</v>
      </c>
      <c r="H6077" s="160"/>
      <c r="I6077" s="159">
        <f>I6076</f>
        <v>2.0993999999999999E-2</v>
      </c>
      <c r="J6077" s="160"/>
      <c r="K6077" s="161">
        <f>K6076</f>
        <v>1100</v>
      </c>
      <c r="L6077" s="250">
        <v>1</v>
      </c>
      <c r="M6077" s="163"/>
      <c r="N6077" s="278"/>
      <c r="O6077" s="280">
        <f>MROUND(N6077*G6077,0.000000001)</f>
        <v>0</v>
      </c>
      <c r="P6077" s="166"/>
      <c r="Q6077" s="166">
        <f>O6077*K6077</f>
        <v>0</v>
      </c>
      <c r="R6077" s="71"/>
    </row>
    <row r="6078" spans="1:41" s="61" customFormat="1" x14ac:dyDescent="0.25">
      <c r="A6078" s="358"/>
      <c r="B6078" s="361"/>
      <c r="C6078" s="221" t="s">
        <v>379</v>
      </c>
      <c r="D6078" s="231" t="s">
        <v>49</v>
      </c>
      <c r="E6078" s="231" t="s">
        <v>101</v>
      </c>
      <c r="F6078" s="231" t="s">
        <v>101</v>
      </c>
      <c r="G6078" s="238">
        <f>MROUND(H6078*L6078*I6078/K6078,0.00000000001)</f>
        <v>0</v>
      </c>
      <c r="H6078" s="160"/>
      <c r="I6078" s="159">
        <f>I6076</f>
        <v>2.0993999999999999E-2</v>
      </c>
      <c r="J6078" s="160"/>
      <c r="K6078" s="161">
        <f>K6076</f>
        <v>1100</v>
      </c>
      <c r="L6078" s="250">
        <v>1</v>
      </c>
      <c r="M6078" s="163"/>
      <c r="N6078" s="278"/>
      <c r="O6078" s="280">
        <f>MROUND(N6078*G6078,0.000001)</f>
        <v>0</v>
      </c>
      <c r="P6078" s="166"/>
      <c r="Q6078" s="166">
        <f>O6078*K6078</f>
        <v>0</v>
      </c>
      <c r="R6078" s="71"/>
    </row>
    <row r="6079" spans="1:41" s="109" customFormat="1" x14ac:dyDescent="0.25">
      <c r="A6079" s="358"/>
      <c r="B6079" s="361"/>
      <c r="C6079" s="218" t="s">
        <v>380</v>
      </c>
      <c r="D6079" s="232"/>
      <c r="E6079" s="232"/>
      <c r="F6079" s="232"/>
      <c r="G6079" s="227"/>
      <c r="H6079" s="228"/>
      <c r="I6079" s="206"/>
      <c r="J6079" s="228"/>
      <c r="K6079" s="207"/>
      <c r="L6079" s="257"/>
      <c r="M6079" s="209"/>
      <c r="N6079" s="281"/>
      <c r="O6079" s="279">
        <f>SUM(O6076:O6078)</f>
        <v>0</v>
      </c>
      <c r="P6079" s="267"/>
      <c r="Q6079" s="166"/>
      <c r="R6079" s="72"/>
      <c r="S6079" s="62"/>
      <c r="T6079" s="62"/>
      <c r="U6079" s="62"/>
      <c r="V6079" s="62"/>
      <c r="W6079" s="62"/>
      <c r="X6079" s="62"/>
      <c r="Y6079" s="62"/>
      <c r="Z6079" s="62"/>
      <c r="AA6079" s="62"/>
      <c r="AB6079" s="62"/>
      <c r="AC6079" s="62"/>
      <c r="AD6079" s="62"/>
      <c r="AE6079" s="62"/>
      <c r="AF6079" s="62"/>
      <c r="AG6079" s="62"/>
      <c r="AH6079" s="62"/>
      <c r="AI6079" s="62"/>
      <c r="AJ6079" s="62"/>
      <c r="AK6079" s="62"/>
      <c r="AL6079" s="62"/>
      <c r="AM6079" s="62"/>
      <c r="AN6079" s="62"/>
      <c r="AO6079" s="62"/>
    </row>
    <row r="6080" spans="1:41" s="61" customFormat="1" x14ac:dyDescent="0.25">
      <c r="A6080" s="358"/>
      <c r="B6080" s="361"/>
      <c r="C6080" s="221" t="s">
        <v>76</v>
      </c>
      <c r="D6080" s="231" t="s">
        <v>49</v>
      </c>
      <c r="E6080" s="231" t="s">
        <v>22</v>
      </c>
      <c r="F6080" s="231" t="s">
        <v>22</v>
      </c>
      <c r="G6080" s="238">
        <f>MROUND(H6080*L6080*I6080/K6080,0.00000000001)</f>
        <v>0.18970941817999998</v>
      </c>
      <c r="H6080" s="160">
        <f>H5464</f>
        <v>9940</v>
      </c>
      <c r="I6080" s="159">
        <f>I6078</f>
        <v>2.0993999999999999E-2</v>
      </c>
      <c r="J6080" s="160"/>
      <c r="K6080" s="161">
        <f>K6078</f>
        <v>1100</v>
      </c>
      <c r="L6080" s="250">
        <v>1</v>
      </c>
      <c r="M6080" s="163" t="str">
        <f>CONCATENATE(H6080," ",F6080,"*",I6080,"/",K6080,"чел")</f>
        <v>9940 м2*0,020994/1100чел</v>
      </c>
      <c r="N6080" s="278">
        <f>N5464</f>
        <v>1444.6680080482897</v>
      </c>
      <c r="O6080" s="280">
        <f>MROUND(N6080*G6080,0.000000001)</f>
        <v>274.06712727000001</v>
      </c>
      <c r="P6080" s="166"/>
      <c r="Q6080" s="166">
        <f>O6080*K6080</f>
        <v>301473.839997</v>
      </c>
      <c r="R6080" s="71"/>
    </row>
    <row r="6081" spans="1:41" s="61" customFormat="1" x14ac:dyDescent="0.25">
      <c r="A6081" s="358"/>
      <c r="B6081" s="361"/>
      <c r="C6081" s="221"/>
      <c r="D6081" s="231" t="s">
        <v>49</v>
      </c>
      <c r="E6081" s="231" t="s">
        <v>28</v>
      </c>
      <c r="F6081" s="231" t="s">
        <v>28</v>
      </c>
      <c r="G6081" s="238">
        <f>MROUND(H6081*L6081*I6081/K6081,0.00000000001)</f>
        <v>8.2067454999999994E-4</v>
      </c>
      <c r="H6081" s="160">
        <f>H5465</f>
        <v>43</v>
      </c>
      <c r="I6081" s="159">
        <f>I6080</f>
        <v>2.0993999999999999E-2</v>
      </c>
      <c r="J6081" s="160"/>
      <c r="K6081" s="161">
        <f>K6080</f>
        <v>1100</v>
      </c>
      <c r="L6081" s="250">
        <v>1</v>
      </c>
      <c r="M6081" s="163" t="str">
        <f>CONCATENATE(H6081," ",F6081,"*",I6081,"/",K6081,"чел")</f>
        <v>43 шт*0,020994/1100чел</v>
      </c>
      <c r="N6081" s="278">
        <f>N5465</f>
        <v>109534.88372093023</v>
      </c>
      <c r="O6081" s="280">
        <f>MROUND(N6081*G6081,0.000000001)</f>
        <v>89.892491407000009</v>
      </c>
      <c r="P6081" s="166"/>
      <c r="Q6081" s="166">
        <f>O6081*K6081</f>
        <v>98881.740547700014</v>
      </c>
      <c r="R6081" s="71"/>
    </row>
    <row r="6082" spans="1:41" s="61" customFormat="1" x14ac:dyDescent="0.25">
      <c r="A6082" s="358"/>
      <c r="B6082" s="361"/>
      <c r="C6082" s="221"/>
      <c r="D6082" s="231" t="s">
        <v>49</v>
      </c>
      <c r="E6082" s="231" t="s">
        <v>101</v>
      </c>
      <c r="F6082" s="231" t="s">
        <v>101</v>
      </c>
      <c r="G6082" s="238">
        <f>MROUND(H6082*L6082*I6082/K6082,0.00000000001)</f>
        <v>3.4735527269999997E-2</v>
      </c>
      <c r="H6082" s="160">
        <f>H5466</f>
        <v>1820</v>
      </c>
      <c r="I6082" s="159">
        <f>I6080</f>
        <v>2.0993999999999999E-2</v>
      </c>
      <c r="J6082" s="160"/>
      <c r="K6082" s="161">
        <f>K6080</f>
        <v>1100</v>
      </c>
      <c r="L6082" s="250">
        <v>1</v>
      </c>
      <c r="M6082" s="163" t="str">
        <f>CONCATENATE(H6082," ",F6082,"*",I6082,"/",K6082,"чел")</f>
        <v>1820 погон.м.*0,020994/1100чел</v>
      </c>
      <c r="N6082" s="278">
        <f>N5466</f>
        <v>2500</v>
      </c>
      <c r="O6082" s="280">
        <f>MROUND(N6082*G6082,0.000001)</f>
        <v>86.838817999999989</v>
      </c>
      <c r="P6082" s="166"/>
      <c r="Q6082" s="166">
        <f>O6082*K6082</f>
        <v>95522.699799999988</v>
      </c>
      <c r="R6082" s="71"/>
    </row>
    <row r="6083" spans="1:41" s="109" customFormat="1" x14ac:dyDescent="0.25">
      <c r="A6083" s="358"/>
      <c r="B6083" s="361"/>
      <c r="C6083" s="218" t="s">
        <v>291</v>
      </c>
      <c r="D6083" s="232"/>
      <c r="E6083" s="232"/>
      <c r="F6083" s="232"/>
      <c r="G6083" s="227"/>
      <c r="H6083" s="228"/>
      <c r="I6083" s="206"/>
      <c r="J6083" s="228"/>
      <c r="K6083" s="207"/>
      <c r="L6083" s="257"/>
      <c r="M6083" s="209"/>
      <c r="N6083" s="281"/>
      <c r="O6083" s="279">
        <f>SUM(O6080:O6082)</f>
        <v>450.79843667700004</v>
      </c>
      <c r="P6083" s="267"/>
      <c r="Q6083" s="166"/>
      <c r="R6083" s="72"/>
      <c r="S6083" s="62"/>
      <c r="T6083" s="62"/>
      <c r="U6083" s="62"/>
      <c r="V6083" s="62"/>
      <c r="W6083" s="62"/>
      <c r="X6083" s="62"/>
      <c r="Y6083" s="62"/>
      <c r="Z6083" s="62"/>
      <c r="AA6083" s="62"/>
      <c r="AB6083" s="62"/>
      <c r="AC6083" s="62"/>
      <c r="AD6083" s="62"/>
      <c r="AE6083" s="62"/>
      <c r="AF6083" s="62"/>
      <c r="AG6083" s="62"/>
      <c r="AH6083" s="62"/>
      <c r="AI6083" s="62"/>
      <c r="AJ6083" s="62"/>
      <c r="AK6083" s="62"/>
      <c r="AL6083" s="62"/>
      <c r="AM6083" s="62"/>
      <c r="AN6083" s="62"/>
      <c r="AO6083" s="62"/>
    </row>
    <row r="6084" spans="1:41" s="61" customFormat="1" x14ac:dyDescent="0.25">
      <c r="A6084" s="358"/>
      <c r="B6084" s="361"/>
      <c r="C6084" s="221" t="s">
        <v>77</v>
      </c>
      <c r="D6084" s="231"/>
      <c r="E6084" s="231"/>
      <c r="F6084" s="231"/>
      <c r="G6084" s="238">
        <f>MROUND(H6084*L6084*I6084/K6084,0.00000000001)</f>
        <v>0</v>
      </c>
      <c r="H6084" s="160"/>
      <c r="I6084" s="159">
        <f>I6082</f>
        <v>2.0993999999999999E-2</v>
      </c>
      <c r="J6084" s="160"/>
      <c r="K6084" s="161">
        <f>K6082</f>
        <v>1100</v>
      </c>
      <c r="L6084" s="250"/>
      <c r="M6084" s="163"/>
      <c r="N6084" s="278"/>
      <c r="O6084" s="280">
        <f>MROUND(N6084*G6084,0.000001)</f>
        <v>0</v>
      </c>
      <c r="P6084" s="166"/>
      <c r="Q6084" s="166">
        <f>O6084*K6084</f>
        <v>0</v>
      </c>
      <c r="R6084" s="71"/>
    </row>
    <row r="6085" spans="1:41" s="109" customFormat="1" x14ac:dyDescent="0.25">
      <c r="A6085" s="358"/>
      <c r="B6085" s="361"/>
      <c r="C6085" s="218" t="s">
        <v>292</v>
      </c>
      <c r="D6085" s="232"/>
      <c r="E6085" s="232"/>
      <c r="F6085" s="232"/>
      <c r="G6085" s="227"/>
      <c r="H6085" s="228"/>
      <c r="I6085" s="206"/>
      <c r="J6085" s="228"/>
      <c r="K6085" s="207"/>
      <c r="L6085" s="257"/>
      <c r="M6085" s="209"/>
      <c r="N6085" s="281"/>
      <c r="O6085" s="279">
        <f>O6084</f>
        <v>0</v>
      </c>
      <c r="P6085" s="267"/>
      <c r="Q6085" s="166"/>
      <c r="R6085" s="72"/>
      <c r="S6085" s="62"/>
      <c r="T6085" s="62"/>
      <c r="U6085" s="62"/>
      <c r="V6085" s="62"/>
      <c r="W6085" s="62"/>
      <c r="X6085" s="62"/>
      <c r="Y6085" s="62"/>
      <c r="Z6085" s="62"/>
      <c r="AA6085" s="62"/>
      <c r="AB6085" s="62"/>
      <c r="AC6085" s="62"/>
      <c r="AD6085" s="62"/>
      <c r="AE6085" s="62"/>
      <c r="AF6085" s="62"/>
      <c r="AG6085" s="62"/>
      <c r="AH6085" s="62"/>
      <c r="AI6085" s="62"/>
      <c r="AJ6085" s="62"/>
      <c r="AK6085" s="62"/>
      <c r="AL6085" s="62"/>
      <c r="AM6085" s="62"/>
      <c r="AN6085" s="62"/>
      <c r="AO6085" s="62"/>
    </row>
    <row r="6086" spans="1:41" s="108" customFormat="1" x14ac:dyDescent="0.25">
      <c r="A6086" s="358"/>
      <c r="B6086" s="361"/>
      <c r="C6086" s="221"/>
      <c r="D6086" s="350" t="s">
        <v>65</v>
      </c>
      <c r="E6086" s="350"/>
      <c r="F6086" s="350"/>
      <c r="G6086" s="350"/>
      <c r="H6086" s="195"/>
      <c r="I6086" s="159"/>
      <c r="J6086" s="195"/>
      <c r="K6086" s="161"/>
      <c r="L6086" s="196"/>
      <c r="M6086" s="230"/>
      <c r="N6086" s="278"/>
      <c r="O6086" s="280"/>
      <c r="P6086" s="166"/>
      <c r="Q6086" s="166">
        <f t="shared" ref="Q6086:Q6105" si="1602">O6086*K6086</f>
        <v>0</v>
      </c>
      <c r="R6086" s="71"/>
      <c r="S6086" s="61"/>
      <c r="T6086" s="61"/>
      <c r="U6086" s="61"/>
      <c r="V6086" s="61"/>
      <c r="W6086" s="61"/>
      <c r="X6086" s="61"/>
      <c r="Y6086" s="61"/>
      <c r="Z6086" s="61"/>
      <c r="AA6086" s="61"/>
      <c r="AB6086" s="61"/>
      <c r="AC6086" s="61"/>
      <c r="AD6086" s="61"/>
      <c r="AE6086" s="61"/>
      <c r="AF6086" s="61"/>
      <c r="AG6086" s="61"/>
      <c r="AH6086" s="61"/>
      <c r="AI6086" s="61"/>
      <c r="AJ6086" s="61"/>
      <c r="AK6086" s="61"/>
      <c r="AL6086" s="61"/>
      <c r="AM6086" s="61"/>
      <c r="AN6086" s="61"/>
      <c r="AO6086" s="61"/>
    </row>
    <row r="6087" spans="1:41" s="108" customFormat="1" x14ac:dyDescent="0.25">
      <c r="A6087" s="358"/>
      <c r="B6087" s="361"/>
      <c r="C6087" s="221"/>
      <c r="D6087" s="194"/>
      <c r="E6087" s="194"/>
      <c r="F6087" s="194"/>
      <c r="G6087" s="217"/>
      <c r="H6087" s="195"/>
      <c r="I6087" s="159"/>
      <c r="J6087" s="195"/>
      <c r="K6087" s="161"/>
      <c r="L6087" s="196"/>
      <c r="M6087" s="230"/>
      <c r="N6087" s="278"/>
      <c r="O6087" s="280"/>
      <c r="P6087" s="166"/>
      <c r="Q6087" s="166">
        <f t="shared" si="1602"/>
        <v>0</v>
      </c>
      <c r="R6087" s="71"/>
      <c r="S6087" s="61"/>
      <c r="T6087" s="61"/>
      <c r="U6087" s="61"/>
      <c r="V6087" s="61"/>
      <c r="W6087" s="61"/>
      <c r="X6087" s="61"/>
      <c r="Y6087" s="61"/>
      <c r="Z6087" s="61"/>
      <c r="AA6087" s="61"/>
      <c r="AB6087" s="61"/>
      <c r="AC6087" s="61"/>
      <c r="AD6087" s="61"/>
      <c r="AE6087" s="61"/>
      <c r="AF6087" s="61"/>
      <c r="AG6087" s="61"/>
      <c r="AH6087" s="61"/>
      <c r="AI6087" s="61"/>
      <c r="AJ6087" s="61"/>
      <c r="AK6087" s="61"/>
      <c r="AL6087" s="61"/>
      <c r="AM6087" s="61"/>
      <c r="AN6087" s="61"/>
      <c r="AO6087" s="61"/>
    </row>
    <row r="6088" spans="1:41" s="108" customFormat="1" x14ac:dyDescent="0.25">
      <c r="A6088" s="358"/>
      <c r="B6088" s="361"/>
      <c r="C6088" s="365" t="s">
        <v>357</v>
      </c>
      <c r="D6088" s="368" t="s">
        <v>66</v>
      </c>
      <c r="E6088" s="368"/>
      <c r="F6088" s="368"/>
      <c r="G6088" s="368"/>
      <c r="H6088" s="195"/>
      <c r="I6088" s="159"/>
      <c r="J6088" s="195"/>
      <c r="K6088" s="161"/>
      <c r="L6088" s="196"/>
      <c r="M6088" s="230"/>
      <c r="N6088" s="278"/>
      <c r="O6088" s="279">
        <f>O6094</f>
        <v>8.9431082189999991</v>
      </c>
      <c r="P6088" s="166"/>
      <c r="Q6088" s="166">
        <f t="shared" si="1602"/>
        <v>0</v>
      </c>
      <c r="R6088" s="71"/>
      <c r="S6088" s="61"/>
      <c r="T6088" s="61"/>
      <c r="U6088" s="61"/>
      <c r="V6088" s="61"/>
      <c r="W6088" s="61"/>
      <c r="X6088" s="61"/>
      <c r="Y6088" s="61"/>
      <c r="Z6088" s="61"/>
      <c r="AA6088" s="61"/>
      <c r="AB6088" s="61"/>
      <c r="AC6088" s="61"/>
      <c r="AD6088" s="61"/>
      <c r="AE6088" s="61"/>
      <c r="AF6088" s="61"/>
      <c r="AG6088" s="61"/>
      <c r="AH6088" s="61"/>
      <c r="AI6088" s="61"/>
      <c r="AJ6088" s="61"/>
      <c r="AK6088" s="61"/>
      <c r="AL6088" s="61"/>
      <c r="AM6088" s="61"/>
      <c r="AN6088" s="61"/>
      <c r="AO6088" s="61"/>
    </row>
    <row r="6089" spans="1:41" s="61" customFormat="1" x14ac:dyDescent="0.25">
      <c r="A6089" s="358"/>
      <c r="B6089" s="361"/>
      <c r="C6089" s="366"/>
      <c r="D6089" s="284" t="s">
        <v>241</v>
      </c>
      <c r="E6089" s="156" t="s">
        <v>28</v>
      </c>
      <c r="F6089" s="156" t="s">
        <v>28</v>
      </c>
      <c r="G6089" s="238">
        <f>MROUND(H6089*L6089*I6089/K6089,0.00000000001)</f>
        <v>3.8934327299999997E-3</v>
      </c>
      <c r="H6089" s="158">
        <f>H5473</f>
        <v>17</v>
      </c>
      <c r="I6089" s="159">
        <f>I6082</f>
        <v>2.0993999999999999E-2</v>
      </c>
      <c r="J6089" s="160"/>
      <c r="K6089" s="161">
        <f>K6082</f>
        <v>1100</v>
      </c>
      <c r="L6089" s="250">
        <v>12</v>
      </c>
      <c r="M6089" s="163" t="str">
        <f>CONCATENATE(H6089," ",F6089,"*",L6089,"мес.","*",I6089,"/",K6089,"чел")</f>
        <v>17 шт*12мес.*0,020994/1100чел</v>
      </c>
      <c r="N6089" s="278">
        <f>N5473</f>
        <v>342.84676470588238</v>
      </c>
      <c r="O6089" s="280">
        <f>MROUND(N6089*G6089,0.000001)</f>
        <v>1.334851</v>
      </c>
      <c r="P6089" s="166"/>
      <c r="Q6089" s="166">
        <f t="shared" si="1602"/>
        <v>1468.3361</v>
      </c>
      <c r="R6089" s="71"/>
    </row>
    <row r="6090" spans="1:41" s="61" customFormat="1" x14ac:dyDescent="0.25">
      <c r="A6090" s="358"/>
      <c r="B6090" s="361"/>
      <c r="C6090" s="366"/>
      <c r="D6090" s="284" t="s">
        <v>242</v>
      </c>
      <c r="E6090" s="156" t="s">
        <v>243</v>
      </c>
      <c r="F6090" s="156" t="s">
        <v>243</v>
      </c>
      <c r="G6090" s="238">
        <f>MROUND(H6090*L6090*I6090/K6090,0.00000000001)</f>
        <v>3.9635145163599996</v>
      </c>
      <c r="H6090" s="158">
        <f>H5474</f>
        <v>17306</v>
      </c>
      <c r="I6090" s="159">
        <f>I6089</f>
        <v>2.0993999999999999E-2</v>
      </c>
      <c r="J6090" s="160"/>
      <c r="K6090" s="161">
        <f>K6089</f>
        <v>1100</v>
      </c>
      <c r="L6090" s="250">
        <v>12</v>
      </c>
      <c r="M6090" s="163" t="str">
        <f>CONCATENATE(H6090," ",F6090,"*",L6090,"мес.","*",I6090,"/",K6090,"чел")</f>
        <v>17306 мин.*12мес.*0,020994/1100чел</v>
      </c>
      <c r="N6090" s="278">
        <f>N5474</f>
        <v>0.82090079548518802</v>
      </c>
      <c r="O6090" s="280">
        <f>MROUND(N6090*G6090,0.000000001)</f>
        <v>3.2536522190000001</v>
      </c>
      <c r="P6090" s="166"/>
      <c r="Q6090" s="166">
        <f t="shared" si="1602"/>
        <v>3579.0174409000001</v>
      </c>
      <c r="R6090" s="71"/>
    </row>
    <row r="6091" spans="1:41" s="61" customFormat="1" ht="31.5" x14ac:dyDescent="0.25">
      <c r="A6091" s="358"/>
      <c r="B6091" s="361"/>
      <c r="C6091" s="366"/>
      <c r="D6091" s="285" t="s">
        <v>244</v>
      </c>
      <c r="E6091" s="286" t="s">
        <v>245</v>
      </c>
      <c r="F6091" s="286" t="s">
        <v>247</v>
      </c>
      <c r="G6091" s="238">
        <f>MROUND(H6091*L6091*I6091/K6091,0.00000000001)</f>
        <v>1.1451272699999999E-3</v>
      </c>
      <c r="H6091" s="158">
        <f>H5475</f>
        <v>5</v>
      </c>
      <c r="I6091" s="159">
        <f>I6090</f>
        <v>2.0993999999999999E-2</v>
      </c>
      <c r="J6091" s="160"/>
      <c r="K6091" s="161">
        <f>K6090</f>
        <v>1100</v>
      </c>
      <c r="L6091" s="250">
        <v>12</v>
      </c>
      <c r="M6091" s="163" t="str">
        <f>CONCATENATE(H6091," ",F6091,"*",L6091,"мес.","*",I6091,"/",K6091,"чел")</f>
        <v>5 радиоточек*12мес.*0,020994/1100чел</v>
      </c>
      <c r="N6091" s="278">
        <f>N5475</f>
        <v>173.30166666666665</v>
      </c>
      <c r="O6091" s="280">
        <f>MROUND(N6091*G6091,0.000001)</f>
        <v>0.19845199999999999</v>
      </c>
      <c r="P6091" s="166"/>
      <c r="Q6091" s="166">
        <f t="shared" si="1602"/>
        <v>218.29719999999998</v>
      </c>
      <c r="R6091" s="71"/>
    </row>
    <row r="6092" spans="1:41" s="61" customFormat="1" ht="47.25" x14ac:dyDescent="0.25">
      <c r="A6092" s="358"/>
      <c r="B6092" s="361"/>
      <c r="C6092" s="366"/>
      <c r="D6092" s="285" t="s">
        <v>374</v>
      </c>
      <c r="E6092" s="156" t="s">
        <v>28</v>
      </c>
      <c r="F6092" s="156" t="s">
        <v>28</v>
      </c>
      <c r="G6092" s="238">
        <f>MROUND(H6092*L6092*I6092/K6092,0.00000000001)</f>
        <v>5.3439272999999997E-4</v>
      </c>
      <c r="H6092" s="158">
        <f>H5580</f>
        <v>7</v>
      </c>
      <c r="I6092" s="159">
        <f>I6090</f>
        <v>2.0993999999999999E-2</v>
      </c>
      <c r="J6092" s="160"/>
      <c r="K6092" s="161">
        <f>K6090</f>
        <v>1100</v>
      </c>
      <c r="L6092" s="250">
        <f>L5580</f>
        <v>4</v>
      </c>
      <c r="M6092" s="163" t="str">
        <f>CONCATENATE(H6092," ",F6092,"*",L6092,"мес.","*",I6092,"/",K6092,"чел/час")</f>
        <v>7 шт*4мес.*0,020994/1100чел/час</v>
      </c>
      <c r="N6092" s="278">
        <f>N5580</f>
        <v>1313.8174999999999</v>
      </c>
      <c r="O6092" s="280">
        <f>MROUND(N6092*G6092,0.000001)</f>
        <v>0.70209499999999991</v>
      </c>
      <c r="P6092" s="166"/>
      <c r="Q6092" s="166">
        <f t="shared" si="1602"/>
        <v>772.30449999999996</v>
      </c>
      <c r="R6092" s="71"/>
    </row>
    <row r="6093" spans="1:41" s="61" customFormat="1" x14ac:dyDescent="0.25">
      <c r="A6093" s="358"/>
      <c r="B6093" s="361"/>
      <c r="C6093" s="367"/>
      <c r="D6093" s="284" t="s">
        <v>246</v>
      </c>
      <c r="E6093" s="156" t="s">
        <v>28</v>
      </c>
      <c r="F6093" s="156" t="s">
        <v>28</v>
      </c>
      <c r="G6093" s="238">
        <f>MROUND(H6093*L6093*I6093/K6093,0.00000000001)</f>
        <v>1.1451272699999999E-3</v>
      </c>
      <c r="H6093" s="158">
        <v>5</v>
      </c>
      <c r="I6093" s="159">
        <f>I6091</f>
        <v>2.0993999999999999E-2</v>
      </c>
      <c r="J6093" s="160"/>
      <c r="K6093" s="161">
        <f>K6091</f>
        <v>1100</v>
      </c>
      <c r="L6093" s="250">
        <v>12</v>
      </c>
      <c r="M6093" s="163" t="str">
        <f>CONCATENATE(H6093," ",F6093,"*",L6093,"мес.","*",I6093,"/",K6093,"чел")</f>
        <v>5 шт*12мес.*0,020994/1100чел</v>
      </c>
      <c r="N6093" s="278">
        <f>N5477</f>
        <v>3016.3089999999997</v>
      </c>
      <c r="O6093" s="280">
        <f>MROUND(N6093*G6093,0.000001)</f>
        <v>3.4540579999999999</v>
      </c>
      <c r="P6093" s="166"/>
      <c r="Q6093" s="166">
        <f t="shared" si="1602"/>
        <v>3799.4638</v>
      </c>
      <c r="R6093" s="71"/>
    </row>
    <row r="6094" spans="1:41" s="109" customFormat="1" x14ac:dyDescent="0.25">
      <c r="A6094" s="358"/>
      <c r="B6094" s="361"/>
      <c r="C6094" s="218" t="s">
        <v>358</v>
      </c>
      <c r="D6094" s="287"/>
      <c r="E6094" s="287"/>
      <c r="F6094" s="287"/>
      <c r="G6094" s="288"/>
      <c r="H6094" s="214"/>
      <c r="I6094" s="206"/>
      <c r="J6094" s="214"/>
      <c r="K6094" s="207"/>
      <c r="L6094" s="215"/>
      <c r="M6094" s="289"/>
      <c r="N6094" s="281"/>
      <c r="O6094" s="279">
        <f>SUM(O6089:O6093)</f>
        <v>8.9431082189999991</v>
      </c>
      <c r="P6094" s="267"/>
      <c r="Q6094" s="166">
        <f t="shared" si="1602"/>
        <v>0</v>
      </c>
      <c r="R6094" s="71"/>
      <c r="S6094" s="62"/>
      <c r="T6094" s="62"/>
      <c r="U6094" s="62"/>
      <c r="V6094" s="62"/>
      <c r="W6094" s="62"/>
      <c r="X6094" s="62"/>
      <c r="Y6094" s="62"/>
      <c r="Z6094" s="62"/>
      <c r="AA6094" s="62"/>
      <c r="AB6094" s="62"/>
      <c r="AC6094" s="62"/>
      <c r="AD6094" s="62"/>
      <c r="AE6094" s="62"/>
      <c r="AF6094" s="62"/>
      <c r="AG6094" s="62"/>
      <c r="AH6094" s="62"/>
      <c r="AI6094" s="62"/>
      <c r="AJ6094" s="62"/>
      <c r="AK6094" s="62"/>
      <c r="AL6094" s="62"/>
      <c r="AM6094" s="62"/>
      <c r="AN6094" s="62"/>
      <c r="AO6094" s="62"/>
    </row>
    <row r="6095" spans="1:41" s="108" customFormat="1" x14ac:dyDescent="0.25">
      <c r="A6095" s="358"/>
      <c r="B6095" s="361"/>
      <c r="C6095" s="365" t="s">
        <v>366</v>
      </c>
      <c r="D6095" s="368" t="s">
        <v>67</v>
      </c>
      <c r="E6095" s="368"/>
      <c r="F6095" s="368"/>
      <c r="G6095" s="368"/>
      <c r="H6095" s="195"/>
      <c r="I6095" s="159"/>
      <c r="J6095" s="195"/>
      <c r="K6095" s="161"/>
      <c r="L6095" s="196"/>
      <c r="M6095" s="230"/>
      <c r="N6095" s="278"/>
      <c r="O6095" s="279">
        <f>O6096</f>
        <v>1.201157</v>
      </c>
      <c r="P6095" s="166"/>
      <c r="Q6095" s="166">
        <f t="shared" si="1602"/>
        <v>0</v>
      </c>
      <c r="R6095" s="71"/>
      <c r="S6095" s="61"/>
      <c r="T6095" s="61"/>
      <c r="U6095" s="61"/>
      <c r="V6095" s="61"/>
      <c r="W6095" s="61"/>
      <c r="X6095" s="61"/>
      <c r="Y6095" s="61"/>
      <c r="Z6095" s="61"/>
      <c r="AA6095" s="61"/>
      <c r="AB6095" s="61"/>
      <c r="AC6095" s="61"/>
      <c r="AD6095" s="61"/>
      <c r="AE6095" s="61"/>
      <c r="AF6095" s="61"/>
      <c r="AG6095" s="61"/>
      <c r="AH6095" s="61"/>
      <c r="AI6095" s="61"/>
      <c r="AJ6095" s="61"/>
      <c r="AK6095" s="61"/>
      <c r="AL6095" s="61"/>
      <c r="AM6095" s="61"/>
      <c r="AN6095" s="61"/>
      <c r="AO6095" s="61"/>
    </row>
    <row r="6096" spans="1:41" s="61" customFormat="1" x14ac:dyDescent="0.25">
      <c r="A6096" s="358"/>
      <c r="B6096" s="361"/>
      <c r="C6096" s="367"/>
      <c r="D6096" s="194" t="s">
        <v>367</v>
      </c>
      <c r="E6096" s="156" t="s">
        <v>28</v>
      </c>
      <c r="F6096" s="156" t="s">
        <v>28</v>
      </c>
      <c r="G6096" s="238">
        <f>MROUND(H6096*L6096*I6096/K6096,0.00000000001)</f>
        <v>4.5805090999999999E-4</v>
      </c>
      <c r="H6096" s="158">
        <f>H5480</f>
        <v>2</v>
      </c>
      <c r="I6096" s="159">
        <f>I6093</f>
        <v>2.0993999999999999E-2</v>
      </c>
      <c r="J6096" s="160"/>
      <c r="K6096" s="161">
        <f>K6093</f>
        <v>1100</v>
      </c>
      <c r="L6096" s="250">
        <v>12</v>
      </c>
      <c r="M6096" s="163" t="str">
        <f>CONCATENATE(H6096," ",F6096,"*",L6096,"мес.","*",I6096,"/",K6096,"чел")</f>
        <v>2 шт*12мес.*0,020994/1100чел</v>
      </c>
      <c r="N6096" s="278">
        <f>N5480</f>
        <v>2622.3220833333335</v>
      </c>
      <c r="O6096" s="280">
        <f>MROUND(N6096*G6096,0.000001)</f>
        <v>1.201157</v>
      </c>
      <c r="P6096" s="166"/>
      <c r="Q6096" s="166">
        <f t="shared" si="1602"/>
        <v>1321.2727</v>
      </c>
      <c r="R6096" s="71"/>
    </row>
    <row r="6097" spans="1:41" s="108" customFormat="1" x14ac:dyDescent="0.25">
      <c r="A6097" s="358"/>
      <c r="B6097" s="361"/>
      <c r="C6097" s="221"/>
      <c r="D6097" s="350" t="s">
        <v>68</v>
      </c>
      <c r="E6097" s="350"/>
      <c r="F6097" s="350"/>
      <c r="G6097" s="350"/>
      <c r="H6097" s="195"/>
      <c r="I6097" s="159"/>
      <c r="J6097" s="195"/>
      <c r="K6097" s="161"/>
      <c r="L6097" s="196"/>
      <c r="M6097" s="230"/>
      <c r="N6097" s="278"/>
      <c r="O6097" s="280"/>
      <c r="P6097" s="166"/>
      <c r="Q6097" s="166">
        <f t="shared" si="1602"/>
        <v>0</v>
      </c>
      <c r="R6097" s="71"/>
      <c r="S6097" s="61"/>
      <c r="T6097" s="61"/>
      <c r="U6097" s="61"/>
      <c r="V6097" s="61"/>
      <c r="W6097" s="61"/>
      <c r="X6097" s="61"/>
      <c r="Y6097" s="61"/>
      <c r="Z6097" s="61"/>
      <c r="AA6097" s="61"/>
      <c r="AB6097" s="61"/>
      <c r="AC6097" s="61"/>
      <c r="AD6097" s="61"/>
      <c r="AE6097" s="61"/>
      <c r="AF6097" s="61"/>
      <c r="AG6097" s="61"/>
      <c r="AH6097" s="61"/>
      <c r="AI6097" s="61"/>
      <c r="AJ6097" s="61"/>
      <c r="AK6097" s="61"/>
      <c r="AL6097" s="61"/>
      <c r="AM6097" s="61"/>
      <c r="AN6097" s="61"/>
      <c r="AO6097" s="61"/>
    </row>
    <row r="6098" spans="1:41" s="108" customFormat="1" x14ac:dyDescent="0.25">
      <c r="A6098" s="358"/>
      <c r="B6098" s="361"/>
      <c r="C6098" s="221"/>
      <c r="D6098" s="156"/>
      <c r="E6098" s="156"/>
      <c r="F6098" s="156"/>
      <c r="G6098" s="236"/>
      <c r="H6098" s="195"/>
      <c r="I6098" s="159"/>
      <c r="J6098" s="195"/>
      <c r="K6098" s="161"/>
      <c r="L6098" s="196"/>
      <c r="M6098" s="230"/>
      <c r="N6098" s="278"/>
      <c r="O6098" s="280"/>
      <c r="P6098" s="166"/>
      <c r="Q6098" s="166">
        <f t="shared" si="1602"/>
        <v>0</v>
      </c>
      <c r="R6098" s="71"/>
      <c r="S6098" s="61"/>
      <c r="T6098" s="61"/>
      <c r="U6098" s="61"/>
      <c r="V6098" s="61"/>
      <c r="W6098" s="61"/>
      <c r="X6098" s="61"/>
      <c r="Y6098" s="61"/>
      <c r="Z6098" s="61"/>
      <c r="AA6098" s="61"/>
      <c r="AB6098" s="61"/>
      <c r="AC6098" s="61"/>
      <c r="AD6098" s="61"/>
      <c r="AE6098" s="61"/>
      <c r="AF6098" s="61"/>
      <c r="AG6098" s="61"/>
      <c r="AH6098" s="61"/>
      <c r="AI6098" s="61"/>
      <c r="AJ6098" s="61"/>
      <c r="AK6098" s="61"/>
      <c r="AL6098" s="61"/>
      <c r="AM6098" s="61"/>
      <c r="AN6098" s="61"/>
      <c r="AO6098" s="61"/>
    </row>
    <row r="6099" spans="1:41" s="108" customFormat="1" x14ac:dyDescent="0.25">
      <c r="A6099" s="358"/>
      <c r="B6099" s="361"/>
      <c r="C6099" s="221"/>
      <c r="D6099" s="368" t="s">
        <v>69</v>
      </c>
      <c r="E6099" s="368"/>
      <c r="F6099" s="368"/>
      <c r="G6099" s="368"/>
      <c r="H6099" s="187"/>
      <c r="I6099" s="159"/>
      <c r="J6099" s="187"/>
      <c r="K6099" s="161"/>
      <c r="L6099" s="276"/>
      <c r="M6099" s="230"/>
      <c r="N6099" s="278"/>
      <c r="O6099" s="279">
        <f>O6106+O6122+O6125+O6138+O6139+O6140+O6151+O6153+O6157+O6154</f>
        <v>70.019696999999979</v>
      </c>
      <c r="P6099" s="166"/>
      <c r="Q6099" s="166">
        <f t="shared" si="1602"/>
        <v>0</v>
      </c>
      <c r="R6099" s="71"/>
      <c r="S6099" s="61"/>
      <c r="T6099" s="61"/>
      <c r="U6099" s="61"/>
      <c r="V6099" s="61"/>
      <c r="W6099" s="61"/>
      <c r="X6099" s="61"/>
      <c r="Y6099" s="61"/>
      <c r="Z6099" s="61"/>
      <c r="AA6099" s="61"/>
      <c r="AB6099" s="61"/>
      <c r="AC6099" s="61"/>
      <c r="AD6099" s="61"/>
      <c r="AE6099" s="61"/>
      <c r="AF6099" s="61"/>
      <c r="AG6099" s="61"/>
      <c r="AH6099" s="61"/>
      <c r="AI6099" s="61"/>
      <c r="AJ6099" s="61"/>
      <c r="AK6099" s="61"/>
      <c r="AL6099" s="61"/>
      <c r="AM6099" s="61"/>
      <c r="AN6099" s="61"/>
      <c r="AO6099" s="61"/>
    </row>
    <row r="6100" spans="1:41" s="61" customFormat="1" ht="31.5" x14ac:dyDescent="0.25">
      <c r="A6100" s="358"/>
      <c r="B6100" s="361"/>
      <c r="C6100" s="365" t="s">
        <v>78</v>
      </c>
      <c r="D6100" s="156" t="s">
        <v>26</v>
      </c>
      <c r="E6100" s="156" t="s">
        <v>22</v>
      </c>
      <c r="F6100" s="156" t="s">
        <v>22</v>
      </c>
      <c r="G6100" s="238">
        <f t="shared" ref="G6100:G6105" si="1603">MROUND(H6100*L6100*I6100/K6100,0.00000000001)</f>
        <v>1.13602580116</v>
      </c>
      <c r="H6100" s="158">
        <f>H5484</f>
        <v>4960.26</v>
      </c>
      <c r="I6100" s="159">
        <f>I6096</f>
        <v>2.0993999999999999E-2</v>
      </c>
      <c r="J6100" s="160"/>
      <c r="K6100" s="161">
        <f>K6096</f>
        <v>1100</v>
      </c>
      <c r="L6100" s="250">
        <v>12</v>
      </c>
      <c r="M6100" s="163" t="str">
        <f>CONCATENATE(H6100," ",F6100,"(обрабатываемая площадь в мес.)","*",L6100,"мес.","*",I6100,"/",K6100,"чел")</f>
        <v>4960,26 м2(обрабатываемая площадь в мес.)*12мес.*0,020994/1100чел</v>
      </c>
      <c r="N6100" s="278">
        <f>N5484</f>
        <v>1.2085483758243856</v>
      </c>
      <c r="O6100" s="280">
        <f>MROUND(N6100*G6100,0.000001)</f>
        <v>1.3729419999999999</v>
      </c>
      <c r="P6100" s="166"/>
      <c r="Q6100" s="166">
        <f t="shared" si="1602"/>
        <v>1510.2361999999998</v>
      </c>
      <c r="R6100" s="71"/>
    </row>
    <row r="6101" spans="1:41" s="61" customFormat="1" ht="31.5" x14ac:dyDescent="0.25">
      <c r="A6101" s="358"/>
      <c r="B6101" s="361"/>
      <c r="C6101" s="366"/>
      <c r="D6101" s="156" t="s">
        <v>96</v>
      </c>
      <c r="E6101" s="156" t="s">
        <v>22</v>
      </c>
      <c r="F6101" s="156" t="s">
        <v>22</v>
      </c>
      <c r="G6101" s="238">
        <f t="shared" si="1603"/>
        <v>0.62919247024999991</v>
      </c>
      <c r="H6101" s="158">
        <f>H5485</f>
        <v>2747.26</v>
      </c>
      <c r="I6101" s="298">
        <f>I6100</f>
        <v>2.0993999999999999E-2</v>
      </c>
      <c r="J6101" s="299"/>
      <c r="K6101" s="300">
        <f>K6100</f>
        <v>1100</v>
      </c>
      <c r="L6101" s="250">
        <v>12</v>
      </c>
      <c r="M6101" s="163" t="str">
        <f>CONCATENATE(H6101," ",F6101,"(обрабатываемая площадь в мес.)","*",L6101,"мес.","*",I6101,"/",K6101,"чел")</f>
        <v>2747,26 м2(обрабатываемая площадь в мес.)*12мес.*0,020994/1100чел</v>
      </c>
      <c r="N6101" s="278">
        <f>N5485</f>
        <v>1.68496671835453</v>
      </c>
      <c r="O6101" s="280">
        <f>MROUND(N6101*G6101,0.000001)</f>
        <v>1.060168</v>
      </c>
      <c r="P6101" s="166"/>
      <c r="Q6101" s="166">
        <f t="shared" si="1602"/>
        <v>1166.1848</v>
      </c>
      <c r="R6101" s="71"/>
    </row>
    <row r="6102" spans="1:41" s="135" customFormat="1" ht="31.5" x14ac:dyDescent="0.25">
      <c r="A6102" s="358"/>
      <c r="B6102" s="361"/>
      <c r="C6102" s="366"/>
      <c r="D6102" s="156" t="s">
        <v>385</v>
      </c>
      <c r="E6102" s="156" t="s">
        <v>22</v>
      </c>
      <c r="F6102" s="156" t="s">
        <v>22</v>
      </c>
      <c r="G6102" s="238">
        <f t="shared" si="1603"/>
        <v>1.2583849405099998</v>
      </c>
      <c r="H6102" s="242">
        <f>$H$2098</f>
        <v>2747.26</v>
      </c>
      <c r="I6102" s="298">
        <f>I6101</f>
        <v>2.0993999999999999E-2</v>
      </c>
      <c r="J6102" s="160"/>
      <c r="K6102" s="300">
        <f>K6101</f>
        <v>1100</v>
      </c>
      <c r="L6102" s="162">
        <v>24</v>
      </c>
      <c r="M6102" s="163" t="str">
        <f>CONCATENATE(H6102," ",F6102,"(обрабатываемая площадь в год)","*",L6102," раза в год.","*",I6102,"/",K6102,"чел.")</f>
        <v>2747,26 м2(обрабатываемая площадь в год)*24 раза в год.*0,020994/1100чел.</v>
      </c>
      <c r="N6102" s="164">
        <f>$N$5486</f>
        <v>1.8597276619856391</v>
      </c>
      <c r="O6102" s="165">
        <f>MROUND(G6102*N6102,0.000001)</f>
        <v>2.3402529999999997</v>
      </c>
      <c r="P6102" s="166"/>
      <c r="Q6102" s="166">
        <f t="shared" si="1602"/>
        <v>2574.2782999999995</v>
      </c>
      <c r="R6102" s="71"/>
      <c r="S6102" s="61"/>
      <c r="T6102" s="61"/>
      <c r="U6102" s="61"/>
      <c r="V6102" s="61"/>
      <c r="W6102" s="61"/>
      <c r="X6102" s="61"/>
      <c r="Y6102" s="61"/>
      <c r="Z6102" s="61"/>
      <c r="AA6102" s="61"/>
      <c r="AB6102" s="61"/>
      <c r="AC6102" s="61"/>
      <c r="AD6102" s="61"/>
      <c r="AE6102" s="61"/>
      <c r="AF6102" s="61"/>
      <c r="AG6102" s="61"/>
      <c r="AH6102" s="61"/>
      <c r="AI6102" s="61"/>
      <c r="AJ6102" s="61"/>
      <c r="AK6102" s="61"/>
      <c r="AL6102" s="61"/>
      <c r="AM6102" s="61"/>
      <c r="AN6102" s="61"/>
      <c r="AO6102" s="61"/>
    </row>
    <row r="6103" spans="1:41" s="135" customFormat="1" ht="31.5" x14ac:dyDescent="0.25">
      <c r="A6103" s="358"/>
      <c r="B6103" s="361"/>
      <c r="C6103" s="366"/>
      <c r="D6103" s="156" t="s">
        <v>394</v>
      </c>
      <c r="E6103" s="156" t="s">
        <v>22</v>
      </c>
      <c r="F6103" s="156" t="s">
        <v>22</v>
      </c>
      <c r="G6103" s="238">
        <f t="shared" si="1603"/>
        <v>1.13602580116</v>
      </c>
      <c r="H6103" s="243">
        <f>$H$2099</f>
        <v>4960.26</v>
      </c>
      <c r="I6103" s="298">
        <f>I6102</f>
        <v>2.0993999999999999E-2</v>
      </c>
      <c r="J6103" s="160"/>
      <c r="K6103" s="300">
        <f>K6102</f>
        <v>1100</v>
      </c>
      <c r="L6103" s="162">
        <v>12</v>
      </c>
      <c r="M6103" s="163" t="str">
        <f>CONCATENATE(H6103," ",F6103,"(обрабатываемая площадь в мес.)","*",L6103,"мес.","*",I6103,"/",K6103,"чел.")</f>
        <v>4960,26 м2(обрабатываемая площадь в мес.)*12мес.*0,020994/1100чел.</v>
      </c>
      <c r="N6103" s="164">
        <f>$N$5487</f>
        <v>0.57006991568990339</v>
      </c>
      <c r="O6103" s="165">
        <f>MROUND(G6103*N6103,0.000001)</f>
        <v>0.64761400000000002</v>
      </c>
      <c r="P6103" s="166"/>
      <c r="Q6103" s="166">
        <f t="shared" si="1602"/>
        <v>712.37540000000001</v>
      </c>
      <c r="R6103" s="71"/>
      <c r="S6103" s="61"/>
      <c r="T6103" s="61"/>
      <c r="U6103" s="61"/>
      <c r="V6103" s="61"/>
      <c r="W6103" s="61"/>
      <c r="X6103" s="61"/>
      <c r="Y6103" s="61"/>
      <c r="Z6103" s="61"/>
      <c r="AA6103" s="61"/>
      <c r="AB6103" s="61"/>
      <c r="AC6103" s="61"/>
      <c r="AD6103" s="61"/>
      <c r="AE6103" s="61"/>
      <c r="AF6103" s="61"/>
      <c r="AG6103" s="61"/>
      <c r="AH6103" s="61"/>
      <c r="AI6103" s="61"/>
      <c r="AJ6103" s="61"/>
      <c r="AK6103" s="61"/>
      <c r="AL6103" s="61"/>
      <c r="AM6103" s="61"/>
      <c r="AN6103" s="61"/>
      <c r="AO6103" s="61"/>
    </row>
    <row r="6104" spans="1:41" s="135" customFormat="1" ht="31.5" x14ac:dyDescent="0.25">
      <c r="A6104" s="358"/>
      <c r="B6104" s="361"/>
      <c r="C6104" s="366"/>
      <c r="D6104" s="156" t="s">
        <v>395</v>
      </c>
      <c r="E6104" s="156" t="s">
        <v>98</v>
      </c>
      <c r="F6104" s="156" t="s">
        <v>98</v>
      </c>
      <c r="G6104" s="238">
        <f t="shared" si="1603"/>
        <v>3.588065E-5</v>
      </c>
      <c r="H6104" s="242">
        <f>$H$2100</f>
        <v>1.8800000000000001</v>
      </c>
      <c r="I6104" s="298">
        <f>I6103</f>
        <v>2.0993999999999999E-2</v>
      </c>
      <c r="J6104" s="160"/>
      <c r="K6104" s="300">
        <f>K6103</f>
        <v>1100</v>
      </c>
      <c r="L6104" s="162">
        <v>1</v>
      </c>
      <c r="M6104" s="163" t="str">
        <f>CONCATENATE(H6104," ",F6104,"(обрабатываемая площадь в год)","*",L6104," раз в год","*",I6104,"/",K6104,"чел.")</f>
        <v>1,88 Га(обрабатываемая площадь в год)*1 раз в год*0,020994/1100чел.</v>
      </c>
      <c r="N6104" s="164">
        <f>$N$5488</f>
        <v>570.07446808510633</v>
      </c>
      <c r="O6104" s="165">
        <f>MROUND(G6104*N6104,0.000001)</f>
        <v>2.0454999999999997E-2</v>
      </c>
      <c r="P6104" s="166"/>
      <c r="Q6104" s="166">
        <f t="shared" si="1602"/>
        <v>22.500499999999999</v>
      </c>
      <c r="R6104" s="71"/>
      <c r="S6104" s="61"/>
      <c r="T6104" s="61"/>
      <c r="U6104" s="61"/>
      <c r="V6104" s="61"/>
      <c r="W6104" s="61"/>
      <c r="X6104" s="61"/>
      <c r="Y6104" s="61"/>
      <c r="Z6104" s="61"/>
      <c r="AA6104" s="61"/>
      <c r="AB6104" s="61"/>
      <c r="AC6104" s="61"/>
      <c r="AD6104" s="61"/>
      <c r="AE6104" s="61"/>
      <c r="AF6104" s="61"/>
      <c r="AG6104" s="61"/>
      <c r="AH6104" s="61"/>
      <c r="AI6104" s="61"/>
      <c r="AJ6104" s="61"/>
      <c r="AK6104" s="61"/>
      <c r="AL6104" s="61"/>
      <c r="AM6104" s="61"/>
      <c r="AN6104" s="61"/>
      <c r="AO6104" s="61"/>
    </row>
    <row r="6105" spans="1:41" s="61" customFormat="1" ht="31.5" x14ac:dyDescent="0.25">
      <c r="A6105" s="358"/>
      <c r="B6105" s="361"/>
      <c r="C6105" s="367"/>
      <c r="D6105" s="156" t="s">
        <v>97</v>
      </c>
      <c r="E6105" s="156" t="s">
        <v>363</v>
      </c>
      <c r="F6105" s="156" t="s">
        <v>363</v>
      </c>
      <c r="G6105" s="238">
        <f t="shared" si="1603"/>
        <v>3.588065E-5</v>
      </c>
      <c r="H6105" s="158">
        <f>$H$2101</f>
        <v>1.8800000000000001</v>
      </c>
      <c r="I6105" s="298">
        <f>I6101</f>
        <v>2.0993999999999999E-2</v>
      </c>
      <c r="J6105" s="299"/>
      <c r="K6105" s="300">
        <f>K6101</f>
        <v>1100</v>
      </c>
      <c r="L6105" s="250">
        <v>1</v>
      </c>
      <c r="M6105" s="163" t="str">
        <f>CONCATENATE(H6105," ",F6105,"(обрабатываемая площадь в мес.)","*",L6105,"мес.","*",I6105,"/",K6105,"чел")</f>
        <v>1,88 га(обрабатываемая площадь в мес.)*1мес.*0,020994/1100чел</v>
      </c>
      <c r="N6105" s="278">
        <f>$N$5489</f>
        <v>3102.4095744680853</v>
      </c>
      <c r="O6105" s="280">
        <f>MROUND(N6105*G6105,0.000001)</f>
        <v>0.111316</v>
      </c>
      <c r="P6105" s="166"/>
      <c r="Q6105" s="166">
        <f t="shared" si="1602"/>
        <v>122.44759999999999</v>
      </c>
      <c r="R6105" s="71"/>
    </row>
    <row r="6106" spans="1:41" s="109" customFormat="1" x14ac:dyDescent="0.25">
      <c r="A6106" s="358"/>
      <c r="B6106" s="361"/>
      <c r="C6106" s="218" t="s">
        <v>327</v>
      </c>
      <c r="D6106" s="240"/>
      <c r="E6106" s="240"/>
      <c r="F6106" s="240"/>
      <c r="G6106" s="227"/>
      <c r="H6106" s="241"/>
      <c r="I6106" s="206"/>
      <c r="J6106" s="228"/>
      <c r="K6106" s="207"/>
      <c r="L6106" s="257"/>
      <c r="M6106" s="209"/>
      <c r="N6106" s="281"/>
      <c r="O6106" s="279">
        <f>SUM(O6100:O6105)</f>
        <v>5.5527480000000002</v>
      </c>
      <c r="P6106" s="267"/>
      <c r="Q6106" s="166"/>
      <c r="R6106" s="71"/>
      <c r="S6106" s="62"/>
      <c r="T6106" s="62"/>
      <c r="U6106" s="62"/>
      <c r="V6106" s="62"/>
      <c r="W6106" s="62"/>
      <c r="X6106" s="62"/>
      <c r="Y6106" s="62"/>
      <c r="Z6106" s="62"/>
      <c r="AA6106" s="62"/>
      <c r="AB6106" s="62"/>
      <c r="AC6106" s="62"/>
      <c r="AD6106" s="62"/>
      <c r="AE6106" s="62"/>
      <c r="AF6106" s="62"/>
      <c r="AG6106" s="62"/>
      <c r="AH6106" s="62"/>
      <c r="AI6106" s="62"/>
      <c r="AJ6106" s="62"/>
      <c r="AK6106" s="62"/>
      <c r="AL6106" s="62"/>
      <c r="AM6106" s="62"/>
      <c r="AN6106" s="62"/>
      <c r="AO6106" s="62"/>
    </row>
    <row r="6107" spans="1:41" s="61" customFormat="1" x14ac:dyDescent="0.25">
      <c r="A6107" s="358"/>
      <c r="B6107" s="361"/>
      <c r="C6107" s="366" t="s">
        <v>77</v>
      </c>
      <c r="D6107" s="156" t="s">
        <v>397</v>
      </c>
      <c r="E6107" s="156" t="s">
        <v>433</v>
      </c>
      <c r="F6107" s="156" t="s">
        <v>433</v>
      </c>
      <c r="G6107" s="238">
        <f t="shared" ref="G6107:G6121" si="1604">MROUND(H6107*L6107*I6107/K6107,0.00000000001)</f>
        <v>0</v>
      </c>
      <c r="H6107" s="158"/>
      <c r="I6107" s="306">
        <f>I6101</f>
        <v>2.0993999999999999E-2</v>
      </c>
      <c r="J6107" s="307"/>
      <c r="K6107" s="308">
        <f>K6101</f>
        <v>1100</v>
      </c>
      <c r="L6107" s="162">
        <v>1</v>
      </c>
      <c r="M6107" s="163"/>
      <c r="N6107" s="278"/>
      <c r="O6107" s="280">
        <f t="shared" ref="O6107:O6118" si="1605">MROUND(N6107*G6107,0.000001)</f>
        <v>0</v>
      </c>
      <c r="P6107" s="166"/>
      <c r="Q6107" s="166">
        <f t="shared" ref="Q6107:Q6121" si="1606">O6107*K6107</f>
        <v>0</v>
      </c>
      <c r="R6107" s="71"/>
    </row>
    <row r="6108" spans="1:41" s="61" customFormat="1" ht="63" x14ac:dyDescent="0.25">
      <c r="A6108" s="358"/>
      <c r="B6108" s="361"/>
      <c r="C6108" s="366"/>
      <c r="D6108" s="156" t="s">
        <v>249</v>
      </c>
      <c r="E6108" s="156" t="s">
        <v>22</v>
      </c>
      <c r="F6108" s="156" t="s">
        <v>22</v>
      </c>
      <c r="G6108" s="238">
        <f t="shared" si="1604"/>
        <v>0.15820849374999998</v>
      </c>
      <c r="H6108" s="158">
        <f>H5492</f>
        <v>690.79</v>
      </c>
      <c r="I6108" s="159">
        <f>I6107</f>
        <v>2.0993999999999999E-2</v>
      </c>
      <c r="J6108" s="160"/>
      <c r="K6108" s="161">
        <f>K6107</f>
        <v>1100</v>
      </c>
      <c r="L6108" s="250">
        <v>12</v>
      </c>
      <c r="M6108" s="163" t="str">
        <f>CONCATENATE(H6108," ",F6108,"*",L6108,"мес.","*",I6108,"/",K6108,"чел")</f>
        <v>690,79 м2*12мес.*0,020994/1100чел</v>
      </c>
      <c r="N6108" s="278">
        <f>N5700</f>
        <v>31.700778577184575</v>
      </c>
      <c r="O6108" s="280">
        <f t="shared" si="1605"/>
        <v>5.0153319999999999</v>
      </c>
      <c r="P6108" s="166"/>
      <c r="Q6108" s="166">
        <f t="shared" si="1606"/>
        <v>5516.8652000000002</v>
      </c>
      <c r="R6108" s="71"/>
    </row>
    <row r="6109" spans="1:41" s="136" customFormat="1" x14ac:dyDescent="0.25">
      <c r="A6109" s="358"/>
      <c r="B6109" s="361"/>
      <c r="C6109" s="366"/>
      <c r="D6109" s="194" t="s">
        <v>398</v>
      </c>
      <c r="E6109" s="156" t="s">
        <v>60</v>
      </c>
      <c r="F6109" s="156" t="s">
        <v>60</v>
      </c>
      <c r="G6109" s="238">
        <f t="shared" si="1604"/>
        <v>9.5427269999999998E-5</v>
      </c>
      <c r="H6109" s="158">
        <f>$H$2105</f>
        <v>5</v>
      </c>
      <c r="I6109" s="159">
        <f>I6108</f>
        <v>2.0993999999999999E-2</v>
      </c>
      <c r="J6109" s="160"/>
      <c r="K6109" s="161">
        <f>K6108</f>
        <v>1100</v>
      </c>
      <c r="L6109" s="250">
        <v>1</v>
      </c>
      <c r="M6109" s="163" t="str">
        <f>CONCATENATE(H6109," ",F6109,"*",I6109,"/",K6109,"чел/час")</f>
        <v>5 шт.*0,020994/1100чел/час</v>
      </c>
      <c r="N6109" s="278">
        <f>$N$5493</f>
        <v>5700.7</v>
      </c>
      <c r="O6109" s="280">
        <f t="shared" si="1605"/>
        <v>0.54400199999999999</v>
      </c>
      <c r="P6109" s="166"/>
      <c r="Q6109" s="166">
        <f t="shared" si="1606"/>
        <v>598.40219999999999</v>
      </c>
      <c r="R6109" s="71"/>
      <c r="S6109" s="61"/>
      <c r="T6109" s="61"/>
      <c r="U6109" s="61"/>
      <c r="V6109" s="61"/>
      <c r="W6109" s="61"/>
      <c r="X6109" s="61"/>
      <c r="Y6109" s="61"/>
      <c r="Z6109" s="61"/>
      <c r="AA6109" s="61"/>
      <c r="AB6109" s="61"/>
      <c r="AC6109" s="61"/>
      <c r="AD6109" s="61"/>
      <c r="AE6109" s="61"/>
      <c r="AF6109" s="61"/>
      <c r="AG6109" s="61"/>
      <c r="AH6109" s="61"/>
      <c r="AI6109" s="61"/>
      <c r="AJ6109" s="61"/>
      <c r="AK6109" s="61"/>
      <c r="AL6109" s="61"/>
      <c r="AM6109" s="61"/>
      <c r="AN6109" s="61"/>
      <c r="AO6109" s="61"/>
    </row>
    <row r="6110" spans="1:41" s="136" customFormat="1" ht="63" x14ac:dyDescent="0.25">
      <c r="A6110" s="358"/>
      <c r="B6110" s="361"/>
      <c r="C6110" s="366"/>
      <c r="D6110" s="156" t="s">
        <v>33</v>
      </c>
      <c r="E6110" s="156" t="s">
        <v>56</v>
      </c>
      <c r="F6110" s="156" t="s">
        <v>220</v>
      </c>
      <c r="G6110" s="238">
        <f t="shared" si="1604"/>
        <v>9.5427269999999998E-5</v>
      </c>
      <c r="H6110" s="158">
        <f>$H$2106</f>
        <v>5</v>
      </c>
      <c r="I6110" s="159">
        <f>I6109</f>
        <v>2.0993999999999999E-2</v>
      </c>
      <c r="J6110" s="160"/>
      <c r="K6110" s="161">
        <f>K6109</f>
        <v>1100</v>
      </c>
      <c r="L6110" s="250">
        <f>$L$2106</f>
        <v>1</v>
      </c>
      <c r="M6110" s="163" t="str">
        <f>CONCATENATE(H6110," ",F6110,"*",L6110," раз в год","*",I6110,"/",K6110,"чел.")</f>
        <v>5 дымоходов*1 раз в год*0,020994/1100чел.</v>
      </c>
      <c r="N6110" s="278">
        <f>$N$5494</f>
        <v>6840.8399999999992</v>
      </c>
      <c r="O6110" s="280">
        <f t="shared" si="1605"/>
        <v>0.65280300000000002</v>
      </c>
      <c r="P6110" s="166"/>
      <c r="Q6110" s="166">
        <f t="shared" si="1606"/>
        <v>718.08330000000001</v>
      </c>
      <c r="R6110" s="71"/>
      <c r="S6110" s="61"/>
      <c r="T6110" s="61"/>
      <c r="U6110" s="61"/>
      <c r="V6110" s="61"/>
      <c r="W6110" s="61"/>
      <c r="X6110" s="61"/>
      <c r="Y6110" s="61"/>
      <c r="Z6110" s="61"/>
      <c r="AA6110" s="61"/>
      <c r="AB6110" s="61"/>
      <c r="AC6110" s="61"/>
      <c r="AD6110" s="61"/>
      <c r="AE6110" s="61"/>
      <c r="AF6110" s="61"/>
      <c r="AG6110" s="61"/>
      <c r="AH6110" s="61"/>
      <c r="AI6110" s="61"/>
      <c r="AJ6110" s="61"/>
      <c r="AK6110" s="61"/>
      <c r="AL6110" s="61"/>
      <c r="AM6110" s="61"/>
      <c r="AN6110" s="61"/>
      <c r="AO6110" s="61"/>
    </row>
    <row r="6111" spans="1:41" s="61" customFormat="1" ht="78.75" x14ac:dyDescent="0.25">
      <c r="A6111" s="358"/>
      <c r="B6111" s="361"/>
      <c r="C6111" s="366"/>
      <c r="D6111" s="156" t="s">
        <v>250</v>
      </c>
      <c r="E6111" s="156" t="s">
        <v>251</v>
      </c>
      <c r="F6111" s="156" t="s">
        <v>60</v>
      </c>
      <c r="G6111" s="238">
        <f t="shared" si="1604"/>
        <v>9.5427269999999998E-5</v>
      </c>
      <c r="H6111" s="158">
        <f>$H$2107</f>
        <v>5</v>
      </c>
      <c r="I6111" s="159">
        <f>I6108</f>
        <v>2.0993999999999999E-2</v>
      </c>
      <c r="J6111" s="160"/>
      <c r="K6111" s="161">
        <f>K6108</f>
        <v>1100</v>
      </c>
      <c r="L6111" s="250">
        <v>1</v>
      </c>
      <c r="M6111" s="163" t="str">
        <f>CONCATENATE(H6111," ",F6111,"*",I6111,"/",K6111,"чел")</f>
        <v>5 шт.*0,020994/1100чел</v>
      </c>
      <c r="N6111" s="278">
        <f t="shared" ref="N6111:N6121" si="1607">N5495</f>
        <v>4560.5600000000004</v>
      </c>
      <c r="O6111" s="280">
        <f t="shared" si="1605"/>
        <v>0.43520199999999998</v>
      </c>
      <c r="P6111" s="166"/>
      <c r="Q6111" s="166">
        <f t="shared" si="1606"/>
        <v>478.72219999999999</v>
      </c>
      <c r="R6111" s="71"/>
    </row>
    <row r="6112" spans="1:41" s="61" customFormat="1" ht="47.25" x14ac:dyDescent="0.25">
      <c r="A6112" s="358"/>
      <c r="B6112" s="361"/>
      <c r="C6112" s="366"/>
      <c r="D6112" s="156" t="s">
        <v>401</v>
      </c>
      <c r="E6112" s="156" t="s">
        <v>60</v>
      </c>
      <c r="F6112" s="156" t="s">
        <v>402</v>
      </c>
      <c r="G6112" s="238">
        <f t="shared" si="1604"/>
        <v>1.9085454999999998E-4</v>
      </c>
      <c r="H6112" s="158">
        <f>H5496</f>
        <v>5</v>
      </c>
      <c r="I6112" s="159">
        <f>I6111</f>
        <v>2.0993999999999999E-2</v>
      </c>
      <c r="J6112" s="160"/>
      <c r="K6112" s="161">
        <f>K6111</f>
        <v>1100</v>
      </c>
      <c r="L6112" s="250">
        <f>$L$2108</f>
        <v>2</v>
      </c>
      <c r="M6112" s="163" t="str">
        <f>CONCATENATE(H6112," ",F6112,"*",I6112,"/",K6112,"чел")</f>
        <v>5 противопожарных водопроводов*0,020994/1100чел</v>
      </c>
      <c r="N6112" s="278">
        <f t="shared" si="1607"/>
        <v>2850.35</v>
      </c>
      <c r="O6112" s="280">
        <f t="shared" si="1605"/>
        <v>0.54400199999999999</v>
      </c>
      <c r="P6112" s="166"/>
      <c r="Q6112" s="166">
        <f t="shared" si="1606"/>
        <v>598.40219999999999</v>
      </c>
      <c r="R6112" s="71"/>
    </row>
    <row r="6113" spans="1:41" s="61" customFormat="1" ht="47.25" x14ac:dyDescent="0.25">
      <c r="A6113" s="358"/>
      <c r="B6113" s="361"/>
      <c r="C6113" s="366"/>
      <c r="D6113" s="156" t="s">
        <v>34</v>
      </c>
      <c r="E6113" s="156" t="s">
        <v>59</v>
      </c>
      <c r="F6113" s="156" t="s">
        <v>28</v>
      </c>
      <c r="G6113" s="238">
        <f t="shared" si="1604"/>
        <v>3.8170909999999998E-5</v>
      </c>
      <c r="H6113" s="158">
        <f>H5497</f>
        <v>2</v>
      </c>
      <c r="I6113" s="159">
        <f>I6112</f>
        <v>2.0993999999999999E-2</v>
      </c>
      <c r="J6113" s="160"/>
      <c r="K6113" s="161">
        <f>K6112</f>
        <v>1100</v>
      </c>
      <c r="L6113" s="250">
        <v>1</v>
      </c>
      <c r="M6113" s="163" t="str">
        <f>CONCATENATE(H6113," ",F6113,"*",I6113,"/",K6113,"чел")</f>
        <v>2 шт*0,020994/1100чел</v>
      </c>
      <c r="N6113" s="278">
        <f t="shared" si="1607"/>
        <v>7845</v>
      </c>
      <c r="O6113" s="280">
        <f t="shared" si="1605"/>
        <v>0.29945099999999997</v>
      </c>
      <c r="P6113" s="166"/>
      <c r="Q6113" s="166">
        <f t="shared" si="1606"/>
        <v>329.39609999999999</v>
      </c>
      <c r="R6113" s="71"/>
    </row>
    <row r="6114" spans="1:41" s="61" customFormat="1" ht="47.25" x14ac:dyDescent="0.25">
      <c r="A6114" s="358"/>
      <c r="B6114" s="361"/>
      <c r="C6114" s="366"/>
      <c r="D6114" s="156" t="s">
        <v>222</v>
      </c>
      <c r="E6114" s="156" t="s">
        <v>60</v>
      </c>
      <c r="F6114" s="156" t="s">
        <v>60</v>
      </c>
      <c r="G6114" s="238">
        <f t="shared" si="1604"/>
        <v>3.8170909999999998E-5</v>
      </c>
      <c r="H6114" s="158">
        <f>H5498</f>
        <v>2</v>
      </c>
      <c r="I6114" s="159">
        <f>I6113</f>
        <v>2.0993999999999999E-2</v>
      </c>
      <c r="J6114" s="160"/>
      <c r="K6114" s="161">
        <f>K6113</f>
        <v>1100</v>
      </c>
      <c r="L6114" s="250">
        <v>1</v>
      </c>
      <c r="M6114" s="163" t="str">
        <f>CONCATENATE(H6114," ",F6114,"*",I6114,"/",K6114,"чел")</f>
        <v>2 шт.*0,020994/1100чел</v>
      </c>
      <c r="N6114" s="278">
        <f t="shared" si="1607"/>
        <v>13598</v>
      </c>
      <c r="O6114" s="280">
        <f t="shared" si="1605"/>
        <v>0.51904799999999995</v>
      </c>
      <c r="P6114" s="166"/>
      <c r="Q6114" s="166">
        <f t="shared" si="1606"/>
        <v>570.95279999999991</v>
      </c>
      <c r="R6114" s="71"/>
    </row>
    <row r="6115" spans="1:41" s="61" customFormat="1" ht="31.5" x14ac:dyDescent="0.25">
      <c r="A6115" s="358"/>
      <c r="B6115" s="361"/>
      <c r="C6115" s="366"/>
      <c r="D6115" s="156" t="s">
        <v>35</v>
      </c>
      <c r="E6115" s="156" t="s">
        <v>102</v>
      </c>
      <c r="F6115" s="156" t="s">
        <v>252</v>
      </c>
      <c r="G6115" s="238">
        <f t="shared" si="1604"/>
        <v>3.8170909999999998E-5</v>
      </c>
      <c r="H6115" s="158">
        <f>H5499</f>
        <v>2</v>
      </c>
      <c r="I6115" s="159">
        <f>I6113</f>
        <v>2.0993999999999999E-2</v>
      </c>
      <c r="J6115" s="160"/>
      <c r="K6115" s="161">
        <f>K6113</f>
        <v>1100</v>
      </c>
      <c r="L6115" s="250">
        <v>1</v>
      </c>
      <c r="M6115" s="163" t="str">
        <f>CONCATENATE(H6115," ",F6115,"*",I6115,"/",K6115,"чел")</f>
        <v>2 замера*0,020994/1100чел</v>
      </c>
      <c r="N6115" s="278">
        <f t="shared" si="1607"/>
        <v>62500</v>
      </c>
      <c r="O6115" s="280">
        <f t="shared" si="1605"/>
        <v>2.3856820000000001</v>
      </c>
      <c r="P6115" s="166"/>
      <c r="Q6115" s="166">
        <f t="shared" si="1606"/>
        <v>2624.2501999999999</v>
      </c>
      <c r="R6115" s="71"/>
    </row>
    <row r="6116" spans="1:41" s="61" customFormat="1" ht="47.25" x14ac:dyDescent="0.25">
      <c r="A6116" s="358"/>
      <c r="B6116" s="361"/>
      <c r="C6116" s="366"/>
      <c r="D6116" s="156" t="s">
        <v>399</v>
      </c>
      <c r="E6116" s="156" t="s">
        <v>60</v>
      </c>
      <c r="F6116" s="156" t="s">
        <v>60</v>
      </c>
      <c r="G6116" s="238">
        <f t="shared" si="1604"/>
        <v>7.6341817999999991E-4</v>
      </c>
      <c r="H6116" s="158">
        <f>$H$2112</f>
        <v>4</v>
      </c>
      <c r="I6116" s="159">
        <f>I6115</f>
        <v>2.0993999999999999E-2</v>
      </c>
      <c r="J6116" s="160"/>
      <c r="K6116" s="161">
        <f>K6115</f>
        <v>1100</v>
      </c>
      <c r="L6116" s="250">
        <v>10</v>
      </c>
      <c r="M6116" s="163" t="str">
        <f>CONCATENATE(H6116," ",F6116,"*",L6116,"мес.","*",I6116,"/",K6116,"чел")</f>
        <v>4 шт.*10мес.*0,020994/1100чел</v>
      </c>
      <c r="N6116" s="278">
        <f t="shared" si="1607"/>
        <v>2522.5597499999994</v>
      </c>
      <c r="O6116" s="280">
        <f t="shared" si="1605"/>
        <v>1.9257679999999999</v>
      </c>
      <c r="P6116" s="166"/>
      <c r="Q6116" s="166">
        <f t="shared" si="1606"/>
        <v>2118.3447999999999</v>
      </c>
      <c r="R6116" s="71"/>
    </row>
    <row r="6117" spans="1:41" s="61" customFormat="1" ht="47.25" x14ac:dyDescent="0.25">
      <c r="A6117" s="358"/>
      <c r="B6117" s="361"/>
      <c r="C6117" s="366"/>
      <c r="D6117" s="156" t="s">
        <v>36</v>
      </c>
      <c r="E6117" s="156" t="s">
        <v>31</v>
      </c>
      <c r="F6117" s="156" t="s">
        <v>224</v>
      </c>
      <c r="G6117" s="238">
        <f t="shared" si="1604"/>
        <v>1.83220364E-3</v>
      </c>
      <c r="H6117" s="158">
        <f>H5501</f>
        <v>8</v>
      </c>
      <c r="I6117" s="159">
        <f>I6116</f>
        <v>2.0993999999999999E-2</v>
      </c>
      <c r="J6117" s="160"/>
      <c r="K6117" s="161">
        <f>K6116</f>
        <v>1100</v>
      </c>
      <c r="L6117" s="250">
        <v>12</v>
      </c>
      <c r="M6117" s="163" t="str">
        <f>CONCATENATE(H6117," ",F6117,"*",L6117,"мес.","*",I6117,"/",K6117,"чел")</f>
        <v>8 устройств*12мес.*0,020994/1100чел</v>
      </c>
      <c r="N6117" s="278">
        <f t="shared" si="1607"/>
        <v>2301.2000000000003</v>
      </c>
      <c r="O6117" s="280">
        <f t="shared" si="1605"/>
        <v>4.2162670000000002</v>
      </c>
      <c r="P6117" s="166"/>
      <c r="Q6117" s="166">
        <f t="shared" si="1606"/>
        <v>4637.8937000000005</v>
      </c>
      <c r="R6117" s="71"/>
    </row>
    <row r="6118" spans="1:41" s="61" customFormat="1" ht="63" x14ac:dyDescent="0.25">
      <c r="A6118" s="358"/>
      <c r="B6118" s="361"/>
      <c r="C6118" s="366"/>
      <c r="D6118" s="156" t="s">
        <v>253</v>
      </c>
      <c r="E6118" s="156" t="s">
        <v>55</v>
      </c>
      <c r="F6118" s="156" t="s">
        <v>55</v>
      </c>
      <c r="G6118" s="238">
        <f t="shared" si="1604"/>
        <v>1.1451272699999999E-3</v>
      </c>
      <c r="H6118" s="158">
        <f>H5502</f>
        <v>5</v>
      </c>
      <c r="I6118" s="159">
        <f>I6117</f>
        <v>2.0993999999999999E-2</v>
      </c>
      <c r="J6118" s="160"/>
      <c r="K6118" s="161">
        <f>K6117</f>
        <v>1100</v>
      </c>
      <c r="L6118" s="250">
        <v>12</v>
      </c>
      <c r="M6118" s="163" t="str">
        <f>CONCATENATE(H6118," ",F6118,"*",I6118,"/",K6118,"чел")</f>
        <v>5 система*0,020994/1100чел</v>
      </c>
      <c r="N6118" s="278">
        <f t="shared" si="1607"/>
        <v>4446.5460000000003</v>
      </c>
      <c r="O6118" s="280">
        <f t="shared" si="1605"/>
        <v>5.0918609999999997</v>
      </c>
      <c r="P6118" s="166"/>
      <c r="Q6118" s="166">
        <f t="shared" si="1606"/>
        <v>5601.0470999999998</v>
      </c>
      <c r="R6118" s="71"/>
    </row>
    <row r="6119" spans="1:41" s="61" customFormat="1" ht="31.5" x14ac:dyDescent="0.25">
      <c r="A6119" s="358"/>
      <c r="B6119" s="361"/>
      <c r="C6119" s="366"/>
      <c r="D6119" s="156" t="s">
        <v>99</v>
      </c>
      <c r="E6119" s="156" t="s">
        <v>103</v>
      </c>
      <c r="F6119" s="156" t="s">
        <v>225</v>
      </c>
      <c r="G6119" s="238">
        <f t="shared" si="1604"/>
        <v>4.7713635999999999E-4</v>
      </c>
      <c r="H6119" s="158">
        <f>H5503</f>
        <v>25</v>
      </c>
      <c r="I6119" s="159">
        <f>I6118</f>
        <v>2.0993999999999999E-2</v>
      </c>
      <c r="J6119" s="160"/>
      <c r="K6119" s="161">
        <f>K6118</f>
        <v>1100</v>
      </c>
      <c r="L6119" s="250">
        <v>1</v>
      </c>
      <c r="M6119" s="163" t="str">
        <f>CONCATENATE(H6119," ",F6119,"*",I6119,"/",K6119,"чел.")</f>
        <v>25 ед.*0,020994/1100чел.</v>
      </c>
      <c r="N6119" s="164">
        <f t="shared" si="1607"/>
        <v>15000</v>
      </c>
      <c r="O6119" s="165">
        <f>MROUND(G6119*N6119,0.000001)</f>
        <v>7.1570450000000001</v>
      </c>
      <c r="P6119" s="166"/>
      <c r="Q6119" s="166">
        <f t="shared" si="1606"/>
        <v>7872.7494999999999</v>
      </c>
      <c r="R6119" s="71"/>
    </row>
    <row r="6120" spans="1:41" s="61" customFormat="1" x14ac:dyDescent="0.25">
      <c r="A6120" s="358"/>
      <c r="B6120" s="361"/>
      <c r="C6120" s="366"/>
      <c r="D6120" s="156" t="s">
        <v>27</v>
      </c>
      <c r="E6120" s="156" t="s">
        <v>28</v>
      </c>
      <c r="F6120" s="156" t="s">
        <v>28</v>
      </c>
      <c r="G6120" s="238">
        <f t="shared" si="1604"/>
        <v>2.8628181799999998E-3</v>
      </c>
      <c r="H6120" s="160">
        <f>H5504</f>
        <v>150</v>
      </c>
      <c r="I6120" s="159">
        <f>I6118</f>
        <v>2.0993999999999999E-2</v>
      </c>
      <c r="J6120" s="160"/>
      <c r="K6120" s="161">
        <f>K6118</f>
        <v>1100</v>
      </c>
      <c r="L6120" s="250">
        <v>1</v>
      </c>
      <c r="M6120" s="163" t="str">
        <f>CONCATENATE(H6120," ",F6120,"*",I6120,"/",K6120,"чел")</f>
        <v>150 шт*0,020994/1100чел</v>
      </c>
      <c r="N6120" s="278">
        <f t="shared" si="1607"/>
        <v>400</v>
      </c>
      <c r="O6120" s="280">
        <f t="shared" ref="O6120:O6121" si="1608">MROUND(N6120*G6120,0.000001)</f>
        <v>1.145127</v>
      </c>
      <c r="P6120" s="166"/>
      <c r="Q6120" s="166">
        <f t="shared" si="1606"/>
        <v>1259.6396999999999</v>
      </c>
      <c r="R6120" s="71"/>
    </row>
    <row r="6121" spans="1:41" s="61" customFormat="1" ht="31.5" x14ac:dyDescent="0.25">
      <c r="A6121" s="358"/>
      <c r="B6121" s="361"/>
      <c r="C6121" s="367"/>
      <c r="D6121" s="156" t="s">
        <v>104</v>
      </c>
      <c r="E6121" s="156" t="s">
        <v>105</v>
      </c>
      <c r="F6121" s="156" t="s">
        <v>226</v>
      </c>
      <c r="G6121" s="238">
        <f t="shared" si="1604"/>
        <v>9.5427269999999998E-5</v>
      </c>
      <c r="H6121" s="160">
        <f>H5505</f>
        <v>5</v>
      </c>
      <c r="I6121" s="159">
        <f>I6120</f>
        <v>2.0993999999999999E-2</v>
      </c>
      <c r="J6121" s="160"/>
      <c r="K6121" s="161">
        <f>K6120</f>
        <v>1100</v>
      </c>
      <c r="L6121" s="250">
        <v>1</v>
      </c>
      <c r="M6121" s="163" t="str">
        <f>CONCATENATE(H6121," ",F6121,"*",I6121,"/",K6121,"чел")</f>
        <v>5 отключений*0,020994/1100чел</v>
      </c>
      <c r="N6121" s="278">
        <f t="shared" si="1607"/>
        <v>9414</v>
      </c>
      <c r="O6121" s="280">
        <f t="shared" si="1608"/>
        <v>0.89835199999999993</v>
      </c>
      <c r="P6121" s="166"/>
      <c r="Q6121" s="166">
        <f t="shared" si="1606"/>
        <v>988.18719999999996</v>
      </c>
      <c r="R6121" s="71"/>
    </row>
    <row r="6122" spans="1:41" s="109" customFormat="1" x14ac:dyDescent="0.25">
      <c r="A6122" s="358"/>
      <c r="B6122" s="361"/>
      <c r="C6122" s="249" t="s">
        <v>326</v>
      </c>
      <c r="D6122" s="240"/>
      <c r="E6122" s="240"/>
      <c r="F6122" s="240"/>
      <c r="G6122" s="227"/>
      <c r="H6122" s="228"/>
      <c r="I6122" s="206"/>
      <c r="J6122" s="228"/>
      <c r="K6122" s="207"/>
      <c r="L6122" s="257"/>
      <c r="M6122" s="209"/>
      <c r="N6122" s="281"/>
      <c r="O6122" s="279">
        <f>SUM(O6107:O6121)</f>
        <v>30.829941999999999</v>
      </c>
      <c r="P6122" s="267"/>
      <c r="Q6122" s="166"/>
      <c r="R6122" s="71"/>
      <c r="S6122" s="62"/>
      <c r="T6122" s="62"/>
      <c r="U6122" s="62"/>
      <c r="V6122" s="62"/>
      <c r="W6122" s="62"/>
      <c r="X6122" s="62"/>
      <c r="Y6122" s="62"/>
      <c r="Z6122" s="62"/>
      <c r="AA6122" s="62"/>
      <c r="AB6122" s="62"/>
      <c r="AC6122" s="62"/>
      <c r="AD6122" s="62"/>
      <c r="AE6122" s="62"/>
      <c r="AF6122" s="62"/>
      <c r="AG6122" s="62"/>
      <c r="AH6122" s="62"/>
      <c r="AI6122" s="62"/>
      <c r="AJ6122" s="62"/>
      <c r="AK6122" s="62"/>
      <c r="AL6122" s="62"/>
      <c r="AM6122" s="62"/>
      <c r="AN6122" s="62"/>
      <c r="AO6122" s="62"/>
    </row>
    <row r="6123" spans="1:41" s="61" customFormat="1" ht="31.5" x14ac:dyDescent="0.25">
      <c r="A6123" s="358"/>
      <c r="B6123" s="361"/>
      <c r="C6123" s="221" t="s">
        <v>79</v>
      </c>
      <c r="D6123" s="156" t="s">
        <v>37</v>
      </c>
      <c r="E6123" s="156" t="s">
        <v>61</v>
      </c>
      <c r="F6123" s="156" t="s">
        <v>254</v>
      </c>
      <c r="G6123" s="238">
        <f>MROUND(H6123*L6123*I6123/K6123,0.00000000001)</f>
        <v>1.9085449999999999E-5</v>
      </c>
      <c r="H6123" s="158">
        <f>$H$2119</f>
        <v>1</v>
      </c>
      <c r="I6123" s="159">
        <f>I6121</f>
        <v>2.0993999999999999E-2</v>
      </c>
      <c r="J6123" s="160"/>
      <c r="K6123" s="161">
        <f>K6121</f>
        <v>1100</v>
      </c>
      <c r="L6123" s="250">
        <v>1</v>
      </c>
      <c r="M6123" s="163" t="str">
        <f>CONCATENATE(H6123," ",F6123,"*",I6123,"/",K6123,"чел")</f>
        <v>1 автобус*0,020994/1100чел</v>
      </c>
      <c r="N6123" s="278">
        <f>N5507</f>
        <v>24426.36</v>
      </c>
      <c r="O6123" s="280">
        <f>MROUND(N6123*G6123,0.000001)</f>
        <v>0.46618799999999999</v>
      </c>
      <c r="P6123" s="166"/>
      <c r="Q6123" s="166">
        <f>O6123*K6123</f>
        <v>512.80679999999995</v>
      </c>
      <c r="R6123" s="71"/>
    </row>
    <row r="6124" spans="1:41" s="61" customFormat="1" x14ac:dyDescent="0.25">
      <c r="A6124" s="358"/>
      <c r="B6124" s="361"/>
      <c r="C6124" s="221"/>
      <c r="D6124" s="156" t="s">
        <v>255</v>
      </c>
      <c r="E6124" s="156" t="s">
        <v>28</v>
      </c>
      <c r="F6124" s="156" t="s">
        <v>28</v>
      </c>
      <c r="G6124" s="238">
        <f>MROUND(H6124*L6124*I6124/K6124,0.00000000001)</f>
        <v>1.316896364E-2</v>
      </c>
      <c r="H6124" s="158">
        <f>H5508</f>
        <v>345</v>
      </c>
      <c r="I6124" s="159">
        <f>I6123</f>
        <v>2.0993999999999999E-2</v>
      </c>
      <c r="J6124" s="160"/>
      <c r="K6124" s="161">
        <f>K6123</f>
        <v>1100</v>
      </c>
      <c r="L6124" s="250">
        <v>2</v>
      </c>
      <c r="M6124" s="163" t="str">
        <f>CONCATENATE(H6124," ",F6124,"*",L6124,"раза в год","*",I6124,"/",K6124,"чел")</f>
        <v>345 шт*2раза в год*0,020994/1100чел</v>
      </c>
      <c r="N6124" s="278">
        <f>N5508</f>
        <v>456.05601449275366</v>
      </c>
      <c r="O6124" s="280">
        <f>MROUND(N6124*G6124,0.000001)</f>
        <v>6.0057849999999995</v>
      </c>
      <c r="P6124" s="166"/>
      <c r="Q6124" s="166">
        <f>O6124*K6124</f>
        <v>6606.3634999999995</v>
      </c>
      <c r="R6124" s="71"/>
    </row>
    <row r="6125" spans="1:41" s="109" customFormat="1" x14ac:dyDescent="0.25">
      <c r="A6125" s="358"/>
      <c r="B6125" s="361"/>
      <c r="C6125" s="218" t="s">
        <v>328</v>
      </c>
      <c r="D6125" s="240"/>
      <c r="E6125" s="240"/>
      <c r="F6125" s="240"/>
      <c r="G6125" s="227"/>
      <c r="H6125" s="241"/>
      <c r="I6125" s="206"/>
      <c r="J6125" s="228"/>
      <c r="K6125" s="207"/>
      <c r="L6125" s="257"/>
      <c r="M6125" s="209"/>
      <c r="N6125" s="281"/>
      <c r="O6125" s="279">
        <f>O6124+O6123</f>
        <v>6.4719729999999993</v>
      </c>
      <c r="P6125" s="267"/>
      <c r="Q6125" s="166"/>
      <c r="R6125" s="71"/>
      <c r="S6125" s="62"/>
      <c r="T6125" s="62"/>
      <c r="U6125" s="62"/>
      <c r="V6125" s="62"/>
      <c r="W6125" s="62"/>
      <c r="X6125" s="62"/>
      <c r="Y6125" s="62"/>
      <c r="Z6125" s="62"/>
      <c r="AA6125" s="62"/>
      <c r="AB6125" s="62"/>
      <c r="AC6125" s="62"/>
      <c r="AD6125" s="62"/>
      <c r="AE6125" s="62"/>
      <c r="AF6125" s="62"/>
      <c r="AG6125" s="62"/>
      <c r="AH6125" s="62"/>
      <c r="AI6125" s="62"/>
      <c r="AJ6125" s="62"/>
      <c r="AK6125" s="62"/>
      <c r="AL6125" s="62"/>
      <c r="AM6125" s="62"/>
      <c r="AN6125" s="62"/>
      <c r="AO6125" s="62"/>
    </row>
    <row r="6126" spans="1:41" s="61" customFormat="1" x14ac:dyDescent="0.25">
      <c r="A6126" s="358"/>
      <c r="B6126" s="361"/>
      <c r="C6126" s="364" t="s">
        <v>80</v>
      </c>
      <c r="D6126" s="156" t="s">
        <v>38</v>
      </c>
      <c r="E6126" s="156" t="s">
        <v>57</v>
      </c>
      <c r="F6126" s="156" t="s">
        <v>228</v>
      </c>
      <c r="G6126" s="238">
        <f t="shared" ref="G6126:G6137" si="1609">MROUND(H6126*L6126*I6126/K6126,0.00000000001)</f>
        <v>1.83220364E-3</v>
      </c>
      <c r="H6126" s="158">
        <f>H5510</f>
        <v>8</v>
      </c>
      <c r="I6126" s="159">
        <f>I6123</f>
        <v>2.0993999999999999E-2</v>
      </c>
      <c r="J6126" s="160"/>
      <c r="K6126" s="161">
        <f>K6123</f>
        <v>1100</v>
      </c>
      <c r="L6126" s="250">
        <v>12</v>
      </c>
      <c r="M6126" s="163" t="str">
        <f>CONCATENATE(H6126," ",F6126,"*",L6126,"мес.","*",I6126,"/",K6126,"чел")</f>
        <v>8 зданий*12мес.*0,020994/1100чел</v>
      </c>
      <c r="N6126" s="278">
        <f t="shared" ref="N6126:N6135" si="1610">N5510</f>
        <v>4910.5830208333327</v>
      </c>
      <c r="O6126" s="280">
        <f t="shared" ref="O6126:O6137" si="1611">MROUND(N6126*G6126,0.000001)</f>
        <v>8.9971879999999995</v>
      </c>
      <c r="P6126" s="166"/>
      <c r="Q6126" s="166">
        <f t="shared" ref="Q6126:Q6137" si="1612">O6126*K6126</f>
        <v>9896.9067999999988</v>
      </c>
      <c r="R6126" s="71"/>
    </row>
    <row r="6127" spans="1:41" s="61" customFormat="1" x14ac:dyDescent="0.25">
      <c r="A6127" s="358"/>
      <c r="B6127" s="361"/>
      <c r="C6127" s="364"/>
      <c r="D6127" s="156" t="s">
        <v>256</v>
      </c>
      <c r="E6127" s="156" t="s">
        <v>20</v>
      </c>
      <c r="F6127" s="156" t="s">
        <v>20</v>
      </c>
      <c r="G6127" s="238">
        <f t="shared" si="1609"/>
        <v>3.5689799999999998E-3</v>
      </c>
      <c r="H6127" s="158">
        <f>H5511</f>
        <v>187</v>
      </c>
      <c r="I6127" s="159">
        <f>I6124</f>
        <v>2.0993999999999999E-2</v>
      </c>
      <c r="J6127" s="160"/>
      <c r="K6127" s="161">
        <f>K6124</f>
        <v>1100</v>
      </c>
      <c r="L6127" s="250">
        <v>1</v>
      </c>
      <c r="M6127" s="163" t="str">
        <f t="shared" ref="M6127:M6133" si="1613">CONCATENATE(H6127," ",F6127,"*",I6127,"/",K6127,"чел")</f>
        <v>187 чел.*0,020994/1100чел</v>
      </c>
      <c r="N6127" s="278">
        <f t="shared" si="1610"/>
        <v>1938.2379679144385</v>
      </c>
      <c r="O6127" s="280">
        <f t="shared" si="1611"/>
        <v>6.9175329999999997</v>
      </c>
      <c r="P6127" s="166"/>
      <c r="Q6127" s="166">
        <f t="shared" si="1612"/>
        <v>7609.2862999999998</v>
      </c>
      <c r="R6127" s="71"/>
    </row>
    <row r="6128" spans="1:41" s="61" customFormat="1" ht="63" x14ac:dyDescent="0.25">
      <c r="A6128" s="358"/>
      <c r="B6128" s="361"/>
      <c r="C6128" s="364"/>
      <c r="D6128" s="156" t="s">
        <v>39</v>
      </c>
      <c r="E6128" s="156" t="s">
        <v>20</v>
      </c>
      <c r="F6128" s="156" t="s">
        <v>234</v>
      </c>
      <c r="G6128" s="238">
        <f t="shared" si="1609"/>
        <v>1.7176908999999999E-4</v>
      </c>
      <c r="H6128" s="158">
        <f>H5512</f>
        <v>9</v>
      </c>
      <c r="I6128" s="159">
        <f>I6126</f>
        <v>2.0993999999999999E-2</v>
      </c>
      <c r="J6128" s="160"/>
      <c r="K6128" s="161">
        <f>K6126</f>
        <v>1100</v>
      </c>
      <c r="L6128" s="250">
        <v>1</v>
      </c>
      <c r="M6128" s="163" t="str">
        <f t="shared" si="1613"/>
        <v>9 чел(заявленная потребность руководителями учреждений)*0,020994/1100чел</v>
      </c>
      <c r="N6128" s="278">
        <f t="shared" si="1610"/>
        <v>798.09666666666669</v>
      </c>
      <c r="O6128" s="280">
        <f t="shared" si="1611"/>
        <v>0.13708799999999999</v>
      </c>
      <c r="P6128" s="166"/>
      <c r="Q6128" s="166">
        <f t="shared" si="1612"/>
        <v>150.79679999999999</v>
      </c>
      <c r="R6128" s="71"/>
    </row>
    <row r="6129" spans="1:41" s="61" customFormat="1" ht="63" x14ac:dyDescent="0.25">
      <c r="A6129" s="358"/>
      <c r="B6129" s="361"/>
      <c r="C6129" s="364"/>
      <c r="D6129" s="156" t="s">
        <v>40</v>
      </c>
      <c r="E6129" s="156" t="s">
        <v>20</v>
      </c>
      <c r="F6129" s="156" t="s">
        <v>234</v>
      </c>
      <c r="G6129" s="238">
        <f t="shared" si="1609"/>
        <v>2.4811091E-4</v>
      </c>
      <c r="H6129" s="158">
        <f>H5513</f>
        <v>13</v>
      </c>
      <c r="I6129" s="159">
        <f t="shared" ref="I6129:I6134" si="1614">I6128</f>
        <v>2.0993999999999999E-2</v>
      </c>
      <c r="J6129" s="160"/>
      <c r="K6129" s="161">
        <f t="shared" ref="K6129:K6134" si="1615">K6128</f>
        <v>1100</v>
      </c>
      <c r="L6129" s="250">
        <v>1</v>
      </c>
      <c r="M6129" s="163" t="str">
        <f t="shared" si="1613"/>
        <v>13 чел(заявленная потребность руководителями учреждений)*0,020994/1100чел</v>
      </c>
      <c r="N6129" s="278">
        <f t="shared" si="1610"/>
        <v>1710.2100000000003</v>
      </c>
      <c r="O6129" s="280">
        <f t="shared" si="1611"/>
        <v>0.42432199999999998</v>
      </c>
      <c r="P6129" s="166"/>
      <c r="Q6129" s="166">
        <f t="shared" si="1612"/>
        <v>466.75419999999997</v>
      </c>
      <c r="R6129" s="71"/>
    </row>
    <row r="6130" spans="1:41" s="61" customFormat="1" ht="63" x14ac:dyDescent="0.25">
      <c r="A6130" s="358"/>
      <c r="B6130" s="361"/>
      <c r="C6130" s="364"/>
      <c r="D6130" s="156" t="s">
        <v>100</v>
      </c>
      <c r="E6130" s="156" t="s">
        <v>20</v>
      </c>
      <c r="F6130" s="156" t="s">
        <v>234</v>
      </c>
      <c r="G6130" s="238">
        <f t="shared" si="1609"/>
        <v>1.3359818E-4</v>
      </c>
      <c r="H6130" s="158">
        <f>H5514</f>
        <v>7</v>
      </c>
      <c r="I6130" s="159">
        <f t="shared" si="1614"/>
        <v>2.0993999999999999E-2</v>
      </c>
      <c r="J6130" s="160"/>
      <c r="K6130" s="161">
        <f t="shared" si="1615"/>
        <v>1100</v>
      </c>
      <c r="L6130" s="250">
        <v>1</v>
      </c>
      <c r="M6130" s="163" t="str">
        <f t="shared" si="1613"/>
        <v>7 чел(заявленная потребность руководителями учреждений)*0,020994/1100чел</v>
      </c>
      <c r="N6130" s="278">
        <f t="shared" si="1610"/>
        <v>3648.4471428571428</v>
      </c>
      <c r="O6130" s="280">
        <f t="shared" si="1611"/>
        <v>0.48742599999999997</v>
      </c>
      <c r="P6130" s="166"/>
      <c r="Q6130" s="166">
        <f t="shared" si="1612"/>
        <v>536.16859999999997</v>
      </c>
      <c r="R6130" s="71"/>
    </row>
    <row r="6131" spans="1:41" s="61" customFormat="1" ht="110.25" x14ac:dyDescent="0.25">
      <c r="A6131" s="358"/>
      <c r="B6131" s="361"/>
      <c r="C6131" s="364"/>
      <c r="D6131" s="156" t="s">
        <v>235</v>
      </c>
      <c r="E6131" s="156" t="s">
        <v>50</v>
      </c>
      <c r="F6131" s="156" t="s">
        <v>230</v>
      </c>
      <c r="G6131" s="238">
        <f t="shared" si="1609"/>
        <v>9.5427269999999998E-5</v>
      </c>
      <c r="H6131" s="158">
        <v>5</v>
      </c>
      <c r="I6131" s="159">
        <f t="shared" si="1614"/>
        <v>2.0993999999999999E-2</v>
      </c>
      <c r="J6131" s="160"/>
      <c r="K6131" s="161">
        <f t="shared" si="1615"/>
        <v>1100</v>
      </c>
      <c r="L6131" s="250">
        <v>1</v>
      </c>
      <c r="M6131" s="163" t="str">
        <f t="shared" si="1613"/>
        <v>5 отчетов*0,020994/1100чел</v>
      </c>
      <c r="N6131" s="278">
        <f t="shared" si="1610"/>
        <v>6840.8399999999992</v>
      </c>
      <c r="O6131" s="280">
        <f t="shared" si="1611"/>
        <v>0.65280300000000002</v>
      </c>
      <c r="P6131" s="166"/>
      <c r="Q6131" s="166">
        <f t="shared" si="1612"/>
        <v>718.08330000000001</v>
      </c>
      <c r="R6131" s="71"/>
    </row>
    <row r="6132" spans="1:41" s="61" customFormat="1" ht="63" x14ac:dyDescent="0.25">
      <c r="A6132" s="358"/>
      <c r="B6132" s="361"/>
      <c r="C6132" s="364"/>
      <c r="D6132" s="156" t="s">
        <v>42</v>
      </c>
      <c r="E6132" s="156" t="s">
        <v>51</v>
      </c>
      <c r="F6132" s="156" t="s">
        <v>407</v>
      </c>
      <c r="G6132" s="238">
        <f t="shared" si="1609"/>
        <v>4.9622182000000001E-4</v>
      </c>
      <c r="H6132" s="158">
        <f>H5516</f>
        <v>26</v>
      </c>
      <c r="I6132" s="159">
        <f t="shared" si="1614"/>
        <v>2.0993999999999999E-2</v>
      </c>
      <c r="J6132" s="160"/>
      <c r="K6132" s="161">
        <f t="shared" si="1615"/>
        <v>1100</v>
      </c>
      <c r="L6132" s="250">
        <v>1</v>
      </c>
      <c r="M6132" s="163" t="str">
        <f t="shared" si="1613"/>
        <v>26 ед (заявленная потребность руководителями учреждений)*0,020994/1100чел</v>
      </c>
      <c r="N6132" s="278">
        <f t="shared" si="1610"/>
        <v>1140.1400000000001</v>
      </c>
      <c r="O6132" s="280">
        <f t="shared" si="1611"/>
        <v>0.56576199999999999</v>
      </c>
      <c r="P6132" s="166"/>
      <c r="Q6132" s="166">
        <f t="shared" si="1612"/>
        <v>622.33820000000003</v>
      </c>
      <c r="R6132" s="71"/>
    </row>
    <row r="6133" spans="1:41" s="61" customFormat="1" ht="31.5" x14ac:dyDescent="0.25">
      <c r="A6133" s="358"/>
      <c r="B6133" s="361"/>
      <c r="C6133" s="364"/>
      <c r="D6133" s="156" t="s">
        <v>43</v>
      </c>
      <c r="E6133" s="156" t="s">
        <v>52</v>
      </c>
      <c r="F6133" s="156" t="s">
        <v>231</v>
      </c>
      <c r="G6133" s="238">
        <f t="shared" si="1609"/>
        <v>9.5427269999999998E-5</v>
      </c>
      <c r="H6133" s="158">
        <v>5</v>
      </c>
      <c r="I6133" s="159">
        <f t="shared" si="1614"/>
        <v>2.0993999999999999E-2</v>
      </c>
      <c r="J6133" s="160"/>
      <c r="K6133" s="161">
        <f t="shared" si="1615"/>
        <v>1100</v>
      </c>
      <c r="L6133" s="250">
        <v>1</v>
      </c>
      <c r="M6133" s="163" t="str">
        <f t="shared" si="1613"/>
        <v>5 ЭЦП*0,020994/1100чел</v>
      </c>
      <c r="N6133" s="278">
        <f t="shared" si="1610"/>
        <v>8099.55</v>
      </c>
      <c r="O6133" s="280">
        <f t="shared" si="1611"/>
        <v>0.77291799999999999</v>
      </c>
      <c r="P6133" s="166"/>
      <c r="Q6133" s="166">
        <f t="shared" si="1612"/>
        <v>850.20979999999997</v>
      </c>
      <c r="R6133" s="71"/>
    </row>
    <row r="6134" spans="1:41" s="61" customFormat="1" x14ac:dyDescent="0.25">
      <c r="A6134" s="358"/>
      <c r="B6134" s="361"/>
      <c r="C6134" s="364"/>
      <c r="D6134" s="156" t="s">
        <v>373</v>
      </c>
      <c r="E6134" s="156" t="s">
        <v>28</v>
      </c>
      <c r="F6134" s="156" t="s">
        <v>28</v>
      </c>
      <c r="G6134" s="238">
        <f t="shared" si="1609"/>
        <v>9.5427269999999998E-5</v>
      </c>
      <c r="H6134" s="158">
        <f>H5518</f>
        <v>5</v>
      </c>
      <c r="I6134" s="159">
        <f t="shared" si="1614"/>
        <v>2.0993999999999999E-2</v>
      </c>
      <c r="J6134" s="160"/>
      <c r="K6134" s="161">
        <f t="shared" si="1615"/>
        <v>1100</v>
      </c>
      <c r="L6134" s="250">
        <v>1</v>
      </c>
      <c r="M6134" s="163" t="str">
        <f>CONCATENATE(H6134," ",F6134,"*",I6134,"/",K6134,"чел/час")</f>
        <v>5 шт*0,020994/1100чел/час</v>
      </c>
      <c r="N6134" s="278">
        <f t="shared" si="1610"/>
        <v>24000</v>
      </c>
      <c r="O6134" s="280">
        <f t="shared" si="1611"/>
        <v>2.290254</v>
      </c>
      <c r="P6134" s="166"/>
      <c r="Q6134" s="166">
        <f t="shared" si="1612"/>
        <v>2519.2793999999999</v>
      </c>
      <c r="R6134" s="71"/>
    </row>
    <row r="6135" spans="1:41" s="61" customFormat="1" ht="63" x14ac:dyDescent="0.25">
      <c r="A6135" s="358"/>
      <c r="B6135" s="361"/>
      <c r="C6135" s="364"/>
      <c r="D6135" s="156" t="s">
        <v>45</v>
      </c>
      <c r="E6135" s="156" t="s">
        <v>53</v>
      </c>
      <c r="F6135" s="156" t="s">
        <v>257</v>
      </c>
      <c r="G6135" s="238">
        <f t="shared" si="1609"/>
        <v>2.2902544999999999E-4</v>
      </c>
      <c r="H6135" s="158">
        <v>1</v>
      </c>
      <c r="I6135" s="159">
        <f>I6133</f>
        <v>2.0993999999999999E-2</v>
      </c>
      <c r="J6135" s="160"/>
      <c r="K6135" s="161">
        <f>K6133</f>
        <v>1100</v>
      </c>
      <c r="L6135" s="250">
        <v>12</v>
      </c>
      <c r="M6135" s="163" t="str">
        <f>CONCATENATE(H6135," ",F6135,"*",L6135,"мес.","*",I6135,"/",K6135,"чел")</f>
        <v>1  машина, оборудованная системой ГЛОНАСС*12мес.*0,020994/1100чел</v>
      </c>
      <c r="N6135" s="278">
        <f t="shared" si="1610"/>
        <v>921.23333333333346</v>
      </c>
      <c r="O6135" s="280">
        <f t="shared" si="1611"/>
        <v>0.21098599999999998</v>
      </c>
      <c r="P6135" s="166"/>
      <c r="Q6135" s="166">
        <f t="shared" si="1612"/>
        <v>232.08459999999997</v>
      </c>
      <c r="R6135" s="71"/>
    </row>
    <row r="6136" spans="1:41" s="136" customFormat="1" ht="47.25" x14ac:dyDescent="0.25">
      <c r="A6136" s="358"/>
      <c r="B6136" s="361"/>
      <c r="C6136" s="364"/>
      <c r="D6136" s="156" t="s">
        <v>44</v>
      </c>
      <c r="E6136" s="156" t="s">
        <v>85</v>
      </c>
      <c r="F6136" s="156" t="s">
        <v>232</v>
      </c>
      <c r="G6136" s="238">
        <f t="shared" si="1609"/>
        <v>5.8019781799999995E-3</v>
      </c>
      <c r="H6136" s="158">
        <f>$H$2132</f>
        <v>304</v>
      </c>
      <c r="I6136" s="159">
        <f>I6135</f>
        <v>2.0993999999999999E-2</v>
      </c>
      <c r="J6136" s="160"/>
      <c r="K6136" s="161">
        <f>K6135</f>
        <v>1100</v>
      </c>
      <c r="L6136" s="250">
        <v>1</v>
      </c>
      <c r="M6136" s="163" t="str">
        <f>CONCATENATE(H6136," ",F6136,"*",L6136,"мес.","*",I6136,"/",K6136,"чел.")</f>
        <v>304 мед.осмотров в мес.*1мес.*0,020994/1100чел.</v>
      </c>
      <c r="N6136" s="278">
        <f>$N$5520</f>
        <v>59.287269736842113</v>
      </c>
      <c r="O6136" s="280">
        <f t="shared" si="1611"/>
        <v>0.34398299999999998</v>
      </c>
      <c r="P6136" s="166"/>
      <c r="Q6136" s="166">
        <f t="shared" si="1612"/>
        <v>378.38129999999995</v>
      </c>
      <c r="R6136" s="71"/>
      <c r="S6136" s="71"/>
      <c r="T6136" s="61"/>
      <c r="U6136" s="61"/>
      <c r="V6136" s="61"/>
      <c r="W6136" s="61"/>
      <c r="X6136" s="61"/>
      <c r="Y6136" s="61"/>
      <c r="Z6136" s="61"/>
      <c r="AA6136" s="61"/>
      <c r="AB6136" s="61"/>
      <c r="AC6136" s="61"/>
      <c r="AD6136" s="61"/>
      <c r="AE6136" s="61"/>
      <c r="AF6136" s="61"/>
      <c r="AG6136" s="61"/>
      <c r="AH6136" s="61"/>
      <c r="AI6136" s="61"/>
      <c r="AJ6136" s="61"/>
      <c r="AK6136" s="61"/>
      <c r="AL6136" s="61"/>
      <c r="AM6136" s="61"/>
      <c r="AN6136" s="61"/>
      <c r="AO6136" s="61"/>
    </row>
    <row r="6137" spans="1:41" s="61" customFormat="1" ht="31.5" x14ac:dyDescent="0.25">
      <c r="A6137" s="358"/>
      <c r="B6137" s="361"/>
      <c r="C6137" s="364"/>
      <c r="D6137" s="156" t="s">
        <v>408</v>
      </c>
      <c r="E6137" s="156" t="s">
        <v>20</v>
      </c>
      <c r="F6137" s="156" t="s">
        <v>20</v>
      </c>
      <c r="G6137" s="238">
        <f t="shared" si="1609"/>
        <v>0</v>
      </c>
      <c r="H6137" s="158"/>
      <c r="I6137" s="159">
        <f>I6135</f>
        <v>2.0993999999999999E-2</v>
      </c>
      <c r="J6137" s="160"/>
      <c r="K6137" s="161">
        <f>K6135</f>
        <v>1100</v>
      </c>
      <c r="L6137" s="250">
        <f>L5521</f>
        <v>1</v>
      </c>
      <c r="M6137" s="163"/>
      <c r="N6137" s="278"/>
      <c r="O6137" s="280">
        <f t="shared" si="1611"/>
        <v>0</v>
      </c>
      <c r="P6137" s="166"/>
      <c r="Q6137" s="166">
        <f t="shared" si="1612"/>
        <v>0</v>
      </c>
      <c r="R6137" s="71"/>
    </row>
    <row r="6138" spans="1:41" s="109" customFormat="1" x14ac:dyDescent="0.25">
      <c r="A6138" s="358"/>
      <c r="B6138" s="361"/>
      <c r="C6138" s="245" t="s">
        <v>329</v>
      </c>
      <c r="D6138" s="240"/>
      <c r="E6138" s="240"/>
      <c r="F6138" s="240"/>
      <c r="G6138" s="227"/>
      <c r="H6138" s="241"/>
      <c r="I6138" s="206"/>
      <c r="J6138" s="228"/>
      <c r="K6138" s="207"/>
      <c r="L6138" s="257"/>
      <c r="M6138" s="209"/>
      <c r="N6138" s="281"/>
      <c r="O6138" s="279">
        <f>SUM(O6126:O6137)</f>
        <v>21.800262999999998</v>
      </c>
      <c r="P6138" s="267"/>
      <c r="Q6138" s="166"/>
      <c r="R6138" s="71"/>
      <c r="S6138" s="62"/>
      <c r="T6138" s="62"/>
      <c r="U6138" s="62"/>
      <c r="V6138" s="62"/>
      <c r="W6138" s="62"/>
      <c r="X6138" s="62"/>
      <c r="Y6138" s="62"/>
      <c r="Z6138" s="62"/>
      <c r="AA6138" s="62"/>
      <c r="AB6138" s="62"/>
      <c r="AC6138" s="62"/>
      <c r="AD6138" s="62"/>
      <c r="AE6138" s="62"/>
      <c r="AF6138" s="62"/>
      <c r="AG6138" s="62"/>
      <c r="AH6138" s="62"/>
      <c r="AI6138" s="62"/>
      <c r="AJ6138" s="62"/>
      <c r="AK6138" s="62"/>
      <c r="AL6138" s="62"/>
      <c r="AM6138" s="62"/>
      <c r="AN6138" s="62"/>
      <c r="AO6138" s="62"/>
    </row>
    <row r="6139" spans="1:41" s="61" customFormat="1" ht="31.5" x14ac:dyDescent="0.25">
      <c r="A6139" s="358"/>
      <c r="B6139" s="361"/>
      <c r="C6139" s="252" t="s">
        <v>237</v>
      </c>
      <c r="D6139" s="156" t="s">
        <v>41</v>
      </c>
      <c r="E6139" s="156" t="s">
        <v>61</v>
      </c>
      <c r="F6139" s="156" t="s">
        <v>254</v>
      </c>
      <c r="G6139" s="238">
        <f t="shared" ref="G6139:G6150" si="1616">MROUND(H6139*L6139*I6139/K6139,0.00000000001)</f>
        <v>1.9085449999999999E-5</v>
      </c>
      <c r="H6139" s="158">
        <v>1</v>
      </c>
      <c r="I6139" s="159">
        <f>I6137</f>
        <v>2.0993999999999999E-2</v>
      </c>
      <c r="J6139" s="160"/>
      <c r="K6139" s="161">
        <f>K6137</f>
        <v>1100</v>
      </c>
      <c r="L6139" s="250">
        <v>1</v>
      </c>
      <c r="M6139" s="163" t="str">
        <f>CONCATENATE(H6139," ",F6139,"*",I6139,"/",K6139,"чел")</f>
        <v>1 автобус*0,020994/1100чел</v>
      </c>
      <c r="N6139" s="278">
        <f>N5523</f>
        <v>26907.3</v>
      </c>
      <c r="O6139" s="280">
        <f t="shared" ref="O6139:O6150" si="1617">MROUND(N6139*G6139,0.000001)</f>
        <v>0.51353799999999994</v>
      </c>
      <c r="P6139" s="166"/>
      <c r="Q6139" s="166">
        <f t="shared" ref="Q6139:Q6150" si="1618">O6139*K6139</f>
        <v>564.89179999999999</v>
      </c>
      <c r="R6139" s="71"/>
    </row>
    <row r="6140" spans="1:41" s="61" customFormat="1" ht="78.75" x14ac:dyDescent="0.25">
      <c r="A6140" s="358"/>
      <c r="B6140" s="361"/>
      <c r="C6140" s="221" t="s">
        <v>236</v>
      </c>
      <c r="D6140" s="156" t="s">
        <v>19</v>
      </c>
      <c r="E6140" s="181" t="s">
        <v>20</v>
      </c>
      <c r="F6140" s="181" t="s">
        <v>238</v>
      </c>
      <c r="G6140" s="238">
        <f t="shared" si="1616"/>
        <v>0</v>
      </c>
      <c r="H6140" s="158"/>
      <c r="I6140" s="159">
        <f>I6137</f>
        <v>2.0993999999999999E-2</v>
      </c>
      <c r="J6140" s="160"/>
      <c r="K6140" s="161">
        <f>K6137</f>
        <v>1100</v>
      </c>
      <c r="L6140" s="250"/>
      <c r="M6140" s="163"/>
      <c r="N6140" s="278"/>
      <c r="O6140" s="280">
        <f t="shared" si="1617"/>
        <v>0</v>
      </c>
      <c r="P6140" s="166"/>
      <c r="Q6140" s="166">
        <f t="shared" si="1618"/>
        <v>0</v>
      </c>
      <c r="R6140" s="71"/>
    </row>
    <row r="6141" spans="1:41" s="136" customFormat="1" ht="31.5" x14ac:dyDescent="0.25">
      <c r="A6141" s="358"/>
      <c r="B6141" s="361"/>
      <c r="C6141" s="372" t="s">
        <v>81</v>
      </c>
      <c r="D6141" s="156" t="s">
        <v>419</v>
      </c>
      <c r="E6141" s="156" t="s">
        <v>28</v>
      </c>
      <c r="F6141" s="156" t="s">
        <v>439</v>
      </c>
      <c r="G6141" s="238">
        <f t="shared" si="1616"/>
        <v>0</v>
      </c>
      <c r="H6141" s="158"/>
      <c r="I6141" s="159">
        <f>I6140</f>
        <v>2.0993999999999999E-2</v>
      </c>
      <c r="J6141" s="160"/>
      <c r="K6141" s="161">
        <f>K6140</f>
        <v>1100</v>
      </c>
      <c r="L6141" s="250">
        <v>1</v>
      </c>
      <c r="M6141" s="163"/>
      <c r="N6141" s="278"/>
      <c r="O6141" s="280">
        <f t="shared" si="1617"/>
        <v>0</v>
      </c>
      <c r="P6141" s="166"/>
      <c r="Q6141" s="166">
        <f t="shared" si="1618"/>
        <v>0</v>
      </c>
      <c r="R6141" s="71"/>
      <c r="S6141" s="61"/>
      <c r="T6141" s="71"/>
      <c r="U6141" s="61"/>
      <c r="V6141" s="61"/>
      <c r="W6141" s="61"/>
      <c r="X6141" s="61"/>
      <c r="Y6141" s="61"/>
      <c r="Z6141" s="61"/>
      <c r="AA6141" s="61"/>
      <c r="AB6141" s="61"/>
      <c r="AC6141" s="61"/>
      <c r="AD6141" s="61"/>
      <c r="AE6141" s="61"/>
      <c r="AF6141" s="61"/>
      <c r="AG6141" s="61"/>
      <c r="AH6141" s="61"/>
      <c r="AI6141" s="61"/>
      <c r="AJ6141" s="61"/>
      <c r="AK6141" s="61"/>
      <c r="AL6141" s="61"/>
      <c r="AM6141" s="61"/>
      <c r="AN6141" s="61"/>
      <c r="AO6141" s="61"/>
    </row>
    <row r="6142" spans="1:41" s="136" customFormat="1" ht="31.5" x14ac:dyDescent="0.25">
      <c r="A6142" s="358"/>
      <c r="B6142" s="361"/>
      <c r="C6142" s="373"/>
      <c r="D6142" s="156" t="s">
        <v>425</v>
      </c>
      <c r="E6142" s="156" t="s">
        <v>28</v>
      </c>
      <c r="F6142" s="156" t="s">
        <v>439</v>
      </c>
      <c r="G6142" s="238">
        <f t="shared" si="1616"/>
        <v>0</v>
      </c>
      <c r="H6142" s="158"/>
      <c r="I6142" s="159">
        <f t="shared" ref="I6142:I6150" si="1619">I6141</f>
        <v>2.0993999999999999E-2</v>
      </c>
      <c r="J6142" s="160"/>
      <c r="K6142" s="161">
        <f t="shared" ref="K6142:K6150" si="1620">K6141</f>
        <v>1100</v>
      </c>
      <c r="L6142" s="250">
        <v>1</v>
      </c>
      <c r="M6142" s="163"/>
      <c r="N6142" s="278"/>
      <c r="O6142" s="280">
        <f t="shared" si="1617"/>
        <v>0</v>
      </c>
      <c r="P6142" s="166"/>
      <c r="Q6142" s="166">
        <f t="shared" si="1618"/>
        <v>0</v>
      </c>
      <c r="R6142" s="71"/>
      <c r="S6142" s="61"/>
      <c r="T6142" s="71"/>
      <c r="U6142" s="61"/>
      <c r="V6142" s="61"/>
      <c r="W6142" s="61"/>
      <c r="X6142" s="61"/>
      <c r="Y6142" s="61"/>
      <c r="Z6142" s="61"/>
      <c r="AA6142" s="61"/>
      <c r="AB6142" s="61"/>
      <c r="AC6142" s="61"/>
      <c r="AD6142" s="61"/>
      <c r="AE6142" s="61"/>
      <c r="AF6142" s="61"/>
      <c r="AG6142" s="61"/>
      <c r="AH6142" s="61"/>
      <c r="AI6142" s="61"/>
      <c r="AJ6142" s="61"/>
      <c r="AK6142" s="61"/>
      <c r="AL6142" s="61"/>
      <c r="AM6142" s="61"/>
      <c r="AN6142" s="61"/>
      <c r="AO6142" s="61"/>
    </row>
    <row r="6143" spans="1:41" s="136" customFormat="1" ht="31.5" x14ac:dyDescent="0.25">
      <c r="A6143" s="358"/>
      <c r="B6143" s="361"/>
      <c r="C6143" s="373"/>
      <c r="D6143" s="156" t="s">
        <v>426</v>
      </c>
      <c r="E6143" s="156" t="s">
        <v>28</v>
      </c>
      <c r="F6143" s="156" t="s">
        <v>439</v>
      </c>
      <c r="G6143" s="238">
        <f t="shared" si="1616"/>
        <v>0</v>
      </c>
      <c r="H6143" s="158"/>
      <c r="I6143" s="159">
        <f t="shared" si="1619"/>
        <v>2.0993999999999999E-2</v>
      </c>
      <c r="J6143" s="160"/>
      <c r="K6143" s="161">
        <f t="shared" si="1620"/>
        <v>1100</v>
      </c>
      <c r="L6143" s="250">
        <v>1</v>
      </c>
      <c r="M6143" s="163"/>
      <c r="N6143" s="278"/>
      <c r="O6143" s="280">
        <f t="shared" si="1617"/>
        <v>0</v>
      </c>
      <c r="P6143" s="166"/>
      <c r="Q6143" s="166">
        <f t="shared" si="1618"/>
        <v>0</v>
      </c>
      <c r="R6143" s="71"/>
      <c r="S6143" s="61"/>
      <c r="T6143" s="71"/>
      <c r="U6143" s="61"/>
      <c r="V6143" s="61"/>
      <c r="W6143" s="61"/>
      <c r="X6143" s="61"/>
      <c r="Y6143" s="61"/>
      <c r="Z6143" s="61"/>
      <c r="AA6143" s="61"/>
      <c r="AB6143" s="61"/>
      <c r="AC6143" s="61"/>
      <c r="AD6143" s="61"/>
      <c r="AE6143" s="61"/>
      <c r="AF6143" s="61"/>
      <c r="AG6143" s="61"/>
      <c r="AH6143" s="61"/>
      <c r="AI6143" s="61"/>
      <c r="AJ6143" s="61"/>
      <c r="AK6143" s="61"/>
      <c r="AL6143" s="61"/>
      <c r="AM6143" s="61"/>
      <c r="AN6143" s="61"/>
      <c r="AO6143" s="61"/>
    </row>
    <row r="6144" spans="1:41" s="136" customFormat="1" ht="31.5" x14ac:dyDescent="0.25">
      <c r="A6144" s="358"/>
      <c r="B6144" s="361"/>
      <c r="C6144" s="373"/>
      <c r="D6144" s="156" t="s">
        <v>427</v>
      </c>
      <c r="E6144" s="156" t="s">
        <v>28</v>
      </c>
      <c r="F6144" s="156" t="s">
        <v>439</v>
      </c>
      <c r="G6144" s="238">
        <f t="shared" si="1616"/>
        <v>0</v>
      </c>
      <c r="H6144" s="158"/>
      <c r="I6144" s="159">
        <f t="shared" si="1619"/>
        <v>2.0993999999999999E-2</v>
      </c>
      <c r="J6144" s="160"/>
      <c r="K6144" s="161">
        <f t="shared" si="1620"/>
        <v>1100</v>
      </c>
      <c r="L6144" s="250">
        <v>1</v>
      </c>
      <c r="M6144" s="163"/>
      <c r="N6144" s="278"/>
      <c r="O6144" s="280">
        <f t="shared" si="1617"/>
        <v>0</v>
      </c>
      <c r="P6144" s="166"/>
      <c r="Q6144" s="166">
        <f t="shared" si="1618"/>
        <v>0</v>
      </c>
      <c r="R6144" s="71"/>
      <c r="S6144" s="61"/>
      <c r="T6144" s="71"/>
      <c r="U6144" s="61"/>
      <c r="V6144" s="61"/>
      <c r="W6144" s="61"/>
      <c r="X6144" s="61"/>
      <c r="Y6144" s="61"/>
      <c r="Z6144" s="61"/>
      <c r="AA6144" s="61"/>
      <c r="AB6144" s="61"/>
      <c r="AC6144" s="61"/>
      <c r="AD6144" s="61"/>
      <c r="AE6144" s="61"/>
      <c r="AF6144" s="61"/>
      <c r="AG6144" s="61"/>
      <c r="AH6144" s="61"/>
      <c r="AI6144" s="61"/>
      <c r="AJ6144" s="61"/>
      <c r="AK6144" s="61"/>
      <c r="AL6144" s="61"/>
      <c r="AM6144" s="61"/>
      <c r="AN6144" s="61"/>
      <c r="AO6144" s="61"/>
    </row>
    <row r="6145" spans="1:41" s="136" customFormat="1" ht="31.5" x14ac:dyDescent="0.25">
      <c r="A6145" s="358"/>
      <c r="B6145" s="361"/>
      <c r="C6145" s="373"/>
      <c r="D6145" s="156" t="s">
        <v>428</v>
      </c>
      <c r="E6145" s="156" t="s">
        <v>28</v>
      </c>
      <c r="F6145" s="156" t="s">
        <v>439</v>
      </c>
      <c r="G6145" s="238">
        <f t="shared" si="1616"/>
        <v>0</v>
      </c>
      <c r="H6145" s="158"/>
      <c r="I6145" s="159">
        <f t="shared" si="1619"/>
        <v>2.0993999999999999E-2</v>
      </c>
      <c r="J6145" s="160"/>
      <c r="K6145" s="161">
        <f t="shared" si="1620"/>
        <v>1100</v>
      </c>
      <c r="L6145" s="250">
        <v>1</v>
      </c>
      <c r="M6145" s="163"/>
      <c r="N6145" s="278"/>
      <c r="O6145" s="280">
        <f t="shared" si="1617"/>
        <v>0</v>
      </c>
      <c r="P6145" s="166"/>
      <c r="Q6145" s="166">
        <f t="shared" si="1618"/>
        <v>0</v>
      </c>
      <c r="R6145" s="71"/>
      <c r="S6145" s="61"/>
      <c r="T6145" s="71"/>
      <c r="U6145" s="61"/>
      <c r="V6145" s="61"/>
      <c r="W6145" s="61"/>
      <c r="X6145" s="61"/>
      <c r="Y6145" s="61"/>
      <c r="Z6145" s="61"/>
      <c r="AA6145" s="61"/>
      <c r="AB6145" s="61"/>
      <c r="AC6145" s="61"/>
      <c r="AD6145" s="61"/>
      <c r="AE6145" s="61"/>
      <c r="AF6145" s="61"/>
      <c r="AG6145" s="61"/>
      <c r="AH6145" s="61"/>
      <c r="AI6145" s="61"/>
      <c r="AJ6145" s="61"/>
      <c r="AK6145" s="61"/>
      <c r="AL6145" s="61"/>
      <c r="AM6145" s="61"/>
      <c r="AN6145" s="61"/>
      <c r="AO6145" s="61"/>
    </row>
    <row r="6146" spans="1:41" s="136" customFormat="1" ht="31.5" x14ac:dyDescent="0.25">
      <c r="A6146" s="358"/>
      <c r="B6146" s="361"/>
      <c r="C6146" s="373"/>
      <c r="D6146" s="156" t="s">
        <v>429</v>
      </c>
      <c r="E6146" s="156" t="s">
        <v>28</v>
      </c>
      <c r="F6146" s="156" t="s">
        <v>439</v>
      </c>
      <c r="G6146" s="238">
        <f t="shared" si="1616"/>
        <v>0</v>
      </c>
      <c r="H6146" s="158"/>
      <c r="I6146" s="159">
        <f t="shared" si="1619"/>
        <v>2.0993999999999999E-2</v>
      </c>
      <c r="J6146" s="160"/>
      <c r="K6146" s="161">
        <f t="shared" si="1620"/>
        <v>1100</v>
      </c>
      <c r="L6146" s="250">
        <v>1</v>
      </c>
      <c r="M6146" s="163"/>
      <c r="N6146" s="278"/>
      <c r="O6146" s="280">
        <f t="shared" si="1617"/>
        <v>0</v>
      </c>
      <c r="P6146" s="166"/>
      <c r="Q6146" s="166">
        <f t="shared" si="1618"/>
        <v>0</v>
      </c>
      <c r="R6146" s="71"/>
      <c r="S6146" s="61"/>
      <c r="T6146" s="71"/>
      <c r="U6146" s="61"/>
      <c r="V6146" s="61"/>
      <c r="W6146" s="61"/>
      <c r="X6146" s="61"/>
      <c r="Y6146" s="61"/>
      <c r="Z6146" s="61"/>
      <c r="AA6146" s="61"/>
      <c r="AB6146" s="61"/>
      <c r="AC6146" s="61"/>
      <c r="AD6146" s="61"/>
      <c r="AE6146" s="61"/>
      <c r="AF6146" s="61"/>
      <c r="AG6146" s="61"/>
      <c r="AH6146" s="61"/>
      <c r="AI6146" s="61"/>
      <c r="AJ6146" s="61"/>
      <c r="AK6146" s="61"/>
      <c r="AL6146" s="61"/>
      <c r="AM6146" s="61"/>
      <c r="AN6146" s="61"/>
      <c r="AO6146" s="61"/>
    </row>
    <row r="6147" spans="1:41" s="136" customFormat="1" ht="31.5" x14ac:dyDescent="0.25">
      <c r="A6147" s="358"/>
      <c r="B6147" s="361"/>
      <c r="C6147" s="373"/>
      <c r="D6147" s="156" t="s">
        <v>110</v>
      </c>
      <c r="E6147" s="156" t="s">
        <v>28</v>
      </c>
      <c r="F6147" s="156" t="s">
        <v>439</v>
      </c>
      <c r="G6147" s="238">
        <f t="shared" si="1616"/>
        <v>0</v>
      </c>
      <c r="H6147" s="158"/>
      <c r="I6147" s="159">
        <f t="shared" si="1619"/>
        <v>2.0993999999999999E-2</v>
      </c>
      <c r="J6147" s="160"/>
      <c r="K6147" s="161">
        <f t="shared" si="1620"/>
        <v>1100</v>
      </c>
      <c r="L6147" s="250">
        <v>1</v>
      </c>
      <c r="M6147" s="163"/>
      <c r="N6147" s="278"/>
      <c r="O6147" s="280">
        <f t="shared" si="1617"/>
        <v>0</v>
      </c>
      <c r="P6147" s="166"/>
      <c r="Q6147" s="166">
        <f t="shared" si="1618"/>
        <v>0</v>
      </c>
      <c r="R6147" s="71"/>
      <c r="S6147" s="61"/>
      <c r="T6147" s="71"/>
      <c r="U6147" s="61"/>
      <c r="V6147" s="61"/>
      <c r="W6147" s="61"/>
      <c r="X6147" s="61"/>
      <c r="Y6147" s="61"/>
      <c r="Z6147" s="61"/>
      <c r="AA6147" s="61"/>
      <c r="AB6147" s="61"/>
      <c r="AC6147" s="61"/>
      <c r="AD6147" s="61"/>
      <c r="AE6147" s="61"/>
      <c r="AF6147" s="61"/>
      <c r="AG6147" s="61"/>
      <c r="AH6147" s="61"/>
      <c r="AI6147" s="61"/>
      <c r="AJ6147" s="61"/>
      <c r="AK6147" s="61"/>
      <c r="AL6147" s="61"/>
      <c r="AM6147" s="61"/>
      <c r="AN6147" s="61"/>
      <c r="AO6147" s="61"/>
    </row>
    <row r="6148" spans="1:41" s="136" customFormat="1" ht="31.5" x14ac:dyDescent="0.25">
      <c r="A6148" s="358"/>
      <c r="B6148" s="361"/>
      <c r="C6148" s="373"/>
      <c r="D6148" s="156" t="s">
        <v>112</v>
      </c>
      <c r="E6148" s="156" t="s">
        <v>28</v>
      </c>
      <c r="F6148" s="156" t="s">
        <v>439</v>
      </c>
      <c r="G6148" s="238">
        <f t="shared" si="1616"/>
        <v>0</v>
      </c>
      <c r="H6148" s="158"/>
      <c r="I6148" s="159">
        <f t="shared" si="1619"/>
        <v>2.0993999999999999E-2</v>
      </c>
      <c r="J6148" s="160"/>
      <c r="K6148" s="161">
        <f t="shared" si="1620"/>
        <v>1100</v>
      </c>
      <c r="L6148" s="250">
        <v>1</v>
      </c>
      <c r="M6148" s="163"/>
      <c r="N6148" s="278"/>
      <c r="O6148" s="280">
        <f t="shared" si="1617"/>
        <v>0</v>
      </c>
      <c r="P6148" s="166"/>
      <c r="Q6148" s="166">
        <f t="shared" si="1618"/>
        <v>0</v>
      </c>
      <c r="R6148" s="71"/>
      <c r="S6148" s="61"/>
      <c r="T6148" s="71"/>
      <c r="U6148" s="61"/>
      <c r="V6148" s="61"/>
      <c r="W6148" s="61"/>
      <c r="X6148" s="61"/>
      <c r="Y6148" s="61"/>
      <c r="Z6148" s="61"/>
      <c r="AA6148" s="61"/>
      <c r="AB6148" s="61"/>
      <c r="AC6148" s="61"/>
      <c r="AD6148" s="61"/>
      <c r="AE6148" s="61"/>
      <c r="AF6148" s="61"/>
      <c r="AG6148" s="61"/>
      <c r="AH6148" s="61"/>
      <c r="AI6148" s="61"/>
      <c r="AJ6148" s="61"/>
      <c r="AK6148" s="61"/>
      <c r="AL6148" s="61"/>
      <c r="AM6148" s="61"/>
      <c r="AN6148" s="61"/>
      <c r="AO6148" s="61"/>
    </row>
    <row r="6149" spans="1:41" s="136" customFormat="1" ht="31.5" x14ac:dyDescent="0.25">
      <c r="A6149" s="358"/>
      <c r="B6149" s="361"/>
      <c r="C6149" s="373"/>
      <c r="D6149" s="156" t="s">
        <v>111</v>
      </c>
      <c r="E6149" s="156" t="s">
        <v>28</v>
      </c>
      <c r="F6149" s="156" t="s">
        <v>439</v>
      </c>
      <c r="G6149" s="238">
        <f t="shared" si="1616"/>
        <v>0</v>
      </c>
      <c r="H6149" s="158"/>
      <c r="I6149" s="159">
        <f t="shared" si="1619"/>
        <v>2.0993999999999999E-2</v>
      </c>
      <c r="J6149" s="160"/>
      <c r="K6149" s="161">
        <f t="shared" si="1620"/>
        <v>1100</v>
      </c>
      <c r="L6149" s="250">
        <v>1</v>
      </c>
      <c r="M6149" s="163"/>
      <c r="N6149" s="278"/>
      <c r="O6149" s="280">
        <f t="shared" si="1617"/>
        <v>0</v>
      </c>
      <c r="P6149" s="166"/>
      <c r="Q6149" s="166">
        <f t="shared" si="1618"/>
        <v>0</v>
      </c>
      <c r="R6149" s="71"/>
      <c r="S6149" s="61"/>
      <c r="T6149" s="71"/>
      <c r="U6149" s="61"/>
      <c r="V6149" s="61"/>
      <c r="W6149" s="61"/>
      <c r="X6149" s="61"/>
      <c r="Y6149" s="61"/>
      <c r="Z6149" s="61"/>
      <c r="AA6149" s="61"/>
      <c r="AB6149" s="61"/>
      <c r="AC6149" s="61"/>
      <c r="AD6149" s="61"/>
      <c r="AE6149" s="61"/>
      <c r="AF6149" s="61"/>
      <c r="AG6149" s="61"/>
      <c r="AH6149" s="61"/>
      <c r="AI6149" s="61"/>
      <c r="AJ6149" s="61"/>
      <c r="AK6149" s="61"/>
      <c r="AL6149" s="61"/>
      <c r="AM6149" s="61"/>
      <c r="AN6149" s="61"/>
      <c r="AO6149" s="61"/>
    </row>
    <row r="6150" spans="1:41" s="136" customFormat="1" ht="31.5" x14ac:dyDescent="0.25">
      <c r="A6150" s="358"/>
      <c r="B6150" s="361"/>
      <c r="C6150" s="374"/>
      <c r="D6150" s="156" t="s">
        <v>438</v>
      </c>
      <c r="E6150" s="156" t="s">
        <v>28</v>
      </c>
      <c r="F6150" s="156" t="s">
        <v>439</v>
      </c>
      <c r="G6150" s="238">
        <f t="shared" si="1616"/>
        <v>0</v>
      </c>
      <c r="H6150" s="158"/>
      <c r="I6150" s="159">
        <f t="shared" si="1619"/>
        <v>2.0993999999999999E-2</v>
      </c>
      <c r="J6150" s="160"/>
      <c r="K6150" s="161">
        <f t="shared" si="1620"/>
        <v>1100</v>
      </c>
      <c r="L6150" s="250">
        <v>1</v>
      </c>
      <c r="M6150" s="163"/>
      <c r="N6150" s="278"/>
      <c r="O6150" s="280">
        <f t="shared" si="1617"/>
        <v>0</v>
      </c>
      <c r="P6150" s="166"/>
      <c r="Q6150" s="166">
        <f t="shared" si="1618"/>
        <v>0</v>
      </c>
      <c r="R6150" s="71"/>
      <c r="S6150" s="61"/>
      <c r="T6150" s="71"/>
      <c r="U6150" s="61"/>
      <c r="V6150" s="61"/>
      <c r="W6150" s="61"/>
      <c r="X6150" s="61"/>
      <c r="Y6150" s="61"/>
      <c r="Z6150" s="61"/>
      <c r="AA6150" s="61"/>
      <c r="AB6150" s="61"/>
      <c r="AC6150" s="61"/>
      <c r="AD6150" s="61"/>
      <c r="AE6150" s="61"/>
      <c r="AF6150" s="61"/>
      <c r="AG6150" s="61"/>
      <c r="AH6150" s="61"/>
      <c r="AI6150" s="61"/>
      <c r="AJ6150" s="61"/>
      <c r="AK6150" s="61"/>
      <c r="AL6150" s="61"/>
      <c r="AM6150" s="61"/>
      <c r="AN6150" s="61"/>
      <c r="AO6150" s="61"/>
    </row>
    <row r="6151" spans="1:41" s="61" customFormat="1" x14ac:dyDescent="0.25">
      <c r="A6151" s="358"/>
      <c r="B6151" s="361"/>
      <c r="C6151" s="245" t="s">
        <v>299</v>
      </c>
      <c r="D6151" s="240"/>
      <c r="E6151" s="240"/>
      <c r="F6151" s="181"/>
      <c r="G6151" s="227"/>
      <c r="H6151" s="241"/>
      <c r="I6151" s="206"/>
      <c r="J6151" s="228"/>
      <c r="K6151" s="207"/>
      <c r="L6151" s="257"/>
      <c r="M6151" s="209"/>
      <c r="N6151" s="290"/>
      <c r="O6151" s="279">
        <f>SUM(O6139:O6150)</f>
        <v>0.51353799999999994</v>
      </c>
      <c r="P6151" s="166"/>
      <c r="Q6151" s="166">
        <f>O6151*K6151</f>
        <v>0</v>
      </c>
      <c r="R6151" s="71"/>
    </row>
    <row r="6152" spans="1:41" s="61" customFormat="1" ht="47.25" x14ac:dyDescent="0.25">
      <c r="A6152" s="358"/>
      <c r="B6152" s="361"/>
      <c r="C6152" s="221" t="s">
        <v>434</v>
      </c>
      <c r="D6152" s="156" t="s">
        <v>436</v>
      </c>
      <c r="E6152" s="156" t="s">
        <v>28</v>
      </c>
      <c r="F6152" s="156" t="s">
        <v>437</v>
      </c>
      <c r="G6152" s="238">
        <f>MROUND(H6152*L6152*I6152/K6152,0.00000000001)</f>
        <v>4.9622182000000001E-4</v>
      </c>
      <c r="H6152" s="242">
        <f>$H$2148</f>
        <v>26</v>
      </c>
      <c r="I6152" s="159">
        <f>I6150</f>
        <v>2.0993999999999999E-2</v>
      </c>
      <c r="J6152" s="160"/>
      <c r="K6152" s="161">
        <f>K6150</f>
        <v>1100</v>
      </c>
      <c r="L6152" s="162">
        <v>1</v>
      </c>
      <c r="M6152" s="163" t="str">
        <f>CONCATENATE(H6152," ",F6152,"*",I6152,"/",K6152,"чел.")</f>
        <v>26 огнетушителей (потребность учреждений) *0,020994/1100чел.</v>
      </c>
      <c r="N6152" s="164">
        <f>$N$5536</f>
        <v>2280.2800000000002</v>
      </c>
      <c r="O6152" s="165">
        <f>MROUND(G6152*N6152,0.000001)</f>
        <v>1.1315249999999999</v>
      </c>
      <c r="P6152" s="166"/>
      <c r="Q6152" s="166">
        <f>O6152*K6152</f>
        <v>1244.6774999999998</v>
      </c>
      <c r="R6152" s="71"/>
    </row>
    <row r="6153" spans="1:41" s="61" customFormat="1" x14ac:dyDescent="0.25">
      <c r="A6153" s="358"/>
      <c r="B6153" s="361"/>
      <c r="C6153" s="218" t="s">
        <v>435</v>
      </c>
      <c r="D6153" s="240"/>
      <c r="E6153" s="240"/>
      <c r="F6153" s="240"/>
      <c r="G6153" s="251"/>
      <c r="H6153" s="241"/>
      <c r="I6153" s="206"/>
      <c r="J6153" s="228"/>
      <c r="K6153" s="207"/>
      <c r="L6153" s="229"/>
      <c r="M6153" s="209"/>
      <c r="N6153" s="210"/>
      <c r="O6153" s="198">
        <f>SUM(O6152)</f>
        <v>1.1315249999999999</v>
      </c>
      <c r="P6153" s="166"/>
      <c r="Q6153" s="166"/>
      <c r="R6153" s="71"/>
    </row>
    <row r="6154" spans="1:41" s="61" customFormat="1" ht="110.25" x14ac:dyDescent="0.25">
      <c r="A6154" s="358"/>
      <c r="B6154" s="361"/>
      <c r="C6154" s="221" t="s">
        <v>82</v>
      </c>
      <c r="D6154" s="156" t="s">
        <v>46</v>
      </c>
      <c r="E6154" s="156" t="s">
        <v>54</v>
      </c>
      <c r="F6154" s="156" t="s">
        <v>285</v>
      </c>
      <c r="G6154" s="238">
        <f>MROUND(H6154*L6154*I6154/K6154,0.00000000001)</f>
        <v>4.7967525439999999E-2</v>
      </c>
      <c r="H6154" s="158">
        <f>H5848</f>
        <v>228.48206839032525</v>
      </c>
      <c r="I6154" s="159">
        <f>I6140</f>
        <v>2.0993999999999999E-2</v>
      </c>
      <c r="J6154" s="160"/>
      <c r="K6154" s="161">
        <f>K6140</f>
        <v>1100</v>
      </c>
      <c r="L6154" s="250">
        <f>$L$2150</f>
        <v>11</v>
      </c>
      <c r="M6154" s="163" t="str">
        <f>CONCATENATE(H6154," ",F6154,"*",L6154,"автобус","*",I6154,"/",K6154,"чел")</f>
        <v>228,482068390325 л бензина АИ 92 (12,5л/день(зимой)*20дней*7мес+10л/день(летом)*20дней*4мес)*11автобус*0,020994/1100чел</v>
      </c>
      <c r="N6154" s="278">
        <f>$N$5538</f>
        <v>57.007000000000005</v>
      </c>
      <c r="O6154" s="280">
        <f t="shared" ref="O6154:O6156" si="1621">MROUND(N6154*G6154,0.000001)</f>
        <v>2.7344849999999998</v>
      </c>
      <c r="P6154" s="166"/>
      <c r="Q6154" s="166">
        <f>O6154*K6154</f>
        <v>3007.9334999999996</v>
      </c>
      <c r="R6154" s="71"/>
    </row>
    <row r="6155" spans="1:41" s="61" customFormat="1" ht="47.25" x14ac:dyDescent="0.25">
      <c r="A6155" s="358"/>
      <c r="B6155" s="361"/>
      <c r="C6155" s="364" t="s">
        <v>118</v>
      </c>
      <c r="D6155" s="156" t="s">
        <v>47</v>
      </c>
      <c r="E6155" s="156" t="s">
        <v>28</v>
      </c>
      <c r="F6155" s="156" t="s">
        <v>239</v>
      </c>
      <c r="G6155" s="238">
        <f>MROUND(H6155*L6155*I6155/K6155,0.00000000001)</f>
        <v>3.8170908999999995E-4</v>
      </c>
      <c r="H6155" s="158">
        <f>H5539</f>
        <v>20</v>
      </c>
      <c r="I6155" s="159">
        <f>I6154</f>
        <v>2.0993999999999999E-2</v>
      </c>
      <c r="J6155" s="160"/>
      <c r="K6155" s="161">
        <f>K6154</f>
        <v>1100</v>
      </c>
      <c r="L6155" s="250">
        <v>1</v>
      </c>
      <c r="M6155" s="163" t="str">
        <f>CONCATENATE(H6155," ",F6155,"*",I6155,"/",K6155,"чел")</f>
        <v>20 манометров (потребность учреждений) *0,020994/1100чел</v>
      </c>
      <c r="N6155" s="278">
        <f>N5539</f>
        <v>679.9</v>
      </c>
      <c r="O6155" s="280">
        <f t="shared" si="1621"/>
        <v>0.25952399999999998</v>
      </c>
      <c r="P6155" s="166"/>
      <c r="Q6155" s="166">
        <f>O6155*K6155</f>
        <v>285.47639999999996</v>
      </c>
      <c r="R6155" s="71"/>
    </row>
    <row r="6156" spans="1:41" s="61" customFormat="1" ht="47.25" x14ac:dyDescent="0.25">
      <c r="A6156" s="358"/>
      <c r="B6156" s="361"/>
      <c r="C6156" s="364"/>
      <c r="D6156" s="255" t="s">
        <v>113</v>
      </c>
      <c r="E6156" s="156" t="s">
        <v>28</v>
      </c>
      <c r="F6156" s="156" t="s">
        <v>240</v>
      </c>
      <c r="G6156" s="238">
        <f>MROUND(H6156*L6156*I6156/K6156,0.00000000001)</f>
        <v>1.9085454499999999E-3</v>
      </c>
      <c r="H6156" s="158">
        <v>100</v>
      </c>
      <c r="I6156" s="159">
        <f>I6155</f>
        <v>2.0993999999999999E-2</v>
      </c>
      <c r="J6156" s="160"/>
      <c r="K6156" s="161">
        <f>K6155</f>
        <v>1100</v>
      </c>
      <c r="L6156" s="250">
        <v>1</v>
      </c>
      <c r="M6156" s="163" t="str">
        <f>CONCATENATE(H6156," ",F6156,"*",I6156,"/",K6156,"чел")</f>
        <v>100 светильников (потребность учреждений)*0,020994/1100чел</v>
      </c>
      <c r="N6156" s="278">
        <f>N5540</f>
        <v>111.1635</v>
      </c>
      <c r="O6156" s="280">
        <f t="shared" si="1621"/>
        <v>0.21216099999999999</v>
      </c>
      <c r="P6156" s="166"/>
      <c r="Q6156" s="166">
        <f>O6156*K6156</f>
        <v>233.37709999999998</v>
      </c>
      <c r="R6156" s="71"/>
    </row>
    <row r="6157" spans="1:41" s="109" customFormat="1" x14ac:dyDescent="0.25">
      <c r="A6157" s="359"/>
      <c r="B6157" s="362"/>
      <c r="C6157" s="218" t="s">
        <v>301</v>
      </c>
      <c r="D6157" s="256"/>
      <c r="E6157" s="240"/>
      <c r="F6157" s="240"/>
      <c r="G6157" s="227"/>
      <c r="H6157" s="241"/>
      <c r="I6157" s="206"/>
      <c r="J6157" s="228"/>
      <c r="K6157" s="207"/>
      <c r="L6157" s="257"/>
      <c r="M6157" s="209"/>
      <c r="N6157" s="281"/>
      <c r="O6157" s="279">
        <f>O6155+O6156</f>
        <v>0.47168499999999997</v>
      </c>
      <c r="P6157" s="267"/>
      <c r="Q6157" s="166"/>
      <c r="R6157" s="71"/>
      <c r="S6157" s="62"/>
      <c r="T6157" s="62"/>
      <c r="U6157" s="62"/>
      <c r="V6157" s="62"/>
      <c r="W6157" s="62"/>
      <c r="X6157" s="62"/>
      <c r="Y6157" s="62"/>
      <c r="Z6157" s="62"/>
      <c r="AA6157" s="62"/>
      <c r="AB6157" s="62"/>
      <c r="AC6157" s="62"/>
      <c r="AD6157" s="62"/>
      <c r="AE6157" s="62"/>
      <c r="AF6157" s="62"/>
      <c r="AG6157" s="62"/>
      <c r="AH6157" s="62"/>
      <c r="AI6157" s="62"/>
      <c r="AJ6157" s="62"/>
      <c r="AK6157" s="62"/>
      <c r="AL6157" s="62"/>
      <c r="AM6157" s="62"/>
      <c r="AN6157" s="62"/>
      <c r="AO6157" s="62"/>
    </row>
    <row r="6158" spans="1:41" s="108" customFormat="1" x14ac:dyDescent="0.25">
      <c r="A6158" s="357" t="str">
        <f>школы!$B$40</f>
        <v>Психолого-педагогическое консультирование обучающихся, их родителей (законных представителей) и педагогических работников</v>
      </c>
      <c r="B6158" s="360" t="str">
        <f>школы!$A$40</f>
        <v>880900О.99.0.ББ14АА02000</v>
      </c>
      <c r="C6158" s="194"/>
      <c r="D6158" s="363" t="s">
        <v>15</v>
      </c>
      <c r="E6158" s="363"/>
      <c r="F6158" s="363"/>
      <c r="G6158" s="363"/>
      <c r="H6158" s="195"/>
      <c r="I6158" s="195"/>
      <c r="J6158" s="195"/>
      <c r="K6158" s="195"/>
      <c r="L6158" s="196"/>
      <c r="M6158" s="197"/>
      <c r="N6158" s="278"/>
      <c r="O6158" s="279">
        <f>O6159+O6163</f>
        <v>2620.3572399454001</v>
      </c>
      <c r="P6158" s="166"/>
      <c r="Q6158" s="166">
        <f t="shared" ref="Q6158:Q6175" si="1622">O6158*K6158</f>
        <v>0</v>
      </c>
      <c r="R6158" s="71"/>
      <c r="S6158" s="61"/>
      <c r="T6158" s="61"/>
      <c r="U6158" s="61"/>
      <c r="V6158" s="61"/>
      <c r="W6158" s="61"/>
      <c r="X6158" s="61"/>
      <c r="Y6158" s="61"/>
      <c r="Z6158" s="61"/>
      <c r="AA6158" s="61"/>
      <c r="AB6158" s="61"/>
      <c r="AC6158" s="61"/>
      <c r="AD6158" s="61"/>
      <c r="AE6158" s="61"/>
      <c r="AF6158" s="61"/>
      <c r="AG6158" s="61"/>
      <c r="AH6158" s="61"/>
      <c r="AI6158" s="61"/>
      <c r="AJ6158" s="61"/>
      <c r="AK6158" s="61"/>
      <c r="AL6158" s="61"/>
      <c r="AM6158" s="61"/>
      <c r="AN6158" s="61"/>
      <c r="AO6158" s="61"/>
    </row>
    <row r="6159" spans="1:41" s="108" customFormat="1" x14ac:dyDescent="0.25">
      <c r="A6159" s="358"/>
      <c r="B6159" s="361"/>
      <c r="C6159" s="194"/>
      <c r="D6159" s="350" t="s">
        <v>62</v>
      </c>
      <c r="E6159" s="350"/>
      <c r="F6159" s="350"/>
      <c r="G6159" s="350"/>
      <c r="H6159" s="195"/>
      <c r="I6159" s="195"/>
      <c r="J6159" s="195"/>
      <c r="K6159" s="195"/>
      <c r="L6159" s="196"/>
      <c r="M6159" s="197"/>
      <c r="N6159" s="278"/>
      <c r="O6159" s="279">
        <f>O6160+O6161</f>
        <v>2604.0516639453999</v>
      </c>
      <c r="P6159" s="166"/>
      <c r="Q6159" s="166">
        <f t="shared" si="1622"/>
        <v>0</v>
      </c>
      <c r="R6159" s="71"/>
      <c r="S6159" s="61"/>
      <c r="T6159" s="61"/>
      <c r="U6159" s="61"/>
      <c r="V6159" s="61"/>
      <c r="W6159" s="61"/>
      <c r="X6159" s="61"/>
      <c r="Y6159" s="61"/>
      <c r="Z6159" s="61"/>
      <c r="AA6159" s="61"/>
      <c r="AB6159" s="61"/>
      <c r="AC6159" s="61"/>
      <c r="AD6159" s="61"/>
      <c r="AE6159" s="61"/>
      <c r="AF6159" s="61"/>
      <c r="AG6159" s="61"/>
      <c r="AH6159" s="61"/>
      <c r="AI6159" s="61"/>
      <c r="AJ6159" s="61"/>
      <c r="AK6159" s="61"/>
      <c r="AL6159" s="61"/>
      <c r="AM6159" s="61"/>
      <c r="AN6159" s="61"/>
      <c r="AO6159" s="61"/>
    </row>
    <row r="6160" spans="1:41" s="61" customFormat="1" x14ac:dyDescent="0.25">
      <c r="A6160" s="358"/>
      <c r="B6160" s="361"/>
      <c r="C6160" s="194">
        <v>211</v>
      </c>
      <c r="D6160" s="194" t="s">
        <v>86</v>
      </c>
      <c r="E6160" s="199" t="s">
        <v>95</v>
      </c>
      <c r="F6160" s="199" t="s">
        <v>95</v>
      </c>
      <c r="G6160" s="238">
        <f>MROUND(H6160*L6160*I6160/K6160,0.00000000001)</f>
        <v>8.4381493709999991E-2</v>
      </c>
      <c r="H6160" s="201">
        <f>H5440</f>
        <v>368.4</v>
      </c>
      <c r="I6160" s="159">
        <f>школы!$K$40</f>
        <v>8.0167000000000002E-2</v>
      </c>
      <c r="J6160" s="159"/>
      <c r="K6160" s="161">
        <f>школы!$G$40</f>
        <v>4200</v>
      </c>
      <c r="L6160" s="202">
        <v>12</v>
      </c>
      <c r="M6160" s="163" t="str">
        <f>CONCATENATE(H6160," ",F6160," ","в мес.","*",L6160,"мес.","*",I6160,"/",K6160,"чел")</f>
        <v>368,4 шт.ед в мес.*12мес.*0,080167/4200чел</v>
      </c>
      <c r="N6160" s="278">
        <f>N5440</f>
        <v>23702.349798678973</v>
      </c>
      <c r="O6160" s="280">
        <f>MROUND(N6160*G6160,0.0000000001)</f>
        <v>2000.0396804494001</v>
      </c>
      <c r="P6160" s="166"/>
      <c r="Q6160" s="166">
        <f t="shared" si="1622"/>
        <v>8400166.6578874812</v>
      </c>
      <c r="R6160" s="71"/>
    </row>
    <row r="6161" spans="1:41" s="61" customFormat="1" x14ac:dyDescent="0.25">
      <c r="A6161" s="358"/>
      <c r="B6161" s="361"/>
      <c r="C6161" s="194">
        <v>213</v>
      </c>
      <c r="D6161" s="194" t="s">
        <v>87</v>
      </c>
      <c r="E6161" s="194" t="s">
        <v>88</v>
      </c>
      <c r="F6161" s="194"/>
      <c r="G6161" s="211">
        <v>30.2</v>
      </c>
      <c r="H6161" s="159"/>
      <c r="I6161" s="282">
        <f>I6160</f>
        <v>8.0167000000000002E-2</v>
      </c>
      <c r="J6161" s="159"/>
      <c r="K6161" s="161">
        <f>K6160</f>
        <v>4200</v>
      </c>
      <c r="L6161" s="202"/>
      <c r="M6161" s="212"/>
      <c r="N6161" s="278"/>
      <c r="O6161" s="280">
        <f>MROUND(O6160*0.302,0.000000001)</f>
        <v>604.01198349600008</v>
      </c>
      <c r="P6161" s="166"/>
      <c r="Q6161" s="166">
        <f t="shared" si="1622"/>
        <v>2536850.3306832002</v>
      </c>
      <c r="R6161" s="71"/>
    </row>
    <row r="6162" spans="1:41" s="108" customFormat="1" x14ac:dyDescent="0.25">
      <c r="A6162" s="358"/>
      <c r="B6162" s="361"/>
      <c r="C6162" s="194"/>
      <c r="D6162" s="194"/>
      <c r="E6162" s="194"/>
      <c r="F6162" s="194"/>
      <c r="G6162" s="217"/>
      <c r="H6162" s="195"/>
      <c r="I6162" s="159"/>
      <c r="J6162" s="195"/>
      <c r="K6162" s="161"/>
      <c r="L6162" s="196"/>
      <c r="M6162" s="197"/>
      <c r="N6162" s="278"/>
      <c r="O6162" s="280"/>
      <c r="P6162" s="166"/>
      <c r="Q6162" s="166">
        <f t="shared" si="1622"/>
        <v>0</v>
      </c>
      <c r="R6162" s="71"/>
      <c r="S6162" s="61"/>
      <c r="T6162" s="61"/>
      <c r="U6162" s="61"/>
      <c r="V6162" s="61"/>
      <c r="W6162" s="61"/>
      <c r="X6162" s="61"/>
      <c r="Y6162" s="61"/>
      <c r="Z6162" s="61"/>
      <c r="AA6162" s="61"/>
      <c r="AB6162" s="61"/>
      <c r="AC6162" s="61"/>
      <c r="AD6162" s="61"/>
      <c r="AE6162" s="61"/>
      <c r="AF6162" s="61"/>
      <c r="AG6162" s="61"/>
      <c r="AH6162" s="61"/>
      <c r="AI6162" s="61"/>
      <c r="AJ6162" s="61"/>
      <c r="AK6162" s="61"/>
      <c r="AL6162" s="61"/>
      <c r="AM6162" s="61"/>
      <c r="AN6162" s="61"/>
      <c r="AO6162" s="61"/>
    </row>
    <row r="6163" spans="1:41" s="108" customFormat="1" x14ac:dyDescent="0.25">
      <c r="A6163" s="358"/>
      <c r="B6163" s="361"/>
      <c r="C6163" s="194"/>
      <c r="D6163" s="356" t="s">
        <v>63</v>
      </c>
      <c r="E6163" s="356"/>
      <c r="F6163" s="356"/>
      <c r="G6163" s="356"/>
      <c r="H6163" s="195"/>
      <c r="I6163" s="159"/>
      <c r="J6163" s="195"/>
      <c r="K6163" s="161"/>
      <c r="L6163" s="196"/>
      <c r="M6163" s="197"/>
      <c r="N6163" s="278"/>
      <c r="O6163" s="280">
        <f>O6164</f>
        <v>16.305575999999999</v>
      </c>
      <c r="P6163" s="166"/>
      <c r="Q6163" s="166">
        <f t="shared" si="1622"/>
        <v>0</v>
      </c>
      <c r="R6163" s="71"/>
      <c r="S6163" s="61"/>
      <c r="T6163" s="61"/>
      <c r="U6163" s="61"/>
      <c r="V6163" s="61"/>
      <c r="W6163" s="61"/>
      <c r="X6163" s="61"/>
      <c r="Y6163" s="61"/>
      <c r="Z6163" s="61"/>
      <c r="AA6163" s="61"/>
      <c r="AB6163" s="61"/>
      <c r="AC6163" s="61"/>
      <c r="AD6163" s="61"/>
      <c r="AE6163" s="61"/>
      <c r="AF6163" s="61"/>
      <c r="AG6163" s="61"/>
      <c r="AH6163" s="61"/>
      <c r="AI6163" s="61"/>
      <c r="AJ6163" s="61"/>
      <c r="AK6163" s="61"/>
      <c r="AL6163" s="61"/>
      <c r="AM6163" s="61"/>
      <c r="AN6163" s="61"/>
      <c r="AO6163" s="61"/>
    </row>
    <row r="6164" spans="1:41" s="61" customFormat="1" x14ac:dyDescent="0.25">
      <c r="A6164" s="358"/>
      <c r="B6164" s="361"/>
      <c r="C6164" s="194">
        <v>346</v>
      </c>
      <c r="D6164" s="194" t="s">
        <v>259</v>
      </c>
      <c r="E6164" s="194" t="s">
        <v>260</v>
      </c>
      <c r="F6164" s="194" t="s">
        <v>261</v>
      </c>
      <c r="G6164" s="238">
        <f>MROUND(H6164*L6164*I6164/K6164,0.00000000001)</f>
        <v>2.313390571E-2</v>
      </c>
      <c r="H6164" s="283">
        <f>H5445</f>
        <v>1212</v>
      </c>
      <c r="I6164" s="282">
        <f>I6161</f>
        <v>8.0167000000000002E-2</v>
      </c>
      <c r="J6164" s="195"/>
      <c r="K6164" s="161">
        <f>K6161</f>
        <v>4200</v>
      </c>
      <c r="L6164" s="196">
        <v>1</v>
      </c>
      <c r="M6164" s="163" t="str">
        <f>CONCATENATE(H6164," ",F6164,"*",I6164,"/",K6164,"чел")</f>
        <v>1212 упаковок*0,080167/4200чел</v>
      </c>
      <c r="N6164" s="278">
        <f>N5445</f>
        <v>704.83454620462044</v>
      </c>
      <c r="O6164" s="280">
        <f>MROUND(N6164*G6164,0.000001)</f>
        <v>16.305575999999999</v>
      </c>
      <c r="P6164" s="166"/>
      <c r="Q6164" s="166">
        <f t="shared" si="1622"/>
        <v>68483.419199999989</v>
      </c>
      <c r="R6164" s="71"/>
    </row>
    <row r="6165" spans="1:41" s="108" customFormat="1" x14ac:dyDescent="0.25">
      <c r="A6165" s="358"/>
      <c r="B6165" s="361"/>
      <c r="C6165" s="194"/>
      <c r="D6165" s="350" t="s">
        <v>64</v>
      </c>
      <c r="E6165" s="350"/>
      <c r="F6165" s="350"/>
      <c r="G6165" s="350"/>
      <c r="H6165" s="195"/>
      <c r="I6165" s="159"/>
      <c r="J6165" s="195"/>
      <c r="K6165" s="161"/>
      <c r="L6165" s="196"/>
      <c r="M6165" s="197"/>
      <c r="N6165" s="278"/>
      <c r="O6165" s="280"/>
      <c r="P6165" s="166"/>
      <c r="Q6165" s="166">
        <f t="shared" si="1622"/>
        <v>0</v>
      </c>
      <c r="R6165" s="71"/>
      <c r="S6165" s="61"/>
      <c r="T6165" s="61"/>
      <c r="U6165" s="61"/>
      <c r="V6165" s="61"/>
      <c r="W6165" s="61"/>
      <c r="X6165" s="61"/>
      <c r="Y6165" s="61"/>
      <c r="Z6165" s="61"/>
      <c r="AA6165" s="61"/>
      <c r="AB6165" s="61"/>
      <c r="AC6165" s="61"/>
      <c r="AD6165" s="61"/>
      <c r="AE6165" s="61"/>
      <c r="AF6165" s="61"/>
      <c r="AG6165" s="61"/>
      <c r="AH6165" s="61"/>
      <c r="AI6165" s="61"/>
      <c r="AJ6165" s="61"/>
      <c r="AK6165" s="61"/>
      <c r="AL6165" s="61"/>
      <c r="AM6165" s="61"/>
      <c r="AN6165" s="61"/>
      <c r="AO6165" s="61"/>
    </row>
    <row r="6166" spans="1:41" s="108" customFormat="1" x14ac:dyDescent="0.25">
      <c r="A6166" s="358"/>
      <c r="B6166" s="361"/>
      <c r="C6166" s="194"/>
      <c r="D6166" s="194"/>
      <c r="E6166" s="194"/>
      <c r="F6166" s="194"/>
      <c r="G6166" s="217"/>
      <c r="H6166" s="195"/>
      <c r="I6166" s="159"/>
      <c r="J6166" s="195"/>
      <c r="K6166" s="161"/>
      <c r="L6166" s="196"/>
      <c r="M6166" s="197"/>
      <c r="N6166" s="278"/>
      <c r="O6166" s="280"/>
      <c r="P6166" s="166"/>
      <c r="Q6166" s="166">
        <f t="shared" si="1622"/>
        <v>0</v>
      </c>
      <c r="R6166" s="71"/>
      <c r="S6166" s="61"/>
      <c r="T6166" s="61"/>
      <c r="U6166" s="61"/>
      <c r="V6166" s="61"/>
      <c r="W6166" s="61"/>
      <c r="X6166" s="61"/>
      <c r="Y6166" s="61"/>
      <c r="Z6166" s="61"/>
      <c r="AA6166" s="61"/>
      <c r="AB6166" s="61"/>
      <c r="AC6166" s="61"/>
      <c r="AD6166" s="61"/>
      <c r="AE6166" s="61"/>
      <c r="AF6166" s="61"/>
      <c r="AG6166" s="61"/>
      <c r="AH6166" s="61"/>
      <c r="AI6166" s="61"/>
      <c r="AJ6166" s="61"/>
      <c r="AK6166" s="61"/>
      <c r="AL6166" s="61"/>
      <c r="AM6166" s="61"/>
      <c r="AN6166" s="61"/>
      <c r="AO6166" s="61"/>
    </row>
    <row r="6167" spans="1:41" s="108" customFormat="1" x14ac:dyDescent="0.25">
      <c r="A6167" s="358"/>
      <c r="B6167" s="361"/>
      <c r="C6167" s="194"/>
      <c r="D6167" s="355" t="s">
        <v>5</v>
      </c>
      <c r="E6167" s="355"/>
      <c r="F6167" s="355"/>
      <c r="G6167" s="355"/>
      <c r="H6167" s="195"/>
      <c r="I6167" s="159"/>
      <c r="J6167" s="195"/>
      <c r="K6167" s="161"/>
      <c r="L6167" s="196"/>
      <c r="M6167" s="197"/>
      <c r="N6167" s="278"/>
      <c r="O6167" s="279">
        <f>O6168+O6177+O6188+O6190+O6201+O6197</f>
        <v>652.54983329200002</v>
      </c>
      <c r="P6167" s="166"/>
      <c r="Q6167" s="166">
        <f t="shared" si="1622"/>
        <v>0</v>
      </c>
      <c r="R6167" s="71"/>
      <c r="S6167" s="61"/>
      <c r="T6167" s="61"/>
      <c r="U6167" s="61"/>
      <c r="V6167" s="61"/>
      <c r="W6167" s="61"/>
      <c r="X6167" s="61"/>
      <c r="Y6167" s="61"/>
      <c r="Z6167" s="61"/>
      <c r="AA6167" s="61"/>
      <c r="AB6167" s="61"/>
      <c r="AC6167" s="61"/>
      <c r="AD6167" s="61"/>
      <c r="AE6167" s="61"/>
      <c r="AF6167" s="61"/>
      <c r="AG6167" s="61"/>
      <c r="AH6167" s="61"/>
      <c r="AI6167" s="61"/>
      <c r="AJ6167" s="61"/>
      <c r="AK6167" s="61"/>
      <c r="AL6167" s="61"/>
      <c r="AM6167" s="61"/>
      <c r="AN6167" s="61"/>
      <c r="AO6167" s="61"/>
    </row>
    <row r="6168" spans="1:41" s="108" customFormat="1" x14ac:dyDescent="0.25">
      <c r="A6168" s="358"/>
      <c r="B6168" s="361"/>
      <c r="C6168" s="221" t="s">
        <v>70</v>
      </c>
      <c r="D6168" s="355" t="s">
        <v>6</v>
      </c>
      <c r="E6168" s="355"/>
      <c r="F6168" s="355"/>
      <c r="G6168" s="355"/>
      <c r="H6168" s="189"/>
      <c r="I6168" s="159"/>
      <c r="J6168" s="189"/>
      <c r="K6168" s="161"/>
      <c r="L6168" s="190"/>
      <c r="M6168" s="197"/>
      <c r="N6168" s="278"/>
      <c r="O6168" s="279">
        <f>O6169+O6170+O6171+O6172+O6173+O6174+O6175</f>
        <v>122.04742999999999</v>
      </c>
      <c r="P6168" s="166"/>
      <c r="Q6168" s="166">
        <f t="shared" si="1622"/>
        <v>0</v>
      </c>
      <c r="R6168" s="71"/>
      <c r="S6168" s="61"/>
      <c r="T6168" s="61"/>
      <c r="U6168" s="61"/>
      <c r="V6168" s="61"/>
      <c r="W6168" s="61"/>
      <c r="X6168" s="61"/>
      <c r="Y6168" s="61"/>
      <c r="Z6168" s="61"/>
      <c r="AA6168" s="61"/>
      <c r="AB6168" s="61"/>
      <c r="AC6168" s="61"/>
      <c r="AD6168" s="61"/>
      <c r="AE6168" s="61"/>
      <c r="AF6168" s="61"/>
      <c r="AG6168" s="61"/>
      <c r="AH6168" s="61"/>
      <c r="AI6168" s="61"/>
      <c r="AJ6168" s="61"/>
      <c r="AK6168" s="61"/>
      <c r="AL6168" s="61"/>
      <c r="AM6168" s="61"/>
      <c r="AN6168" s="61"/>
      <c r="AO6168" s="61"/>
    </row>
    <row r="6169" spans="1:41" s="61" customFormat="1" ht="31.5" x14ac:dyDescent="0.25">
      <c r="A6169" s="358"/>
      <c r="B6169" s="361"/>
      <c r="C6169" s="221" t="s">
        <v>72</v>
      </c>
      <c r="D6169" s="222" t="s">
        <v>7</v>
      </c>
      <c r="E6169" s="223" t="s">
        <v>8</v>
      </c>
      <c r="F6169" s="223" t="s">
        <v>8</v>
      </c>
      <c r="G6169" s="238">
        <f t="shared" ref="G6169:G6175" si="1623">MROUND(H6169*L6169*I6169/K6169,0.00000000001)</f>
        <v>2.1580219065199997</v>
      </c>
      <c r="H6169" s="160">
        <f>H5451</f>
        <v>113060.13705633247</v>
      </c>
      <c r="I6169" s="282">
        <f>I6161</f>
        <v>8.0167000000000002E-2</v>
      </c>
      <c r="J6169" s="160"/>
      <c r="K6169" s="161">
        <f>K6161</f>
        <v>4200</v>
      </c>
      <c r="L6169" s="250">
        <v>1</v>
      </c>
      <c r="M6169" s="163" t="str">
        <f>CONCATENATE(H6169," ",F6169,"(лимиты выделенные УЖКХ) ","*",I6169,"/",K6169,"чел")</f>
        <v>113060,137056332 кВт час.(лимиты выделенные УЖКХ) *0,080167/4200чел</v>
      </c>
      <c r="N6169" s="278">
        <f>N5451</f>
        <v>10.942938264647223</v>
      </c>
      <c r="O6169" s="280">
        <f>MROUND(N6169*G6169,0.000001)</f>
        <v>23.615099999999998</v>
      </c>
      <c r="P6169" s="166"/>
      <c r="Q6169" s="166">
        <f t="shared" si="1622"/>
        <v>99183.42</v>
      </c>
      <c r="R6169" s="71"/>
    </row>
    <row r="6170" spans="1:41" s="61" customFormat="1" ht="31.5" x14ac:dyDescent="0.25">
      <c r="A6170" s="358"/>
      <c r="B6170" s="361"/>
      <c r="C6170" s="221" t="s">
        <v>73</v>
      </c>
      <c r="D6170" s="222" t="s">
        <v>9</v>
      </c>
      <c r="E6170" s="223" t="s">
        <v>10</v>
      </c>
      <c r="F6170" s="223" t="s">
        <v>10</v>
      </c>
      <c r="G6170" s="238">
        <f t="shared" si="1623"/>
        <v>2.6607809049999997E-2</v>
      </c>
      <c r="H6170" s="160">
        <f>H5452</f>
        <v>1394</v>
      </c>
      <c r="I6170" s="159">
        <f t="shared" ref="I6170:I6175" si="1624">I6169</f>
        <v>8.0167000000000002E-2</v>
      </c>
      <c r="J6170" s="160"/>
      <c r="K6170" s="161">
        <f t="shared" ref="K6170:K6175" si="1625">K6169</f>
        <v>4200</v>
      </c>
      <c r="L6170" s="250">
        <v>1</v>
      </c>
      <c r="M6170" s="163" t="str">
        <f>CONCATENATE(H6170," ",F6170,"(лимиты выделенные УЖКХ) ","*",I6170,"/",K6170,"чел")</f>
        <v>1394 Гкал(лимиты выделенные УЖКХ) *0,080167/4200чел</v>
      </c>
      <c r="N6170" s="278">
        <f>N5556</f>
        <v>2976.2517790530851</v>
      </c>
      <c r="O6170" s="280">
        <f t="shared" ref="O6170:O6175" si="1626">MROUND(N6170*G6170,0.000001)</f>
        <v>79.191538999999992</v>
      </c>
      <c r="P6170" s="166"/>
      <c r="Q6170" s="166">
        <f t="shared" si="1622"/>
        <v>332604.46379999997</v>
      </c>
      <c r="R6170" s="71"/>
    </row>
    <row r="6171" spans="1:41" s="61" customFormat="1" ht="31.5" x14ac:dyDescent="0.25">
      <c r="A6171" s="358"/>
      <c r="B6171" s="361"/>
      <c r="C6171" s="364" t="s">
        <v>74</v>
      </c>
      <c r="D6171" s="222" t="s">
        <v>12</v>
      </c>
      <c r="E6171" s="222" t="s">
        <v>11</v>
      </c>
      <c r="F6171" s="222" t="s">
        <v>11</v>
      </c>
      <c r="G6171" s="238">
        <f t="shared" si="1623"/>
        <v>7.713420604E-2</v>
      </c>
      <c r="H6171" s="224">
        <f>H5453</f>
        <v>4041.1099999999997</v>
      </c>
      <c r="I6171" s="159">
        <f t="shared" si="1624"/>
        <v>8.0167000000000002E-2</v>
      </c>
      <c r="J6171" s="160"/>
      <c r="K6171" s="161">
        <f t="shared" si="1625"/>
        <v>4200</v>
      </c>
      <c r="L6171" s="250">
        <v>1</v>
      </c>
      <c r="M6171" s="163" t="str">
        <f>CONCATENATE(H6171," ",F6171,"(лимиты выделенные УЖКХ) ","*",I6171,"/",K6171,"чел")</f>
        <v>4041,11 м3(лимиты выделенные УЖКХ) *0,080167/4200чел</v>
      </c>
      <c r="N6171" s="278">
        <f>N5453</f>
        <v>54.214180014896904</v>
      </c>
      <c r="O6171" s="280">
        <f t="shared" si="1626"/>
        <v>4.1817679999999999</v>
      </c>
      <c r="P6171" s="166"/>
      <c r="Q6171" s="166">
        <f t="shared" si="1622"/>
        <v>17563.425599999999</v>
      </c>
      <c r="R6171" s="71"/>
    </row>
    <row r="6172" spans="1:41" s="61" customFormat="1" ht="47.25" x14ac:dyDescent="0.25">
      <c r="A6172" s="358"/>
      <c r="B6172" s="361"/>
      <c r="C6172" s="364"/>
      <c r="D6172" s="222" t="s">
        <v>17</v>
      </c>
      <c r="E6172" s="222" t="s">
        <v>11</v>
      </c>
      <c r="F6172" s="222" t="s">
        <v>11</v>
      </c>
      <c r="G6172" s="238">
        <f t="shared" si="1623"/>
        <v>7.713420604E-2</v>
      </c>
      <c r="H6172" s="160">
        <f>H5558</f>
        <v>4041.1099999999997</v>
      </c>
      <c r="I6172" s="159">
        <f t="shared" si="1624"/>
        <v>8.0167000000000002E-2</v>
      </c>
      <c r="J6172" s="160"/>
      <c r="K6172" s="161">
        <f t="shared" si="1625"/>
        <v>4200</v>
      </c>
      <c r="L6172" s="162">
        <f>$L$25</f>
        <v>1</v>
      </c>
      <c r="M6172" s="163" t="str">
        <f>CONCATENATE(H6172," ",F6172,"(лимиты выделенные УЖКХ) ","*",I6172,"/",K6172,"чел")</f>
        <v>4041,11 м3(лимиты выделенные УЖКХ) *0,080167/4200чел</v>
      </c>
      <c r="N6172" s="164">
        <f>N5454</f>
        <v>82.384170780821918</v>
      </c>
      <c r="O6172" s="280">
        <f t="shared" si="1626"/>
        <v>6.3546379999999996</v>
      </c>
      <c r="P6172" s="166"/>
      <c r="Q6172" s="166">
        <f t="shared" si="1622"/>
        <v>26689.479599999999</v>
      </c>
      <c r="R6172" s="71"/>
    </row>
    <row r="6173" spans="1:41" s="61" customFormat="1" ht="31.5" x14ac:dyDescent="0.25">
      <c r="A6173" s="358"/>
      <c r="B6173" s="361"/>
      <c r="C6173" s="364"/>
      <c r="D6173" s="222" t="s">
        <v>13</v>
      </c>
      <c r="E6173" s="222" t="s">
        <v>11</v>
      </c>
      <c r="F6173" s="222" t="s">
        <v>11</v>
      </c>
      <c r="G6173" s="238">
        <f t="shared" si="1623"/>
        <v>7.713420604E-2</v>
      </c>
      <c r="H6173" s="160">
        <f>H5455</f>
        <v>4041.1099999999997</v>
      </c>
      <c r="I6173" s="159">
        <f t="shared" si="1624"/>
        <v>8.0167000000000002E-2</v>
      </c>
      <c r="J6173" s="160"/>
      <c r="K6173" s="161">
        <f t="shared" si="1625"/>
        <v>4200</v>
      </c>
      <c r="L6173" s="162">
        <v>1</v>
      </c>
      <c r="M6173" s="163" t="str">
        <f>CONCATENATE(H6173," ",F6173,"(лимиты выделенные УЖКХ) ","*",I6173,"/",K6173,"чел")</f>
        <v>4041,11 м3(лимиты выделенные УЖКХ) *0,080167/4200чел</v>
      </c>
      <c r="N6173" s="278">
        <f>N5455</f>
        <v>100.60427670019196</v>
      </c>
      <c r="O6173" s="280">
        <f t="shared" si="1626"/>
        <v>7.7600309999999997</v>
      </c>
      <c r="P6173" s="166"/>
      <c r="Q6173" s="166">
        <f t="shared" si="1622"/>
        <v>32592.1302</v>
      </c>
      <c r="R6173" s="71"/>
    </row>
    <row r="6174" spans="1:41" s="61" customFormat="1" x14ac:dyDescent="0.25">
      <c r="A6174" s="358"/>
      <c r="B6174" s="361"/>
      <c r="C6174" s="364" t="s">
        <v>216</v>
      </c>
      <c r="D6174" s="222" t="s">
        <v>23</v>
      </c>
      <c r="E6174" s="222" t="s">
        <v>11</v>
      </c>
      <c r="F6174" s="222" t="s">
        <v>11</v>
      </c>
      <c r="G6174" s="238">
        <f t="shared" si="1623"/>
        <v>4.7680277999999999E-4</v>
      </c>
      <c r="H6174" s="160">
        <f>H5456</f>
        <v>24.979999999999997</v>
      </c>
      <c r="I6174" s="159">
        <f t="shared" si="1624"/>
        <v>8.0167000000000002E-2</v>
      </c>
      <c r="J6174" s="160"/>
      <c r="K6174" s="161">
        <f t="shared" si="1625"/>
        <v>4200</v>
      </c>
      <c r="L6174" s="162">
        <v>1</v>
      </c>
      <c r="M6174" s="163" t="str">
        <f>CONCATENATE(H6174," ",F6174," ","*",I6174,"/",K6174,"чел")</f>
        <v>24,98 м3 *0,080167/4200чел</v>
      </c>
      <c r="N6174" s="164">
        <f>N5456</f>
        <v>776.35588470776622</v>
      </c>
      <c r="O6174" s="280">
        <f t="shared" si="1626"/>
        <v>0.37016899999999997</v>
      </c>
      <c r="P6174" s="166"/>
      <c r="Q6174" s="166">
        <f t="shared" si="1622"/>
        <v>1554.7097999999999</v>
      </c>
      <c r="R6174" s="71"/>
    </row>
    <row r="6175" spans="1:41" s="61" customFormat="1" ht="47.25" x14ac:dyDescent="0.25">
      <c r="A6175" s="358"/>
      <c r="B6175" s="361"/>
      <c r="C6175" s="364"/>
      <c r="D6175" s="222" t="s">
        <v>24</v>
      </c>
      <c r="E6175" s="222" t="s">
        <v>25</v>
      </c>
      <c r="F6175" s="222" t="s">
        <v>248</v>
      </c>
      <c r="G6175" s="238">
        <f t="shared" si="1623"/>
        <v>9.5436899999999994E-5</v>
      </c>
      <c r="H6175" s="160">
        <f>H5457</f>
        <v>5</v>
      </c>
      <c r="I6175" s="159">
        <f t="shared" si="1624"/>
        <v>8.0167000000000002E-2</v>
      </c>
      <c r="J6175" s="160"/>
      <c r="K6175" s="161">
        <f t="shared" si="1625"/>
        <v>4200</v>
      </c>
      <c r="L6175" s="250">
        <v>1</v>
      </c>
      <c r="M6175" s="163" t="str">
        <f>CONCATENATE(H6175," ",F6175,"(потребность из расчета 4 контейнера для уборки территории весной и осенью на 1 учреждение)","*",I6175,"/",K6175,"чел")</f>
        <v>5 контейнеров(потребность из расчета 4 контейнера для уборки территории весной и осенью на 1 учреждение)*0,080167/4200чел</v>
      </c>
      <c r="N6175" s="278">
        <f>N5665</f>
        <v>6016.38</v>
      </c>
      <c r="O6175" s="280">
        <f t="shared" si="1626"/>
        <v>0.57418499999999995</v>
      </c>
      <c r="P6175" s="166"/>
      <c r="Q6175" s="166">
        <f t="shared" si="1622"/>
        <v>2411.5769999999998</v>
      </c>
      <c r="R6175" s="71"/>
    </row>
    <row r="6176" spans="1:41" s="109" customFormat="1" x14ac:dyDescent="0.25">
      <c r="A6176" s="358"/>
      <c r="B6176" s="361"/>
      <c r="C6176" s="218" t="s">
        <v>290</v>
      </c>
      <c r="D6176" s="226"/>
      <c r="E6176" s="226"/>
      <c r="F6176" s="226"/>
      <c r="G6176" s="227"/>
      <c r="H6176" s="228"/>
      <c r="I6176" s="206"/>
      <c r="J6176" s="228"/>
      <c r="K6176" s="207"/>
      <c r="L6176" s="257"/>
      <c r="M6176" s="209"/>
      <c r="N6176" s="281"/>
      <c r="O6176" s="279">
        <f>SUM(O6169:O6175)</f>
        <v>122.04742999999999</v>
      </c>
      <c r="P6176" s="267"/>
      <c r="Q6176" s="166"/>
      <c r="R6176" s="71"/>
      <c r="S6176" s="62"/>
      <c r="T6176" s="62"/>
      <c r="U6176" s="62"/>
      <c r="V6176" s="62"/>
      <c r="W6176" s="62"/>
      <c r="X6176" s="62"/>
      <c r="Y6176" s="62"/>
      <c r="Z6176" s="62"/>
      <c r="AA6176" s="62"/>
      <c r="AB6176" s="62"/>
      <c r="AC6176" s="62"/>
      <c r="AD6176" s="62"/>
      <c r="AE6176" s="62"/>
      <c r="AF6176" s="62"/>
      <c r="AG6176" s="62"/>
      <c r="AH6176" s="62"/>
      <c r="AI6176" s="62"/>
      <c r="AJ6176" s="62"/>
      <c r="AK6176" s="62"/>
      <c r="AL6176" s="62"/>
      <c r="AM6176" s="62"/>
      <c r="AN6176" s="62"/>
      <c r="AO6176" s="62"/>
    </row>
    <row r="6177" spans="1:41" s="108" customFormat="1" x14ac:dyDescent="0.25">
      <c r="A6177" s="358"/>
      <c r="B6177" s="361"/>
      <c r="C6177" s="221"/>
      <c r="D6177" s="356" t="s">
        <v>14</v>
      </c>
      <c r="E6177" s="356"/>
      <c r="F6177" s="356"/>
      <c r="G6177" s="356"/>
      <c r="H6177" s="188"/>
      <c r="I6177" s="159"/>
      <c r="J6177" s="188"/>
      <c r="K6177" s="161"/>
      <c r="L6177" s="250"/>
      <c r="M6177" s="230"/>
      <c r="N6177" s="278"/>
      <c r="O6177" s="279">
        <f>O6181+O6185+O6186</f>
        <v>450.84393766200003</v>
      </c>
      <c r="P6177" s="166"/>
      <c r="Q6177" s="166">
        <f>O6177*K6177</f>
        <v>0</v>
      </c>
      <c r="R6177" s="71"/>
      <c r="S6177" s="61"/>
      <c r="T6177" s="61"/>
      <c r="U6177" s="61"/>
      <c r="V6177" s="61"/>
      <c r="W6177" s="61"/>
      <c r="X6177" s="61"/>
      <c r="Y6177" s="61"/>
      <c r="Z6177" s="61"/>
      <c r="AA6177" s="61"/>
      <c r="AB6177" s="61"/>
      <c r="AC6177" s="61"/>
      <c r="AD6177" s="61"/>
      <c r="AE6177" s="61"/>
      <c r="AF6177" s="61"/>
      <c r="AG6177" s="61"/>
      <c r="AH6177" s="61"/>
      <c r="AI6177" s="61"/>
      <c r="AJ6177" s="61"/>
      <c r="AK6177" s="61"/>
      <c r="AL6177" s="61"/>
      <c r="AM6177" s="61"/>
      <c r="AN6177" s="61"/>
      <c r="AO6177" s="61"/>
    </row>
    <row r="6178" spans="1:41" s="61" customFormat="1" x14ac:dyDescent="0.25">
      <c r="A6178" s="358"/>
      <c r="B6178" s="361"/>
      <c r="C6178" s="221" t="s">
        <v>379</v>
      </c>
      <c r="D6178" s="231" t="s">
        <v>49</v>
      </c>
      <c r="E6178" s="231" t="s">
        <v>22</v>
      </c>
      <c r="F6178" s="231" t="s">
        <v>22</v>
      </c>
      <c r="G6178" s="238">
        <f>MROUND(H6178*L6178*I6178/K6178,0.00000000001)</f>
        <v>0</v>
      </c>
      <c r="H6178" s="160"/>
      <c r="I6178" s="159">
        <f>I6173</f>
        <v>8.0167000000000002E-2</v>
      </c>
      <c r="J6178" s="160"/>
      <c r="K6178" s="161">
        <f>K6173</f>
        <v>4200</v>
      </c>
      <c r="L6178" s="250">
        <v>1</v>
      </c>
      <c r="M6178" s="163"/>
      <c r="N6178" s="278"/>
      <c r="O6178" s="280">
        <f>MROUND(N6178*G6178,0.000000001)</f>
        <v>0</v>
      </c>
      <c r="P6178" s="166"/>
      <c r="Q6178" s="166">
        <f>O6178*K6178</f>
        <v>0</v>
      </c>
      <c r="R6178" s="71"/>
    </row>
    <row r="6179" spans="1:41" s="61" customFormat="1" x14ac:dyDescent="0.25">
      <c r="A6179" s="358"/>
      <c r="B6179" s="361"/>
      <c r="C6179" s="221" t="s">
        <v>379</v>
      </c>
      <c r="D6179" s="231" t="s">
        <v>49</v>
      </c>
      <c r="E6179" s="231" t="s">
        <v>28</v>
      </c>
      <c r="F6179" s="231" t="s">
        <v>28</v>
      </c>
      <c r="G6179" s="238">
        <f>MROUND(H6179*L6179*I6179/K6179,0.00000000001)</f>
        <v>0</v>
      </c>
      <c r="H6179" s="160"/>
      <c r="I6179" s="159">
        <f>I6178</f>
        <v>8.0167000000000002E-2</v>
      </c>
      <c r="J6179" s="160"/>
      <c r="K6179" s="161">
        <f>K6178</f>
        <v>4200</v>
      </c>
      <c r="L6179" s="250">
        <v>1</v>
      </c>
      <c r="M6179" s="163"/>
      <c r="N6179" s="278"/>
      <c r="O6179" s="280">
        <f>MROUND(N6179*G6179,0.000000001)</f>
        <v>0</v>
      </c>
      <c r="P6179" s="166"/>
      <c r="Q6179" s="166">
        <f>O6179*K6179</f>
        <v>0</v>
      </c>
      <c r="R6179" s="71"/>
    </row>
    <row r="6180" spans="1:41" s="61" customFormat="1" x14ac:dyDescent="0.25">
      <c r="A6180" s="358"/>
      <c r="B6180" s="361"/>
      <c r="C6180" s="221" t="s">
        <v>379</v>
      </c>
      <c r="D6180" s="231" t="s">
        <v>49</v>
      </c>
      <c r="E6180" s="231" t="s">
        <v>101</v>
      </c>
      <c r="F6180" s="231" t="s">
        <v>101</v>
      </c>
      <c r="G6180" s="238">
        <f>MROUND(H6180*L6180*I6180/K6180,0.00000000001)</f>
        <v>0</v>
      </c>
      <c r="H6180" s="160"/>
      <c r="I6180" s="159">
        <f>I6178</f>
        <v>8.0167000000000002E-2</v>
      </c>
      <c r="J6180" s="160"/>
      <c r="K6180" s="161">
        <f>K6178</f>
        <v>4200</v>
      </c>
      <c r="L6180" s="250">
        <v>1</v>
      </c>
      <c r="M6180" s="163"/>
      <c r="N6180" s="278"/>
      <c r="O6180" s="280">
        <f>MROUND(N6180*G6180,0.000001)</f>
        <v>0</v>
      </c>
      <c r="P6180" s="166"/>
      <c r="Q6180" s="166">
        <f>O6180*K6180</f>
        <v>0</v>
      </c>
      <c r="R6180" s="71"/>
    </row>
    <row r="6181" spans="1:41" s="109" customFormat="1" x14ac:dyDescent="0.25">
      <c r="A6181" s="358"/>
      <c r="B6181" s="361"/>
      <c r="C6181" s="218" t="s">
        <v>380</v>
      </c>
      <c r="D6181" s="232"/>
      <c r="E6181" s="232"/>
      <c r="F6181" s="232"/>
      <c r="G6181" s="227"/>
      <c r="H6181" s="228"/>
      <c r="I6181" s="206"/>
      <c r="J6181" s="228"/>
      <c r="K6181" s="207"/>
      <c r="L6181" s="257"/>
      <c r="M6181" s="209"/>
      <c r="N6181" s="281"/>
      <c r="O6181" s="279">
        <f>SUM(O6178:O6180)</f>
        <v>0</v>
      </c>
      <c r="P6181" s="267"/>
      <c r="Q6181" s="166"/>
      <c r="R6181" s="72"/>
      <c r="S6181" s="62"/>
      <c r="T6181" s="62"/>
      <c r="U6181" s="62"/>
      <c r="V6181" s="62"/>
      <c r="W6181" s="62"/>
      <c r="X6181" s="62"/>
      <c r="Y6181" s="62"/>
      <c r="Z6181" s="62"/>
      <c r="AA6181" s="62"/>
      <c r="AB6181" s="62"/>
      <c r="AC6181" s="62"/>
      <c r="AD6181" s="62"/>
      <c r="AE6181" s="62"/>
      <c r="AF6181" s="62"/>
      <c r="AG6181" s="62"/>
      <c r="AH6181" s="62"/>
      <c r="AI6181" s="62"/>
      <c r="AJ6181" s="62"/>
      <c r="AK6181" s="62"/>
      <c r="AL6181" s="62"/>
      <c r="AM6181" s="62"/>
      <c r="AN6181" s="62"/>
      <c r="AO6181" s="62"/>
    </row>
    <row r="6182" spans="1:41" s="61" customFormat="1" x14ac:dyDescent="0.25">
      <c r="A6182" s="358"/>
      <c r="B6182" s="361"/>
      <c r="C6182" s="221" t="s">
        <v>76</v>
      </c>
      <c r="D6182" s="231" t="s">
        <v>49</v>
      </c>
      <c r="E6182" s="231" t="s">
        <v>22</v>
      </c>
      <c r="F6182" s="231" t="s">
        <v>22</v>
      </c>
      <c r="G6182" s="238">
        <f>MROUND(H6182*L6182*I6182/K6182,0.00000000001)</f>
        <v>0.18972856666999999</v>
      </c>
      <c r="H6182" s="160">
        <f>H5464</f>
        <v>9940</v>
      </c>
      <c r="I6182" s="159">
        <f>I6180</f>
        <v>8.0167000000000002E-2</v>
      </c>
      <c r="J6182" s="160"/>
      <c r="K6182" s="161">
        <f>K6180</f>
        <v>4200</v>
      </c>
      <c r="L6182" s="250">
        <v>1</v>
      </c>
      <c r="M6182" s="163" t="str">
        <f>CONCATENATE(H6182," ",F6182,"*",I6182,"/",K6182,"чел")</f>
        <v>9940 м2*0,080167/4200чел</v>
      </c>
      <c r="N6182" s="278">
        <f>N5464</f>
        <v>1444.6680080482897</v>
      </c>
      <c r="O6182" s="280">
        <f>MROUND(N6182*G6182,0.000000001)</f>
        <v>274.09479048100002</v>
      </c>
      <c r="P6182" s="166"/>
      <c r="Q6182" s="166">
        <f>O6182*K6182</f>
        <v>1151198.1200202</v>
      </c>
      <c r="R6182" s="71"/>
    </row>
    <row r="6183" spans="1:41" s="61" customFormat="1" x14ac:dyDescent="0.25">
      <c r="A6183" s="358"/>
      <c r="B6183" s="361"/>
      <c r="C6183" s="221"/>
      <c r="D6183" s="231" t="s">
        <v>49</v>
      </c>
      <c r="E6183" s="231" t="s">
        <v>28</v>
      </c>
      <c r="F6183" s="231" t="s">
        <v>28</v>
      </c>
      <c r="G6183" s="238">
        <f>MROUND(H6183*L6183*I6183/K6183,0.00000000001)</f>
        <v>8.2075737999999997E-4</v>
      </c>
      <c r="H6183" s="160">
        <f>H5465</f>
        <v>43</v>
      </c>
      <c r="I6183" s="159">
        <f>I6182</f>
        <v>8.0167000000000002E-2</v>
      </c>
      <c r="J6183" s="160"/>
      <c r="K6183" s="161">
        <f>K6182</f>
        <v>4200</v>
      </c>
      <c r="L6183" s="250">
        <v>1</v>
      </c>
      <c r="M6183" s="163" t="str">
        <f>CONCATENATE(H6183," ",F6183,"*",I6183,"/",K6183,"чел")</f>
        <v>43 шт*0,080167/4200чел</v>
      </c>
      <c r="N6183" s="278">
        <f>N5465</f>
        <v>109534.88372093023</v>
      </c>
      <c r="O6183" s="280">
        <f>MROUND(N6183*G6183,0.000000001)</f>
        <v>89.901564181000012</v>
      </c>
      <c r="P6183" s="166"/>
      <c r="Q6183" s="166">
        <f>O6183*K6183</f>
        <v>377586.56956020003</v>
      </c>
      <c r="R6183" s="71"/>
    </row>
    <row r="6184" spans="1:41" s="61" customFormat="1" x14ac:dyDescent="0.25">
      <c r="A6184" s="358"/>
      <c r="B6184" s="361"/>
      <c r="C6184" s="221"/>
      <c r="D6184" s="231" t="s">
        <v>49</v>
      </c>
      <c r="E6184" s="231" t="s">
        <v>101</v>
      </c>
      <c r="F6184" s="231" t="s">
        <v>101</v>
      </c>
      <c r="G6184" s="238">
        <f>MROUND(H6184*L6184*I6184/K6184,0.00000000001)</f>
        <v>3.4739033329999995E-2</v>
      </c>
      <c r="H6184" s="160">
        <f>H5466</f>
        <v>1820</v>
      </c>
      <c r="I6184" s="159">
        <f>I6182</f>
        <v>8.0167000000000002E-2</v>
      </c>
      <c r="J6184" s="160"/>
      <c r="K6184" s="161">
        <f>K6182</f>
        <v>4200</v>
      </c>
      <c r="L6184" s="250">
        <v>1</v>
      </c>
      <c r="M6184" s="163" t="str">
        <f>CONCATENATE(H6184," ",F6184,"*",I6184,"/",K6184,"чел")</f>
        <v>1820 погон.м.*0,080167/4200чел</v>
      </c>
      <c r="N6184" s="278">
        <f>N5466</f>
        <v>2500</v>
      </c>
      <c r="O6184" s="280">
        <f>MROUND(N6184*G6184,0.000001)</f>
        <v>86.847583</v>
      </c>
      <c r="P6184" s="166"/>
      <c r="Q6184" s="166">
        <f>O6184*K6184</f>
        <v>364759.84860000003</v>
      </c>
      <c r="R6184" s="71"/>
    </row>
    <row r="6185" spans="1:41" s="109" customFormat="1" x14ac:dyDescent="0.25">
      <c r="A6185" s="358"/>
      <c r="B6185" s="361"/>
      <c r="C6185" s="218" t="s">
        <v>291</v>
      </c>
      <c r="D6185" s="232"/>
      <c r="E6185" s="232"/>
      <c r="F6185" s="232"/>
      <c r="G6185" s="227"/>
      <c r="H6185" s="228"/>
      <c r="I6185" s="206"/>
      <c r="J6185" s="228"/>
      <c r="K6185" s="207"/>
      <c r="L6185" s="257"/>
      <c r="M6185" s="209"/>
      <c r="N6185" s="281"/>
      <c r="O6185" s="279">
        <f>SUM(O6182:O6184)</f>
        <v>450.84393766200003</v>
      </c>
      <c r="P6185" s="267"/>
      <c r="Q6185" s="166"/>
      <c r="R6185" s="72"/>
      <c r="S6185" s="62"/>
      <c r="T6185" s="62"/>
      <c r="U6185" s="62"/>
      <c r="V6185" s="62"/>
      <c r="W6185" s="62"/>
      <c r="X6185" s="62"/>
      <c r="Y6185" s="62"/>
      <c r="Z6185" s="62"/>
      <c r="AA6185" s="62"/>
      <c r="AB6185" s="62"/>
      <c r="AC6185" s="62"/>
      <c r="AD6185" s="62"/>
      <c r="AE6185" s="62"/>
      <c r="AF6185" s="62"/>
      <c r="AG6185" s="62"/>
      <c r="AH6185" s="62"/>
      <c r="AI6185" s="62"/>
      <c r="AJ6185" s="62"/>
      <c r="AK6185" s="62"/>
      <c r="AL6185" s="62"/>
      <c r="AM6185" s="62"/>
      <c r="AN6185" s="62"/>
      <c r="AO6185" s="62"/>
    </row>
    <row r="6186" spans="1:41" s="61" customFormat="1" x14ac:dyDescent="0.25">
      <c r="A6186" s="358"/>
      <c r="B6186" s="361"/>
      <c r="C6186" s="221" t="s">
        <v>77</v>
      </c>
      <c r="D6186" s="231"/>
      <c r="E6186" s="231"/>
      <c r="F6186" s="231"/>
      <c r="G6186" s="238">
        <f>MROUND(H6186*L6186*I6186/K6186,0.00000000001)</f>
        <v>0</v>
      </c>
      <c r="H6186" s="160"/>
      <c r="I6186" s="159">
        <f>I6184</f>
        <v>8.0167000000000002E-2</v>
      </c>
      <c r="J6186" s="160"/>
      <c r="K6186" s="161">
        <f>K6184</f>
        <v>4200</v>
      </c>
      <c r="L6186" s="250"/>
      <c r="M6186" s="163"/>
      <c r="N6186" s="278"/>
      <c r="O6186" s="280">
        <f>MROUND(N6186*G6186,0.000001)</f>
        <v>0</v>
      </c>
      <c r="P6186" s="166"/>
      <c r="Q6186" s="166">
        <f>O6186*K6186</f>
        <v>0</v>
      </c>
      <c r="R6186" s="71"/>
    </row>
    <row r="6187" spans="1:41" s="109" customFormat="1" x14ac:dyDescent="0.25">
      <c r="A6187" s="358"/>
      <c r="B6187" s="361"/>
      <c r="C6187" s="218" t="s">
        <v>292</v>
      </c>
      <c r="D6187" s="232"/>
      <c r="E6187" s="232"/>
      <c r="F6187" s="232"/>
      <c r="G6187" s="227"/>
      <c r="H6187" s="228"/>
      <c r="I6187" s="206"/>
      <c r="J6187" s="228"/>
      <c r="K6187" s="207"/>
      <c r="L6187" s="257"/>
      <c r="M6187" s="209"/>
      <c r="N6187" s="281"/>
      <c r="O6187" s="279">
        <f>O6186</f>
        <v>0</v>
      </c>
      <c r="P6187" s="267"/>
      <c r="Q6187" s="166"/>
      <c r="R6187" s="72"/>
      <c r="S6187" s="62"/>
      <c r="T6187" s="62"/>
      <c r="U6187" s="62"/>
      <c r="V6187" s="62"/>
      <c r="W6187" s="62"/>
      <c r="X6187" s="62"/>
      <c r="Y6187" s="62"/>
      <c r="Z6187" s="62"/>
      <c r="AA6187" s="62"/>
      <c r="AB6187" s="62"/>
      <c r="AC6187" s="62"/>
      <c r="AD6187" s="62"/>
      <c r="AE6187" s="62"/>
      <c r="AF6187" s="62"/>
      <c r="AG6187" s="62"/>
      <c r="AH6187" s="62"/>
      <c r="AI6187" s="62"/>
      <c r="AJ6187" s="62"/>
      <c r="AK6187" s="62"/>
      <c r="AL6187" s="62"/>
      <c r="AM6187" s="62"/>
      <c r="AN6187" s="62"/>
      <c r="AO6187" s="62"/>
    </row>
    <row r="6188" spans="1:41" s="108" customFormat="1" x14ac:dyDescent="0.25">
      <c r="A6188" s="358"/>
      <c r="B6188" s="361"/>
      <c r="C6188" s="221"/>
      <c r="D6188" s="350" t="s">
        <v>65</v>
      </c>
      <c r="E6188" s="350"/>
      <c r="F6188" s="350"/>
      <c r="G6188" s="350"/>
      <c r="H6188" s="195"/>
      <c r="I6188" s="159"/>
      <c r="J6188" s="195"/>
      <c r="K6188" s="161"/>
      <c r="L6188" s="196"/>
      <c r="M6188" s="230"/>
      <c r="N6188" s="278"/>
      <c r="O6188" s="280"/>
      <c r="P6188" s="166"/>
      <c r="Q6188" s="166">
        <f t="shared" ref="Q6188:Q6207" si="1627">O6188*K6188</f>
        <v>0</v>
      </c>
      <c r="R6188" s="71"/>
      <c r="S6188" s="61"/>
      <c r="T6188" s="61"/>
      <c r="U6188" s="61"/>
      <c r="V6188" s="61"/>
      <c r="W6188" s="61"/>
      <c r="X6188" s="61"/>
      <c r="Y6188" s="61"/>
      <c r="Z6188" s="61"/>
      <c r="AA6188" s="61"/>
      <c r="AB6188" s="61"/>
      <c r="AC6188" s="61"/>
      <c r="AD6188" s="61"/>
      <c r="AE6188" s="61"/>
      <c r="AF6188" s="61"/>
      <c r="AG6188" s="61"/>
      <c r="AH6188" s="61"/>
      <c r="AI6188" s="61"/>
      <c r="AJ6188" s="61"/>
      <c r="AK6188" s="61"/>
      <c r="AL6188" s="61"/>
      <c r="AM6188" s="61"/>
      <c r="AN6188" s="61"/>
      <c r="AO6188" s="61"/>
    </row>
    <row r="6189" spans="1:41" s="108" customFormat="1" x14ac:dyDescent="0.25">
      <c r="A6189" s="358"/>
      <c r="B6189" s="361"/>
      <c r="C6189" s="221"/>
      <c r="D6189" s="194"/>
      <c r="E6189" s="194"/>
      <c r="F6189" s="194"/>
      <c r="G6189" s="217"/>
      <c r="H6189" s="195"/>
      <c r="I6189" s="159"/>
      <c r="J6189" s="195"/>
      <c r="K6189" s="161"/>
      <c r="L6189" s="196"/>
      <c r="M6189" s="230"/>
      <c r="N6189" s="278"/>
      <c r="O6189" s="280"/>
      <c r="P6189" s="166"/>
      <c r="Q6189" s="166">
        <f t="shared" si="1627"/>
        <v>0</v>
      </c>
      <c r="R6189" s="71"/>
      <c r="S6189" s="61"/>
      <c r="T6189" s="61"/>
      <c r="U6189" s="61"/>
      <c r="V6189" s="61"/>
      <c r="W6189" s="61"/>
      <c r="X6189" s="61"/>
      <c r="Y6189" s="61"/>
      <c r="Z6189" s="61"/>
      <c r="AA6189" s="61"/>
      <c r="AB6189" s="61"/>
      <c r="AC6189" s="61"/>
      <c r="AD6189" s="61"/>
      <c r="AE6189" s="61"/>
      <c r="AF6189" s="61"/>
      <c r="AG6189" s="61"/>
      <c r="AH6189" s="61"/>
      <c r="AI6189" s="61"/>
      <c r="AJ6189" s="61"/>
      <c r="AK6189" s="61"/>
      <c r="AL6189" s="61"/>
      <c r="AM6189" s="61"/>
      <c r="AN6189" s="61"/>
      <c r="AO6189" s="61"/>
    </row>
    <row r="6190" spans="1:41" s="108" customFormat="1" x14ac:dyDescent="0.25">
      <c r="A6190" s="358"/>
      <c r="B6190" s="361"/>
      <c r="C6190" s="365" t="s">
        <v>357</v>
      </c>
      <c r="D6190" s="368" t="s">
        <v>66</v>
      </c>
      <c r="E6190" s="368"/>
      <c r="F6190" s="368"/>
      <c r="G6190" s="368"/>
      <c r="H6190" s="195"/>
      <c r="I6190" s="159"/>
      <c r="J6190" s="195"/>
      <c r="K6190" s="161"/>
      <c r="L6190" s="196"/>
      <c r="M6190" s="230"/>
      <c r="N6190" s="278"/>
      <c r="O6190" s="279">
        <f>O6196</f>
        <v>8.94400963</v>
      </c>
      <c r="P6190" s="166"/>
      <c r="Q6190" s="166">
        <f t="shared" si="1627"/>
        <v>0</v>
      </c>
      <c r="R6190" s="71"/>
      <c r="S6190" s="61"/>
      <c r="T6190" s="61"/>
      <c r="U6190" s="61"/>
      <c r="V6190" s="61"/>
      <c r="W6190" s="61"/>
      <c r="X6190" s="61"/>
      <c r="Y6190" s="61"/>
      <c r="Z6190" s="61"/>
      <c r="AA6190" s="61"/>
      <c r="AB6190" s="61"/>
      <c r="AC6190" s="61"/>
      <c r="AD6190" s="61"/>
      <c r="AE6190" s="61"/>
      <c r="AF6190" s="61"/>
      <c r="AG6190" s="61"/>
      <c r="AH6190" s="61"/>
      <c r="AI6190" s="61"/>
      <c r="AJ6190" s="61"/>
      <c r="AK6190" s="61"/>
      <c r="AL6190" s="61"/>
      <c r="AM6190" s="61"/>
      <c r="AN6190" s="61"/>
      <c r="AO6190" s="61"/>
    </row>
    <row r="6191" spans="1:41" s="61" customFormat="1" x14ac:dyDescent="0.25">
      <c r="A6191" s="358"/>
      <c r="B6191" s="361"/>
      <c r="C6191" s="366"/>
      <c r="D6191" s="284" t="s">
        <v>241</v>
      </c>
      <c r="E6191" s="156" t="s">
        <v>28</v>
      </c>
      <c r="F6191" s="156" t="s">
        <v>28</v>
      </c>
      <c r="G6191" s="238">
        <f>MROUND(H6191*L6191*I6191/K6191,0.00000000001)</f>
        <v>3.8938257099999998E-3</v>
      </c>
      <c r="H6191" s="158">
        <f>H5473</f>
        <v>17</v>
      </c>
      <c r="I6191" s="159">
        <f>I6184</f>
        <v>8.0167000000000002E-2</v>
      </c>
      <c r="J6191" s="160"/>
      <c r="K6191" s="161">
        <f>K6184</f>
        <v>4200</v>
      </c>
      <c r="L6191" s="250">
        <v>12</v>
      </c>
      <c r="M6191" s="163" t="str">
        <f>CONCATENATE(H6191," ",F6191,"*",L6191,"мес.","*",I6191,"/",K6191,"чел")</f>
        <v>17 шт*12мес.*0,080167/4200чел</v>
      </c>
      <c r="N6191" s="278">
        <f>N5473</f>
        <v>342.84676470588238</v>
      </c>
      <c r="O6191" s="280">
        <f>MROUND(N6191*G6191,0.000001)</f>
        <v>1.334986</v>
      </c>
      <c r="P6191" s="166"/>
      <c r="Q6191" s="166">
        <f t="shared" si="1627"/>
        <v>5606.9412000000002</v>
      </c>
      <c r="R6191" s="71"/>
    </row>
    <row r="6192" spans="1:41" s="61" customFormat="1" x14ac:dyDescent="0.25">
      <c r="A6192" s="358"/>
      <c r="B6192" s="361"/>
      <c r="C6192" s="366"/>
      <c r="D6192" s="284" t="s">
        <v>242</v>
      </c>
      <c r="E6192" s="156" t="s">
        <v>243</v>
      </c>
      <c r="F6192" s="156" t="s">
        <v>243</v>
      </c>
      <c r="G6192" s="238">
        <f>MROUND(H6192*L6192*I6192/K6192,0.00000000001)</f>
        <v>3.9639145771399997</v>
      </c>
      <c r="H6192" s="158">
        <f>H5474</f>
        <v>17306</v>
      </c>
      <c r="I6192" s="159">
        <f>I6191</f>
        <v>8.0167000000000002E-2</v>
      </c>
      <c r="J6192" s="160"/>
      <c r="K6192" s="161">
        <f>K6191</f>
        <v>4200</v>
      </c>
      <c r="L6192" s="250">
        <v>12</v>
      </c>
      <c r="M6192" s="163" t="str">
        <f>CONCATENATE(H6192," ",F6192,"*",L6192,"мес.","*",I6192,"/",K6192,"чел")</f>
        <v>17306 мин.*12мес.*0,080167/4200чел</v>
      </c>
      <c r="N6192" s="278">
        <f>N5474</f>
        <v>0.82090079548518802</v>
      </c>
      <c r="O6192" s="280">
        <f>MROUND(N6192*G6192,0.000000001)</f>
        <v>3.25398063</v>
      </c>
      <c r="P6192" s="166"/>
      <c r="Q6192" s="166">
        <f t="shared" si="1627"/>
        <v>13666.718645999999</v>
      </c>
      <c r="R6192" s="71"/>
    </row>
    <row r="6193" spans="1:41" s="61" customFormat="1" ht="31.5" x14ac:dyDescent="0.25">
      <c r="A6193" s="358"/>
      <c r="B6193" s="361"/>
      <c r="C6193" s="366"/>
      <c r="D6193" s="285" t="s">
        <v>244</v>
      </c>
      <c r="E6193" s="286" t="s">
        <v>245</v>
      </c>
      <c r="F6193" s="286" t="s">
        <v>247</v>
      </c>
      <c r="G6193" s="238">
        <f>MROUND(H6193*L6193*I6193/K6193,0.00000000001)</f>
        <v>1.1452428599999999E-3</v>
      </c>
      <c r="H6193" s="158">
        <f>H5475</f>
        <v>5</v>
      </c>
      <c r="I6193" s="159">
        <f>I6192</f>
        <v>8.0167000000000002E-2</v>
      </c>
      <c r="J6193" s="160"/>
      <c r="K6193" s="161">
        <f>K6192</f>
        <v>4200</v>
      </c>
      <c r="L6193" s="250">
        <v>12</v>
      </c>
      <c r="M6193" s="163" t="str">
        <f>CONCATENATE(H6193," ",F6193,"*",L6193,"мес.","*",I6193,"/",K6193,"чел")</f>
        <v>5 радиоточек*12мес.*0,080167/4200чел</v>
      </c>
      <c r="N6193" s="278">
        <f>N5475</f>
        <v>173.30166666666665</v>
      </c>
      <c r="O6193" s="280">
        <f>MROUND(N6193*G6193,0.000001)</f>
        <v>0.19847199999999998</v>
      </c>
      <c r="P6193" s="166"/>
      <c r="Q6193" s="166">
        <f t="shared" si="1627"/>
        <v>833.58239999999989</v>
      </c>
      <c r="R6193" s="71"/>
    </row>
    <row r="6194" spans="1:41" s="61" customFormat="1" ht="47.25" x14ac:dyDescent="0.25">
      <c r="A6194" s="358"/>
      <c r="B6194" s="361"/>
      <c r="C6194" s="366"/>
      <c r="D6194" s="285" t="s">
        <v>374</v>
      </c>
      <c r="E6194" s="156" t="s">
        <v>28</v>
      </c>
      <c r="F6194" s="156" t="s">
        <v>28</v>
      </c>
      <c r="G6194" s="238">
        <f>MROUND(H6194*L6194*I6194/K6194,0.00000000001)</f>
        <v>5.3444666999999998E-4</v>
      </c>
      <c r="H6194" s="158">
        <f>H5684</f>
        <v>7</v>
      </c>
      <c r="I6194" s="159">
        <f>I6192</f>
        <v>8.0167000000000002E-2</v>
      </c>
      <c r="J6194" s="160"/>
      <c r="K6194" s="161">
        <f>K6192</f>
        <v>4200</v>
      </c>
      <c r="L6194" s="250">
        <f>L5684</f>
        <v>4</v>
      </c>
      <c r="M6194" s="163" t="str">
        <f>CONCATENATE(H6194," ",F6194,"*",L6194,"мес.","*",I6194,"/",K6194,"чел/час")</f>
        <v>7 шт*4мес.*0,080167/4200чел/час</v>
      </c>
      <c r="N6194" s="278">
        <f>N5684</f>
        <v>1313.8174999999999</v>
      </c>
      <c r="O6194" s="280">
        <f>MROUND(N6194*G6194,0.000001)</f>
        <v>0.70216499999999993</v>
      </c>
      <c r="P6194" s="166"/>
      <c r="Q6194" s="166">
        <f t="shared" si="1627"/>
        <v>2949.0929999999998</v>
      </c>
      <c r="R6194" s="71"/>
    </row>
    <row r="6195" spans="1:41" s="61" customFormat="1" x14ac:dyDescent="0.25">
      <c r="A6195" s="358"/>
      <c r="B6195" s="361"/>
      <c r="C6195" s="367"/>
      <c r="D6195" s="284" t="s">
        <v>246</v>
      </c>
      <c r="E6195" s="156" t="s">
        <v>28</v>
      </c>
      <c r="F6195" s="156" t="s">
        <v>28</v>
      </c>
      <c r="G6195" s="238">
        <f>MROUND(H6195*L6195*I6195/K6195,0.00000000001)</f>
        <v>1.1452428599999999E-3</v>
      </c>
      <c r="H6195" s="158">
        <v>5</v>
      </c>
      <c r="I6195" s="159">
        <f>I6193</f>
        <v>8.0167000000000002E-2</v>
      </c>
      <c r="J6195" s="160"/>
      <c r="K6195" s="161">
        <f>K6193</f>
        <v>4200</v>
      </c>
      <c r="L6195" s="250">
        <v>12</v>
      </c>
      <c r="M6195" s="163" t="str">
        <f>CONCATENATE(H6195," ",F6195,"*",L6195,"мес.","*",I6195,"/",K6195,"чел")</f>
        <v>5 шт*12мес.*0,080167/4200чел</v>
      </c>
      <c r="N6195" s="278">
        <f>N5477</f>
        <v>3016.3089999999997</v>
      </c>
      <c r="O6195" s="280">
        <f>MROUND(N6195*G6195,0.000001)</f>
        <v>3.4544059999999996</v>
      </c>
      <c r="P6195" s="166"/>
      <c r="Q6195" s="166">
        <f t="shared" si="1627"/>
        <v>14508.505199999998</v>
      </c>
      <c r="R6195" s="71"/>
    </row>
    <row r="6196" spans="1:41" s="109" customFormat="1" x14ac:dyDescent="0.25">
      <c r="A6196" s="358"/>
      <c r="B6196" s="361"/>
      <c r="C6196" s="218" t="s">
        <v>358</v>
      </c>
      <c r="D6196" s="287"/>
      <c r="E6196" s="287"/>
      <c r="F6196" s="287"/>
      <c r="G6196" s="288"/>
      <c r="H6196" s="214"/>
      <c r="I6196" s="206"/>
      <c r="J6196" s="214"/>
      <c r="K6196" s="207"/>
      <c r="L6196" s="215"/>
      <c r="M6196" s="289"/>
      <c r="N6196" s="281"/>
      <c r="O6196" s="279">
        <f>SUM(O6191:O6195)</f>
        <v>8.94400963</v>
      </c>
      <c r="P6196" s="267"/>
      <c r="Q6196" s="166">
        <f t="shared" si="1627"/>
        <v>0</v>
      </c>
      <c r="R6196" s="71"/>
      <c r="S6196" s="62"/>
      <c r="T6196" s="62"/>
      <c r="U6196" s="62"/>
      <c r="V6196" s="62"/>
      <c r="W6196" s="62"/>
      <c r="X6196" s="62"/>
      <c r="Y6196" s="62"/>
      <c r="Z6196" s="62"/>
      <c r="AA6196" s="62"/>
      <c r="AB6196" s="62"/>
      <c r="AC6196" s="62"/>
      <c r="AD6196" s="62"/>
      <c r="AE6196" s="62"/>
      <c r="AF6196" s="62"/>
      <c r="AG6196" s="62"/>
      <c r="AH6196" s="62"/>
      <c r="AI6196" s="62"/>
      <c r="AJ6196" s="62"/>
      <c r="AK6196" s="62"/>
      <c r="AL6196" s="62"/>
      <c r="AM6196" s="62"/>
      <c r="AN6196" s="62"/>
      <c r="AO6196" s="62"/>
    </row>
    <row r="6197" spans="1:41" s="108" customFormat="1" x14ac:dyDescent="0.25">
      <c r="A6197" s="358"/>
      <c r="B6197" s="361"/>
      <c r="C6197" s="365" t="s">
        <v>366</v>
      </c>
      <c r="D6197" s="368" t="s">
        <v>67</v>
      </c>
      <c r="E6197" s="368"/>
      <c r="F6197" s="368"/>
      <c r="G6197" s="368"/>
      <c r="H6197" s="195"/>
      <c r="I6197" s="159"/>
      <c r="J6197" s="195"/>
      <c r="K6197" s="161"/>
      <c r="L6197" s="196"/>
      <c r="M6197" s="230"/>
      <c r="N6197" s="278"/>
      <c r="O6197" s="279">
        <f>O6198</f>
        <v>1.2012779999999998</v>
      </c>
      <c r="P6197" s="166"/>
      <c r="Q6197" s="166">
        <f t="shared" si="1627"/>
        <v>0</v>
      </c>
      <c r="R6197" s="71"/>
      <c r="S6197" s="61"/>
      <c r="T6197" s="61"/>
      <c r="U6197" s="61"/>
      <c r="V6197" s="61"/>
      <c r="W6197" s="61"/>
      <c r="X6197" s="61"/>
      <c r="Y6197" s="61"/>
      <c r="Z6197" s="61"/>
      <c r="AA6197" s="61"/>
      <c r="AB6197" s="61"/>
      <c r="AC6197" s="61"/>
      <c r="AD6197" s="61"/>
      <c r="AE6197" s="61"/>
      <c r="AF6197" s="61"/>
      <c r="AG6197" s="61"/>
      <c r="AH6197" s="61"/>
      <c r="AI6197" s="61"/>
      <c r="AJ6197" s="61"/>
      <c r="AK6197" s="61"/>
      <c r="AL6197" s="61"/>
      <c r="AM6197" s="61"/>
      <c r="AN6197" s="61"/>
      <c r="AO6197" s="61"/>
    </row>
    <row r="6198" spans="1:41" s="61" customFormat="1" x14ac:dyDescent="0.25">
      <c r="A6198" s="358"/>
      <c r="B6198" s="361"/>
      <c r="C6198" s="367"/>
      <c r="D6198" s="194" t="s">
        <v>367</v>
      </c>
      <c r="E6198" s="156" t="s">
        <v>28</v>
      </c>
      <c r="F6198" s="156" t="s">
        <v>28</v>
      </c>
      <c r="G6198" s="238">
        <f>MROUND(H6198*L6198*I6198/K6198,0.00000000001)</f>
        <v>4.5809713999999996E-4</v>
      </c>
      <c r="H6198" s="158">
        <f>H5480</f>
        <v>2</v>
      </c>
      <c r="I6198" s="159">
        <f>I6195</f>
        <v>8.0167000000000002E-2</v>
      </c>
      <c r="J6198" s="160"/>
      <c r="K6198" s="161">
        <f>K6195</f>
        <v>4200</v>
      </c>
      <c r="L6198" s="250">
        <v>12</v>
      </c>
      <c r="M6198" s="163" t="str">
        <f>CONCATENATE(H6198," ",F6198,"*",L6198,"мес.","*",I6198,"/",K6198,"чел")</f>
        <v>2 шт*12мес.*0,080167/4200чел</v>
      </c>
      <c r="N6198" s="278">
        <f>N5480</f>
        <v>2622.3220833333335</v>
      </c>
      <c r="O6198" s="280">
        <f>MROUND(N6198*G6198,0.000001)</f>
        <v>1.2012779999999998</v>
      </c>
      <c r="P6198" s="166"/>
      <c r="Q6198" s="166">
        <f t="shared" si="1627"/>
        <v>5045.3675999999996</v>
      </c>
      <c r="R6198" s="71"/>
    </row>
    <row r="6199" spans="1:41" s="108" customFormat="1" x14ac:dyDescent="0.25">
      <c r="A6199" s="358"/>
      <c r="B6199" s="361"/>
      <c r="C6199" s="221"/>
      <c r="D6199" s="350" t="s">
        <v>68</v>
      </c>
      <c r="E6199" s="350"/>
      <c r="F6199" s="350"/>
      <c r="G6199" s="350"/>
      <c r="H6199" s="195"/>
      <c r="I6199" s="159"/>
      <c r="J6199" s="195"/>
      <c r="K6199" s="161"/>
      <c r="L6199" s="196"/>
      <c r="M6199" s="230"/>
      <c r="N6199" s="278"/>
      <c r="O6199" s="280"/>
      <c r="P6199" s="166"/>
      <c r="Q6199" s="166">
        <f t="shared" si="1627"/>
        <v>0</v>
      </c>
      <c r="R6199" s="71"/>
      <c r="S6199" s="61"/>
      <c r="T6199" s="61"/>
      <c r="U6199" s="61"/>
      <c r="V6199" s="61"/>
      <c r="W6199" s="61"/>
      <c r="X6199" s="61"/>
      <c r="Y6199" s="61"/>
      <c r="Z6199" s="61"/>
      <c r="AA6199" s="61"/>
      <c r="AB6199" s="61"/>
      <c r="AC6199" s="61"/>
      <c r="AD6199" s="61"/>
      <c r="AE6199" s="61"/>
      <c r="AF6199" s="61"/>
      <c r="AG6199" s="61"/>
      <c r="AH6199" s="61"/>
      <c r="AI6199" s="61"/>
      <c r="AJ6199" s="61"/>
      <c r="AK6199" s="61"/>
      <c r="AL6199" s="61"/>
      <c r="AM6199" s="61"/>
      <c r="AN6199" s="61"/>
      <c r="AO6199" s="61"/>
    </row>
    <row r="6200" spans="1:41" s="108" customFormat="1" x14ac:dyDescent="0.25">
      <c r="A6200" s="358"/>
      <c r="B6200" s="361"/>
      <c r="C6200" s="221"/>
      <c r="D6200" s="156"/>
      <c r="E6200" s="156"/>
      <c r="F6200" s="156"/>
      <c r="G6200" s="236"/>
      <c r="H6200" s="195"/>
      <c r="I6200" s="159"/>
      <c r="J6200" s="195"/>
      <c r="K6200" s="161"/>
      <c r="L6200" s="196"/>
      <c r="M6200" s="230"/>
      <c r="N6200" s="278"/>
      <c r="O6200" s="280"/>
      <c r="P6200" s="166"/>
      <c r="Q6200" s="166">
        <f t="shared" si="1627"/>
        <v>0</v>
      </c>
      <c r="R6200" s="71"/>
      <c r="S6200" s="61"/>
      <c r="T6200" s="61"/>
      <c r="U6200" s="61"/>
      <c r="V6200" s="61"/>
      <c r="W6200" s="61"/>
      <c r="X6200" s="61"/>
      <c r="Y6200" s="61"/>
      <c r="Z6200" s="61"/>
      <c r="AA6200" s="61"/>
      <c r="AB6200" s="61"/>
      <c r="AC6200" s="61"/>
      <c r="AD6200" s="61"/>
      <c r="AE6200" s="61"/>
      <c r="AF6200" s="61"/>
      <c r="AG6200" s="61"/>
      <c r="AH6200" s="61"/>
      <c r="AI6200" s="61"/>
      <c r="AJ6200" s="61"/>
      <c r="AK6200" s="61"/>
      <c r="AL6200" s="61"/>
      <c r="AM6200" s="61"/>
      <c r="AN6200" s="61"/>
      <c r="AO6200" s="61"/>
    </row>
    <row r="6201" spans="1:41" s="108" customFormat="1" x14ac:dyDescent="0.25">
      <c r="A6201" s="358"/>
      <c r="B6201" s="361"/>
      <c r="C6201" s="221"/>
      <c r="D6201" s="368" t="s">
        <v>69</v>
      </c>
      <c r="E6201" s="368"/>
      <c r="F6201" s="368"/>
      <c r="G6201" s="368"/>
      <c r="H6201" s="187"/>
      <c r="I6201" s="159"/>
      <c r="J6201" s="187"/>
      <c r="K6201" s="161"/>
      <c r="L6201" s="276"/>
      <c r="M6201" s="230"/>
      <c r="N6201" s="278"/>
      <c r="O6201" s="279">
        <f>O6208+O6224+O6227+O6240+O6241+O6242+O6253+O6255+O6259+O6256</f>
        <v>69.513177999999996</v>
      </c>
      <c r="P6201" s="166"/>
      <c r="Q6201" s="166">
        <f t="shared" si="1627"/>
        <v>0</v>
      </c>
      <c r="R6201" s="71"/>
      <c r="S6201" s="61"/>
      <c r="T6201" s="61"/>
      <c r="U6201" s="61"/>
      <c r="V6201" s="61"/>
      <c r="W6201" s="61"/>
      <c r="X6201" s="61"/>
      <c r="Y6201" s="61"/>
      <c r="Z6201" s="61"/>
      <c r="AA6201" s="61"/>
      <c r="AB6201" s="61"/>
      <c r="AC6201" s="61"/>
      <c r="AD6201" s="61"/>
      <c r="AE6201" s="61"/>
      <c r="AF6201" s="61"/>
      <c r="AG6201" s="61"/>
      <c r="AH6201" s="61"/>
      <c r="AI6201" s="61"/>
      <c r="AJ6201" s="61"/>
      <c r="AK6201" s="61"/>
      <c r="AL6201" s="61"/>
      <c r="AM6201" s="61"/>
      <c r="AN6201" s="61"/>
      <c r="AO6201" s="61"/>
    </row>
    <row r="6202" spans="1:41" s="61" customFormat="1" ht="31.5" x14ac:dyDescent="0.25">
      <c r="A6202" s="358"/>
      <c r="B6202" s="361"/>
      <c r="C6202" s="365" t="s">
        <v>78</v>
      </c>
      <c r="D6202" s="156" t="s">
        <v>26</v>
      </c>
      <c r="E6202" s="156" t="s">
        <v>22</v>
      </c>
      <c r="F6202" s="156" t="s">
        <v>22</v>
      </c>
      <c r="G6202" s="238">
        <f t="shared" ref="G6202:G6207" si="1628">MROUND(H6202*L6202*I6202/K6202,0.00000000001)</f>
        <v>1.1361404669099999</v>
      </c>
      <c r="H6202" s="158">
        <f>H5484</f>
        <v>4960.26</v>
      </c>
      <c r="I6202" s="159">
        <f>I6198</f>
        <v>8.0167000000000002E-2</v>
      </c>
      <c r="J6202" s="160"/>
      <c r="K6202" s="161">
        <f>K6198</f>
        <v>4200</v>
      </c>
      <c r="L6202" s="250">
        <v>12</v>
      </c>
      <c r="M6202" s="163" t="str">
        <f>CONCATENATE(H6202," ",F6202,"(обрабатываемая площадь в мес.)","*",L6202,"мес.","*",I6202,"/",K6202,"чел")</f>
        <v>4960,26 м2(обрабатываемая площадь в мес.)*12мес.*0,080167/4200чел</v>
      </c>
      <c r="N6202" s="278">
        <f>N5484</f>
        <v>1.2085483758243856</v>
      </c>
      <c r="O6202" s="280">
        <f>MROUND(N6202*G6202,0.000001)</f>
        <v>1.373081</v>
      </c>
      <c r="P6202" s="166"/>
      <c r="Q6202" s="166">
        <f t="shared" si="1627"/>
        <v>5766.9402</v>
      </c>
      <c r="R6202" s="71"/>
    </row>
    <row r="6203" spans="1:41" s="61" customFormat="1" ht="31.5" x14ac:dyDescent="0.25">
      <c r="A6203" s="358"/>
      <c r="B6203" s="361"/>
      <c r="C6203" s="366"/>
      <c r="D6203" s="156" t="s">
        <v>96</v>
      </c>
      <c r="E6203" s="156" t="s">
        <v>22</v>
      </c>
      <c r="F6203" s="156" t="s">
        <v>22</v>
      </c>
      <c r="G6203" s="238">
        <f t="shared" si="1628"/>
        <v>0.62925597833999991</v>
      </c>
      <c r="H6203" s="158">
        <f>H5485</f>
        <v>2747.26</v>
      </c>
      <c r="I6203" s="298">
        <f>I6202</f>
        <v>8.0167000000000002E-2</v>
      </c>
      <c r="J6203" s="299"/>
      <c r="K6203" s="300">
        <f>K6202</f>
        <v>4200</v>
      </c>
      <c r="L6203" s="250">
        <v>12</v>
      </c>
      <c r="M6203" s="163" t="str">
        <f>CONCATENATE(H6203," ",F6203,"(обрабатываемая площадь в мес.)","*",L6203,"мес.","*",I6203,"/",K6203,"чел")</f>
        <v>2747,26 м2(обрабатываемая площадь в мес.)*12мес.*0,080167/4200чел</v>
      </c>
      <c r="N6203" s="278">
        <f>N5485</f>
        <v>1.68496671835453</v>
      </c>
      <c r="O6203" s="280">
        <f>MROUND(N6203*G6203,0.000001)</f>
        <v>1.0602749999999999</v>
      </c>
      <c r="P6203" s="166"/>
      <c r="Q6203" s="166">
        <f t="shared" si="1627"/>
        <v>4453.1549999999997</v>
      </c>
      <c r="R6203" s="71"/>
    </row>
    <row r="6204" spans="1:41" s="135" customFormat="1" ht="31.5" x14ac:dyDescent="0.25">
      <c r="A6204" s="358"/>
      <c r="B6204" s="361"/>
      <c r="C6204" s="366"/>
      <c r="D6204" s="156" t="s">
        <v>385</v>
      </c>
      <c r="E6204" s="156" t="s">
        <v>22</v>
      </c>
      <c r="F6204" s="156" t="s">
        <v>22</v>
      </c>
      <c r="G6204" s="238">
        <f t="shared" si="1628"/>
        <v>1.2585119566899998</v>
      </c>
      <c r="H6204" s="242">
        <f>$H$2098</f>
        <v>2747.26</v>
      </c>
      <c r="I6204" s="298">
        <f>I6203</f>
        <v>8.0167000000000002E-2</v>
      </c>
      <c r="J6204" s="160"/>
      <c r="K6204" s="300">
        <f>K6203</f>
        <v>4200</v>
      </c>
      <c r="L6204" s="162">
        <v>24</v>
      </c>
      <c r="M6204" s="163" t="str">
        <f>CONCATENATE(H6204," ",F6204,"(обрабатываемая площадь в год)","*",L6204," раза в год.","*",I6204,"/",K6204,"чел.")</f>
        <v>2747,26 м2(обрабатываемая площадь в год)*24 раза в год.*0,080167/4200чел.</v>
      </c>
      <c r="N6204" s="164">
        <f>$N$5486</f>
        <v>1.8597276619856391</v>
      </c>
      <c r="O6204" s="165">
        <f>MROUND(G6204*N6204,0.000001)</f>
        <v>2.3404889999999998</v>
      </c>
      <c r="P6204" s="166"/>
      <c r="Q6204" s="166">
        <f t="shared" si="1627"/>
        <v>9830.0537999999997</v>
      </c>
      <c r="R6204" s="71"/>
      <c r="S6204" s="61"/>
      <c r="T6204" s="61"/>
      <c r="U6204" s="61"/>
      <c r="V6204" s="61"/>
      <c r="W6204" s="61"/>
      <c r="X6204" s="61"/>
      <c r="Y6204" s="61"/>
      <c r="Z6204" s="61"/>
      <c r="AA6204" s="61"/>
      <c r="AB6204" s="61"/>
      <c r="AC6204" s="61"/>
      <c r="AD6204" s="61"/>
      <c r="AE6204" s="61"/>
      <c r="AF6204" s="61"/>
      <c r="AG6204" s="61"/>
      <c r="AH6204" s="61"/>
      <c r="AI6204" s="61"/>
      <c r="AJ6204" s="61"/>
      <c r="AK6204" s="61"/>
      <c r="AL6204" s="61"/>
      <c r="AM6204" s="61"/>
      <c r="AN6204" s="61"/>
      <c r="AO6204" s="61"/>
    </row>
    <row r="6205" spans="1:41" s="135" customFormat="1" ht="31.5" x14ac:dyDescent="0.25">
      <c r="A6205" s="358"/>
      <c r="B6205" s="361"/>
      <c r="C6205" s="366"/>
      <c r="D6205" s="156" t="s">
        <v>394</v>
      </c>
      <c r="E6205" s="156" t="s">
        <v>22</v>
      </c>
      <c r="F6205" s="156" t="s">
        <v>22</v>
      </c>
      <c r="G6205" s="238">
        <f t="shared" si="1628"/>
        <v>1.1361404669099999</v>
      </c>
      <c r="H6205" s="243">
        <f>$H$2099</f>
        <v>4960.26</v>
      </c>
      <c r="I6205" s="298">
        <f>I6204</f>
        <v>8.0167000000000002E-2</v>
      </c>
      <c r="J6205" s="160"/>
      <c r="K6205" s="300">
        <f>K6204</f>
        <v>4200</v>
      </c>
      <c r="L6205" s="162">
        <v>12</v>
      </c>
      <c r="M6205" s="163" t="str">
        <f>CONCATENATE(H6205," ",F6205,"(обрабатываемая площадь в мес.)","*",L6205,"мес.","*",I6205,"/",K6205,"чел.")</f>
        <v>4960,26 м2(обрабатываемая площадь в мес.)*12мес.*0,080167/4200чел.</v>
      </c>
      <c r="N6205" s="164">
        <f>$N$5487</f>
        <v>0.57006991568990339</v>
      </c>
      <c r="O6205" s="165">
        <f>MROUND(G6205*N6205,0.000001)</f>
        <v>0.64767999999999992</v>
      </c>
      <c r="P6205" s="166"/>
      <c r="Q6205" s="166">
        <f t="shared" si="1627"/>
        <v>2720.2559999999999</v>
      </c>
      <c r="R6205" s="71"/>
      <c r="S6205" s="61"/>
      <c r="T6205" s="61"/>
      <c r="U6205" s="61"/>
      <c r="V6205" s="61"/>
      <c r="W6205" s="61"/>
      <c r="X6205" s="61"/>
      <c r="Y6205" s="61"/>
      <c r="Z6205" s="61"/>
      <c r="AA6205" s="61"/>
      <c r="AB6205" s="61"/>
      <c r="AC6205" s="61"/>
      <c r="AD6205" s="61"/>
      <c r="AE6205" s="61"/>
      <c r="AF6205" s="61"/>
      <c r="AG6205" s="61"/>
      <c r="AH6205" s="61"/>
      <c r="AI6205" s="61"/>
      <c r="AJ6205" s="61"/>
      <c r="AK6205" s="61"/>
      <c r="AL6205" s="61"/>
      <c r="AM6205" s="61"/>
      <c r="AN6205" s="61"/>
      <c r="AO6205" s="61"/>
    </row>
    <row r="6206" spans="1:41" s="135" customFormat="1" ht="31.5" x14ac:dyDescent="0.25">
      <c r="A6206" s="358"/>
      <c r="B6206" s="361"/>
      <c r="C6206" s="366"/>
      <c r="D6206" s="156" t="s">
        <v>395</v>
      </c>
      <c r="E6206" s="156" t="s">
        <v>98</v>
      </c>
      <c r="F6206" s="156" t="s">
        <v>98</v>
      </c>
      <c r="G6206" s="238">
        <f t="shared" si="1628"/>
        <v>3.5884279999999997E-5</v>
      </c>
      <c r="H6206" s="242">
        <f>$H$2100</f>
        <v>1.8800000000000001</v>
      </c>
      <c r="I6206" s="298">
        <f>I6205</f>
        <v>8.0167000000000002E-2</v>
      </c>
      <c r="J6206" s="160"/>
      <c r="K6206" s="300">
        <f>K6205</f>
        <v>4200</v>
      </c>
      <c r="L6206" s="162">
        <v>1</v>
      </c>
      <c r="M6206" s="163" t="str">
        <f>CONCATENATE(H6206," ",F6206,"(обрабатываемая площадь в год)","*",L6206," раз в год","*",I6206,"/",K6206,"чел.")</f>
        <v>1,88 Га(обрабатываемая площадь в год)*1 раз в год*0,080167/4200чел.</v>
      </c>
      <c r="N6206" s="164">
        <f>$N$5488</f>
        <v>570.07446808510633</v>
      </c>
      <c r="O6206" s="165">
        <f>MROUND(G6206*N6206,0.000001)</f>
        <v>2.0456999999999999E-2</v>
      </c>
      <c r="P6206" s="166"/>
      <c r="Q6206" s="166">
        <f t="shared" si="1627"/>
        <v>85.919399999999996</v>
      </c>
      <c r="R6206" s="71"/>
      <c r="S6206" s="61"/>
      <c r="T6206" s="61"/>
      <c r="U6206" s="61"/>
      <c r="V6206" s="61"/>
      <c r="W6206" s="61"/>
      <c r="X6206" s="61"/>
      <c r="Y6206" s="61"/>
      <c r="Z6206" s="61"/>
      <c r="AA6206" s="61"/>
      <c r="AB6206" s="61"/>
      <c r="AC6206" s="61"/>
      <c r="AD6206" s="61"/>
      <c r="AE6206" s="61"/>
      <c r="AF6206" s="61"/>
      <c r="AG6206" s="61"/>
      <c r="AH6206" s="61"/>
      <c r="AI6206" s="61"/>
      <c r="AJ6206" s="61"/>
      <c r="AK6206" s="61"/>
      <c r="AL6206" s="61"/>
      <c r="AM6206" s="61"/>
      <c r="AN6206" s="61"/>
      <c r="AO6206" s="61"/>
    </row>
    <row r="6207" spans="1:41" s="61" customFormat="1" ht="31.5" x14ac:dyDescent="0.25">
      <c r="A6207" s="358"/>
      <c r="B6207" s="361"/>
      <c r="C6207" s="367"/>
      <c r="D6207" s="156" t="s">
        <v>97</v>
      </c>
      <c r="E6207" s="156" t="s">
        <v>363</v>
      </c>
      <c r="F6207" s="156" t="s">
        <v>363</v>
      </c>
      <c r="G6207" s="238">
        <f t="shared" si="1628"/>
        <v>3.5884279999999997E-5</v>
      </c>
      <c r="H6207" s="158">
        <f>$H$2101</f>
        <v>1.8800000000000001</v>
      </c>
      <c r="I6207" s="298">
        <f>I6203</f>
        <v>8.0167000000000002E-2</v>
      </c>
      <c r="J6207" s="299"/>
      <c r="K6207" s="300">
        <f>K6203</f>
        <v>4200</v>
      </c>
      <c r="L6207" s="250">
        <v>1</v>
      </c>
      <c r="M6207" s="163" t="str">
        <f>CONCATENATE(H6207," ",F6207,"(обрабатываемая площадь в мес.)","*",L6207,"мес.","*",I6207,"/",K6207,"чел")</f>
        <v>1,88 га(обрабатываемая площадь в мес.)*1мес.*0,080167/4200чел</v>
      </c>
      <c r="N6207" s="278">
        <f>$N$5489</f>
        <v>3102.4095744680853</v>
      </c>
      <c r="O6207" s="280">
        <f>MROUND(N6207*G6207,0.000001)</f>
        <v>0.111328</v>
      </c>
      <c r="P6207" s="166"/>
      <c r="Q6207" s="166">
        <f t="shared" si="1627"/>
        <v>467.57759999999996</v>
      </c>
      <c r="R6207" s="71"/>
    </row>
    <row r="6208" spans="1:41" s="109" customFormat="1" x14ac:dyDescent="0.25">
      <c r="A6208" s="358"/>
      <c r="B6208" s="361"/>
      <c r="C6208" s="218" t="s">
        <v>327</v>
      </c>
      <c r="D6208" s="240"/>
      <c r="E6208" s="240"/>
      <c r="F6208" s="240"/>
      <c r="G6208" s="227"/>
      <c r="H6208" s="241"/>
      <c r="I6208" s="206"/>
      <c r="J6208" s="228"/>
      <c r="K6208" s="207"/>
      <c r="L6208" s="257"/>
      <c r="M6208" s="209"/>
      <c r="N6208" s="281"/>
      <c r="O6208" s="279">
        <f>SUM(O6202:O6207)</f>
        <v>5.5533100000000006</v>
      </c>
      <c r="P6208" s="267"/>
      <c r="Q6208" s="166"/>
      <c r="R6208" s="71"/>
      <c r="S6208" s="62"/>
      <c r="T6208" s="62"/>
      <c r="U6208" s="62"/>
      <c r="V6208" s="62"/>
      <c r="W6208" s="62"/>
      <c r="X6208" s="62"/>
      <c r="Y6208" s="62"/>
      <c r="Z6208" s="62"/>
      <c r="AA6208" s="62"/>
      <c r="AB6208" s="62"/>
      <c r="AC6208" s="62"/>
      <c r="AD6208" s="62"/>
      <c r="AE6208" s="62"/>
      <c r="AF6208" s="62"/>
      <c r="AG6208" s="62"/>
      <c r="AH6208" s="62"/>
      <c r="AI6208" s="62"/>
      <c r="AJ6208" s="62"/>
      <c r="AK6208" s="62"/>
      <c r="AL6208" s="62"/>
      <c r="AM6208" s="62"/>
      <c r="AN6208" s="62"/>
      <c r="AO6208" s="62"/>
    </row>
    <row r="6209" spans="1:41" s="61" customFormat="1" x14ac:dyDescent="0.25">
      <c r="A6209" s="358"/>
      <c r="B6209" s="361"/>
      <c r="C6209" s="366" t="s">
        <v>77</v>
      </c>
      <c r="D6209" s="156" t="s">
        <v>397</v>
      </c>
      <c r="E6209" s="156" t="s">
        <v>433</v>
      </c>
      <c r="F6209" s="156" t="s">
        <v>433</v>
      </c>
      <c r="G6209" s="238">
        <f t="shared" ref="G6209:G6223" si="1629">MROUND(H6209*L6209*I6209/K6209,0.00000000001)</f>
        <v>0</v>
      </c>
      <c r="H6209" s="158"/>
      <c r="I6209" s="306">
        <f>I6203</f>
        <v>8.0167000000000002E-2</v>
      </c>
      <c r="J6209" s="307"/>
      <c r="K6209" s="308">
        <f>K6203</f>
        <v>4200</v>
      </c>
      <c r="L6209" s="162">
        <v>1</v>
      </c>
      <c r="M6209" s="163"/>
      <c r="N6209" s="278"/>
      <c r="O6209" s="280">
        <f t="shared" ref="O6209:O6220" si="1630">MROUND(N6209*G6209,0.000001)</f>
        <v>0</v>
      </c>
      <c r="P6209" s="166"/>
      <c r="Q6209" s="166">
        <f t="shared" ref="Q6209:Q6223" si="1631">O6209*K6209</f>
        <v>0</v>
      </c>
      <c r="R6209" s="71"/>
    </row>
    <row r="6210" spans="1:41" s="61" customFormat="1" ht="63" x14ac:dyDescent="0.25">
      <c r="A6210" s="358"/>
      <c r="B6210" s="361"/>
      <c r="C6210" s="366"/>
      <c r="D6210" s="156" t="s">
        <v>249</v>
      </c>
      <c r="E6210" s="156" t="s">
        <v>22</v>
      </c>
      <c r="F6210" s="156" t="s">
        <v>22</v>
      </c>
      <c r="G6210" s="238">
        <f t="shared" si="1629"/>
        <v>0.15822446265999998</v>
      </c>
      <c r="H6210" s="158">
        <f>H5596</f>
        <v>690.79</v>
      </c>
      <c r="I6210" s="159">
        <f>I6209</f>
        <v>8.0167000000000002E-2</v>
      </c>
      <c r="J6210" s="160"/>
      <c r="K6210" s="161">
        <f>K6209</f>
        <v>4200</v>
      </c>
      <c r="L6210" s="250">
        <v>12</v>
      </c>
      <c r="M6210" s="163" t="str">
        <f>CONCATENATE(H6210," ",F6210,"*",L6210,"мес.","*",I6210,"/",K6210,"чел")</f>
        <v>690,79 м2*12мес.*0,080167/4200чел</v>
      </c>
      <c r="N6210" s="278">
        <f>N5802</f>
        <v>31.700778577184575</v>
      </c>
      <c r="O6210" s="280">
        <f t="shared" si="1630"/>
        <v>5.0158389999999997</v>
      </c>
      <c r="P6210" s="166"/>
      <c r="Q6210" s="166">
        <f t="shared" si="1631"/>
        <v>21066.523799999999</v>
      </c>
      <c r="R6210" s="71"/>
    </row>
    <row r="6211" spans="1:41" s="136" customFormat="1" x14ac:dyDescent="0.25">
      <c r="A6211" s="358"/>
      <c r="B6211" s="361"/>
      <c r="C6211" s="366"/>
      <c r="D6211" s="194" t="s">
        <v>398</v>
      </c>
      <c r="E6211" s="156" t="s">
        <v>60</v>
      </c>
      <c r="F6211" s="156" t="s">
        <v>60</v>
      </c>
      <c r="G6211" s="238">
        <f t="shared" si="1629"/>
        <v>9.5436899999999994E-5</v>
      </c>
      <c r="H6211" s="158">
        <f>$H$2105</f>
        <v>5</v>
      </c>
      <c r="I6211" s="159">
        <f>I6210</f>
        <v>8.0167000000000002E-2</v>
      </c>
      <c r="J6211" s="160"/>
      <c r="K6211" s="161">
        <f>K6210</f>
        <v>4200</v>
      </c>
      <c r="L6211" s="250">
        <v>1</v>
      </c>
      <c r="M6211" s="163" t="str">
        <f>CONCATENATE(H6211," ",F6211,"*",I6211,"/",K6211,"чел/час")</f>
        <v>5 шт.*0,080167/4200чел/час</v>
      </c>
      <c r="N6211" s="278">
        <f>$N$5493</f>
        <v>5700.7</v>
      </c>
      <c r="O6211" s="280">
        <f t="shared" si="1630"/>
        <v>0.54405700000000001</v>
      </c>
      <c r="P6211" s="166"/>
      <c r="Q6211" s="166">
        <f t="shared" si="1631"/>
        <v>2285.0394000000001</v>
      </c>
      <c r="R6211" s="71"/>
      <c r="S6211" s="61"/>
      <c r="T6211" s="61"/>
      <c r="U6211" s="61"/>
      <c r="V6211" s="61"/>
      <c r="W6211" s="61"/>
      <c r="X6211" s="61"/>
      <c r="Y6211" s="61"/>
      <c r="Z6211" s="61"/>
      <c r="AA6211" s="61"/>
      <c r="AB6211" s="61"/>
      <c r="AC6211" s="61"/>
      <c r="AD6211" s="61"/>
      <c r="AE6211" s="61"/>
      <c r="AF6211" s="61"/>
      <c r="AG6211" s="61"/>
      <c r="AH6211" s="61"/>
      <c r="AI6211" s="61"/>
      <c r="AJ6211" s="61"/>
      <c r="AK6211" s="61"/>
      <c r="AL6211" s="61"/>
      <c r="AM6211" s="61"/>
      <c r="AN6211" s="61"/>
      <c r="AO6211" s="61"/>
    </row>
    <row r="6212" spans="1:41" s="136" customFormat="1" ht="63" x14ac:dyDescent="0.25">
      <c r="A6212" s="358"/>
      <c r="B6212" s="361"/>
      <c r="C6212" s="366"/>
      <c r="D6212" s="156" t="s">
        <v>33</v>
      </c>
      <c r="E6212" s="156" t="s">
        <v>56</v>
      </c>
      <c r="F6212" s="156" t="s">
        <v>220</v>
      </c>
      <c r="G6212" s="238">
        <f t="shared" si="1629"/>
        <v>9.5436899999999994E-5</v>
      </c>
      <c r="H6212" s="158">
        <f>$H$2106</f>
        <v>5</v>
      </c>
      <c r="I6212" s="159">
        <f>I6211</f>
        <v>8.0167000000000002E-2</v>
      </c>
      <c r="J6212" s="160"/>
      <c r="K6212" s="161">
        <f>K6211</f>
        <v>4200</v>
      </c>
      <c r="L6212" s="250">
        <f>$L$2106</f>
        <v>1</v>
      </c>
      <c r="M6212" s="163" t="str">
        <f>CONCATENATE(H6212," ",F6212,"*",L6212," раз в год","*",I6212,"/",K6212,"чел.")</f>
        <v>5 дымоходов*1 раз в год*0,080167/4200чел.</v>
      </c>
      <c r="N6212" s="278">
        <f>$N$5494</f>
        <v>6840.8399999999992</v>
      </c>
      <c r="O6212" s="280">
        <f t="shared" si="1630"/>
        <v>0.65286899999999992</v>
      </c>
      <c r="P6212" s="166"/>
      <c r="Q6212" s="166">
        <f t="shared" si="1631"/>
        <v>2742.0497999999998</v>
      </c>
      <c r="R6212" s="71"/>
      <c r="S6212" s="61"/>
      <c r="T6212" s="61"/>
      <c r="U6212" s="61"/>
      <c r="V6212" s="61"/>
      <c r="W6212" s="61"/>
      <c r="X6212" s="61"/>
      <c r="Y6212" s="61"/>
      <c r="Z6212" s="61"/>
      <c r="AA6212" s="61"/>
      <c r="AB6212" s="61"/>
      <c r="AC6212" s="61"/>
      <c r="AD6212" s="61"/>
      <c r="AE6212" s="61"/>
      <c r="AF6212" s="61"/>
      <c r="AG6212" s="61"/>
      <c r="AH6212" s="61"/>
      <c r="AI6212" s="61"/>
      <c r="AJ6212" s="61"/>
      <c r="AK6212" s="61"/>
      <c r="AL6212" s="61"/>
      <c r="AM6212" s="61"/>
      <c r="AN6212" s="61"/>
      <c r="AO6212" s="61"/>
    </row>
    <row r="6213" spans="1:41" s="61" customFormat="1" ht="78.75" x14ac:dyDescent="0.25">
      <c r="A6213" s="358"/>
      <c r="B6213" s="361"/>
      <c r="C6213" s="366"/>
      <c r="D6213" s="156" t="s">
        <v>250</v>
      </c>
      <c r="E6213" s="156" t="s">
        <v>251</v>
      </c>
      <c r="F6213" s="156" t="s">
        <v>60</v>
      </c>
      <c r="G6213" s="238">
        <f t="shared" si="1629"/>
        <v>9.5436899999999994E-5</v>
      </c>
      <c r="H6213" s="158">
        <f>$H$2107</f>
        <v>5</v>
      </c>
      <c r="I6213" s="159">
        <f>I6210</f>
        <v>8.0167000000000002E-2</v>
      </c>
      <c r="J6213" s="160"/>
      <c r="K6213" s="161">
        <f>K6210</f>
        <v>4200</v>
      </c>
      <c r="L6213" s="250">
        <v>1</v>
      </c>
      <c r="M6213" s="163" t="str">
        <f>CONCATENATE(H6213," ",F6213,"*",I6213,"/",K6213,"чел")</f>
        <v>5 шт.*0,080167/4200чел</v>
      </c>
      <c r="N6213" s="278">
        <f t="shared" ref="N6213:N6223" si="1632">N5495</f>
        <v>4560.5600000000004</v>
      </c>
      <c r="O6213" s="280">
        <f t="shared" si="1630"/>
        <v>0.43524599999999997</v>
      </c>
      <c r="P6213" s="166"/>
      <c r="Q6213" s="166">
        <f t="shared" si="1631"/>
        <v>1828.0331999999999</v>
      </c>
      <c r="R6213" s="71"/>
    </row>
    <row r="6214" spans="1:41" s="61" customFormat="1" ht="47.25" x14ac:dyDescent="0.25">
      <c r="A6214" s="358"/>
      <c r="B6214" s="361"/>
      <c r="C6214" s="366"/>
      <c r="D6214" s="156" t="s">
        <v>401</v>
      </c>
      <c r="E6214" s="156" t="s">
        <v>60</v>
      </c>
      <c r="F6214" s="156" t="s">
        <v>402</v>
      </c>
      <c r="G6214" s="238">
        <f t="shared" si="1629"/>
        <v>1.9087380999999998E-4</v>
      </c>
      <c r="H6214" s="158">
        <f>H5496</f>
        <v>5</v>
      </c>
      <c r="I6214" s="159">
        <f>I6213</f>
        <v>8.0167000000000002E-2</v>
      </c>
      <c r="J6214" s="160"/>
      <c r="K6214" s="161">
        <f>K6213</f>
        <v>4200</v>
      </c>
      <c r="L6214" s="250">
        <f>$L$2108</f>
        <v>2</v>
      </c>
      <c r="M6214" s="163" t="str">
        <f>CONCATENATE(H6214," ",F6214,"*",I6214,"/",K6214,"чел")</f>
        <v>5 противопожарных водопроводов*0,080167/4200чел</v>
      </c>
      <c r="N6214" s="278">
        <f t="shared" si="1632"/>
        <v>2850.35</v>
      </c>
      <c r="O6214" s="280">
        <f t="shared" si="1630"/>
        <v>0.54405700000000001</v>
      </c>
      <c r="P6214" s="166"/>
      <c r="Q6214" s="166">
        <f t="shared" si="1631"/>
        <v>2285.0394000000001</v>
      </c>
      <c r="R6214" s="71"/>
    </row>
    <row r="6215" spans="1:41" s="61" customFormat="1" ht="47.25" x14ac:dyDescent="0.25">
      <c r="A6215" s="358"/>
      <c r="B6215" s="361"/>
      <c r="C6215" s="366"/>
      <c r="D6215" s="156" t="s">
        <v>34</v>
      </c>
      <c r="E6215" s="156" t="s">
        <v>59</v>
      </c>
      <c r="F6215" s="156" t="s">
        <v>28</v>
      </c>
      <c r="G6215" s="238">
        <f t="shared" si="1629"/>
        <v>3.8174759999999996E-5</v>
      </c>
      <c r="H6215" s="158">
        <f>H5497</f>
        <v>2</v>
      </c>
      <c r="I6215" s="159">
        <f>I6214</f>
        <v>8.0167000000000002E-2</v>
      </c>
      <c r="J6215" s="160"/>
      <c r="K6215" s="161">
        <f>K6214</f>
        <v>4200</v>
      </c>
      <c r="L6215" s="250">
        <v>1</v>
      </c>
      <c r="M6215" s="163" t="str">
        <f>CONCATENATE(H6215," ",F6215,"*",I6215,"/",K6215,"чел")</f>
        <v>2 шт*0,080167/4200чел</v>
      </c>
      <c r="N6215" s="278">
        <f t="shared" si="1632"/>
        <v>7845</v>
      </c>
      <c r="O6215" s="280">
        <f t="shared" si="1630"/>
        <v>0.299481</v>
      </c>
      <c r="P6215" s="166"/>
      <c r="Q6215" s="166">
        <f t="shared" si="1631"/>
        <v>1257.8201999999999</v>
      </c>
      <c r="R6215" s="71"/>
    </row>
    <row r="6216" spans="1:41" s="61" customFormat="1" ht="47.25" x14ac:dyDescent="0.25">
      <c r="A6216" s="358"/>
      <c r="B6216" s="361"/>
      <c r="C6216" s="366"/>
      <c r="D6216" s="156" t="s">
        <v>222</v>
      </c>
      <c r="E6216" s="156" t="s">
        <v>60</v>
      </c>
      <c r="F6216" s="156" t="s">
        <v>60</v>
      </c>
      <c r="G6216" s="238">
        <f t="shared" si="1629"/>
        <v>3.8174759999999996E-5</v>
      </c>
      <c r="H6216" s="158">
        <f>H5602</f>
        <v>2</v>
      </c>
      <c r="I6216" s="159">
        <f>I6215</f>
        <v>8.0167000000000002E-2</v>
      </c>
      <c r="J6216" s="160"/>
      <c r="K6216" s="161">
        <f>K6215</f>
        <v>4200</v>
      </c>
      <c r="L6216" s="250">
        <v>1</v>
      </c>
      <c r="M6216" s="163" t="str">
        <f>CONCATENATE(H6216," ",F6216,"*",I6216,"/",K6216,"чел")</f>
        <v>2 шт.*0,080167/4200чел</v>
      </c>
      <c r="N6216" s="278">
        <f t="shared" si="1632"/>
        <v>13598</v>
      </c>
      <c r="O6216" s="280">
        <f t="shared" si="1630"/>
        <v>0.51910000000000001</v>
      </c>
      <c r="P6216" s="166"/>
      <c r="Q6216" s="166">
        <f t="shared" si="1631"/>
        <v>2180.2199999999998</v>
      </c>
      <c r="R6216" s="71"/>
    </row>
    <row r="6217" spans="1:41" s="61" customFormat="1" ht="31.5" x14ac:dyDescent="0.25">
      <c r="A6217" s="358"/>
      <c r="B6217" s="361"/>
      <c r="C6217" s="366"/>
      <c r="D6217" s="156" t="s">
        <v>35</v>
      </c>
      <c r="E6217" s="156" t="s">
        <v>102</v>
      </c>
      <c r="F6217" s="156" t="s">
        <v>252</v>
      </c>
      <c r="G6217" s="238">
        <f t="shared" si="1629"/>
        <v>3.8174759999999996E-5</v>
      </c>
      <c r="H6217" s="158">
        <f>H5499</f>
        <v>2</v>
      </c>
      <c r="I6217" s="159">
        <f>I6215</f>
        <v>8.0167000000000002E-2</v>
      </c>
      <c r="J6217" s="160"/>
      <c r="K6217" s="161">
        <f>K6215</f>
        <v>4200</v>
      </c>
      <c r="L6217" s="250">
        <v>1</v>
      </c>
      <c r="M6217" s="163" t="str">
        <f>CONCATENATE(H6217," ",F6217,"*",I6217,"/",K6217,"чел")</f>
        <v>2 замера*0,080167/4200чел</v>
      </c>
      <c r="N6217" s="278">
        <f t="shared" si="1632"/>
        <v>62500</v>
      </c>
      <c r="O6217" s="280">
        <f t="shared" si="1630"/>
        <v>2.385923</v>
      </c>
      <c r="P6217" s="166"/>
      <c r="Q6217" s="166">
        <f t="shared" si="1631"/>
        <v>10020.8766</v>
      </c>
      <c r="R6217" s="71"/>
    </row>
    <row r="6218" spans="1:41" s="61" customFormat="1" ht="47.25" x14ac:dyDescent="0.25">
      <c r="A6218" s="358"/>
      <c r="B6218" s="361"/>
      <c r="C6218" s="366"/>
      <c r="D6218" s="156" t="s">
        <v>399</v>
      </c>
      <c r="E6218" s="156" t="s">
        <v>60</v>
      </c>
      <c r="F6218" s="156" t="s">
        <v>60</v>
      </c>
      <c r="G6218" s="238">
        <f t="shared" si="1629"/>
        <v>7.634952399999999E-4</v>
      </c>
      <c r="H6218" s="158">
        <f>$H$2112</f>
        <v>4</v>
      </c>
      <c r="I6218" s="159">
        <f>I6217</f>
        <v>8.0167000000000002E-2</v>
      </c>
      <c r="J6218" s="160"/>
      <c r="K6218" s="161">
        <f>K6217</f>
        <v>4200</v>
      </c>
      <c r="L6218" s="250">
        <v>10</v>
      </c>
      <c r="M6218" s="163" t="str">
        <f>CONCATENATE(H6218," ",F6218,"*",L6218,"мес.","*",I6218,"/",K6218,"чел")</f>
        <v>4 шт.*10мес.*0,080167/4200чел</v>
      </c>
      <c r="N6218" s="278">
        <f t="shared" si="1632"/>
        <v>2522.5597499999994</v>
      </c>
      <c r="O6218" s="280">
        <f t="shared" si="1630"/>
        <v>1.925962</v>
      </c>
      <c r="P6218" s="166"/>
      <c r="Q6218" s="166">
        <f t="shared" si="1631"/>
        <v>8089.0403999999999</v>
      </c>
      <c r="R6218" s="71"/>
    </row>
    <row r="6219" spans="1:41" s="61" customFormat="1" ht="47.25" x14ac:dyDescent="0.25">
      <c r="A6219" s="358"/>
      <c r="B6219" s="361"/>
      <c r="C6219" s="366"/>
      <c r="D6219" s="156" t="s">
        <v>36</v>
      </c>
      <c r="E6219" s="156" t="s">
        <v>31</v>
      </c>
      <c r="F6219" s="156" t="s">
        <v>224</v>
      </c>
      <c r="G6219" s="238">
        <f t="shared" si="1629"/>
        <v>1.8323885699999998E-3</v>
      </c>
      <c r="H6219" s="158">
        <f>H5501</f>
        <v>8</v>
      </c>
      <c r="I6219" s="159">
        <f>I6218</f>
        <v>8.0167000000000002E-2</v>
      </c>
      <c r="J6219" s="160"/>
      <c r="K6219" s="161">
        <f>K6218</f>
        <v>4200</v>
      </c>
      <c r="L6219" s="250">
        <v>12</v>
      </c>
      <c r="M6219" s="163" t="str">
        <f>CONCATENATE(H6219," ",F6219,"*",L6219,"мес.","*",I6219,"/",K6219,"чел")</f>
        <v>8 устройств*12мес.*0,080167/4200чел</v>
      </c>
      <c r="N6219" s="278">
        <f t="shared" si="1632"/>
        <v>2301.2000000000003</v>
      </c>
      <c r="O6219" s="280">
        <f t="shared" si="1630"/>
        <v>4.2166930000000002</v>
      </c>
      <c r="P6219" s="166"/>
      <c r="Q6219" s="166">
        <f t="shared" si="1631"/>
        <v>17710.1106</v>
      </c>
      <c r="R6219" s="71"/>
    </row>
    <row r="6220" spans="1:41" s="61" customFormat="1" ht="63" x14ac:dyDescent="0.25">
      <c r="A6220" s="358"/>
      <c r="B6220" s="361"/>
      <c r="C6220" s="366"/>
      <c r="D6220" s="156" t="s">
        <v>253</v>
      </c>
      <c r="E6220" s="156" t="s">
        <v>55</v>
      </c>
      <c r="F6220" s="156" t="s">
        <v>55</v>
      </c>
      <c r="G6220" s="238">
        <f t="shared" si="1629"/>
        <v>1.1452428599999999E-3</v>
      </c>
      <c r="H6220" s="158">
        <f>H5502</f>
        <v>5</v>
      </c>
      <c r="I6220" s="159">
        <f>I6219</f>
        <v>8.0167000000000002E-2</v>
      </c>
      <c r="J6220" s="160"/>
      <c r="K6220" s="161">
        <f>K6219</f>
        <v>4200</v>
      </c>
      <c r="L6220" s="250">
        <v>12</v>
      </c>
      <c r="M6220" s="163" t="str">
        <f>CONCATENATE(H6220," ",F6220,"*",I6220,"/",K6220,"чел")</f>
        <v>5 система*0,080167/4200чел</v>
      </c>
      <c r="N6220" s="278">
        <f t="shared" si="1632"/>
        <v>4446.5460000000003</v>
      </c>
      <c r="O6220" s="280">
        <f t="shared" si="1630"/>
        <v>5.0923749999999997</v>
      </c>
      <c r="P6220" s="166"/>
      <c r="Q6220" s="166">
        <f t="shared" si="1631"/>
        <v>21387.974999999999</v>
      </c>
      <c r="R6220" s="71"/>
    </row>
    <row r="6221" spans="1:41" s="61" customFormat="1" ht="31.5" x14ac:dyDescent="0.25">
      <c r="A6221" s="358"/>
      <c r="B6221" s="361"/>
      <c r="C6221" s="366"/>
      <c r="D6221" s="156" t="s">
        <v>99</v>
      </c>
      <c r="E6221" s="156" t="s">
        <v>103</v>
      </c>
      <c r="F6221" s="156" t="s">
        <v>225</v>
      </c>
      <c r="G6221" s="238">
        <f t="shared" si="1629"/>
        <v>4.7718451999999995E-4</v>
      </c>
      <c r="H6221" s="158">
        <f>H5503</f>
        <v>25</v>
      </c>
      <c r="I6221" s="159">
        <f>I6220</f>
        <v>8.0167000000000002E-2</v>
      </c>
      <c r="J6221" s="160"/>
      <c r="K6221" s="161">
        <f>K6220</f>
        <v>4200</v>
      </c>
      <c r="L6221" s="250">
        <v>1</v>
      </c>
      <c r="M6221" s="163" t="str">
        <f>CONCATENATE(H6221," ",F6221,"*",I6221,"/",K6221,"чел.")</f>
        <v>25 ед.*0,080167/4200чел.</v>
      </c>
      <c r="N6221" s="164">
        <f t="shared" si="1632"/>
        <v>15000</v>
      </c>
      <c r="O6221" s="165">
        <f>MROUND(G6221*N6221,0.000001)</f>
        <v>7.1577679999999999</v>
      </c>
      <c r="P6221" s="166"/>
      <c r="Q6221" s="166">
        <f t="shared" si="1631"/>
        <v>30062.625599999999</v>
      </c>
      <c r="R6221" s="71"/>
    </row>
    <row r="6222" spans="1:41" s="61" customFormat="1" x14ac:dyDescent="0.25">
      <c r="A6222" s="358"/>
      <c r="B6222" s="361"/>
      <c r="C6222" s="366"/>
      <c r="D6222" s="156" t="s">
        <v>27</v>
      </c>
      <c r="E6222" s="156" t="s">
        <v>28</v>
      </c>
      <c r="F6222" s="156" t="s">
        <v>28</v>
      </c>
      <c r="G6222" s="238">
        <f t="shared" si="1629"/>
        <v>2.86310714E-3</v>
      </c>
      <c r="H6222" s="160">
        <f>H5504</f>
        <v>150</v>
      </c>
      <c r="I6222" s="159">
        <f>I6220</f>
        <v>8.0167000000000002E-2</v>
      </c>
      <c r="J6222" s="160"/>
      <c r="K6222" s="161">
        <f>K6220</f>
        <v>4200</v>
      </c>
      <c r="L6222" s="250">
        <v>1</v>
      </c>
      <c r="M6222" s="163" t="str">
        <f>CONCATENATE(H6222," ",F6222,"*",I6222,"/",K6222,"чел")</f>
        <v>150 шт*0,080167/4200чел</v>
      </c>
      <c r="N6222" s="278">
        <f t="shared" si="1632"/>
        <v>400</v>
      </c>
      <c r="O6222" s="280">
        <f t="shared" ref="O6222:O6223" si="1633">MROUND(N6222*G6222,0.000001)</f>
        <v>1.145243</v>
      </c>
      <c r="P6222" s="166"/>
      <c r="Q6222" s="166">
        <f t="shared" si="1631"/>
        <v>4810.0205999999998</v>
      </c>
      <c r="R6222" s="71"/>
    </row>
    <row r="6223" spans="1:41" s="61" customFormat="1" ht="31.5" x14ac:dyDescent="0.25">
      <c r="A6223" s="358"/>
      <c r="B6223" s="361"/>
      <c r="C6223" s="367"/>
      <c r="D6223" s="156" t="s">
        <v>104</v>
      </c>
      <c r="E6223" s="156" t="s">
        <v>105</v>
      </c>
      <c r="F6223" s="156" t="s">
        <v>226</v>
      </c>
      <c r="G6223" s="238">
        <f t="shared" si="1629"/>
        <v>9.5436899999999994E-5</v>
      </c>
      <c r="H6223" s="160">
        <f>H5505</f>
        <v>5</v>
      </c>
      <c r="I6223" s="159">
        <f>I6222</f>
        <v>8.0167000000000002E-2</v>
      </c>
      <c r="J6223" s="160"/>
      <c r="K6223" s="161">
        <f>K6222</f>
        <v>4200</v>
      </c>
      <c r="L6223" s="250">
        <v>1</v>
      </c>
      <c r="M6223" s="163" t="str">
        <f>CONCATENATE(H6223," ",F6223,"*",I6223,"/",K6223,"чел")</f>
        <v>5 отключений*0,080167/4200чел</v>
      </c>
      <c r="N6223" s="278">
        <f t="shared" si="1632"/>
        <v>9414</v>
      </c>
      <c r="O6223" s="280">
        <f t="shared" si="1633"/>
        <v>0.89844299999999999</v>
      </c>
      <c r="P6223" s="166"/>
      <c r="Q6223" s="166">
        <f t="shared" si="1631"/>
        <v>3773.4605999999999</v>
      </c>
      <c r="R6223" s="71"/>
    </row>
    <row r="6224" spans="1:41" s="109" customFormat="1" x14ac:dyDescent="0.25">
      <c r="A6224" s="358"/>
      <c r="B6224" s="361"/>
      <c r="C6224" s="249" t="s">
        <v>326</v>
      </c>
      <c r="D6224" s="240"/>
      <c r="E6224" s="240"/>
      <c r="F6224" s="240"/>
      <c r="G6224" s="227"/>
      <c r="H6224" s="228"/>
      <c r="I6224" s="206"/>
      <c r="J6224" s="228"/>
      <c r="K6224" s="207"/>
      <c r="L6224" s="257"/>
      <c r="M6224" s="209"/>
      <c r="N6224" s="281"/>
      <c r="O6224" s="279">
        <f>SUM(O6209:O6223)</f>
        <v>30.833056000000003</v>
      </c>
      <c r="P6224" s="267"/>
      <c r="Q6224" s="166"/>
      <c r="R6224" s="71"/>
      <c r="S6224" s="62"/>
      <c r="T6224" s="62"/>
      <c r="U6224" s="62"/>
      <c r="V6224" s="62"/>
      <c r="W6224" s="62"/>
      <c r="X6224" s="62"/>
      <c r="Y6224" s="62"/>
      <c r="Z6224" s="62"/>
      <c r="AA6224" s="62"/>
      <c r="AB6224" s="62"/>
      <c r="AC6224" s="62"/>
      <c r="AD6224" s="62"/>
      <c r="AE6224" s="62"/>
      <c r="AF6224" s="62"/>
      <c r="AG6224" s="62"/>
      <c r="AH6224" s="62"/>
      <c r="AI6224" s="62"/>
      <c r="AJ6224" s="62"/>
      <c r="AK6224" s="62"/>
      <c r="AL6224" s="62"/>
      <c r="AM6224" s="62"/>
      <c r="AN6224" s="62"/>
      <c r="AO6224" s="62"/>
    </row>
    <row r="6225" spans="1:41" s="61" customFormat="1" ht="31.5" x14ac:dyDescent="0.25">
      <c r="A6225" s="358"/>
      <c r="B6225" s="361"/>
      <c r="C6225" s="221" t="s">
        <v>79</v>
      </c>
      <c r="D6225" s="156" t="s">
        <v>37</v>
      </c>
      <c r="E6225" s="156" t="s">
        <v>61</v>
      </c>
      <c r="F6225" s="156" t="s">
        <v>254</v>
      </c>
      <c r="G6225" s="238">
        <f>MROUND(H6225*L6225*I6225/K6225,0.00000000001)</f>
        <v>1.9087379999999998E-5</v>
      </c>
      <c r="H6225" s="158">
        <f>$H$2119</f>
        <v>1</v>
      </c>
      <c r="I6225" s="159">
        <f>I6223</f>
        <v>8.0167000000000002E-2</v>
      </c>
      <c r="J6225" s="160"/>
      <c r="K6225" s="161">
        <f>K6223</f>
        <v>4200</v>
      </c>
      <c r="L6225" s="250">
        <v>1</v>
      </c>
      <c r="M6225" s="163" t="str">
        <f>CONCATENATE(H6225," ",F6225,"*",I6225,"/",K6225,"чел")</f>
        <v>1 автобус*0,080167/4200чел</v>
      </c>
      <c r="N6225" s="278">
        <f>N5507</f>
        <v>24426.36</v>
      </c>
      <c r="O6225" s="280">
        <f>MROUND(N6225*G6225,0.000001)</f>
        <v>0.46623499999999996</v>
      </c>
      <c r="P6225" s="166"/>
      <c r="Q6225" s="166">
        <f>O6225*K6225</f>
        <v>1958.1869999999999</v>
      </c>
      <c r="R6225" s="71"/>
    </row>
    <row r="6226" spans="1:41" s="61" customFormat="1" x14ac:dyDescent="0.25">
      <c r="A6226" s="358"/>
      <c r="B6226" s="361"/>
      <c r="C6226" s="221"/>
      <c r="D6226" s="156" t="s">
        <v>255</v>
      </c>
      <c r="E6226" s="156" t="s">
        <v>28</v>
      </c>
      <c r="F6226" s="156" t="s">
        <v>28</v>
      </c>
      <c r="G6226" s="238">
        <f>MROUND(H6226*L6226*I6226/K6226,0.00000000001)</f>
        <v>1.3170292859999998E-2</v>
      </c>
      <c r="H6226" s="158">
        <f>H5508</f>
        <v>345</v>
      </c>
      <c r="I6226" s="159">
        <f>I6225</f>
        <v>8.0167000000000002E-2</v>
      </c>
      <c r="J6226" s="160"/>
      <c r="K6226" s="161">
        <f>K6225</f>
        <v>4200</v>
      </c>
      <c r="L6226" s="250">
        <v>2</v>
      </c>
      <c r="M6226" s="163" t="str">
        <f>CONCATENATE(H6226," ",F6226,"*",L6226,"раза в год","*",I6226,"/",K6226,"чел")</f>
        <v>345 шт*2раза в год*0,080167/4200чел</v>
      </c>
      <c r="N6226" s="278">
        <f>N5508</f>
        <v>456.05601449275366</v>
      </c>
      <c r="O6226" s="280">
        <f>MROUND(N6226*G6226,0.000001)</f>
        <v>6.0063909999999998</v>
      </c>
      <c r="P6226" s="166"/>
      <c r="Q6226" s="166">
        <f>O6226*K6226</f>
        <v>25226.842199999999</v>
      </c>
      <c r="R6226" s="71"/>
    </row>
    <row r="6227" spans="1:41" s="109" customFormat="1" x14ac:dyDescent="0.25">
      <c r="A6227" s="358"/>
      <c r="B6227" s="361"/>
      <c r="C6227" s="218" t="s">
        <v>328</v>
      </c>
      <c r="D6227" s="240"/>
      <c r="E6227" s="240"/>
      <c r="F6227" s="240"/>
      <c r="G6227" s="227"/>
      <c r="H6227" s="241"/>
      <c r="I6227" s="206"/>
      <c r="J6227" s="228"/>
      <c r="K6227" s="207"/>
      <c r="L6227" s="257"/>
      <c r="M6227" s="209"/>
      <c r="N6227" s="281"/>
      <c r="O6227" s="279">
        <f>O6226+O6225</f>
        <v>6.472626</v>
      </c>
      <c r="P6227" s="267"/>
      <c r="Q6227" s="166"/>
      <c r="R6227" s="71"/>
      <c r="S6227" s="62"/>
      <c r="T6227" s="62"/>
      <c r="U6227" s="62"/>
      <c r="V6227" s="62"/>
      <c r="W6227" s="62"/>
      <c r="X6227" s="62"/>
      <c r="Y6227" s="62"/>
      <c r="Z6227" s="62"/>
      <c r="AA6227" s="62"/>
      <c r="AB6227" s="62"/>
      <c r="AC6227" s="62"/>
      <c r="AD6227" s="62"/>
      <c r="AE6227" s="62"/>
      <c r="AF6227" s="62"/>
      <c r="AG6227" s="62"/>
      <c r="AH6227" s="62"/>
      <c r="AI6227" s="62"/>
      <c r="AJ6227" s="62"/>
      <c r="AK6227" s="62"/>
      <c r="AL6227" s="62"/>
      <c r="AM6227" s="62"/>
      <c r="AN6227" s="62"/>
      <c r="AO6227" s="62"/>
    </row>
    <row r="6228" spans="1:41" s="61" customFormat="1" x14ac:dyDescent="0.25">
      <c r="A6228" s="358"/>
      <c r="B6228" s="361"/>
      <c r="C6228" s="364" t="s">
        <v>80</v>
      </c>
      <c r="D6228" s="156" t="s">
        <v>38</v>
      </c>
      <c r="E6228" s="156" t="s">
        <v>57</v>
      </c>
      <c r="F6228" s="156" t="s">
        <v>228</v>
      </c>
      <c r="G6228" s="238">
        <f t="shared" ref="G6228:G6239" si="1634">MROUND(H6228*L6228*I6228/K6228,0.00000000001)</f>
        <v>1.8323885699999998E-3</v>
      </c>
      <c r="H6228" s="158">
        <f>H5510</f>
        <v>8</v>
      </c>
      <c r="I6228" s="159">
        <f>I6225</f>
        <v>8.0167000000000002E-2</v>
      </c>
      <c r="J6228" s="160"/>
      <c r="K6228" s="161">
        <f>K6225</f>
        <v>4200</v>
      </c>
      <c r="L6228" s="250">
        <v>12</v>
      </c>
      <c r="M6228" s="163" t="str">
        <f>CONCATENATE(H6228," ",F6228,"*",L6228,"мес.","*",I6228,"/",K6228,"чел")</f>
        <v>8 зданий*12мес.*0,080167/4200чел</v>
      </c>
      <c r="N6228" s="278">
        <f t="shared" ref="N6228:N6237" si="1635">N5510</f>
        <v>4910.5830208333327</v>
      </c>
      <c r="O6228" s="280">
        <f t="shared" ref="O6228:O6239" si="1636">MROUND(N6228*G6228,0.000001)</f>
        <v>8.9980960000000003</v>
      </c>
      <c r="P6228" s="166"/>
      <c r="Q6228" s="166">
        <f t="shared" ref="Q6228:Q6239" si="1637">O6228*K6228</f>
        <v>37792.003199999999</v>
      </c>
      <c r="R6228" s="71"/>
    </row>
    <row r="6229" spans="1:41" s="61" customFormat="1" x14ac:dyDescent="0.25">
      <c r="A6229" s="358"/>
      <c r="B6229" s="361"/>
      <c r="C6229" s="364"/>
      <c r="D6229" s="156" t="s">
        <v>256</v>
      </c>
      <c r="E6229" s="156" t="s">
        <v>20</v>
      </c>
      <c r="F6229" s="156" t="s">
        <v>20</v>
      </c>
      <c r="G6229" s="238">
        <f t="shared" si="1634"/>
        <v>3.5693402399999997E-3</v>
      </c>
      <c r="H6229" s="158">
        <f>H5511</f>
        <v>187</v>
      </c>
      <c r="I6229" s="159">
        <f>I6226</f>
        <v>8.0167000000000002E-2</v>
      </c>
      <c r="J6229" s="160"/>
      <c r="K6229" s="161">
        <f>K6226</f>
        <v>4200</v>
      </c>
      <c r="L6229" s="250">
        <v>1</v>
      </c>
      <c r="M6229" s="163" t="str">
        <f t="shared" ref="M6229:M6235" si="1638">CONCATENATE(H6229," ",F6229,"*",I6229,"/",K6229,"чел")</f>
        <v>187 чел.*0,080167/4200чел</v>
      </c>
      <c r="N6229" s="278">
        <f t="shared" si="1635"/>
        <v>1938.2379679144385</v>
      </c>
      <c r="O6229" s="280">
        <f t="shared" si="1636"/>
        <v>6.9182309999999996</v>
      </c>
      <c r="P6229" s="166"/>
      <c r="Q6229" s="166">
        <f t="shared" si="1637"/>
        <v>29056.570199999998</v>
      </c>
      <c r="R6229" s="71"/>
    </row>
    <row r="6230" spans="1:41" s="61" customFormat="1" ht="63" x14ac:dyDescent="0.25">
      <c r="A6230" s="358"/>
      <c r="B6230" s="361"/>
      <c r="C6230" s="364"/>
      <c r="D6230" s="156" t="s">
        <v>39</v>
      </c>
      <c r="E6230" s="156" t="s">
        <v>20</v>
      </c>
      <c r="F6230" s="156" t="s">
        <v>234</v>
      </c>
      <c r="G6230" s="238">
        <f t="shared" si="1634"/>
        <v>1.7178642999999999E-4</v>
      </c>
      <c r="H6230" s="158">
        <f>H5512</f>
        <v>9</v>
      </c>
      <c r="I6230" s="159">
        <f>I6228</f>
        <v>8.0167000000000002E-2</v>
      </c>
      <c r="J6230" s="160"/>
      <c r="K6230" s="161">
        <f>K6228</f>
        <v>4200</v>
      </c>
      <c r="L6230" s="250">
        <v>1</v>
      </c>
      <c r="M6230" s="163" t="str">
        <f t="shared" si="1638"/>
        <v>9 чел(заявленная потребность руководителями учреждений)*0,080167/4200чел</v>
      </c>
      <c r="N6230" s="278">
        <f t="shared" si="1635"/>
        <v>798.09666666666669</v>
      </c>
      <c r="O6230" s="280">
        <f t="shared" si="1636"/>
        <v>0.137102</v>
      </c>
      <c r="P6230" s="166"/>
      <c r="Q6230" s="166">
        <f t="shared" si="1637"/>
        <v>575.82839999999999</v>
      </c>
      <c r="R6230" s="71"/>
    </row>
    <row r="6231" spans="1:41" s="61" customFormat="1" ht="63" x14ac:dyDescent="0.25">
      <c r="A6231" s="358"/>
      <c r="B6231" s="361"/>
      <c r="C6231" s="364"/>
      <c r="D6231" s="156" t="s">
        <v>40</v>
      </c>
      <c r="E6231" s="156" t="s">
        <v>20</v>
      </c>
      <c r="F6231" s="156" t="s">
        <v>234</v>
      </c>
      <c r="G6231" s="238">
        <f t="shared" si="1634"/>
        <v>2.4813594999999997E-4</v>
      </c>
      <c r="H6231" s="158">
        <f>H5513</f>
        <v>13</v>
      </c>
      <c r="I6231" s="159">
        <f t="shared" ref="I6231:I6236" si="1639">I6230</f>
        <v>8.0167000000000002E-2</v>
      </c>
      <c r="J6231" s="160"/>
      <c r="K6231" s="161">
        <f t="shared" ref="K6231:K6236" si="1640">K6230</f>
        <v>4200</v>
      </c>
      <c r="L6231" s="250">
        <v>1</v>
      </c>
      <c r="M6231" s="163" t="str">
        <f t="shared" si="1638"/>
        <v>13 чел(заявленная потребность руководителями учреждений)*0,080167/4200чел</v>
      </c>
      <c r="N6231" s="278">
        <f t="shared" si="1635"/>
        <v>1710.2100000000003</v>
      </c>
      <c r="O6231" s="280">
        <f t="shared" si="1636"/>
        <v>0.42436499999999999</v>
      </c>
      <c r="P6231" s="166"/>
      <c r="Q6231" s="166">
        <f t="shared" si="1637"/>
        <v>1782.3329999999999</v>
      </c>
      <c r="R6231" s="71"/>
    </row>
    <row r="6232" spans="1:41" s="61" customFormat="1" ht="63" x14ac:dyDescent="0.25">
      <c r="A6232" s="358"/>
      <c r="B6232" s="361"/>
      <c r="C6232" s="364"/>
      <c r="D6232" s="156" t="s">
        <v>100</v>
      </c>
      <c r="E6232" s="156" t="s">
        <v>20</v>
      </c>
      <c r="F6232" s="156" t="s">
        <v>234</v>
      </c>
      <c r="G6232" s="238">
        <f t="shared" si="1634"/>
        <v>1.3361166999999998E-4</v>
      </c>
      <c r="H6232" s="158">
        <f>H5514</f>
        <v>7</v>
      </c>
      <c r="I6232" s="159">
        <f t="shared" si="1639"/>
        <v>8.0167000000000002E-2</v>
      </c>
      <c r="J6232" s="160"/>
      <c r="K6232" s="161">
        <f t="shared" si="1640"/>
        <v>4200</v>
      </c>
      <c r="L6232" s="250">
        <v>1</v>
      </c>
      <c r="M6232" s="163" t="str">
        <f t="shared" si="1638"/>
        <v>7 чел(заявленная потребность руководителями учреждений)*0,080167/4200чел</v>
      </c>
      <c r="N6232" s="278">
        <f t="shared" si="1635"/>
        <v>3648.4471428571428</v>
      </c>
      <c r="O6232" s="280">
        <f t="shared" si="1636"/>
        <v>0.48747499999999999</v>
      </c>
      <c r="P6232" s="166"/>
      <c r="Q6232" s="166">
        <f t="shared" si="1637"/>
        <v>2047.395</v>
      </c>
      <c r="R6232" s="71"/>
    </row>
    <row r="6233" spans="1:41" s="61" customFormat="1" ht="110.25" x14ac:dyDescent="0.25">
      <c r="A6233" s="358"/>
      <c r="B6233" s="361"/>
      <c r="C6233" s="364"/>
      <c r="D6233" s="156" t="s">
        <v>235</v>
      </c>
      <c r="E6233" s="156" t="s">
        <v>50</v>
      </c>
      <c r="F6233" s="156" t="s">
        <v>230</v>
      </c>
      <c r="G6233" s="238">
        <f t="shared" si="1634"/>
        <v>9.5436899999999994E-5</v>
      </c>
      <c r="H6233" s="158">
        <v>5</v>
      </c>
      <c r="I6233" s="159">
        <f t="shared" si="1639"/>
        <v>8.0167000000000002E-2</v>
      </c>
      <c r="J6233" s="160"/>
      <c r="K6233" s="161">
        <f t="shared" si="1640"/>
        <v>4200</v>
      </c>
      <c r="L6233" s="250">
        <v>1</v>
      </c>
      <c r="M6233" s="163" t="str">
        <f t="shared" si="1638"/>
        <v>5 отчетов*0,080167/4200чел</v>
      </c>
      <c r="N6233" s="278">
        <f t="shared" si="1635"/>
        <v>6840.8399999999992</v>
      </c>
      <c r="O6233" s="280">
        <f t="shared" si="1636"/>
        <v>0.65286899999999992</v>
      </c>
      <c r="P6233" s="166"/>
      <c r="Q6233" s="166">
        <f t="shared" si="1637"/>
        <v>2742.0497999999998</v>
      </c>
      <c r="R6233" s="71"/>
    </row>
    <row r="6234" spans="1:41" s="61" customFormat="1" ht="63" x14ac:dyDescent="0.25">
      <c r="A6234" s="358"/>
      <c r="B6234" s="361"/>
      <c r="C6234" s="364"/>
      <c r="D6234" s="156" t="s">
        <v>42</v>
      </c>
      <c r="E6234" s="156" t="s">
        <v>51</v>
      </c>
      <c r="F6234" s="156" t="s">
        <v>407</v>
      </c>
      <c r="G6234" s="238">
        <f t="shared" si="1634"/>
        <v>4.9627189999999993E-4</v>
      </c>
      <c r="H6234" s="158">
        <f>H5516</f>
        <v>26</v>
      </c>
      <c r="I6234" s="159">
        <f t="shared" si="1639"/>
        <v>8.0167000000000002E-2</v>
      </c>
      <c r="J6234" s="160"/>
      <c r="K6234" s="161">
        <f t="shared" si="1640"/>
        <v>4200</v>
      </c>
      <c r="L6234" s="250">
        <v>1</v>
      </c>
      <c r="M6234" s="163" t="str">
        <f t="shared" si="1638"/>
        <v>26 ед (заявленная потребность руководителями учреждений)*0,080167/4200чел</v>
      </c>
      <c r="N6234" s="278">
        <f t="shared" si="1635"/>
        <v>1140.1400000000001</v>
      </c>
      <c r="O6234" s="280">
        <f t="shared" si="1636"/>
        <v>0.56581899999999996</v>
      </c>
      <c r="P6234" s="166"/>
      <c r="Q6234" s="166">
        <f t="shared" si="1637"/>
        <v>2376.4397999999997</v>
      </c>
      <c r="R6234" s="71"/>
    </row>
    <row r="6235" spans="1:41" s="61" customFormat="1" ht="31.5" x14ac:dyDescent="0.25">
      <c r="A6235" s="358"/>
      <c r="B6235" s="361"/>
      <c r="C6235" s="364"/>
      <c r="D6235" s="156" t="s">
        <v>43</v>
      </c>
      <c r="E6235" s="156" t="s">
        <v>52</v>
      </c>
      <c r="F6235" s="156" t="s">
        <v>231</v>
      </c>
      <c r="G6235" s="238">
        <f t="shared" si="1634"/>
        <v>9.5436899999999994E-5</v>
      </c>
      <c r="H6235" s="158">
        <v>5</v>
      </c>
      <c r="I6235" s="159">
        <f t="shared" si="1639"/>
        <v>8.0167000000000002E-2</v>
      </c>
      <c r="J6235" s="160"/>
      <c r="K6235" s="161">
        <f t="shared" si="1640"/>
        <v>4200</v>
      </c>
      <c r="L6235" s="250">
        <v>1</v>
      </c>
      <c r="M6235" s="163" t="str">
        <f t="shared" si="1638"/>
        <v>5 ЭЦП*0,080167/4200чел</v>
      </c>
      <c r="N6235" s="278">
        <f t="shared" si="1635"/>
        <v>8099.55</v>
      </c>
      <c r="O6235" s="280">
        <f t="shared" si="1636"/>
        <v>0.77299600000000002</v>
      </c>
      <c r="P6235" s="166"/>
      <c r="Q6235" s="166">
        <f t="shared" si="1637"/>
        <v>3246.5832</v>
      </c>
      <c r="R6235" s="71"/>
    </row>
    <row r="6236" spans="1:41" s="61" customFormat="1" x14ac:dyDescent="0.25">
      <c r="A6236" s="358"/>
      <c r="B6236" s="361"/>
      <c r="C6236" s="364"/>
      <c r="D6236" s="156" t="s">
        <v>373</v>
      </c>
      <c r="E6236" s="156" t="s">
        <v>28</v>
      </c>
      <c r="F6236" s="156" t="s">
        <v>28</v>
      </c>
      <c r="G6236" s="238">
        <f t="shared" si="1634"/>
        <v>9.5436899999999994E-5</v>
      </c>
      <c r="H6236" s="158">
        <f>H5518</f>
        <v>5</v>
      </c>
      <c r="I6236" s="159">
        <f t="shared" si="1639"/>
        <v>8.0167000000000002E-2</v>
      </c>
      <c r="J6236" s="160"/>
      <c r="K6236" s="161">
        <f t="shared" si="1640"/>
        <v>4200</v>
      </c>
      <c r="L6236" s="250">
        <v>1</v>
      </c>
      <c r="M6236" s="163" t="str">
        <f>CONCATENATE(H6236," ",F6236,"*",I6236,"/",K6236,"чел/час")</f>
        <v>5 шт*0,080167/4200чел/час</v>
      </c>
      <c r="N6236" s="278">
        <f t="shared" si="1635"/>
        <v>24000</v>
      </c>
      <c r="O6236" s="280">
        <f t="shared" si="1636"/>
        <v>2.290486</v>
      </c>
      <c r="P6236" s="166"/>
      <c r="Q6236" s="166">
        <f t="shared" si="1637"/>
        <v>9620.0411999999997</v>
      </c>
      <c r="R6236" s="71"/>
    </row>
    <row r="6237" spans="1:41" s="61" customFormat="1" ht="63" x14ac:dyDescent="0.25">
      <c r="A6237" s="358"/>
      <c r="B6237" s="361"/>
      <c r="C6237" s="364"/>
      <c r="D6237" s="156" t="s">
        <v>45</v>
      </c>
      <c r="E6237" s="156" t="s">
        <v>53</v>
      </c>
      <c r="F6237" s="156" t="s">
        <v>257</v>
      </c>
      <c r="G6237" s="238">
        <f t="shared" si="1634"/>
        <v>2.2904856999999998E-4</v>
      </c>
      <c r="H6237" s="158">
        <v>1</v>
      </c>
      <c r="I6237" s="159">
        <f>I6235</f>
        <v>8.0167000000000002E-2</v>
      </c>
      <c r="J6237" s="160"/>
      <c r="K6237" s="161">
        <f>K6235</f>
        <v>4200</v>
      </c>
      <c r="L6237" s="250">
        <v>12</v>
      </c>
      <c r="M6237" s="163" t="str">
        <f>CONCATENATE(H6237," ",F6237,"*",L6237,"мес.","*",I6237,"/",K6237,"чел")</f>
        <v>1  машина, оборудованная системой ГЛОНАСС*12мес.*0,080167/4200чел</v>
      </c>
      <c r="N6237" s="278">
        <f t="shared" si="1635"/>
        <v>921.23333333333346</v>
      </c>
      <c r="O6237" s="280">
        <f t="shared" si="1636"/>
        <v>0.211007</v>
      </c>
      <c r="P6237" s="166"/>
      <c r="Q6237" s="166">
        <f t="shared" si="1637"/>
        <v>886.22940000000006</v>
      </c>
      <c r="R6237" s="71"/>
    </row>
    <row r="6238" spans="1:41" s="136" customFormat="1" ht="47.25" x14ac:dyDescent="0.25">
      <c r="A6238" s="358"/>
      <c r="B6238" s="361"/>
      <c r="C6238" s="364"/>
      <c r="D6238" s="156" t="s">
        <v>44</v>
      </c>
      <c r="E6238" s="156" t="s">
        <v>85</v>
      </c>
      <c r="F6238" s="156" t="s">
        <v>232</v>
      </c>
      <c r="G6238" s="238">
        <f t="shared" si="1634"/>
        <v>5.8025638099999995E-3</v>
      </c>
      <c r="H6238" s="158">
        <f>$H$2132</f>
        <v>304</v>
      </c>
      <c r="I6238" s="159">
        <f>I6237</f>
        <v>8.0167000000000002E-2</v>
      </c>
      <c r="J6238" s="160"/>
      <c r="K6238" s="161">
        <f>K6237</f>
        <v>4200</v>
      </c>
      <c r="L6238" s="250">
        <v>1</v>
      </c>
      <c r="M6238" s="163" t="str">
        <f>CONCATENATE(H6238," ",F6238,"*",L6238,"мес.","*",I6238,"/",K6238,"чел.")</f>
        <v>304 мед.осмотров в мес.*1мес.*0,080167/4200чел.</v>
      </c>
      <c r="N6238" s="278">
        <f>$N$5520</f>
        <v>59.287269736842113</v>
      </c>
      <c r="O6238" s="280">
        <f t="shared" si="1636"/>
        <v>0.34401799999999999</v>
      </c>
      <c r="P6238" s="166"/>
      <c r="Q6238" s="166">
        <f t="shared" si="1637"/>
        <v>1444.8755999999998</v>
      </c>
      <c r="R6238" s="71"/>
      <c r="S6238" s="71"/>
      <c r="T6238" s="61"/>
      <c r="U6238" s="61"/>
      <c r="V6238" s="61"/>
      <c r="W6238" s="61"/>
      <c r="X6238" s="61"/>
      <c r="Y6238" s="61"/>
      <c r="Z6238" s="61"/>
      <c r="AA6238" s="61"/>
      <c r="AB6238" s="61"/>
      <c r="AC6238" s="61"/>
      <c r="AD6238" s="61"/>
      <c r="AE6238" s="61"/>
      <c r="AF6238" s="61"/>
      <c r="AG6238" s="61"/>
      <c r="AH6238" s="61"/>
      <c r="AI6238" s="61"/>
      <c r="AJ6238" s="61"/>
      <c r="AK6238" s="61"/>
      <c r="AL6238" s="61"/>
      <c r="AM6238" s="61"/>
      <c r="AN6238" s="61"/>
      <c r="AO6238" s="61"/>
    </row>
    <row r="6239" spans="1:41" s="61" customFormat="1" ht="31.5" x14ac:dyDescent="0.25">
      <c r="A6239" s="358"/>
      <c r="B6239" s="361"/>
      <c r="C6239" s="364"/>
      <c r="D6239" s="156" t="s">
        <v>408</v>
      </c>
      <c r="E6239" s="156" t="s">
        <v>20</v>
      </c>
      <c r="F6239" s="156" t="s">
        <v>20</v>
      </c>
      <c r="G6239" s="238">
        <f t="shared" si="1634"/>
        <v>0</v>
      </c>
      <c r="H6239" s="158"/>
      <c r="I6239" s="159">
        <f>I6237</f>
        <v>8.0167000000000002E-2</v>
      </c>
      <c r="J6239" s="160"/>
      <c r="K6239" s="161">
        <f>K6237</f>
        <v>4200</v>
      </c>
      <c r="L6239" s="250">
        <f>L5521</f>
        <v>1</v>
      </c>
      <c r="M6239" s="163"/>
      <c r="N6239" s="278"/>
      <c r="O6239" s="280">
        <f t="shared" si="1636"/>
        <v>0</v>
      </c>
      <c r="P6239" s="166"/>
      <c r="Q6239" s="166">
        <f t="shared" si="1637"/>
        <v>0</v>
      </c>
      <c r="R6239" s="71"/>
    </row>
    <row r="6240" spans="1:41" s="109" customFormat="1" x14ac:dyDescent="0.25">
      <c r="A6240" s="358"/>
      <c r="B6240" s="361"/>
      <c r="C6240" s="245" t="s">
        <v>329</v>
      </c>
      <c r="D6240" s="240"/>
      <c r="E6240" s="240"/>
      <c r="F6240" s="240"/>
      <c r="G6240" s="227"/>
      <c r="H6240" s="241"/>
      <c r="I6240" s="206"/>
      <c r="J6240" s="228"/>
      <c r="K6240" s="207"/>
      <c r="L6240" s="257"/>
      <c r="M6240" s="209"/>
      <c r="N6240" s="281"/>
      <c r="O6240" s="279">
        <f>SUM(O6228:O6239)</f>
        <v>21.802463999999997</v>
      </c>
      <c r="P6240" s="267"/>
      <c r="Q6240" s="166"/>
      <c r="R6240" s="71"/>
      <c r="S6240" s="62"/>
      <c r="T6240" s="62"/>
      <c r="U6240" s="62"/>
      <c r="V6240" s="62"/>
      <c r="W6240" s="62"/>
      <c r="X6240" s="62"/>
      <c r="Y6240" s="62"/>
      <c r="Z6240" s="62"/>
      <c r="AA6240" s="62"/>
      <c r="AB6240" s="62"/>
      <c r="AC6240" s="62"/>
      <c r="AD6240" s="62"/>
      <c r="AE6240" s="62"/>
      <c r="AF6240" s="62"/>
      <c r="AG6240" s="62"/>
      <c r="AH6240" s="62"/>
      <c r="AI6240" s="62"/>
      <c r="AJ6240" s="62"/>
      <c r="AK6240" s="62"/>
      <c r="AL6240" s="62"/>
      <c r="AM6240" s="62"/>
      <c r="AN6240" s="62"/>
      <c r="AO6240" s="62"/>
    </row>
    <row r="6241" spans="1:41" s="61" customFormat="1" ht="31.5" x14ac:dyDescent="0.25">
      <c r="A6241" s="358"/>
      <c r="B6241" s="361"/>
      <c r="C6241" s="252" t="s">
        <v>237</v>
      </c>
      <c r="D6241" s="156" t="s">
        <v>41</v>
      </c>
      <c r="E6241" s="156" t="s">
        <v>61</v>
      </c>
      <c r="F6241" s="156" t="s">
        <v>254</v>
      </c>
      <c r="G6241" s="238">
        <f t="shared" ref="G6241:G6252" si="1641">MROUND(H6241*L6241*I6241/K6241,0.00000000001)</f>
        <v>1.9087379999999998E-5</v>
      </c>
      <c r="H6241" s="158">
        <v>1</v>
      </c>
      <c r="I6241" s="159">
        <f>I6239</f>
        <v>8.0167000000000002E-2</v>
      </c>
      <c r="J6241" s="160"/>
      <c r="K6241" s="161">
        <f>K6239</f>
        <v>4200</v>
      </c>
      <c r="L6241" s="250">
        <v>1</v>
      </c>
      <c r="M6241" s="163" t="str">
        <f>CONCATENATE(H6241," ",F6241,"*",I6241,"/",K6241,"чел")</f>
        <v>1 автобус*0,080167/4200чел</v>
      </c>
      <c r="N6241" s="278">
        <f>N5523</f>
        <v>26907.3</v>
      </c>
      <c r="O6241" s="280">
        <f t="shared" ref="O6241:O6252" si="1642">MROUND(N6241*G6241,0.000001)</f>
        <v>0.51358999999999999</v>
      </c>
      <c r="P6241" s="166"/>
      <c r="Q6241" s="166">
        <f t="shared" ref="Q6241:Q6252" si="1643">O6241*K6241</f>
        <v>2157.078</v>
      </c>
      <c r="R6241" s="71"/>
    </row>
    <row r="6242" spans="1:41" s="61" customFormat="1" ht="78.75" x14ac:dyDescent="0.25">
      <c r="A6242" s="358"/>
      <c r="B6242" s="361"/>
      <c r="C6242" s="221" t="s">
        <v>236</v>
      </c>
      <c r="D6242" s="156" t="s">
        <v>19</v>
      </c>
      <c r="E6242" s="181" t="s">
        <v>20</v>
      </c>
      <c r="F6242" s="181" t="s">
        <v>238</v>
      </c>
      <c r="G6242" s="238">
        <f t="shared" si="1641"/>
        <v>0</v>
      </c>
      <c r="H6242" s="158"/>
      <c r="I6242" s="159">
        <f>I6239</f>
        <v>8.0167000000000002E-2</v>
      </c>
      <c r="J6242" s="160"/>
      <c r="K6242" s="161">
        <f>K6239</f>
        <v>4200</v>
      </c>
      <c r="L6242" s="250"/>
      <c r="M6242" s="163"/>
      <c r="N6242" s="278"/>
      <c r="O6242" s="280">
        <f t="shared" si="1642"/>
        <v>0</v>
      </c>
      <c r="P6242" s="166"/>
      <c r="Q6242" s="166">
        <f t="shared" si="1643"/>
        <v>0</v>
      </c>
      <c r="R6242" s="71"/>
    </row>
    <row r="6243" spans="1:41" s="136" customFormat="1" ht="31.5" x14ac:dyDescent="0.25">
      <c r="A6243" s="358"/>
      <c r="B6243" s="361"/>
      <c r="C6243" s="372" t="s">
        <v>81</v>
      </c>
      <c r="D6243" s="156" t="s">
        <v>419</v>
      </c>
      <c r="E6243" s="156" t="s">
        <v>28</v>
      </c>
      <c r="F6243" s="156" t="s">
        <v>439</v>
      </c>
      <c r="G6243" s="238">
        <f t="shared" si="1641"/>
        <v>0</v>
      </c>
      <c r="H6243" s="158"/>
      <c r="I6243" s="159">
        <f>I6242</f>
        <v>8.0167000000000002E-2</v>
      </c>
      <c r="J6243" s="160"/>
      <c r="K6243" s="161">
        <f>K6242</f>
        <v>4200</v>
      </c>
      <c r="L6243" s="250">
        <v>1</v>
      </c>
      <c r="M6243" s="163"/>
      <c r="N6243" s="278"/>
      <c r="O6243" s="280">
        <f t="shared" si="1642"/>
        <v>0</v>
      </c>
      <c r="P6243" s="166"/>
      <c r="Q6243" s="166">
        <f t="shared" si="1643"/>
        <v>0</v>
      </c>
      <c r="R6243" s="71"/>
      <c r="S6243" s="61"/>
      <c r="T6243" s="71"/>
      <c r="U6243" s="61"/>
      <c r="V6243" s="61"/>
      <c r="W6243" s="61"/>
      <c r="X6243" s="61"/>
      <c r="Y6243" s="61"/>
      <c r="Z6243" s="61"/>
      <c r="AA6243" s="61"/>
      <c r="AB6243" s="61"/>
      <c r="AC6243" s="61"/>
      <c r="AD6243" s="61"/>
      <c r="AE6243" s="61"/>
      <c r="AF6243" s="61"/>
      <c r="AG6243" s="61"/>
      <c r="AH6243" s="61"/>
      <c r="AI6243" s="61"/>
      <c r="AJ6243" s="61"/>
      <c r="AK6243" s="61"/>
      <c r="AL6243" s="61"/>
      <c r="AM6243" s="61"/>
      <c r="AN6243" s="61"/>
      <c r="AO6243" s="61"/>
    </row>
    <row r="6244" spans="1:41" s="136" customFormat="1" ht="31.5" x14ac:dyDescent="0.25">
      <c r="A6244" s="358"/>
      <c r="B6244" s="361"/>
      <c r="C6244" s="373"/>
      <c r="D6244" s="156" t="s">
        <v>425</v>
      </c>
      <c r="E6244" s="156" t="s">
        <v>28</v>
      </c>
      <c r="F6244" s="156" t="s">
        <v>439</v>
      </c>
      <c r="G6244" s="238">
        <f t="shared" si="1641"/>
        <v>0</v>
      </c>
      <c r="H6244" s="158"/>
      <c r="I6244" s="159">
        <f t="shared" ref="I6244:I6252" si="1644">I6243</f>
        <v>8.0167000000000002E-2</v>
      </c>
      <c r="J6244" s="160"/>
      <c r="K6244" s="161">
        <f t="shared" ref="K6244:K6252" si="1645">K6243</f>
        <v>4200</v>
      </c>
      <c r="L6244" s="250">
        <v>1</v>
      </c>
      <c r="M6244" s="163"/>
      <c r="N6244" s="278"/>
      <c r="O6244" s="280">
        <f t="shared" si="1642"/>
        <v>0</v>
      </c>
      <c r="P6244" s="166"/>
      <c r="Q6244" s="166">
        <f t="shared" si="1643"/>
        <v>0</v>
      </c>
      <c r="R6244" s="71"/>
      <c r="S6244" s="61"/>
      <c r="T6244" s="71"/>
      <c r="U6244" s="61"/>
      <c r="V6244" s="61"/>
      <c r="W6244" s="61"/>
      <c r="X6244" s="61"/>
      <c r="Y6244" s="61"/>
      <c r="Z6244" s="61"/>
      <c r="AA6244" s="61"/>
      <c r="AB6244" s="61"/>
      <c r="AC6244" s="61"/>
      <c r="AD6244" s="61"/>
      <c r="AE6244" s="61"/>
      <c r="AF6244" s="61"/>
      <c r="AG6244" s="61"/>
      <c r="AH6244" s="61"/>
      <c r="AI6244" s="61"/>
      <c r="AJ6244" s="61"/>
      <c r="AK6244" s="61"/>
      <c r="AL6244" s="61"/>
      <c r="AM6244" s="61"/>
      <c r="AN6244" s="61"/>
      <c r="AO6244" s="61"/>
    </row>
    <row r="6245" spans="1:41" s="136" customFormat="1" ht="31.5" x14ac:dyDescent="0.25">
      <c r="A6245" s="358"/>
      <c r="B6245" s="361"/>
      <c r="C6245" s="373"/>
      <c r="D6245" s="156" t="s">
        <v>426</v>
      </c>
      <c r="E6245" s="156" t="s">
        <v>28</v>
      </c>
      <c r="F6245" s="156" t="s">
        <v>439</v>
      </c>
      <c r="G6245" s="238">
        <f t="shared" si="1641"/>
        <v>0</v>
      </c>
      <c r="H6245" s="158"/>
      <c r="I6245" s="159">
        <f t="shared" si="1644"/>
        <v>8.0167000000000002E-2</v>
      </c>
      <c r="J6245" s="160"/>
      <c r="K6245" s="161">
        <f t="shared" si="1645"/>
        <v>4200</v>
      </c>
      <c r="L6245" s="250">
        <v>1</v>
      </c>
      <c r="M6245" s="163"/>
      <c r="N6245" s="278"/>
      <c r="O6245" s="280">
        <f t="shared" si="1642"/>
        <v>0</v>
      </c>
      <c r="P6245" s="166"/>
      <c r="Q6245" s="166">
        <f t="shared" si="1643"/>
        <v>0</v>
      </c>
      <c r="R6245" s="71"/>
      <c r="S6245" s="61"/>
      <c r="T6245" s="71"/>
      <c r="U6245" s="61"/>
      <c r="V6245" s="61"/>
      <c r="W6245" s="61"/>
      <c r="X6245" s="61"/>
      <c r="Y6245" s="61"/>
      <c r="Z6245" s="61"/>
      <c r="AA6245" s="61"/>
      <c r="AB6245" s="61"/>
      <c r="AC6245" s="61"/>
      <c r="AD6245" s="61"/>
      <c r="AE6245" s="61"/>
      <c r="AF6245" s="61"/>
      <c r="AG6245" s="61"/>
      <c r="AH6245" s="61"/>
      <c r="AI6245" s="61"/>
      <c r="AJ6245" s="61"/>
      <c r="AK6245" s="61"/>
      <c r="AL6245" s="61"/>
      <c r="AM6245" s="61"/>
      <c r="AN6245" s="61"/>
      <c r="AO6245" s="61"/>
    </row>
    <row r="6246" spans="1:41" s="136" customFormat="1" ht="31.5" x14ac:dyDescent="0.25">
      <c r="A6246" s="358"/>
      <c r="B6246" s="361"/>
      <c r="C6246" s="373"/>
      <c r="D6246" s="156" t="s">
        <v>427</v>
      </c>
      <c r="E6246" s="156" t="s">
        <v>28</v>
      </c>
      <c r="F6246" s="156" t="s">
        <v>439</v>
      </c>
      <c r="G6246" s="238">
        <f t="shared" si="1641"/>
        <v>0</v>
      </c>
      <c r="H6246" s="158"/>
      <c r="I6246" s="159">
        <f t="shared" si="1644"/>
        <v>8.0167000000000002E-2</v>
      </c>
      <c r="J6246" s="160"/>
      <c r="K6246" s="161">
        <f t="shared" si="1645"/>
        <v>4200</v>
      </c>
      <c r="L6246" s="250">
        <v>1</v>
      </c>
      <c r="M6246" s="163"/>
      <c r="N6246" s="278"/>
      <c r="O6246" s="280">
        <f t="shared" si="1642"/>
        <v>0</v>
      </c>
      <c r="P6246" s="166"/>
      <c r="Q6246" s="166">
        <f t="shared" si="1643"/>
        <v>0</v>
      </c>
      <c r="R6246" s="71"/>
      <c r="S6246" s="61"/>
      <c r="T6246" s="71"/>
      <c r="U6246" s="61"/>
      <c r="V6246" s="61"/>
      <c r="W6246" s="61"/>
      <c r="X6246" s="61"/>
      <c r="Y6246" s="61"/>
      <c r="Z6246" s="61"/>
      <c r="AA6246" s="61"/>
      <c r="AB6246" s="61"/>
      <c r="AC6246" s="61"/>
      <c r="AD6246" s="61"/>
      <c r="AE6246" s="61"/>
      <c r="AF6246" s="61"/>
      <c r="AG6246" s="61"/>
      <c r="AH6246" s="61"/>
      <c r="AI6246" s="61"/>
      <c r="AJ6246" s="61"/>
      <c r="AK6246" s="61"/>
      <c r="AL6246" s="61"/>
      <c r="AM6246" s="61"/>
      <c r="AN6246" s="61"/>
      <c r="AO6246" s="61"/>
    </row>
    <row r="6247" spans="1:41" s="136" customFormat="1" ht="31.5" x14ac:dyDescent="0.25">
      <c r="A6247" s="358"/>
      <c r="B6247" s="361"/>
      <c r="C6247" s="373"/>
      <c r="D6247" s="156" t="s">
        <v>428</v>
      </c>
      <c r="E6247" s="156" t="s">
        <v>28</v>
      </c>
      <c r="F6247" s="156" t="s">
        <v>439</v>
      </c>
      <c r="G6247" s="238">
        <f t="shared" si="1641"/>
        <v>0</v>
      </c>
      <c r="H6247" s="158"/>
      <c r="I6247" s="159">
        <f t="shared" si="1644"/>
        <v>8.0167000000000002E-2</v>
      </c>
      <c r="J6247" s="160"/>
      <c r="K6247" s="161">
        <f t="shared" si="1645"/>
        <v>4200</v>
      </c>
      <c r="L6247" s="250">
        <v>1</v>
      </c>
      <c r="M6247" s="163"/>
      <c r="N6247" s="278"/>
      <c r="O6247" s="280">
        <f t="shared" si="1642"/>
        <v>0</v>
      </c>
      <c r="P6247" s="166"/>
      <c r="Q6247" s="166">
        <f t="shared" si="1643"/>
        <v>0</v>
      </c>
      <c r="R6247" s="71"/>
      <c r="S6247" s="61"/>
      <c r="T6247" s="71"/>
      <c r="U6247" s="61"/>
      <c r="V6247" s="61"/>
      <c r="W6247" s="61"/>
      <c r="X6247" s="61"/>
      <c r="Y6247" s="61"/>
      <c r="Z6247" s="61"/>
      <c r="AA6247" s="61"/>
      <c r="AB6247" s="61"/>
      <c r="AC6247" s="61"/>
      <c r="AD6247" s="61"/>
      <c r="AE6247" s="61"/>
      <c r="AF6247" s="61"/>
      <c r="AG6247" s="61"/>
      <c r="AH6247" s="61"/>
      <c r="AI6247" s="61"/>
      <c r="AJ6247" s="61"/>
      <c r="AK6247" s="61"/>
      <c r="AL6247" s="61"/>
      <c r="AM6247" s="61"/>
      <c r="AN6247" s="61"/>
      <c r="AO6247" s="61"/>
    </row>
    <row r="6248" spans="1:41" s="136" customFormat="1" ht="31.5" x14ac:dyDescent="0.25">
      <c r="A6248" s="358"/>
      <c r="B6248" s="361"/>
      <c r="C6248" s="373"/>
      <c r="D6248" s="156" t="s">
        <v>429</v>
      </c>
      <c r="E6248" s="156" t="s">
        <v>28</v>
      </c>
      <c r="F6248" s="156" t="s">
        <v>439</v>
      </c>
      <c r="G6248" s="238">
        <f t="shared" si="1641"/>
        <v>0</v>
      </c>
      <c r="H6248" s="158"/>
      <c r="I6248" s="159">
        <f t="shared" si="1644"/>
        <v>8.0167000000000002E-2</v>
      </c>
      <c r="J6248" s="160"/>
      <c r="K6248" s="161">
        <f t="shared" si="1645"/>
        <v>4200</v>
      </c>
      <c r="L6248" s="250">
        <v>1</v>
      </c>
      <c r="M6248" s="163"/>
      <c r="N6248" s="278"/>
      <c r="O6248" s="280">
        <f t="shared" si="1642"/>
        <v>0</v>
      </c>
      <c r="P6248" s="166"/>
      <c r="Q6248" s="166">
        <f t="shared" si="1643"/>
        <v>0</v>
      </c>
      <c r="R6248" s="71"/>
      <c r="S6248" s="61"/>
      <c r="T6248" s="71"/>
      <c r="U6248" s="61"/>
      <c r="V6248" s="61"/>
      <c r="W6248" s="61"/>
      <c r="X6248" s="61"/>
      <c r="Y6248" s="61"/>
      <c r="Z6248" s="61"/>
      <c r="AA6248" s="61"/>
      <c r="AB6248" s="61"/>
      <c r="AC6248" s="61"/>
      <c r="AD6248" s="61"/>
      <c r="AE6248" s="61"/>
      <c r="AF6248" s="61"/>
      <c r="AG6248" s="61"/>
      <c r="AH6248" s="61"/>
      <c r="AI6248" s="61"/>
      <c r="AJ6248" s="61"/>
      <c r="AK6248" s="61"/>
      <c r="AL6248" s="61"/>
      <c r="AM6248" s="61"/>
      <c r="AN6248" s="61"/>
      <c r="AO6248" s="61"/>
    </row>
    <row r="6249" spans="1:41" s="136" customFormat="1" ht="31.5" x14ac:dyDescent="0.25">
      <c r="A6249" s="358"/>
      <c r="B6249" s="361"/>
      <c r="C6249" s="373"/>
      <c r="D6249" s="156" t="s">
        <v>110</v>
      </c>
      <c r="E6249" s="156" t="s">
        <v>28</v>
      </c>
      <c r="F6249" s="156" t="s">
        <v>439</v>
      </c>
      <c r="G6249" s="238">
        <f t="shared" si="1641"/>
        <v>0</v>
      </c>
      <c r="H6249" s="158"/>
      <c r="I6249" s="159">
        <f t="shared" si="1644"/>
        <v>8.0167000000000002E-2</v>
      </c>
      <c r="J6249" s="160"/>
      <c r="K6249" s="161">
        <f t="shared" si="1645"/>
        <v>4200</v>
      </c>
      <c r="L6249" s="250">
        <v>1</v>
      </c>
      <c r="M6249" s="163"/>
      <c r="N6249" s="278"/>
      <c r="O6249" s="280">
        <f t="shared" si="1642"/>
        <v>0</v>
      </c>
      <c r="P6249" s="166"/>
      <c r="Q6249" s="166">
        <f t="shared" si="1643"/>
        <v>0</v>
      </c>
      <c r="R6249" s="71"/>
      <c r="S6249" s="61"/>
      <c r="T6249" s="71"/>
      <c r="U6249" s="61"/>
      <c r="V6249" s="61"/>
      <c r="W6249" s="61"/>
      <c r="X6249" s="61"/>
      <c r="Y6249" s="61"/>
      <c r="Z6249" s="61"/>
      <c r="AA6249" s="61"/>
      <c r="AB6249" s="61"/>
      <c r="AC6249" s="61"/>
      <c r="AD6249" s="61"/>
      <c r="AE6249" s="61"/>
      <c r="AF6249" s="61"/>
      <c r="AG6249" s="61"/>
      <c r="AH6249" s="61"/>
      <c r="AI6249" s="61"/>
      <c r="AJ6249" s="61"/>
      <c r="AK6249" s="61"/>
      <c r="AL6249" s="61"/>
      <c r="AM6249" s="61"/>
      <c r="AN6249" s="61"/>
      <c r="AO6249" s="61"/>
    </row>
    <row r="6250" spans="1:41" s="136" customFormat="1" ht="31.5" x14ac:dyDescent="0.25">
      <c r="A6250" s="358"/>
      <c r="B6250" s="361"/>
      <c r="C6250" s="373"/>
      <c r="D6250" s="156" t="s">
        <v>112</v>
      </c>
      <c r="E6250" s="156" t="s">
        <v>28</v>
      </c>
      <c r="F6250" s="156" t="s">
        <v>439</v>
      </c>
      <c r="G6250" s="238">
        <f t="shared" si="1641"/>
        <v>0</v>
      </c>
      <c r="H6250" s="158"/>
      <c r="I6250" s="159">
        <f t="shared" si="1644"/>
        <v>8.0167000000000002E-2</v>
      </c>
      <c r="J6250" s="160"/>
      <c r="K6250" s="161">
        <f t="shared" si="1645"/>
        <v>4200</v>
      </c>
      <c r="L6250" s="250">
        <v>1</v>
      </c>
      <c r="M6250" s="163"/>
      <c r="N6250" s="278"/>
      <c r="O6250" s="280">
        <f t="shared" si="1642"/>
        <v>0</v>
      </c>
      <c r="P6250" s="166"/>
      <c r="Q6250" s="166">
        <f t="shared" si="1643"/>
        <v>0</v>
      </c>
      <c r="R6250" s="71"/>
      <c r="S6250" s="61"/>
      <c r="T6250" s="71"/>
      <c r="U6250" s="61"/>
      <c r="V6250" s="61"/>
      <c r="W6250" s="61"/>
      <c r="X6250" s="61"/>
      <c r="Y6250" s="61"/>
      <c r="Z6250" s="61"/>
      <c r="AA6250" s="61"/>
      <c r="AB6250" s="61"/>
      <c r="AC6250" s="61"/>
      <c r="AD6250" s="61"/>
      <c r="AE6250" s="61"/>
      <c r="AF6250" s="61"/>
      <c r="AG6250" s="61"/>
      <c r="AH6250" s="61"/>
      <c r="AI6250" s="61"/>
      <c r="AJ6250" s="61"/>
      <c r="AK6250" s="61"/>
      <c r="AL6250" s="61"/>
      <c r="AM6250" s="61"/>
      <c r="AN6250" s="61"/>
      <c r="AO6250" s="61"/>
    </row>
    <row r="6251" spans="1:41" s="136" customFormat="1" ht="31.5" x14ac:dyDescent="0.25">
      <c r="A6251" s="358"/>
      <c r="B6251" s="361"/>
      <c r="C6251" s="373"/>
      <c r="D6251" s="156" t="s">
        <v>111</v>
      </c>
      <c r="E6251" s="156" t="s">
        <v>28</v>
      </c>
      <c r="F6251" s="156" t="s">
        <v>439</v>
      </c>
      <c r="G6251" s="238">
        <f t="shared" si="1641"/>
        <v>0</v>
      </c>
      <c r="H6251" s="158"/>
      <c r="I6251" s="159">
        <f t="shared" si="1644"/>
        <v>8.0167000000000002E-2</v>
      </c>
      <c r="J6251" s="160"/>
      <c r="K6251" s="161">
        <f t="shared" si="1645"/>
        <v>4200</v>
      </c>
      <c r="L6251" s="250">
        <v>1</v>
      </c>
      <c r="M6251" s="163"/>
      <c r="N6251" s="278"/>
      <c r="O6251" s="280">
        <f t="shared" si="1642"/>
        <v>0</v>
      </c>
      <c r="P6251" s="166"/>
      <c r="Q6251" s="166">
        <f t="shared" si="1643"/>
        <v>0</v>
      </c>
      <c r="R6251" s="71"/>
      <c r="S6251" s="61"/>
      <c r="T6251" s="71"/>
      <c r="U6251" s="61"/>
      <c r="V6251" s="61"/>
      <c r="W6251" s="61"/>
      <c r="X6251" s="61"/>
      <c r="Y6251" s="61"/>
      <c r="Z6251" s="61"/>
      <c r="AA6251" s="61"/>
      <c r="AB6251" s="61"/>
      <c r="AC6251" s="61"/>
      <c r="AD6251" s="61"/>
      <c r="AE6251" s="61"/>
      <c r="AF6251" s="61"/>
      <c r="AG6251" s="61"/>
      <c r="AH6251" s="61"/>
      <c r="AI6251" s="61"/>
      <c r="AJ6251" s="61"/>
      <c r="AK6251" s="61"/>
      <c r="AL6251" s="61"/>
      <c r="AM6251" s="61"/>
      <c r="AN6251" s="61"/>
      <c r="AO6251" s="61"/>
    </row>
    <row r="6252" spans="1:41" s="136" customFormat="1" ht="31.5" x14ac:dyDescent="0.25">
      <c r="A6252" s="358"/>
      <c r="B6252" s="361"/>
      <c r="C6252" s="374"/>
      <c r="D6252" s="156" t="s">
        <v>438</v>
      </c>
      <c r="E6252" s="156" t="s">
        <v>28</v>
      </c>
      <c r="F6252" s="156" t="s">
        <v>439</v>
      </c>
      <c r="G6252" s="238">
        <f t="shared" si="1641"/>
        <v>0</v>
      </c>
      <c r="H6252" s="158"/>
      <c r="I6252" s="159">
        <f t="shared" si="1644"/>
        <v>8.0167000000000002E-2</v>
      </c>
      <c r="J6252" s="160"/>
      <c r="K6252" s="161">
        <f t="shared" si="1645"/>
        <v>4200</v>
      </c>
      <c r="L6252" s="250">
        <v>1</v>
      </c>
      <c r="M6252" s="163"/>
      <c r="N6252" s="278"/>
      <c r="O6252" s="280">
        <f t="shared" si="1642"/>
        <v>0</v>
      </c>
      <c r="P6252" s="166"/>
      <c r="Q6252" s="166">
        <f t="shared" si="1643"/>
        <v>0</v>
      </c>
      <c r="R6252" s="71"/>
      <c r="S6252" s="61"/>
      <c r="T6252" s="71"/>
      <c r="U6252" s="61"/>
      <c r="V6252" s="61"/>
      <c r="W6252" s="61"/>
      <c r="X6252" s="61"/>
      <c r="Y6252" s="61"/>
      <c r="Z6252" s="61"/>
      <c r="AA6252" s="61"/>
      <c r="AB6252" s="61"/>
      <c r="AC6252" s="61"/>
      <c r="AD6252" s="61"/>
      <c r="AE6252" s="61"/>
      <c r="AF6252" s="61"/>
      <c r="AG6252" s="61"/>
      <c r="AH6252" s="61"/>
      <c r="AI6252" s="61"/>
      <c r="AJ6252" s="61"/>
      <c r="AK6252" s="61"/>
      <c r="AL6252" s="61"/>
      <c r="AM6252" s="61"/>
      <c r="AN6252" s="61"/>
      <c r="AO6252" s="61"/>
    </row>
    <row r="6253" spans="1:41" s="61" customFormat="1" x14ac:dyDescent="0.25">
      <c r="A6253" s="358"/>
      <c r="B6253" s="361"/>
      <c r="C6253" s="245" t="s">
        <v>299</v>
      </c>
      <c r="D6253" s="240"/>
      <c r="E6253" s="240"/>
      <c r="F6253" s="181"/>
      <c r="G6253" s="227"/>
      <c r="H6253" s="241"/>
      <c r="I6253" s="206"/>
      <c r="J6253" s="228"/>
      <c r="K6253" s="207"/>
      <c r="L6253" s="257"/>
      <c r="M6253" s="209"/>
      <c r="N6253" s="290"/>
      <c r="O6253" s="279">
        <f>SUM(O6243:O6252)</f>
        <v>0</v>
      </c>
      <c r="P6253" s="166"/>
      <c r="Q6253" s="166">
        <f>O6253*K6253</f>
        <v>0</v>
      </c>
      <c r="R6253" s="71"/>
    </row>
    <row r="6254" spans="1:41" s="61" customFormat="1" ht="47.25" x14ac:dyDescent="0.25">
      <c r="A6254" s="358"/>
      <c r="B6254" s="361"/>
      <c r="C6254" s="221" t="s">
        <v>434</v>
      </c>
      <c r="D6254" s="156" t="s">
        <v>436</v>
      </c>
      <c r="E6254" s="156" t="s">
        <v>28</v>
      </c>
      <c r="F6254" s="156" t="s">
        <v>437</v>
      </c>
      <c r="G6254" s="238">
        <f>MROUND(H6254*L6254*I6254/K6254,0.00000000001)</f>
        <v>4.9627189999999993E-4</v>
      </c>
      <c r="H6254" s="242">
        <f>$H$2148</f>
        <v>26</v>
      </c>
      <c r="I6254" s="159">
        <f>I6252</f>
        <v>8.0167000000000002E-2</v>
      </c>
      <c r="J6254" s="160"/>
      <c r="K6254" s="161">
        <f>K6252</f>
        <v>4200</v>
      </c>
      <c r="L6254" s="162">
        <v>1</v>
      </c>
      <c r="M6254" s="163" t="str">
        <f>CONCATENATE(H6254," ",F6254,"*",I6254,"/",K6254,"чел.")</f>
        <v>26 огнетушителей (потребность учреждений) *0,080167/4200чел.</v>
      </c>
      <c r="N6254" s="164">
        <f>$N$5536</f>
        <v>2280.2800000000002</v>
      </c>
      <c r="O6254" s="165">
        <f>MROUND(G6254*N6254,0.000001)</f>
        <v>1.1316389999999998</v>
      </c>
      <c r="P6254" s="166"/>
      <c r="Q6254" s="166">
        <f>O6254*K6254</f>
        <v>4752.8837999999996</v>
      </c>
      <c r="R6254" s="71"/>
    </row>
    <row r="6255" spans="1:41" s="61" customFormat="1" x14ac:dyDescent="0.25">
      <c r="A6255" s="358"/>
      <c r="B6255" s="361"/>
      <c r="C6255" s="218" t="s">
        <v>435</v>
      </c>
      <c r="D6255" s="240"/>
      <c r="E6255" s="240"/>
      <c r="F6255" s="240"/>
      <c r="G6255" s="251"/>
      <c r="H6255" s="241"/>
      <c r="I6255" s="206"/>
      <c r="J6255" s="228"/>
      <c r="K6255" s="207"/>
      <c r="L6255" s="229"/>
      <c r="M6255" s="209"/>
      <c r="N6255" s="210"/>
      <c r="O6255" s="198">
        <f>SUM(O6254)</f>
        <v>1.1316389999999998</v>
      </c>
      <c r="P6255" s="166"/>
      <c r="Q6255" s="166"/>
      <c r="R6255" s="71"/>
    </row>
    <row r="6256" spans="1:41" s="61" customFormat="1" ht="110.25" x14ac:dyDescent="0.25">
      <c r="A6256" s="358"/>
      <c r="B6256" s="361"/>
      <c r="C6256" s="221" t="s">
        <v>82</v>
      </c>
      <c r="D6256" s="156" t="s">
        <v>46</v>
      </c>
      <c r="E6256" s="156" t="s">
        <v>54</v>
      </c>
      <c r="F6256" s="156" t="s">
        <v>285</v>
      </c>
      <c r="G6256" s="238">
        <f>MROUND(H6256*L6256*I6256/K6256,0.00000000001)</f>
        <v>4.7972367079999995E-2</v>
      </c>
      <c r="H6256" s="158">
        <f>H5950</f>
        <v>228.48206839032525</v>
      </c>
      <c r="I6256" s="159">
        <f>I6242</f>
        <v>8.0167000000000002E-2</v>
      </c>
      <c r="J6256" s="160"/>
      <c r="K6256" s="161">
        <f>K6242</f>
        <v>4200</v>
      </c>
      <c r="L6256" s="250">
        <f>$L$2150</f>
        <v>11</v>
      </c>
      <c r="M6256" s="163" t="str">
        <f>CONCATENATE(H6256," ",F6256,"*",L6256,"автобус","*",I6256,"/",K6256,"чел")</f>
        <v>228,482068390325 л бензина АИ 92 (12,5л/день(зимой)*20дней*7мес+10л/день(летом)*20дней*4мес)*11автобус*0,080167/4200чел</v>
      </c>
      <c r="N6256" s="278">
        <f>$N$5538</f>
        <v>57.007000000000005</v>
      </c>
      <c r="O6256" s="280">
        <f t="shared" ref="O6256:O6258" si="1646">MROUND(N6256*G6256,0.000001)</f>
        <v>2.7347609999999998</v>
      </c>
      <c r="P6256" s="166"/>
      <c r="Q6256" s="166">
        <f>O6256*K6256</f>
        <v>11485.9962</v>
      </c>
      <c r="R6256" s="71"/>
    </row>
    <row r="6257" spans="1:41" s="61" customFormat="1" ht="47.25" x14ac:dyDescent="0.25">
      <c r="A6257" s="358"/>
      <c r="B6257" s="361"/>
      <c r="C6257" s="364" t="s">
        <v>118</v>
      </c>
      <c r="D6257" s="156" t="s">
        <v>47</v>
      </c>
      <c r="E6257" s="156" t="s">
        <v>28</v>
      </c>
      <c r="F6257" s="156" t="s">
        <v>239</v>
      </c>
      <c r="G6257" s="238">
        <f>MROUND(H6257*L6257*I6257/K6257,0.00000000001)</f>
        <v>3.8174761999999995E-4</v>
      </c>
      <c r="H6257" s="158">
        <f>H5539</f>
        <v>20</v>
      </c>
      <c r="I6257" s="159">
        <f>I6256</f>
        <v>8.0167000000000002E-2</v>
      </c>
      <c r="J6257" s="160"/>
      <c r="K6257" s="161">
        <f>K6256</f>
        <v>4200</v>
      </c>
      <c r="L6257" s="250">
        <v>1</v>
      </c>
      <c r="M6257" s="163" t="str">
        <f>CONCATENATE(H6257," ",F6257,"*",I6257,"/",K6257,"чел")</f>
        <v>20 манометров (потребность учреждений) *0,080167/4200чел</v>
      </c>
      <c r="N6257" s="278">
        <f>N5539</f>
        <v>679.9</v>
      </c>
      <c r="O6257" s="280">
        <f t="shared" si="1646"/>
        <v>0.25955</v>
      </c>
      <c r="P6257" s="166"/>
      <c r="Q6257" s="166">
        <f>O6257*K6257</f>
        <v>1090.1099999999999</v>
      </c>
      <c r="R6257" s="71"/>
    </row>
    <row r="6258" spans="1:41" s="61" customFormat="1" ht="47.25" x14ac:dyDescent="0.25">
      <c r="A6258" s="358"/>
      <c r="B6258" s="361"/>
      <c r="C6258" s="364"/>
      <c r="D6258" s="255" t="s">
        <v>113</v>
      </c>
      <c r="E6258" s="156" t="s">
        <v>28</v>
      </c>
      <c r="F6258" s="156" t="s">
        <v>240</v>
      </c>
      <c r="G6258" s="238">
        <f>MROUND(H6258*L6258*I6258/K6258,0.00000000001)</f>
        <v>1.9087380999999999E-3</v>
      </c>
      <c r="H6258" s="158">
        <v>100</v>
      </c>
      <c r="I6258" s="159">
        <f>I6257</f>
        <v>8.0167000000000002E-2</v>
      </c>
      <c r="J6258" s="160"/>
      <c r="K6258" s="161">
        <f>K6257</f>
        <v>4200</v>
      </c>
      <c r="L6258" s="250">
        <v>1</v>
      </c>
      <c r="M6258" s="163" t="str">
        <f>CONCATENATE(H6258," ",F6258,"*",I6258,"/",K6258,"чел")</f>
        <v>100 светильников (потребность учреждений)*0,080167/4200чел</v>
      </c>
      <c r="N6258" s="278">
        <f>N5540</f>
        <v>111.1635</v>
      </c>
      <c r="O6258" s="280">
        <f t="shared" si="1646"/>
        <v>0.21218199999999998</v>
      </c>
      <c r="P6258" s="166"/>
      <c r="Q6258" s="166">
        <f>O6258*K6258</f>
        <v>891.16439999999989</v>
      </c>
      <c r="R6258" s="71"/>
    </row>
    <row r="6259" spans="1:41" s="109" customFormat="1" x14ac:dyDescent="0.25">
      <c r="A6259" s="359"/>
      <c r="B6259" s="362"/>
      <c r="C6259" s="218" t="s">
        <v>301</v>
      </c>
      <c r="D6259" s="256"/>
      <c r="E6259" s="240"/>
      <c r="F6259" s="240"/>
      <c r="G6259" s="227"/>
      <c r="H6259" s="241"/>
      <c r="I6259" s="206"/>
      <c r="J6259" s="228"/>
      <c r="K6259" s="207"/>
      <c r="L6259" s="257"/>
      <c r="M6259" s="209"/>
      <c r="N6259" s="281"/>
      <c r="O6259" s="279">
        <f>O6257+O6258</f>
        <v>0.47173199999999998</v>
      </c>
      <c r="P6259" s="267"/>
      <c r="Q6259" s="166"/>
      <c r="R6259" s="71"/>
      <c r="S6259" s="62"/>
      <c r="T6259" s="62"/>
      <c r="U6259" s="62"/>
      <c r="V6259" s="62"/>
      <c r="W6259" s="62"/>
      <c r="X6259" s="62"/>
      <c r="Y6259" s="62"/>
      <c r="Z6259" s="62"/>
      <c r="AA6259" s="62"/>
      <c r="AB6259" s="62"/>
      <c r="AC6259" s="62"/>
      <c r="AD6259" s="62"/>
      <c r="AE6259" s="62"/>
      <c r="AF6259" s="62"/>
      <c r="AG6259" s="62"/>
      <c r="AH6259" s="62"/>
      <c r="AI6259" s="62"/>
      <c r="AJ6259" s="62"/>
      <c r="AK6259" s="62"/>
      <c r="AL6259" s="62"/>
      <c r="AM6259" s="62"/>
      <c r="AN6259" s="62"/>
      <c r="AO6259" s="62"/>
    </row>
    <row r="6260" spans="1:41" s="108" customFormat="1" x14ac:dyDescent="0.25">
      <c r="A6260" s="357" t="str">
        <f>школы!$B$41</f>
        <v>Коррекционно-развивающая, компенсирующая и логопедическая помощь обучающимся</v>
      </c>
      <c r="B6260" s="360" t="str">
        <f>школы!$A$41</f>
        <v>880900О.99.0.ББ15АА02000</v>
      </c>
      <c r="C6260" s="194"/>
      <c r="D6260" s="363" t="s">
        <v>15</v>
      </c>
      <c r="E6260" s="363"/>
      <c r="F6260" s="363"/>
      <c r="G6260" s="363"/>
      <c r="H6260" s="195"/>
      <c r="I6260" s="195"/>
      <c r="J6260" s="195"/>
      <c r="K6260" s="195"/>
      <c r="L6260" s="196"/>
      <c r="M6260" s="197"/>
      <c r="N6260" s="278"/>
      <c r="O6260" s="279">
        <f>O6261+O6265</f>
        <v>2620.7477544182002</v>
      </c>
      <c r="P6260" s="166"/>
      <c r="Q6260" s="166">
        <f t="shared" ref="Q6260:Q6277" si="1647">O6260*K6260</f>
        <v>0</v>
      </c>
      <c r="R6260" s="71"/>
      <c r="S6260" s="61"/>
      <c r="T6260" s="61"/>
      <c r="U6260" s="61"/>
      <c r="V6260" s="61"/>
      <c r="W6260" s="61"/>
      <c r="X6260" s="61"/>
      <c r="Y6260" s="61"/>
      <c r="Z6260" s="61"/>
      <c r="AA6260" s="61"/>
      <c r="AB6260" s="61"/>
      <c r="AC6260" s="61"/>
      <c r="AD6260" s="61"/>
      <c r="AE6260" s="61"/>
      <c r="AF6260" s="61"/>
      <c r="AG6260" s="61"/>
      <c r="AH6260" s="61"/>
      <c r="AI6260" s="61"/>
      <c r="AJ6260" s="61"/>
      <c r="AK6260" s="61"/>
      <c r="AL6260" s="61"/>
      <c r="AM6260" s="61"/>
      <c r="AN6260" s="61"/>
      <c r="AO6260" s="61"/>
    </row>
    <row r="6261" spans="1:41" s="108" customFormat="1" x14ac:dyDescent="0.25">
      <c r="A6261" s="358"/>
      <c r="B6261" s="361"/>
      <c r="C6261" s="194"/>
      <c r="D6261" s="350" t="s">
        <v>62</v>
      </c>
      <c r="E6261" s="350"/>
      <c r="F6261" s="350"/>
      <c r="G6261" s="350"/>
      <c r="H6261" s="195"/>
      <c r="I6261" s="195"/>
      <c r="J6261" s="195"/>
      <c r="K6261" s="195"/>
      <c r="L6261" s="196"/>
      <c r="M6261" s="197"/>
      <c r="N6261" s="278"/>
      <c r="O6261" s="279">
        <f>O6262+O6263</f>
        <v>2604.4397484182</v>
      </c>
      <c r="P6261" s="166"/>
      <c r="Q6261" s="166">
        <f t="shared" si="1647"/>
        <v>0</v>
      </c>
      <c r="R6261" s="71"/>
      <c r="S6261" s="61"/>
      <c r="T6261" s="61"/>
      <c r="U6261" s="61"/>
      <c r="V6261" s="61"/>
      <c r="W6261" s="61"/>
      <c r="X6261" s="61"/>
      <c r="Y6261" s="61"/>
      <c r="Z6261" s="61"/>
      <c r="AA6261" s="61"/>
      <c r="AB6261" s="61"/>
      <c r="AC6261" s="61"/>
      <c r="AD6261" s="61"/>
      <c r="AE6261" s="61"/>
      <c r="AF6261" s="61"/>
      <c r="AG6261" s="61"/>
      <c r="AH6261" s="61"/>
      <c r="AI6261" s="61"/>
      <c r="AJ6261" s="61"/>
      <c r="AK6261" s="61"/>
      <c r="AL6261" s="61"/>
      <c r="AM6261" s="61"/>
      <c r="AN6261" s="61"/>
      <c r="AO6261" s="61"/>
    </row>
    <row r="6262" spans="1:41" s="61" customFormat="1" x14ac:dyDescent="0.25">
      <c r="A6262" s="358"/>
      <c r="B6262" s="361"/>
      <c r="C6262" s="194">
        <v>211</v>
      </c>
      <c r="D6262" s="194" t="s">
        <v>86</v>
      </c>
      <c r="E6262" s="199" t="s">
        <v>95</v>
      </c>
      <c r="F6262" s="199" t="s">
        <v>95</v>
      </c>
      <c r="G6262" s="238">
        <f>MROUND(H6262*L6262*I6262/K6262,0.00000000001)</f>
        <v>8.4394069169999988E-2</v>
      </c>
      <c r="H6262" s="201">
        <f>H5440</f>
        <v>368.4</v>
      </c>
      <c r="I6262" s="159">
        <f>школы!$K$41</f>
        <v>1.2695E-2</v>
      </c>
      <c r="J6262" s="159"/>
      <c r="K6262" s="161">
        <f>школы!$G$41</f>
        <v>665</v>
      </c>
      <c r="L6262" s="202">
        <v>12</v>
      </c>
      <c r="M6262" s="163" t="str">
        <f>CONCATENATE(H6262," ",F6262," ","в мес.","*",L6262,"мес.","*",I6262,"/",K6262,"чел")</f>
        <v>368,4 шт.ед в мес.*12мес.*0,012695/665чел</v>
      </c>
      <c r="N6262" s="278">
        <f>N5544</f>
        <v>23702.349798678973</v>
      </c>
      <c r="O6262" s="280">
        <f>MROUND(N6262*G6262,0.0000000001)</f>
        <v>2000.3377484012001</v>
      </c>
      <c r="P6262" s="166"/>
      <c r="Q6262" s="166">
        <f t="shared" si="1647"/>
        <v>1330224.602686798</v>
      </c>
      <c r="R6262" s="71"/>
    </row>
    <row r="6263" spans="1:41" s="61" customFormat="1" x14ac:dyDescent="0.25">
      <c r="A6263" s="358"/>
      <c r="B6263" s="361"/>
      <c r="C6263" s="194">
        <v>213</v>
      </c>
      <c r="D6263" s="194" t="s">
        <v>87</v>
      </c>
      <c r="E6263" s="194" t="s">
        <v>88</v>
      </c>
      <c r="F6263" s="194"/>
      <c r="G6263" s="211">
        <v>30.2</v>
      </c>
      <c r="H6263" s="159"/>
      <c r="I6263" s="282">
        <f>I6262</f>
        <v>1.2695E-2</v>
      </c>
      <c r="J6263" s="159"/>
      <c r="K6263" s="161">
        <f>K6262</f>
        <v>665</v>
      </c>
      <c r="L6263" s="202"/>
      <c r="M6263" s="212"/>
      <c r="N6263" s="278"/>
      <c r="O6263" s="280">
        <f>MROUND(O6262*0.302,0.000000001)</f>
        <v>604.10200001700002</v>
      </c>
      <c r="P6263" s="166"/>
      <c r="Q6263" s="166">
        <f t="shared" si="1647"/>
        <v>401727.83001130499</v>
      </c>
      <c r="R6263" s="71"/>
    </row>
    <row r="6264" spans="1:41" s="108" customFormat="1" x14ac:dyDescent="0.25">
      <c r="A6264" s="358"/>
      <c r="B6264" s="361"/>
      <c r="C6264" s="194"/>
      <c r="D6264" s="194"/>
      <c r="E6264" s="194"/>
      <c r="F6264" s="194"/>
      <c r="G6264" s="217"/>
      <c r="H6264" s="195"/>
      <c r="I6264" s="159"/>
      <c r="J6264" s="195"/>
      <c r="K6264" s="161"/>
      <c r="L6264" s="196"/>
      <c r="M6264" s="197"/>
      <c r="N6264" s="278"/>
      <c r="O6264" s="280"/>
      <c r="P6264" s="166"/>
      <c r="Q6264" s="166">
        <f t="shared" si="1647"/>
        <v>0</v>
      </c>
      <c r="R6264" s="71"/>
      <c r="S6264" s="61"/>
      <c r="T6264" s="61"/>
      <c r="U6264" s="61"/>
      <c r="V6264" s="61"/>
      <c r="W6264" s="61"/>
      <c r="X6264" s="61"/>
      <c r="Y6264" s="61"/>
      <c r="Z6264" s="61"/>
      <c r="AA6264" s="61"/>
      <c r="AB6264" s="61"/>
      <c r="AC6264" s="61"/>
      <c r="AD6264" s="61"/>
      <c r="AE6264" s="61"/>
      <c r="AF6264" s="61"/>
      <c r="AG6264" s="61"/>
      <c r="AH6264" s="61"/>
      <c r="AI6264" s="61"/>
      <c r="AJ6264" s="61"/>
      <c r="AK6264" s="61"/>
      <c r="AL6264" s="61"/>
      <c r="AM6264" s="61"/>
      <c r="AN6264" s="61"/>
      <c r="AO6264" s="61"/>
    </row>
    <row r="6265" spans="1:41" s="108" customFormat="1" x14ac:dyDescent="0.25">
      <c r="A6265" s="358"/>
      <c r="B6265" s="361"/>
      <c r="C6265" s="194"/>
      <c r="D6265" s="356" t="s">
        <v>63</v>
      </c>
      <c r="E6265" s="356"/>
      <c r="F6265" s="356"/>
      <c r="G6265" s="356"/>
      <c r="H6265" s="195"/>
      <c r="I6265" s="159"/>
      <c r="J6265" s="195"/>
      <c r="K6265" s="161"/>
      <c r="L6265" s="196"/>
      <c r="M6265" s="197"/>
      <c r="N6265" s="278"/>
      <c r="O6265" s="280">
        <f>O6266</f>
        <v>16.308005999999999</v>
      </c>
      <c r="P6265" s="166"/>
      <c r="Q6265" s="166">
        <f t="shared" si="1647"/>
        <v>0</v>
      </c>
      <c r="R6265" s="71"/>
      <c r="S6265" s="61"/>
      <c r="T6265" s="61"/>
      <c r="U6265" s="61"/>
      <c r="V6265" s="61"/>
      <c r="W6265" s="61"/>
      <c r="X6265" s="61"/>
      <c r="Y6265" s="61"/>
      <c r="Z6265" s="61"/>
      <c r="AA6265" s="61"/>
      <c r="AB6265" s="61"/>
      <c r="AC6265" s="61"/>
      <c r="AD6265" s="61"/>
      <c r="AE6265" s="61"/>
      <c r="AF6265" s="61"/>
      <c r="AG6265" s="61"/>
      <c r="AH6265" s="61"/>
      <c r="AI6265" s="61"/>
      <c r="AJ6265" s="61"/>
      <c r="AK6265" s="61"/>
      <c r="AL6265" s="61"/>
      <c r="AM6265" s="61"/>
      <c r="AN6265" s="61"/>
      <c r="AO6265" s="61"/>
    </row>
    <row r="6266" spans="1:41" s="61" customFormat="1" x14ac:dyDescent="0.25">
      <c r="A6266" s="358"/>
      <c r="B6266" s="361"/>
      <c r="C6266" s="194">
        <v>346</v>
      </c>
      <c r="D6266" s="194" t="s">
        <v>259</v>
      </c>
      <c r="E6266" s="194" t="s">
        <v>260</v>
      </c>
      <c r="F6266" s="194" t="s">
        <v>261</v>
      </c>
      <c r="G6266" s="238">
        <f>MROUND(H6266*L6266*I6266/K6266,0.000000000001)</f>
        <v>2.3137353382999999E-2</v>
      </c>
      <c r="H6266" s="283">
        <f>H5445</f>
        <v>1212</v>
      </c>
      <c r="I6266" s="282">
        <f>I6263</f>
        <v>1.2695E-2</v>
      </c>
      <c r="J6266" s="195"/>
      <c r="K6266" s="161">
        <f>K6263</f>
        <v>665</v>
      </c>
      <c r="L6266" s="196">
        <v>1</v>
      </c>
      <c r="M6266" s="163" t="str">
        <f>CONCATENATE(H6266," ",F6266,"*",I6266,"/",K6266,"чел")</f>
        <v>1212 упаковок*0,012695/665чел</v>
      </c>
      <c r="N6266" s="278">
        <f>N5445</f>
        <v>704.83454620462044</v>
      </c>
      <c r="O6266" s="280">
        <f>MROUND(N6266*G6266,0.000001)</f>
        <v>16.308005999999999</v>
      </c>
      <c r="P6266" s="166"/>
      <c r="Q6266" s="166">
        <f t="shared" si="1647"/>
        <v>10844.823989999999</v>
      </c>
      <c r="R6266" s="71"/>
    </row>
    <row r="6267" spans="1:41" s="108" customFormat="1" x14ac:dyDescent="0.25">
      <c r="A6267" s="358"/>
      <c r="B6267" s="361"/>
      <c r="C6267" s="194"/>
      <c r="D6267" s="350" t="s">
        <v>64</v>
      </c>
      <c r="E6267" s="350"/>
      <c r="F6267" s="350"/>
      <c r="G6267" s="350"/>
      <c r="H6267" s="195"/>
      <c r="I6267" s="159"/>
      <c r="J6267" s="195"/>
      <c r="K6267" s="161"/>
      <c r="L6267" s="196"/>
      <c r="M6267" s="197"/>
      <c r="N6267" s="278"/>
      <c r="O6267" s="280"/>
      <c r="P6267" s="166"/>
      <c r="Q6267" s="166">
        <f t="shared" si="1647"/>
        <v>0</v>
      </c>
      <c r="R6267" s="71"/>
      <c r="S6267" s="61"/>
      <c r="T6267" s="61"/>
      <c r="U6267" s="61"/>
      <c r="V6267" s="61"/>
      <c r="W6267" s="61"/>
      <c r="X6267" s="61"/>
      <c r="Y6267" s="61"/>
      <c r="Z6267" s="61"/>
      <c r="AA6267" s="61"/>
      <c r="AB6267" s="61"/>
      <c r="AC6267" s="61"/>
      <c r="AD6267" s="61"/>
      <c r="AE6267" s="61"/>
      <c r="AF6267" s="61"/>
      <c r="AG6267" s="61"/>
      <c r="AH6267" s="61"/>
      <c r="AI6267" s="61"/>
      <c r="AJ6267" s="61"/>
      <c r="AK6267" s="61"/>
      <c r="AL6267" s="61"/>
      <c r="AM6267" s="61"/>
      <c r="AN6267" s="61"/>
      <c r="AO6267" s="61"/>
    </row>
    <row r="6268" spans="1:41" s="108" customFormat="1" x14ac:dyDescent="0.25">
      <c r="A6268" s="358"/>
      <c r="B6268" s="361"/>
      <c r="C6268" s="194"/>
      <c r="D6268" s="194"/>
      <c r="E6268" s="194"/>
      <c r="F6268" s="194"/>
      <c r="G6268" s="217"/>
      <c r="H6268" s="195"/>
      <c r="I6268" s="159"/>
      <c r="J6268" s="195"/>
      <c r="K6268" s="161"/>
      <c r="L6268" s="196"/>
      <c r="M6268" s="197"/>
      <c r="N6268" s="278"/>
      <c r="O6268" s="280"/>
      <c r="P6268" s="166"/>
      <c r="Q6268" s="166">
        <f t="shared" si="1647"/>
        <v>0</v>
      </c>
      <c r="R6268" s="71"/>
      <c r="S6268" s="61"/>
      <c r="T6268" s="61"/>
      <c r="U6268" s="61"/>
      <c r="V6268" s="61"/>
      <c r="W6268" s="61"/>
      <c r="X6268" s="61"/>
      <c r="Y6268" s="61"/>
      <c r="Z6268" s="61"/>
      <c r="AA6268" s="61"/>
      <c r="AB6268" s="61"/>
      <c r="AC6268" s="61"/>
      <c r="AD6268" s="61"/>
      <c r="AE6268" s="61"/>
      <c r="AF6268" s="61"/>
      <c r="AG6268" s="61"/>
      <c r="AH6268" s="61"/>
      <c r="AI6268" s="61"/>
      <c r="AJ6268" s="61"/>
      <c r="AK6268" s="61"/>
      <c r="AL6268" s="61"/>
      <c r="AM6268" s="61"/>
      <c r="AN6268" s="61"/>
      <c r="AO6268" s="61"/>
    </row>
    <row r="6269" spans="1:41" s="108" customFormat="1" x14ac:dyDescent="0.25">
      <c r="A6269" s="358"/>
      <c r="B6269" s="361"/>
      <c r="C6269" s="194"/>
      <c r="D6269" s="355" t="s">
        <v>5</v>
      </c>
      <c r="E6269" s="355"/>
      <c r="F6269" s="355"/>
      <c r="G6269" s="355"/>
      <c r="H6269" s="195"/>
      <c r="I6269" s="159"/>
      <c r="J6269" s="195"/>
      <c r="K6269" s="161"/>
      <c r="L6269" s="196"/>
      <c r="M6269" s="197"/>
      <c r="N6269" s="278"/>
      <c r="O6269" s="279">
        <f>O6270+O6279+O6290+O6292+O6303+O6299</f>
        <v>653.16074904999994</v>
      </c>
      <c r="P6269" s="166"/>
      <c r="Q6269" s="166">
        <f t="shared" si="1647"/>
        <v>0</v>
      </c>
      <c r="R6269" s="71"/>
      <c r="S6269" s="61"/>
      <c r="T6269" s="61"/>
      <c r="U6269" s="61"/>
      <c r="V6269" s="61"/>
      <c r="W6269" s="61"/>
      <c r="X6269" s="61"/>
      <c r="Y6269" s="61"/>
      <c r="Z6269" s="61"/>
      <c r="AA6269" s="61"/>
      <c r="AB6269" s="61"/>
      <c r="AC6269" s="61"/>
      <c r="AD6269" s="61"/>
      <c r="AE6269" s="61"/>
      <c r="AF6269" s="61"/>
      <c r="AG6269" s="61"/>
      <c r="AH6269" s="61"/>
      <c r="AI6269" s="61"/>
      <c r="AJ6269" s="61"/>
      <c r="AK6269" s="61"/>
      <c r="AL6269" s="61"/>
      <c r="AM6269" s="61"/>
      <c r="AN6269" s="61"/>
      <c r="AO6269" s="61"/>
    </row>
    <row r="6270" spans="1:41" s="108" customFormat="1" x14ac:dyDescent="0.25">
      <c r="A6270" s="358"/>
      <c r="B6270" s="361"/>
      <c r="C6270" s="221" t="s">
        <v>70</v>
      </c>
      <c r="D6270" s="355" t="s">
        <v>6</v>
      </c>
      <c r="E6270" s="355"/>
      <c r="F6270" s="355"/>
      <c r="G6270" s="355"/>
      <c r="H6270" s="189"/>
      <c r="I6270" s="159"/>
      <c r="J6270" s="189"/>
      <c r="K6270" s="161"/>
      <c r="L6270" s="190"/>
      <c r="M6270" s="197"/>
      <c r="N6270" s="278"/>
      <c r="O6270" s="279">
        <f>O6271+O6272+O6273+O6274+O6275+O6276+O6277</f>
        <v>122.06561799999997</v>
      </c>
      <c r="P6270" s="166"/>
      <c r="Q6270" s="166">
        <f t="shared" si="1647"/>
        <v>0</v>
      </c>
      <c r="R6270" s="71"/>
      <c r="S6270" s="61"/>
      <c r="T6270" s="61"/>
      <c r="U6270" s="61"/>
      <c r="V6270" s="61"/>
      <c r="W6270" s="61"/>
      <c r="X6270" s="61"/>
      <c r="Y6270" s="61"/>
      <c r="Z6270" s="61"/>
      <c r="AA6270" s="61"/>
      <c r="AB6270" s="61"/>
      <c r="AC6270" s="61"/>
      <c r="AD6270" s="61"/>
      <c r="AE6270" s="61"/>
      <c r="AF6270" s="61"/>
      <c r="AG6270" s="61"/>
      <c r="AH6270" s="61"/>
      <c r="AI6270" s="61"/>
      <c r="AJ6270" s="61"/>
      <c r="AK6270" s="61"/>
      <c r="AL6270" s="61"/>
      <c r="AM6270" s="61"/>
      <c r="AN6270" s="61"/>
      <c r="AO6270" s="61"/>
    </row>
    <row r="6271" spans="1:41" s="61" customFormat="1" ht="31.5" x14ac:dyDescent="0.25">
      <c r="A6271" s="358"/>
      <c r="B6271" s="361"/>
      <c r="C6271" s="221" t="s">
        <v>72</v>
      </c>
      <c r="D6271" s="222" t="s">
        <v>7</v>
      </c>
      <c r="E6271" s="223" t="s">
        <v>8</v>
      </c>
      <c r="F6271" s="223" t="s">
        <v>8</v>
      </c>
      <c r="G6271" s="238">
        <f t="shared" ref="G6271:G6277" si="1648">MROUND(H6271*L6271*I6271/K6271,0.000000000001)</f>
        <v>2.1583435186919999</v>
      </c>
      <c r="H6271" s="160">
        <f>H5451</f>
        <v>113060.13705633247</v>
      </c>
      <c r="I6271" s="282">
        <f>I6263</f>
        <v>1.2695E-2</v>
      </c>
      <c r="J6271" s="160"/>
      <c r="K6271" s="161">
        <f>K6263</f>
        <v>665</v>
      </c>
      <c r="L6271" s="250">
        <v>1</v>
      </c>
      <c r="M6271" s="163" t="str">
        <f>CONCATENATE(H6271," ",F6271,"(лимиты выделенные УЖКХ) ","*",I6271,"/",K6271,"чел")</f>
        <v>113060,137056332 кВт час.(лимиты выделенные УЖКХ) *0,012695/665чел</v>
      </c>
      <c r="N6271" s="278">
        <f>N5451</f>
        <v>10.942938264647223</v>
      </c>
      <c r="O6271" s="280">
        <f>MROUND(N6271*G6271,0.000001)</f>
        <v>23.61862</v>
      </c>
      <c r="P6271" s="166"/>
      <c r="Q6271" s="166">
        <f t="shared" si="1647"/>
        <v>15706.382299999999</v>
      </c>
      <c r="R6271" s="71"/>
    </row>
    <row r="6272" spans="1:41" s="61" customFormat="1" ht="31.5" x14ac:dyDescent="0.25">
      <c r="A6272" s="358"/>
      <c r="B6272" s="361"/>
      <c r="C6272" s="221" t="s">
        <v>73</v>
      </c>
      <c r="D6272" s="222" t="s">
        <v>9</v>
      </c>
      <c r="E6272" s="223" t="s">
        <v>10</v>
      </c>
      <c r="F6272" s="223" t="s">
        <v>10</v>
      </c>
      <c r="G6272" s="238">
        <f t="shared" si="1648"/>
        <v>2.6611774435999998E-2</v>
      </c>
      <c r="H6272" s="160">
        <f>H5452</f>
        <v>1394</v>
      </c>
      <c r="I6272" s="159">
        <f t="shared" ref="I6272:I6277" si="1649">I6271</f>
        <v>1.2695E-2</v>
      </c>
      <c r="J6272" s="160"/>
      <c r="K6272" s="161">
        <f t="shared" ref="K6272:K6277" si="1650">K6271</f>
        <v>665</v>
      </c>
      <c r="L6272" s="250">
        <v>1</v>
      </c>
      <c r="M6272" s="163" t="str">
        <f>CONCATENATE(H6272," ",F6272,"(лимиты выделенные УЖКХ) ","*",I6272,"/",K6272,"чел")</f>
        <v>1394 Гкал(лимиты выделенные УЖКХ) *0,012695/665чел</v>
      </c>
      <c r="N6272" s="278">
        <f>N5556</f>
        <v>2976.2517790530851</v>
      </c>
      <c r="O6272" s="280">
        <f t="shared" ref="O6272:O6277" si="1651">MROUND(N6272*G6272,0.000001)</f>
        <v>79.203340999999995</v>
      </c>
      <c r="P6272" s="166"/>
      <c r="Q6272" s="166">
        <f t="shared" si="1647"/>
        <v>52670.221764999995</v>
      </c>
      <c r="R6272" s="71"/>
    </row>
    <row r="6273" spans="1:41" s="61" customFormat="1" ht="31.5" x14ac:dyDescent="0.25">
      <c r="A6273" s="358"/>
      <c r="B6273" s="361"/>
      <c r="C6273" s="364" t="s">
        <v>74</v>
      </c>
      <c r="D6273" s="222" t="s">
        <v>12</v>
      </c>
      <c r="E6273" s="222" t="s">
        <v>11</v>
      </c>
      <c r="F6273" s="222" t="s">
        <v>11</v>
      </c>
      <c r="G6273" s="238">
        <f t="shared" si="1648"/>
        <v>7.7145701428999999E-2</v>
      </c>
      <c r="H6273" s="224">
        <f>H5453</f>
        <v>4041.1099999999997</v>
      </c>
      <c r="I6273" s="159">
        <f t="shared" si="1649"/>
        <v>1.2695E-2</v>
      </c>
      <c r="J6273" s="160"/>
      <c r="K6273" s="161">
        <f t="shared" si="1650"/>
        <v>665</v>
      </c>
      <c r="L6273" s="250">
        <v>1</v>
      </c>
      <c r="M6273" s="163" t="str">
        <f>CONCATENATE(H6273," ",F6273,"(лимиты выделенные УЖКХ) ","*",I6273,"/",K6273,"чел")</f>
        <v>4041,11 м3(лимиты выделенные УЖКХ) *0,012695/665чел</v>
      </c>
      <c r="N6273" s="278">
        <f>N5453</f>
        <v>54.214180014896904</v>
      </c>
      <c r="O6273" s="280">
        <f t="shared" si="1651"/>
        <v>4.182391</v>
      </c>
      <c r="P6273" s="166"/>
      <c r="Q6273" s="166">
        <f t="shared" si="1647"/>
        <v>2781.290015</v>
      </c>
      <c r="R6273" s="71"/>
    </row>
    <row r="6274" spans="1:41" s="61" customFormat="1" ht="47.25" x14ac:dyDescent="0.25">
      <c r="A6274" s="358"/>
      <c r="B6274" s="361"/>
      <c r="C6274" s="364"/>
      <c r="D6274" s="222" t="s">
        <v>17</v>
      </c>
      <c r="E6274" s="222" t="s">
        <v>11</v>
      </c>
      <c r="F6274" s="222" t="s">
        <v>11</v>
      </c>
      <c r="G6274" s="238">
        <f t="shared" si="1648"/>
        <v>7.7145701428999999E-2</v>
      </c>
      <c r="H6274" s="160">
        <f>H5558</f>
        <v>4041.1099999999997</v>
      </c>
      <c r="I6274" s="159">
        <f t="shared" si="1649"/>
        <v>1.2695E-2</v>
      </c>
      <c r="J6274" s="160"/>
      <c r="K6274" s="161">
        <f t="shared" si="1650"/>
        <v>665</v>
      </c>
      <c r="L6274" s="162">
        <f>$L$25</f>
        <v>1</v>
      </c>
      <c r="M6274" s="163" t="str">
        <f>CONCATENATE(H6274," ",F6274,"(лимиты выделенные УЖКХ) ","*",I6274,"/",K6274,"чел")</f>
        <v>4041,11 м3(лимиты выделенные УЖКХ) *0,012695/665чел</v>
      </c>
      <c r="N6274" s="164">
        <f>N5454</f>
        <v>82.384170780821918</v>
      </c>
      <c r="O6274" s="280">
        <f t="shared" si="1651"/>
        <v>6.3555849999999996</v>
      </c>
      <c r="P6274" s="166"/>
      <c r="Q6274" s="166">
        <f t="shared" si="1647"/>
        <v>4226.4640249999993</v>
      </c>
      <c r="R6274" s="71"/>
    </row>
    <row r="6275" spans="1:41" s="61" customFormat="1" ht="31.5" x14ac:dyDescent="0.25">
      <c r="A6275" s="358"/>
      <c r="B6275" s="361"/>
      <c r="C6275" s="364"/>
      <c r="D6275" s="222" t="s">
        <v>13</v>
      </c>
      <c r="E6275" s="222" t="s">
        <v>11</v>
      </c>
      <c r="F6275" s="222" t="s">
        <v>11</v>
      </c>
      <c r="G6275" s="238">
        <f t="shared" si="1648"/>
        <v>7.7145701428999999E-2</v>
      </c>
      <c r="H6275" s="160">
        <f>H5455</f>
        <v>4041.1099999999997</v>
      </c>
      <c r="I6275" s="159">
        <f t="shared" si="1649"/>
        <v>1.2695E-2</v>
      </c>
      <c r="J6275" s="160"/>
      <c r="K6275" s="161">
        <f t="shared" si="1650"/>
        <v>665</v>
      </c>
      <c r="L6275" s="162">
        <v>1</v>
      </c>
      <c r="M6275" s="163" t="str">
        <f>CONCATENATE(H6275," ",F6275,"(лимиты выделенные УЖКХ) ","*",I6275,"/",K6275,"чел")</f>
        <v>4041,11 м3(лимиты выделенные УЖКХ) *0,012695/665чел</v>
      </c>
      <c r="N6275" s="278">
        <f>N5455</f>
        <v>100.60427670019196</v>
      </c>
      <c r="O6275" s="280">
        <f t="shared" si="1651"/>
        <v>7.7611869999999996</v>
      </c>
      <c r="P6275" s="166"/>
      <c r="Q6275" s="166">
        <f t="shared" si="1647"/>
        <v>5161.1893549999995</v>
      </c>
      <c r="R6275" s="71"/>
    </row>
    <row r="6276" spans="1:41" s="61" customFormat="1" x14ac:dyDescent="0.25">
      <c r="A6276" s="358"/>
      <c r="B6276" s="361"/>
      <c r="C6276" s="364" t="s">
        <v>216</v>
      </c>
      <c r="D6276" s="222" t="s">
        <v>23</v>
      </c>
      <c r="E6276" s="222" t="s">
        <v>11</v>
      </c>
      <c r="F6276" s="222" t="s">
        <v>11</v>
      </c>
      <c r="G6276" s="238">
        <f t="shared" si="1648"/>
        <v>4.7687383499999997E-4</v>
      </c>
      <c r="H6276" s="160">
        <f>H5456</f>
        <v>24.979999999999997</v>
      </c>
      <c r="I6276" s="159">
        <f t="shared" si="1649"/>
        <v>1.2695E-2</v>
      </c>
      <c r="J6276" s="160"/>
      <c r="K6276" s="161">
        <f t="shared" si="1650"/>
        <v>665</v>
      </c>
      <c r="L6276" s="162">
        <v>1</v>
      </c>
      <c r="M6276" s="163" t="str">
        <f>CONCATENATE(H6276," ",F6276," ","*",I6276,"/",K6276,"чел")</f>
        <v>24,98 м3 *0,012695/665чел</v>
      </c>
      <c r="N6276" s="164">
        <f>N5456</f>
        <v>776.35588470776622</v>
      </c>
      <c r="O6276" s="280">
        <f t="shared" si="1651"/>
        <v>0.370224</v>
      </c>
      <c r="P6276" s="166"/>
      <c r="Q6276" s="166">
        <f t="shared" si="1647"/>
        <v>246.19896</v>
      </c>
      <c r="R6276" s="71"/>
    </row>
    <row r="6277" spans="1:41" s="61" customFormat="1" ht="47.25" x14ac:dyDescent="0.25">
      <c r="A6277" s="358"/>
      <c r="B6277" s="361"/>
      <c r="C6277" s="364"/>
      <c r="D6277" s="222" t="s">
        <v>24</v>
      </c>
      <c r="E6277" s="222" t="s">
        <v>25</v>
      </c>
      <c r="F6277" s="222" t="s">
        <v>248</v>
      </c>
      <c r="G6277" s="238">
        <f t="shared" si="1648"/>
        <v>9.5451127999999995E-5</v>
      </c>
      <c r="H6277" s="160">
        <f>H5457</f>
        <v>5</v>
      </c>
      <c r="I6277" s="159">
        <f t="shared" si="1649"/>
        <v>1.2695E-2</v>
      </c>
      <c r="J6277" s="160"/>
      <c r="K6277" s="161">
        <f t="shared" si="1650"/>
        <v>665</v>
      </c>
      <c r="L6277" s="250">
        <v>1</v>
      </c>
      <c r="M6277" s="163" t="str">
        <f>CONCATENATE(H6277," ",F6277,"(потребность из расчета 4 контейнера для уборки территории весной и осенью на 1 учреждение)","*",I6277,"/",K6277,"чел")</f>
        <v>5 контейнеров(потребность из расчета 4 контейнера для уборки территории весной и осенью на 1 учреждение)*0,012695/665чел</v>
      </c>
      <c r="N6277" s="278">
        <f>N5767</f>
        <v>6016.38</v>
      </c>
      <c r="O6277" s="280">
        <f t="shared" si="1651"/>
        <v>0.57426999999999995</v>
      </c>
      <c r="P6277" s="166"/>
      <c r="Q6277" s="166">
        <f t="shared" si="1647"/>
        <v>381.88954999999999</v>
      </c>
      <c r="R6277" s="71"/>
    </row>
    <row r="6278" spans="1:41" s="109" customFormat="1" x14ac:dyDescent="0.25">
      <c r="A6278" s="358"/>
      <c r="B6278" s="361"/>
      <c r="C6278" s="218" t="s">
        <v>290</v>
      </c>
      <c r="D6278" s="226"/>
      <c r="E6278" s="226"/>
      <c r="F6278" s="226"/>
      <c r="G6278" s="227"/>
      <c r="H6278" s="228"/>
      <c r="I6278" s="206"/>
      <c r="J6278" s="228"/>
      <c r="K6278" s="207"/>
      <c r="L6278" s="257"/>
      <c r="M6278" s="209"/>
      <c r="N6278" s="281"/>
      <c r="O6278" s="279">
        <f>SUM(O6271:O6277)</f>
        <v>122.06561799999997</v>
      </c>
      <c r="P6278" s="267"/>
      <c r="Q6278" s="166"/>
      <c r="R6278" s="71"/>
      <c r="S6278" s="62"/>
      <c r="T6278" s="62"/>
      <c r="U6278" s="62"/>
      <c r="V6278" s="62"/>
      <c r="W6278" s="62"/>
      <c r="X6278" s="62"/>
      <c r="Y6278" s="62"/>
      <c r="Z6278" s="62"/>
      <c r="AA6278" s="62"/>
      <c r="AB6278" s="62"/>
      <c r="AC6278" s="62"/>
      <c r="AD6278" s="62"/>
      <c r="AE6278" s="62"/>
      <c r="AF6278" s="62"/>
      <c r="AG6278" s="62"/>
      <c r="AH6278" s="62"/>
      <c r="AI6278" s="62"/>
      <c r="AJ6278" s="62"/>
      <c r="AK6278" s="62"/>
      <c r="AL6278" s="62"/>
      <c r="AM6278" s="62"/>
      <c r="AN6278" s="62"/>
      <c r="AO6278" s="62"/>
    </row>
    <row r="6279" spans="1:41" s="108" customFormat="1" x14ac:dyDescent="0.25">
      <c r="A6279" s="358"/>
      <c r="B6279" s="361"/>
      <c r="C6279" s="221"/>
      <c r="D6279" s="356" t="s">
        <v>14</v>
      </c>
      <c r="E6279" s="356"/>
      <c r="F6279" s="356"/>
      <c r="G6279" s="356"/>
      <c r="H6279" s="188"/>
      <c r="I6279" s="159"/>
      <c r="J6279" s="188"/>
      <c r="K6279" s="161"/>
      <c r="L6279" s="250"/>
      <c r="M6279" s="230"/>
      <c r="N6279" s="278"/>
      <c r="O6279" s="279">
        <f>O6283+O6287+O6288</f>
        <v>450.91112747599999</v>
      </c>
      <c r="P6279" s="166"/>
      <c r="Q6279" s="166">
        <f>O6279*K6279</f>
        <v>0</v>
      </c>
      <c r="R6279" s="71"/>
      <c r="S6279" s="61"/>
      <c r="T6279" s="61"/>
      <c r="U6279" s="61"/>
      <c r="V6279" s="61"/>
      <c r="W6279" s="61"/>
      <c r="X6279" s="61"/>
      <c r="Y6279" s="61"/>
      <c r="Z6279" s="61"/>
      <c r="AA6279" s="61"/>
      <c r="AB6279" s="61"/>
      <c r="AC6279" s="61"/>
      <c r="AD6279" s="61"/>
      <c r="AE6279" s="61"/>
      <c r="AF6279" s="61"/>
      <c r="AG6279" s="61"/>
      <c r="AH6279" s="61"/>
      <c r="AI6279" s="61"/>
      <c r="AJ6279" s="61"/>
      <c r="AK6279" s="61"/>
      <c r="AL6279" s="61"/>
      <c r="AM6279" s="61"/>
      <c r="AN6279" s="61"/>
      <c r="AO6279" s="61"/>
    </row>
    <row r="6280" spans="1:41" s="61" customFormat="1" x14ac:dyDescent="0.25">
      <c r="A6280" s="358"/>
      <c r="B6280" s="361"/>
      <c r="C6280" s="221" t="s">
        <v>379</v>
      </c>
      <c r="D6280" s="231" t="s">
        <v>49</v>
      </c>
      <c r="E6280" s="231" t="s">
        <v>22</v>
      </c>
      <c r="F6280" s="231" t="s">
        <v>22</v>
      </c>
      <c r="G6280" s="238">
        <f>MROUND(H6280*L6280*I6280/K6280,0.000000000001)</f>
        <v>0</v>
      </c>
      <c r="H6280" s="160"/>
      <c r="I6280" s="159">
        <f>I6275</f>
        <v>1.2695E-2</v>
      </c>
      <c r="J6280" s="160"/>
      <c r="K6280" s="161">
        <f>K6275</f>
        <v>665</v>
      </c>
      <c r="L6280" s="250">
        <v>1</v>
      </c>
      <c r="M6280" s="163"/>
      <c r="N6280" s="278"/>
      <c r="O6280" s="280">
        <f>MROUND(N6280*G6280,0.000000001)</f>
        <v>0</v>
      </c>
      <c r="P6280" s="166"/>
      <c r="Q6280" s="166">
        <f>O6280*K6280</f>
        <v>0</v>
      </c>
      <c r="R6280" s="71"/>
    </row>
    <row r="6281" spans="1:41" s="61" customFormat="1" x14ac:dyDescent="0.25">
      <c r="A6281" s="358"/>
      <c r="B6281" s="361"/>
      <c r="C6281" s="221" t="s">
        <v>379</v>
      </c>
      <c r="D6281" s="231" t="s">
        <v>49</v>
      </c>
      <c r="E6281" s="231" t="s">
        <v>28</v>
      </c>
      <c r="F6281" s="231" t="s">
        <v>28</v>
      </c>
      <c r="G6281" s="238">
        <f>MROUND(H6281*L6281*I6281/K6281,0.000000000001)</f>
        <v>0</v>
      </c>
      <c r="H6281" s="160"/>
      <c r="I6281" s="159">
        <f>I6280</f>
        <v>1.2695E-2</v>
      </c>
      <c r="J6281" s="160"/>
      <c r="K6281" s="161">
        <f>K6280</f>
        <v>665</v>
      </c>
      <c r="L6281" s="250">
        <v>1</v>
      </c>
      <c r="M6281" s="163"/>
      <c r="N6281" s="278"/>
      <c r="O6281" s="280">
        <f>MROUND(N6281*G6281,0.000000001)</f>
        <v>0</v>
      </c>
      <c r="P6281" s="166"/>
      <c r="Q6281" s="166">
        <f>O6281*K6281</f>
        <v>0</v>
      </c>
      <c r="R6281" s="71"/>
    </row>
    <row r="6282" spans="1:41" s="61" customFormat="1" x14ac:dyDescent="0.25">
      <c r="A6282" s="358"/>
      <c r="B6282" s="361"/>
      <c r="C6282" s="221" t="s">
        <v>379</v>
      </c>
      <c r="D6282" s="231" t="s">
        <v>49</v>
      </c>
      <c r="E6282" s="231" t="s">
        <v>101</v>
      </c>
      <c r="F6282" s="231" t="s">
        <v>101</v>
      </c>
      <c r="G6282" s="238">
        <f>MROUND(H6282*L6282*I6282/K6282,0.000000000001)</f>
        <v>0</v>
      </c>
      <c r="H6282" s="160"/>
      <c r="I6282" s="159">
        <f>I6280</f>
        <v>1.2695E-2</v>
      </c>
      <c r="J6282" s="160"/>
      <c r="K6282" s="161">
        <f>K6280</f>
        <v>665</v>
      </c>
      <c r="L6282" s="250">
        <v>1</v>
      </c>
      <c r="M6282" s="163"/>
      <c r="N6282" s="278"/>
      <c r="O6282" s="280">
        <f>MROUND(N6282*G6282,0.000001)</f>
        <v>0</v>
      </c>
      <c r="P6282" s="166"/>
      <c r="Q6282" s="166">
        <f>O6282*K6282</f>
        <v>0</v>
      </c>
      <c r="R6282" s="71"/>
    </row>
    <row r="6283" spans="1:41" s="109" customFormat="1" x14ac:dyDescent="0.25">
      <c r="A6283" s="358"/>
      <c r="B6283" s="361"/>
      <c r="C6283" s="218" t="s">
        <v>380</v>
      </c>
      <c r="D6283" s="232"/>
      <c r="E6283" s="232"/>
      <c r="F6283" s="232"/>
      <c r="G6283" s="227"/>
      <c r="H6283" s="228"/>
      <c r="I6283" s="206"/>
      <c r="J6283" s="228"/>
      <c r="K6283" s="207"/>
      <c r="L6283" s="257"/>
      <c r="M6283" s="209"/>
      <c r="N6283" s="281"/>
      <c r="O6283" s="279">
        <f>SUM(O6280:O6282)</f>
        <v>0</v>
      </c>
      <c r="P6283" s="267"/>
      <c r="Q6283" s="166"/>
      <c r="R6283" s="72"/>
      <c r="S6283" s="62"/>
      <c r="T6283" s="62"/>
      <c r="U6283" s="62"/>
      <c r="V6283" s="62"/>
      <c r="W6283" s="62"/>
      <c r="X6283" s="62"/>
      <c r="Y6283" s="62"/>
      <c r="Z6283" s="62"/>
      <c r="AA6283" s="62"/>
      <c r="AB6283" s="62"/>
      <c r="AC6283" s="62"/>
      <c r="AD6283" s="62"/>
      <c r="AE6283" s="62"/>
      <c r="AF6283" s="62"/>
      <c r="AG6283" s="62"/>
      <c r="AH6283" s="62"/>
      <c r="AI6283" s="62"/>
      <c r="AJ6283" s="62"/>
      <c r="AK6283" s="62"/>
      <c r="AL6283" s="62"/>
      <c r="AM6283" s="62"/>
      <c r="AN6283" s="62"/>
      <c r="AO6283" s="62"/>
    </row>
    <row r="6284" spans="1:41" s="61" customFormat="1" x14ac:dyDescent="0.25">
      <c r="A6284" s="358"/>
      <c r="B6284" s="361"/>
      <c r="C6284" s="221" t="s">
        <v>76</v>
      </c>
      <c r="D6284" s="231" t="s">
        <v>49</v>
      </c>
      <c r="E6284" s="231" t="s">
        <v>22</v>
      </c>
      <c r="F6284" s="231" t="s">
        <v>22</v>
      </c>
      <c r="G6284" s="238">
        <f>MROUND(H6284*L6284*I6284/K6284,0.000000000001)</f>
        <v>0.18975684210499999</v>
      </c>
      <c r="H6284" s="160">
        <f>H5568</f>
        <v>9940</v>
      </c>
      <c r="I6284" s="159">
        <f>I6282</f>
        <v>1.2695E-2</v>
      </c>
      <c r="J6284" s="160"/>
      <c r="K6284" s="161">
        <f>K6282</f>
        <v>665</v>
      </c>
      <c r="L6284" s="250">
        <v>1</v>
      </c>
      <c r="M6284" s="163" t="str">
        <f>CONCATENATE(H6284," ",F6284,"*",I6284,"/",K6284,"чел")</f>
        <v>9940 м2*0,012695/665чел</v>
      </c>
      <c r="N6284" s="278">
        <f>N5568</f>
        <v>1444.6680080482897</v>
      </c>
      <c r="O6284" s="280">
        <f>MROUND(N6284*G6284,0.000000001)</f>
        <v>274.13563909700002</v>
      </c>
      <c r="P6284" s="166"/>
      <c r="Q6284" s="166">
        <f>O6284*K6284</f>
        <v>182300.19999950501</v>
      </c>
      <c r="R6284" s="71"/>
    </row>
    <row r="6285" spans="1:41" s="61" customFormat="1" x14ac:dyDescent="0.25">
      <c r="A6285" s="358"/>
      <c r="B6285" s="361"/>
      <c r="C6285" s="221"/>
      <c r="D6285" s="231" t="s">
        <v>49</v>
      </c>
      <c r="E6285" s="231" t="s">
        <v>28</v>
      </c>
      <c r="F6285" s="231" t="s">
        <v>28</v>
      </c>
      <c r="G6285" s="238">
        <f>MROUND(H6285*L6285*I6285/K6285,0.000000000001)</f>
        <v>8.2087969899999997E-4</v>
      </c>
      <c r="H6285" s="160">
        <f>H5569</f>
        <v>43</v>
      </c>
      <c r="I6285" s="159">
        <f>I6284</f>
        <v>1.2695E-2</v>
      </c>
      <c r="J6285" s="160"/>
      <c r="K6285" s="161">
        <f>K6284</f>
        <v>665</v>
      </c>
      <c r="L6285" s="250">
        <v>1</v>
      </c>
      <c r="M6285" s="163" t="str">
        <f>CONCATENATE(H6285," ",F6285,"*",I6285,"/",K6285,"чел")</f>
        <v>43 шт*0,012695/665чел</v>
      </c>
      <c r="N6285" s="278">
        <f>N5569</f>
        <v>109534.88372093023</v>
      </c>
      <c r="O6285" s="280">
        <f>MROUND(N6285*G6285,0.000000001)</f>
        <v>89.914962379000002</v>
      </c>
      <c r="P6285" s="166"/>
      <c r="Q6285" s="166">
        <f>O6285*K6285</f>
        <v>59793.449982035003</v>
      </c>
      <c r="R6285" s="71"/>
    </row>
    <row r="6286" spans="1:41" s="61" customFormat="1" x14ac:dyDescent="0.25">
      <c r="A6286" s="358"/>
      <c r="B6286" s="361"/>
      <c r="C6286" s="221"/>
      <c r="D6286" s="231" t="s">
        <v>49</v>
      </c>
      <c r="E6286" s="231" t="s">
        <v>101</v>
      </c>
      <c r="F6286" s="231" t="s">
        <v>101</v>
      </c>
      <c r="G6286" s="238">
        <f>MROUND(H6286*L6286*I6286/K6286,0.000000000001)</f>
        <v>3.4744210525999998E-2</v>
      </c>
      <c r="H6286" s="160">
        <f>H5466</f>
        <v>1820</v>
      </c>
      <c r="I6286" s="159">
        <f>I6284</f>
        <v>1.2695E-2</v>
      </c>
      <c r="J6286" s="160"/>
      <c r="K6286" s="161">
        <f>K6284</f>
        <v>665</v>
      </c>
      <c r="L6286" s="250">
        <v>1</v>
      </c>
      <c r="M6286" s="163" t="str">
        <f>CONCATENATE(H6286," ",F6286,"*",I6286,"/",K6286,"чел")</f>
        <v>1820 погон.м.*0,012695/665чел</v>
      </c>
      <c r="N6286" s="278">
        <f>N5570</f>
        <v>2500</v>
      </c>
      <c r="O6286" s="280">
        <f>MROUND(N6286*G6286,0.000001)</f>
        <v>86.860525999999993</v>
      </c>
      <c r="P6286" s="166"/>
      <c r="Q6286" s="166">
        <f>O6286*K6286</f>
        <v>57762.249789999994</v>
      </c>
      <c r="R6286" s="71"/>
    </row>
    <row r="6287" spans="1:41" s="109" customFormat="1" x14ac:dyDescent="0.25">
      <c r="A6287" s="358"/>
      <c r="B6287" s="361"/>
      <c r="C6287" s="218" t="s">
        <v>291</v>
      </c>
      <c r="D6287" s="232"/>
      <c r="E6287" s="232"/>
      <c r="F6287" s="232"/>
      <c r="G6287" s="227"/>
      <c r="H6287" s="228"/>
      <c r="I6287" s="206"/>
      <c r="J6287" s="228"/>
      <c r="K6287" s="207"/>
      <c r="L6287" s="257"/>
      <c r="M6287" s="209"/>
      <c r="N6287" s="281"/>
      <c r="O6287" s="279">
        <f>SUM(O6284:O6286)</f>
        <v>450.91112747599999</v>
      </c>
      <c r="P6287" s="267"/>
      <c r="Q6287" s="166"/>
      <c r="R6287" s="72"/>
      <c r="S6287" s="62"/>
      <c r="T6287" s="62"/>
      <c r="U6287" s="62"/>
      <c r="V6287" s="62"/>
      <c r="W6287" s="62"/>
      <c r="X6287" s="62"/>
      <c r="Y6287" s="62"/>
      <c r="Z6287" s="62"/>
      <c r="AA6287" s="62"/>
      <c r="AB6287" s="62"/>
      <c r="AC6287" s="62"/>
      <c r="AD6287" s="62"/>
      <c r="AE6287" s="62"/>
      <c r="AF6287" s="62"/>
      <c r="AG6287" s="62"/>
      <c r="AH6287" s="62"/>
      <c r="AI6287" s="62"/>
      <c r="AJ6287" s="62"/>
      <c r="AK6287" s="62"/>
      <c r="AL6287" s="62"/>
      <c r="AM6287" s="62"/>
      <c r="AN6287" s="62"/>
      <c r="AO6287" s="62"/>
    </row>
    <row r="6288" spans="1:41" s="61" customFormat="1" x14ac:dyDescent="0.25">
      <c r="A6288" s="358"/>
      <c r="B6288" s="361"/>
      <c r="C6288" s="221" t="s">
        <v>77</v>
      </c>
      <c r="D6288" s="231"/>
      <c r="E6288" s="231"/>
      <c r="F6288" s="231"/>
      <c r="G6288" s="238">
        <f>MROUND(H6288*L6288*I6288/K6288,0.000000000001)</f>
        <v>0</v>
      </c>
      <c r="H6288" s="160"/>
      <c r="I6288" s="159">
        <f>I6286</f>
        <v>1.2695E-2</v>
      </c>
      <c r="J6288" s="160"/>
      <c r="K6288" s="161">
        <f>K6286</f>
        <v>665</v>
      </c>
      <c r="L6288" s="250"/>
      <c r="M6288" s="163"/>
      <c r="N6288" s="278"/>
      <c r="O6288" s="280">
        <f>MROUND(N6288*G6288,0.000001)</f>
        <v>0</v>
      </c>
      <c r="P6288" s="166"/>
      <c r="Q6288" s="166">
        <f>O6288*K6288</f>
        <v>0</v>
      </c>
      <c r="R6288" s="71"/>
    </row>
    <row r="6289" spans="1:41" s="109" customFormat="1" x14ac:dyDescent="0.25">
      <c r="A6289" s="358"/>
      <c r="B6289" s="361"/>
      <c r="C6289" s="218" t="s">
        <v>292</v>
      </c>
      <c r="D6289" s="232"/>
      <c r="E6289" s="232"/>
      <c r="F6289" s="232"/>
      <c r="G6289" s="227"/>
      <c r="H6289" s="228"/>
      <c r="I6289" s="206"/>
      <c r="J6289" s="228"/>
      <c r="K6289" s="207"/>
      <c r="L6289" s="257"/>
      <c r="M6289" s="209"/>
      <c r="N6289" s="281"/>
      <c r="O6289" s="279">
        <f>O6288</f>
        <v>0</v>
      </c>
      <c r="P6289" s="267"/>
      <c r="Q6289" s="166"/>
      <c r="R6289" s="72"/>
      <c r="S6289" s="62"/>
      <c r="T6289" s="62"/>
      <c r="U6289" s="62"/>
      <c r="V6289" s="62"/>
      <c r="W6289" s="62"/>
      <c r="X6289" s="62"/>
      <c r="Y6289" s="62"/>
      <c r="Z6289" s="62"/>
      <c r="AA6289" s="62"/>
      <c r="AB6289" s="62"/>
      <c r="AC6289" s="62"/>
      <c r="AD6289" s="62"/>
      <c r="AE6289" s="62"/>
      <c r="AF6289" s="62"/>
      <c r="AG6289" s="62"/>
      <c r="AH6289" s="62"/>
      <c r="AI6289" s="62"/>
      <c r="AJ6289" s="62"/>
      <c r="AK6289" s="62"/>
      <c r="AL6289" s="62"/>
      <c r="AM6289" s="62"/>
      <c r="AN6289" s="62"/>
      <c r="AO6289" s="62"/>
    </row>
    <row r="6290" spans="1:41" s="108" customFormat="1" x14ac:dyDescent="0.25">
      <c r="A6290" s="358"/>
      <c r="B6290" s="361"/>
      <c r="C6290" s="221"/>
      <c r="D6290" s="350" t="s">
        <v>65</v>
      </c>
      <c r="E6290" s="350"/>
      <c r="F6290" s="350"/>
      <c r="G6290" s="350"/>
      <c r="H6290" s="195"/>
      <c r="I6290" s="159"/>
      <c r="J6290" s="195"/>
      <c r="K6290" s="161"/>
      <c r="L6290" s="196"/>
      <c r="M6290" s="230"/>
      <c r="N6290" s="278"/>
      <c r="O6290" s="280"/>
      <c r="P6290" s="166"/>
      <c r="Q6290" s="166">
        <f t="shared" ref="Q6290:Q6309" si="1652">O6290*K6290</f>
        <v>0</v>
      </c>
      <c r="R6290" s="71"/>
      <c r="S6290" s="61"/>
      <c r="T6290" s="61"/>
      <c r="U6290" s="61"/>
      <c r="V6290" s="61"/>
      <c r="W6290" s="61"/>
      <c r="X6290" s="61"/>
      <c r="Y6290" s="61"/>
      <c r="Z6290" s="61"/>
      <c r="AA6290" s="61"/>
      <c r="AB6290" s="61"/>
      <c r="AC6290" s="61"/>
      <c r="AD6290" s="61"/>
      <c r="AE6290" s="61"/>
      <c r="AF6290" s="61"/>
      <c r="AG6290" s="61"/>
      <c r="AH6290" s="61"/>
      <c r="AI6290" s="61"/>
      <c r="AJ6290" s="61"/>
      <c r="AK6290" s="61"/>
      <c r="AL6290" s="61"/>
      <c r="AM6290" s="61"/>
      <c r="AN6290" s="61"/>
      <c r="AO6290" s="61"/>
    </row>
    <row r="6291" spans="1:41" s="108" customFormat="1" x14ac:dyDescent="0.25">
      <c r="A6291" s="358"/>
      <c r="B6291" s="361"/>
      <c r="C6291" s="221"/>
      <c r="D6291" s="194"/>
      <c r="E6291" s="194"/>
      <c r="F6291" s="194"/>
      <c r="G6291" s="217"/>
      <c r="H6291" s="195"/>
      <c r="I6291" s="159"/>
      <c r="J6291" s="195"/>
      <c r="K6291" s="161"/>
      <c r="L6291" s="196"/>
      <c r="M6291" s="230"/>
      <c r="N6291" s="278"/>
      <c r="O6291" s="280"/>
      <c r="P6291" s="166"/>
      <c r="Q6291" s="166">
        <f t="shared" si="1652"/>
        <v>0</v>
      </c>
      <c r="R6291" s="71"/>
      <c r="S6291" s="61"/>
      <c r="T6291" s="61"/>
      <c r="U6291" s="61"/>
      <c r="V6291" s="61"/>
      <c r="W6291" s="61"/>
      <c r="X6291" s="61"/>
      <c r="Y6291" s="61"/>
      <c r="Z6291" s="61"/>
      <c r="AA6291" s="61"/>
      <c r="AB6291" s="61"/>
      <c r="AC6291" s="61"/>
      <c r="AD6291" s="61"/>
      <c r="AE6291" s="61"/>
      <c r="AF6291" s="61"/>
      <c r="AG6291" s="61"/>
      <c r="AH6291" s="61"/>
      <c r="AI6291" s="61"/>
      <c r="AJ6291" s="61"/>
      <c r="AK6291" s="61"/>
      <c r="AL6291" s="61"/>
      <c r="AM6291" s="61"/>
      <c r="AN6291" s="61"/>
      <c r="AO6291" s="61"/>
    </row>
    <row r="6292" spans="1:41" s="108" customFormat="1" x14ac:dyDescent="0.25">
      <c r="A6292" s="358"/>
      <c r="B6292" s="361"/>
      <c r="C6292" s="365" t="s">
        <v>357</v>
      </c>
      <c r="D6292" s="368" t="s">
        <v>66</v>
      </c>
      <c r="E6292" s="368"/>
      <c r="F6292" s="368"/>
      <c r="G6292" s="368"/>
      <c r="H6292" s="195"/>
      <c r="I6292" s="159"/>
      <c r="J6292" s="195"/>
      <c r="K6292" s="161"/>
      <c r="L6292" s="196"/>
      <c r="M6292" s="230"/>
      <c r="N6292" s="278"/>
      <c r="O6292" s="279">
        <f>O6298</f>
        <v>8.9453435739999989</v>
      </c>
      <c r="P6292" s="166"/>
      <c r="Q6292" s="166">
        <f t="shared" si="1652"/>
        <v>0</v>
      </c>
      <c r="R6292" s="71"/>
      <c r="S6292" s="61"/>
      <c r="T6292" s="61"/>
      <c r="U6292" s="61"/>
      <c r="V6292" s="61"/>
      <c r="W6292" s="61"/>
      <c r="X6292" s="61"/>
      <c r="Y6292" s="61"/>
      <c r="Z6292" s="61"/>
      <c r="AA6292" s="61"/>
      <c r="AB6292" s="61"/>
      <c r="AC6292" s="61"/>
      <c r="AD6292" s="61"/>
      <c r="AE6292" s="61"/>
      <c r="AF6292" s="61"/>
      <c r="AG6292" s="61"/>
      <c r="AH6292" s="61"/>
      <c r="AI6292" s="61"/>
      <c r="AJ6292" s="61"/>
      <c r="AK6292" s="61"/>
      <c r="AL6292" s="61"/>
      <c r="AM6292" s="61"/>
      <c r="AN6292" s="61"/>
      <c r="AO6292" s="61"/>
    </row>
    <row r="6293" spans="1:41" s="61" customFormat="1" x14ac:dyDescent="0.25">
      <c r="A6293" s="358"/>
      <c r="B6293" s="361"/>
      <c r="C6293" s="366"/>
      <c r="D6293" s="284" t="s">
        <v>241</v>
      </c>
      <c r="E6293" s="156" t="s">
        <v>28</v>
      </c>
      <c r="F6293" s="156" t="s">
        <v>28</v>
      </c>
      <c r="G6293" s="238">
        <f>MROUND(H6293*L6293*I6293/K6293,0.000000000001)</f>
        <v>3.8944060149999999E-3</v>
      </c>
      <c r="H6293" s="158">
        <f>H5473</f>
        <v>17</v>
      </c>
      <c r="I6293" s="159">
        <f>I6286</f>
        <v>1.2695E-2</v>
      </c>
      <c r="J6293" s="160"/>
      <c r="K6293" s="161">
        <f>K6286</f>
        <v>665</v>
      </c>
      <c r="L6293" s="250">
        <v>12</v>
      </c>
      <c r="M6293" s="163" t="str">
        <f>CONCATENATE(H6293," ",F6293,"*",L6293,"мес.","*",I6293,"/",K6293,"чел")</f>
        <v>17 шт*12мес.*0,012695/665чел</v>
      </c>
      <c r="N6293" s="278">
        <f>N5577</f>
        <v>342.84676470588238</v>
      </c>
      <c r="O6293" s="280">
        <f>MROUND(N6293*G6293,0.000001)</f>
        <v>1.3351849999999998</v>
      </c>
      <c r="P6293" s="166"/>
      <c r="Q6293" s="166">
        <f t="shared" si="1652"/>
        <v>887.89802499999985</v>
      </c>
      <c r="R6293" s="71"/>
    </row>
    <row r="6294" spans="1:41" s="61" customFormat="1" x14ac:dyDescent="0.25">
      <c r="A6294" s="358"/>
      <c r="B6294" s="361"/>
      <c r="C6294" s="366"/>
      <c r="D6294" s="284" t="s">
        <v>242</v>
      </c>
      <c r="E6294" s="156" t="s">
        <v>243</v>
      </c>
      <c r="F6294" s="156" t="s">
        <v>243</v>
      </c>
      <c r="G6294" s="238">
        <f>MROUND(H6294*L6294*I6294/K6294,0.000000000001)</f>
        <v>3.9645053233079999</v>
      </c>
      <c r="H6294" s="158">
        <f>H5474</f>
        <v>17306</v>
      </c>
      <c r="I6294" s="159">
        <f>I6293</f>
        <v>1.2695E-2</v>
      </c>
      <c r="J6294" s="160"/>
      <c r="K6294" s="161">
        <f>K6293</f>
        <v>665</v>
      </c>
      <c r="L6294" s="250">
        <v>12</v>
      </c>
      <c r="M6294" s="163" t="str">
        <f>CONCATENATE(H6294," ",F6294,"*",L6294,"мес.","*",I6294,"/",K6294,"чел")</f>
        <v>17306 мин.*12мес.*0,012695/665чел</v>
      </c>
      <c r="N6294" s="278">
        <f>N5474</f>
        <v>0.82090079548518802</v>
      </c>
      <c r="O6294" s="280">
        <f>MROUND(N6294*G6294,0.000000001)</f>
        <v>3.2544655740000001</v>
      </c>
      <c r="P6294" s="166"/>
      <c r="Q6294" s="166">
        <f t="shared" si="1652"/>
        <v>2164.2196067099999</v>
      </c>
      <c r="R6294" s="71"/>
    </row>
    <row r="6295" spans="1:41" s="61" customFormat="1" ht="31.5" x14ac:dyDescent="0.25">
      <c r="A6295" s="358"/>
      <c r="B6295" s="361"/>
      <c r="C6295" s="366"/>
      <c r="D6295" s="285" t="s">
        <v>244</v>
      </c>
      <c r="E6295" s="286" t="s">
        <v>245</v>
      </c>
      <c r="F6295" s="286" t="s">
        <v>247</v>
      </c>
      <c r="G6295" s="238">
        <f>MROUND(H6295*L6295*I6295/K6295,0.000000000001)</f>
        <v>1.1454135339999999E-3</v>
      </c>
      <c r="H6295" s="158">
        <f>H5475</f>
        <v>5</v>
      </c>
      <c r="I6295" s="159">
        <f>I6294</f>
        <v>1.2695E-2</v>
      </c>
      <c r="J6295" s="160"/>
      <c r="K6295" s="161">
        <f>K6294</f>
        <v>665</v>
      </c>
      <c r="L6295" s="250">
        <v>12</v>
      </c>
      <c r="M6295" s="163" t="str">
        <f>CONCATENATE(H6295," ",F6295,"*",L6295,"мес.","*",I6295,"/",K6295,"чел")</f>
        <v>5 радиоточек*12мес.*0,012695/665чел</v>
      </c>
      <c r="N6295" s="278">
        <f>N5579</f>
        <v>173.30166666666665</v>
      </c>
      <c r="O6295" s="280">
        <f>MROUND(N6295*G6295,0.000001)</f>
        <v>0.19850199999999998</v>
      </c>
      <c r="P6295" s="166"/>
      <c r="Q6295" s="166">
        <f t="shared" si="1652"/>
        <v>132.00382999999999</v>
      </c>
      <c r="R6295" s="71"/>
    </row>
    <row r="6296" spans="1:41" s="61" customFormat="1" ht="47.25" x14ac:dyDescent="0.25">
      <c r="A6296" s="358"/>
      <c r="B6296" s="361"/>
      <c r="C6296" s="366"/>
      <c r="D6296" s="285" t="s">
        <v>374</v>
      </c>
      <c r="E6296" s="156" t="s">
        <v>28</v>
      </c>
      <c r="F6296" s="156" t="s">
        <v>28</v>
      </c>
      <c r="G6296" s="238">
        <f>MROUND(H6296*L6296*I6296/K6296,0.000000000001)</f>
        <v>5.3452631599999994E-4</v>
      </c>
      <c r="H6296" s="158">
        <f>H5786</f>
        <v>7</v>
      </c>
      <c r="I6296" s="159">
        <f>I6294</f>
        <v>1.2695E-2</v>
      </c>
      <c r="J6296" s="160"/>
      <c r="K6296" s="161">
        <f>K6294</f>
        <v>665</v>
      </c>
      <c r="L6296" s="250">
        <f>L5786</f>
        <v>4</v>
      </c>
      <c r="M6296" s="163" t="str">
        <f>CONCATENATE(H6296," ",F6296,"*",L6296,"мес.","*",I6296,"/",K6296,"чел/час")</f>
        <v>7 шт*4мес.*0,012695/665чел/час</v>
      </c>
      <c r="N6296" s="278">
        <f>N5786</f>
        <v>1313.8174999999999</v>
      </c>
      <c r="O6296" s="280">
        <f>MROUND(N6296*G6296,0.000001)</f>
        <v>0.70226999999999995</v>
      </c>
      <c r="P6296" s="166"/>
      <c r="Q6296" s="166">
        <f t="shared" si="1652"/>
        <v>467.00954999999999</v>
      </c>
      <c r="R6296" s="71"/>
    </row>
    <row r="6297" spans="1:41" s="61" customFormat="1" x14ac:dyDescent="0.25">
      <c r="A6297" s="358"/>
      <c r="B6297" s="361"/>
      <c r="C6297" s="367"/>
      <c r="D6297" s="284" t="s">
        <v>246</v>
      </c>
      <c r="E6297" s="156" t="s">
        <v>28</v>
      </c>
      <c r="F6297" s="156" t="s">
        <v>28</v>
      </c>
      <c r="G6297" s="238">
        <f>MROUND(H6297*L6297*I6297/K6297,0.000000000001)</f>
        <v>1.1454135339999999E-3</v>
      </c>
      <c r="H6297" s="158">
        <v>5</v>
      </c>
      <c r="I6297" s="159">
        <f>I6295</f>
        <v>1.2695E-2</v>
      </c>
      <c r="J6297" s="160"/>
      <c r="K6297" s="161">
        <f>K6295</f>
        <v>665</v>
      </c>
      <c r="L6297" s="250">
        <v>12</v>
      </c>
      <c r="M6297" s="163" t="str">
        <f>CONCATENATE(H6297," ",F6297,"*",L6297,"мес.","*",I6297,"/",K6297,"чел")</f>
        <v>5 шт*12мес.*0,012695/665чел</v>
      </c>
      <c r="N6297" s="278">
        <f>N5581</f>
        <v>3016.3089999999997</v>
      </c>
      <c r="O6297" s="280">
        <f>MROUND(N6297*G6297,0.000001)</f>
        <v>3.4549209999999997</v>
      </c>
      <c r="P6297" s="166"/>
      <c r="Q6297" s="166">
        <f t="shared" si="1652"/>
        <v>2297.522465</v>
      </c>
      <c r="R6297" s="71"/>
    </row>
    <row r="6298" spans="1:41" s="109" customFormat="1" x14ac:dyDescent="0.25">
      <c r="A6298" s="358"/>
      <c r="B6298" s="361"/>
      <c r="C6298" s="218" t="s">
        <v>358</v>
      </c>
      <c r="D6298" s="287"/>
      <c r="E6298" s="287"/>
      <c r="F6298" s="287"/>
      <c r="G6298" s="288"/>
      <c r="H6298" s="214"/>
      <c r="I6298" s="206"/>
      <c r="J6298" s="214"/>
      <c r="K6298" s="207"/>
      <c r="L6298" s="215"/>
      <c r="M6298" s="289"/>
      <c r="N6298" s="281"/>
      <c r="O6298" s="279">
        <f>SUM(O6293:O6297)</f>
        <v>8.9453435739999989</v>
      </c>
      <c r="P6298" s="267"/>
      <c r="Q6298" s="166">
        <f t="shared" si="1652"/>
        <v>0</v>
      </c>
      <c r="R6298" s="71"/>
      <c r="S6298" s="62"/>
      <c r="T6298" s="62"/>
      <c r="U6298" s="62"/>
      <c r="V6298" s="62"/>
      <c r="W6298" s="62"/>
      <c r="X6298" s="62"/>
      <c r="Y6298" s="62"/>
      <c r="Z6298" s="62"/>
      <c r="AA6298" s="62"/>
      <c r="AB6298" s="62"/>
      <c r="AC6298" s="62"/>
      <c r="AD6298" s="62"/>
      <c r="AE6298" s="62"/>
      <c r="AF6298" s="62"/>
      <c r="AG6298" s="62"/>
      <c r="AH6298" s="62"/>
      <c r="AI6298" s="62"/>
      <c r="AJ6298" s="62"/>
      <c r="AK6298" s="62"/>
      <c r="AL6298" s="62"/>
      <c r="AM6298" s="62"/>
      <c r="AN6298" s="62"/>
      <c r="AO6298" s="62"/>
    </row>
    <row r="6299" spans="1:41" s="108" customFormat="1" x14ac:dyDescent="0.25">
      <c r="A6299" s="358"/>
      <c r="B6299" s="361"/>
      <c r="C6299" s="365" t="s">
        <v>366</v>
      </c>
      <c r="D6299" s="368" t="s">
        <v>67</v>
      </c>
      <c r="E6299" s="368"/>
      <c r="F6299" s="368"/>
      <c r="G6299" s="368"/>
      <c r="H6299" s="195"/>
      <c r="I6299" s="159"/>
      <c r="J6299" s="195"/>
      <c r="K6299" s="161"/>
      <c r="L6299" s="196"/>
      <c r="M6299" s="230"/>
      <c r="N6299" s="278"/>
      <c r="O6299" s="279">
        <f>O6300</f>
        <v>1.201457</v>
      </c>
      <c r="P6299" s="166"/>
      <c r="Q6299" s="166">
        <f t="shared" si="1652"/>
        <v>0</v>
      </c>
      <c r="R6299" s="71"/>
      <c r="S6299" s="61"/>
      <c r="T6299" s="61"/>
      <c r="U6299" s="61"/>
      <c r="V6299" s="61"/>
      <c r="W6299" s="61"/>
      <c r="X6299" s="61"/>
      <c r="Y6299" s="61"/>
      <c r="Z6299" s="61"/>
      <c r="AA6299" s="61"/>
      <c r="AB6299" s="61"/>
      <c r="AC6299" s="61"/>
      <c r="AD6299" s="61"/>
      <c r="AE6299" s="61"/>
      <c r="AF6299" s="61"/>
      <c r="AG6299" s="61"/>
      <c r="AH6299" s="61"/>
      <c r="AI6299" s="61"/>
      <c r="AJ6299" s="61"/>
      <c r="AK6299" s="61"/>
      <c r="AL6299" s="61"/>
      <c r="AM6299" s="61"/>
      <c r="AN6299" s="61"/>
      <c r="AO6299" s="61"/>
    </row>
    <row r="6300" spans="1:41" s="61" customFormat="1" x14ac:dyDescent="0.25">
      <c r="A6300" s="358"/>
      <c r="B6300" s="361"/>
      <c r="C6300" s="367"/>
      <c r="D6300" s="194" t="s">
        <v>367</v>
      </c>
      <c r="E6300" s="156" t="s">
        <v>28</v>
      </c>
      <c r="F6300" s="156" t="s">
        <v>28</v>
      </c>
      <c r="G6300" s="238">
        <f>MROUND(H6300*L6300*I6300/K6300,0.000000000001)</f>
        <v>4.5816541399999999E-4</v>
      </c>
      <c r="H6300" s="158">
        <f>H5480</f>
        <v>2</v>
      </c>
      <c r="I6300" s="159">
        <f>I6297</f>
        <v>1.2695E-2</v>
      </c>
      <c r="J6300" s="160"/>
      <c r="K6300" s="161">
        <f>K6297</f>
        <v>665</v>
      </c>
      <c r="L6300" s="250">
        <v>12</v>
      </c>
      <c r="M6300" s="163" t="str">
        <f>CONCATENATE(H6300," ",F6300,"*",L6300,"мес.","*",I6300,"/",K6300,"чел")</f>
        <v>2 шт*12мес.*0,012695/665чел</v>
      </c>
      <c r="N6300" s="278">
        <f>N5480</f>
        <v>2622.3220833333335</v>
      </c>
      <c r="O6300" s="280">
        <f>MROUND(N6300*G6300,0.000001)</f>
        <v>1.201457</v>
      </c>
      <c r="P6300" s="166"/>
      <c r="Q6300" s="166">
        <f t="shared" si="1652"/>
        <v>798.96890499999995</v>
      </c>
      <c r="R6300" s="71"/>
    </row>
    <row r="6301" spans="1:41" s="108" customFormat="1" x14ac:dyDescent="0.25">
      <c r="A6301" s="358"/>
      <c r="B6301" s="361"/>
      <c r="C6301" s="221"/>
      <c r="D6301" s="350" t="s">
        <v>68</v>
      </c>
      <c r="E6301" s="350"/>
      <c r="F6301" s="350"/>
      <c r="G6301" s="350"/>
      <c r="H6301" s="195"/>
      <c r="I6301" s="159"/>
      <c r="J6301" s="195"/>
      <c r="K6301" s="161"/>
      <c r="L6301" s="196"/>
      <c r="M6301" s="230"/>
      <c r="N6301" s="278"/>
      <c r="O6301" s="280"/>
      <c r="P6301" s="166"/>
      <c r="Q6301" s="166">
        <f t="shared" si="1652"/>
        <v>0</v>
      </c>
      <c r="R6301" s="71"/>
      <c r="S6301" s="61"/>
      <c r="T6301" s="61"/>
      <c r="U6301" s="61"/>
      <c r="V6301" s="61"/>
      <c r="W6301" s="61"/>
      <c r="X6301" s="61"/>
      <c r="Y6301" s="61"/>
      <c r="Z6301" s="61"/>
      <c r="AA6301" s="61"/>
      <c r="AB6301" s="61"/>
      <c r="AC6301" s="61"/>
      <c r="AD6301" s="61"/>
      <c r="AE6301" s="61"/>
      <c r="AF6301" s="61"/>
      <c r="AG6301" s="61"/>
      <c r="AH6301" s="61"/>
      <c r="AI6301" s="61"/>
      <c r="AJ6301" s="61"/>
      <c r="AK6301" s="61"/>
      <c r="AL6301" s="61"/>
      <c r="AM6301" s="61"/>
      <c r="AN6301" s="61"/>
      <c r="AO6301" s="61"/>
    </row>
    <row r="6302" spans="1:41" s="108" customFormat="1" x14ac:dyDescent="0.25">
      <c r="A6302" s="358"/>
      <c r="B6302" s="361"/>
      <c r="C6302" s="221"/>
      <c r="D6302" s="156"/>
      <c r="E6302" s="156"/>
      <c r="F6302" s="156"/>
      <c r="G6302" s="236"/>
      <c r="H6302" s="195"/>
      <c r="I6302" s="159"/>
      <c r="J6302" s="195"/>
      <c r="K6302" s="161"/>
      <c r="L6302" s="196"/>
      <c r="M6302" s="230"/>
      <c r="N6302" s="278"/>
      <c r="O6302" s="280"/>
      <c r="P6302" s="166"/>
      <c r="Q6302" s="166">
        <f t="shared" si="1652"/>
        <v>0</v>
      </c>
      <c r="R6302" s="71"/>
      <c r="S6302" s="61"/>
      <c r="T6302" s="61"/>
      <c r="U6302" s="61"/>
      <c r="V6302" s="61"/>
      <c r="W6302" s="61"/>
      <c r="X6302" s="61"/>
      <c r="Y6302" s="61"/>
      <c r="Z6302" s="61"/>
      <c r="AA6302" s="61"/>
      <c r="AB6302" s="61"/>
      <c r="AC6302" s="61"/>
      <c r="AD6302" s="61"/>
      <c r="AE6302" s="61"/>
      <c r="AF6302" s="61"/>
      <c r="AG6302" s="61"/>
      <c r="AH6302" s="61"/>
      <c r="AI6302" s="61"/>
      <c r="AJ6302" s="61"/>
      <c r="AK6302" s="61"/>
      <c r="AL6302" s="61"/>
      <c r="AM6302" s="61"/>
      <c r="AN6302" s="61"/>
      <c r="AO6302" s="61"/>
    </row>
    <row r="6303" spans="1:41" s="108" customFormat="1" x14ac:dyDescent="0.25">
      <c r="A6303" s="358"/>
      <c r="B6303" s="361"/>
      <c r="C6303" s="221"/>
      <c r="D6303" s="368" t="s">
        <v>69</v>
      </c>
      <c r="E6303" s="368"/>
      <c r="F6303" s="368"/>
      <c r="G6303" s="368"/>
      <c r="H6303" s="187"/>
      <c r="I6303" s="159"/>
      <c r="J6303" s="187"/>
      <c r="K6303" s="161"/>
      <c r="L6303" s="276"/>
      <c r="M6303" s="230"/>
      <c r="N6303" s="278"/>
      <c r="O6303" s="279">
        <f>O6310+O6326+O6329+O6342+O6343+O6344+O6355+O6357+O6361+O6358</f>
        <v>70.037202999999991</v>
      </c>
      <c r="P6303" s="166"/>
      <c r="Q6303" s="166">
        <f t="shared" si="1652"/>
        <v>0</v>
      </c>
      <c r="R6303" s="71"/>
      <c r="S6303" s="61"/>
      <c r="T6303" s="61"/>
      <c r="U6303" s="61"/>
      <c r="V6303" s="61"/>
      <c r="W6303" s="61"/>
      <c r="X6303" s="61"/>
      <c r="Y6303" s="61"/>
      <c r="Z6303" s="61"/>
      <c r="AA6303" s="61"/>
      <c r="AB6303" s="61"/>
      <c r="AC6303" s="61"/>
      <c r="AD6303" s="61"/>
      <c r="AE6303" s="61"/>
      <c r="AF6303" s="61"/>
      <c r="AG6303" s="61"/>
      <c r="AH6303" s="61"/>
      <c r="AI6303" s="61"/>
      <c r="AJ6303" s="61"/>
      <c r="AK6303" s="61"/>
      <c r="AL6303" s="61"/>
      <c r="AM6303" s="61"/>
      <c r="AN6303" s="61"/>
      <c r="AO6303" s="61"/>
    </row>
    <row r="6304" spans="1:41" s="61" customFormat="1" ht="31.5" x14ac:dyDescent="0.25">
      <c r="A6304" s="358"/>
      <c r="B6304" s="361"/>
      <c r="C6304" s="365" t="s">
        <v>78</v>
      </c>
      <c r="D6304" s="156" t="s">
        <v>26</v>
      </c>
      <c r="E6304" s="156" t="s">
        <v>22</v>
      </c>
      <c r="F6304" s="156" t="s">
        <v>22</v>
      </c>
      <c r="G6304" s="238">
        <f t="shared" ref="G6304:G6309" si="1653">MROUND(H6304*L6304*I6304/K6304,0.000000000001)</f>
        <v>1.1363097870679999</v>
      </c>
      <c r="H6304" s="158">
        <f>H5484</f>
        <v>4960.26</v>
      </c>
      <c r="I6304" s="159">
        <f>I6300</f>
        <v>1.2695E-2</v>
      </c>
      <c r="J6304" s="160"/>
      <c r="K6304" s="161">
        <f>K6300</f>
        <v>665</v>
      </c>
      <c r="L6304" s="250">
        <v>12</v>
      </c>
      <c r="M6304" s="163" t="str">
        <f>CONCATENATE(H6304," ",F6304,"(обрабатываемая площадь в мес.)","*",L6304,"мес.","*",I6304,"/",K6304,"чел")</f>
        <v>4960,26 м2(обрабатываемая площадь в мес.)*12мес.*0,012695/665чел</v>
      </c>
      <c r="N6304" s="278">
        <f>N5588</f>
        <v>1.2085483758243856</v>
      </c>
      <c r="O6304" s="280">
        <f>MROUND(N6304*G6304,0.000001)</f>
        <v>1.3732849999999999</v>
      </c>
      <c r="P6304" s="166"/>
      <c r="Q6304" s="166">
        <f t="shared" si="1652"/>
        <v>913.23452499999996</v>
      </c>
      <c r="R6304" s="71"/>
    </row>
    <row r="6305" spans="1:41" s="61" customFormat="1" ht="31.5" x14ac:dyDescent="0.25">
      <c r="A6305" s="358"/>
      <c r="B6305" s="361"/>
      <c r="C6305" s="366"/>
      <c r="D6305" s="156" t="s">
        <v>96</v>
      </c>
      <c r="E6305" s="156" t="s">
        <v>22</v>
      </c>
      <c r="F6305" s="156" t="s">
        <v>22</v>
      </c>
      <c r="G6305" s="238">
        <f t="shared" si="1653"/>
        <v>0.62934975699200002</v>
      </c>
      <c r="H6305" s="158">
        <f>H5485</f>
        <v>2747.26</v>
      </c>
      <c r="I6305" s="298">
        <f>I6304</f>
        <v>1.2695E-2</v>
      </c>
      <c r="J6305" s="299"/>
      <c r="K6305" s="300">
        <f>K6304</f>
        <v>665</v>
      </c>
      <c r="L6305" s="250">
        <v>12</v>
      </c>
      <c r="M6305" s="163" t="str">
        <f>CONCATENATE(H6305," ",F6305,"(обрабатываемая площадь в мес.)","*",L6305,"мес.","*",I6305,"/",K6305,"чел")</f>
        <v>2747,26 м2(обрабатываемая площадь в мес.)*12мес.*0,012695/665чел</v>
      </c>
      <c r="N6305" s="278">
        <f>N5589</f>
        <v>1.68496671835453</v>
      </c>
      <c r="O6305" s="280">
        <f>MROUND(N6305*G6305,0.000001)</f>
        <v>1.060433</v>
      </c>
      <c r="P6305" s="166"/>
      <c r="Q6305" s="166">
        <f t="shared" si="1652"/>
        <v>705.18794500000001</v>
      </c>
      <c r="R6305" s="71"/>
    </row>
    <row r="6306" spans="1:41" s="135" customFormat="1" ht="31.5" x14ac:dyDescent="0.25">
      <c r="A6306" s="358"/>
      <c r="B6306" s="361"/>
      <c r="C6306" s="366"/>
      <c r="D6306" s="156" t="s">
        <v>385</v>
      </c>
      <c r="E6306" s="156" t="s">
        <v>22</v>
      </c>
      <c r="F6306" s="156" t="s">
        <v>22</v>
      </c>
      <c r="G6306" s="238">
        <f t="shared" si="1653"/>
        <v>1.2586995139849999</v>
      </c>
      <c r="H6306" s="242">
        <f>$H$2098</f>
        <v>2747.26</v>
      </c>
      <c r="I6306" s="298">
        <f>I6305</f>
        <v>1.2695E-2</v>
      </c>
      <c r="J6306" s="160"/>
      <c r="K6306" s="300">
        <f>K6305</f>
        <v>665</v>
      </c>
      <c r="L6306" s="162">
        <v>24</v>
      </c>
      <c r="M6306" s="163" t="str">
        <f>CONCATENATE(H6306," ",F6306,"(обрабатываемая площадь в год)","*",L6306," раза в год.","*",I6306,"/",K6306,"чел.")</f>
        <v>2747,26 м2(обрабатываемая площадь в год)*24 раза в год.*0,012695/665чел.</v>
      </c>
      <c r="N6306" s="164">
        <f>$N$5486</f>
        <v>1.8597276619856391</v>
      </c>
      <c r="O6306" s="165">
        <f>MROUND(G6306*N6306,0.000001)</f>
        <v>2.3408379999999998</v>
      </c>
      <c r="P6306" s="166"/>
      <c r="Q6306" s="166">
        <f t="shared" si="1652"/>
        <v>1556.6572699999999</v>
      </c>
      <c r="R6306" s="71"/>
      <c r="S6306" s="61"/>
      <c r="T6306" s="61"/>
      <c r="U6306" s="61"/>
      <c r="V6306" s="61"/>
      <c r="W6306" s="61"/>
      <c r="X6306" s="61"/>
      <c r="Y6306" s="61"/>
      <c r="Z6306" s="61"/>
      <c r="AA6306" s="61"/>
      <c r="AB6306" s="61"/>
      <c r="AC6306" s="61"/>
      <c r="AD6306" s="61"/>
      <c r="AE6306" s="61"/>
      <c r="AF6306" s="61"/>
      <c r="AG6306" s="61"/>
      <c r="AH6306" s="61"/>
      <c r="AI6306" s="61"/>
      <c r="AJ6306" s="61"/>
      <c r="AK6306" s="61"/>
      <c r="AL6306" s="61"/>
      <c r="AM6306" s="61"/>
      <c r="AN6306" s="61"/>
      <c r="AO6306" s="61"/>
    </row>
    <row r="6307" spans="1:41" s="135" customFormat="1" ht="31.5" x14ac:dyDescent="0.25">
      <c r="A6307" s="358"/>
      <c r="B6307" s="361"/>
      <c r="C6307" s="366"/>
      <c r="D6307" s="156" t="s">
        <v>394</v>
      </c>
      <c r="E6307" s="156" t="s">
        <v>22</v>
      </c>
      <c r="F6307" s="156" t="s">
        <v>22</v>
      </c>
      <c r="G6307" s="238">
        <f t="shared" si="1653"/>
        <v>1.1363097870679999</v>
      </c>
      <c r="H6307" s="243">
        <f>$H$2099</f>
        <v>4960.26</v>
      </c>
      <c r="I6307" s="298">
        <f>I6306</f>
        <v>1.2695E-2</v>
      </c>
      <c r="J6307" s="160"/>
      <c r="K6307" s="300">
        <f>K6306</f>
        <v>665</v>
      </c>
      <c r="L6307" s="162">
        <v>12</v>
      </c>
      <c r="M6307" s="163" t="str">
        <f>CONCATENATE(H6307," ",F6307,"(обрабатываемая площадь в мес.)","*",L6307,"мес.","*",I6307,"/",K6307,"чел.")</f>
        <v>4960,26 м2(обрабатываемая площадь в мес.)*12мес.*0,012695/665чел.</v>
      </c>
      <c r="N6307" s="164">
        <f>$N$5487</f>
        <v>0.57006991568990339</v>
      </c>
      <c r="O6307" s="165">
        <f>MROUND(G6307*N6307,0.000001)</f>
        <v>0.64777600000000002</v>
      </c>
      <c r="P6307" s="166"/>
      <c r="Q6307" s="166">
        <f t="shared" si="1652"/>
        <v>430.77104000000003</v>
      </c>
      <c r="R6307" s="71"/>
      <c r="S6307" s="61"/>
      <c r="T6307" s="61"/>
      <c r="U6307" s="61"/>
      <c r="V6307" s="61"/>
      <c r="W6307" s="61"/>
      <c r="X6307" s="61"/>
      <c r="Y6307" s="61"/>
      <c r="Z6307" s="61"/>
      <c r="AA6307" s="61"/>
      <c r="AB6307" s="61"/>
      <c r="AC6307" s="61"/>
      <c r="AD6307" s="61"/>
      <c r="AE6307" s="61"/>
      <c r="AF6307" s="61"/>
      <c r="AG6307" s="61"/>
      <c r="AH6307" s="61"/>
      <c r="AI6307" s="61"/>
      <c r="AJ6307" s="61"/>
      <c r="AK6307" s="61"/>
      <c r="AL6307" s="61"/>
      <c r="AM6307" s="61"/>
      <c r="AN6307" s="61"/>
      <c r="AO6307" s="61"/>
    </row>
    <row r="6308" spans="1:41" s="135" customFormat="1" ht="31.5" x14ac:dyDescent="0.25">
      <c r="A6308" s="358"/>
      <c r="B6308" s="361"/>
      <c r="C6308" s="366"/>
      <c r="D6308" s="156" t="s">
        <v>395</v>
      </c>
      <c r="E6308" s="156" t="s">
        <v>98</v>
      </c>
      <c r="F6308" s="156" t="s">
        <v>98</v>
      </c>
      <c r="G6308" s="238">
        <f t="shared" si="1653"/>
        <v>3.5889624000000002E-5</v>
      </c>
      <c r="H6308" s="242">
        <f>$H$2100</f>
        <v>1.8800000000000001</v>
      </c>
      <c r="I6308" s="298">
        <f>I6307</f>
        <v>1.2695E-2</v>
      </c>
      <c r="J6308" s="160"/>
      <c r="K6308" s="300">
        <f>K6307</f>
        <v>665</v>
      </c>
      <c r="L6308" s="162">
        <v>1</v>
      </c>
      <c r="M6308" s="163" t="str">
        <f>CONCATENATE(H6308," ",F6308,"(обрабатываемая площадь в год)","*",L6308," раз в год","*",I6308,"/",K6308,"чел.")</f>
        <v>1,88 Га(обрабатываемая площадь в год)*1 раз в год*0,012695/665чел.</v>
      </c>
      <c r="N6308" s="164">
        <f>$N$5488</f>
        <v>570.07446808510633</v>
      </c>
      <c r="O6308" s="165">
        <f>MROUND(G6308*N6308,0.000001)</f>
        <v>2.0459999999999999E-2</v>
      </c>
      <c r="P6308" s="166"/>
      <c r="Q6308" s="166">
        <f t="shared" si="1652"/>
        <v>13.6059</v>
      </c>
      <c r="R6308" s="71"/>
      <c r="S6308" s="61"/>
      <c r="T6308" s="61"/>
      <c r="U6308" s="61"/>
      <c r="V6308" s="61"/>
      <c r="W6308" s="61"/>
      <c r="X6308" s="61"/>
      <c r="Y6308" s="61"/>
      <c r="Z6308" s="61"/>
      <c r="AA6308" s="61"/>
      <c r="AB6308" s="61"/>
      <c r="AC6308" s="61"/>
      <c r="AD6308" s="61"/>
      <c r="AE6308" s="61"/>
      <c r="AF6308" s="61"/>
      <c r="AG6308" s="61"/>
      <c r="AH6308" s="61"/>
      <c r="AI6308" s="61"/>
      <c r="AJ6308" s="61"/>
      <c r="AK6308" s="61"/>
      <c r="AL6308" s="61"/>
      <c r="AM6308" s="61"/>
      <c r="AN6308" s="61"/>
      <c r="AO6308" s="61"/>
    </row>
    <row r="6309" spans="1:41" s="61" customFormat="1" ht="31.5" x14ac:dyDescent="0.25">
      <c r="A6309" s="358"/>
      <c r="B6309" s="361"/>
      <c r="C6309" s="367"/>
      <c r="D6309" s="156" t="s">
        <v>97</v>
      </c>
      <c r="E6309" s="156" t="s">
        <v>363</v>
      </c>
      <c r="F6309" s="156" t="s">
        <v>363</v>
      </c>
      <c r="G6309" s="238">
        <f t="shared" si="1653"/>
        <v>3.5889624000000002E-5</v>
      </c>
      <c r="H6309" s="158">
        <f>$H$2101</f>
        <v>1.8800000000000001</v>
      </c>
      <c r="I6309" s="298">
        <f>I6305</f>
        <v>1.2695E-2</v>
      </c>
      <c r="J6309" s="299"/>
      <c r="K6309" s="300">
        <f>K6305</f>
        <v>665</v>
      </c>
      <c r="L6309" s="250">
        <v>1</v>
      </c>
      <c r="M6309" s="163" t="str">
        <f>CONCATENATE(H6309," ",F6309,"(обрабатываемая площадь в мес.)","*",L6309,"мес.","*",I6309,"/",K6309,"чел")</f>
        <v>1,88 га(обрабатываемая площадь в мес.)*1мес.*0,012695/665чел</v>
      </c>
      <c r="N6309" s="278">
        <f>$N$5489</f>
        <v>3102.4095744680853</v>
      </c>
      <c r="O6309" s="280">
        <f>MROUND(N6309*G6309,0.000001)</f>
        <v>0.111344</v>
      </c>
      <c r="P6309" s="166"/>
      <c r="Q6309" s="166">
        <f t="shared" si="1652"/>
        <v>74.043760000000006</v>
      </c>
      <c r="R6309" s="71"/>
    </row>
    <row r="6310" spans="1:41" s="109" customFormat="1" x14ac:dyDescent="0.25">
      <c r="A6310" s="358"/>
      <c r="B6310" s="361"/>
      <c r="C6310" s="218" t="s">
        <v>327</v>
      </c>
      <c r="D6310" s="240"/>
      <c r="E6310" s="240"/>
      <c r="F6310" s="240"/>
      <c r="G6310" s="227"/>
      <c r="H6310" s="241"/>
      <c r="I6310" s="206"/>
      <c r="J6310" s="228"/>
      <c r="K6310" s="207"/>
      <c r="L6310" s="257"/>
      <c r="M6310" s="209"/>
      <c r="N6310" s="281"/>
      <c r="O6310" s="279">
        <f>SUM(O6304:O6309)</f>
        <v>5.5541359999999997</v>
      </c>
      <c r="P6310" s="267"/>
      <c r="Q6310" s="166"/>
      <c r="R6310" s="71"/>
      <c r="S6310" s="62"/>
      <c r="T6310" s="62"/>
      <c r="U6310" s="62"/>
      <c r="V6310" s="62"/>
      <c r="W6310" s="62"/>
      <c r="X6310" s="62"/>
      <c r="Y6310" s="62"/>
      <c r="Z6310" s="62"/>
      <c r="AA6310" s="62"/>
      <c r="AB6310" s="62"/>
      <c r="AC6310" s="62"/>
      <c r="AD6310" s="62"/>
      <c r="AE6310" s="62"/>
      <c r="AF6310" s="62"/>
      <c r="AG6310" s="62"/>
      <c r="AH6310" s="62"/>
      <c r="AI6310" s="62"/>
      <c r="AJ6310" s="62"/>
      <c r="AK6310" s="62"/>
      <c r="AL6310" s="62"/>
      <c r="AM6310" s="62"/>
      <c r="AN6310" s="62"/>
      <c r="AO6310" s="62"/>
    </row>
    <row r="6311" spans="1:41" s="61" customFormat="1" x14ac:dyDescent="0.25">
      <c r="A6311" s="358"/>
      <c r="B6311" s="361"/>
      <c r="C6311" s="366" t="s">
        <v>77</v>
      </c>
      <c r="D6311" s="156" t="s">
        <v>397</v>
      </c>
      <c r="E6311" s="156" t="s">
        <v>433</v>
      </c>
      <c r="F6311" s="156" t="s">
        <v>433</v>
      </c>
      <c r="G6311" s="238">
        <f t="shared" ref="G6311:G6325" si="1654">MROUND(H6311*L6311*I6311/K6311,0.000000000001)</f>
        <v>0</v>
      </c>
      <c r="H6311" s="158"/>
      <c r="I6311" s="306">
        <f>I6305</f>
        <v>1.2695E-2</v>
      </c>
      <c r="J6311" s="307"/>
      <c r="K6311" s="308">
        <f>K6305</f>
        <v>665</v>
      </c>
      <c r="L6311" s="162">
        <v>1</v>
      </c>
      <c r="M6311" s="163"/>
      <c r="N6311" s="278"/>
      <c r="O6311" s="280">
        <f t="shared" ref="O6311:O6322" si="1655">MROUND(N6311*G6311,0.000001)</f>
        <v>0</v>
      </c>
      <c r="P6311" s="166"/>
      <c r="Q6311" s="166">
        <f t="shared" ref="Q6311:Q6325" si="1656">O6311*K6311</f>
        <v>0</v>
      </c>
      <c r="R6311" s="71"/>
    </row>
    <row r="6312" spans="1:41" s="61" customFormat="1" ht="63" x14ac:dyDescent="0.25">
      <c r="A6312" s="358"/>
      <c r="B6312" s="361"/>
      <c r="C6312" s="366"/>
      <c r="D6312" s="156" t="s">
        <v>249</v>
      </c>
      <c r="E6312" s="156" t="s">
        <v>22</v>
      </c>
      <c r="F6312" s="156" t="s">
        <v>22</v>
      </c>
      <c r="G6312" s="238">
        <f t="shared" si="1654"/>
        <v>0.15824804300799999</v>
      </c>
      <c r="H6312" s="158">
        <f>H5492</f>
        <v>690.79</v>
      </c>
      <c r="I6312" s="159">
        <f>I6311</f>
        <v>1.2695E-2</v>
      </c>
      <c r="J6312" s="160"/>
      <c r="K6312" s="161">
        <f>K6311</f>
        <v>665</v>
      </c>
      <c r="L6312" s="250">
        <v>12</v>
      </c>
      <c r="M6312" s="163" t="str">
        <f>CONCATENATE(H6312," ",F6312,"*",L6312,"мес.","*",I6312,"/",K6312,"чел")</f>
        <v>690,79 м2*12мес.*0,012695/665чел</v>
      </c>
      <c r="N6312" s="278">
        <f>N5904</f>
        <v>31.700778577184575</v>
      </c>
      <c r="O6312" s="280">
        <f t="shared" si="1655"/>
        <v>5.0165860000000002</v>
      </c>
      <c r="P6312" s="166"/>
      <c r="Q6312" s="166">
        <f t="shared" si="1656"/>
        <v>3336.0296900000003</v>
      </c>
      <c r="R6312" s="71"/>
    </row>
    <row r="6313" spans="1:41" s="136" customFormat="1" x14ac:dyDescent="0.25">
      <c r="A6313" s="358"/>
      <c r="B6313" s="361"/>
      <c r="C6313" s="366"/>
      <c r="D6313" s="194" t="s">
        <v>398</v>
      </c>
      <c r="E6313" s="156" t="s">
        <v>60</v>
      </c>
      <c r="F6313" s="156" t="s">
        <v>60</v>
      </c>
      <c r="G6313" s="238">
        <f t="shared" si="1654"/>
        <v>9.5451127999999995E-5</v>
      </c>
      <c r="H6313" s="158">
        <f>$H$2105</f>
        <v>5</v>
      </c>
      <c r="I6313" s="159">
        <f>I6312</f>
        <v>1.2695E-2</v>
      </c>
      <c r="J6313" s="160"/>
      <c r="K6313" s="161">
        <f>K6312</f>
        <v>665</v>
      </c>
      <c r="L6313" s="250">
        <v>1</v>
      </c>
      <c r="M6313" s="163" t="str">
        <f>CONCATENATE(H6313," ",F6313,"*",I6313,"/",K6313,"чел/час")</f>
        <v>5 шт.*0,012695/665чел/час</v>
      </c>
      <c r="N6313" s="278">
        <f>$N$5493</f>
        <v>5700.7</v>
      </c>
      <c r="O6313" s="280">
        <f t="shared" si="1655"/>
        <v>0.54413800000000001</v>
      </c>
      <c r="P6313" s="166"/>
      <c r="Q6313" s="166">
        <f t="shared" si="1656"/>
        <v>361.85176999999999</v>
      </c>
      <c r="R6313" s="71"/>
      <c r="S6313" s="61"/>
      <c r="T6313" s="61"/>
      <c r="U6313" s="61"/>
      <c r="V6313" s="61"/>
      <c r="W6313" s="61"/>
      <c r="X6313" s="61"/>
      <c r="Y6313" s="61"/>
      <c r="Z6313" s="61"/>
      <c r="AA6313" s="61"/>
      <c r="AB6313" s="61"/>
      <c r="AC6313" s="61"/>
      <c r="AD6313" s="61"/>
      <c r="AE6313" s="61"/>
      <c r="AF6313" s="61"/>
      <c r="AG6313" s="61"/>
      <c r="AH6313" s="61"/>
      <c r="AI6313" s="61"/>
      <c r="AJ6313" s="61"/>
      <c r="AK6313" s="61"/>
      <c r="AL6313" s="61"/>
      <c r="AM6313" s="61"/>
      <c r="AN6313" s="61"/>
      <c r="AO6313" s="61"/>
    </row>
    <row r="6314" spans="1:41" s="136" customFormat="1" ht="63" x14ac:dyDescent="0.25">
      <c r="A6314" s="358"/>
      <c r="B6314" s="361"/>
      <c r="C6314" s="366"/>
      <c r="D6314" s="156" t="s">
        <v>33</v>
      </c>
      <c r="E6314" s="156" t="s">
        <v>56</v>
      </c>
      <c r="F6314" s="156" t="s">
        <v>220</v>
      </c>
      <c r="G6314" s="238">
        <f t="shared" si="1654"/>
        <v>9.5451127999999995E-5</v>
      </c>
      <c r="H6314" s="158">
        <f>$H$2106</f>
        <v>5</v>
      </c>
      <c r="I6314" s="159">
        <f>I6313</f>
        <v>1.2695E-2</v>
      </c>
      <c r="J6314" s="160"/>
      <c r="K6314" s="161">
        <f>K6313</f>
        <v>665</v>
      </c>
      <c r="L6314" s="250">
        <f>$L$2106</f>
        <v>1</v>
      </c>
      <c r="M6314" s="163" t="str">
        <f>CONCATENATE(H6314," ",F6314,"*",L6314," раз в год","*",I6314,"/",K6314,"чел.")</f>
        <v>5 дымоходов*1 раз в год*0,012695/665чел.</v>
      </c>
      <c r="N6314" s="278">
        <f>$N$5494</f>
        <v>6840.8399999999992</v>
      </c>
      <c r="O6314" s="280">
        <f t="shared" si="1655"/>
        <v>0.65296599999999994</v>
      </c>
      <c r="P6314" s="166"/>
      <c r="Q6314" s="166">
        <f t="shared" si="1656"/>
        <v>434.22238999999996</v>
      </c>
      <c r="R6314" s="71"/>
      <c r="S6314" s="61"/>
      <c r="T6314" s="61"/>
      <c r="U6314" s="61"/>
      <c r="V6314" s="61"/>
      <c r="W6314" s="61"/>
      <c r="X6314" s="61"/>
      <c r="Y6314" s="61"/>
      <c r="Z6314" s="61"/>
      <c r="AA6314" s="61"/>
      <c r="AB6314" s="61"/>
      <c r="AC6314" s="61"/>
      <c r="AD6314" s="61"/>
      <c r="AE6314" s="61"/>
      <c r="AF6314" s="61"/>
      <c r="AG6314" s="61"/>
      <c r="AH6314" s="61"/>
      <c r="AI6314" s="61"/>
      <c r="AJ6314" s="61"/>
      <c r="AK6314" s="61"/>
      <c r="AL6314" s="61"/>
      <c r="AM6314" s="61"/>
      <c r="AN6314" s="61"/>
      <c r="AO6314" s="61"/>
    </row>
    <row r="6315" spans="1:41" s="61" customFormat="1" ht="78.75" x14ac:dyDescent="0.25">
      <c r="A6315" s="358"/>
      <c r="B6315" s="361"/>
      <c r="C6315" s="366"/>
      <c r="D6315" s="156" t="s">
        <v>250</v>
      </c>
      <c r="E6315" s="156" t="s">
        <v>251</v>
      </c>
      <c r="F6315" s="156" t="s">
        <v>60</v>
      </c>
      <c r="G6315" s="238">
        <f t="shared" si="1654"/>
        <v>9.5451127999999995E-5</v>
      </c>
      <c r="H6315" s="158">
        <f>$H$2107</f>
        <v>5</v>
      </c>
      <c r="I6315" s="159">
        <f>I6312</f>
        <v>1.2695E-2</v>
      </c>
      <c r="J6315" s="160"/>
      <c r="K6315" s="161">
        <f>K6312</f>
        <v>665</v>
      </c>
      <c r="L6315" s="250">
        <v>1</v>
      </c>
      <c r="M6315" s="163" t="str">
        <f>CONCATENATE(H6315," ",F6315,"*",I6315,"/",K6315,"чел")</f>
        <v>5 шт.*0,012695/665чел</v>
      </c>
      <c r="N6315" s="278">
        <f t="shared" ref="N6315:N6325" si="1657">N5495</f>
        <v>4560.5600000000004</v>
      </c>
      <c r="O6315" s="280">
        <f t="shared" si="1655"/>
        <v>0.435311</v>
      </c>
      <c r="P6315" s="166"/>
      <c r="Q6315" s="166">
        <f t="shared" si="1656"/>
        <v>289.48181499999998</v>
      </c>
      <c r="R6315" s="71"/>
    </row>
    <row r="6316" spans="1:41" s="61" customFormat="1" ht="47.25" x14ac:dyDescent="0.25">
      <c r="A6316" s="358"/>
      <c r="B6316" s="361"/>
      <c r="C6316" s="366"/>
      <c r="D6316" s="156" t="s">
        <v>401</v>
      </c>
      <c r="E6316" s="156" t="s">
        <v>60</v>
      </c>
      <c r="F6316" s="156" t="s">
        <v>402</v>
      </c>
      <c r="G6316" s="238">
        <f t="shared" si="1654"/>
        <v>1.9090225599999999E-4</v>
      </c>
      <c r="H6316" s="158">
        <f>H5496</f>
        <v>5</v>
      </c>
      <c r="I6316" s="159">
        <f>I6315</f>
        <v>1.2695E-2</v>
      </c>
      <c r="J6316" s="160"/>
      <c r="K6316" s="161">
        <f>K6315</f>
        <v>665</v>
      </c>
      <c r="L6316" s="250">
        <f>$L$2108</f>
        <v>2</v>
      </c>
      <c r="M6316" s="163" t="str">
        <f>CONCATENATE(H6316," ",F6316,"*",I6316,"/",K6316,"чел")</f>
        <v>5 противопожарных водопроводов*0,012695/665чел</v>
      </c>
      <c r="N6316" s="278">
        <f t="shared" si="1657"/>
        <v>2850.35</v>
      </c>
      <c r="O6316" s="280">
        <f t="shared" si="1655"/>
        <v>0.54413800000000001</v>
      </c>
      <c r="P6316" s="166"/>
      <c r="Q6316" s="166">
        <f t="shared" si="1656"/>
        <v>361.85176999999999</v>
      </c>
      <c r="R6316" s="71"/>
    </row>
    <row r="6317" spans="1:41" s="61" customFormat="1" ht="47.25" x14ac:dyDescent="0.25">
      <c r="A6317" s="358"/>
      <c r="B6317" s="361"/>
      <c r="C6317" s="366"/>
      <c r="D6317" s="156" t="s">
        <v>34</v>
      </c>
      <c r="E6317" s="156" t="s">
        <v>59</v>
      </c>
      <c r="F6317" s="156" t="s">
        <v>28</v>
      </c>
      <c r="G6317" s="238">
        <f t="shared" si="1654"/>
        <v>3.8180450999999997E-5</v>
      </c>
      <c r="H6317" s="158">
        <f>H5497</f>
        <v>2</v>
      </c>
      <c r="I6317" s="159">
        <f>I6316</f>
        <v>1.2695E-2</v>
      </c>
      <c r="J6317" s="160"/>
      <c r="K6317" s="161">
        <f>K6316</f>
        <v>665</v>
      </c>
      <c r="L6317" s="250">
        <v>1</v>
      </c>
      <c r="M6317" s="163" t="str">
        <f>CONCATENATE(H6317," ",F6317,"*",I6317,"/",K6317,"чел")</f>
        <v>2 шт*0,012695/665чел</v>
      </c>
      <c r="N6317" s="278">
        <f t="shared" si="1657"/>
        <v>7845</v>
      </c>
      <c r="O6317" s="280">
        <f t="shared" si="1655"/>
        <v>0.29952599999999996</v>
      </c>
      <c r="P6317" s="166"/>
      <c r="Q6317" s="166">
        <f t="shared" si="1656"/>
        <v>199.18478999999996</v>
      </c>
      <c r="R6317" s="71"/>
    </row>
    <row r="6318" spans="1:41" s="61" customFormat="1" ht="47.25" x14ac:dyDescent="0.25">
      <c r="A6318" s="358"/>
      <c r="B6318" s="361"/>
      <c r="C6318" s="366"/>
      <c r="D6318" s="156" t="s">
        <v>222</v>
      </c>
      <c r="E6318" s="156" t="s">
        <v>60</v>
      </c>
      <c r="F6318" s="156" t="s">
        <v>60</v>
      </c>
      <c r="G6318" s="238">
        <f t="shared" si="1654"/>
        <v>3.8180450999999997E-5</v>
      </c>
      <c r="H6318" s="158">
        <f>H5706</f>
        <v>2</v>
      </c>
      <c r="I6318" s="159">
        <f>I6317</f>
        <v>1.2695E-2</v>
      </c>
      <c r="J6318" s="160"/>
      <c r="K6318" s="161">
        <f>K6317</f>
        <v>665</v>
      </c>
      <c r="L6318" s="250">
        <v>1</v>
      </c>
      <c r="M6318" s="163" t="str">
        <f>CONCATENATE(H6318," ",F6318,"*",I6318,"/",K6318,"чел")</f>
        <v>2 шт.*0,012695/665чел</v>
      </c>
      <c r="N6318" s="278">
        <f t="shared" si="1657"/>
        <v>13598</v>
      </c>
      <c r="O6318" s="280">
        <f t="shared" si="1655"/>
        <v>0.51917800000000003</v>
      </c>
      <c r="P6318" s="166"/>
      <c r="Q6318" s="166">
        <f t="shared" si="1656"/>
        <v>345.25337000000002</v>
      </c>
      <c r="R6318" s="71"/>
    </row>
    <row r="6319" spans="1:41" s="61" customFormat="1" ht="31.5" x14ac:dyDescent="0.25">
      <c r="A6319" s="358"/>
      <c r="B6319" s="361"/>
      <c r="C6319" s="366"/>
      <c r="D6319" s="156" t="s">
        <v>35</v>
      </c>
      <c r="E6319" s="156" t="s">
        <v>102</v>
      </c>
      <c r="F6319" s="156" t="s">
        <v>252</v>
      </c>
      <c r="G6319" s="238">
        <f t="shared" si="1654"/>
        <v>3.8180450999999997E-5</v>
      </c>
      <c r="H6319" s="158">
        <f>H5499</f>
        <v>2</v>
      </c>
      <c r="I6319" s="159">
        <f>I6317</f>
        <v>1.2695E-2</v>
      </c>
      <c r="J6319" s="160"/>
      <c r="K6319" s="161">
        <f>K6317</f>
        <v>665</v>
      </c>
      <c r="L6319" s="250">
        <v>1</v>
      </c>
      <c r="M6319" s="163" t="str">
        <f>CONCATENATE(H6319," ",F6319,"*",I6319,"/",K6319,"чел")</f>
        <v>2 замера*0,012695/665чел</v>
      </c>
      <c r="N6319" s="278">
        <f t="shared" si="1657"/>
        <v>62500</v>
      </c>
      <c r="O6319" s="280">
        <f t="shared" si="1655"/>
        <v>2.3862779999999999</v>
      </c>
      <c r="P6319" s="166"/>
      <c r="Q6319" s="166">
        <f t="shared" si="1656"/>
        <v>1586.8748699999999</v>
      </c>
      <c r="R6319" s="71"/>
    </row>
    <row r="6320" spans="1:41" s="61" customFormat="1" ht="47.25" x14ac:dyDescent="0.25">
      <c r="A6320" s="358"/>
      <c r="B6320" s="361"/>
      <c r="C6320" s="366"/>
      <c r="D6320" s="156" t="s">
        <v>399</v>
      </c>
      <c r="E6320" s="156" t="s">
        <v>60</v>
      </c>
      <c r="F6320" s="156" t="s">
        <v>60</v>
      </c>
      <c r="G6320" s="238">
        <f t="shared" si="1654"/>
        <v>7.6360902299999996E-4</v>
      </c>
      <c r="H6320" s="158">
        <f>$H$2112</f>
        <v>4</v>
      </c>
      <c r="I6320" s="159">
        <f>I6319</f>
        <v>1.2695E-2</v>
      </c>
      <c r="J6320" s="160"/>
      <c r="K6320" s="161">
        <f>K6319</f>
        <v>665</v>
      </c>
      <c r="L6320" s="250">
        <v>10</v>
      </c>
      <c r="M6320" s="163" t="str">
        <f>CONCATENATE(H6320," ",F6320,"*",L6320,"мес.","*",I6320,"/",K6320,"чел")</f>
        <v>4 шт.*10мес.*0,012695/665чел</v>
      </c>
      <c r="N6320" s="278">
        <f t="shared" si="1657"/>
        <v>2522.5597499999994</v>
      </c>
      <c r="O6320" s="280">
        <f t="shared" si="1655"/>
        <v>1.9262489999999999</v>
      </c>
      <c r="P6320" s="166"/>
      <c r="Q6320" s="166">
        <f t="shared" si="1656"/>
        <v>1280.9555849999999</v>
      </c>
      <c r="R6320" s="71"/>
    </row>
    <row r="6321" spans="1:41" s="61" customFormat="1" ht="47.25" x14ac:dyDescent="0.25">
      <c r="A6321" s="358"/>
      <c r="B6321" s="361"/>
      <c r="C6321" s="366"/>
      <c r="D6321" s="156" t="s">
        <v>36</v>
      </c>
      <c r="E6321" s="156" t="s">
        <v>31</v>
      </c>
      <c r="F6321" s="156" t="s">
        <v>224</v>
      </c>
      <c r="G6321" s="238">
        <f t="shared" si="1654"/>
        <v>1.832661654E-3</v>
      </c>
      <c r="H6321" s="158">
        <f>H5501</f>
        <v>8</v>
      </c>
      <c r="I6321" s="159">
        <f>I6320</f>
        <v>1.2695E-2</v>
      </c>
      <c r="J6321" s="160"/>
      <c r="K6321" s="161">
        <f>K6320</f>
        <v>665</v>
      </c>
      <c r="L6321" s="250">
        <v>12</v>
      </c>
      <c r="M6321" s="163" t="str">
        <f>CONCATENATE(H6321," ",F6321,"*",L6321,"мес.","*",I6321,"/",K6321,"чел")</f>
        <v>8 устройств*12мес.*0,012695/665чел</v>
      </c>
      <c r="N6321" s="278">
        <f t="shared" si="1657"/>
        <v>2301.2000000000003</v>
      </c>
      <c r="O6321" s="280">
        <f t="shared" si="1655"/>
        <v>4.2173210000000001</v>
      </c>
      <c r="P6321" s="166"/>
      <c r="Q6321" s="166">
        <f t="shared" si="1656"/>
        <v>2804.5184650000001</v>
      </c>
      <c r="R6321" s="71"/>
    </row>
    <row r="6322" spans="1:41" s="61" customFormat="1" ht="63" x14ac:dyDescent="0.25">
      <c r="A6322" s="358"/>
      <c r="B6322" s="361"/>
      <c r="C6322" s="366"/>
      <c r="D6322" s="156" t="s">
        <v>253</v>
      </c>
      <c r="E6322" s="156" t="s">
        <v>55</v>
      </c>
      <c r="F6322" s="156" t="s">
        <v>55</v>
      </c>
      <c r="G6322" s="238">
        <f t="shared" si="1654"/>
        <v>1.1454135339999999E-3</v>
      </c>
      <c r="H6322" s="158">
        <f>H5502</f>
        <v>5</v>
      </c>
      <c r="I6322" s="159">
        <f>I6321</f>
        <v>1.2695E-2</v>
      </c>
      <c r="J6322" s="160"/>
      <c r="K6322" s="161">
        <f>K6321</f>
        <v>665</v>
      </c>
      <c r="L6322" s="250">
        <v>12</v>
      </c>
      <c r="M6322" s="163" t="str">
        <f>CONCATENATE(H6322," ",F6322,"*",I6322,"/",K6322,"чел")</f>
        <v>5 система*0,012695/665чел</v>
      </c>
      <c r="N6322" s="278">
        <f t="shared" si="1657"/>
        <v>4446.5460000000003</v>
      </c>
      <c r="O6322" s="280">
        <f t="shared" si="1655"/>
        <v>5.0931340000000001</v>
      </c>
      <c r="P6322" s="166"/>
      <c r="Q6322" s="166">
        <f t="shared" si="1656"/>
        <v>3386.9341100000001</v>
      </c>
      <c r="R6322" s="71"/>
    </row>
    <row r="6323" spans="1:41" s="61" customFormat="1" ht="31.5" x14ac:dyDescent="0.25">
      <c r="A6323" s="358"/>
      <c r="B6323" s="361"/>
      <c r="C6323" s="366"/>
      <c r="D6323" s="156" t="s">
        <v>99</v>
      </c>
      <c r="E6323" s="156" t="s">
        <v>103</v>
      </c>
      <c r="F6323" s="156" t="s">
        <v>225</v>
      </c>
      <c r="G6323" s="238">
        <f t="shared" si="1654"/>
        <v>4.7725563899999999E-4</v>
      </c>
      <c r="H6323" s="158">
        <f>H5503</f>
        <v>25</v>
      </c>
      <c r="I6323" s="159">
        <f>I6322</f>
        <v>1.2695E-2</v>
      </c>
      <c r="J6323" s="160"/>
      <c r="K6323" s="161">
        <f>K6322</f>
        <v>665</v>
      </c>
      <c r="L6323" s="250">
        <v>1</v>
      </c>
      <c r="M6323" s="163" t="str">
        <f>CONCATENATE(H6323," ",F6323,"*",I6323,"/",K6323,"чел.")</f>
        <v>25 ед.*0,012695/665чел.</v>
      </c>
      <c r="N6323" s="164">
        <f t="shared" si="1657"/>
        <v>15000</v>
      </c>
      <c r="O6323" s="165">
        <f>MROUND(G6323*N6323,0.000001)</f>
        <v>7.1588349999999998</v>
      </c>
      <c r="P6323" s="166"/>
      <c r="Q6323" s="166">
        <f t="shared" si="1656"/>
        <v>4760.6252750000003</v>
      </c>
      <c r="R6323" s="71"/>
    </row>
    <row r="6324" spans="1:41" s="61" customFormat="1" x14ac:dyDescent="0.25">
      <c r="A6324" s="358"/>
      <c r="B6324" s="361"/>
      <c r="C6324" s="366"/>
      <c r="D6324" s="156" t="s">
        <v>27</v>
      </c>
      <c r="E6324" s="156" t="s">
        <v>28</v>
      </c>
      <c r="F6324" s="156" t="s">
        <v>28</v>
      </c>
      <c r="G6324" s="238">
        <f t="shared" si="1654"/>
        <v>2.8635338349999998E-3</v>
      </c>
      <c r="H6324" s="160">
        <f>H5504</f>
        <v>150</v>
      </c>
      <c r="I6324" s="159">
        <f>I6322</f>
        <v>1.2695E-2</v>
      </c>
      <c r="J6324" s="160"/>
      <c r="K6324" s="161">
        <f>K6322</f>
        <v>665</v>
      </c>
      <c r="L6324" s="250">
        <v>1</v>
      </c>
      <c r="M6324" s="163" t="str">
        <f>CONCATENATE(H6324," ",F6324,"*",I6324,"/",K6324,"чел")</f>
        <v>150 шт*0,012695/665чел</v>
      </c>
      <c r="N6324" s="278">
        <f t="shared" si="1657"/>
        <v>400</v>
      </c>
      <c r="O6324" s="280">
        <f t="shared" ref="O6324:O6325" si="1658">MROUND(N6324*G6324,0.000001)</f>
        <v>1.1454139999999999</v>
      </c>
      <c r="P6324" s="166"/>
      <c r="Q6324" s="166">
        <f t="shared" si="1656"/>
        <v>761.70030999999994</v>
      </c>
      <c r="R6324" s="71"/>
    </row>
    <row r="6325" spans="1:41" s="61" customFormat="1" ht="31.5" x14ac:dyDescent="0.25">
      <c r="A6325" s="358"/>
      <c r="B6325" s="361"/>
      <c r="C6325" s="367"/>
      <c r="D6325" s="156" t="s">
        <v>104</v>
      </c>
      <c r="E6325" s="156" t="s">
        <v>105</v>
      </c>
      <c r="F6325" s="156" t="s">
        <v>226</v>
      </c>
      <c r="G6325" s="238">
        <f t="shared" si="1654"/>
        <v>9.5451127999999995E-5</v>
      </c>
      <c r="H6325" s="160">
        <f>H5505</f>
        <v>5</v>
      </c>
      <c r="I6325" s="159">
        <f>I6324</f>
        <v>1.2695E-2</v>
      </c>
      <c r="J6325" s="160"/>
      <c r="K6325" s="161">
        <f>K6324</f>
        <v>665</v>
      </c>
      <c r="L6325" s="250">
        <v>1</v>
      </c>
      <c r="M6325" s="163" t="str">
        <f>CONCATENATE(H6325," ",F6325,"*",I6325,"/",K6325,"чел")</f>
        <v>5 отключений*0,012695/665чел</v>
      </c>
      <c r="N6325" s="278">
        <f t="shared" si="1657"/>
        <v>9414</v>
      </c>
      <c r="O6325" s="280">
        <f t="shared" si="1658"/>
        <v>0.89857699999999996</v>
      </c>
      <c r="P6325" s="166"/>
      <c r="Q6325" s="166">
        <f t="shared" si="1656"/>
        <v>597.55370499999992</v>
      </c>
      <c r="R6325" s="71"/>
    </row>
    <row r="6326" spans="1:41" s="109" customFormat="1" x14ac:dyDescent="0.25">
      <c r="A6326" s="358"/>
      <c r="B6326" s="361"/>
      <c r="C6326" s="249" t="s">
        <v>326</v>
      </c>
      <c r="D6326" s="240"/>
      <c r="E6326" s="240"/>
      <c r="F6326" s="240"/>
      <c r="G6326" s="227"/>
      <c r="H6326" s="228"/>
      <c r="I6326" s="206"/>
      <c r="J6326" s="228"/>
      <c r="K6326" s="207"/>
      <c r="L6326" s="257"/>
      <c r="M6326" s="209"/>
      <c r="N6326" s="281"/>
      <c r="O6326" s="279">
        <f>SUM(O6311:O6325)</f>
        <v>30.837650999999997</v>
      </c>
      <c r="P6326" s="267"/>
      <c r="Q6326" s="166"/>
      <c r="R6326" s="71"/>
      <c r="S6326" s="62"/>
      <c r="T6326" s="62"/>
      <c r="U6326" s="62"/>
      <c r="V6326" s="62"/>
      <c r="W6326" s="62"/>
      <c r="X6326" s="62"/>
      <c r="Y6326" s="62"/>
      <c r="Z6326" s="62"/>
      <c r="AA6326" s="62"/>
      <c r="AB6326" s="62"/>
      <c r="AC6326" s="62"/>
      <c r="AD6326" s="62"/>
      <c r="AE6326" s="62"/>
      <c r="AF6326" s="62"/>
      <c r="AG6326" s="62"/>
      <c r="AH6326" s="62"/>
      <c r="AI6326" s="62"/>
      <c r="AJ6326" s="62"/>
      <c r="AK6326" s="62"/>
      <c r="AL6326" s="62"/>
      <c r="AM6326" s="62"/>
      <c r="AN6326" s="62"/>
      <c r="AO6326" s="62"/>
    </row>
    <row r="6327" spans="1:41" s="61" customFormat="1" ht="31.5" x14ac:dyDescent="0.25">
      <c r="A6327" s="358"/>
      <c r="B6327" s="361"/>
      <c r="C6327" s="221" t="s">
        <v>79</v>
      </c>
      <c r="D6327" s="156" t="s">
        <v>37</v>
      </c>
      <c r="E6327" s="156" t="s">
        <v>61</v>
      </c>
      <c r="F6327" s="156" t="s">
        <v>254</v>
      </c>
      <c r="G6327" s="238">
        <f>MROUND(H6327*L6327*I6327/K6327,0.000000000001)</f>
        <v>1.9090226E-5</v>
      </c>
      <c r="H6327" s="158">
        <f>$H$2119</f>
        <v>1</v>
      </c>
      <c r="I6327" s="159">
        <f>I6325</f>
        <v>1.2695E-2</v>
      </c>
      <c r="J6327" s="160"/>
      <c r="K6327" s="161">
        <f>K6325</f>
        <v>665</v>
      </c>
      <c r="L6327" s="250">
        <v>1</v>
      </c>
      <c r="M6327" s="163" t="str">
        <f>CONCATENATE(H6327," ",F6327,"*",I6327,"/",K6327,"чел")</f>
        <v>1 автобус*0,012695/665чел</v>
      </c>
      <c r="N6327" s="278">
        <f>N5507</f>
        <v>24426.36</v>
      </c>
      <c r="O6327" s="280">
        <f>MROUND(N6327*G6327,0.000001)</f>
        <v>0.46630499999999997</v>
      </c>
      <c r="P6327" s="166"/>
      <c r="Q6327" s="166">
        <f>O6327*K6327</f>
        <v>310.092825</v>
      </c>
      <c r="R6327" s="71"/>
    </row>
    <row r="6328" spans="1:41" s="61" customFormat="1" x14ac:dyDescent="0.25">
      <c r="A6328" s="358"/>
      <c r="B6328" s="361"/>
      <c r="C6328" s="221"/>
      <c r="D6328" s="156" t="s">
        <v>255</v>
      </c>
      <c r="E6328" s="156" t="s">
        <v>28</v>
      </c>
      <c r="F6328" s="156" t="s">
        <v>28</v>
      </c>
      <c r="G6328" s="238">
        <f>MROUND(H6328*L6328*I6328/K6328,0.000000000001)</f>
        <v>1.3172255639E-2</v>
      </c>
      <c r="H6328" s="158">
        <f>H5508</f>
        <v>345</v>
      </c>
      <c r="I6328" s="159">
        <f>I6327</f>
        <v>1.2695E-2</v>
      </c>
      <c r="J6328" s="160"/>
      <c r="K6328" s="161">
        <f>K6327</f>
        <v>665</v>
      </c>
      <c r="L6328" s="250">
        <v>2</v>
      </c>
      <c r="M6328" s="163" t="str">
        <f>CONCATENATE(H6328," ",F6328,"*",L6328,"раза в год","*",I6328,"/",K6328,"чел")</f>
        <v>345 шт*2раза в год*0,012695/665чел</v>
      </c>
      <c r="N6328" s="278">
        <f>N5508</f>
        <v>456.05601449275366</v>
      </c>
      <c r="O6328" s="280">
        <f>MROUND(N6328*G6328,0.000001)</f>
        <v>6.0072859999999997</v>
      </c>
      <c r="P6328" s="166"/>
      <c r="Q6328" s="166">
        <f>O6328*K6328</f>
        <v>3994.84519</v>
      </c>
      <c r="R6328" s="71"/>
    </row>
    <row r="6329" spans="1:41" s="109" customFormat="1" x14ac:dyDescent="0.25">
      <c r="A6329" s="358"/>
      <c r="B6329" s="361"/>
      <c r="C6329" s="218" t="s">
        <v>328</v>
      </c>
      <c r="D6329" s="240"/>
      <c r="E6329" s="240"/>
      <c r="F6329" s="240"/>
      <c r="G6329" s="227"/>
      <c r="H6329" s="241"/>
      <c r="I6329" s="206"/>
      <c r="J6329" s="228"/>
      <c r="K6329" s="207"/>
      <c r="L6329" s="257"/>
      <c r="M6329" s="209"/>
      <c r="N6329" s="281"/>
      <c r="O6329" s="279">
        <f>O6328+O6327</f>
        <v>6.4735909999999999</v>
      </c>
      <c r="P6329" s="267"/>
      <c r="Q6329" s="166"/>
      <c r="R6329" s="71"/>
      <c r="S6329" s="62"/>
      <c r="T6329" s="62"/>
      <c r="U6329" s="62"/>
      <c r="V6329" s="62"/>
      <c r="W6329" s="62"/>
      <c r="X6329" s="62"/>
      <c r="Y6329" s="62"/>
      <c r="Z6329" s="62"/>
      <c r="AA6329" s="62"/>
      <c r="AB6329" s="62"/>
      <c r="AC6329" s="62"/>
      <c r="AD6329" s="62"/>
      <c r="AE6329" s="62"/>
      <c r="AF6329" s="62"/>
      <c r="AG6329" s="62"/>
      <c r="AH6329" s="62"/>
      <c r="AI6329" s="62"/>
      <c r="AJ6329" s="62"/>
      <c r="AK6329" s="62"/>
      <c r="AL6329" s="62"/>
      <c r="AM6329" s="62"/>
      <c r="AN6329" s="62"/>
      <c r="AO6329" s="62"/>
    </row>
    <row r="6330" spans="1:41" s="61" customFormat="1" x14ac:dyDescent="0.25">
      <c r="A6330" s="358"/>
      <c r="B6330" s="361"/>
      <c r="C6330" s="364" t="s">
        <v>80</v>
      </c>
      <c r="D6330" s="156" t="s">
        <v>38</v>
      </c>
      <c r="E6330" s="156" t="s">
        <v>57</v>
      </c>
      <c r="F6330" s="156" t="s">
        <v>228</v>
      </c>
      <c r="G6330" s="238">
        <f t="shared" ref="G6330:G6341" si="1659">MROUND(H6330*L6330*I6330/K6330,0.000000000001)</f>
        <v>1.832661654E-3</v>
      </c>
      <c r="H6330" s="158">
        <f>H5510</f>
        <v>8</v>
      </c>
      <c r="I6330" s="159">
        <f>I6327</f>
        <v>1.2695E-2</v>
      </c>
      <c r="J6330" s="160"/>
      <c r="K6330" s="161">
        <f>K6327</f>
        <v>665</v>
      </c>
      <c r="L6330" s="250">
        <v>12</v>
      </c>
      <c r="M6330" s="163" t="str">
        <f>CONCATENATE(H6330," ",F6330,"*",L6330,"мес.","*",I6330,"/",K6330,"чел")</f>
        <v>8 зданий*12мес.*0,012695/665чел</v>
      </c>
      <c r="N6330" s="278">
        <f t="shared" ref="N6330:N6339" si="1660">N5510</f>
        <v>4910.5830208333327</v>
      </c>
      <c r="O6330" s="280">
        <f t="shared" ref="O6330:O6341" si="1661">MROUND(N6330*G6330,0.000001)</f>
        <v>8.9994370000000004</v>
      </c>
      <c r="P6330" s="166"/>
      <c r="Q6330" s="166">
        <f t="shared" ref="Q6330:Q6341" si="1662">O6330*K6330</f>
        <v>5984.6256050000002</v>
      </c>
      <c r="R6330" s="71"/>
    </row>
    <row r="6331" spans="1:41" s="61" customFormat="1" x14ac:dyDescent="0.25">
      <c r="A6331" s="358"/>
      <c r="B6331" s="361"/>
      <c r="C6331" s="364"/>
      <c r="D6331" s="156" t="s">
        <v>256</v>
      </c>
      <c r="E6331" s="156" t="s">
        <v>20</v>
      </c>
      <c r="F6331" s="156" t="s">
        <v>20</v>
      </c>
      <c r="G6331" s="238">
        <f t="shared" si="1659"/>
        <v>3.5698721800000001E-3</v>
      </c>
      <c r="H6331" s="158">
        <f>H5511</f>
        <v>187</v>
      </c>
      <c r="I6331" s="159">
        <f>I6328</f>
        <v>1.2695E-2</v>
      </c>
      <c r="J6331" s="160"/>
      <c r="K6331" s="161">
        <f>K6328</f>
        <v>665</v>
      </c>
      <c r="L6331" s="250">
        <v>1</v>
      </c>
      <c r="M6331" s="163" t="str">
        <f t="shared" ref="M6331:M6337" si="1663">CONCATENATE(H6331," ",F6331,"*",I6331,"/",K6331,"чел")</f>
        <v>187 чел.*0,012695/665чел</v>
      </c>
      <c r="N6331" s="278">
        <f t="shared" si="1660"/>
        <v>1938.2379679144385</v>
      </c>
      <c r="O6331" s="280">
        <f t="shared" si="1661"/>
        <v>6.9192619999999998</v>
      </c>
      <c r="P6331" s="166"/>
      <c r="Q6331" s="166">
        <f t="shared" si="1662"/>
        <v>4601.3092299999998</v>
      </c>
      <c r="R6331" s="71"/>
    </row>
    <row r="6332" spans="1:41" s="61" customFormat="1" ht="63" x14ac:dyDescent="0.25">
      <c r="A6332" s="358"/>
      <c r="B6332" s="361"/>
      <c r="C6332" s="364"/>
      <c r="D6332" s="156" t="s">
        <v>39</v>
      </c>
      <c r="E6332" s="156" t="s">
        <v>20</v>
      </c>
      <c r="F6332" s="156" t="s">
        <v>234</v>
      </c>
      <c r="G6332" s="238">
        <f t="shared" si="1659"/>
        <v>1.7181202999999999E-4</v>
      </c>
      <c r="H6332" s="158">
        <f>H5512</f>
        <v>9</v>
      </c>
      <c r="I6332" s="159">
        <f>I6330</f>
        <v>1.2695E-2</v>
      </c>
      <c r="J6332" s="160"/>
      <c r="K6332" s="161">
        <f>K6330</f>
        <v>665</v>
      </c>
      <c r="L6332" s="250">
        <v>1</v>
      </c>
      <c r="M6332" s="163" t="str">
        <f t="shared" si="1663"/>
        <v>9 чел(заявленная потребность руководителями учреждений)*0,012695/665чел</v>
      </c>
      <c r="N6332" s="278">
        <f t="shared" si="1660"/>
        <v>798.09666666666669</v>
      </c>
      <c r="O6332" s="280">
        <f t="shared" si="1661"/>
        <v>0.13712299999999999</v>
      </c>
      <c r="P6332" s="166"/>
      <c r="Q6332" s="166">
        <f t="shared" si="1662"/>
        <v>91.186795000000004</v>
      </c>
      <c r="R6332" s="71"/>
    </row>
    <row r="6333" spans="1:41" s="61" customFormat="1" ht="63" x14ac:dyDescent="0.25">
      <c r="A6333" s="358"/>
      <c r="B6333" s="361"/>
      <c r="C6333" s="364"/>
      <c r="D6333" s="156" t="s">
        <v>40</v>
      </c>
      <c r="E6333" s="156" t="s">
        <v>20</v>
      </c>
      <c r="F6333" s="156" t="s">
        <v>234</v>
      </c>
      <c r="G6333" s="238">
        <f t="shared" si="1659"/>
        <v>2.4817293199999997E-4</v>
      </c>
      <c r="H6333" s="158">
        <f>H5513</f>
        <v>13</v>
      </c>
      <c r="I6333" s="159">
        <f t="shared" ref="I6333:I6338" si="1664">I6332</f>
        <v>1.2695E-2</v>
      </c>
      <c r="J6333" s="160"/>
      <c r="K6333" s="161">
        <f t="shared" ref="K6333:K6338" si="1665">K6332</f>
        <v>665</v>
      </c>
      <c r="L6333" s="250">
        <v>1</v>
      </c>
      <c r="M6333" s="163" t="str">
        <f t="shared" si="1663"/>
        <v>13 чел(заявленная потребность руководителями учреждений)*0,012695/665чел</v>
      </c>
      <c r="N6333" s="278">
        <f t="shared" si="1660"/>
        <v>1710.2100000000003</v>
      </c>
      <c r="O6333" s="280">
        <f t="shared" si="1661"/>
        <v>0.42442799999999997</v>
      </c>
      <c r="P6333" s="166"/>
      <c r="Q6333" s="166">
        <f t="shared" si="1662"/>
        <v>282.24462</v>
      </c>
      <c r="R6333" s="71"/>
    </row>
    <row r="6334" spans="1:41" s="61" customFormat="1" ht="63" x14ac:dyDescent="0.25">
      <c r="A6334" s="358"/>
      <c r="B6334" s="361"/>
      <c r="C6334" s="364"/>
      <c r="D6334" s="156" t="s">
        <v>100</v>
      </c>
      <c r="E6334" s="156" t="s">
        <v>20</v>
      </c>
      <c r="F6334" s="156" t="s">
        <v>234</v>
      </c>
      <c r="G6334" s="238">
        <f t="shared" si="1659"/>
        <v>1.3363157899999999E-4</v>
      </c>
      <c r="H6334" s="158">
        <f>H5514</f>
        <v>7</v>
      </c>
      <c r="I6334" s="159">
        <f t="shared" si="1664"/>
        <v>1.2695E-2</v>
      </c>
      <c r="J6334" s="160"/>
      <c r="K6334" s="161">
        <f t="shared" si="1665"/>
        <v>665</v>
      </c>
      <c r="L6334" s="250">
        <v>1</v>
      </c>
      <c r="M6334" s="163" t="str">
        <f t="shared" si="1663"/>
        <v>7 чел(заявленная потребность руководителями учреждений)*0,012695/665чел</v>
      </c>
      <c r="N6334" s="278">
        <f t="shared" si="1660"/>
        <v>3648.4471428571428</v>
      </c>
      <c r="O6334" s="280">
        <f t="shared" si="1661"/>
        <v>0.48754799999999998</v>
      </c>
      <c r="P6334" s="166"/>
      <c r="Q6334" s="166">
        <f t="shared" si="1662"/>
        <v>324.21942000000001</v>
      </c>
      <c r="R6334" s="71"/>
    </row>
    <row r="6335" spans="1:41" s="61" customFormat="1" ht="110.25" x14ac:dyDescent="0.25">
      <c r="A6335" s="358"/>
      <c r="B6335" s="361"/>
      <c r="C6335" s="364"/>
      <c r="D6335" s="156" t="s">
        <v>235</v>
      </c>
      <c r="E6335" s="156" t="s">
        <v>50</v>
      </c>
      <c r="F6335" s="156" t="s">
        <v>230</v>
      </c>
      <c r="G6335" s="238">
        <f t="shared" si="1659"/>
        <v>9.5451127999999995E-5</v>
      </c>
      <c r="H6335" s="158">
        <v>5</v>
      </c>
      <c r="I6335" s="159">
        <f t="shared" si="1664"/>
        <v>1.2695E-2</v>
      </c>
      <c r="J6335" s="160"/>
      <c r="K6335" s="161">
        <f t="shared" si="1665"/>
        <v>665</v>
      </c>
      <c r="L6335" s="250">
        <v>1</v>
      </c>
      <c r="M6335" s="163" t="str">
        <f t="shared" si="1663"/>
        <v>5 отчетов*0,012695/665чел</v>
      </c>
      <c r="N6335" s="278">
        <f t="shared" si="1660"/>
        <v>6840.8399999999992</v>
      </c>
      <c r="O6335" s="280">
        <f t="shared" si="1661"/>
        <v>0.65296599999999994</v>
      </c>
      <c r="P6335" s="166"/>
      <c r="Q6335" s="166">
        <f t="shared" si="1662"/>
        <v>434.22238999999996</v>
      </c>
      <c r="R6335" s="71"/>
    </row>
    <row r="6336" spans="1:41" s="61" customFormat="1" ht="63" x14ac:dyDescent="0.25">
      <c r="A6336" s="358"/>
      <c r="B6336" s="361"/>
      <c r="C6336" s="364"/>
      <c r="D6336" s="156" t="s">
        <v>42</v>
      </c>
      <c r="E6336" s="156" t="s">
        <v>51</v>
      </c>
      <c r="F6336" s="156" t="s">
        <v>407</v>
      </c>
      <c r="G6336" s="238">
        <f t="shared" si="1659"/>
        <v>4.9634586499999994E-4</v>
      </c>
      <c r="H6336" s="158">
        <f>H5516</f>
        <v>26</v>
      </c>
      <c r="I6336" s="159">
        <f t="shared" si="1664"/>
        <v>1.2695E-2</v>
      </c>
      <c r="J6336" s="160"/>
      <c r="K6336" s="161">
        <f t="shared" si="1665"/>
        <v>665</v>
      </c>
      <c r="L6336" s="250">
        <v>1</v>
      </c>
      <c r="M6336" s="163" t="str">
        <f t="shared" si="1663"/>
        <v>26 ед (заявленная потребность руководителями учреждений)*0,012695/665чел</v>
      </c>
      <c r="N6336" s="278">
        <f t="shared" si="1660"/>
        <v>1140.1400000000001</v>
      </c>
      <c r="O6336" s="280">
        <f t="shared" si="1661"/>
        <v>0.56590399999999996</v>
      </c>
      <c r="P6336" s="166"/>
      <c r="Q6336" s="166">
        <f t="shared" si="1662"/>
        <v>376.32615999999996</v>
      </c>
      <c r="R6336" s="71"/>
    </row>
    <row r="6337" spans="1:41" s="61" customFormat="1" ht="31.5" x14ac:dyDescent="0.25">
      <c r="A6337" s="358"/>
      <c r="B6337" s="361"/>
      <c r="C6337" s="364"/>
      <c r="D6337" s="156" t="s">
        <v>43</v>
      </c>
      <c r="E6337" s="156" t="s">
        <v>52</v>
      </c>
      <c r="F6337" s="156" t="s">
        <v>231</v>
      </c>
      <c r="G6337" s="238">
        <f t="shared" si="1659"/>
        <v>9.5451127999999995E-5</v>
      </c>
      <c r="H6337" s="158">
        <v>5</v>
      </c>
      <c r="I6337" s="159">
        <f t="shared" si="1664"/>
        <v>1.2695E-2</v>
      </c>
      <c r="J6337" s="160"/>
      <c r="K6337" s="161">
        <f t="shared" si="1665"/>
        <v>665</v>
      </c>
      <c r="L6337" s="250">
        <v>1</v>
      </c>
      <c r="M6337" s="163" t="str">
        <f t="shared" si="1663"/>
        <v>5 ЭЦП*0,012695/665чел</v>
      </c>
      <c r="N6337" s="278">
        <f t="shared" si="1660"/>
        <v>8099.55</v>
      </c>
      <c r="O6337" s="280">
        <f t="shared" si="1661"/>
        <v>0.77311099999999999</v>
      </c>
      <c r="P6337" s="166"/>
      <c r="Q6337" s="166">
        <f t="shared" si="1662"/>
        <v>514.11881500000004</v>
      </c>
      <c r="R6337" s="71"/>
    </row>
    <row r="6338" spans="1:41" s="61" customFormat="1" x14ac:dyDescent="0.25">
      <c r="A6338" s="358"/>
      <c r="B6338" s="361"/>
      <c r="C6338" s="364"/>
      <c r="D6338" s="156" t="s">
        <v>373</v>
      </c>
      <c r="E6338" s="156" t="s">
        <v>28</v>
      </c>
      <c r="F6338" s="156" t="s">
        <v>28</v>
      </c>
      <c r="G6338" s="238">
        <f t="shared" si="1659"/>
        <v>9.5451127999999995E-5</v>
      </c>
      <c r="H6338" s="158">
        <f>H5518</f>
        <v>5</v>
      </c>
      <c r="I6338" s="159">
        <f t="shared" si="1664"/>
        <v>1.2695E-2</v>
      </c>
      <c r="J6338" s="160"/>
      <c r="K6338" s="161">
        <f t="shared" si="1665"/>
        <v>665</v>
      </c>
      <c r="L6338" s="250">
        <v>1</v>
      </c>
      <c r="M6338" s="163" t="str">
        <f>CONCATENATE(H6338," ",F6338,"*",I6338,"/",K6338,"чел/час")</f>
        <v>5 шт*0,012695/665чел/час</v>
      </c>
      <c r="N6338" s="278">
        <f t="shared" si="1660"/>
        <v>24000</v>
      </c>
      <c r="O6338" s="280">
        <f t="shared" si="1661"/>
        <v>2.2908269999999997</v>
      </c>
      <c r="P6338" s="166"/>
      <c r="Q6338" s="166">
        <f t="shared" si="1662"/>
        <v>1523.3999549999999</v>
      </c>
      <c r="R6338" s="71"/>
    </row>
    <row r="6339" spans="1:41" s="61" customFormat="1" ht="63" x14ac:dyDescent="0.25">
      <c r="A6339" s="358"/>
      <c r="B6339" s="361"/>
      <c r="C6339" s="364"/>
      <c r="D6339" s="156" t="s">
        <v>45</v>
      </c>
      <c r="E6339" s="156" t="s">
        <v>53</v>
      </c>
      <c r="F6339" s="156" t="s">
        <v>257</v>
      </c>
      <c r="G6339" s="238">
        <f t="shared" si="1659"/>
        <v>2.2908270699999999E-4</v>
      </c>
      <c r="H6339" s="158">
        <v>1</v>
      </c>
      <c r="I6339" s="159">
        <f>I6337</f>
        <v>1.2695E-2</v>
      </c>
      <c r="J6339" s="160"/>
      <c r="K6339" s="161">
        <f>K6337</f>
        <v>665</v>
      </c>
      <c r="L6339" s="250">
        <v>12</v>
      </c>
      <c r="M6339" s="163" t="str">
        <f>CONCATENATE(H6339," ",F6339,"*",L6339,"мес.","*",I6339,"/",K6339,"чел")</f>
        <v>1  машина, оборудованная системой ГЛОНАСС*12мес.*0,012695/665чел</v>
      </c>
      <c r="N6339" s="278">
        <f t="shared" si="1660"/>
        <v>921.23333333333346</v>
      </c>
      <c r="O6339" s="280">
        <f t="shared" si="1661"/>
        <v>0.21103899999999998</v>
      </c>
      <c r="P6339" s="166"/>
      <c r="Q6339" s="166">
        <f t="shared" si="1662"/>
        <v>140.34093499999997</v>
      </c>
      <c r="R6339" s="71"/>
    </row>
    <row r="6340" spans="1:41" s="136" customFormat="1" ht="47.25" x14ac:dyDescent="0.25">
      <c r="A6340" s="358"/>
      <c r="B6340" s="361"/>
      <c r="C6340" s="364"/>
      <c r="D6340" s="156" t="s">
        <v>44</v>
      </c>
      <c r="E6340" s="156" t="s">
        <v>85</v>
      </c>
      <c r="F6340" s="156" t="s">
        <v>232</v>
      </c>
      <c r="G6340" s="238">
        <f t="shared" si="1659"/>
        <v>5.8034285710000001E-3</v>
      </c>
      <c r="H6340" s="158">
        <f>$H$2132</f>
        <v>304</v>
      </c>
      <c r="I6340" s="159">
        <f>I6339</f>
        <v>1.2695E-2</v>
      </c>
      <c r="J6340" s="160"/>
      <c r="K6340" s="161">
        <f>K6339</f>
        <v>665</v>
      </c>
      <c r="L6340" s="250">
        <v>1</v>
      </c>
      <c r="M6340" s="163" t="str">
        <f>CONCATENATE(H6340," ",F6340,"*",L6340,"мес.","*",I6340,"/",K6340,"чел.")</f>
        <v>304 мед.осмотров в мес.*1мес.*0,012695/665чел.</v>
      </c>
      <c r="N6340" s="278">
        <f>$N$5520</f>
        <v>59.287269736842113</v>
      </c>
      <c r="O6340" s="280">
        <f t="shared" si="1661"/>
        <v>0.34406899999999996</v>
      </c>
      <c r="P6340" s="166"/>
      <c r="Q6340" s="166">
        <f t="shared" si="1662"/>
        <v>228.80588499999996</v>
      </c>
      <c r="R6340" s="71"/>
      <c r="S6340" s="71"/>
      <c r="T6340" s="61"/>
      <c r="U6340" s="61"/>
      <c r="V6340" s="61"/>
      <c r="W6340" s="61"/>
      <c r="X6340" s="61"/>
      <c r="Y6340" s="61"/>
      <c r="Z6340" s="61"/>
      <c r="AA6340" s="61"/>
      <c r="AB6340" s="61"/>
      <c r="AC6340" s="61"/>
      <c r="AD6340" s="61"/>
      <c r="AE6340" s="61"/>
      <c r="AF6340" s="61"/>
      <c r="AG6340" s="61"/>
      <c r="AH6340" s="61"/>
      <c r="AI6340" s="61"/>
      <c r="AJ6340" s="61"/>
      <c r="AK6340" s="61"/>
      <c r="AL6340" s="61"/>
      <c r="AM6340" s="61"/>
      <c r="AN6340" s="61"/>
      <c r="AO6340" s="61"/>
    </row>
    <row r="6341" spans="1:41" s="61" customFormat="1" ht="31.5" x14ac:dyDescent="0.25">
      <c r="A6341" s="358"/>
      <c r="B6341" s="361"/>
      <c r="C6341" s="364"/>
      <c r="D6341" s="156" t="s">
        <v>408</v>
      </c>
      <c r="E6341" s="156" t="s">
        <v>20</v>
      </c>
      <c r="F6341" s="156" t="s">
        <v>20</v>
      </c>
      <c r="G6341" s="238">
        <f t="shared" si="1659"/>
        <v>0</v>
      </c>
      <c r="H6341" s="158"/>
      <c r="I6341" s="159">
        <f>I6339</f>
        <v>1.2695E-2</v>
      </c>
      <c r="J6341" s="160"/>
      <c r="K6341" s="161">
        <f>K6339</f>
        <v>665</v>
      </c>
      <c r="L6341" s="250">
        <f>L5521</f>
        <v>1</v>
      </c>
      <c r="M6341" s="163"/>
      <c r="N6341" s="278"/>
      <c r="O6341" s="280">
        <f t="shared" si="1661"/>
        <v>0</v>
      </c>
      <c r="P6341" s="166"/>
      <c r="Q6341" s="166">
        <f t="shared" si="1662"/>
        <v>0</v>
      </c>
      <c r="R6341" s="71"/>
    </row>
    <row r="6342" spans="1:41" s="109" customFormat="1" x14ac:dyDescent="0.25">
      <c r="A6342" s="358"/>
      <c r="B6342" s="361"/>
      <c r="C6342" s="245" t="s">
        <v>329</v>
      </c>
      <c r="D6342" s="240"/>
      <c r="E6342" s="240"/>
      <c r="F6342" s="240"/>
      <c r="G6342" s="227"/>
      <c r="H6342" s="241"/>
      <c r="I6342" s="206"/>
      <c r="J6342" s="228"/>
      <c r="K6342" s="207"/>
      <c r="L6342" s="257"/>
      <c r="M6342" s="209"/>
      <c r="N6342" s="281"/>
      <c r="O6342" s="279">
        <f>SUM(O6330:O6341)</f>
        <v>21.805713999999998</v>
      </c>
      <c r="P6342" s="267"/>
      <c r="Q6342" s="166"/>
      <c r="R6342" s="71"/>
      <c r="S6342" s="62"/>
      <c r="T6342" s="62"/>
      <c r="U6342" s="62"/>
      <c r="V6342" s="62"/>
      <c r="W6342" s="62"/>
      <c r="X6342" s="62"/>
      <c r="Y6342" s="62"/>
      <c r="Z6342" s="62"/>
      <c r="AA6342" s="62"/>
      <c r="AB6342" s="62"/>
      <c r="AC6342" s="62"/>
      <c r="AD6342" s="62"/>
      <c r="AE6342" s="62"/>
      <c r="AF6342" s="62"/>
      <c r="AG6342" s="62"/>
      <c r="AH6342" s="62"/>
      <c r="AI6342" s="62"/>
      <c r="AJ6342" s="62"/>
      <c r="AK6342" s="62"/>
      <c r="AL6342" s="62"/>
      <c r="AM6342" s="62"/>
      <c r="AN6342" s="62"/>
      <c r="AO6342" s="62"/>
    </row>
    <row r="6343" spans="1:41" s="61" customFormat="1" ht="31.5" x14ac:dyDescent="0.25">
      <c r="A6343" s="358"/>
      <c r="B6343" s="361"/>
      <c r="C6343" s="252" t="s">
        <v>237</v>
      </c>
      <c r="D6343" s="156" t="s">
        <v>41</v>
      </c>
      <c r="E6343" s="156" t="s">
        <v>61</v>
      </c>
      <c r="F6343" s="156" t="s">
        <v>254</v>
      </c>
      <c r="G6343" s="238">
        <f t="shared" ref="G6343:G6354" si="1666">MROUND(H6343*L6343*I6343/K6343,0.000000000001)</f>
        <v>1.9090226E-5</v>
      </c>
      <c r="H6343" s="158">
        <v>1</v>
      </c>
      <c r="I6343" s="159">
        <f>I6341</f>
        <v>1.2695E-2</v>
      </c>
      <c r="J6343" s="160"/>
      <c r="K6343" s="161">
        <f>K6341</f>
        <v>665</v>
      </c>
      <c r="L6343" s="250">
        <v>1</v>
      </c>
      <c r="M6343" s="163" t="str">
        <f>CONCATENATE(H6343," ",F6343,"*",I6343,"/",K6343,"чел")</f>
        <v>1 автобус*0,012695/665чел</v>
      </c>
      <c r="N6343" s="278">
        <f>N5523</f>
        <v>26907.3</v>
      </c>
      <c r="O6343" s="280">
        <f t="shared" ref="O6343:O6354" si="1667">MROUND(N6343*G6343,0.000001)</f>
        <v>0.51366599999999996</v>
      </c>
      <c r="P6343" s="166"/>
      <c r="Q6343" s="166">
        <f t="shared" ref="Q6343:Q6354" si="1668">O6343*K6343</f>
        <v>341.58788999999996</v>
      </c>
      <c r="R6343" s="71"/>
    </row>
    <row r="6344" spans="1:41" s="61" customFormat="1" ht="78.75" x14ac:dyDescent="0.25">
      <c r="A6344" s="358"/>
      <c r="B6344" s="361"/>
      <c r="C6344" s="221" t="s">
        <v>236</v>
      </c>
      <c r="D6344" s="156" t="s">
        <v>19</v>
      </c>
      <c r="E6344" s="181" t="s">
        <v>20</v>
      </c>
      <c r="F6344" s="181" t="s">
        <v>238</v>
      </c>
      <c r="G6344" s="238">
        <f t="shared" si="1666"/>
        <v>0</v>
      </c>
      <c r="H6344" s="158"/>
      <c r="I6344" s="159">
        <f>I6341</f>
        <v>1.2695E-2</v>
      </c>
      <c r="J6344" s="160"/>
      <c r="K6344" s="161">
        <f>K6341</f>
        <v>665</v>
      </c>
      <c r="L6344" s="250"/>
      <c r="M6344" s="163"/>
      <c r="N6344" s="278"/>
      <c r="O6344" s="280">
        <f t="shared" si="1667"/>
        <v>0</v>
      </c>
      <c r="P6344" s="166"/>
      <c r="Q6344" s="166">
        <f t="shared" si="1668"/>
        <v>0</v>
      </c>
      <c r="R6344" s="71"/>
    </row>
    <row r="6345" spans="1:41" s="136" customFormat="1" ht="31.5" x14ac:dyDescent="0.25">
      <c r="A6345" s="358"/>
      <c r="B6345" s="361"/>
      <c r="C6345" s="372" t="s">
        <v>81</v>
      </c>
      <c r="D6345" s="156" t="s">
        <v>419</v>
      </c>
      <c r="E6345" s="156" t="s">
        <v>28</v>
      </c>
      <c r="F6345" s="156" t="s">
        <v>439</v>
      </c>
      <c r="G6345" s="238">
        <f t="shared" si="1666"/>
        <v>0</v>
      </c>
      <c r="H6345" s="158"/>
      <c r="I6345" s="159">
        <f>I6344</f>
        <v>1.2695E-2</v>
      </c>
      <c r="J6345" s="160"/>
      <c r="K6345" s="161">
        <f>K6344</f>
        <v>665</v>
      </c>
      <c r="L6345" s="250">
        <v>1</v>
      </c>
      <c r="M6345" s="163"/>
      <c r="N6345" s="278"/>
      <c r="O6345" s="280">
        <f t="shared" si="1667"/>
        <v>0</v>
      </c>
      <c r="P6345" s="166"/>
      <c r="Q6345" s="166">
        <f t="shared" si="1668"/>
        <v>0</v>
      </c>
      <c r="R6345" s="71"/>
      <c r="S6345" s="61"/>
      <c r="T6345" s="71"/>
      <c r="U6345" s="61"/>
      <c r="V6345" s="61"/>
      <c r="W6345" s="61"/>
      <c r="X6345" s="61"/>
      <c r="Y6345" s="61"/>
      <c r="Z6345" s="61"/>
      <c r="AA6345" s="61"/>
      <c r="AB6345" s="61"/>
      <c r="AC6345" s="61"/>
      <c r="AD6345" s="61"/>
      <c r="AE6345" s="61"/>
      <c r="AF6345" s="61"/>
      <c r="AG6345" s="61"/>
      <c r="AH6345" s="61"/>
      <c r="AI6345" s="61"/>
      <c r="AJ6345" s="61"/>
      <c r="AK6345" s="61"/>
      <c r="AL6345" s="61"/>
      <c r="AM6345" s="61"/>
      <c r="AN6345" s="61"/>
      <c r="AO6345" s="61"/>
    </row>
    <row r="6346" spans="1:41" s="136" customFormat="1" ht="31.5" x14ac:dyDescent="0.25">
      <c r="A6346" s="358"/>
      <c r="B6346" s="361"/>
      <c r="C6346" s="373"/>
      <c r="D6346" s="156" t="s">
        <v>425</v>
      </c>
      <c r="E6346" s="156" t="s">
        <v>28</v>
      </c>
      <c r="F6346" s="156" t="s">
        <v>439</v>
      </c>
      <c r="G6346" s="238">
        <f t="shared" si="1666"/>
        <v>0</v>
      </c>
      <c r="H6346" s="158"/>
      <c r="I6346" s="159">
        <f t="shared" ref="I6346:I6354" si="1669">I6345</f>
        <v>1.2695E-2</v>
      </c>
      <c r="J6346" s="160"/>
      <c r="K6346" s="161">
        <f t="shared" ref="K6346:K6354" si="1670">K6345</f>
        <v>665</v>
      </c>
      <c r="L6346" s="250">
        <v>1</v>
      </c>
      <c r="M6346" s="163"/>
      <c r="N6346" s="278"/>
      <c r="O6346" s="280">
        <f t="shared" si="1667"/>
        <v>0</v>
      </c>
      <c r="P6346" s="166"/>
      <c r="Q6346" s="166">
        <f t="shared" si="1668"/>
        <v>0</v>
      </c>
      <c r="R6346" s="71"/>
      <c r="S6346" s="61"/>
      <c r="T6346" s="71"/>
      <c r="U6346" s="61"/>
      <c r="V6346" s="61"/>
      <c r="W6346" s="61"/>
      <c r="X6346" s="61"/>
      <c r="Y6346" s="61"/>
      <c r="Z6346" s="61"/>
      <c r="AA6346" s="61"/>
      <c r="AB6346" s="61"/>
      <c r="AC6346" s="61"/>
      <c r="AD6346" s="61"/>
      <c r="AE6346" s="61"/>
      <c r="AF6346" s="61"/>
      <c r="AG6346" s="61"/>
      <c r="AH6346" s="61"/>
      <c r="AI6346" s="61"/>
      <c r="AJ6346" s="61"/>
      <c r="AK6346" s="61"/>
      <c r="AL6346" s="61"/>
      <c r="AM6346" s="61"/>
      <c r="AN6346" s="61"/>
      <c r="AO6346" s="61"/>
    </row>
    <row r="6347" spans="1:41" s="136" customFormat="1" ht="31.5" x14ac:dyDescent="0.25">
      <c r="A6347" s="358"/>
      <c r="B6347" s="361"/>
      <c r="C6347" s="373"/>
      <c r="D6347" s="156" t="s">
        <v>426</v>
      </c>
      <c r="E6347" s="156" t="s">
        <v>28</v>
      </c>
      <c r="F6347" s="156" t="s">
        <v>439</v>
      </c>
      <c r="G6347" s="238">
        <f t="shared" si="1666"/>
        <v>0</v>
      </c>
      <c r="H6347" s="158"/>
      <c r="I6347" s="159">
        <f t="shared" si="1669"/>
        <v>1.2695E-2</v>
      </c>
      <c r="J6347" s="160"/>
      <c r="K6347" s="161">
        <f t="shared" si="1670"/>
        <v>665</v>
      </c>
      <c r="L6347" s="250">
        <v>1</v>
      </c>
      <c r="M6347" s="163"/>
      <c r="N6347" s="278"/>
      <c r="O6347" s="280">
        <f t="shared" si="1667"/>
        <v>0</v>
      </c>
      <c r="P6347" s="166"/>
      <c r="Q6347" s="166">
        <f t="shared" si="1668"/>
        <v>0</v>
      </c>
      <c r="R6347" s="71"/>
      <c r="S6347" s="61"/>
      <c r="T6347" s="71"/>
      <c r="U6347" s="61"/>
      <c r="V6347" s="61"/>
      <c r="W6347" s="61"/>
      <c r="X6347" s="61"/>
      <c r="Y6347" s="61"/>
      <c r="Z6347" s="61"/>
      <c r="AA6347" s="61"/>
      <c r="AB6347" s="61"/>
      <c r="AC6347" s="61"/>
      <c r="AD6347" s="61"/>
      <c r="AE6347" s="61"/>
      <c r="AF6347" s="61"/>
      <c r="AG6347" s="61"/>
      <c r="AH6347" s="61"/>
      <c r="AI6347" s="61"/>
      <c r="AJ6347" s="61"/>
      <c r="AK6347" s="61"/>
      <c r="AL6347" s="61"/>
      <c r="AM6347" s="61"/>
      <c r="AN6347" s="61"/>
      <c r="AO6347" s="61"/>
    </row>
    <row r="6348" spans="1:41" s="136" customFormat="1" ht="31.5" x14ac:dyDescent="0.25">
      <c r="A6348" s="358"/>
      <c r="B6348" s="361"/>
      <c r="C6348" s="373"/>
      <c r="D6348" s="156" t="s">
        <v>427</v>
      </c>
      <c r="E6348" s="156" t="s">
        <v>28</v>
      </c>
      <c r="F6348" s="156" t="s">
        <v>439</v>
      </c>
      <c r="G6348" s="238">
        <f t="shared" si="1666"/>
        <v>0</v>
      </c>
      <c r="H6348" s="158"/>
      <c r="I6348" s="159">
        <f t="shared" si="1669"/>
        <v>1.2695E-2</v>
      </c>
      <c r="J6348" s="160"/>
      <c r="K6348" s="161">
        <f t="shared" si="1670"/>
        <v>665</v>
      </c>
      <c r="L6348" s="250">
        <v>1</v>
      </c>
      <c r="M6348" s="163"/>
      <c r="N6348" s="278"/>
      <c r="O6348" s="280">
        <f t="shared" si="1667"/>
        <v>0</v>
      </c>
      <c r="P6348" s="166"/>
      <c r="Q6348" s="166">
        <f t="shared" si="1668"/>
        <v>0</v>
      </c>
      <c r="R6348" s="71"/>
      <c r="S6348" s="61"/>
      <c r="T6348" s="71"/>
      <c r="U6348" s="61"/>
      <c r="V6348" s="61"/>
      <c r="W6348" s="61"/>
      <c r="X6348" s="61"/>
      <c r="Y6348" s="61"/>
      <c r="Z6348" s="61"/>
      <c r="AA6348" s="61"/>
      <c r="AB6348" s="61"/>
      <c r="AC6348" s="61"/>
      <c r="AD6348" s="61"/>
      <c r="AE6348" s="61"/>
      <c r="AF6348" s="61"/>
      <c r="AG6348" s="61"/>
      <c r="AH6348" s="61"/>
      <c r="AI6348" s="61"/>
      <c r="AJ6348" s="61"/>
      <c r="AK6348" s="61"/>
      <c r="AL6348" s="61"/>
      <c r="AM6348" s="61"/>
      <c r="AN6348" s="61"/>
      <c r="AO6348" s="61"/>
    </row>
    <row r="6349" spans="1:41" s="136" customFormat="1" ht="31.5" x14ac:dyDescent="0.25">
      <c r="A6349" s="358"/>
      <c r="B6349" s="361"/>
      <c r="C6349" s="373"/>
      <c r="D6349" s="156" t="s">
        <v>428</v>
      </c>
      <c r="E6349" s="156" t="s">
        <v>28</v>
      </c>
      <c r="F6349" s="156" t="s">
        <v>439</v>
      </c>
      <c r="G6349" s="238">
        <f t="shared" si="1666"/>
        <v>0</v>
      </c>
      <c r="H6349" s="158"/>
      <c r="I6349" s="159">
        <f t="shared" si="1669"/>
        <v>1.2695E-2</v>
      </c>
      <c r="J6349" s="160"/>
      <c r="K6349" s="161">
        <f t="shared" si="1670"/>
        <v>665</v>
      </c>
      <c r="L6349" s="250">
        <v>1</v>
      </c>
      <c r="M6349" s="163"/>
      <c r="N6349" s="278"/>
      <c r="O6349" s="280">
        <f t="shared" si="1667"/>
        <v>0</v>
      </c>
      <c r="P6349" s="166"/>
      <c r="Q6349" s="166">
        <f t="shared" si="1668"/>
        <v>0</v>
      </c>
      <c r="R6349" s="71"/>
      <c r="S6349" s="61"/>
      <c r="T6349" s="71"/>
      <c r="U6349" s="61"/>
      <c r="V6349" s="61"/>
      <c r="W6349" s="61"/>
      <c r="X6349" s="61"/>
      <c r="Y6349" s="61"/>
      <c r="Z6349" s="61"/>
      <c r="AA6349" s="61"/>
      <c r="AB6349" s="61"/>
      <c r="AC6349" s="61"/>
      <c r="AD6349" s="61"/>
      <c r="AE6349" s="61"/>
      <c r="AF6349" s="61"/>
      <c r="AG6349" s="61"/>
      <c r="AH6349" s="61"/>
      <c r="AI6349" s="61"/>
      <c r="AJ6349" s="61"/>
      <c r="AK6349" s="61"/>
      <c r="AL6349" s="61"/>
      <c r="AM6349" s="61"/>
      <c r="AN6349" s="61"/>
      <c r="AO6349" s="61"/>
    </row>
    <row r="6350" spans="1:41" s="136" customFormat="1" ht="31.5" x14ac:dyDescent="0.25">
      <c r="A6350" s="358"/>
      <c r="B6350" s="361"/>
      <c r="C6350" s="373"/>
      <c r="D6350" s="156" t="s">
        <v>429</v>
      </c>
      <c r="E6350" s="156" t="s">
        <v>28</v>
      </c>
      <c r="F6350" s="156" t="s">
        <v>439</v>
      </c>
      <c r="G6350" s="238">
        <f t="shared" si="1666"/>
        <v>0</v>
      </c>
      <c r="H6350" s="158"/>
      <c r="I6350" s="159">
        <f t="shared" si="1669"/>
        <v>1.2695E-2</v>
      </c>
      <c r="J6350" s="160"/>
      <c r="K6350" s="161">
        <f t="shared" si="1670"/>
        <v>665</v>
      </c>
      <c r="L6350" s="250">
        <v>1</v>
      </c>
      <c r="M6350" s="163"/>
      <c r="N6350" s="278"/>
      <c r="O6350" s="280">
        <f t="shared" si="1667"/>
        <v>0</v>
      </c>
      <c r="P6350" s="166"/>
      <c r="Q6350" s="166">
        <f t="shared" si="1668"/>
        <v>0</v>
      </c>
      <c r="R6350" s="71"/>
      <c r="S6350" s="61"/>
      <c r="T6350" s="71"/>
      <c r="U6350" s="61"/>
      <c r="V6350" s="61"/>
      <c r="W6350" s="61"/>
      <c r="X6350" s="61"/>
      <c r="Y6350" s="61"/>
      <c r="Z6350" s="61"/>
      <c r="AA6350" s="61"/>
      <c r="AB6350" s="61"/>
      <c r="AC6350" s="61"/>
      <c r="AD6350" s="61"/>
      <c r="AE6350" s="61"/>
      <c r="AF6350" s="61"/>
      <c r="AG6350" s="61"/>
      <c r="AH6350" s="61"/>
      <c r="AI6350" s="61"/>
      <c r="AJ6350" s="61"/>
      <c r="AK6350" s="61"/>
      <c r="AL6350" s="61"/>
      <c r="AM6350" s="61"/>
      <c r="AN6350" s="61"/>
      <c r="AO6350" s="61"/>
    </row>
    <row r="6351" spans="1:41" s="136" customFormat="1" ht="31.5" x14ac:dyDescent="0.25">
      <c r="A6351" s="358"/>
      <c r="B6351" s="361"/>
      <c r="C6351" s="373"/>
      <c r="D6351" s="156" t="s">
        <v>110</v>
      </c>
      <c r="E6351" s="156" t="s">
        <v>28</v>
      </c>
      <c r="F6351" s="156" t="s">
        <v>439</v>
      </c>
      <c r="G6351" s="238">
        <f t="shared" si="1666"/>
        <v>0</v>
      </c>
      <c r="H6351" s="158"/>
      <c r="I6351" s="159">
        <f t="shared" si="1669"/>
        <v>1.2695E-2</v>
      </c>
      <c r="J6351" s="160"/>
      <c r="K6351" s="161">
        <f t="shared" si="1670"/>
        <v>665</v>
      </c>
      <c r="L6351" s="250">
        <v>1</v>
      </c>
      <c r="M6351" s="163"/>
      <c r="N6351" s="278"/>
      <c r="O6351" s="280">
        <f t="shared" si="1667"/>
        <v>0</v>
      </c>
      <c r="P6351" s="166"/>
      <c r="Q6351" s="166">
        <f t="shared" si="1668"/>
        <v>0</v>
      </c>
      <c r="R6351" s="71"/>
      <c r="S6351" s="61"/>
      <c r="T6351" s="71"/>
      <c r="U6351" s="61"/>
      <c r="V6351" s="61"/>
      <c r="W6351" s="61"/>
      <c r="X6351" s="61"/>
      <c r="Y6351" s="61"/>
      <c r="Z6351" s="61"/>
      <c r="AA6351" s="61"/>
      <c r="AB6351" s="61"/>
      <c r="AC6351" s="61"/>
      <c r="AD6351" s="61"/>
      <c r="AE6351" s="61"/>
      <c r="AF6351" s="61"/>
      <c r="AG6351" s="61"/>
      <c r="AH6351" s="61"/>
      <c r="AI6351" s="61"/>
      <c r="AJ6351" s="61"/>
      <c r="AK6351" s="61"/>
      <c r="AL6351" s="61"/>
      <c r="AM6351" s="61"/>
      <c r="AN6351" s="61"/>
      <c r="AO6351" s="61"/>
    </row>
    <row r="6352" spans="1:41" s="136" customFormat="1" ht="31.5" x14ac:dyDescent="0.25">
      <c r="A6352" s="358"/>
      <c r="B6352" s="361"/>
      <c r="C6352" s="373"/>
      <c r="D6352" s="156" t="s">
        <v>112</v>
      </c>
      <c r="E6352" s="156" t="s">
        <v>28</v>
      </c>
      <c r="F6352" s="156" t="s">
        <v>439</v>
      </c>
      <c r="G6352" s="238">
        <f t="shared" si="1666"/>
        <v>0</v>
      </c>
      <c r="H6352" s="158"/>
      <c r="I6352" s="159">
        <f t="shared" si="1669"/>
        <v>1.2695E-2</v>
      </c>
      <c r="J6352" s="160"/>
      <c r="K6352" s="161">
        <f t="shared" si="1670"/>
        <v>665</v>
      </c>
      <c r="L6352" s="250">
        <v>1</v>
      </c>
      <c r="M6352" s="163"/>
      <c r="N6352" s="278"/>
      <c r="O6352" s="280">
        <f t="shared" si="1667"/>
        <v>0</v>
      </c>
      <c r="P6352" s="166"/>
      <c r="Q6352" s="166">
        <f t="shared" si="1668"/>
        <v>0</v>
      </c>
      <c r="R6352" s="71"/>
      <c r="S6352" s="61"/>
      <c r="T6352" s="71"/>
      <c r="U6352" s="61"/>
      <c r="V6352" s="61"/>
      <c r="W6352" s="61"/>
      <c r="X6352" s="61"/>
      <c r="Y6352" s="61"/>
      <c r="Z6352" s="61"/>
      <c r="AA6352" s="61"/>
      <c r="AB6352" s="61"/>
      <c r="AC6352" s="61"/>
      <c r="AD6352" s="61"/>
      <c r="AE6352" s="61"/>
      <c r="AF6352" s="61"/>
      <c r="AG6352" s="61"/>
      <c r="AH6352" s="61"/>
      <c r="AI6352" s="61"/>
      <c r="AJ6352" s="61"/>
      <c r="AK6352" s="61"/>
      <c r="AL6352" s="61"/>
      <c r="AM6352" s="61"/>
      <c r="AN6352" s="61"/>
      <c r="AO6352" s="61"/>
    </row>
    <row r="6353" spans="1:41" s="136" customFormat="1" ht="31.5" x14ac:dyDescent="0.25">
      <c r="A6353" s="358"/>
      <c r="B6353" s="361"/>
      <c r="C6353" s="373"/>
      <c r="D6353" s="156" t="s">
        <v>111</v>
      </c>
      <c r="E6353" s="156" t="s">
        <v>28</v>
      </c>
      <c r="F6353" s="156" t="s">
        <v>439</v>
      </c>
      <c r="G6353" s="238">
        <f t="shared" si="1666"/>
        <v>0</v>
      </c>
      <c r="H6353" s="158"/>
      <c r="I6353" s="159">
        <f t="shared" si="1669"/>
        <v>1.2695E-2</v>
      </c>
      <c r="J6353" s="160"/>
      <c r="K6353" s="161">
        <f t="shared" si="1670"/>
        <v>665</v>
      </c>
      <c r="L6353" s="250">
        <v>1</v>
      </c>
      <c r="M6353" s="163"/>
      <c r="N6353" s="278"/>
      <c r="O6353" s="280">
        <f t="shared" si="1667"/>
        <v>0</v>
      </c>
      <c r="P6353" s="166"/>
      <c r="Q6353" s="166">
        <f t="shared" si="1668"/>
        <v>0</v>
      </c>
      <c r="R6353" s="71"/>
      <c r="S6353" s="61"/>
      <c r="T6353" s="71"/>
      <c r="U6353" s="61"/>
      <c r="V6353" s="61"/>
      <c r="W6353" s="61"/>
      <c r="X6353" s="61"/>
      <c r="Y6353" s="61"/>
      <c r="Z6353" s="61"/>
      <c r="AA6353" s="61"/>
      <c r="AB6353" s="61"/>
      <c r="AC6353" s="61"/>
      <c r="AD6353" s="61"/>
      <c r="AE6353" s="61"/>
      <c r="AF6353" s="61"/>
      <c r="AG6353" s="61"/>
      <c r="AH6353" s="61"/>
      <c r="AI6353" s="61"/>
      <c r="AJ6353" s="61"/>
      <c r="AK6353" s="61"/>
      <c r="AL6353" s="61"/>
      <c r="AM6353" s="61"/>
      <c r="AN6353" s="61"/>
      <c r="AO6353" s="61"/>
    </row>
    <row r="6354" spans="1:41" s="136" customFormat="1" ht="31.5" x14ac:dyDescent="0.25">
      <c r="A6354" s="358"/>
      <c r="B6354" s="361"/>
      <c r="C6354" s="374"/>
      <c r="D6354" s="156" t="s">
        <v>438</v>
      </c>
      <c r="E6354" s="156" t="s">
        <v>28</v>
      </c>
      <c r="F6354" s="156" t="s">
        <v>439</v>
      </c>
      <c r="G6354" s="238">
        <f t="shared" si="1666"/>
        <v>0</v>
      </c>
      <c r="H6354" s="158"/>
      <c r="I6354" s="159">
        <f t="shared" si="1669"/>
        <v>1.2695E-2</v>
      </c>
      <c r="J6354" s="160"/>
      <c r="K6354" s="161">
        <f t="shared" si="1670"/>
        <v>665</v>
      </c>
      <c r="L6354" s="250">
        <v>1</v>
      </c>
      <c r="M6354" s="163"/>
      <c r="N6354" s="278"/>
      <c r="O6354" s="280">
        <f t="shared" si="1667"/>
        <v>0</v>
      </c>
      <c r="P6354" s="166"/>
      <c r="Q6354" s="166">
        <f t="shared" si="1668"/>
        <v>0</v>
      </c>
      <c r="R6354" s="71"/>
      <c r="S6354" s="61"/>
      <c r="T6354" s="71"/>
      <c r="U6354" s="61"/>
      <c r="V6354" s="61"/>
      <c r="W6354" s="61"/>
      <c r="X6354" s="61"/>
      <c r="Y6354" s="61"/>
      <c r="Z6354" s="61"/>
      <c r="AA6354" s="61"/>
      <c r="AB6354" s="61"/>
      <c r="AC6354" s="61"/>
      <c r="AD6354" s="61"/>
      <c r="AE6354" s="61"/>
      <c r="AF6354" s="61"/>
      <c r="AG6354" s="61"/>
      <c r="AH6354" s="61"/>
      <c r="AI6354" s="61"/>
      <c r="AJ6354" s="61"/>
      <c r="AK6354" s="61"/>
      <c r="AL6354" s="61"/>
      <c r="AM6354" s="61"/>
      <c r="AN6354" s="61"/>
      <c r="AO6354" s="61"/>
    </row>
    <row r="6355" spans="1:41" s="61" customFormat="1" x14ac:dyDescent="0.25">
      <c r="A6355" s="358"/>
      <c r="B6355" s="361"/>
      <c r="C6355" s="245" t="s">
        <v>299</v>
      </c>
      <c r="D6355" s="240"/>
      <c r="E6355" s="240"/>
      <c r="F6355" s="181"/>
      <c r="G6355" s="227"/>
      <c r="H6355" s="241"/>
      <c r="I6355" s="206"/>
      <c r="J6355" s="228"/>
      <c r="K6355" s="207"/>
      <c r="L6355" s="257"/>
      <c r="M6355" s="209"/>
      <c r="N6355" s="290"/>
      <c r="O6355" s="279">
        <f>SUM(O6343:O6354)</f>
        <v>0.51366599999999996</v>
      </c>
      <c r="P6355" s="166"/>
      <c r="Q6355" s="166">
        <f>O6355*K6355</f>
        <v>0</v>
      </c>
      <c r="R6355" s="71"/>
    </row>
    <row r="6356" spans="1:41" s="61" customFormat="1" ht="47.25" x14ac:dyDescent="0.25">
      <c r="A6356" s="358"/>
      <c r="B6356" s="361"/>
      <c r="C6356" s="221" t="s">
        <v>434</v>
      </c>
      <c r="D6356" s="156" t="s">
        <v>436</v>
      </c>
      <c r="E6356" s="156" t="s">
        <v>28</v>
      </c>
      <c r="F6356" s="156" t="s">
        <v>437</v>
      </c>
      <c r="G6356" s="238">
        <f>MROUND(H6356*L6356*I6356/K6356,0.000000000001)</f>
        <v>4.9634586499999994E-4</v>
      </c>
      <c r="H6356" s="242">
        <f>$H$2148</f>
        <v>26</v>
      </c>
      <c r="I6356" s="159">
        <f>I6354</f>
        <v>1.2695E-2</v>
      </c>
      <c r="J6356" s="160"/>
      <c r="K6356" s="161">
        <f>K6354</f>
        <v>665</v>
      </c>
      <c r="L6356" s="162">
        <v>1</v>
      </c>
      <c r="M6356" s="163" t="str">
        <f>CONCATENATE(H6356," ",F6356,"*",I6356,"/",K6356,"чел.")</f>
        <v>26 огнетушителей (потребность учреждений) *0,012695/665чел.</v>
      </c>
      <c r="N6356" s="164">
        <f>$N$5536</f>
        <v>2280.2800000000002</v>
      </c>
      <c r="O6356" s="165">
        <f>MROUND(G6356*N6356,0.000001)</f>
        <v>1.1318079999999999</v>
      </c>
      <c r="P6356" s="166"/>
      <c r="Q6356" s="166">
        <f>O6356*K6356</f>
        <v>752.65231999999992</v>
      </c>
      <c r="R6356" s="71"/>
    </row>
    <row r="6357" spans="1:41" s="61" customFormat="1" x14ac:dyDescent="0.25">
      <c r="A6357" s="358"/>
      <c r="B6357" s="361"/>
      <c r="C6357" s="218" t="s">
        <v>435</v>
      </c>
      <c r="D6357" s="240"/>
      <c r="E6357" s="240"/>
      <c r="F6357" s="240"/>
      <c r="G6357" s="251"/>
      <c r="H6357" s="241"/>
      <c r="I6357" s="206"/>
      <c r="J6357" s="228"/>
      <c r="K6357" s="207"/>
      <c r="L6357" s="229"/>
      <c r="M6357" s="209"/>
      <c r="N6357" s="210"/>
      <c r="O6357" s="198">
        <f>SUM(O6356)</f>
        <v>1.1318079999999999</v>
      </c>
      <c r="P6357" s="166"/>
      <c r="Q6357" s="166"/>
      <c r="R6357" s="71"/>
    </row>
    <row r="6358" spans="1:41" s="61" customFormat="1" ht="110.25" x14ac:dyDescent="0.25">
      <c r="A6358" s="358"/>
      <c r="B6358" s="361"/>
      <c r="C6358" s="221" t="s">
        <v>82</v>
      </c>
      <c r="D6358" s="156" t="s">
        <v>46</v>
      </c>
      <c r="E6358" s="156" t="s">
        <v>54</v>
      </c>
      <c r="F6358" s="156" t="s">
        <v>285</v>
      </c>
      <c r="G6358" s="238">
        <f>MROUND(H6358*L6358*I6358/K6358,0.000000000001)</f>
        <v>4.7979516452E-2</v>
      </c>
      <c r="H6358" s="158">
        <f>H6052</f>
        <v>228.48206839032525</v>
      </c>
      <c r="I6358" s="159">
        <f>I6344</f>
        <v>1.2695E-2</v>
      </c>
      <c r="J6358" s="160"/>
      <c r="K6358" s="161">
        <f>K6344</f>
        <v>665</v>
      </c>
      <c r="L6358" s="250">
        <f>$L$2150</f>
        <v>11</v>
      </c>
      <c r="M6358" s="163" t="str">
        <f>CONCATENATE(H6358," ",F6358,"*",L6358,"автобус","*",I6358,"/",K6358,"чел")</f>
        <v>228,482068390325 л бензина АИ 92 (12,5л/день(зимой)*20дней*7мес+10л/день(летом)*20дней*4мес)*11автобус*0,012695/665чел</v>
      </c>
      <c r="N6358" s="278">
        <f>$N$5538</f>
        <v>57.007000000000005</v>
      </c>
      <c r="O6358" s="280">
        <f t="shared" ref="O6358:O6360" si="1671">MROUND(N6358*G6358,0.000001)</f>
        <v>2.7351679999999998</v>
      </c>
      <c r="P6358" s="166"/>
      <c r="Q6358" s="166">
        <f>O6358*K6358</f>
        <v>1818.88672</v>
      </c>
      <c r="R6358" s="71"/>
    </row>
    <row r="6359" spans="1:41" s="61" customFormat="1" ht="47.25" x14ac:dyDescent="0.25">
      <c r="A6359" s="358"/>
      <c r="B6359" s="361"/>
      <c r="C6359" s="364" t="s">
        <v>118</v>
      </c>
      <c r="D6359" s="156" t="s">
        <v>47</v>
      </c>
      <c r="E6359" s="156" t="s">
        <v>28</v>
      </c>
      <c r="F6359" s="156" t="s">
        <v>239</v>
      </c>
      <c r="G6359" s="238">
        <f>MROUND(H6359*L6359*I6359/K6359,0.000000000001)</f>
        <v>3.8180451099999998E-4</v>
      </c>
      <c r="H6359" s="158">
        <f>H5539</f>
        <v>20</v>
      </c>
      <c r="I6359" s="159">
        <f>I6358</f>
        <v>1.2695E-2</v>
      </c>
      <c r="J6359" s="160"/>
      <c r="K6359" s="161">
        <f>K6358</f>
        <v>665</v>
      </c>
      <c r="L6359" s="250">
        <v>1</v>
      </c>
      <c r="M6359" s="163" t="str">
        <f>CONCATENATE(H6359," ",F6359,"*",I6359,"/",K6359,"чел")</f>
        <v>20 манометров (потребность учреждений) *0,012695/665чел</v>
      </c>
      <c r="N6359" s="278">
        <f>N5539</f>
        <v>679.9</v>
      </c>
      <c r="O6359" s="280">
        <f t="shared" si="1671"/>
        <v>0.25958900000000001</v>
      </c>
      <c r="P6359" s="166"/>
      <c r="Q6359" s="166">
        <f>O6359*K6359</f>
        <v>172.62668500000001</v>
      </c>
      <c r="R6359" s="71"/>
    </row>
    <row r="6360" spans="1:41" s="61" customFormat="1" ht="47.25" x14ac:dyDescent="0.25">
      <c r="A6360" s="358"/>
      <c r="B6360" s="361"/>
      <c r="C6360" s="364"/>
      <c r="D6360" s="255" t="s">
        <v>113</v>
      </c>
      <c r="E6360" s="156" t="s">
        <v>28</v>
      </c>
      <c r="F6360" s="156" t="s">
        <v>240</v>
      </c>
      <c r="G6360" s="238">
        <f>MROUND(H6360*L6360*I6360/K6360,0.000000000001)</f>
        <v>1.909022556E-3</v>
      </c>
      <c r="H6360" s="158">
        <v>100</v>
      </c>
      <c r="I6360" s="159">
        <f>I6359</f>
        <v>1.2695E-2</v>
      </c>
      <c r="J6360" s="160"/>
      <c r="K6360" s="161">
        <f>K6359</f>
        <v>665</v>
      </c>
      <c r="L6360" s="250">
        <v>1</v>
      </c>
      <c r="M6360" s="163" t="str">
        <f>CONCATENATE(H6360," ",F6360,"*",I6360,"/",K6360,"чел")</f>
        <v>100 светильников (потребность учреждений)*0,012695/665чел</v>
      </c>
      <c r="N6360" s="278">
        <f>N5540</f>
        <v>111.1635</v>
      </c>
      <c r="O6360" s="280">
        <f t="shared" si="1671"/>
        <v>0.21221399999999999</v>
      </c>
      <c r="P6360" s="166"/>
      <c r="Q6360" s="166">
        <f>O6360*K6360</f>
        <v>141.12231</v>
      </c>
      <c r="R6360" s="71"/>
    </row>
    <row r="6361" spans="1:41" s="109" customFormat="1" x14ac:dyDescent="0.25">
      <c r="A6361" s="359"/>
      <c r="B6361" s="362"/>
      <c r="C6361" s="218" t="s">
        <v>301</v>
      </c>
      <c r="D6361" s="256"/>
      <c r="E6361" s="240"/>
      <c r="F6361" s="240"/>
      <c r="G6361" s="227"/>
      <c r="H6361" s="241"/>
      <c r="I6361" s="206"/>
      <c r="J6361" s="228"/>
      <c r="K6361" s="207"/>
      <c r="L6361" s="257"/>
      <c r="M6361" s="209"/>
      <c r="N6361" s="281"/>
      <c r="O6361" s="279">
        <f>O6359+O6360</f>
        <v>0.47180299999999997</v>
      </c>
      <c r="P6361" s="267"/>
      <c r="Q6361" s="166"/>
      <c r="R6361" s="71"/>
      <c r="S6361" s="62"/>
      <c r="T6361" s="62"/>
      <c r="U6361" s="62"/>
      <c r="V6361" s="62"/>
      <c r="W6361" s="62"/>
      <c r="X6361" s="62"/>
      <c r="Y6361" s="62"/>
      <c r="Z6361" s="62"/>
      <c r="AA6361" s="62"/>
      <c r="AB6361" s="62"/>
      <c r="AC6361" s="62"/>
      <c r="AD6361" s="62"/>
      <c r="AE6361" s="62"/>
      <c r="AF6361" s="62"/>
      <c r="AG6361" s="62"/>
      <c r="AH6361" s="62"/>
      <c r="AI6361" s="62"/>
      <c r="AJ6361" s="62"/>
      <c r="AK6361" s="62"/>
      <c r="AL6361" s="62"/>
      <c r="AM6361" s="62"/>
      <c r="AN6361" s="62"/>
      <c r="AO6361" s="62"/>
    </row>
    <row r="6362" spans="1:41" s="61" customFormat="1" x14ac:dyDescent="0.25">
      <c r="A6362" s="357" t="str">
        <f>школы!$B$25</f>
        <v>Реализация дополнительных профессиональных программ повышения квалификации</v>
      </c>
      <c r="B6362" s="360" t="str">
        <f>школы!$A$25</f>
        <v>804200О.99.0.ББ60АБ20001</v>
      </c>
      <c r="C6362" s="194"/>
      <c r="D6362" s="363" t="s">
        <v>15</v>
      </c>
      <c r="E6362" s="363"/>
      <c r="F6362" s="363"/>
      <c r="G6362" s="363"/>
      <c r="H6362" s="195"/>
      <c r="I6362" s="195"/>
      <c r="J6362" s="195"/>
      <c r="K6362" s="195"/>
      <c r="L6362" s="196"/>
      <c r="M6362" s="197"/>
      <c r="N6362" s="278"/>
      <c r="O6362" s="279">
        <f>O6363+O6368+O6371</f>
        <v>10827.058136223002</v>
      </c>
      <c r="P6362" s="166"/>
      <c r="Q6362" s="166">
        <f t="shared" ref="Q6362:Q6364" si="1672">O6362*K6362</f>
        <v>0</v>
      </c>
      <c r="R6362" s="71"/>
    </row>
    <row r="6363" spans="1:41" s="61" customFormat="1" x14ac:dyDescent="0.25">
      <c r="A6363" s="358"/>
      <c r="B6363" s="361"/>
      <c r="C6363" s="194"/>
      <c r="D6363" s="350" t="s">
        <v>62</v>
      </c>
      <c r="E6363" s="350"/>
      <c r="F6363" s="350"/>
      <c r="G6363" s="350"/>
      <c r="H6363" s="195"/>
      <c r="I6363" s="195"/>
      <c r="J6363" s="195"/>
      <c r="K6363" s="195"/>
      <c r="L6363" s="196"/>
      <c r="M6363" s="197"/>
      <c r="N6363" s="278"/>
      <c r="O6363" s="279">
        <f>O6365+O6367</f>
        <v>10689.348975223002</v>
      </c>
      <c r="P6363" s="166"/>
      <c r="Q6363" s="166">
        <f t="shared" si="1672"/>
        <v>0</v>
      </c>
      <c r="R6363" s="71"/>
    </row>
    <row r="6364" spans="1:41" s="61" customFormat="1" x14ac:dyDescent="0.25">
      <c r="A6364" s="358"/>
      <c r="B6364" s="361"/>
      <c r="C6364" s="194">
        <v>211</v>
      </c>
      <c r="D6364" s="194" t="s">
        <v>86</v>
      </c>
      <c r="E6364" s="199" t="s">
        <v>95</v>
      </c>
      <c r="F6364" s="199" t="s">
        <v>95</v>
      </c>
      <c r="G6364" s="275">
        <f>MROUND(H6364*L6364*I6364/K6364,0.00000000001)</f>
        <v>0.46890683635999997</v>
      </c>
      <c r="H6364" s="201">
        <f>Лист1!K144</f>
        <v>49</v>
      </c>
      <c r="I6364" s="159">
        <f>школы!$K$25</f>
        <v>0.78948599999999991</v>
      </c>
      <c r="J6364" s="159"/>
      <c r="K6364" s="161">
        <f>школы!$G$25</f>
        <v>990</v>
      </c>
      <c r="L6364" s="202">
        <v>12</v>
      </c>
      <c r="M6364" s="163" t="str">
        <f>CONCATENATE(H6364," ",F6364," ","в мес.","*",L6364,"мес.","*",I6364,"/",K6364,"чел/час")</f>
        <v>49 шт.ед в мес.*12мес.*0,789486/990чел/час</v>
      </c>
      <c r="N6364" s="278">
        <f>Лист1!M144</f>
        <v>17508.692159863946</v>
      </c>
      <c r="O6364" s="280">
        <f>MROUND(N6364*G6364,0.000000001)</f>
        <v>8209.9454494830006</v>
      </c>
      <c r="P6364" s="166"/>
      <c r="Q6364" s="166">
        <f t="shared" si="1672"/>
        <v>8127845.9949881705</v>
      </c>
      <c r="R6364" s="71">
        <f>Q6364-Лист1!F3392</f>
        <v>8127845.9949881705</v>
      </c>
      <c r="T6364" s="71"/>
    </row>
    <row r="6365" spans="1:41" s="62" customFormat="1" x14ac:dyDescent="0.25">
      <c r="A6365" s="358"/>
      <c r="B6365" s="361"/>
      <c r="C6365" s="203" t="s">
        <v>288</v>
      </c>
      <c r="D6365" s="203"/>
      <c r="E6365" s="204"/>
      <c r="F6365" s="204"/>
      <c r="G6365" s="205"/>
      <c r="H6365" s="206"/>
      <c r="I6365" s="206"/>
      <c r="J6365" s="206"/>
      <c r="K6365" s="207"/>
      <c r="L6365" s="208"/>
      <c r="M6365" s="209"/>
      <c r="N6365" s="281"/>
      <c r="O6365" s="279">
        <f>O6364</f>
        <v>8209.9454494830006</v>
      </c>
      <c r="P6365" s="267"/>
      <c r="Q6365" s="166"/>
      <c r="R6365" s="71"/>
    </row>
    <row r="6366" spans="1:41" s="61" customFormat="1" x14ac:dyDescent="0.25">
      <c r="A6366" s="358"/>
      <c r="B6366" s="361"/>
      <c r="C6366" s="194">
        <v>213</v>
      </c>
      <c r="D6366" s="194" t="s">
        <v>87</v>
      </c>
      <c r="E6366" s="194" t="s">
        <v>88</v>
      </c>
      <c r="F6366" s="194"/>
      <c r="G6366" s="211">
        <v>30.2</v>
      </c>
      <c r="H6366" s="159"/>
      <c r="I6366" s="159">
        <f>I6364</f>
        <v>0.78948599999999991</v>
      </c>
      <c r="J6366" s="159"/>
      <c r="K6366" s="161">
        <f>K6364</f>
        <v>990</v>
      </c>
      <c r="L6366" s="202"/>
      <c r="M6366" s="212"/>
      <c r="N6366" s="278"/>
      <c r="O6366" s="280">
        <f>MROUND(O6364*0.302,0.00000001)</f>
        <v>2479.4035257400001</v>
      </c>
      <c r="P6366" s="166"/>
      <c r="Q6366" s="166">
        <f t="shared" ref="Q6366" si="1673">O6366*K6366</f>
        <v>2454609.4904825999</v>
      </c>
      <c r="R6366" s="71"/>
      <c r="T6366" s="71"/>
    </row>
    <row r="6367" spans="1:41" s="62" customFormat="1" x14ac:dyDescent="0.25">
      <c r="A6367" s="358"/>
      <c r="B6367" s="361"/>
      <c r="C6367" s="203" t="s">
        <v>289</v>
      </c>
      <c r="D6367" s="203"/>
      <c r="E6367" s="203"/>
      <c r="F6367" s="203"/>
      <c r="G6367" s="213"/>
      <c r="H6367" s="214"/>
      <c r="I6367" s="206"/>
      <c r="J6367" s="214"/>
      <c r="K6367" s="207"/>
      <c r="L6367" s="215"/>
      <c r="M6367" s="216"/>
      <c r="N6367" s="281"/>
      <c r="O6367" s="279">
        <f>O6366</f>
        <v>2479.4035257400001</v>
      </c>
      <c r="P6367" s="267"/>
      <c r="Q6367" s="166"/>
      <c r="R6367" s="71"/>
    </row>
    <row r="6368" spans="1:41" s="61" customFormat="1" x14ac:dyDescent="0.25">
      <c r="A6368" s="358"/>
      <c r="B6368" s="361"/>
      <c r="C6368" s="194"/>
      <c r="D6368" s="356" t="s">
        <v>63</v>
      </c>
      <c r="E6368" s="356"/>
      <c r="F6368" s="356"/>
      <c r="G6368" s="356"/>
      <c r="H6368" s="195"/>
      <c r="I6368" s="159"/>
      <c r="J6368" s="195"/>
      <c r="K6368" s="161"/>
      <c r="L6368" s="196"/>
      <c r="M6368" s="197"/>
      <c r="N6368" s="278"/>
      <c r="O6368" s="279">
        <f>O6369</f>
        <v>137.70916099999999</v>
      </c>
      <c r="P6368" s="166"/>
      <c r="Q6368" s="166">
        <f t="shared" ref="Q6368:Q6369" si="1674">O6368*K6368</f>
        <v>0</v>
      </c>
      <c r="R6368" s="71"/>
    </row>
    <row r="6369" spans="1:20" s="61" customFormat="1" x14ac:dyDescent="0.25">
      <c r="A6369" s="358"/>
      <c r="B6369" s="361"/>
      <c r="C6369" s="194">
        <v>346</v>
      </c>
      <c r="D6369" s="194" t="s">
        <v>259</v>
      </c>
      <c r="E6369" s="194" t="s">
        <v>260</v>
      </c>
      <c r="F6369" s="194" t="s">
        <v>261</v>
      </c>
      <c r="G6369" s="238">
        <f>MROUND(H6369*L6369*I6369/K6369,0.000001)</f>
        <v>0.195378</v>
      </c>
      <c r="H6369" s="283">
        <f>Лист1!K265</f>
        <v>245</v>
      </c>
      <c r="I6369" s="159">
        <f>I6366</f>
        <v>0.78948599999999991</v>
      </c>
      <c r="J6369" s="195"/>
      <c r="K6369" s="161">
        <f>K6366</f>
        <v>990</v>
      </c>
      <c r="L6369" s="196">
        <v>1</v>
      </c>
      <c r="M6369" s="163" t="str">
        <f>CONCATENATE(H6369," ",F6369,"*",I6369,"/",K6369,"чел/час")</f>
        <v>245 упаковок*0,789486/990чел/час</v>
      </c>
      <c r="N6369" s="278">
        <f>Лист1!M265</f>
        <v>704.83453061224486</v>
      </c>
      <c r="O6369" s="280">
        <f>MROUND(N6369*G6369,0.000001)</f>
        <v>137.70916099999999</v>
      </c>
      <c r="P6369" s="166"/>
      <c r="Q6369" s="166">
        <f t="shared" si="1674"/>
        <v>136332.06938999999</v>
      </c>
      <c r="R6369" s="71"/>
      <c r="S6369" s="71"/>
    </row>
    <row r="6370" spans="1:20" s="62" customFormat="1" x14ac:dyDescent="0.25">
      <c r="A6370" s="358"/>
      <c r="B6370" s="361"/>
      <c r="C6370" s="203" t="s">
        <v>356</v>
      </c>
      <c r="D6370" s="203"/>
      <c r="E6370" s="203"/>
      <c r="F6370" s="203"/>
      <c r="G6370" s="227"/>
      <c r="H6370" s="214"/>
      <c r="I6370" s="206"/>
      <c r="J6370" s="214"/>
      <c r="K6370" s="207"/>
      <c r="L6370" s="215"/>
      <c r="M6370" s="209"/>
      <c r="N6370" s="281"/>
      <c r="O6370" s="279">
        <f>O6369</f>
        <v>137.70916099999999</v>
      </c>
      <c r="P6370" s="267"/>
      <c r="Q6370" s="166"/>
      <c r="R6370" s="71"/>
    </row>
    <row r="6371" spans="1:20" s="61" customFormat="1" x14ac:dyDescent="0.25">
      <c r="A6371" s="358"/>
      <c r="B6371" s="361"/>
      <c r="C6371" s="194"/>
      <c r="D6371" s="350" t="s">
        <v>64</v>
      </c>
      <c r="E6371" s="350"/>
      <c r="F6371" s="350"/>
      <c r="G6371" s="350"/>
      <c r="H6371" s="195"/>
      <c r="I6371" s="159"/>
      <c r="J6371" s="195"/>
      <c r="K6371" s="161"/>
      <c r="L6371" s="196"/>
      <c r="M6371" s="197"/>
      <c r="N6371" s="278"/>
      <c r="O6371" s="280"/>
      <c r="P6371" s="166"/>
      <c r="Q6371" s="166">
        <f t="shared" ref="Q6371:Q6381" si="1675">O6371*K6371</f>
        <v>0</v>
      </c>
      <c r="R6371" s="71"/>
    </row>
    <row r="6372" spans="1:20" s="61" customFormat="1" x14ac:dyDescent="0.25">
      <c r="A6372" s="358"/>
      <c r="B6372" s="361"/>
      <c r="C6372" s="194"/>
      <c r="D6372" s="194"/>
      <c r="E6372" s="194"/>
      <c r="F6372" s="194"/>
      <c r="G6372" s="217"/>
      <c r="H6372" s="195"/>
      <c r="I6372" s="159"/>
      <c r="J6372" s="195"/>
      <c r="K6372" s="161"/>
      <c r="L6372" s="196"/>
      <c r="M6372" s="197"/>
      <c r="N6372" s="278"/>
      <c r="O6372" s="280"/>
      <c r="P6372" s="166"/>
      <c r="Q6372" s="166">
        <f t="shared" si="1675"/>
        <v>0</v>
      </c>
      <c r="R6372" s="71"/>
    </row>
    <row r="6373" spans="1:20" s="61" customFormat="1" x14ac:dyDescent="0.25">
      <c r="A6373" s="358"/>
      <c r="B6373" s="361"/>
      <c r="C6373" s="194"/>
      <c r="D6373" s="355" t="s">
        <v>5</v>
      </c>
      <c r="E6373" s="355"/>
      <c r="F6373" s="355"/>
      <c r="G6373" s="355"/>
      <c r="H6373" s="195"/>
      <c r="I6373" s="159"/>
      <c r="J6373" s="195"/>
      <c r="K6373" s="161"/>
      <c r="L6373" s="196"/>
      <c r="M6373" s="197"/>
      <c r="N6373" s="278"/>
      <c r="O6373" s="279">
        <f>O6374+O6383+O6394+O6396+O6407</f>
        <v>1664.3053030000001</v>
      </c>
      <c r="P6373" s="166"/>
      <c r="Q6373" s="166">
        <f t="shared" si="1675"/>
        <v>0</v>
      </c>
      <c r="R6373" s="71"/>
    </row>
    <row r="6374" spans="1:20" s="61" customFormat="1" x14ac:dyDescent="0.25">
      <c r="A6374" s="358"/>
      <c r="B6374" s="361"/>
      <c r="C6374" s="221" t="s">
        <v>70</v>
      </c>
      <c r="D6374" s="355" t="s">
        <v>6</v>
      </c>
      <c r="E6374" s="355"/>
      <c r="F6374" s="355"/>
      <c r="G6374" s="355"/>
      <c r="H6374" s="189"/>
      <c r="I6374" s="159"/>
      <c r="J6374" s="189"/>
      <c r="K6374" s="161"/>
      <c r="L6374" s="190"/>
      <c r="M6374" s="197"/>
      <c r="N6374" s="278"/>
      <c r="O6374" s="279">
        <f>O6375+O6376+O6377+O6378+O6379+O6380+O6381</f>
        <v>630.72110099999998</v>
      </c>
      <c r="P6374" s="166"/>
      <c r="Q6374" s="166">
        <f t="shared" si="1675"/>
        <v>0</v>
      </c>
      <c r="R6374" s="71"/>
    </row>
    <row r="6375" spans="1:20" s="61" customFormat="1" ht="31.5" x14ac:dyDescent="0.25">
      <c r="A6375" s="358"/>
      <c r="B6375" s="361"/>
      <c r="C6375" s="221" t="s">
        <v>72</v>
      </c>
      <c r="D6375" s="222" t="s">
        <v>7</v>
      </c>
      <c r="E6375" s="223" t="s">
        <v>8</v>
      </c>
      <c r="F6375" s="223" t="s">
        <v>8</v>
      </c>
      <c r="G6375" s="238">
        <f>MROUND(H6375*L6375*I6375/K6375,0.00000001)</f>
        <v>9.8647688999999996</v>
      </c>
      <c r="H6375" s="160">
        <f>Лист1!K152</f>
        <v>12370.227223490891</v>
      </c>
      <c r="I6375" s="159">
        <f>I6369</f>
        <v>0.78948599999999991</v>
      </c>
      <c r="J6375" s="160"/>
      <c r="K6375" s="161">
        <f>K6369</f>
        <v>990</v>
      </c>
      <c r="L6375" s="250">
        <v>1</v>
      </c>
      <c r="M6375" s="163" t="str">
        <f>CONCATENATE(H6375," ",F6375,"(лимиты выделенные УЖКХ) ","*",I6375,"/",K6375,"чел/час")</f>
        <v>12370,2272234909 кВт час.(лимиты выделенные УЖКХ) *0,789486/990чел/час</v>
      </c>
      <c r="N6375" s="278">
        <f>Лист1!M152</f>
        <v>10.942938036169672</v>
      </c>
      <c r="O6375" s="280">
        <f t="shared" ref="O6375:O6381" si="1676">MROUND(N6375*G6375,0.000001)</f>
        <v>107.94955499999999</v>
      </c>
      <c r="P6375" s="166"/>
      <c r="Q6375" s="166">
        <f t="shared" si="1675"/>
        <v>106870.05944999999</v>
      </c>
      <c r="R6375" s="71"/>
      <c r="T6375" s="71"/>
    </row>
    <row r="6376" spans="1:20" s="61" customFormat="1" ht="31.5" x14ac:dyDescent="0.25">
      <c r="A6376" s="358"/>
      <c r="B6376" s="361"/>
      <c r="C6376" s="221" t="s">
        <v>73</v>
      </c>
      <c r="D6376" s="222" t="s">
        <v>9</v>
      </c>
      <c r="E6376" s="223" t="s">
        <v>10</v>
      </c>
      <c r="F6376" s="223" t="s">
        <v>10</v>
      </c>
      <c r="G6376" s="238">
        <f>MROUND(H6376*L6376*I6376/K6376,0.00000001)</f>
        <v>0.1355683</v>
      </c>
      <c r="H6376" s="160">
        <f>Лист1!K153</f>
        <v>170</v>
      </c>
      <c r="I6376" s="159">
        <f t="shared" ref="I6376:I6381" si="1677">I6375</f>
        <v>0.78948599999999991</v>
      </c>
      <c r="J6376" s="160"/>
      <c r="K6376" s="161">
        <f t="shared" ref="K6376:K6381" si="1678">K6375</f>
        <v>990</v>
      </c>
      <c r="L6376" s="250">
        <v>1</v>
      </c>
      <c r="M6376" s="163" t="str">
        <f>CONCATENATE(H6376," ",F6376,"(лимиты выделенные УЖКХ) ","*",I6376,"/",K6376,"чел/час")</f>
        <v>170 Гкал(лимиты выделенные УЖКХ) *0,789486/990чел/час</v>
      </c>
      <c r="N6376" s="278">
        <f>Лист1!M153</f>
        <v>2976.2517647058821</v>
      </c>
      <c r="O6376" s="280">
        <f t="shared" si="1676"/>
        <v>403.48539199999999</v>
      </c>
      <c r="P6376" s="166"/>
      <c r="Q6376" s="166">
        <f t="shared" si="1675"/>
        <v>399450.53807999997</v>
      </c>
      <c r="R6376" s="71"/>
      <c r="T6376" s="71"/>
    </row>
    <row r="6377" spans="1:20" s="61" customFormat="1" ht="31.5" x14ac:dyDescent="0.25">
      <c r="A6377" s="358"/>
      <c r="B6377" s="361"/>
      <c r="C6377" s="364" t="s">
        <v>74</v>
      </c>
      <c r="D6377" s="222" t="s">
        <v>12</v>
      </c>
      <c r="E6377" s="222" t="s">
        <v>11</v>
      </c>
      <c r="F6377" s="222" t="s">
        <v>11</v>
      </c>
      <c r="G6377" s="238">
        <f>MROUND(H6377*L6377*I6377/K6377,0.000001)</f>
        <v>0.28255599999999997</v>
      </c>
      <c r="H6377" s="224">
        <f>Лист1!K154</f>
        <v>354.32</v>
      </c>
      <c r="I6377" s="159">
        <f t="shared" si="1677"/>
        <v>0.78948599999999991</v>
      </c>
      <c r="J6377" s="160"/>
      <c r="K6377" s="161">
        <f t="shared" si="1678"/>
        <v>990</v>
      </c>
      <c r="L6377" s="250">
        <v>1</v>
      </c>
      <c r="M6377" s="163" t="str">
        <f>CONCATENATE(H6377," ",F6377,"(лимиты выделенные УЖКХ) ","*",I6377,"/",K6377,"чел/час")</f>
        <v>354,32 м3(лимиты выделенные УЖКХ) *0,789486/990чел/час</v>
      </c>
      <c r="N6377" s="278">
        <f>Лист1!M154</f>
        <v>54.214180119665841</v>
      </c>
      <c r="O6377" s="280">
        <f t="shared" si="1676"/>
        <v>15.318541999999999</v>
      </c>
      <c r="P6377" s="166"/>
      <c r="Q6377" s="166">
        <f t="shared" si="1675"/>
        <v>15165.35658</v>
      </c>
      <c r="R6377" s="71"/>
    </row>
    <row r="6378" spans="1:20" s="61" customFormat="1" ht="47.25" x14ac:dyDescent="0.25">
      <c r="A6378" s="358"/>
      <c r="B6378" s="361"/>
      <c r="C6378" s="364"/>
      <c r="D6378" s="222" t="s">
        <v>17</v>
      </c>
      <c r="E6378" s="222" t="s">
        <v>11</v>
      </c>
      <c r="F6378" s="222" t="s">
        <v>11</v>
      </c>
      <c r="G6378" s="238">
        <f>MROUND(H6378*L6378*I6378/K6378,0.00000001)</f>
        <v>0.28255624000000001</v>
      </c>
      <c r="H6378" s="160">
        <f>Лист1!K155</f>
        <v>354.32</v>
      </c>
      <c r="I6378" s="159">
        <f t="shared" si="1677"/>
        <v>0.78948599999999991</v>
      </c>
      <c r="J6378" s="160"/>
      <c r="K6378" s="161">
        <f t="shared" si="1678"/>
        <v>990</v>
      </c>
      <c r="L6378" s="162">
        <f>$L$25</f>
        <v>1</v>
      </c>
      <c r="M6378" s="163" t="str">
        <f>CONCATENATE(H6378," ",F6378,"(лимиты выделенные УЖКХ) ","*",I6378,"/",K6378,"чел/час")</f>
        <v>354,32 м3(лимиты выделенные УЖКХ) *0,789486/990чел/час</v>
      </c>
      <c r="N6378" s="164">
        <f>Лист1!M155</f>
        <v>82.384170780821918</v>
      </c>
      <c r="O6378" s="280">
        <f t="shared" si="1676"/>
        <v>23.278161999999998</v>
      </c>
      <c r="P6378" s="166"/>
      <c r="Q6378" s="166">
        <f t="shared" si="1675"/>
        <v>23045.380379999999</v>
      </c>
      <c r="R6378" s="71"/>
      <c r="S6378" s="71"/>
    </row>
    <row r="6379" spans="1:20" s="61" customFormat="1" ht="31.5" x14ac:dyDescent="0.25">
      <c r="A6379" s="358"/>
      <c r="B6379" s="361"/>
      <c r="C6379" s="364"/>
      <c r="D6379" s="222" t="s">
        <v>13</v>
      </c>
      <c r="E6379" s="222" t="s">
        <v>11</v>
      </c>
      <c r="F6379" s="222" t="s">
        <v>11</v>
      </c>
      <c r="G6379" s="238">
        <f>MROUND(H6379*L6379*I6379/K6379,0.00000001)</f>
        <v>0.28255624000000001</v>
      </c>
      <c r="H6379" s="160">
        <f>Лист1!K156</f>
        <v>354.32</v>
      </c>
      <c r="I6379" s="159">
        <f t="shared" si="1677"/>
        <v>0.78948599999999991</v>
      </c>
      <c r="J6379" s="160"/>
      <c r="K6379" s="161">
        <f t="shared" si="1678"/>
        <v>990</v>
      </c>
      <c r="L6379" s="162">
        <v>1</v>
      </c>
      <c r="M6379" s="163" t="str">
        <f>CONCATENATE(H6379," ",F6379,"(лимиты выделенные УЖКХ) ","*",I6379,"/",K6379,"чел/час")</f>
        <v>354,32 м3(лимиты выделенные УЖКХ) *0,789486/990чел/час</v>
      </c>
      <c r="N6379" s="278">
        <f>Лист1!M156</f>
        <v>100.60429077934968</v>
      </c>
      <c r="O6379" s="280">
        <f t="shared" si="1676"/>
        <v>28.426369999999999</v>
      </c>
      <c r="P6379" s="166"/>
      <c r="Q6379" s="166">
        <f t="shared" si="1675"/>
        <v>28142.106299999999</v>
      </c>
      <c r="R6379" s="71"/>
      <c r="T6379" s="71"/>
    </row>
    <row r="6380" spans="1:20" s="61" customFormat="1" x14ac:dyDescent="0.25">
      <c r="A6380" s="358"/>
      <c r="B6380" s="361"/>
      <c r="C6380" s="364" t="s">
        <v>216</v>
      </c>
      <c r="D6380" s="222" t="s">
        <v>23</v>
      </c>
      <c r="E6380" s="222" t="s">
        <v>11</v>
      </c>
      <c r="F6380" s="222" t="s">
        <v>11</v>
      </c>
      <c r="G6380" s="238">
        <f>MROUND(H6380*L6380*I6380/K6380,0.00000001)</f>
        <v>5.0527099999999998E-2</v>
      </c>
      <c r="H6380" s="160">
        <f>Лист1!K158</f>
        <v>63.36</v>
      </c>
      <c r="I6380" s="159">
        <f t="shared" si="1677"/>
        <v>0.78948599999999991</v>
      </c>
      <c r="J6380" s="160"/>
      <c r="K6380" s="161">
        <f t="shared" si="1678"/>
        <v>990</v>
      </c>
      <c r="L6380" s="162">
        <v>1</v>
      </c>
      <c r="M6380" s="163" t="str">
        <f>CONCATENATE(H6380," ",F6380," ","*",I6380,"/",K6380,"чел/час")</f>
        <v>63,36 м3 *0,789486/990чел/час</v>
      </c>
      <c r="N6380" s="164">
        <f>Лист1!M158</f>
        <v>687.25773358585866</v>
      </c>
      <c r="O6380" s="280">
        <f t="shared" si="1676"/>
        <v>34.725139999999996</v>
      </c>
      <c r="P6380" s="166"/>
      <c r="Q6380" s="166">
        <f t="shared" si="1675"/>
        <v>34377.888599999998</v>
      </c>
      <c r="R6380" s="71"/>
      <c r="S6380" s="71"/>
    </row>
    <row r="6381" spans="1:20" s="61" customFormat="1" ht="63" x14ac:dyDescent="0.25">
      <c r="A6381" s="358"/>
      <c r="B6381" s="361"/>
      <c r="C6381" s="364"/>
      <c r="D6381" s="222" t="s">
        <v>24</v>
      </c>
      <c r="E6381" s="222" t="s">
        <v>25</v>
      </c>
      <c r="F6381" s="222" t="s">
        <v>248</v>
      </c>
      <c r="G6381" s="238">
        <f>MROUND(H6381*L6381*I6381/K6381,0.00000001)</f>
        <v>3.1898400000000002E-3</v>
      </c>
      <c r="H6381" s="160">
        <f>Лист1!K159</f>
        <v>4</v>
      </c>
      <c r="I6381" s="159">
        <f t="shared" si="1677"/>
        <v>0.78948599999999991</v>
      </c>
      <c r="J6381" s="160"/>
      <c r="K6381" s="161">
        <f t="shared" si="1678"/>
        <v>990</v>
      </c>
      <c r="L6381" s="250">
        <v>1</v>
      </c>
      <c r="M6381" s="163" t="str">
        <f>CONCATENATE(H6381," ",F6381,"(потребность из расчета 4 контейнера для уборки территории весной и осенью на 1 учреждение)","*",I6381,"/",K6381,"чел/час")</f>
        <v>4 контейнеров(потребность из расчета 4 контейнера для уборки территории весной и осенью на 1 учреждение)*0,789486/990чел/час</v>
      </c>
      <c r="N6381" s="278">
        <f>Лист1!M159</f>
        <v>5498.0625</v>
      </c>
      <c r="O6381" s="280">
        <f t="shared" si="1676"/>
        <v>17.537939999999999</v>
      </c>
      <c r="P6381" s="166"/>
      <c r="Q6381" s="166">
        <f t="shared" si="1675"/>
        <v>17362.560600000001</v>
      </c>
      <c r="R6381" s="71"/>
      <c r="T6381" s="71"/>
    </row>
    <row r="6382" spans="1:20" s="62" customFormat="1" x14ac:dyDescent="0.25">
      <c r="A6382" s="358"/>
      <c r="B6382" s="361"/>
      <c r="C6382" s="218" t="s">
        <v>290</v>
      </c>
      <c r="D6382" s="226"/>
      <c r="E6382" s="226"/>
      <c r="F6382" s="226"/>
      <c r="G6382" s="227"/>
      <c r="H6382" s="228"/>
      <c r="I6382" s="206"/>
      <c r="J6382" s="228"/>
      <c r="K6382" s="207"/>
      <c r="L6382" s="257"/>
      <c r="M6382" s="209"/>
      <c r="N6382" s="281"/>
      <c r="O6382" s="279">
        <f>SUM(O6375:O6381)</f>
        <v>630.72110099999998</v>
      </c>
      <c r="P6382" s="267"/>
      <c r="Q6382" s="166"/>
      <c r="R6382" s="71"/>
    </row>
    <row r="6383" spans="1:20" s="61" customFormat="1" x14ac:dyDescent="0.25">
      <c r="A6383" s="358"/>
      <c r="B6383" s="361"/>
      <c r="C6383" s="221"/>
      <c r="D6383" s="356" t="s">
        <v>14</v>
      </c>
      <c r="E6383" s="356"/>
      <c r="F6383" s="356"/>
      <c r="G6383" s="356"/>
      <c r="H6383" s="188"/>
      <c r="I6383" s="159"/>
      <c r="J6383" s="188"/>
      <c r="K6383" s="161"/>
      <c r="L6383" s="250"/>
      <c r="M6383" s="230"/>
      <c r="N6383" s="278"/>
      <c r="O6383" s="279">
        <f>O6387+O6391+O6393</f>
        <v>0</v>
      </c>
      <c r="P6383" s="166"/>
      <c r="Q6383" s="166">
        <f t="shared" ref="Q6383" si="1679">O6383*K6383</f>
        <v>0</v>
      </c>
      <c r="R6383" s="71"/>
    </row>
    <row r="6384" spans="1:20" s="61" customFormat="1" x14ac:dyDescent="0.25">
      <c r="A6384" s="358"/>
      <c r="B6384" s="361"/>
      <c r="C6384" s="365" t="s">
        <v>379</v>
      </c>
      <c r="D6384" s="231" t="s">
        <v>49</v>
      </c>
      <c r="E6384" s="231" t="s">
        <v>22</v>
      </c>
      <c r="F6384" s="231" t="s">
        <v>22</v>
      </c>
      <c r="G6384" s="238">
        <f>MROUND(H6384*L6384*I6384/K6384,0.00000001)</f>
        <v>0</v>
      </c>
      <c r="H6384" s="160"/>
      <c r="I6384" s="159">
        <f>I6379</f>
        <v>0.78948599999999991</v>
      </c>
      <c r="J6384" s="160"/>
      <c r="K6384" s="161">
        <f>K6379</f>
        <v>990</v>
      </c>
      <c r="L6384" s="250"/>
      <c r="M6384" s="163"/>
      <c r="N6384" s="278"/>
      <c r="O6384" s="280">
        <f>MROUND(N6384*G6384,0.000001)</f>
        <v>0</v>
      </c>
      <c r="P6384" s="166"/>
      <c r="Q6384" s="166">
        <f>O6384*K6384</f>
        <v>0</v>
      </c>
      <c r="R6384" s="71"/>
      <c r="T6384" s="71"/>
    </row>
    <row r="6385" spans="1:20" s="61" customFormat="1" x14ac:dyDescent="0.25">
      <c r="A6385" s="358"/>
      <c r="B6385" s="361"/>
      <c r="C6385" s="366"/>
      <c r="D6385" s="231" t="s">
        <v>49</v>
      </c>
      <c r="E6385" s="231" t="s">
        <v>28</v>
      </c>
      <c r="F6385" s="231" t="s">
        <v>28</v>
      </c>
      <c r="G6385" s="238">
        <f>MROUND(H6385*L6385*I6385/K6385,0.0000000001)</f>
        <v>0</v>
      </c>
      <c r="H6385" s="160"/>
      <c r="I6385" s="159">
        <f>I6379</f>
        <v>0.78948599999999991</v>
      </c>
      <c r="J6385" s="160"/>
      <c r="K6385" s="161">
        <f>K6379</f>
        <v>990</v>
      </c>
      <c r="L6385" s="250">
        <v>1</v>
      </c>
      <c r="M6385" s="163"/>
      <c r="N6385" s="278"/>
      <c r="O6385" s="280">
        <f>MROUND(N6385*G6385,0.000001)</f>
        <v>0</v>
      </c>
      <c r="P6385" s="166"/>
      <c r="Q6385" s="166">
        <f>O6385*K6385</f>
        <v>0</v>
      </c>
      <c r="R6385" s="71"/>
      <c r="T6385" s="71"/>
    </row>
    <row r="6386" spans="1:20" s="61" customFormat="1" x14ac:dyDescent="0.25">
      <c r="A6386" s="358"/>
      <c r="B6386" s="361"/>
      <c r="C6386" s="367"/>
      <c r="D6386" s="231" t="s">
        <v>49</v>
      </c>
      <c r="E6386" s="231" t="s">
        <v>101</v>
      </c>
      <c r="F6386" s="231" t="s">
        <v>101</v>
      </c>
      <c r="G6386" s="238">
        <f>MROUND(H6386*L6386*I6386/K6386,0.0000000001)</f>
        <v>0</v>
      </c>
      <c r="H6386" s="160"/>
      <c r="I6386" s="159">
        <f>I6384</f>
        <v>0.78948599999999991</v>
      </c>
      <c r="J6386" s="160"/>
      <c r="K6386" s="161">
        <f>K6384</f>
        <v>990</v>
      </c>
      <c r="L6386" s="250">
        <v>1</v>
      </c>
      <c r="M6386" s="163"/>
      <c r="N6386" s="278"/>
      <c r="O6386" s="280">
        <f>MROUND(N6386*G6386,0.000001)</f>
        <v>0</v>
      </c>
      <c r="P6386" s="166"/>
      <c r="Q6386" s="166">
        <f>O6386*K6386</f>
        <v>0</v>
      </c>
      <c r="R6386" s="71"/>
      <c r="T6386" s="71"/>
    </row>
    <row r="6387" spans="1:20" s="62" customFormat="1" x14ac:dyDescent="0.25">
      <c r="A6387" s="358"/>
      <c r="B6387" s="361"/>
      <c r="C6387" s="218" t="s">
        <v>380</v>
      </c>
      <c r="D6387" s="232"/>
      <c r="E6387" s="232"/>
      <c r="F6387" s="232"/>
      <c r="G6387" s="227"/>
      <c r="H6387" s="228"/>
      <c r="I6387" s="206"/>
      <c r="J6387" s="228"/>
      <c r="K6387" s="207"/>
      <c r="L6387" s="257"/>
      <c r="M6387" s="209"/>
      <c r="N6387" s="281"/>
      <c r="O6387" s="279">
        <f>O6384+O6386+O6385</f>
        <v>0</v>
      </c>
      <c r="P6387" s="267"/>
      <c r="Q6387" s="166"/>
      <c r="R6387" s="71"/>
    </row>
    <row r="6388" spans="1:20" s="61" customFormat="1" x14ac:dyDescent="0.25">
      <c r="A6388" s="358"/>
      <c r="B6388" s="361"/>
      <c r="C6388" s="365" t="s">
        <v>76</v>
      </c>
      <c r="D6388" s="231" t="s">
        <v>49</v>
      </c>
      <c r="E6388" s="231" t="s">
        <v>22</v>
      </c>
      <c r="F6388" s="231" t="s">
        <v>22</v>
      </c>
      <c r="G6388" s="238">
        <f>MROUND(H6388*L6388*I6388/K6388,0.00000001)</f>
        <v>0</v>
      </c>
      <c r="H6388" s="160"/>
      <c r="I6388" s="159">
        <f>I6386</f>
        <v>0.78948599999999991</v>
      </c>
      <c r="J6388" s="160"/>
      <c r="K6388" s="161">
        <f>K6386</f>
        <v>990</v>
      </c>
      <c r="L6388" s="250">
        <v>1</v>
      </c>
      <c r="M6388" s="163"/>
      <c r="N6388" s="278"/>
      <c r="O6388" s="280">
        <f>MROUND(N6388*G6388,0.000001)</f>
        <v>0</v>
      </c>
      <c r="P6388" s="166"/>
      <c r="Q6388" s="166">
        <f t="shared" ref="Q6388" si="1680">O6388*K6388</f>
        <v>0</v>
      </c>
      <c r="R6388" s="71"/>
      <c r="T6388" s="71"/>
    </row>
    <row r="6389" spans="1:20" s="61" customFormat="1" x14ac:dyDescent="0.25">
      <c r="A6389" s="358"/>
      <c r="B6389" s="361"/>
      <c r="C6389" s="366"/>
      <c r="D6389" s="231" t="s">
        <v>49</v>
      </c>
      <c r="E6389" s="231" t="s">
        <v>28</v>
      </c>
      <c r="F6389" s="231" t="s">
        <v>28</v>
      </c>
      <c r="G6389" s="238">
        <f>MROUND(H6389*L6389*I6389/K6389,0.0000000001)</f>
        <v>0</v>
      </c>
      <c r="H6389" s="160"/>
      <c r="I6389" s="159">
        <f>I6388</f>
        <v>0.78948599999999991</v>
      </c>
      <c r="J6389" s="160"/>
      <c r="K6389" s="161">
        <f>K6388</f>
        <v>990</v>
      </c>
      <c r="L6389" s="250">
        <v>1</v>
      </c>
      <c r="M6389" s="163"/>
      <c r="N6389" s="278"/>
      <c r="O6389" s="280">
        <f>MROUND(N6389*G6389,0.000001)</f>
        <v>0</v>
      </c>
      <c r="P6389" s="166"/>
      <c r="Q6389" s="166">
        <f>O6389*K6389</f>
        <v>0</v>
      </c>
      <c r="R6389" s="71"/>
      <c r="T6389" s="71"/>
    </row>
    <row r="6390" spans="1:20" s="61" customFormat="1" x14ac:dyDescent="0.25">
      <c r="A6390" s="358"/>
      <c r="B6390" s="361"/>
      <c r="C6390" s="367"/>
      <c r="D6390" s="231" t="s">
        <v>49</v>
      </c>
      <c r="E6390" s="231" t="s">
        <v>101</v>
      </c>
      <c r="F6390" s="231" t="s">
        <v>101</v>
      </c>
      <c r="G6390" s="238">
        <f>MROUND(H6390*L6390*I6390/K6390,0.0000000001)</f>
        <v>0</v>
      </c>
      <c r="H6390" s="160"/>
      <c r="I6390" s="159">
        <f t="shared" ref="I6390" si="1681">I6388</f>
        <v>0.78948599999999991</v>
      </c>
      <c r="J6390" s="160"/>
      <c r="K6390" s="161">
        <f t="shared" ref="K6390" si="1682">K6388</f>
        <v>990</v>
      </c>
      <c r="L6390" s="250">
        <v>1</v>
      </c>
      <c r="M6390" s="163"/>
      <c r="N6390" s="278"/>
      <c r="O6390" s="280">
        <f>MROUND(N6390*G6390,0.000001)</f>
        <v>0</v>
      </c>
      <c r="P6390" s="166"/>
      <c r="Q6390" s="166">
        <f t="shared" ref="Q6390" si="1683">O6390*K6390</f>
        <v>0</v>
      </c>
      <c r="R6390" s="71"/>
      <c r="T6390" s="71"/>
    </row>
    <row r="6391" spans="1:20" s="62" customFormat="1" x14ac:dyDescent="0.25">
      <c r="A6391" s="358"/>
      <c r="B6391" s="361"/>
      <c r="C6391" s="218" t="s">
        <v>291</v>
      </c>
      <c r="D6391" s="232"/>
      <c r="E6391" s="232"/>
      <c r="F6391" s="232"/>
      <c r="G6391" s="227"/>
      <c r="H6391" s="228"/>
      <c r="I6391" s="206"/>
      <c r="J6391" s="228"/>
      <c r="K6391" s="207"/>
      <c r="L6391" s="257"/>
      <c r="M6391" s="209"/>
      <c r="N6391" s="281"/>
      <c r="O6391" s="279">
        <f>O6388+O6390+O6389</f>
        <v>0</v>
      </c>
      <c r="P6391" s="267"/>
      <c r="Q6391" s="166"/>
      <c r="R6391" s="71"/>
    </row>
    <row r="6392" spans="1:20" s="61" customFormat="1" x14ac:dyDescent="0.25">
      <c r="A6392" s="358"/>
      <c r="B6392" s="361"/>
      <c r="C6392" s="221" t="s">
        <v>77</v>
      </c>
      <c r="D6392" s="231"/>
      <c r="E6392" s="231"/>
      <c r="F6392" s="231"/>
      <c r="G6392" s="238"/>
      <c r="H6392" s="160"/>
      <c r="I6392" s="159">
        <f>I6388</f>
        <v>0.78948599999999991</v>
      </c>
      <c r="J6392" s="160"/>
      <c r="K6392" s="161"/>
      <c r="L6392" s="250"/>
      <c r="M6392" s="163"/>
      <c r="N6392" s="278"/>
      <c r="O6392" s="280">
        <f>MROUND(N6392*G6392,0.000001)</f>
        <v>0</v>
      </c>
      <c r="P6392" s="166"/>
      <c r="Q6392" s="166">
        <f t="shared" ref="Q6392" si="1684">O6392*K6392</f>
        <v>0</v>
      </c>
      <c r="R6392" s="71"/>
      <c r="T6392" s="71"/>
    </row>
    <row r="6393" spans="1:20" s="62" customFormat="1" x14ac:dyDescent="0.25">
      <c r="A6393" s="358"/>
      <c r="B6393" s="361"/>
      <c r="C6393" s="218" t="s">
        <v>292</v>
      </c>
      <c r="D6393" s="232"/>
      <c r="E6393" s="232"/>
      <c r="F6393" s="232"/>
      <c r="G6393" s="227"/>
      <c r="H6393" s="228"/>
      <c r="I6393" s="206"/>
      <c r="J6393" s="228"/>
      <c r="K6393" s="207"/>
      <c r="L6393" s="257"/>
      <c r="M6393" s="209"/>
      <c r="N6393" s="281"/>
      <c r="O6393" s="279">
        <f>O6392</f>
        <v>0</v>
      </c>
      <c r="P6393" s="267"/>
      <c r="Q6393" s="166"/>
      <c r="R6393" s="71"/>
    </row>
    <row r="6394" spans="1:20" s="61" customFormat="1" x14ac:dyDescent="0.25">
      <c r="A6394" s="358"/>
      <c r="B6394" s="361"/>
      <c r="C6394" s="221"/>
      <c r="D6394" s="350" t="s">
        <v>65</v>
      </c>
      <c r="E6394" s="350"/>
      <c r="F6394" s="350"/>
      <c r="G6394" s="350"/>
      <c r="H6394" s="195"/>
      <c r="I6394" s="159"/>
      <c r="J6394" s="195"/>
      <c r="K6394" s="161"/>
      <c r="L6394" s="196"/>
      <c r="M6394" s="230"/>
      <c r="N6394" s="278"/>
      <c r="O6394" s="280"/>
      <c r="P6394" s="166"/>
      <c r="Q6394" s="166">
        <f t="shared" ref="Q6394:Q6401" si="1685">O6394*K6394</f>
        <v>0</v>
      </c>
      <c r="R6394" s="71"/>
    </row>
    <row r="6395" spans="1:20" s="61" customFormat="1" x14ac:dyDescent="0.25">
      <c r="A6395" s="358"/>
      <c r="B6395" s="361"/>
      <c r="C6395" s="221"/>
      <c r="D6395" s="194"/>
      <c r="E6395" s="194"/>
      <c r="F6395" s="194"/>
      <c r="G6395" s="217"/>
      <c r="H6395" s="195"/>
      <c r="I6395" s="159"/>
      <c r="J6395" s="195"/>
      <c r="K6395" s="161"/>
      <c r="L6395" s="196"/>
      <c r="M6395" s="230"/>
      <c r="N6395" s="278"/>
      <c r="O6395" s="280"/>
      <c r="P6395" s="166"/>
      <c r="Q6395" s="166">
        <f t="shared" si="1685"/>
        <v>0</v>
      </c>
      <c r="R6395" s="71"/>
    </row>
    <row r="6396" spans="1:20" s="61" customFormat="1" x14ac:dyDescent="0.25">
      <c r="A6396" s="358"/>
      <c r="B6396" s="361"/>
      <c r="C6396" s="221" t="s">
        <v>357</v>
      </c>
      <c r="D6396" s="368" t="s">
        <v>66</v>
      </c>
      <c r="E6396" s="368"/>
      <c r="F6396" s="368"/>
      <c r="G6396" s="368"/>
      <c r="H6396" s="195"/>
      <c r="I6396" s="159"/>
      <c r="J6396" s="195"/>
      <c r="K6396" s="161"/>
      <c r="L6396" s="196"/>
      <c r="M6396" s="230"/>
      <c r="N6396" s="278"/>
      <c r="O6396" s="279">
        <f>O6397+O6398+O6399+O6401+O6400</f>
        <v>139.19405999999998</v>
      </c>
      <c r="P6396" s="166"/>
      <c r="Q6396" s="166">
        <f t="shared" si="1685"/>
        <v>0</v>
      </c>
      <c r="R6396" s="71"/>
    </row>
    <row r="6397" spans="1:20" s="61" customFormat="1" x14ac:dyDescent="0.25">
      <c r="A6397" s="358"/>
      <c r="B6397" s="361"/>
      <c r="C6397" s="365"/>
      <c r="D6397" s="284" t="s">
        <v>241</v>
      </c>
      <c r="E6397" s="156" t="s">
        <v>28</v>
      </c>
      <c r="F6397" s="156" t="s">
        <v>28</v>
      </c>
      <c r="G6397" s="238">
        <f>MROUND(H6397*L6397*I6397/K6397,0.000000001)</f>
        <v>4.7847636000000006E-2</v>
      </c>
      <c r="H6397" s="158">
        <f>Лист1!K146</f>
        <v>5</v>
      </c>
      <c r="I6397" s="159">
        <f>I6392</f>
        <v>0.78948599999999991</v>
      </c>
      <c r="J6397" s="160"/>
      <c r="K6397" s="161">
        <f>K6390</f>
        <v>990</v>
      </c>
      <c r="L6397" s="250">
        <v>12</v>
      </c>
      <c r="M6397" s="163" t="str">
        <f>CONCATENATE(H6397," ",F6397,"*",L6397,"мес.","*",I6397,"/",K6397,"чел/час")</f>
        <v>5 шт*12мес.*0,789486/990чел/час</v>
      </c>
      <c r="N6397" s="278">
        <f>Лист1!M146</f>
        <v>291.41983333333332</v>
      </c>
      <c r="O6397" s="280">
        <f>MROUND(N6397*G6397,0.000001)</f>
        <v>13.94375</v>
      </c>
      <c r="P6397" s="166"/>
      <c r="Q6397" s="166">
        <f t="shared" si="1685"/>
        <v>13804.3125</v>
      </c>
      <c r="R6397" s="71"/>
      <c r="T6397" s="71"/>
    </row>
    <row r="6398" spans="1:20" s="61" customFormat="1" x14ac:dyDescent="0.25">
      <c r="A6398" s="358"/>
      <c r="B6398" s="361"/>
      <c r="C6398" s="366"/>
      <c r="D6398" s="284" t="s">
        <v>242</v>
      </c>
      <c r="E6398" s="156" t="s">
        <v>243</v>
      </c>
      <c r="F6398" s="156" t="s">
        <v>243</v>
      </c>
      <c r="G6398" s="238">
        <f>MROUND(H6398*L6398*I6398/K6398,0.00000001)</f>
        <v>67.292915780000001</v>
      </c>
      <c r="H6398" s="158">
        <f>Лист1!K147</f>
        <v>7032</v>
      </c>
      <c r="I6398" s="159">
        <f>I6397</f>
        <v>0.78948599999999991</v>
      </c>
      <c r="J6398" s="160"/>
      <c r="K6398" s="161">
        <f>K6397</f>
        <v>990</v>
      </c>
      <c r="L6398" s="250">
        <v>12</v>
      </c>
      <c r="M6398" s="163" t="str">
        <f>CONCATENATE(H6398," ",F6398,"*",L6398,"мес.","*",I6398,"/",K6398,"чел/час")</f>
        <v>7032 мин.*12мес.*0,789486/990чел/час</v>
      </c>
      <c r="N6398" s="278">
        <f>Лист1!M147</f>
        <v>0.82090076317785365</v>
      </c>
      <c r="O6398" s="280">
        <f>MROUND(N6398*G6398,0.000001)</f>
        <v>55.240805999999999</v>
      </c>
      <c r="P6398" s="166"/>
      <c r="Q6398" s="166">
        <f t="shared" si="1685"/>
        <v>54688.397940000003</v>
      </c>
      <c r="R6398" s="71"/>
      <c r="T6398" s="71"/>
    </row>
    <row r="6399" spans="1:20" s="61" customFormat="1" ht="31.5" x14ac:dyDescent="0.25">
      <c r="A6399" s="358"/>
      <c r="B6399" s="361"/>
      <c r="C6399" s="366"/>
      <c r="D6399" s="285" t="s">
        <v>244</v>
      </c>
      <c r="E6399" s="286" t="s">
        <v>245</v>
      </c>
      <c r="F6399" s="286" t="s">
        <v>247</v>
      </c>
      <c r="G6399" s="238">
        <f>MROUND(H6399*L6399*I6399/K6399,0.000001)</f>
        <v>9.5700000000000004E-3</v>
      </c>
      <c r="H6399" s="158">
        <v>1</v>
      </c>
      <c r="I6399" s="159">
        <f>I6398</f>
        <v>0.78948599999999991</v>
      </c>
      <c r="J6399" s="160"/>
      <c r="K6399" s="161">
        <f>K6398</f>
        <v>990</v>
      </c>
      <c r="L6399" s="250">
        <v>12</v>
      </c>
      <c r="M6399" s="163" t="str">
        <f>CONCATENATE(H6399," ",F6399,"*",L6399,"мес.","*",I6399,"/",K6399,"чел/час")</f>
        <v>1 радиоточек*12мес.*0,789486/990чел/час</v>
      </c>
      <c r="N6399" s="278">
        <f>Лист1!M148</f>
        <v>173.30166666666665</v>
      </c>
      <c r="O6399" s="280">
        <f>MROUND(N6399*G6399,0.000001)</f>
        <v>1.6584969999999999</v>
      </c>
      <c r="P6399" s="166"/>
      <c r="Q6399" s="166">
        <f t="shared" si="1685"/>
        <v>1641.91203</v>
      </c>
      <c r="R6399" s="71"/>
      <c r="S6399" s="71"/>
    </row>
    <row r="6400" spans="1:20" s="61" customFormat="1" ht="47.25" x14ac:dyDescent="0.25">
      <c r="A6400" s="358"/>
      <c r="B6400" s="361"/>
      <c r="C6400" s="366"/>
      <c r="D6400" s="285" t="s">
        <v>374</v>
      </c>
      <c r="E6400" s="156" t="s">
        <v>28</v>
      </c>
      <c r="F6400" s="156" t="s">
        <v>28</v>
      </c>
      <c r="G6400" s="238">
        <f>MROUND(H6400*L6400*I6400/K6400,0.000001)</f>
        <v>1.9139E-2</v>
      </c>
      <c r="H6400" s="158">
        <f>Лист1!K150</f>
        <v>6</v>
      </c>
      <c r="I6400" s="159">
        <f>I6398</f>
        <v>0.78948599999999991</v>
      </c>
      <c r="J6400" s="160"/>
      <c r="K6400" s="161">
        <f>K6398</f>
        <v>990</v>
      </c>
      <c r="L6400" s="250">
        <v>4</v>
      </c>
      <c r="M6400" s="163" t="str">
        <f>CONCATENATE(H6400," ",F6400,"*",L6400,"мес.","*",I6400,"/",K6400,"чел/час")</f>
        <v>6 шт*4мес.*0,789486/990чел/час</v>
      </c>
      <c r="N6400" s="278">
        <f>Лист1!M150</f>
        <v>1313.8174999999999</v>
      </c>
      <c r="O6400" s="280">
        <f>MROUND(N6400*G6400,0.000001)</f>
        <v>25.145153000000001</v>
      </c>
      <c r="P6400" s="166"/>
      <c r="Q6400" s="166">
        <f t="shared" si="1685"/>
        <v>24893.70147</v>
      </c>
      <c r="R6400" s="71"/>
    </row>
    <row r="6401" spans="1:41" s="61" customFormat="1" x14ac:dyDescent="0.25">
      <c r="A6401" s="358"/>
      <c r="B6401" s="361"/>
      <c r="C6401" s="367"/>
      <c r="D6401" s="284" t="s">
        <v>246</v>
      </c>
      <c r="E6401" s="156" t="s">
        <v>28</v>
      </c>
      <c r="F6401" s="156" t="s">
        <v>28</v>
      </c>
      <c r="G6401" s="238">
        <f>MROUND(H6401*L6401*I6401/K6401,0.0000001)</f>
        <v>9.5694999999999999E-3</v>
      </c>
      <c r="H6401" s="158">
        <v>1</v>
      </c>
      <c r="I6401" s="159">
        <f>I6399</f>
        <v>0.78948599999999991</v>
      </c>
      <c r="J6401" s="160"/>
      <c r="K6401" s="161">
        <f>K6399</f>
        <v>990</v>
      </c>
      <c r="L6401" s="250">
        <v>12</v>
      </c>
      <c r="M6401" s="163" t="str">
        <f>CONCATENATE(H6401," ",F6401,"*",L6401,"мес.","*",I6401,"/",K6401,"чел/час")</f>
        <v>1 шт*12мес.*0,789486/990чел/час</v>
      </c>
      <c r="N6401" s="278">
        <f>Лист1!M149</f>
        <v>4514.9541666666673</v>
      </c>
      <c r="O6401" s="280">
        <f>MROUND(N6401*G6401,0.000001)</f>
        <v>43.205853999999995</v>
      </c>
      <c r="P6401" s="166"/>
      <c r="Q6401" s="166">
        <f t="shared" si="1685"/>
        <v>42773.795459999994</v>
      </c>
      <c r="R6401" s="71"/>
    </row>
    <row r="6402" spans="1:41" s="62" customFormat="1" x14ac:dyDescent="0.25">
      <c r="A6402" s="358"/>
      <c r="B6402" s="361"/>
      <c r="C6402" s="218" t="s">
        <v>358</v>
      </c>
      <c r="D6402" s="287"/>
      <c r="E6402" s="287"/>
      <c r="F6402" s="287"/>
      <c r="G6402" s="288"/>
      <c r="H6402" s="214"/>
      <c r="I6402" s="206"/>
      <c r="J6402" s="214"/>
      <c r="K6402" s="207"/>
      <c r="L6402" s="215"/>
      <c r="M6402" s="289"/>
      <c r="N6402" s="281"/>
      <c r="O6402" s="279">
        <f>O6396</f>
        <v>139.19405999999998</v>
      </c>
      <c r="P6402" s="267"/>
      <c r="Q6402" s="166"/>
      <c r="R6402" s="71"/>
    </row>
    <row r="6403" spans="1:41" s="61" customFormat="1" x14ac:dyDescent="0.25">
      <c r="A6403" s="358"/>
      <c r="B6403" s="361"/>
      <c r="C6403" s="221"/>
      <c r="D6403" s="368" t="s">
        <v>67</v>
      </c>
      <c r="E6403" s="368"/>
      <c r="F6403" s="368"/>
      <c r="G6403" s="368"/>
      <c r="H6403" s="195"/>
      <c r="I6403" s="159"/>
      <c r="J6403" s="195"/>
      <c r="K6403" s="161"/>
      <c r="L6403" s="196"/>
      <c r="M6403" s="230"/>
      <c r="N6403" s="278"/>
      <c r="O6403" s="280"/>
      <c r="P6403" s="166"/>
      <c r="Q6403" s="166">
        <f t="shared" ref="Q6403:Q6413" si="1686">O6403*K6403</f>
        <v>0</v>
      </c>
      <c r="R6403" s="71"/>
    </row>
    <row r="6404" spans="1:41" s="61" customFormat="1" x14ac:dyDescent="0.25">
      <c r="A6404" s="358"/>
      <c r="B6404" s="361"/>
      <c r="C6404" s="221"/>
      <c r="D6404" s="194"/>
      <c r="E6404" s="194"/>
      <c r="F6404" s="194"/>
      <c r="G6404" s="217"/>
      <c r="H6404" s="195"/>
      <c r="I6404" s="159"/>
      <c r="J6404" s="195"/>
      <c r="K6404" s="161"/>
      <c r="L6404" s="196"/>
      <c r="M6404" s="230"/>
      <c r="N6404" s="278"/>
      <c r="O6404" s="280"/>
      <c r="P6404" s="166"/>
      <c r="Q6404" s="166">
        <f t="shared" si="1686"/>
        <v>0</v>
      </c>
      <c r="R6404" s="71"/>
    </row>
    <row r="6405" spans="1:41" s="61" customFormat="1" x14ac:dyDescent="0.25">
      <c r="A6405" s="358"/>
      <c r="B6405" s="361"/>
      <c r="C6405" s="221"/>
      <c r="D6405" s="350" t="s">
        <v>68</v>
      </c>
      <c r="E6405" s="350"/>
      <c r="F6405" s="350"/>
      <c r="G6405" s="350"/>
      <c r="H6405" s="195"/>
      <c r="I6405" s="159"/>
      <c r="J6405" s="195"/>
      <c r="K6405" s="161"/>
      <c r="L6405" s="196"/>
      <c r="M6405" s="230"/>
      <c r="N6405" s="278"/>
      <c r="O6405" s="280"/>
      <c r="P6405" s="166"/>
      <c r="Q6405" s="166">
        <f t="shared" si="1686"/>
        <v>0</v>
      </c>
      <c r="R6405" s="71"/>
    </row>
    <row r="6406" spans="1:41" s="61" customFormat="1" x14ac:dyDescent="0.25">
      <c r="A6406" s="358"/>
      <c r="B6406" s="361"/>
      <c r="C6406" s="221"/>
      <c r="D6406" s="156"/>
      <c r="E6406" s="156"/>
      <c r="F6406" s="156"/>
      <c r="G6406" s="236"/>
      <c r="H6406" s="195"/>
      <c r="I6406" s="159"/>
      <c r="J6406" s="195"/>
      <c r="K6406" s="161"/>
      <c r="L6406" s="196"/>
      <c r="M6406" s="230"/>
      <c r="N6406" s="278"/>
      <c r="O6406" s="280"/>
      <c r="P6406" s="166"/>
      <c r="Q6406" s="166">
        <f t="shared" si="1686"/>
        <v>0</v>
      </c>
      <c r="R6406" s="71"/>
    </row>
    <row r="6407" spans="1:41" s="61" customFormat="1" x14ac:dyDescent="0.25">
      <c r="A6407" s="358"/>
      <c r="B6407" s="361"/>
      <c r="C6407" s="221"/>
      <c r="D6407" s="368" t="s">
        <v>69</v>
      </c>
      <c r="E6407" s="368"/>
      <c r="F6407" s="368"/>
      <c r="G6407" s="368"/>
      <c r="H6407" s="187"/>
      <c r="I6407" s="159"/>
      <c r="J6407" s="187"/>
      <c r="K6407" s="161"/>
      <c r="L6407" s="276"/>
      <c r="M6407" s="230"/>
      <c r="N6407" s="278"/>
      <c r="O6407" s="279">
        <f>O6414+O6421+O6425+O6443+O6445+O6447+O6453+O6455+O6458</f>
        <v>894.39014200000008</v>
      </c>
      <c r="P6407" s="166"/>
      <c r="Q6407" s="166">
        <f t="shared" si="1686"/>
        <v>0</v>
      </c>
      <c r="R6407" s="71"/>
    </row>
    <row r="6408" spans="1:41" s="61" customFormat="1" ht="31.5" x14ac:dyDescent="0.25">
      <c r="A6408" s="358"/>
      <c r="B6408" s="361"/>
      <c r="C6408" s="365" t="s">
        <v>78</v>
      </c>
      <c r="D6408" s="156" t="s">
        <v>26</v>
      </c>
      <c r="E6408" s="156" t="s">
        <v>22</v>
      </c>
      <c r="F6408" s="156" t="s">
        <v>22</v>
      </c>
      <c r="G6408" s="238">
        <f>MROUND(H6408*L6408*I6408/K6408,0.000000001)</f>
        <v>6.6986690910000002</v>
      </c>
      <c r="H6408" s="158">
        <f>Лист1!K167</f>
        <v>700</v>
      </c>
      <c r="I6408" s="159">
        <f>I6401</f>
        <v>0.78948599999999991</v>
      </c>
      <c r="J6408" s="160"/>
      <c r="K6408" s="161">
        <f>K6401</f>
        <v>990</v>
      </c>
      <c r="L6408" s="250">
        <v>12</v>
      </c>
      <c r="M6408" s="163" t="str">
        <f>CONCATENATE(H6408," ",F6408,"(обрабатываемая площадь в мес.)","*",L6408,"мес.","*",I6408,"/",K6408,"чел/час")</f>
        <v>700 м2(обрабатываемая площадь в мес.)*12мес.*0,789486/990чел/час</v>
      </c>
      <c r="N6408" s="278">
        <f>Лист1!M167</f>
        <v>1.2085488095238095</v>
      </c>
      <c r="O6408" s="280">
        <f>MROUND(N6408*G6408,0.000001)</f>
        <v>8.0956689999999991</v>
      </c>
      <c r="P6408" s="166"/>
      <c r="Q6408" s="166">
        <f t="shared" si="1686"/>
        <v>8014.712309999999</v>
      </c>
      <c r="R6408" s="71"/>
      <c r="S6408" s="71"/>
    </row>
    <row r="6409" spans="1:41" s="61" customFormat="1" ht="31.5" x14ac:dyDescent="0.25">
      <c r="A6409" s="358"/>
      <c r="B6409" s="361"/>
      <c r="C6409" s="366"/>
      <c r="D6409" s="156" t="s">
        <v>96</v>
      </c>
      <c r="E6409" s="156" t="s">
        <v>22</v>
      </c>
      <c r="F6409" s="156" t="s">
        <v>22</v>
      </c>
      <c r="G6409" s="238">
        <f>MROUND(H6409*L6409*I6409/K6409,0.0000001)</f>
        <v>4.3062873000000002</v>
      </c>
      <c r="H6409" s="158">
        <f>Лист1!K168</f>
        <v>450</v>
      </c>
      <c r="I6409" s="159">
        <f t="shared" ref="I6409" si="1687">I6408</f>
        <v>0.78948599999999991</v>
      </c>
      <c r="J6409" s="160"/>
      <c r="K6409" s="161">
        <f t="shared" ref="K6409" si="1688">K6408</f>
        <v>990</v>
      </c>
      <c r="L6409" s="250">
        <v>12</v>
      </c>
      <c r="M6409" s="163" t="str">
        <f>CONCATENATE(H6409," ",F6409,"(обрабатываемая площадь в мес.)","*",L6409,"мес.","*",I6409,"/",K6409,"чел/час")</f>
        <v>450 м2(обрабатываемая площадь в мес.)*12мес.*0,789486/990чел/час</v>
      </c>
      <c r="N6409" s="278">
        <f>Лист1!M168</f>
        <v>1.9382388888888888</v>
      </c>
      <c r="O6409" s="280">
        <f>MROUND(N6409*G6409,0.000001)</f>
        <v>8.3466139999999989</v>
      </c>
      <c r="P6409" s="166"/>
      <c r="Q6409" s="166">
        <f t="shared" si="1686"/>
        <v>8263.1478599999991</v>
      </c>
      <c r="R6409" s="71"/>
      <c r="S6409" s="71"/>
    </row>
    <row r="6410" spans="1:41" s="135" customFormat="1" ht="31.5" x14ac:dyDescent="0.25">
      <c r="A6410" s="358"/>
      <c r="B6410" s="361"/>
      <c r="C6410" s="366"/>
      <c r="D6410" s="156" t="s">
        <v>385</v>
      </c>
      <c r="E6410" s="156" t="s">
        <v>22</v>
      </c>
      <c r="F6410" s="156" t="s">
        <v>22</v>
      </c>
      <c r="G6410" s="238">
        <f>MROUND(H6410*L6410*I6410/K6410,0.000001)</f>
        <v>13.397338</v>
      </c>
      <c r="H6410" s="242">
        <f>Лист1!K169</f>
        <v>700</v>
      </c>
      <c r="I6410" s="244">
        <f>I6408</f>
        <v>0.78948599999999991</v>
      </c>
      <c r="J6410" s="160"/>
      <c r="K6410" s="161">
        <f>K6409</f>
        <v>990</v>
      </c>
      <c r="L6410" s="162">
        <v>24</v>
      </c>
      <c r="M6410" s="163" t="str">
        <f>CONCATENATE(H6410," ",F6410,"(обрабатываемая площадь в год)","*",L6410," раза в год.","*",I6410,"/",K6410,"чел.")</f>
        <v>700 м2(обрабатываемая площадь в год)*24 раза в год.*0,789486/990чел.</v>
      </c>
      <c r="N6410" s="164">
        <f>Лист1!M169</f>
        <v>1.5391892857142857</v>
      </c>
      <c r="O6410" s="165">
        <f>MROUND(G6410*N6410,0.000001)</f>
        <v>20.621039</v>
      </c>
      <c r="P6410" s="166"/>
      <c r="Q6410" s="166">
        <f t="shared" si="1686"/>
        <v>20414.82861</v>
      </c>
      <c r="R6410" s="71"/>
      <c r="S6410" s="61"/>
      <c r="T6410" s="61"/>
      <c r="U6410" s="61"/>
      <c r="V6410" s="61"/>
      <c r="W6410" s="61"/>
      <c r="X6410" s="61"/>
      <c r="Y6410" s="61"/>
      <c r="Z6410" s="61"/>
      <c r="AA6410" s="61"/>
      <c r="AB6410" s="61"/>
      <c r="AC6410" s="61"/>
      <c r="AD6410" s="61"/>
      <c r="AE6410" s="61"/>
      <c r="AF6410" s="61"/>
      <c r="AG6410" s="61"/>
      <c r="AH6410" s="61"/>
      <c r="AI6410" s="61"/>
      <c r="AJ6410" s="61"/>
      <c r="AK6410" s="61"/>
      <c r="AL6410" s="61"/>
      <c r="AM6410" s="61"/>
      <c r="AN6410" s="61"/>
      <c r="AO6410" s="61"/>
    </row>
    <row r="6411" spans="1:41" s="135" customFormat="1" ht="31.5" x14ac:dyDescent="0.25">
      <c r="A6411" s="358"/>
      <c r="B6411" s="361"/>
      <c r="C6411" s="366"/>
      <c r="D6411" s="156" t="s">
        <v>394</v>
      </c>
      <c r="E6411" s="156" t="s">
        <v>22</v>
      </c>
      <c r="F6411" s="156" t="s">
        <v>22</v>
      </c>
      <c r="G6411" s="238">
        <f>MROUND(H6411*L6411*I6411/K6411,0.000001)</f>
        <v>4.3062870000000002</v>
      </c>
      <c r="H6411" s="243">
        <f>Лист1!K170</f>
        <v>450</v>
      </c>
      <c r="I6411" s="244">
        <f>I6408</f>
        <v>0.78948599999999991</v>
      </c>
      <c r="J6411" s="160"/>
      <c r="K6411" s="161">
        <f>K6410</f>
        <v>990</v>
      </c>
      <c r="L6411" s="162">
        <v>12</v>
      </c>
      <c r="M6411" s="163" t="str">
        <f>CONCATENATE(H6411," ",F6411,"(обрабатываемая площадь в мес.)","*",L6411,"мес.","*",I6411,"/",K6411,"чел.")</f>
        <v>450 м2(обрабатываемая площадь в мес.)*12мес.*0,789486/990чел.</v>
      </c>
      <c r="N6411" s="164">
        <f>Лист1!M170</f>
        <v>0.88677592592592591</v>
      </c>
      <c r="O6411" s="165">
        <f>MROUND(G6411*N6411,0.000001)</f>
        <v>3.8187119999999997</v>
      </c>
      <c r="P6411" s="166"/>
      <c r="Q6411" s="166">
        <f t="shared" si="1686"/>
        <v>3780.5248799999995</v>
      </c>
      <c r="R6411" s="71"/>
      <c r="S6411" s="61"/>
      <c r="T6411" s="61"/>
      <c r="U6411" s="61"/>
      <c r="V6411" s="61"/>
      <c r="W6411" s="61"/>
      <c r="X6411" s="61"/>
      <c r="Y6411" s="61"/>
      <c r="Z6411" s="61"/>
      <c r="AA6411" s="61"/>
      <c r="AB6411" s="61"/>
      <c r="AC6411" s="61"/>
      <c r="AD6411" s="61"/>
      <c r="AE6411" s="61"/>
      <c r="AF6411" s="61"/>
      <c r="AG6411" s="61"/>
      <c r="AH6411" s="61"/>
      <c r="AI6411" s="61"/>
      <c r="AJ6411" s="61"/>
      <c r="AK6411" s="61"/>
      <c r="AL6411" s="61"/>
      <c r="AM6411" s="61"/>
      <c r="AN6411" s="61"/>
      <c r="AO6411" s="61"/>
    </row>
    <row r="6412" spans="1:41" s="135" customFormat="1" ht="31.5" x14ac:dyDescent="0.25">
      <c r="A6412" s="358"/>
      <c r="B6412" s="361"/>
      <c r="C6412" s="366"/>
      <c r="D6412" s="156" t="s">
        <v>395</v>
      </c>
      <c r="E6412" s="156" t="s">
        <v>98</v>
      </c>
      <c r="F6412" s="156" t="s">
        <v>98</v>
      </c>
      <c r="G6412" s="238">
        <f>MROUND(H6412*L6412*I6412/K6412,0.000001)</f>
        <v>3.9899999999999999E-4</v>
      </c>
      <c r="H6412" s="242">
        <f>Лист1!K172</f>
        <v>0.5</v>
      </c>
      <c r="I6412" s="244">
        <f>I6408</f>
        <v>0.78948599999999991</v>
      </c>
      <c r="J6412" s="160"/>
      <c r="K6412" s="161">
        <f>K6408</f>
        <v>990</v>
      </c>
      <c r="L6412" s="162">
        <v>1</v>
      </c>
      <c r="M6412" s="163" t="str">
        <f>CONCATENATE(H6412," ",F6412,"(обрабатываемая площадь в год)","*",L6412," раз в год","*",I6412,"/",K6412,"чел.")</f>
        <v>0,5 Га(обрабатываемая площадь в год)*1 раз в год*0,789486/990чел.</v>
      </c>
      <c r="N6412" s="164">
        <f>Лист1!M172</f>
        <v>570.08000000000004</v>
      </c>
      <c r="O6412" s="165">
        <f>MROUND(G6412*N6412,0.000001)</f>
        <v>0.227462</v>
      </c>
      <c r="P6412" s="166"/>
      <c r="Q6412" s="166">
        <f t="shared" si="1686"/>
        <v>225.18737999999999</v>
      </c>
      <c r="R6412" s="71"/>
      <c r="S6412" s="61"/>
      <c r="T6412" s="61"/>
      <c r="U6412" s="61"/>
      <c r="V6412" s="61"/>
      <c r="W6412" s="61"/>
      <c r="X6412" s="61"/>
      <c r="Y6412" s="61"/>
      <c r="Z6412" s="61"/>
      <c r="AA6412" s="61"/>
      <c r="AB6412" s="61"/>
      <c r="AC6412" s="61"/>
      <c r="AD6412" s="61"/>
      <c r="AE6412" s="61"/>
      <c r="AF6412" s="61"/>
      <c r="AG6412" s="61"/>
      <c r="AH6412" s="61"/>
      <c r="AI6412" s="61"/>
      <c r="AJ6412" s="61"/>
      <c r="AK6412" s="61"/>
      <c r="AL6412" s="61"/>
      <c r="AM6412" s="61"/>
      <c r="AN6412" s="61"/>
      <c r="AO6412" s="61"/>
    </row>
    <row r="6413" spans="1:41" s="61" customFormat="1" ht="31.5" x14ac:dyDescent="0.25">
      <c r="A6413" s="358"/>
      <c r="B6413" s="361"/>
      <c r="C6413" s="367"/>
      <c r="D6413" s="156" t="s">
        <v>97</v>
      </c>
      <c r="E6413" s="156" t="s">
        <v>363</v>
      </c>
      <c r="F6413" s="156" t="s">
        <v>363</v>
      </c>
      <c r="G6413" s="238">
        <f>MROUND(H6413*L6413*I6413/K6413,0.0000001)</f>
        <v>3.9869999999999999E-4</v>
      </c>
      <c r="H6413" s="158">
        <f>Лист1!K171</f>
        <v>0.5</v>
      </c>
      <c r="I6413" s="159">
        <f>I6409</f>
        <v>0.78948599999999991</v>
      </c>
      <c r="J6413" s="160"/>
      <c r="K6413" s="161">
        <f>K6409</f>
        <v>990</v>
      </c>
      <c r="L6413" s="250">
        <v>1</v>
      </c>
      <c r="M6413" s="163" t="str">
        <f>CONCATENATE(H6413," ",F6413,"(обрабатываемая площадь в мес.)","*",L6413,"мес.","*",I6413,"/",K6413,"чел")</f>
        <v>0,5 га(обрабатываемая площадь в мес.)*1мес.*0,789486/990чел</v>
      </c>
      <c r="N6413" s="278">
        <f>Лист1!M171</f>
        <v>3102.42</v>
      </c>
      <c r="O6413" s="280">
        <f>MROUND(N6413*G6413,0.000001)</f>
        <v>1.2369349999999999</v>
      </c>
      <c r="P6413" s="166"/>
      <c r="Q6413" s="166">
        <f t="shared" si="1686"/>
        <v>1224.56565</v>
      </c>
      <c r="R6413" s="71"/>
    </row>
    <row r="6414" spans="1:41" s="62" customFormat="1" x14ac:dyDescent="0.25">
      <c r="A6414" s="358"/>
      <c r="B6414" s="361"/>
      <c r="C6414" s="218" t="s">
        <v>294</v>
      </c>
      <c r="D6414" s="240"/>
      <c r="E6414" s="240"/>
      <c r="F6414" s="240"/>
      <c r="G6414" s="227"/>
      <c r="H6414" s="241"/>
      <c r="I6414" s="206"/>
      <c r="J6414" s="228"/>
      <c r="K6414" s="207"/>
      <c r="L6414" s="257"/>
      <c r="M6414" s="209"/>
      <c r="N6414" s="281"/>
      <c r="O6414" s="279">
        <f>SUM(O6408:O6413)</f>
        <v>42.346431000000003</v>
      </c>
      <c r="P6414" s="267"/>
      <c r="Q6414" s="166"/>
      <c r="R6414" s="71"/>
    </row>
    <row r="6415" spans="1:41" s="61" customFormat="1" ht="78.75" x14ac:dyDescent="0.25">
      <c r="A6415" s="358"/>
      <c r="B6415" s="361"/>
      <c r="C6415" s="366"/>
      <c r="D6415" s="156" t="s">
        <v>250</v>
      </c>
      <c r="E6415" s="156" t="s">
        <v>251</v>
      </c>
      <c r="F6415" s="156" t="s">
        <v>60</v>
      </c>
      <c r="G6415" s="238">
        <f>MROUND(H6415*L6415*I6415/K6415,0.00000001)</f>
        <v>9.5695299999999997E-3</v>
      </c>
      <c r="H6415" s="158">
        <v>1</v>
      </c>
      <c r="I6415" s="159">
        <f>I6413</f>
        <v>0.78948599999999991</v>
      </c>
      <c r="J6415" s="160"/>
      <c r="K6415" s="161">
        <f>K6413</f>
        <v>990</v>
      </c>
      <c r="L6415" s="250">
        <v>12</v>
      </c>
      <c r="M6415" s="163" t="str">
        <f t="shared" ref="M6415" si="1689">CONCATENATE(H6415," ",F6415,"*",I6415,"/",K6415,"чел/час")</f>
        <v>1 шт.*0,789486/990чел/час</v>
      </c>
      <c r="N6415" s="278">
        <f>Лист1!M191</f>
        <v>380.04666666666668</v>
      </c>
      <c r="O6415" s="280">
        <f>MROUND(N6415*G6415,0.000001)</f>
        <v>3.6368679999999998</v>
      </c>
      <c r="P6415" s="166"/>
      <c r="Q6415" s="166">
        <f t="shared" ref="Q6415:Q6420" si="1690">O6415*K6415</f>
        <v>3600.4993199999999</v>
      </c>
      <c r="R6415" s="71"/>
      <c r="T6415" s="71"/>
    </row>
    <row r="6416" spans="1:41" s="61" customFormat="1" ht="47.25" x14ac:dyDescent="0.25">
      <c r="A6416" s="358"/>
      <c r="B6416" s="361"/>
      <c r="C6416" s="366"/>
      <c r="D6416" s="156" t="s">
        <v>401</v>
      </c>
      <c r="E6416" s="156" t="s">
        <v>60</v>
      </c>
      <c r="F6416" s="156" t="s">
        <v>402</v>
      </c>
      <c r="G6416" s="238">
        <f>MROUND(H6416*L6416*I6416/K6416,0.000001)</f>
        <v>0</v>
      </c>
      <c r="H6416" s="158"/>
      <c r="I6416" s="159">
        <f>I6415</f>
        <v>0.78948599999999991</v>
      </c>
      <c r="J6416" s="160"/>
      <c r="K6416" s="161">
        <f>K6415</f>
        <v>990</v>
      </c>
      <c r="L6416" s="250">
        <v>1</v>
      </c>
      <c r="M6416" s="163"/>
      <c r="N6416" s="278"/>
      <c r="O6416" s="280">
        <f>MROUND(N6416*G6416,0.000001)</f>
        <v>0</v>
      </c>
      <c r="P6416" s="166"/>
      <c r="Q6416" s="166">
        <f t="shared" si="1690"/>
        <v>0</v>
      </c>
      <c r="R6416" s="71"/>
      <c r="T6416" s="71"/>
    </row>
    <row r="6417" spans="1:20" s="61" customFormat="1" ht="31.5" x14ac:dyDescent="0.25">
      <c r="A6417" s="358"/>
      <c r="B6417" s="361"/>
      <c r="C6417" s="366"/>
      <c r="D6417" s="156" t="s">
        <v>35</v>
      </c>
      <c r="E6417" s="156" t="s">
        <v>102</v>
      </c>
      <c r="F6417" s="156" t="s">
        <v>252</v>
      </c>
      <c r="G6417" s="238">
        <f>MROUND(H6417*L6417*I6417/K6417,0.00000001)</f>
        <v>0</v>
      </c>
      <c r="H6417" s="158"/>
      <c r="I6417" s="159">
        <f>I6416</f>
        <v>0.78948599999999991</v>
      </c>
      <c r="J6417" s="160"/>
      <c r="K6417" s="161">
        <f>K6416</f>
        <v>990</v>
      </c>
      <c r="L6417" s="250">
        <v>1</v>
      </c>
      <c r="M6417" s="163"/>
      <c r="N6417" s="278"/>
      <c r="O6417" s="280">
        <f>MROUND(N6417*G6417,0.000001)</f>
        <v>0</v>
      </c>
      <c r="P6417" s="166"/>
      <c r="Q6417" s="166">
        <f t="shared" si="1690"/>
        <v>0</v>
      </c>
      <c r="R6417" s="71"/>
      <c r="S6417" s="71"/>
    </row>
    <row r="6418" spans="1:20" s="61" customFormat="1" ht="31.5" x14ac:dyDescent="0.25">
      <c r="A6418" s="358"/>
      <c r="B6418" s="361"/>
      <c r="C6418" s="366"/>
      <c r="D6418" s="156" t="s">
        <v>99</v>
      </c>
      <c r="E6418" s="156" t="s">
        <v>103</v>
      </c>
      <c r="F6418" s="156" t="s">
        <v>225</v>
      </c>
      <c r="G6418" s="238">
        <f>MROUND(H6418*L6418*I6418/K6418,0.00000001)</f>
        <v>0</v>
      </c>
      <c r="H6418" s="158"/>
      <c r="I6418" s="159">
        <f>I6417</f>
        <v>0.78948599999999991</v>
      </c>
      <c r="J6418" s="160"/>
      <c r="K6418" s="161">
        <f>K6417</f>
        <v>990</v>
      </c>
      <c r="L6418" s="250">
        <v>1</v>
      </c>
      <c r="M6418" s="163"/>
      <c r="N6418" s="164">
        <f>Лист1!M3436</f>
        <v>0</v>
      </c>
      <c r="O6418" s="165">
        <f>MROUND(G6418*N6418,0.000001)</f>
        <v>0</v>
      </c>
      <c r="P6418" s="166"/>
      <c r="Q6418" s="166">
        <f t="shared" si="1690"/>
        <v>0</v>
      </c>
      <c r="R6418" s="71"/>
    </row>
    <row r="6419" spans="1:20" s="61" customFormat="1" x14ac:dyDescent="0.25">
      <c r="A6419" s="358"/>
      <c r="B6419" s="361"/>
      <c r="C6419" s="366"/>
      <c r="D6419" s="156" t="s">
        <v>27</v>
      </c>
      <c r="E6419" s="156" t="s">
        <v>28</v>
      </c>
      <c r="F6419" s="156" t="s">
        <v>28</v>
      </c>
      <c r="G6419" s="238">
        <f>MROUND(H6419*L6419*I6419/K6419,0.000001)</f>
        <v>0</v>
      </c>
      <c r="H6419" s="160"/>
      <c r="I6419" s="159">
        <f>I6417</f>
        <v>0.78948599999999991</v>
      </c>
      <c r="J6419" s="160"/>
      <c r="K6419" s="161">
        <f>K6417</f>
        <v>990</v>
      </c>
      <c r="L6419" s="250">
        <v>1</v>
      </c>
      <c r="M6419" s="163"/>
      <c r="N6419" s="278">
        <f>Лист1!M3437</f>
        <v>0</v>
      </c>
      <c r="O6419" s="280">
        <f>MROUND(N6419*G6419,0.000001)</f>
        <v>0</v>
      </c>
      <c r="P6419" s="166"/>
      <c r="Q6419" s="166">
        <f t="shared" si="1690"/>
        <v>0</v>
      </c>
      <c r="R6419" s="71"/>
      <c r="S6419" s="71"/>
    </row>
    <row r="6420" spans="1:20" s="61" customFormat="1" ht="31.5" x14ac:dyDescent="0.25">
      <c r="A6420" s="358"/>
      <c r="B6420" s="361"/>
      <c r="C6420" s="367"/>
      <c r="D6420" s="156" t="s">
        <v>104</v>
      </c>
      <c r="E6420" s="156" t="s">
        <v>105</v>
      </c>
      <c r="F6420" s="156" t="s">
        <v>226</v>
      </c>
      <c r="G6420" s="238">
        <f>MROUND(H6420*L6420*I6420/K6420,0.00000001)</f>
        <v>0</v>
      </c>
      <c r="H6420" s="160"/>
      <c r="I6420" s="159">
        <f>I6419</f>
        <v>0.78948599999999991</v>
      </c>
      <c r="J6420" s="160"/>
      <c r="K6420" s="161">
        <f>K6419</f>
        <v>990</v>
      </c>
      <c r="L6420" s="250">
        <v>1</v>
      </c>
      <c r="M6420" s="163"/>
      <c r="N6420" s="278">
        <f>Лист1!M3438</f>
        <v>0</v>
      </c>
      <c r="O6420" s="280">
        <f>MROUND(N6420*G6420,0.000001)</f>
        <v>0</v>
      </c>
      <c r="P6420" s="166"/>
      <c r="Q6420" s="166">
        <f t="shared" si="1690"/>
        <v>0</v>
      </c>
      <c r="R6420" s="71"/>
      <c r="S6420" s="71"/>
    </row>
    <row r="6421" spans="1:20" s="62" customFormat="1" x14ac:dyDescent="0.25">
      <c r="A6421" s="358"/>
      <c r="B6421" s="361"/>
      <c r="C6421" s="249" t="s">
        <v>292</v>
      </c>
      <c r="D6421" s="240"/>
      <c r="E6421" s="240"/>
      <c r="F6421" s="240"/>
      <c r="G6421" s="227"/>
      <c r="H6421" s="228"/>
      <c r="I6421" s="206"/>
      <c r="J6421" s="228"/>
      <c r="K6421" s="207"/>
      <c r="L6421" s="257"/>
      <c r="M6421" s="209"/>
      <c r="N6421" s="281"/>
      <c r="O6421" s="279">
        <f>SUM(O6415:O6420)</f>
        <v>3.6368679999999998</v>
      </c>
      <c r="P6421" s="267"/>
      <c r="Q6421" s="166"/>
      <c r="R6421" s="71"/>
    </row>
    <row r="6422" spans="1:20" s="61" customFormat="1" ht="31.5" x14ac:dyDescent="0.25">
      <c r="A6422" s="358"/>
      <c r="B6422" s="361"/>
      <c r="C6422" s="221" t="s">
        <v>79</v>
      </c>
      <c r="D6422" s="156" t="s">
        <v>37</v>
      </c>
      <c r="E6422" s="156" t="s">
        <v>61</v>
      </c>
      <c r="F6422" s="156" t="s">
        <v>254</v>
      </c>
      <c r="G6422" s="238">
        <f>MROUND(H6422*L6422*I6422/K6422,0.00000001)</f>
        <v>7.9746000000000005E-4</v>
      </c>
      <c r="H6422" s="158">
        <v>1</v>
      </c>
      <c r="I6422" s="159">
        <f>I6420</f>
        <v>0.78948599999999991</v>
      </c>
      <c r="J6422" s="160"/>
      <c r="K6422" s="161">
        <f>K6420</f>
        <v>990</v>
      </c>
      <c r="L6422" s="250">
        <v>1</v>
      </c>
      <c r="M6422" s="163" t="str">
        <f t="shared" ref="M6422" si="1691">CONCATENATE(H6422," ",F6422,"*",I6422,"/",K6422,"чел/час")</f>
        <v>1 автобус*0,789486/990чел/час</v>
      </c>
      <c r="N6422" s="278">
        <f>Лист1!M192</f>
        <v>24426.36</v>
      </c>
      <c r="O6422" s="280">
        <f>MROUND(N6422*G6422,0.000001)</f>
        <v>19.479044999999999</v>
      </c>
      <c r="P6422" s="166"/>
      <c r="Q6422" s="166">
        <f t="shared" ref="Q6422:Q6424" si="1692">O6422*K6422</f>
        <v>19284.254549999998</v>
      </c>
      <c r="R6422" s="71"/>
      <c r="S6422" s="71"/>
    </row>
    <row r="6423" spans="1:20" s="61" customFormat="1" ht="31.5" x14ac:dyDescent="0.25">
      <c r="A6423" s="358"/>
      <c r="B6423" s="361"/>
      <c r="C6423" s="221"/>
      <c r="D6423" s="156" t="s">
        <v>262</v>
      </c>
      <c r="E6423" s="156" t="s">
        <v>440</v>
      </c>
      <c r="F6423" s="156" t="s">
        <v>441</v>
      </c>
      <c r="G6423" s="238">
        <f>MROUND(H6423*L6423*I6423/K6423,0.000001)</f>
        <v>3.1899999999999997E-3</v>
      </c>
      <c r="H6423" s="158">
        <f>Лист1!K193</f>
        <v>1</v>
      </c>
      <c r="I6423" s="159">
        <f>I6422</f>
        <v>0.78948599999999991</v>
      </c>
      <c r="J6423" s="160"/>
      <c r="K6423" s="161">
        <f>K6422</f>
        <v>990</v>
      </c>
      <c r="L6423" s="250">
        <v>4</v>
      </c>
      <c r="M6423" s="163" t="str">
        <f>CONCATENATE(H6423," ",F6423,"*",L6423,"раза в год","*",I6423,"/",K6423,"чел/час")</f>
        <v>1 услуга*4раза в год*0,789486/990чел/час</v>
      </c>
      <c r="N6423" s="278">
        <f>Лист1!M193</f>
        <v>25795.6675</v>
      </c>
      <c r="O6423" s="280">
        <f>MROUND(N6423*G6423,0.000001)</f>
        <v>82.288179</v>
      </c>
      <c r="P6423" s="166"/>
      <c r="Q6423" s="166">
        <f t="shared" si="1692"/>
        <v>81465.297210000004</v>
      </c>
      <c r="R6423" s="71"/>
    </row>
    <row r="6424" spans="1:20" s="61" customFormat="1" x14ac:dyDescent="0.25">
      <c r="A6424" s="358"/>
      <c r="B6424" s="361"/>
      <c r="C6424" s="221"/>
      <c r="D6424" s="156" t="s">
        <v>255</v>
      </c>
      <c r="E6424" s="156" t="s">
        <v>28</v>
      </c>
      <c r="F6424" s="156" t="s">
        <v>28</v>
      </c>
      <c r="G6424" s="238">
        <f>MROUND(H6424*L6424*I6424/K6424,0.000001)</f>
        <v>4.4657999999999996E-2</v>
      </c>
      <c r="H6424" s="158">
        <f>Лист1!K194</f>
        <v>56</v>
      </c>
      <c r="I6424" s="159">
        <f>I6422</f>
        <v>0.78948599999999991</v>
      </c>
      <c r="J6424" s="160"/>
      <c r="K6424" s="161">
        <f>K6422</f>
        <v>990</v>
      </c>
      <c r="L6424" s="250">
        <v>1</v>
      </c>
      <c r="M6424" s="163" t="str">
        <f>CONCATENATE(H6424," ",F6424,"*",L6424,"раза в год","*",I6424,"/",K6424,"чел/час")</f>
        <v>56 шт*1раза в год*0,789486/990чел/час</v>
      </c>
      <c r="N6424" s="278">
        <f>Лист1!M194</f>
        <v>777.7383928571428</v>
      </c>
      <c r="O6424" s="280">
        <f>MROUND(N6424*G6424,0.000001)</f>
        <v>34.732241000000002</v>
      </c>
      <c r="P6424" s="166"/>
      <c r="Q6424" s="166">
        <f t="shared" si="1692"/>
        <v>34384.918590000001</v>
      </c>
      <c r="R6424" s="71"/>
      <c r="T6424" s="71"/>
    </row>
    <row r="6425" spans="1:20" s="62" customFormat="1" x14ac:dyDescent="0.25">
      <c r="A6425" s="358"/>
      <c r="B6425" s="361"/>
      <c r="C6425" s="218" t="s">
        <v>295</v>
      </c>
      <c r="D6425" s="240"/>
      <c r="E6425" s="240"/>
      <c r="F6425" s="240"/>
      <c r="G6425" s="227"/>
      <c r="H6425" s="241"/>
      <c r="I6425" s="206"/>
      <c r="J6425" s="228"/>
      <c r="K6425" s="207"/>
      <c r="L6425" s="257"/>
      <c r="M6425" s="209"/>
      <c r="N6425" s="281"/>
      <c r="O6425" s="279">
        <f>O6422+O6423+O6424</f>
        <v>136.49946499999999</v>
      </c>
      <c r="P6425" s="267"/>
      <c r="Q6425" s="166"/>
      <c r="R6425" s="71"/>
    </row>
    <row r="6426" spans="1:20" s="61" customFormat="1" x14ac:dyDescent="0.25">
      <c r="A6426" s="358"/>
      <c r="B6426" s="361"/>
      <c r="C6426" s="364" t="s">
        <v>80</v>
      </c>
      <c r="D6426" s="156" t="s">
        <v>38</v>
      </c>
      <c r="E6426" s="156" t="s">
        <v>57</v>
      </c>
      <c r="F6426" s="156" t="s">
        <v>228</v>
      </c>
      <c r="G6426" s="238">
        <f>MROUND(H6426*L6426*I6426/K6426,0.000001)</f>
        <v>0</v>
      </c>
      <c r="H6426" s="158"/>
      <c r="I6426" s="159">
        <f>I6422</f>
        <v>0.78948599999999991</v>
      </c>
      <c r="J6426" s="160"/>
      <c r="K6426" s="161">
        <f>K6422</f>
        <v>990</v>
      </c>
      <c r="L6426" s="250">
        <v>12</v>
      </c>
      <c r="M6426" s="163"/>
      <c r="N6426" s="278"/>
      <c r="O6426" s="280">
        <f>MROUND(N6426*G6426,0.000001)</f>
        <v>0</v>
      </c>
      <c r="P6426" s="166"/>
      <c r="Q6426" s="166">
        <f t="shared" ref="Q6426:Q6442" si="1693">O6426*K6426</f>
        <v>0</v>
      </c>
      <c r="R6426" s="71"/>
      <c r="S6426" s="71"/>
    </row>
    <row r="6427" spans="1:20" s="61" customFormat="1" x14ac:dyDescent="0.25">
      <c r="A6427" s="358"/>
      <c r="B6427" s="361"/>
      <c r="C6427" s="364"/>
      <c r="D6427" s="156" t="s">
        <v>256</v>
      </c>
      <c r="E6427" s="156" t="s">
        <v>20</v>
      </c>
      <c r="F6427" s="156" t="s">
        <v>20</v>
      </c>
      <c r="G6427" s="238">
        <f>MROUND(H6427*L6427*I6427/K6427,0.00000001)</f>
        <v>1.9936519999999999E-2</v>
      </c>
      <c r="H6427" s="158">
        <f>Лист1!K212</f>
        <v>25</v>
      </c>
      <c r="I6427" s="159">
        <f>I6424</f>
        <v>0.78948599999999991</v>
      </c>
      <c r="J6427" s="160"/>
      <c r="K6427" s="161">
        <f>K6424</f>
        <v>990</v>
      </c>
      <c r="L6427" s="250">
        <v>1</v>
      </c>
      <c r="M6427" s="163" t="str">
        <f t="shared" ref="M6427:M6432" si="1694">CONCATENATE(H6427," ",F6427,"*",I6427,"/",K6427,"чел/час")</f>
        <v>25 чел.*0,789486/990чел/час</v>
      </c>
      <c r="N6427" s="278">
        <f>Лист1!M212</f>
        <v>1938.2380000000003</v>
      </c>
      <c r="O6427" s="280">
        <f t="shared" ref="O6427:O6428" si="1695">MROUND(N6427*G6427,0.000001)</f>
        <v>38.641720999999997</v>
      </c>
      <c r="P6427" s="166"/>
      <c r="Q6427" s="166">
        <f t="shared" si="1693"/>
        <v>38255.303789999998</v>
      </c>
      <c r="R6427" s="71"/>
      <c r="S6427" s="71"/>
    </row>
    <row r="6428" spans="1:20" s="61" customFormat="1" ht="63" x14ac:dyDescent="0.25">
      <c r="A6428" s="358"/>
      <c r="B6428" s="361"/>
      <c r="C6428" s="364"/>
      <c r="D6428" s="156" t="s">
        <v>39</v>
      </c>
      <c r="E6428" s="156" t="s">
        <v>20</v>
      </c>
      <c r="F6428" s="156" t="s">
        <v>234</v>
      </c>
      <c r="G6428" s="238">
        <f>MROUND(H6428*L6428*I6428/K6428,0.000001)</f>
        <v>7.9699999999999997E-4</v>
      </c>
      <c r="H6428" s="158">
        <v>1</v>
      </c>
      <c r="I6428" s="159">
        <f>I6426</f>
        <v>0.78948599999999991</v>
      </c>
      <c r="J6428" s="160"/>
      <c r="K6428" s="161">
        <f>K6426</f>
        <v>990</v>
      </c>
      <c r="L6428" s="250">
        <v>1</v>
      </c>
      <c r="M6428" s="163" t="str">
        <f t="shared" si="1694"/>
        <v>1 чел(заявленная потребность руководителями учреждений)*0,789486/990чел/час</v>
      </c>
      <c r="N6428" s="278">
        <f>Лист1!M202</f>
        <v>798.1</v>
      </c>
      <c r="O6428" s="280">
        <f t="shared" si="1695"/>
        <v>0.63608599999999993</v>
      </c>
      <c r="P6428" s="166"/>
      <c r="Q6428" s="166">
        <f t="shared" si="1693"/>
        <v>629.7251399999999</v>
      </c>
      <c r="R6428" s="71"/>
      <c r="T6428" s="71"/>
    </row>
    <row r="6429" spans="1:20" s="61" customFormat="1" ht="63" x14ac:dyDescent="0.25">
      <c r="A6429" s="358"/>
      <c r="B6429" s="361"/>
      <c r="C6429" s="364"/>
      <c r="D6429" s="156" t="s">
        <v>40</v>
      </c>
      <c r="E6429" s="156" t="s">
        <v>20</v>
      </c>
      <c r="F6429" s="156" t="s">
        <v>234</v>
      </c>
      <c r="G6429" s="238">
        <f>MROUND(H6429*L6429*I6429/K6429,0.000001)</f>
        <v>7.9699999999999997E-4</v>
      </c>
      <c r="H6429" s="158">
        <v>1</v>
      </c>
      <c r="I6429" s="159">
        <f>I6427</f>
        <v>0.78948599999999991</v>
      </c>
      <c r="J6429" s="160"/>
      <c r="K6429" s="161">
        <f>K6427</f>
        <v>990</v>
      </c>
      <c r="L6429" s="250">
        <v>1</v>
      </c>
      <c r="M6429" s="163" t="str">
        <f t="shared" si="1694"/>
        <v>1 чел(заявленная потребность руководителями учреждений)*0,789486/990чел/час</v>
      </c>
      <c r="N6429" s="278">
        <f>Лист1!M203</f>
        <v>1710.21</v>
      </c>
      <c r="O6429" s="280">
        <f>MROUND(N6429*G6429,0.000001)</f>
        <v>1.3630369999999998</v>
      </c>
      <c r="P6429" s="166"/>
      <c r="Q6429" s="166">
        <f t="shared" si="1693"/>
        <v>1349.4066299999997</v>
      </c>
      <c r="R6429" s="71"/>
      <c r="T6429" s="71"/>
    </row>
    <row r="6430" spans="1:20" s="61" customFormat="1" ht="63" x14ac:dyDescent="0.25">
      <c r="A6430" s="358"/>
      <c r="B6430" s="361"/>
      <c r="C6430" s="364"/>
      <c r="D6430" s="156" t="s">
        <v>100</v>
      </c>
      <c r="E6430" s="156" t="s">
        <v>20</v>
      </c>
      <c r="F6430" s="156" t="s">
        <v>234</v>
      </c>
      <c r="G6430" s="238">
        <f>MROUND(H6430*L6430*I6430/K6430,0.00000001)</f>
        <v>7.9746000000000005E-4</v>
      </c>
      <c r="H6430" s="158">
        <v>1</v>
      </c>
      <c r="I6430" s="159">
        <f>I6428</f>
        <v>0.78948599999999991</v>
      </c>
      <c r="J6430" s="160"/>
      <c r="K6430" s="161">
        <f>K6428</f>
        <v>990</v>
      </c>
      <c r="L6430" s="250">
        <v>1</v>
      </c>
      <c r="M6430" s="163" t="str">
        <f t="shared" si="1694"/>
        <v>1 чел(заявленная потребность руководителями учреждений)*0,789486/990чел/час</v>
      </c>
      <c r="N6430" s="278">
        <f>Лист1!M204</f>
        <v>3648.4500000000003</v>
      </c>
      <c r="O6430" s="280">
        <f>MROUND(N6430*G6430,0.000001)</f>
        <v>2.9094929999999999</v>
      </c>
      <c r="P6430" s="166"/>
      <c r="Q6430" s="166">
        <f t="shared" si="1693"/>
        <v>2880.3980699999997</v>
      </c>
      <c r="R6430" s="71"/>
      <c r="T6430" s="71"/>
    </row>
    <row r="6431" spans="1:20" s="61" customFormat="1" ht="110.25" x14ac:dyDescent="0.25">
      <c r="A6431" s="358"/>
      <c r="B6431" s="361"/>
      <c r="C6431" s="364"/>
      <c r="D6431" s="156" t="s">
        <v>235</v>
      </c>
      <c r="E6431" s="156" t="s">
        <v>50</v>
      </c>
      <c r="F6431" s="156" t="s">
        <v>230</v>
      </c>
      <c r="G6431" s="238">
        <f>MROUND(H6431*L6431*I6431/K6431,0.0000001)</f>
        <v>7.9749999999999992E-4</v>
      </c>
      <c r="H6431" s="158">
        <v>1</v>
      </c>
      <c r="I6431" s="159">
        <f>I6427</f>
        <v>0.78948599999999991</v>
      </c>
      <c r="J6431" s="160"/>
      <c r="K6431" s="161">
        <f>K6427</f>
        <v>990</v>
      </c>
      <c r="L6431" s="250">
        <v>1</v>
      </c>
      <c r="M6431" s="163" t="str">
        <f t="shared" si="1694"/>
        <v>1 отчетов*0,789486/990чел/час</v>
      </c>
      <c r="N6431" s="278">
        <f>Лист1!M205</f>
        <v>6840.84</v>
      </c>
      <c r="O6431" s="280">
        <f t="shared" ref="O6431:O6442" si="1696">MROUND(N6431*G6431,0.000001)</f>
        <v>5.4555699999999998</v>
      </c>
      <c r="P6431" s="166"/>
      <c r="Q6431" s="166">
        <f t="shared" si="1693"/>
        <v>5401.0142999999998</v>
      </c>
      <c r="R6431" s="71"/>
      <c r="S6431" s="71"/>
    </row>
    <row r="6432" spans="1:20" s="61" customFormat="1" ht="63" x14ac:dyDescent="0.25">
      <c r="A6432" s="358"/>
      <c r="B6432" s="361"/>
      <c r="C6432" s="364"/>
      <c r="D6432" s="156" t="s">
        <v>42</v>
      </c>
      <c r="E6432" s="156" t="s">
        <v>51</v>
      </c>
      <c r="F6432" s="156" t="s">
        <v>407</v>
      </c>
      <c r="G6432" s="238">
        <f>MROUND(H6432*L6432*I6432/K6432,0.000001)</f>
        <v>4.7850000000000002E-3</v>
      </c>
      <c r="H6432" s="158">
        <f>Лист1!K209</f>
        <v>6</v>
      </c>
      <c r="I6432" s="159">
        <f t="shared" ref="I6432:I6438" si="1697">I6431</f>
        <v>0.78948599999999991</v>
      </c>
      <c r="J6432" s="160"/>
      <c r="K6432" s="161">
        <f t="shared" ref="K6432:K6438" si="1698">K6431</f>
        <v>990</v>
      </c>
      <c r="L6432" s="250">
        <v>1</v>
      </c>
      <c r="M6432" s="163" t="str">
        <f t="shared" si="1694"/>
        <v>6 ед (заявленная потребность руководителями учреждений)*0,789486/990чел/час</v>
      </c>
      <c r="N6432" s="278">
        <f>Лист1!M209</f>
        <v>1140.1400000000001</v>
      </c>
      <c r="O6432" s="280">
        <f t="shared" si="1696"/>
        <v>5.4555699999999998</v>
      </c>
      <c r="P6432" s="166"/>
      <c r="Q6432" s="166">
        <f t="shared" si="1693"/>
        <v>5401.0142999999998</v>
      </c>
      <c r="R6432" s="71"/>
      <c r="S6432" s="71"/>
    </row>
    <row r="6433" spans="1:20" s="61" customFormat="1" ht="31.5" x14ac:dyDescent="0.25">
      <c r="A6433" s="358"/>
      <c r="B6433" s="361"/>
      <c r="C6433" s="364"/>
      <c r="D6433" s="156" t="s">
        <v>263</v>
      </c>
      <c r="E6433" s="156" t="s">
        <v>264</v>
      </c>
      <c r="F6433" s="156" t="s">
        <v>265</v>
      </c>
      <c r="G6433" s="238">
        <f>MROUND(H6433*L6433*I6433/K6433,0.000001)</f>
        <v>9.5700000000000004E-3</v>
      </c>
      <c r="H6433" s="158">
        <v>1</v>
      </c>
      <c r="I6433" s="159">
        <f t="shared" si="1697"/>
        <v>0.78948599999999991</v>
      </c>
      <c r="J6433" s="160"/>
      <c r="K6433" s="161">
        <f t="shared" si="1698"/>
        <v>990</v>
      </c>
      <c r="L6433" s="250">
        <v>12</v>
      </c>
      <c r="M6433" s="163" t="str">
        <f>CONCATENATE(H6433," ",F6433,"*",L6433,"мес.","*",I6433,"/",K6433,"чел/час")</f>
        <v>1 мойка*12мес.*0,789486/990чел/час</v>
      </c>
      <c r="N6433" s="278">
        <f>Лист1!M197</f>
        <v>570.07000000000005</v>
      </c>
      <c r="O6433" s="280">
        <f t="shared" si="1696"/>
        <v>5.4555699999999998</v>
      </c>
      <c r="P6433" s="166"/>
      <c r="Q6433" s="166">
        <f t="shared" si="1693"/>
        <v>5401.0142999999998</v>
      </c>
      <c r="R6433" s="71"/>
    </row>
    <row r="6434" spans="1:20" s="61" customFormat="1" ht="31.5" x14ac:dyDescent="0.25">
      <c r="A6434" s="358"/>
      <c r="B6434" s="361"/>
      <c r="C6434" s="364"/>
      <c r="D6434" s="156" t="s">
        <v>266</v>
      </c>
      <c r="E6434" s="156" t="s">
        <v>267</v>
      </c>
      <c r="F6434" s="156" t="s">
        <v>268</v>
      </c>
      <c r="G6434" s="238">
        <f>MROUND(H6434*L6434*I6434/K6434,0.000001)</f>
        <v>0.19139099999999998</v>
      </c>
      <c r="H6434" s="158">
        <f>Лист1!K198</f>
        <v>20</v>
      </c>
      <c r="I6434" s="159">
        <f t="shared" si="1697"/>
        <v>0.78948599999999991</v>
      </c>
      <c r="J6434" s="160"/>
      <c r="K6434" s="161">
        <f t="shared" si="1698"/>
        <v>990</v>
      </c>
      <c r="L6434" s="250">
        <v>12</v>
      </c>
      <c r="M6434" s="163" t="str">
        <f>CONCATENATE(H6434," ",F6434,"*",L6434,"мес.","*",I6434,"/",K6434,"чел/час")</f>
        <v>20 комплектов в мес.*12мес.*0,789486/990чел/час</v>
      </c>
      <c r="N6434" s="278">
        <f>Лист1!M198</f>
        <v>513.06299999999999</v>
      </c>
      <c r="O6434" s="280">
        <f t="shared" si="1696"/>
        <v>98.195640999999995</v>
      </c>
      <c r="P6434" s="166"/>
      <c r="Q6434" s="166">
        <f t="shared" si="1693"/>
        <v>97213.68458999999</v>
      </c>
      <c r="R6434" s="71"/>
    </row>
    <row r="6435" spans="1:20" s="61" customFormat="1" ht="47.25" x14ac:dyDescent="0.25">
      <c r="A6435" s="358"/>
      <c r="B6435" s="361"/>
      <c r="C6435" s="364"/>
      <c r="D6435" s="156" t="s">
        <v>269</v>
      </c>
      <c r="E6435" s="156" t="s">
        <v>20</v>
      </c>
      <c r="F6435" s="156" t="s">
        <v>20</v>
      </c>
      <c r="G6435" s="238">
        <f>MROUND(H6435*L6435*I6435/K6435,0.00000001)</f>
        <v>3.9873E-3</v>
      </c>
      <c r="H6435" s="158">
        <f>Лист1!K199</f>
        <v>5</v>
      </c>
      <c r="I6435" s="159">
        <f t="shared" si="1697"/>
        <v>0.78948599999999991</v>
      </c>
      <c r="J6435" s="160"/>
      <c r="K6435" s="161">
        <f t="shared" si="1698"/>
        <v>990</v>
      </c>
      <c r="L6435" s="250">
        <v>1</v>
      </c>
      <c r="M6435" s="163" t="str">
        <f>CONCATENATE(H6435," ",F6435,"*",I6435,"/",K6435,"чел/час")</f>
        <v>5 чел.*0,789486/990чел/час</v>
      </c>
      <c r="N6435" s="278">
        <f>Лист1!M199</f>
        <v>18384.758000000002</v>
      </c>
      <c r="O6435" s="280">
        <f t="shared" si="1696"/>
        <v>73.305545999999993</v>
      </c>
      <c r="P6435" s="166"/>
      <c r="Q6435" s="166">
        <f t="shared" si="1693"/>
        <v>72572.490539999999</v>
      </c>
      <c r="R6435" s="71"/>
    </row>
    <row r="6436" spans="1:20" s="61" customFormat="1" ht="31.5" x14ac:dyDescent="0.25">
      <c r="A6436" s="358"/>
      <c r="B6436" s="361"/>
      <c r="C6436" s="364"/>
      <c r="D6436" s="156" t="s">
        <v>376</v>
      </c>
      <c r="E6436" s="156" t="s">
        <v>55</v>
      </c>
      <c r="F6436" s="156" t="s">
        <v>55</v>
      </c>
      <c r="G6436" s="238">
        <f>MROUND(H6436*L6436*I6436/K6436,0.00000001)</f>
        <v>9.5695299999999997E-3</v>
      </c>
      <c r="H6436" s="158">
        <v>1</v>
      </c>
      <c r="I6436" s="159">
        <f t="shared" si="1697"/>
        <v>0.78948599999999991</v>
      </c>
      <c r="J6436" s="160"/>
      <c r="K6436" s="161">
        <f t="shared" si="1698"/>
        <v>990</v>
      </c>
      <c r="L6436" s="250">
        <v>12</v>
      </c>
      <c r="M6436" s="163" t="str">
        <f>CONCATENATE(H6436," ",F6436,"*",L6436,"мес.","*",I6436,"/",K6436,"чел/час")</f>
        <v>1 система*12мес.*0,789486/990чел/час</v>
      </c>
      <c r="N6436" s="278">
        <f>Лист1!M206</f>
        <v>25726.499166666665</v>
      </c>
      <c r="O6436" s="280">
        <f t="shared" si="1696"/>
        <v>246.190506</v>
      </c>
      <c r="P6436" s="166"/>
      <c r="Q6436" s="166">
        <f t="shared" si="1693"/>
        <v>243728.60094</v>
      </c>
      <c r="R6436" s="71"/>
    </row>
    <row r="6437" spans="1:20" s="61" customFormat="1" ht="31.5" x14ac:dyDescent="0.25">
      <c r="A6437" s="358"/>
      <c r="B6437" s="361"/>
      <c r="C6437" s="364"/>
      <c r="D6437" s="156" t="s">
        <v>270</v>
      </c>
      <c r="E6437" s="156" t="s">
        <v>60</v>
      </c>
      <c r="F6437" s="156" t="s">
        <v>60</v>
      </c>
      <c r="G6437" s="238">
        <f>MROUND(H6437*L6437*I6437/K6437,0.000001)</f>
        <v>1.3557E-2</v>
      </c>
      <c r="H6437" s="158">
        <f>Лист1!K208</f>
        <v>17</v>
      </c>
      <c r="I6437" s="159">
        <f t="shared" si="1697"/>
        <v>0.78948599999999991</v>
      </c>
      <c r="J6437" s="160"/>
      <c r="K6437" s="161">
        <f t="shared" si="1698"/>
        <v>990</v>
      </c>
      <c r="L6437" s="250">
        <v>1</v>
      </c>
      <c r="M6437" s="163" t="str">
        <f>CONCATENATE(H6437," ",F6437,"*",I6437,"/",K6437,"чел/час")</f>
        <v>17 шт.*0,789486/990чел/час</v>
      </c>
      <c r="N6437" s="278">
        <f>Лист1!M208</f>
        <v>3219.218823529412</v>
      </c>
      <c r="O6437" s="280">
        <f t="shared" si="1696"/>
        <v>43.642949999999999</v>
      </c>
      <c r="P6437" s="166"/>
      <c r="Q6437" s="166">
        <f t="shared" si="1693"/>
        <v>43206.520499999999</v>
      </c>
      <c r="R6437" s="71"/>
    </row>
    <row r="6438" spans="1:20" s="61" customFormat="1" ht="31.5" x14ac:dyDescent="0.25">
      <c r="A6438" s="358"/>
      <c r="B6438" s="361"/>
      <c r="C6438" s="364"/>
      <c r="D6438" s="156" t="s">
        <v>408</v>
      </c>
      <c r="E6438" s="156" t="s">
        <v>20</v>
      </c>
      <c r="F6438" s="156" t="s">
        <v>20</v>
      </c>
      <c r="G6438" s="238">
        <f>MROUND(H6438*L6438*I6438/K6438,0.00000001)</f>
        <v>4.7847599999999999E-3</v>
      </c>
      <c r="H6438" s="158">
        <f>Лист1!K214</f>
        <v>6</v>
      </c>
      <c r="I6438" s="159">
        <f t="shared" si="1697"/>
        <v>0.78948599999999991</v>
      </c>
      <c r="J6438" s="160"/>
      <c r="K6438" s="161">
        <f t="shared" si="1698"/>
        <v>990</v>
      </c>
      <c r="L6438" s="250">
        <v>1</v>
      </c>
      <c r="M6438" s="163" t="str">
        <f>CONCATENATE(H6438," ",F6438,"*",I6438,"/",K6438,"чел/час")</f>
        <v>6 чел.*0,789486/990чел/час</v>
      </c>
      <c r="N6438" s="278">
        <f>Лист1!M214</f>
        <v>570.07000000000005</v>
      </c>
      <c r="O6438" s="280">
        <f t="shared" si="1696"/>
        <v>2.7276479999999999</v>
      </c>
      <c r="P6438" s="166"/>
      <c r="Q6438" s="166">
        <f t="shared" si="1693"/>
        <v>2700.3715199999997</v>
      </c>
      <c r="R6438" s="71"/>
    </row>
    <row r="6439" spans="1:20" s="61" customFormat="1" ht="63" x14ac:dyDescent="0.25">
      <c r="A6439" s="358"/>
      <c r="B6439" s="361"/>
      <c r="C6439" s="364"/>
      <c r="D6439" s="156" t="s">
        <v>45</v>
      </c>
      <c r="E6439" s="156" t="s">
        <v>53</v>
      </c>
      <c r="F6439" s="156" t="s">
        <v>257</v>
      </c>
      <c r="G6439" s="238">
        <f>MROUND(H6439*L6439*I6439/K6439,0.000001)</f>
        <v>9.5700000000000004E-3</v>
      </c>
      <c r="H6439" s="158">
        <v>1</v>
      </c>
      <c r="I6439" s="159">
        <f>I6437</f>
        <v>0.78948599999999991</v>
      </c>
      <c r="J6439" s="160"/>
      <c r="K6439" s="161">
        <f>K6437</f>
        <v>990</v>
      </c>
      <c r="L6439" s="250">
        <v>12</v>
      </c>
      <c r="M6439" s="163" t="str">
        <f>CONCATENATE(H6439," ",F6439,"*",L6439,"мес.","*",I6439,"/",K6439,"чел")</f>
        <v>1  машина, оборудованная системой ГЛОНАСС*12мес.*0,789486/990чел</v>
      </c>
      <c r="N6439" s="278">
        <f>Лист1!M213</f>
        <v>921.23333333333346</v>
      </c>
      <c r="O6439" s="280">
        <f t="shared" si="1696"/>
        <v>8.8162029999999998</v>
      </c>
      <c r="P6439" s="166"/>
      <c r="Q6439" s="166">
        <f t="shared" si="1693"/>
        <v>8728.04097</v>
      </c>
      <c r="R6439" s="71"/>
      <c r="S6439" s="71"/>
    </row>
    <row r="6440" spans="1:20" s="61" customFormat="1" ht="47.25" x14ac:dyDescent="0.25">
      <c r="A6440" s="358"/>
      <c r="B6440" s="361"/>
      <c r="C6440" s="364"/>
      <c r="D6440" s="156" t="s">
        <v>271</v>
      </c>
      <c r="E6440" s="156" t="s">
        <v>85</v>
      </c>
      <c r="F6440" s="156" t="s">
        <v>232</v>
      </c>
      <c r="G6440" s="238">
        <f>MROUND(H6440*L6440*I6440/K6440,0.000001)</f>
        <v>0.24242799999999998</v>
      </c>
      <c r="H6440" s="158">
        <f>Лист1!K211</f>
        <v>304</v>
      </c>
      <c r="I6440" s="159">
        <f>I6438</f>
        <v>0.78948599999999991</v>
      </c>
      <c r="J6440" s="160"/>
      <c r="K6440" s="161">
        <f>K6438</f>
        <v>990</v>
      </c>
      <c r="L6440" s="250">
        <v>1</v>
      </c>
      <c r="M6440" s="163" t="str">
        <f>CONCATENATE(H6440," ",F6440,"*",L6440,"мес.","*",I6440,"/",K6440,"чел")</f>
        <v>304 мед.осмотров в мес.*1мес.*0,789486/990чел</v>
      </c>
      <c r="N6440" s="278">
        <f>Лист1!M211</f>
        <v>59.287269736842113</v>
      </c>
      <c r="O6440" s="280">
        <f t="shared" si="1696"/>
        <v>14.372893999999999</v>
      </c>
      <c r="P6440" s="166"/>
      <c r="Q6440" s="166">
        <f t="shared" si="1693"/>
        <v>14229.165059999999</v>
      </c>
      <c r="R6440" s="71"/>
    </row>
    <row r="6441" spans="1:20" s="61" customFormat="1" x14ac:dyDescent="0.25">
      <c r="A6441" s="358"/>
      <c r="B6441" s="361"/>
      <c r="C6441" s="364"/>
      <c r="D6441" s="156" t="s">
        <v>373</v>
      </c>
      <c r="E6441" s="156" t="s">
        <v>28</v>
      </c>
      <c r="F6441" s="156" t="s">
        <v>28</v>
      </c>
      <c r="G6441" s="238">
        <f>MROUND(H6441*L6441*I6441/K6441,0.000001)</f>
        <v>7.9699999999999997E-4</v>
      </c>
      <c r="H6441" s="158">
        <f>Лист1!K196</f>
        <v>1</v>
      </c>
      <c r="I6441" s="159">
        <f>I6440</f>
        <v>0.78948599999999991</v>
      </c>
      <c r="J6441" s="160"/>
      <c r="K6441" s="161">
        <f>K6440</f>
        <v>990</v>
      </c>
      <c r="L6441" s="250">
        <v>1</v>
      </c>
      <c r="M6441" s="163" t="str">
        <f>CONCATENATE(H6441," ",F6441,"*",L6441,"мес.","*",I6441,"/",K6441,"чел")</f>
        <v>1 шт*1мес.*0,789486/990чел</v>
      </c>
      <c r="N6441" s="278">
        <f>Лист1!M196</f>
        <v>24000</v>
      </c>
      <c r="O6441" s="280">
        <f t="shared" si="1696"/>
        <v>19.128</v>
      </c>
      <c r="P6441" s="166"/>
      <c r="Q6441" s="166">
        <f t="shared" si="1693"/>
        <v>18936.72</v>
      </c>
      <c r="R6441" s="71"/>
    </row>
    <row r="6442" spans="1:20" s="61" customFormat="1" ht="31.5" x14ac:dyDescent="0.25">
      <c r="A6442" s="358"/>
      <c r="B6442" s="361"/>
      <c r="C6442" s="364"/>
      <c r="D6442" s="156" t="s">
        <v>43</v>
      </c>
      <c r="E6442" s="156" t="s">
        <v>52</v>
      </c>
      <c r="F6442" s="156" t="s">
        <v>231</v>
      </c>
      <c r="G6442" s="238">
        <f>MROUND(H6442*L6442*I6442/K6442,0.000001)</f>
        <v>7.9699999999999997E-4</v>
      </c>
      <c r="H6442" s="158">
        <v>1</v>
      </c>
      <c r="I6442" s="159">
        <f>I6432</f>
        <v>0.78948599999999991</v>
      </c>
      <c r="J6442" s="160"/>
      <c r="K6442" s="161">
        <f>K6432</f>
        <v>990</v>
      </c>
      <c r="L6442" s="250">
        <v>1</v>
      </c>
      <c r="M6442" s="163" t="str">
        <f>CONCATENATE(H6442," ",F6442,"*",I6442,"/",K6442,"чел/час")</f>
        <v>1 ЭЦП*0,789486/990чел/час</v>
      </c>
      <c r="N6442" s="278">
        <f>Лист1!M210</f>
        <v>8099.55</v>
      </c>
      <c r="O6442" s="280">
        <f t="shared" si="1696"/>
        <v>6.4553409999999998</v>
      </c>
      <c r="P6442" s="166"/>
      <c r="Q6442" s="166">
        <f t="shared" si="1693"/>
        <v>6390.7875899999999</v>
      </c>
      <c r="R6442" s="71"/>
      <c r="S6442" s="71"/>
    </row>
    <row r="6443" spans="1:20" s="62" customFormat="1" x14ac:dyDescent="0.25">
      <c r="A6443" s="358"/>
      <c r="B6443" s="361"/>
      <c r="C6443" s="245" t="s">
        <v>296</v>
      </c>
      <c r="D6443" s="240"/>
      <c r="E6443" s="240"/>
      <c r="F6443" s="240"/>
      <c r="G6443" s="227"/>
      <c r="H6443" s="241"/>
      <c r="I6443" s="206"/>
      <c r="J6443" s="228"/>
      <c r="K6443" s="207"/>
      <c r="L6443" s="257"/>
      <c r="M6443" s="209"/>
      <c r="N6443" s="281"/>
      <c r="O6443" s="279">
        <f>SUM(O6426:O6442)</f>
        <v>572.75177600000006</v>
      </c>
      <c r="P6443" s="267"/>
      <c r="Q6443" s="166"/>
      <c r="R6443" s="71"/>
    </row>
    <row r="6444" spans="1:20" s="61" customFormat="1" ht="31.5" x14ac:dyDescent="0.25">
      <c r="A6444" s="358"/>
      <c r="B6444" s="361"/>
      <c r="C6444" s="252" t="s">
        <v>237</v>
      </c>
      <c r="D6444" s="156" t="s">
        <v>41</v>
      </c>
      <c r="E6444" s="156" t="s">
        <v>61</v>
      </c>
      <c r="F6444" s="156" t="s">
        <v>254</v>
      </c>
      <c r="G6444" s="238">
        <f>MROUND(H6444*L6444*I6444/K6444,0.00000001)</f>
        <v>7.9746000000000005E-4</v>
      </c>
      <c r="H6444" s="158">
        <v>1</v>
      </c>
      <c r="I6444" s="159">
        <f>I6442</f>
        <v>0.78948599999999991</v>
      </c>
      <c r="J6444" s="160"/>
      <c r="K6444" s="161">
        <f>K6442</f>
        <v>990</v>
      </c>
      <c r="L6444" s="250">
        <v>1</v>
      </c>
      <c r="M6444" s="163" t="str">
        <f>CONCATENATE(H6444," ",F6444,"*",I6444,"/",K6444,"чел/час")</f>
        <v>1 автобус*0,789486/990чел/час</v>
      </c>
      <c r="N6444" s="278">
        <f>Лист1!M215</f>
        <v>26907.3</v>
      </c>
      <c r="O6444" s="280">
        <f>MROUND(N6444*G6444,0.000001)</f>
        <v>21.457494999999998</v>
      </c>
      <c r="P6444" s="166"/>
      <c r="Q6444" s="166">
        <f t="shared" ref="Q6444" si="1699">O6444*K6444</f>
        <v>21242.920049999997</v>
      </c>
      <c r="R6444" s="71"/>
      <c r="S6444" s="71"/>
    </row>
    <row r="6445" spans="1:20" s="62" customFormat="1" x14ac:dyDescent="0.25">
      <c r="A6445" s="358"/>
      <c r="B6445" s="361"/>
      <c r="C6445" s="245" t="s">
        <v>297</v>
      </c>
      <c r="D6445" s="240"/>
      <c r="E6445" s="240"/>
      <c r="F6445" s="240"/>
      <c r="G6445" s="227"/>
      <c r="H6445" s="241"/>
      <c r="I6445" s="206"/>
      <c r="J6445" s="228"/>
      <c r="K6445" s="207"/>
      <c r="L6445" s="257"/>
      <c r="M6445" s="209"/>
      <c r="N6445" s="281"/>
      <c r="O6445" s="279">
        <f>O6444</f>
        <v>21.457494999999998</v>
      </c>
      <c r="P6445" s="267"/>
      <c r="Q6445" s="166"/>
      <c r="R6445" s="71"/>
    </row>
    <row r="6446" spans="1:20" s="61" customFormat="1" ht="78.75" x14ac:dyDescent="0.25">
      <c r="A6446" s="358"/>
      <c r="B6446" s="361"/>
      <c r="C6446" s="221" t="s">
        <v>236</v>
      </c>
      <c r="D6446" s="156" t="s">
        <v>19</v>
      </c>
      <c r="E6446" s="181" t="s">
        <v>20</v>
      </c>
      <c r="F6446" s="181" t="s">
        <v>238</v>
      </c>
      <c r="G6446" s="238">
        <f>MROUND(H6446*L6446*I6446/K6446,0.000001)</f>
        <v>0</v>
      </c>
      <c r="H6446" s="158"/>
      <c r="I6446" s="159">
        <f>I6444</f>
        <v>0.78948599999999991</v>
      </c>
      <c r="J6446" s="160"/>
      <c r="K6446" s="161">
        <f>K6444</f>
        <v>990</v>
      </c>
      <c r="L6446" s="250"/>
      <c r="M6446" s="163"/>
      <c r="N6446" s="278"/>
      <c r="O6446" s="280">
        <f>MROUND(N6446*G6446,0.000001)</f>
        <v>0</v>
      </c>
      <c r="P6446" s="166"/>
      <c r="Q6446" s="166">
        <f>O6446*K6446</f>
        <v>0</v>
      </c>
      <c r="R6446" s="71"/>
      <c r="T6446" s="71"/>
    </row>
    <row r="6447" spans="1:20" s="62" customFormat="1" x14ac:dyDescent="0.25">
      <c r="A6447" s="358"/>
      <c r="B6447" s="361"/>
      <c r="C6447" s="245" t="s">
        <v>298</v>
      </c>
      <c r="D6447" s="240"/>
      <c r="E6447" s="253"/>
      <c r="F6447" s="253"/>
      <c r="G6447" s="227"/>
      <c r="H6447" s="241"/>
      <c r="I6447" s="206"/>
      <c r="J6447" s="228"/>
      <c r="K6447" s="207"/>
      <c r="L6447" s="257"/>
      <c r="M6447" s="209"/>
      <c r="N6447" s="281"/>
      <c r="O6447" s="279">
        <f>O6446</f>
        <v>0</v>
      </c>
      <c r="P6447" s="267"/>
      <c r="Q6447" s="166"/>
      <c r="R6447" s="71"/>
    </row>
    <row r="6448" spans="1:20" s="61" customFormat="1" x14ac:dyDescent="0.25">
      <c r="A6448" s="358"/>
      <c r="B6448" s="361"/>
      <c r="C6448" s="365" t="s">
        <v>81</v>
      </c>
      <c r="D6448" s="156" t="s">
        <v>427</v>
      </c>
      <c r="E6448" s="156" t="s">
        <v>28</v>
      </c>
      <c r="F6448" s="156" t="s">
        <v>28</v>
      </c>
      <c r="G6448" s="238">
        <f>MROUND(H6448*L6448*I6448/K6448,0.00000001)</f>
        <v>0</v>
      </c>
      <c r="H6448" s="158"/>
      <c r="I6448" s="159">
        <f>I6444</f>
        <v>0.78948599999999991</v>
      </c>
      <c r="J6448" s="160"/>
      <c r="K6448" s="161">
        <f>K6444</f>
        <v>990</v>
      </c>
      <c r="L6448" s="250">
        <v>1</v>
      </c>
      <c r="M6448" s="163"/>
      <c r="N6448" s="278"/>
      <c r="O6448" s="280">
        <f>MROUND(N6448*G6448,0.000001)</f>
        <v>0</v>
      </c>
      <c r="P6448" s="166"/>
      <c r="Q6448" s="166">
        <f t="shared" ref="Q6448:Q6452" si="1700">O6448*K6448</f>
        <v>0</v>
      </c>
      <c r="R6448" s="71"/>
    </row>
    <row r="6449" spans="1:19" s="61" customFormat="1" x14ac:dyDescent="0.25">
      <c r="A6449" s="358"/>
      <c r="B6449" s="361"/>
      <c r="C6449" s="366"/>
      <c r="D6449" s="156" t="s">
        <v>428</v>
      </c>
      <c r="E6449" s="156" t="s">
        <v>28</v>
      </c>
      <c r="F6449" s="156" t="s">
        <v>28</v>
      </c>
      <c r="G6449" s="238">
        <f>MROUND(H6449*L6449*I6449/K6449,0.00000001)</f>
        <v>0</v>
      </c>
      <c r="H6449" s="158"/>
      <c r="I6449" s="159">
        <f>I6448</f>
        <v>0.78948599999999991</v>
      </c>
      <c r="J6449" s="160"/>
      <c r="K6449" s="161">
        <f>K6448</f>
        <v>990</v>
      </c>
      <c r="L6449" s="250">
        <v>1</v>
      </c>
      <c r="M6449" s="163"/>
      <c r="N6449" s="278"/>
      <c r="O6449" s="280">
        <f>MROUND(N6449*G6449,0.000001)</f>
        <v>0</v>
      </c>
      <c r="P6449" s="166"/>
      <c r="Q6449" s="166">
        <f t="shared" si="1700"/>
        <v>0</v>
      </c>
      <c r="R6449" s="71"/>
    </row>
    <row r="6450" spans="1:19" s="61" customFormat="1" x14ac:dyDescent="0.25">
      <c r="A6450" s="358"/>
      <c r="B6450" s="361"/>
      <c r="C6450" s="366"/>
      <c r="D6450" s="156" t="s">
        <v>110</v>
      </c>
      <c r="E6450" s="156" t="s">
        <v>28</v>
      </c>
      <c r="F6450" s="156" t="s">
        <v>28</v>
      </c>
      <c r="G6450" s="238">
        <f>MROUND(H6450*L6450*I6450/K6450,0.00000001)</f>
        <v>0</v>
      </c>
      <c r="H6450" s="158"/>
      <c r="I6450" s="159">
        <f t="shared" ref="I6450:I6451" si="1701">I6449</f>
        <v>0.78948599999999991</v>
      </c>
      <c r="J6450" s="160"/>
      <c r="K6450" s="161">
        <f t="shared" ref="K6450:K6451" si="1702">K6449</f>
        <v>990</v>
      </c>
      <c r="L6450" s="250">
        <v>1</v>
      </c>
      <c r="M6450" s="163"/>
      <c r="N6450" s="278"/>
      <c r="O6450" s="280">
        <f>MROUND(N6450*G6450,0.000001)</f>
        <v>0</v>
      </c>
      <c r="P6450" s="166"/>
      <c r="Q6450" s="166">
        <f t="shared" si="1700"/>
        <v>0</v>
      </c>
      <c r="R6450" s="71"/>
    </row>
    <row r="6451" spans="1:19" s="61" customFormat="1" x14ac:dyDescent="0.25">
      <c r="A6451" s="358"/>
      <c r="B6451" s="361"/>
      <c r="C6451" s="366"/>
      <c r="D6451" s="156" t="s">
        <v>111</v>
      </c>
      <c r="E6451" s="156" t="s">
        <v>28</v>
      </c>
      <c r="F6451" s="156" t="s">
        <v>28</v>
      </c>
      <c r="G6451" s="238">
        <f>MROUND(H6451*L6451*I6451/K6451,0.00000001)</f>
        <v>0</v>
      </c>
      <c r="H6451" s="158"/>
      <c r="I6451" s="159">
        <f t="shared" si="1701"/>
        <v>0.78948599999999991</v>
      </c>
      <c r="J6451" s="160"/>
      <c r="K6451" s="161">
        <f t="shared" si="1702"/>
        <v>990</v>
      </c>
      <c r="L6451" s="250">
        <v>1</v>
      </c>
      <c r="M6451" s="163"/>
      <c r="N6451" s="278"/>
      <c r="O6451" s="280">
        <f>MROUND(N6451*G6451,0.000001)</f>
        <v>0</v>
      </c>
      <c r="P6451" s="166"/>
      <c r="Q6451" s="166">
        <f t="shared" si="1700"/>
        <v>0</v>
      </c>
      <c r="R6451" s="71"/>
    </row>
    <row r="6452" spans="1:19" s="61" customFormat="1" x14ac:dyDescent="0.25">
      <c r="A6452" s="358"/>
      <c r="B6452" s="361"/>
      <c r="C6452" s="367"/>
      <c r="D6452" s="156" t="s">
        <v>438</v>
      </c>
      <c r="E6452" s="156" t="s">
        <v>28</v>
      </c>
      <c r="F6452" s="156" t="s">
        <v>28</v>
      </c>
      <c r="G6452" s="238">
        <f>MROUND(H6452*L6452*I6452/K6452,0.00000001)</f>
        <v>0</v>
      </c>
      <c r="H6452" s="158"/>
      <c r="I6452" s="159">
        <f>I6446</f>
        <v>0.78948599999999991</v>
      </c>
      <c r="J6452" s="160"/>
      <c r="K6452" s="161">
        <f>K6446</f>
        <v>990</v>
      </c>
      <c r="L6452" s="250">
        <v>1</v>
      </c>
      <c r="M6452" s="163"/>
      <c r="N6452" s="278"/>
      <c r="O6452" s="280">
        <f>MROUND(N6452*G6452,0.000001)</f>
        <v>0</v>
      </c>
      <c r="P6452" s="166"/>
      <c r="Q6452" s="166">
        <f t="shared" si="1700"/>
        <v>0</v>
      </c>
      <c r="R6452" s="71"/>
    </row>
    <row r="6453" spans="1:19" s="62" customFormat="1" x14ac:dyDescent="0.25">
      <c r="A6453" s="358"/>
      <c r="B6453" s="361"/>
      <c r="C6453" s="245" t="s">
        <v>299</v>
      </c>
      <c r="D6453" s="240"/>
      <c r="E6453" s="240"/>
      <c r="F6453" s="240"/>
      <c r="G6453" s="227"/>
      <c r="H6453" s="241"/>
      <c r="I6453" s="206"/>
      <c r="J6453" s="228"/>
      <c r="K6453" s="207"/>
      <c r="L6453" s="257"/>
      <c r="M6453" s="209"/>
      <c r="N6453" s="281"/>
      <c r="O6453" s="279">
        <f>SUM(O6448:O6451)</f>
        <v>0</v>
      </c>
      <c r="P6453" s="267"/>
      <c r="Q6453" s="166"/>
      <c r="R6453" s="71"/>
    </row>
    <row r="6454" spans="1:19" s="61" customFormat="1" ht="110.25" x14ac:dyDescent="0.25">
      <c r="A6454" s="358"/>
      <c r="B6454" s="361"/>
      <c r="C6454" s="221" t="s">
        <v>82</v>
      </c>
      <c r="D6454" s="156" t="s">
        <v>46</v>
      </c>
      <c r="E6454" s="156" t="s">
        <v>54</v>
      </c>
      <c r="F6454" s="156" t="s">
        <v>285</v>
      </c>
      <c r="G6454" s="238">
        <f>MROUND(H6454*L6454*I6454/K6454,0.000001)</f>
        <v>2.033525</v>
      </c>
      <c r="H6454" s="242">
        <f>Лист1!K264</f>
        <v>231.81818181818181</v>
      </c>
      <c r="I6454" s="159">
        <f>I6446</f>
        <v>0.78948599999999991</v>
      </c>
      <c r="J6454" s="160"/>
      <c r="K6454" s="161">
        <f>K6446</f>
        <v>990</v>
      </c>
      <c r="L6454" s="250">
        <v>11</v>
      </c>
      <c r="M6454" s="163" t="str">
        <f>CONCATENATE(H6454," ",F6454,"*",L6454,"автобус","*",I6454,"/",K6454,"чел/час")</f>
        <v>231,818181818182 л бензина АИ 92 (12,5л/день(зимой)*20дней*7мес+10л/день(летом)*20дней*4мес)*11автобус*0,789486/990чел/час</v>
      </c>
      <c r="N6454" s="278">
        <f>Лист1!M264</f>
        <v>57.007000000000005</v>
      </c>
      <c r="O6454" s="280">
        <f>MROUND(N6454*G6454,0.000001)</f>
        <v>115.92515999999999</v>
      </c>
      <c r="P6454" s="166"/>
      <c r="Q6454" s="166">
        <f t="shared" ref="Q6454" si="1703">O6454*K6454</f>
        <v>114765.90839999999</v>
      </c>
      <c r="R6454" s="71"/>
      <c r="S6454" s="71"/>
    </row>
    <row r="6455" spans="1:19" s="62" customFormat="1" x14ac:dyDescent="0.25">
      <c r="A6455" s="358"/>
      <c r="B6455" s="361"/>
      <c r="C6455" s="218" t="s">
        <v>300</v>
      </c>
      <c r="D6455" s="240"/>
      <c r="E6455" s="240"/>
      <c r="F6455" s="240"/>
      <c r="G6455" s="227"/>
      <c r="H6455" s="241"/>
      <c r="I6455" s="206"/>
      <c r="J6455" s="228"/>
      <c r="K6455" s="207"/>
      <c r="L6455" s="257"/>
      <c r="M6455" s="209"/>
      <c r="N6455" s="281"/>
      <c r="O6455" s="279">
        <f>O6454</f>
        <v>115.92515999999999</v>
      </c>
      <c r="P6455" s="267"/>
      <c r="Q6455" s="166"/>
      <c r="R6455" s="71"/>
    </row>
    <row r="6456" spans="1:19" s="61" customFormat="1" ht="47.25" x14ac:dyDescent="0.25">
      <c r="A6456" s="358"/>
      <c r="B6456" s="361"/>
      <c r="C6456" s="364" t="s">
        <v>118</v>
      </c>
      <c r="D6456" s="156" t="s">
        <v>47</v>
      </c>
      <c r="E6456" s="156" t="s">
        <v>28</v>
      </c>
      <c r="F6456" s="156" t="s">
        <v>239</v>
      </c>
      <c r="G6456" s="238">
        <f>MROUND(H6456*L6456*I6456/K6456,0.000001)</f>
        <v>0</v>
      </c>
      <c r="H6456" s="158">
        <f>Лист1!K3514</f>
        <v>0</v>
      </c>
      <c r="I6456" s="159">
        <f>I6454</f>
        <v>0.78948599999999991</v>
      </c>
      <c r="J6456" s="160"/>
      <c r="K6456" s="161">
        <f>K6454</f>
        <v>990</v>
      </c>
      <c r="L6456" s="250">
        <v>1</v>
      </c>
      <c r="M6456" s="163"/>
      <c r="N6456" s="278">
        <f>Лист1!M3514</f>
        <v>0</v>
      </c>
      <c r="O6456" s="280">
        <f>MROUND(N6456*G6456,0.000001)</f>
        <v>0</v>
      </c>
      <c r="P6456" s="166"/>
      <c r="Q6456" s="166">
        <f t="shared" ref="Q6456:Q6457" si="1704">O6456*K6456</f>
        <v>0</v>
      </c>
      <c r="R6456" s="71"/>
      <c r="S6456" s="71"/>
    </row>
    <row r="6457" spans="1:19" s="61" customFormat="1" ht="47.25" x14ac:dyDescent="0.25">
      <c r="A6457" s="358"/>
      <c r="B6457" s="361"/>
      <c r="C6457" s="364"/>
      <c r="D6457" s="255" t="s">
        <v>113</v>
      </c>
      <c r="E6457" s="156" t="s">
        <v>28</v>
      </c>
      <c r="F6457" s="156" t="s">
        <v>240</v>
      </c>
      <c r="G6457" s="238">
        <f>MROUND(H6457*L6457*I6457/K6457,0.000001)</f>
        <v>1.5948999999999998E-2</v>
      </c>
      <c r="H6457" s="158">
        <f>Лист1!K267</f>
        <v>20</v>
      </c>
      <c r="I6457" s="159">
        <f>I6456</f>
        <v>0.78948599999999991</v>
      </c>
      <c r="J6457" s="160"/>
      <c r="K6457" s="161">
        <f>K6456</f>
        <v>990</v>
      </c>
      <c r="L6457" s="250">
        <v>1</v>
      </c>
      <c r="M6457" s="163" t="str">
        <f>CONCATENATE(H6457," ",F6457,"*",I6457,"/",K6457,"чел/час")</f>
        <v>20 светильников (потребность учреждений)*0,789486/990чел/час</v>
      </c>
      <c r="N6457" s="278">
        <f>Лист1!M267</f>
        <v>111.1635</v>
      </c>
      <c r="O6457" s="280">
        <f>MROUND(N6457*G6457,0.000001)</f>
        <v>1.7729469999999998</v>
      </c>
      <c r="P6457" s="166"/>
      <c r="Q6457" s="166">
        <f t="shared" si="1704"/>
        <v>1755.2175299999999</v>
      </c>
      <c r="R6457" s="71"/>
      <c r="S6457" s="71"/>
    </row>
    <row r="6458" spans="1:19" s="62" customFormat="1" x14ac:dyDescent="0.25">
      <c r="A6458" s="359"/>
      <c r="B6458" s="362"/>
      <c r="C6458" s="218" t="s">
        <v>301</v>
      </c>
      <c r="D6458" s="256"/>
      <c r="E6458" s="240"/>
      <c r="F6458" s="240"/>
      <c r="G6458" s="227"/>
      <c r="H6458" s="241"/>
      <c r="I6458" s="206"/>
      <c r="J6458" s="228"/>
      <c r="K6458" s="207"/>
      <c r="L6458" s="257"/>
      <c r="M6458" s="209"/>
      <c r="N6458" s="281"/>
      <c r="O6458" s="279">
        <f>O6456+O6457</f>
        <v>1.7729469999999998</v>
      </c>
      <c r="P6458" s="267"/>
      <c r="Q6458" s="166"/>
      <c r="R6458" s="71"/>
    </row>
    <row r="6459" spans="1:19" s="61" customFormat="1" x14ac:dyDescent="0.25">
      <c r="A6459" s="357" t="str">
        <f>школы!$B$26</f>
        <v>Информационно-технологическое обеспечение образовательной деятельности</v>
      </c>
      <c r="B6459" s="360" t="str">
        <f>школы!$A$26</f>
        <v>48Д72100000000000003101</v>
      </c>
      <c r="C6459" s="194"/>
      <c r="D6459" s="363" t="s">
        <v>15</v>
      </c>
      <c r="E6459" s="363"/>
      <c r="F6459" s="363"/>
      <c r="G6459" s="363"/>
      <c r="H6459" s="195"/>
      <c r="I6459" s="195"/>
      <c r="J6459" s="195"/>
      <c r="K6459" s="195"/>
      <c r="L6459" s="196"/>
      <c r="M6459" s="197"/>
      <c r="N6459" s="278"/>
      <c r="O6459" s="279">
        <f>O6460+O6465+O6468</f>
        <v>10831.3158086205</v>
      </c>
      <c r="P6459" s="166"/>
      <c r="Q6459" s="166">
        <f t="shared" ref="Q6459:Q6461" si="1705">O6459*K6459</f>
        <v>0</v>
      </c>
      <c r="R6459" s="71"/>
    </row>
    <row r="6460" spans="1:19" s="61" customFormat="1" x14ac:dyDescent="0.25">
      <c r="A6460" s="358"/>
      <c r="B6460" s="361"/>
      <c r="C6460" s="194"/>
      <c r="D6460" s="350" t="s">
        <v>62</v>
      </c>
      <c r="E6460" s="350"/>
      <c r="F6460" s="350"/>
      <c r="G6460" s="350"/>
      <c r="H6460" s="195"/>
      <c r="I6460" s="195"/>
      <c r="J6460" s="195"/>
      <c r="K6460" s="195"/>
      <c r="L6460" s="196"/>
      <c r="M6460" s="197"/>
      <c r="N6460" s="278"/>
      <c r="O6460" s="279">
        <f>O6462+O6464</f>
        <v>10693.5523756205</v>
      </c>
      <c r="P6460" s="166"/>
      <c r="Q6460" s="166">
        <f t="shared" si="1705"/>
        <v>0</v>
      </c>
      <c r="R6460" s="71"/>
    </row>
    <row r="6461" spans="1:19" s="61" customFormat="1" x14ac:dyDescent="0.25">
      <c r="A6461" s="358"/>
      <c r="B6461" s="361"/>
      <c r="C6461" s="194">
        <v>211</v>
      </c>
      <c r="D6461" s="194" t="s">
        <v>86</v>
      </c>
      <c r="E6461" s="199" t="s">
        <v>95</v>
      </c>
      <c r="F6461" s="199" t="s">
        <v>95</v>
      </c>
      <c r="G6461" s="275">
        <f>MROUND(H6461*L6461*I6461/K6461,0.00000000001)</f>
        <v>0.46909122580999996</v>
      </c>
      <c r="H6461" s="201">
        <f>$H$2976</f>
        <v>49</v>
      </c>
      <c r="I6461" s="159">
        <f>школы!$K$26</f>
        <v>2.4731E-2</v>
      </c>
      <c r="J6461" s="159"/>
      <c r="K6461" s="161">
        <f>школы!$G$26</f>
        <v>31</v>
      </c>
      <c r="L6461" s="202">
        <v>12</v>
      </c>
      <c r="M6461" s="163" t="str">
        <f>CONCATENATE(H6461," ",F6461," ","в мес.","*",L6461,"мес.","*",I6461,"/",K6461,"чел/час")</f>
        <v>49 шт.ед в мес.*12мес.*0,024731/31чел/час</v>
      </c>
      <c r="N6461" s="278">
        <f>N6364</f>
        <v>17508.692159863946</v>
      </c>
      <c r="O6461" s="280">
        <f>MROUND(N6461*G6461,0.0000000001)</f>
        <v>8213.1738676005007</v>
      </c>
      <c r="P6461" s="166"/>
      <c r="Q6461" s="166">
        <f t="shared" si="1705"/>
        <v>254608.38989561552</v>
      </c>
      <c r="R6461" s="71"/>
    </row>
    <row r="6462" spans="1:19" s="62" customFormat="1" x14ac:dyDescent="0.25">
      <c r="A6462" s="358"/>
      <c r="B6462" s="361"/>
      <c r="C6462" s="203" t="s">
        <v>288</v>
      </c>
      <c r="D6462" s="203"/>
      <c r="E6462" s="204"/>
      <c r="F6462" s="204"/>
      <c r="G6462" s="205"/>
      <c r="H6462" s="206"/>
      <c r="I6462" s="206"/>
      <c r="J6462" s="206"/>
      <c r="K6462" s="207"/>
      <c r="L6462" s="208"/>
      <c r="M6462" s="209"/>
      <c r="N6462" s="281"/>
      <c r="O6462" s="279">
        <f>O6461</f>
        <v>8213.1738676005007</v>
      </c>
      <c r="P6462" s="267"/>
      <c r="Q6462" s="166"/>
      <c r="R6462" s="71"/>
    </row>
    <row r="6463" spans="1:19" s="61" customFormat="1" x14ac:dyDescent="0.25">
      <c r="A6463" s="358"/>
      <c r="B6463" s="361"/>
      <c r="C6463" s="194">
        <v>213</v>
      </c>
      <c r="D6463" s="194" t="s">
        <v>87</v>
      </c>
      <c r="E6463" s="194" t="s">
        <v>88</v>
      </c>
      <c r="F6463" s="194"/>
      <c r="G6463" s="211">
        <v>30.2</v>
      </c>
      <c r="H6463" s="159"/>
      <c r="I6463" s="159">
        <f>I6461</f>
        <v>2.4731E-2</v>
      </c>
      <c r="J6463" s="159"/>
      <c r="K6463" s="161">
        <f>K6461</f>
        <v>31</v>
      </c>
      <c r="L6463" s="202"/>
      <c r="M6463" s="212"/>
      <c r="N6463" s="278"/>
      <c r="O6463" s="280">
        <f>MROUND(O6461*0.302,0.00000001)</f>
        <v>2480.37850802</v>
      </c>
      <c r="P6463" s="166"/>
      <c r="Q6463" s="166">
        <f t="shared" ref="Q6463" si="1706">O6463*K6463</f>
        <v>76891.733748619998</v>
      </c>
      <c r="R6463" s="71"/>
    </row>
    <row r="6464" spans="1:19" s="62" customFormat="1" x14ac:dyDescent="0.25">
      <c r="A6464" s="358"/>
      <c r="B6464" s="361"/>
      <c r="C6464" s="203" t="s">
        <v>289</v>
      </c>
      <c r="D6464" s="203"/>
      <c r="E6464" s="203"/>
      <c r="F6464" s="203"/>
      <c r="G6464" s="213"/>
      <c r="H6464" s="214"/>
      <c r="I6464" s="206"/>
      <c r="J6464" s="214"/>
      <c r="K6464" s="207"/>
      <c r="L6464" s="215"/>
      <c r="M6464" s="216"/>
      <c r="N6464" s="281"/>
      <c r="O6464" s="279">
        <f>O6463</f>
        <v>2480.37850802</v>
      </c>
      <c r="P6464" s="267"/>
      <c r="Q6464" s="166"/>
      <c r="R6464" s="71"/>
    </row>
    <row r="6465" spans="1:18" s="61" customFormat="1" x14ac:dyDescent="0.25">
      <c r="A6465" s="358"/>
      <c r="B6465" s="361"/>
      <c r="C6465" s="194"/>
      <c r="D6465" s="356" t="s">
        <v>63</v>
      </c>
      <c r="E6465" s="356"/>
      <c r="F6465" s="356"/>
      <c r="G6465" s="356"/>
      <c r="H6465" s="195"/>
      <c r="I6465" s="159"/>
      <c r="J6465" s="195"/>
      <c r="K6465" s="161"/>
      <c r="L6465" s="196"/>
      <c r="M6465" s="197"/>
      <c r="N6465" s="278"/>
      <c r="O6465" s="279">
        <f>O6466</f>
        <v>137.76343299999999</v>
      </c>
      <c r="P6465" s="166"/>
      <c r="Q6465" s="166">
        <f t="shared" ref="Q6465:Q6466" si="1707">O6465*K6465</f>
        <v>0</v>
      </c>
      <c r="R6465" s="71"/>
    </row>
    <row r="6466" spans="1:18" s="61" customFormat="1" x14ac:dyDescent="0.25">
      <c r="A6466" s="358"/>
      <c r="B6466" s="361"/>
      <c r="C6466" s="194">
        <v>346</v>
      </c>
      <c r="D6466" s="194" t="s">
        <v>259</v>
      </c>
      <c r="E6466" s="194" t="s">
        <v>260</v>
      </c>
      <c r="F6466" s="194" t="s">
        <v>261</v>
      </c>
      <c r="G6466" s="238">
        <f>MROUND(H6466*L6466*I6466/K6466,0.000001)</f>
        <v>0.19545499999999999</v>
      </c>
      <c r="H6466" s="283">
        <f>H6369</f>
        <v>245</v>
      </c>
      <c r="I6466" s="159">
        <f>I6463</f>
        <v>2.4731E-2</v>
      </c>
      <c r="J6466" s="195"/>
      <c r="K6466" s="161">
        <f>K6463</f>
        <v>31</v>
      </c>
      <c r="L6466" s="196">
        <v>1</v>
      </c>
      <c r="M6466" s="163" t="str">
        <f>CONCATENATE(H6466," ",F6466,"*",I6466,"/",K6466,"чел/час")</f>
        <v>245 упаковок*0,024731/31чел/час</v>
      </c>
      <c r="N6466" s="278">
        <f>N6369</f>
        <v>704.83453061224486</v>
      </c>
      <c r="O6466" s="280">
        <f>MROUND(N6466*G6466,0.000001)</f>
        <v>137.76343299999999</v>
      </c>
      <c r="P6466" s="166"/>
      <c r="Q6466" s="166">
        <f t="shared" si="1707"/>
        <v>4270.6664229999997</v>
      </c>
      <c r="R6466" s="71"/>
    </row>
    <row r="6467" spans="1:18" s="62" customFormat="1" x14ac:dyDescent="0.25">
      <c r="A6467" s="358"/>
      <c r="B6467" s="361"/>
      <c r="C6467" s="203" t="s">
        <v>356</v>
      </c>
      <c r="D6467" s="203"/>
      <c r="E6467" s="203"/>
      <c r="F6467" s="203"/>
      <c r="G6467" s="227"/>
      <c r="H6467" s="214"/>
      <c r="I6467" s="206"/>
      <c r="J6467" s="214"/>
      <c r="K6467" s="207"/>
      <c r="L6467" s="215"/>
      <c r="M6467" s="209"/>
      <c r="N6467" s="281"/>
      <c r="O6467" s="279">
        <f>O6466</f>
        <v>137.76343299999999</v>
      </c>
      <c r="P6467" s="267"/>
      <c r="Q6467" s="166"/>
      <c r="R6467" s="71"/>
    </row>
    <row r="6468" spans="1:18" s="61" customFormat="1" x14ac:dyDescent="0.25">
      <c r="A6468" s="358"/>
      <c r="B6468" s="361"/>
      <c r="C6468" s="194"/>
      <c r="D6468" s="350" t="s">
        <v>64</v>
      </c>
      <c r="E6468" s="350"/>
      <c r="F6468" s="350"/>
      <c r="G6468" s="350"/>
      <c r="H6468" s="195"/>
      <c r="I6468" s="159"/>
      <c r="J6468" s="195"/>
      <c r="K6468" s="161"/>
      <c r="L6468" s="196"/>
      <c r="M6468" s="197"/>
      <c r="N6468" s="278"/>
      <c r="O6468" s="280"/>
      <c r="P6468" s="166"/>
      <c r="Q6468" s="166">
        <f t="shared" ref="Q6468:Q6478" si="1708">O6468*K6468</f>
        <v>0</v>
      </c>
      <c r="R6468" s="71"/>
    </row>
    <row r="6469" spans="1:18" s="61" customFormat="1" x14ac:dyDescent="0.25">
      <c r="A6469" s="358"/>
      <c r="B6469" s="361"/>
      <c r="C6469" s="194"/>
      <c r="D6469" s="194"/>
      <c r="E6469" s="194"/>
      <c r="F6469" s="194"/>
      <c r="G6469" s="217"/>
      <c r="H6469" s="195"/>
      <c r="I6469" s="159"/>
      <c r="J6469" s="195"/>
      <c r="K6469" s="161"/>
      <c r="L6469" s="196"/>
      <c r="M6469" s="197"/>
      <c r="N6469" s="278"/>
      <c r="O6469" s="280"/>
      <c r="P6469" s="166"/>
      <c r="Q6469" s="166">
        <f t="shared" si="1708"/>
        <v>0</v>
      </c>
      <c r="R6469" s="71"/>
    </row>
    <row r="6470" spans="1:18" s="61" customFormat="1" x14ac:dyDescent="0.25">
      <c r="A6470" s="358"/>
      <c r="B6470" s="361"/>
      <c r="C6470" s="194"/>
      <c r="D6470" s="355" t="s">
        <v>5</v>
      </c>
      <c r="E6470" s="355"/>
      <c r="F6470" s="355"/>
      <c r="G6470" s="355"/>
      <c r="H6470" s="195"/>
      <c r="I6470" s="159"/>
      <c r="J6470" s="195"/>
      <c r="K6470" s="161"/>
      <c r="L6470" s="196"/>
      <c r="M6470" s="197"/>
      <c r="N6470" s="278"/>
      <c r="O6470" s="279">
        <f>O6471+O6480+O6491+O6493+O6504</f>
        <v>1664.9730559999998</v>
      </c>
      <c r="P6470" s="166"/>
      <c r="Q6470" s="166">
        <f t="shared" si="1708"/>
        <v>0</v>
      </c>
      <c r="R6470" s="71"/>
    </row>
    <row r="6471" spans="1:18" s="61" customFormat="1" x14ac:dyDescent="0.25">
      <c r="A6471" s="358"/>
      <c r="B6471" s="361"/>
      <c r="C6471" s="221" t="s">
        <v>70</v>
      </c>
      <c r="D6471" s="355" t="s">
        <v>6</v>
      </c>
      <c r="E6471" s="355"/>
      <c r="F6471" s="355"/>
      <c r="G6471" s="355"/>
      <c r="H6471" s="189"/>
      <c r="I6471" s="159"/>
      <c r="J6471" s="189"/>
      <c r="K6471" s="161"/>
      <c r="L6471" s="190"/>
      <c r="M6471" s="197"/>
      <c r="N6471" s="278"/>
      <c r="O6471" s="279">
        <f>O6472+O6473+O6474+O6475+O6476+O6477+O6478</f>
        <v>630.96914599999991</v>
      </c>
      <c r="P6471" s="166"/>
      <c r="Q6471" s="166">
        <f t="shared" si="1708"/>
        <v>0</v>
      </c>
      <c r="R6471" s="71"/>
    </row>
    <row r="6472" spans="1:18" s="61" customFormat="1" ht="31.5" x14ac:dyDescent="0.25">
      <c r="A6472" s="358"/>
      <c r="B6472" s="361"/>
      <c r="C6472" s="221" t="s">
        <v>72</v>
      </c>
      <c r="D6472" s="222" t="s">
        <v>7</v>
      </c>
      <c r="E6472" s="223" t="s">
        <v>8</v>
      </c>
      <c r="F6472" s="223" t="s">
        <v>8</v>
      </c>
      <c r="G6472" s="238">
        <f>MROUND(H6472*L6472*I6472/K6472,0.00000001)</f>
        <v>9.8686480500000009</v>
      </c>
      <c r="H6472" s="160">
        <f t="shared" ref="H6472:H6478" si="1709">H6375</f>
        <v>12370.227223490891</v>
      </c>
      <c r="I6472" s="159">
        <f>I6466</f>
        <v>2.4731E-2</v>
      </c>
      <c r="J6472" s="160"/>
      <c r="K6472" s="161">
        <f>K6466</f>
        <v>31</v>
      </c>
      <c r="L6472" s="250">
        <v>1</v>
      </c>
      <c r="M6472" s="163" t="str">
        <f>CONCATENATE(H6472," ",F6472,"(лимиты выделенные УЖКХ) ","*",I6472,"/",K6472,"чел/час")</f>
        <v>12370,2272234909 кВт час.(лимиты выделенные УЖКХ) *0,024731/31чел/час</v>
      </c>
      <c r="N6472" s="278">
        <f t="shared" ref="N6472:N6478" si="1710">N6375</f>
        <v>10.942938036169672</v>
      </c>
      <c r="O6472" s="280">
        <f t="shared" ref="O6472:O6478" si="1711">MROUND(N6472*G6472,0.000001)</f>
        <v>107.99200399999999</v>
      </c>
      <c r="P6472" s="166"/>
      <c r="Q6472" s="166">
        <f t="shared" si="1708"/>
        <v>3347.7521239999996</v>
      </c>
      <c r="R6472" s="71"/>
    </row>
    <row r="6473" spans="1:18" s="61" customFormat="1" ht="31.5" x14ac:dyDescent="0.25">
      <c r="A6473" s="358"/>
      <c r="B6473" s="361"/>
      <c r="C6473" s="221" t="s">
        <v>73</v>
      </c>
      <c r="D6473" s="222" t="s">
        <v>9</v>
      </c>
      <c r="E6473" s="223" t="s">
        <v>10</v>
      </c>
      <c r="F6473" s="223" t="s">
        <v>10</v>
      </c>
      <c r="G6473" s="238">
        <f>MROUND(H6473*L6473*I6473/K6473,0.00000001)</f>
        <v>0.13562161</v>
      </c>
      <c r="H6473" s="160">
        <f t="shared" si="1709"/>
        <v>170</v>
      </c>
      <c r="I6473" s="159">
        <f t="shared" ref="I6473:I6535" si="1712">I6472</f>
        <v>2.4731E-2</v>
      </c>
      <c r="J6473" s="160"/>
      <c r="K6473" s="161">
        <f t="shared" ref="K6473:K6535" si="1713">K6472</f>
        <v>31</v>
      </c>
      <c r="L6473" s="250">
        <v>1</v>
      </c>
      <c r="M6473" s="163" t="str">
        <f>CONCATENATE(H6473," ",F6473,"(лимиты выделенные УЖКХ) ","*",I6473,"/",K6473,"чел/час")</f>
        <v>170 Гкал(лимиты выделенные УЖКХ) *0,024731/31чел/час</v>
      </c>
      <c r="N6473" s="278">
        <f t="shared" si="1710"/>
        <v>2976.2517647058821</v>
      </c>
      <c r="O6473" s="280">
        <f t="shared" si="1711"/>
        <v>403.64405599999998</v>
      </c>
      <c r="P6473" s="166"/>
      <c r="Q6473" s="166">
        <f t="shared" si="1708"/>
        <v>12512.965736</v>
      </c>
      <c r="R6473" s="71"/>
    </row>
    <row r="6474" spans="1:18" s="61" customFormat="1" ht="31.5" x14ac:dyDescent="0.25">
      <c r="A6474" s="358"/>
      <c r="B6474" s="361"/>
      <c r="C6474" s="364" t="s">
        <v>74</v>
      </c>
      <c r="D6474" s="222" t="s">
        <v>12</v>
      </c>
      <c r="E6474" s="222" t="s">
        <v>11</v>
      </c>
      <c r="F6474" s="222" t="s">
        <v>11</v>
      </c>
      <c r="G6474" s="238">
        <f>MROUND(H6474*L6474*I6474/K6474,0.000001)</f>
        <v>0.282667</v>
      </c>
      <c r="H6474" s="224">
        <f t="shared" si="1709"/>
        <v>354.32</v>
      </c>
      <c r="I6474" s="159">
        <f t="shared" si="1712"/>
        <v>2.4731E-2</v>
      </c>
      <c r="J6474" s="160"/>
      <c r="K6474" s="161">
        <f t="shared" si="1713"/>
        <v>31</v>
      </c>
      <c r="L6474" s="250">
        <v>1</v>
      </c>
      <c r="M6474" s="163" t="str">
        <f>CONCATENATE(H6474," ",F6474,"(лимиты выделенные УЖКХ) ","*",I6474,"/",K6474,"чел/час")</f>
        <v>354,32 м3(лимиты выделенные УЖКХ) *0,024731/31чел/час</v>
      </c>
      <c r="N6474" s="278">
        <f t="shared" si="1710"/>
        <v>54.214180119665841</v>
      </c>
      <c r="O6474" s="280">
        <f t="shared" si="1711"/>
        <v>15.32456</v>
      </c>
      <c r="P6474" s="166"/>
      <c r="Q6474" s="166">
        <f t="shared" si="1708"/>
        <v>475.06135999999998</v>
      </c>
      <c r="R6474" s="71"/>
    </row>
    <row r="6475" spans="1:18" s="61" customFormat="1" ht="47.25" x14ac:dyDescent="0.25">
      <c r="A6475" s="358"/>
      <c r="B6475" s="361"/>
      <c r="C6475" s="364"/>
      <c r="D6475" s="222" t="s">
        <v>17</v>
      </c>
      <c r="E6475" s="222" t="s">
        <v>11</v>
      </c>
      <c r="F6475" s="222" t="s">
        <v>11</v>
      </c>
      <c r="G6475" s="238">
        <f>MROUND(H6475*L6475*I6475/K6475,0.00000001)</f>
        <v>0.28266734999999998</v>
      </c>
      <c r="H6475" s="160">
        <f t="shared" si="1709"/>
        <v>354.32</v>
      </c>
      <c r="I6475" s="159">
        <f t="shared" si="1712"/>
        <v>2.4731E-2</v>
      </c>
      <c r="J6475" s="160"/>
      <c r="K6475" s="161">
        <f t="shared" si="1713"/>
        <v>31</v>
      </c>
      <c r="L6475" s="162">
        <f>$L$25</f>
        <v>1</v>
      </c>
      <c r="M6475" s="163" t="str">
        <f>CONCATENATE(H6475," ",F6475,"(лимиты выделенные УЖКХ) ","*",I6475,"/",K6475,"чел/час")</f>
        <v>354,32 м3(лимиты выделенные УЖКХ) *0,024731/31чел/час</v>
      </c>
      <c r="N6475" s="164">
        <f t="shared" si="1710"/>
        <v>82.384170780821918</v>
      </c>
      <c r="O6475" s="280">
        <f t="shared" si="1711"/>
        <v>23.287315</v>
      </c>
      <c r="P6475" s="166"/>
      <c r="Q6475" s="166">
        <f t="shared" si="1708"/>
        <v>721.90676499999995</v>
      </c>
      <c r="R6475" s="71"/>
    </row>
    <row r="6476" spans="1:18" s="61" customFormat="1" ht="31.5" x14ac:dyDescent="0.25">
      <c r="A6476" s="358"/>
      <c r="B6476" s="361"/>
      <c r="C6476" s="364"/>
      <c r="D6476" s="222" t="s">
        <v>13</v>
      </c>
      <c r="E6476" s="222" t="s">
        <v>11</v>
      </c>
      <c r="F6476" s="222" t="s">
        <v>11</v>
      </c>
      <c r="G6476" s="238">
        <f>MROUND(H6476*L6476*I6476/K6476,0.00000001)</f>
        <v>0.28266734999999998</v>
      </c>
      <c r="H6476" s="160">
        <f t="shared" si="1709"/>
        <v>354.32</v>
      </c>
      <c r="I6476" s="159">
        <f t="shared" si="1712"/>
        <v>2.4731E-2</v>
      </c>
      <c r="J6476" s="160"/>
      <c r="K6476" s="161">
        <f t="shared" si="1713"/>
        <v>31</v>
      </c>
      <c r="L6476" s="162">
        <v>1</v>
      </c>
      <c r="M6476" s="163" t="str">
        <f>CONCATENATE(H6476," ",F6476,"(лимиты выделенные УЖКХ) ","*",I6476,"/",K6476,"чел/час")</f>
        <v>354,32 м3(лимиты выделенные УЖКХ) *0,024731/31чел/час</v>
      </c>
      <c r="N6476" s="278">
        <f t="shared" si="1710"/>
        <v>100.60429077934968</v>
      </c>
      <c r="O6476" s="280">
        <f t="shared" si="1711"/>
        <v>28.437548</v>
      </c>
      <c r="P6476" s="166"/>
      <c r="Q6476" s="166">
        <f t="shared" si="1708"/>
        <v>881.56398799999999</v>
      </c>
      <c r="R6476" s="71"/>
    </row>
    <row r="6477" spans="1:18" s="61" customFormat="1" x14ac:dyDescent="0.25">
      <c r="A6477" s="358"/>
      <c r="B6477" s="361"/>
      <c r="C6477" s="364" t="s">
        <v>216</v>
      </c>
      <c r="D6477" s="222" t="s">
        <v>23</v>
      </c>
      <c r="E6477" s="222" t="s">
        <v>11</v>
      </c>
      <c r="F6477" s="222" t="s">
        <v>11</v>
      </c>
      <c r="G6477" s="238">
        <f>MROUND(H6477*L6477*I6477/K6477,0.00000001)</f>
        <v>5.0546970000000004E-2</v>
      </c>
      <c r="H6477" s="160">
        <f t="shared" si="1709"/>
        <v>63.36</v>
      </c>
      <c r="I6477" s="159">
        <f t="shared" si="1712"/>
        <v>2.4731E-2</v>
      </c>
      <c r="J6477" s="160"/>
      <c r="K6477" s="161">
        <f t="shared" si="1713"/>
        <v>31</v>
      </c>
      <c r="L6477" s="162">
        <v>1</v>
      </c>
      <c r="M6477" s="163" t="str">
        <f>CONCATENATE(H6477," ",F6477," ","*",I6477,"/",K6477,"чел/час")</f>
        <v>63,36 м3 *0,024731/31чел/час</v>
      </c>
      <c r="N6477" s="164">
        <f t="shared" si="1710"/>
        <v>687.25773358585866</v>
      </c>
      <c r="O6477" s="280">
        <f t="shared" si="1711"/>
        <v>34.738796000000001</v>
      </c>
      <c r="P6477" s="166"/>
      <c r="Q6477" s="166">
        <f t="shared" si="1708"/>
        <v>1076.9026759999999</v>
      </c>
      <c r="R6477" s="71"/>
    </row>
    <row r="6478" spans="1:18" s="61" customFormat="1" ht="47.25" x14ac:dyDescent="0.25">
      <c r="A6478" s="358"/>
      <c r="B6478" s="361"/>
      <c r="C6478" s="364"/>
      <c r="D6478" s="222" t="s">
        <v>24</v>
      </c>
      <c r="E6478" s="222" t="s">
        <v>25</v>
      </c>
      <c r="F6478" s="222" t="s">
        <v>248</v>
      </c>
      <c r="G6478" s="238">
        <f>MROUND(H6478*L6478*I6478/K6478,0.00000001)</f>
        <v>3.1911000000000001E-3</v>
      </c>
      <c r="H6478" s="160">
        <f t="shared" si="1709"/>
        <v>4</v>
      </c>
      <c r="I6478" s="159">
        <f t="shared" si="1712"/>
        <v>2.4731E-2</v>
      </c>
      <c r="J6478" s="160"/>
      <c r="K6478" s="161">
        <f t="shared" si="1713"/>
        <v>31</v>
      </c>
      <c r="L6478" s="250">
        <v>1</v>
      </c>
      <c r="M6478" s="163" t="str">
        <f>CONCATENATE(H6478," ",F6478,"(потребность из расчета 4 контейнера для уборки территории весной и осенью на 1 учреждение)","*",I6478,"/",K6478,"чел/час")</f>
        <v>4 контейнеров(потребность из расчета 4 контейнера для уборки территории весной и осенью на 1 учреждение)*0,024731/31чел/час</v>
      </c>
      <c r="N6478" s="278">
        <f t="shared" si="1710"/>
        <v>5498.0625</v>
      </c>
      <c r="O6478" s="280">
        <f t="shared" si="1711"/>
        <v>17.544867</v>
      </c>
      <c r="P6478" s="166"/>
      <c r="Q6478" s="166">
        <f t="shared" si="1708"/>
        <v>543.89087700000005</v>
      </c>
      <c r="R6478" s="71"/>
    </row>
    <row r="6479" spans="1:18" s="62" customFormat="1" x14ac:dyDescent="0.25">
      <c r="A6479" s="358"/>
      <c r="B6479" s="361"/>
      <c r="C6479" s="218" t="s">
        <v>290</v>
      </c>
      <c r="D6479" s="226"/>
      <c r="E6479" s="226"/>
      <c r="F6479" s="226"/>
      <c r="G6479" s="227"/>
      <c r="H6479" s="228"/>
      <c r="I6479" s="206"/>
      <c r="J6479" s="228"/>
      <c r="K6479" s="207"/>
      <c r="L6479" s="257"/>
      <c r="M6479" s="209"/>
      <c r="N6479" s="281"/>
      <c r="O6479" s="279">
        <f>SUM(O6472:O6478)</f>
        <v>630.96914599999991</v>
      </c>
      <c r="P6479" s="267"/>
      <c r="Q6479" s="166"/>
      <c r="R6479" s="71"/>
    </row>
    <row r="6480" spans="1:18" s="61" customFormat="1" x14ac:dyDescent="0.25">
      <c r="A6480" s="358"/>
      <c r="B6480" s="361"/>
      <c r="C6480" s="221"/>
      <c r="D6480" s="356" t="s">
        <v>14</v>
      </c>
      <c r="E6480" s="356"/>
      <c r="F6480" s="356"/>
      <c r="G6480" s="356"/>
      <c r="H6480" s="188"/>
      <c r="I6480" s="159"/>
      <c r="J6480" s="188"/>
      <c r="K6480" s="161"/>
      <c r="L6480" s="250"/>
      <c r="M6480" s="230"/>
      <c r="N6480" s="278"/>
      <c r="O6480" s="279">
        <f>O6484+O6488+O6490</f>
        <v>0</v>
      </c>
      <c r="P6480" s="166"/>
      <c r="Q6480" s="166">
        <f t="shared" ref="Q6480" si="1714">O6480*K6480</f>
        <v>0</v>
      </c>
      <c r="R6480" s="71"/>
    </row>
    <row r="6481" spans="1:18" s="61" customFormat="1" x14ac:dyDescent="0.25">
      <c r="A6481" s="358"/>
      <c r="B6481" s="361"/>
      <c r="C6481" s="365" t="s">
        <v>379</v>
      </c>
      <c r="D6481" s="231" t="s">
        <v>49</v>
      </c>
      <c r="E6481" s="231" t="s">
        <v>22</v>
      </c>
      <c r="F6481" s="231" t="s">
        <v>22</v>
      </c>
      <c r="G6481" s="238">
        <f>MROUND(H6481*L6481*I6481/K6481,0.000001)</f>
        <v>0</v>
      </c>
      <c r="H6481" s="160"/>
      <c r="I6481" s="159">
        <f>I6476</f>
        <v>2.4731E-2</v>
      </c>
      <c r="J6481" s="160"/>
      <c r="K6481" s="161">
        <f>K6476</f>
        <v>31</v>
      </c>
      <c r="L6481" s="250"/>
      <c r="M6481" s="163"/>
      <c r="N6481" s="278"/>
      <c r="O6481" s="280">
        <f>MROUND(N6481*G6481,0.000001)</f>
        <v>0</v>
      </c>
      <c r="P6481" s="166"/>
      <c r="Q6481" s="166">
        <f>O6481*K6481</f>
        <v>0</v>
      </c>
      <c r="R6481" s="71"/>
    </row>
    <row r="6482" spans="1:18" s="61" customFormat="1" x14ac:dyDescent="0.25">
      <c r="A6482" s="358"/>
      <c r="B6482" s="361"/>
      <c r="C6482" s="366"/>
      <c r="D6482" s="231" t="s">
        <v>49</v>
      </c>
      <c r="E6482" s="231" t="s">
        <v>28</v>
      </c>
      <c r="F6482" s="231" t="s">
        <v>28</v>
      </c>
      <c r="G6482" s="238">
        <f>MROUND(H6482*L6482*I6482/K6482,0.000001)</f>
        <v>0</v>
      </c>
      <c r="H6482" s="160"/>
      <c r="I6482" s="159">
        <f t="shared" si="1712"/>
        <v>2.4731E-2</v>
      </c>
      <c r="J6482" s="160"/>
      <c r="K6482" s="161">
        <f t="shared" si="1713"/>
        <v>31</v>
      </c>
      <c r="L6482" s="250">
        <v>2</v>
      </c>
      <c r="M6482" s="163"/>
      <c r="N6482" s="278"/>
      <c r="O6482" s="280">
        <f>MROUND(N6482*G6482,0.000001)</f>
        <v>0</v>
      </c>
      <c r="P6482" s="166"/>
      <c r="Q6482" s="166"/>
      <c r="R6482" s="71"/>
    </row>
    <row r="6483" spans="1:18" s="61" customFormat="1" x14ac:dyDescent="0.25">
      <c r="A6483" s="358"/>
      <c r="B6483" s="361"/>
      <c r="C6483" s="367"/>
      <c r="D6483" s="231" t="s">
        <v>49</v>
      </c>
      <c r="E6483" s="231" t="s">
        <v>101</v>
      </c>
      <c r="F6483" s="231" t="s">
        <v>101</v>
      </c>
      <c r="G6483" s="238">
        <f>MROUND(H6483*L6483*I6483/K6483,0.00000001)</f>
        <v>0</v>
      </c>
      <c r="H6483" s="160"/>
      <c r="I6483" s="159">
        <f>I6481</f>
        <v>2.4731E-2</v>
      </c>
      <c r="J6483" s="160"/>
      <c r="K6483" s="161">
        <f>K6481</f>
        <v>31</v>
      </c>
      <c r="L6483" s="250">
        <v>1</v>
      </c>
      <c r="M6483" s="163"/>
      <c r="N6483" s="278"/>
      <c r="O6483" s="280">
        <f>MROUND(N6483*G6483,0.000001)</f>
        <v>0</v>
      </c>
      <c r="P6483" s="166"/>
      <c r="Q6483" s="166">
        <f>O6483*K6483</f>
        <v>0</v>
      </c>
      <c r="R6483" s="71"/>
    </row>
    <row r="6484" spans="1:18" s="62" customFormat="1" x14ac:dyDescent="0.25">
      <c r="A6484" s="358"/>
      <c r="B6484" s="361"/>
      <c r="C6484" s="218" t="s">
        <v>380</v>
      </c>
      <c r="D6484" s="232"/>
      <c r="E6484" s="232"/>
      <c r="F6484" s="232"/>
      <c r="G6484" s="227"/>
      <c r="H6484" s="228"/>
      <c r="I6484" s="206"/>
      <c r="J6484" s="228"/>
      <c r="K6484" s="207"/>
      <c r="L6484" s="257"/>
      <c r="M6484" s="209"/>
      <c r="N6484" s="281"/>
      <c r="O6484" s="279">
        <f>O6483+O6481+O6482</f>
        <v>0</v>
      </c>
      <c r="P6484" s="267"/>
      <c r="Q6484" s="166"/>
      <c r="R6484" s="71"/>
    </row>
    <row r="6485" spans="1:18" s="61" customFormat="1" x14ac:dyDescent="0.25">
      <c r="A6485" s="358"/>
      <c r="B6485" s="361"/>
      <c r="C6485" s="365" t="s">
        <v>76</v>
      </c>
      <c r="D6485" s="231" t="s">
        <v>49</v>
      </c>
      <c r="E6485" s="231" t="s">
        <v>22</v>
      </c>
      <c r="F6485" s="231" t="s">
        <v>22</v>
      </c>
      <c r="G6485" s="238">
        <f>MROUND(H6485*L6485*I6485/K6485,0.000001)</f>
        <v>0</v>
      </c>
      <c r="H6485" s="160"/>
      <c r="I6485" s="159">
        <f>I6481</f>
        <v>2.4731E-2</v>
      </c>
      <c r="J6485" s="160"/>
      <c r="K6485" s="161">
        <f>K6481</f>
        <v>31</v>
      </c>
      <c r="L6485" s="250">
        <v>1</v>
      </c>
      <c r="M6485" s="163"/>
      <c r="N6485" s="278"/>
      <c r="O6485" s="280">
        <f>MROUND(N6485*G6485,0.000001)</f>
        <v>0</v>
      </c>
      <c r="P6485" s="166"/>
      <c r="Q6485" s="166">
        <f t="shared" ref="Q6485" si="1715">O6485*K6485</f>
        <v>0</v>
      </c>
      <c r="R6485" s="71"/>
    </row>
    <row r="6486" spans="1:18" s="61" customFormat="1" x14ac:dyDescent="0.25">
      <c r="A6486" s="358"/>
      <c r="B6486" s="361"/>
      <c r="C6486" s="366"/>
      <c r="D6486" s="231" t="s">
        <v>49</v>
      </c>
      <c r="E6486" s="231" t="s">
        <v>28</v>
      </c>
      <c r="F6486" s="231" t="s">
        <v>28</v>
      </c>
      <c r="G6486" s="238">
        <f>MROUND(H6486*L6486*I6486/K6486,0.000001)</f>
        <v>0</v>
      </c>
      <c r="H6486" s="160"/>
      <c r="I6486" s="159">
        <f t="shared" si="1712"/>
        <v>2.4731E-2</v>
      </c>
      <c r="J6486" s="160"/>
      <c r="K6486" s="161">
        <f t="shared" si="1713"/>
        <v>31</v>
      </c>
      <c r="L6486" s="250">
        <v>2</v>
      </c>
      <c r="M6486" s="163"/>
      <c r="N6486" s="278"/>
      <c r="O6486" s="280">
        <f>MROUND(N6486*G6486,0.000001)</f>
        <v>0</v>
      </c>
      <c r="P6486" s="166"/>
      <c r="Q6486" s="166"/>
      <c r="R6486" s="71"/>
    </row>
    <row r="6487" spans="1:18" s="61" customFormat="1" x14ac:dyDescent="0.25">
      <c r="A6487" s="358"/>
      <c r="B6487" s="361"/>
      <c r="C6487" s="367"/>
      <c r="D6487" s="231" t="s">
        <v>49</v>
      </c>
      <c r="E6487" s="231" t="s">
        <v>101</v>
      </c>
      <c r="F6487" s="231" t="s">
        <v>101</v>
      </c>
      <c r="G6487" s="238">
        <f>MROUND(H6487*L6487*I6487/K6487,0.00000001)</f>
        <v>0</v>
      </c>
      <c r="H6487" s="160"/>
      <c r="I6487" s="159">
        <f>I6485</f>
        <v>2.4731E-2</v>
      </c>
      <c r="J6487" s="160"/>
      <c r="K6487" s="161">
        <f>K6485</f>
        <v>31</v>
      </c>
      <c r="L6487" s="250">
        <v>1</v>
      </c>
      <c r="M6487" s="163"/>
      <c r="N6487" s="278"/>
      <c r="O6487" s="280">
        <f>MROUND(N6487*G6487,0.000001)</f>
        <v>0</v>
      </c>
      <c r="P6487" s="166"/>
      <c r="Q6487" s="166">
        <f t="shared" ref="Q6487" si="1716">O6487*K6487</f>
        <v>0</v>
      </c>
      <c r="R6487" s="71"/>
    </row>
    <row r="6488" spans="1:18" s="62" customFormat="1" x14ac:dyDescent="0.25">
      <c r="A6488" s="358"/>
      <c r="B6488" s="361"/>
      <c r="C6488" s="218" t="s">
        <v>291</v>
      </c>
      <c r="D6488" s="232"/>
      <c r="E6488" s="232"/>
      <c r="F6488" s="232"/>
      <c r="G6488" s="227"/>
      <c r="H6488" s="228"/>
      <c r="I6488" s="206"/>
      <c r="J6488" s="228"/>
      <c r="K6488" s="207"/>
      <c r="L6488" s="257"/>
      <c r="M6488" s="209"/>
      <c r="N6488" s="281"/>
      <c r="O6488" s="279">
        <f>O6487+O6485+O6486</f>
        <v>0</v>
      </c>
      <c r="P6488" s="267"/>
      <c r="Q6488" s="166"/>
      <c r="R6488" s="71"/>
    </row>
    <row r="6489" spans="1:18" s="61" customFormat="1" x14ac:dyDescent="0.25">
      <c r="A6489" s="358"/>
      <c r="B6489" s="361"/>
      <c r="C6489" s="221" t="s">
        <v>77</v>
      </c>
      <c r="D6489" s="231"/>
      <c r="E6489" s="231"/>
      <c r="F6489" s="231"/>
      <c r="G6489" s="238">
        <f>MROUND(H6489*L6489*I6489/K6489,0.000001)</f>
        <v>0</v>
      </c>
      <c r="H6489" s="160"/>
      <c r="I6489" s="159">
        <f>I6485</f>
        <v>2.4731E-2</v>
      </c>
      <c r="J6489" s="160"/>
      <c r="K6489" s="161">
        <f>K6485</f>
        <v>31</v>
      </c>
      <c r="L6489" s="250"/>
      <c r="M6489" s="163"/>
      <c r="N6489" s="278">
        <f>N6392</f>
        <v>0</v>
      </c>
      <c r="O6489" s="280">
        <f>MROUND(N6489*G6489,0.000001)</f>
        <v>0</v>
      </c>
      <c r="P6489" s="166"/>
      <c r="Q6489" s="166">
        <f t="shared" ref="Q6489" si="1717">O6489*K6489</f>
        <v>0</v>
      </c>
      <c r="R6489" s="71"/>
    </row>
    <row r="6490" spans="1:18" s="62" customFormat="1" x14ac:dyDescent="0.25">
      <c r="A6490" s="358"/>
      <c r="B6490" s="361"/>
      <c r="C6490" s="218" t="s">
        <v>292</v>
      </c>
      <c r="D6490" s="232"/>
      <c r="E6490" s="232"/>
      <c r="F6490" s="232"/>
      <c r="G6490" s="227"/>
      <c r="H6490" s="228"/>
      <c r="I6490" s="206"/>
      <c r="J6490" s="228"/>
      <c r="K6490" s="207"/>
      <c r="L6490" s="257"/>
      <c r="M6490" s="209"/>
      <c r="N6490" s="281"/>
      <c r="O6490" s="279">
        <f>O6489</f>
        <v>0</v>
      </c>
      <c r="P6490" s="267"/>
      <c r="Q6490" s="166"/>
      <c r="R6490" s="71"/>
    </row>
    <row r="6491" spans="1:18" s="61" customFormat="1" x14ac:dyDescent="0.25">
      <c r="A6491" s="358"/>
      <c r="B6491" s="361"/>
      <c r="C6491" s="221"/>
      <c r="D6491" s="350" t="s">
        <v>65</v>
      </c>
      <c r="E6491" s="350"/>
      <c r="F6491" s="350"/>
      <c r="G6491" s="350"/>
      <c r="H6491" s="195"/>
      <c r="I6491" s="159"/>
      <c r="J6491" s="195"/>
      <c r="K6491" s="161"/>
      <c r="L6491" s="196"/>
      <c r="M6491" s="230"/>
      <c r="N6491" s="278"/>
      <c r="O6491" s="280"/>
      <c r="P6491" s="166"/>
      <c r="Q6491" s="166">
        <f t="shared" ref="Q6491:Q6498" si="1718">O6491*K6491</f>
        <v>0</v>
      </c>
      <c r="R6491" s="71"/>
    </row>
    <row r="6492" spans="1:18" s="61" customFormat="1" x14ac:dyDescent="0.25">
      <c r="A6492" s="358"/>
      <c r="B6492" s="361"/>
      <c r="C6492" s="221"/>
      <c r="D6492" s="194"/>
      <c r="E6492" s="194"/>
      <c r="F6492" s="194"/>
      <c r="G6492" s="217"/>
      <c r="H6492" s="195"/>
      <c r="I6492" s="159"/>
      <c r="J6492" s="195"/>
      <c r="K6492" s="161"/>
      <c r="L6492" s="196"/>
      <c r="M6492" s="230"/>
      <c r="N6492" s="278"/>
      <c r="O6492" s="280"/>
      <c r="P6492" s="166"/>
      <c r="Q6492" s="166">
        <f t="shared" si="1718"/>
        <v>0</v>
      </c>
      <c r="R6492" s="71"/>
    </row>
    <row r="6493" spans="1:18" s="61" customFormat="1" x14ac:dyDescent="0.25">
      <c r="A6493" s="358"/>
      <c r="B6493" s="361"/>
      <c r="C6493" s="221" t="s">
        <v>357</v>
      </c>
      <c r="D6493" s="368" t="s">
        <v>66</v>
      </c>
      <c r="E6493" s="368"/>
      <c r="F6493" s="368"/>
      <c r="G6493" s="368"/>
      <c r="H6493" s="195"/>
      <c r="I6493" s="159"/>
      <c r="J6493" s="195"/>
      <c r="K6493" s="161"/>
      <c r="L6493" s="196"/>
      <c r="M6493" s="230"/>
      <c r="N6493" s="278"/>
      <c r="O6493" s="279">
        <f>SUM(O6494:O6498)</f>
        <v>139.248098</v>
      </c>
      <c r="P6493" s="166"/>
      <c r="Q6493" s="166">
        <f t="shared" si="1718"/>
        <v>0</v>
      </c>
      <c r="R6493" s="71"/>
    </row>
    <row r="6494" spans="1:18" s="61" customFormat="1" x14ac:dyDescent="0.25">
      <c r="A6494" s="358"/>
      <c r="B6494" s="361"/>
      <c r="C6494" s="365"/>
      <c r="D6494" s="284" t="s">
        <v>241</v>
      </c>
      <c r="E6494" s="156" t="s">
        <v>28</v>
      </c>
      <c r="F6494" s="156" t="s">
        <v>28</v>
      </c>
      <c r="G6494" s="238">
        <f>MROUND(H6494*L6494*I6494/K6494,0.000000001)</f>
        <v>4.7866452000000004E-2</v>
      </c>
      <c r="H6494" s="158">
        <f>H6397</f>
        <v>5</v>
      </c>
      <c r="I6494" s="159">
        <f>I6489</f>
        <v>2.4731E-2</v>
      </c>
      <c r="J6494" s="160"/>
      <c r="K6494" s="161">
        <f>K6489</f>
        <v>31</v>
      </c>
      <c r="L6494" s="250">
        <v>12</v>
      </c>
      <c r="M6494" s="163" t="str">
        <f>CONCATENATE(H6494," ",F6494,"*",L6494,"мес.","*",I6494,"/",K6494,"чел/час")</f>
        <v>5 шт*12мес.*0,024731/31чел/час</v>
      </c>
      <c r="N6494" s="278">
        <f>N6397</f>
        <v>291.41983333333332</v>
      </c>
      <c r="O6494" s="280">
        <f>MROUND(N6494*G6494,0.000001)</f>
        <v>13.949233</v>
      </c>
      <c r="P6494" s="166"/>
      <c r="Q6494" s="166">
        <f t="shared" si="1718"/>
        <v>432.42622299999999</v>
      </c>
      <c r="R6494" s="71"/>
    </row>
    <row r="6495" spans="1:18" s="61" customFormat="1" x14ac:dyDescent="0.25">
      <c r="A6495" s="358"/>
      <c r="B6495" s="361"/>
      <c r="C6495" s="366"/>
      <c r="D6495" s="284" t="s">
        <v>242</v>
      </c>
      <c r="E6495" s="156" t="s">
        <v>243</v>
      </c>
      <c r="F6495" s="156" t="s">
        <v>243</v>
      </c>
      <c r="G6495" s="238">
        <f>MROUND(H6495*L6495*I6495/K6495,0.00000001)</f>
        <v>67.319377549999999</v>
      </c>
      <c r="H6495" s="158">
        <v>7032</v>
      </c>
      <c r="I6495" s="159">
        <f t="shared" si="1712"/>
        <v>2.4731E-2</v>
      </c>
      <c r="J6495" s="160"/>
      <c r="K6495" s="161">
        <f t="shared" si="1713"/>
        <v>31</v>
      </c>
      <c r="L6495" s="250">
        <v>12</v>
      </c>
      <c r="M6495" s="163" t="str">
        <f>CONCATENATE(H6495," ",F6495,"*",L6495,"мес.","*",I6495,"/",K6495,"чел/час")</f>
        <v>7032 мин.*12мес.*0,024731/31чел/час</v>
      </c>
      <c r="N6495" s="278">
        <f>N6398</f>
        <v>0.82090076317785365</v>
      </c>
      <c r="O6495" s="280">
        <f>MROUND(N6495*G6495,0.000001)</f>
        <v>55.262527999999996</v>
      </c>
      <c r="P6495" s="166"/>
      <c r="Q6495" s="166">
        <f t="shared" si="1718"/>
        <v>1713.1383679999999</v>
      </c>
      <c r="R6495" s="71"/>
    </row>
    <row r="6496" spans="1:18" s="61" customFormat="1" ht="31.5" x14ac:dyDescent="0.25">
      <c r="A6496" s="358"/>
      <c r="B6496" s="361"/>
      <c r="C6496" s="366"/>
      <c r="D6496" s="285" t="s">
        <v>244</v>
      </c>
      <c r="E6496" s="286" t="s">
        <v>245</v>
      </c>
      <c r="F6496" s="286" t="s">
        <v>247</v>
      </c>
      <c r="G6496" s="238">
        <f>MROUND(H6496*L6496*I6496/K6496,0.000001)</f>
        <v>9.5729999999999999E-3</v>
      </c>
      <c r="H6496" s="158">
        <v>1</v>
      </c>
      <c r="I6496" s="159">
        <f t="shared" si="1712"/>
        <v>2.4731E-2</v>
      </c>
      <c r="J6496" s="160"/>
      <c r="K6496" s="161">
        <f t="shared" si="1713"/>
        <v>31</v>
      </c>
      <c r="L6496" s="250">
        <v>12</v>
      </c>
      <c r="M6496" s="163" t="str">
        <f>CONCATENATE(H6496," ",F6496,"*",L6496,"мес.","*",I6496,"/",K6496,"чел/час")</f>
        <v>1 радиоточек*12мес.*0,024731/31чел/час</v>
      </c>
      <c r="N6496" s="278">
        <f>N6399</f>
        <v>173.30166666666665</v>
      </c>
      <c r="O6496" s="280">
        <f>MROUND(N6496*G6496,0.000001)</f>
        <v>1.659017</v>
      </c>
      <c r="P6496" s="166"/>
      <c r="Q6496" s="166">
        <f t="shared" si="1718"/>
        <v>51.429527</v>
      </c>
      <c r="R6496" s="71"/>
    </row>
    <row r="6497" spans="1:41" s="61" customFormat="1" ht="47.25" x14ac:dyDescent="0.25">
      <c r="A6497" s="358"/>
      <c r="B6497" s="361"/>
      <c r="C6497" s="366"/>
      <c r="D6497" s="285" t="s">
        <v>374</v>
      </c>
      <c r="E6497" s="156" t="s">
        <v>28</v>
      </c>
      <c r="F6497" s="156" t="s">
        <v>28</v>
      </c>
      <c r="G6497" s="238">
        <f>MROUND(H6497*L6497*I6497/K6497,0.000001)</f>
        <v>1.9147000000000001E-2</v>
      </c>
      <c r="H6497" s="158">
        <f>H6400</f>
        <v>6</v>
      </c>
      <c r="I6497" s="159">
        <f>I6495</f>
        <v>2.4731E-2</v>
      </c>
      <c r="J6497" s="160"/>
      <c r="K6497" s="161">
        <f>K6495</f>
        <v>31</v>
      </c>
      <c r="L6497" s="250">
        <f>L6400</f>
        <v>4</v>
      </c>
      <c r="M6497" s="163" t="str">
        <f>CONCATENATE(H6497," ",F6497,"*",L6497,"мес.","*",I6497,"/",K6497,"чел/час")</f>
        <v>6 шт*4мес.*0,024731/31чел/час</v>
      </c>
      <c r="N6497" s="278">
        <f>N6400</f>
        <v>1313.8174999999999</v>
      </c>
      <c r="O6497" s="280">
        <f>MROUND(N6497*G6497,0.000001)</f>
        <v>25.155663999999998</v>
      </c>
      <c r="P6497" s="166"/>
      <c r="Q6497" s="166">
        <f t="shared" si="1718"/>
        <v>779.82558399999994</v>
      </c>
      <c r="R6497" s="71"/>
    </row>
    <row r="6498" spans="1:41" s="61" customFormat="1" x14ac:dyDescent="0.25">
      <c r="A6498" s="358"/>
      <c r="B6498" s="361"/>
      <c r="C6498" s="367"/>
      <c r="D6498" s="284" t="s">
        <v>246</v>
      </c>
      <c r="E6498" s="156" t="s">
        <v>28</v>
      </c>
      <c r="F6498" s="156" t="s">
        <v>28</v>
      </c>
      <c r="G6498" s="238">
        <f>MROUND(H6498*L6498*I6498/K6498,0.000001)</f>
        <v>9.5729999999999999E-3</v>
      </c>
      <c r="H6498" s="158">
        <v>1</v>
      </c>
      <c r="I6498" s="159">
        <f>I6496</f>
        <v>2.4731E-2</v>
      </c>
      <c r="J6498" s="160"/>
      <c r="K6498" s="161">
        <f>K6496</f>
        <v>31</v>
      </c>
      <c r="L6498" s="250">
        <v>12</v>
      </c>
      <c r="M6498" s="163" t="str">
        <f>CONCATENATE(H6498," ",F6498,"*",L6498,"мес.","*",I6498,"/",K6498,"чел/час")</f>
        <v>1 шт*12мес.*0,024731/31чел/час</v>
      </c>
      <c r="N6498" s="278">
        <f>N6401</f>
        <v>4514.9541666666673</v>
      </c>
      <c r="O6498" s="280">
        <f>MROUND(N6498*G6498,0.000001)</f>
        <v>43.221655999999996</v>
      </c>
      <c r="P6498" s="166"/>
      <c r="Q6498" s="166">
        <f t="shared" si="1718"/>
        <v>1339.8713359999999</v>
      </c>
      <c r="R6498" s="71"/>
    </row>
    <row r="6499" spans="1:41" s="62" customFormat="1" x14ac:dyDescent="0.25">
      <c r="A6499" s="358"/>
      <c r="B6499" s="361"/>
      <c r="C6499" s="218" t="s">
        <v>358</v>
      </c>
      <c r="D6499" s="287"/>
      <c r="E6499" s="287"/>
      <c r="F6499" s="287"/>
      <c r="G6499" s="288"/>
      <c r="H6499" s="214"/>
      <c r="I6499" s="206"/>
      <c r="J6499" s="214"/>
      <c r="K6499" s="207"/>
      <c r="L6499" s="215"/>
      <c r="M6499" s="289"/>
      <c r="N6499" s="281"/>
      <c r="O6499" s="279">
        <f>O6493</f>
        <v>139.248098</v>
      </c>
      <c r="P6499" s="267"/>
      <c r="Q6499" s="166"/>
      <c r="R6499" s="71"/>
    </row>
    <row r="6500" spans="1:41" s="61" customFormat="1" x14ac:dyDescent="0.25">
      <c r="A6500" s="358"/>
      <c r="B6500" s="361"/>
      <c r="C6500" s="221"/>
      <c r="D6500" s="368" t="s">
        <v>67</v>
      </c>
      <c r="E6500" s="368"/>
      <c r="F6500" s="368"/>
      <c r="G6500" s="368"/>
      <c r="H6500" s="195"/>
      <c r="I6500" s="159">
        <f>I6497</f>
        <v>2.4731E-2</v>
      </c>
      <c r="J6500" s="195"/>
      <c r="K6500" s="161">
        <f>K6498</f>
        <v>31</v>
      </c>
      <c r="L6500" s="196"/>
      <c r="M6500" s="230"/>
      <c r="N6500" s="278"/>
      <c r="O6500" s="280"/>
      <c r="P6500" s="166"/>
      <c r="Q6500" s="166">
        <f t="shared" ref="Q6500:Q6510" si="1719">O6500*K6500</f>
        <v>0</v>
      </c>
      <c r="R6500" s="71"/>
    </row>
    <row r="6501" spans="1:41" s="61" customFormat="1" x14ac:dyDescent="0.25">
      <c r="A6501" s="358"/>
      <c r="B6501" s="361"/>
      <c r="C6501" s="221"/>
      <c r="D6501" s="194"/>
      <c r="E6501" s="194"/>
      <c r="F6501" s="194"/>
      <c r="G6501" s="217"/>
      <c r="H6501" s="195"/>
      <c r="I6501" s="159"/>
      <c r="J6501" s="195"/>
      <c r="K6501" s="161"/>
      <c r="L6501" s="196"/>
      <c r="M6501" s="230"/>
      <c r="N6501" s="278"/>
      <c r="O6501" s="280"/>
      <c r="P6501" s="166"/>
      <c r="Q6501" s="166">
        <f t="shared" si="1719"/>
        <v>0</v>
      </c>
      <c r="R6501" s="71"/>
    </row>
    <row r="6502" spans="1:41" s="61" customFormat="1" x14ac:dyDescent="0.25">
      <c r="A6502" s="358"/>
      <c r="B6502" s="361"/>
      <c r="C6502" s="221"/>
      <c r="D6502" s="350" t="s">
        <v>68</v>
      </c>
      <c r="E6502" s="350"/>
      <c r="F6502" s="350"/>
      <c r="G6502" s="350"/>
      <c r="H6502" s="195"/>
      <c r="I6502" s="159"/>
      <c r="J6502" s="195"/>
      <c r="K6502" s="161"/>
      <c r="L6502" s="196"/>
      <c r="M6502" s="230"/>
      <c r="N6502" s="278"/>
      <c r="O6502" s="280"/>
      <c r="P6502" s="166"/>
      <c r="Q6502" s="166">
        <f t="shared" si="1719"/>
        <v>0</v>
      </c>
      <c r="R6502" s="71"/>
    </row>
    <row r="6503" spans="1:41" s="61" customFormat="1" x14ac:dyDescent="0.25">
      <c r="A6503" s="358"/>
      <c r="B6503" s="361"/>
      <c r="C6503" s="221"/>
      <c r="D6503" s="156"/>
      <c r="E6503" s="156"/>
      <c r="F6503" s="156"/>
      <c r="G6503" s="236"/>
      <c r="H6503" s="195"/>
      <c r="I6503" s="159"/>
      <c r="J6503" s="195"/>
      <c r="K6503" s="161"/>
      <c r="L6503" s="196"/>
      <c r="M6503" s="230"/>
      <c r="N6503" s="278"/>
      <c r="O6503" s="280"/>
      <c r="P6503" s="166"/>
      <c r="Q6503" s="166">
        <f t="shared" si="1719"/>
        <v>0</v>
      </c>
      <c r="R6503" s="71"/>
    </row>
    <row r="6504" spans="1:41" s="61" customFormat="1" x14ac:dyDescent="0.25">
      <c r="A6504" s="358"/>
      <c r="B6504" s="361"/>
      <c r="C6504" s="221"/>
      <c r="D6504" s="368" t="s">
        <v>69</v>
      </c>
      <c r="E6504" s="368"/>
      <c r="F6504" s="368"/>
      <c r="G6504" s="368"/>
      <c r="H6504" s="187"/>
      <c r="I6504" s="159"/>
      <c r="J6504" s="187"/>
      <c r="K6504" s="161"/>
      <c r="L6504" s="276"/>
      <c r="M6504" s="230"/>
      <c r="N6504" s="278"/>
      <c r="O6504" s="279">
        <f>O6511+O6518+O6522+O6540+O6542+O6544+O6550+O6552+O6555</f>
        <v>894.75581199999999</v>
      </c>
      <c r="P6504" s="166"/>
      <c r="Q6504" s="166">
        <f t="shared" si="1719"/>
        <v>0</v>
      </c>
      <c r="R6504" s="71"/>
    </row>
    <row r="6505" spans="1:41" s="61" customFormat="1" ht="31.5" x14ac:dyDescent="0.25">
      <c r="A6505" s="358"/>
      <c r="B6505" s="361"/>
      <c r="C6505" s="365" t="s">
        <v>78</v>
      </c>
      <c r="D6505" s="156" t="s">
        <v>26</v>
      </c>
      <c r="E6505" s="156" t="s">
        <v>22</v>
      </c>
      <c r="F6505" s="156" t="s">
        <v>22</v>
      </c>
      <c r="G6505" s="238">
        <f>MROUND(H6505*L6505*I6505/K6505,0.000000001)</f>
        <v>6.7013032260000003</v>
      </c>
      <c r="H6505" s="158">
        <f>H6408</f>
        <v>700</v>
      </c>
      <c r="I6505" s="159">
        <f>I6497</f>
        <v>2.4731E-2</v>
      </c>
      <c r="J6505" s="160"/>
      <c r="K6505" s="161">
        <f>K6494</f>
        <v>31</v>
      </c>
      <c r="L6505" s="250">
        <v>12</v>
      </c>
      <c r="M6505" s="163" t="str">
        <f>CONCATENATE(H6505," ",F6505,"(обрабатываемая площадь в мес.)","*",L6505,"мес.","*",I6505,"/",K6505,"чел/час")</f>
        <v>700 м2(обрабатываемая площадь в мес.)*12мес.*0,024731/31чел/час</v>
      </c>
      <c r="N6505" s="278">
        <f>N6408</f>
        <v>1.2085488095238095</v>
      </c>
      <c r="O6505" s="280">
        <f>MROUND(N6505*G6505,0.000001)</f>
        <v>8.0988519999999991</v>
      </c>
      <c r="P6505" s="166"/>
      <c r="Q6505" s="166">
        <f t="shared" si="1719"/>
        <v>251.06441199999998</v>
      </c>
      <c r="R6505" s="71"/>
    </row>
    <row r="6506" spans="1:41" s="61" customFormat="1" ht="32.450000000000003" customHeight="1" x14ac:dyDescent="0.25">
      <c r="A6506" s="358"/>
      <c r="B6506" s="361"/>
      <c r="C6506" s="366"/>
      <c r="D6506" s="156" t="s">
        <v>96</v>
      </c>
      <c r="E6506" s="156" t="s">
        <v>22</v>
      </c>
      <c r="F6506" s="156" t="s">
        <v>22</v>
      </c>
      <c r="G6506" s="238">
        <f>MROUND(H6506*L6506*I6506/K6506,0.0000001)</f>
        <v>4.3079805999999996</v>
      </c>
      <c r="H6506" s="158">
        <f>H6409</f>
        <v>450</v>
      </c>
      <c r="I6506" s="159">
        <f t="shared" si="1712"/>
        <v>2.4731E-2</v>
      </c>
      <c r="J6506" s="160"/>
      <c r="K6506" s="161">
        <f t="shared" si="1713"/>
        <v>31</v>
      </c>
      <c r="L6506" s="250">
        <v>12</v>
      </c>
      <c r="M6506" s="163" t="str">
        <f>CONCATENATE(H6506," ",F6506,"(обрабатываемая площадь в мес.)","*",L6506,"мес.","*",I6506,"/",K6506,"чел/час")</f>
        <v>450 м2(обрабатываемая площадь в мес.)*12мес.*0,024731/31чел/час</v>
      </c>
      <c r="N6506" s="278">
        <f>N6409</f>
        <v>1.9382388888888888</v>
      </c>
      <c r="O6506" s="280">
        <f>MROUND(N6506*G6506,0.000001)</f>
        <v>8.3498959999999993</v>
      </c>
      <c r="P6506" s="166"/>
      <c r="Q6506" s="166">
        <f t="shared" si="1719"/>
        <v>258.84677599999998</v>
      </c>
      <c r="R6506" s="71"/>
    </row>
    <row r="6507" spans="1:41" s="135" customFormat="1" ht="31.5" x14ac:dyDescent="0.25">
      <c r="A6507" s="358"/>
      <c r="B6507" s="361"/>
      <c r="C6507" s="366"/>
      <c r="D6507" s="156" t="s">
        <v>385</v>
      </c>
      <c r="E6507" s="156" t="s">
        <v>22</v>
      </c>
      <c r="F6507" s="156" t="s">
        <v>22</v>
      </c>
      <c r="G6507" s="238">
        <f>MROUND(H6507*L6507*I6507/K6507,0.000001)</f>
        <v>13.402605999999999</v>
      </c>
      <c r="H6507" s="242">
        <f>$H$3022</f>
        <v>700</v>
      </c>
      <c r="I6507" s="244">
        <f>I6506</f>
        <v>2.4731E-2</v>
      </c>
      <c r="J6507" s="160"/>
      <c r="K6507" s="161">
        <f>K6505</f>
        <v>31</v>
      </c>
      <c r="L6507" s="162">
        <v>24</v>
      </c>
      <c r="M6507" s="163" t="str">
        <f>CONCATENATE(H6507," ",F6507,"(обрабатываемая площадь в год)","*",L6507," раза в год.","*",I6507,"/",K6507,"чел.")</f>
        <v>700 м2(обрабатываемая площадь в год)*24 раза в год.*0,024731/31чел.</v>
      </c>
      <c r="N6507" s="164">
        <f>$N$6410</f>
        <v>1.5391892857142857</v>
      </c>
      <c r="O6507" s="165">
        <f>MROUND(G6507*N6507,0.000001)</f>
        <v>20.629148000000001</v>
      </c>
      <c r="P6507" s="166"/>
      <c r="Q6507" s="166">
        <f t="shared" si="1719"/>
        <v>639.50358800000004</v>
      </c>
      <c r="R6507" s="71"/>
      <c r="S6507" s="61"/>
      <c r="T6507" s="61"/>
      <c r="U6507" s="61"/>
      <c r="V6507" s="61"/>
      <c r="W6507" s="61"/>
      <c r="X6507" s="61"/>
      <c r="Y6507" s="61"/>
      <c r="Z6507" s="61"/>
      <c r="AA6507" s="61"/>
      <c r="AB6507" s="61"/>
      <c r="AC6507" s="61"/>
      <c r="AD6507" s="61"/>
      <c r="AE6507" s="61"/>
      <c r="AF6507" s="61"/>
      <c r="AG6507" s="61"/>
      <c r="AH6507" s="61"/>
      <c r="AI6507" s="61"/>
      <c r="AJ6507" s="61"/>
      <c r="AK6507" s="61"/>
      <c r="AL6507" s="61"/>
      <c r="AM6507" s="61"/>
      <c r="AN6507" s="61"/>
      <c r="AO6507" s="61"/>
    </row>
    <row r="6508" spans="1:41" s="135" customFormat="1" ht="31.5" x14ac:dyDescent="0.25">
      <c r="A6508" s="358"/>
      <c r="B6508" s="361"/>
      <c r="C6508" s="366"/>
      <c r="D6508" s="156" t="s">
        <v>394</v>
      </c>
      <c r="E6508" s="156" t="s">
        <v>22</v>
      </c>
      <c r="F6508" s="156" t="s">
        <v>22</v>
      </c>
      <c r="G6508" s="238">
        <f>MROUND(H6508*L6508*I6508/K6508,0.000001)</f>
        <v>4.3079809999999998</v>
      </c>
      <c r="H6508" s="243">
        <f>$H$3023</f>
        <v>450</v>
      </c>
      <c r="I6508" s="244">
        <f>I6507</f>
        <v>2.4731E-2</v>
      </c>
      <c r="J6508" s="160"/>
      <c r="K6508" s="161">
        <f>K6505</f>
        <v>31</v>
      </c>
      <c r="L6508" s="162">
        <v>12</v>
      </c>
      <c r="M6508" s="163" t="str">
        <f>CONCATENATE(H6508," ",F6508,"(обрабатываемая площадь в мес.)","*",L6508,"мес.","*",I6508,"/",K6508,"чел.")</f>
        <v>450 м2(обрабатываемая площадь в мес.)*12мес.*0,024731/31чел.</v>
      </c>
      <c r="N6508" s="164">
        <f>$N$6411</f>
        <v>0.88677592592592591</v>
      </c>
      <c r="O6508" s="165">
        <f>MROUND(G6508*N6508,0.000001)</f>
        <v>3.820214</v>
      </c>
      <c r="P6508" s="166"/>
      <c r="Q6508" s="166">
        <f t="shared" si="1719"/>
        <v>118.42663400000001</v>
      </c>
      <c r="R6508" s="71"/>
      <c r="S6508" s="61"/>
      <c r="T6508" s="61"/>
      <c r="U6508" s="61"/>
      <c r="V6508" s="61"/>
      <c r="W6508" s="61"/>
      <c r="X6508" s="61"/>
      <c r="Y6508" s="61"/>
      <c r="Z6508" s="61"/>
      <c r="AA6508" s="61"/>
      <c r="AB6508" s="61"/>
      <c r="AC6508" s="61"/>
      <c r="AD6508" s="61"/>
      <c r="AE6508" s="61"/>
      <c r="AF6508" s="61"/>
      <c r="AG6508" s="61"/>
      <c r="AH6508" s="61"/>
      <c r="AI6508" s="61"/>
      <c r="AJ6508" s="61"/>
      <c r="AK6508" s="61"/>
      <c r="AL6508" s="61"/>
      <c r="AM6508" s="61"/>
      <c r="AN6508" s="61"/>
      <c r="AO6508" s="61"/>
    </row>
    <row r="6509" spans="1:41" s="135" customFormat="1" ht="31.5" x14ac:dyDescent="0.25">
      <c r="A6509" s="358"/>
      <c r="B6509" s="361"/>
      <c r="C6509" s="366"/>
      <c r="D6509" s="156" t="s">
        <v>395</v>
      </c>
      <c r="E6509" s="156" t="s">
        <v>98</v>
      </c>
      <c r="F6509" s="156" t="s">
        <v>98</v>
      </c>
      <c r="G6509" s="238">
        <f>MROUND(H6509*L6509*I6509/K6509,0.000001)</f>
        <v>3.9899999999999999E-4</v>
      </c>
      <c r="H6509" s="242">
        <f>$H$3024</f>
        <v>0.5</v>
      </c>
      <c r="I6509" s="244">
        <f>I6505</f>
        <v>2.4731E-2</v>
      </c>
      <c r="J6509" s="160"/>
      <c r="K6509" s="161">
        <f>K6505</f>
        <v>31</v>
      </c>
      <c r="L6509" s="162">
        <v>1</v>
      </c>
      <c r="M6509" s="163" t="str">
        <f>CONCATENATE(H6509," ",F6509,"(обрабатываемая площадь в год)","*",L6509," раз в год","*",I6509,"/",K6509,"чел.")</f>
        <v>0,5 Га(обрабатываемая площадь в год)*1 раз в год*0,024731/31чел.</v>
      </c>
      <c r="N6509" s="164">
        <f>$N$6412</f>
        <v>570.08000000000004</v>
      </c>
      <c r="O6509" s="165">
        <f>MROUND(G6509*N6509,0.000001)</f>
        <v>0.227462</v>
      </c>
      <c r="P6509" s="166"/>
      <c r="Q6509" s="166">
        <f t="shared" si="1719"/>
        <v>7.0513219999999999</v>
      </c>
      <c r="R6509" s="71"/>
      <c r="S6509" s="61"/>
      <c r="T6509" s="61"/>
      <c r="U6509" s="61"/>
      <c r="V6509" s="61"/>
      <c r="W6509" s="61"/>
      <c r="X6509" s="61"/>
      <c r="Y6509" s="61"/>
      <c r="Z6509" s="61"/>
      <c r="AA6509" s="61"/>
      <c r="AB6509" s="61"/>
      <c r="AC6509" s="61"/>
      <c r="AD6509" s="61"/>
      <c r="AE6509" s="61"/>
      <c r="AF6509" s="61"/>
      <c r="AG6509" s="61"/>
      <c r="AH6509" s="61"/>
      <c r="AI6509" s="61"/>
      <c r="AJ6509" s="61"/>
      <c r="AK6509" s="61"/>
      <c r="AL6509" s="61"/>
      <c r="AM6509" s="61"/>
      <c r="AN6509" s="61"/>
      <c r="AO6509" s="61"/>
    </row>
    <row r="6510" spans="1:41" s="61" customFormat="1" ht="31.5" x14ac:dyDescent="0.25">
      <c r="A6510" s="358"/>
      <c r="B6510" s="361"/>
      <c r="C6510" s="367"/>
      <c r="D6510" s="156" t="s">
        <v>97</v>
      </c>
      <c r="E6510" s="156" t="s">
        <v>363</v>
      </c>
      <c r="F6510" s="156" t="s">
        <v>363</v>
      </c>
      <c r="G6510" s="238">
        <f>MROUND(H6510*L6510*I6510/K6510,0.0000001)</f>
        <v>3.9889999999999999E-4</v>
      </c>
      <c r="H6510" s="158">
        <f>H6413</f>
        <v>0.5</v>
      </c>
      <c r="I6510" s="159">
        <f>I6506</f>
        <v>2.4731E-2</v>
      </c>
      <c r="J6510" s="160"/>
      <c r="K6510" s="161">
        <f>K6506</f>
        <v>31</v>
      </c>
      <c r="L6510" s="250">
        <v>1</v>
      </c>
      <c r="M6510" s="163" t="str">
        <f>CONCATENATE(H6510," ",F6510,"(обрабатываемая площадь в мес.)","*",L6510,"мес.","*",I6510,"/",K6510,"чел")</f>
        <v>0,5 га(обрабатываемая площадь в мес.)*1мес.*0,024731/31чел</v>
      </c>
      <c r="N6510" s="278">
        <f>N6413</f>
        <v>3102.42</v>
      </c>
      <c r="O6510" s="280">
        <f>MROUND(N6510*G6510,0.000001)</f>
        <v>1.237555</v>
      </c>
      <c r="P6510" s="166"/>
      <c r="Q6510" s="166">
        <f t="shared" si="1719"/>
        <v>38.364204999999998</v>
      </c>
      <c r="R6510" s="71"/>
    </row>
    <row r="6511" spans="1:41" s="62" customFormat="1" x14ac:dyDescent="0.25">
      <c r="A6511" s="358"/>
      <c r="B6511" s="361"/>
      <c r="C6511" s="218" t="s">
        <v>294</v>
      </c>
      <c r="D6511" s="240"/>
      <c r="E6511" s="240"/>
      <c r="F6511" s="240"/>
      <c r="G6511" s="227"/>
      <c r="H6511" s="241"/>
      <c r="I6511" s="206"/>
      <c r="J6511" s="228"/>
      <c r="K6511" s="207"/>
      <c r="L6511" s="257"/>
      <c r="M6511" s="209"/>
      <c r="N6511" s="281"/>
      <c r="O6511" s="279">
        <f>SUM(O6505:O6510)</f>
        <v>42.363126999999999</v>
      </c>
      <c r="P6511" s="267"/>
      <c r="Q6511" s="166"/>
      <c r="R6511" s="71"/>
    </row>
    <row r="6512" spans="1:41" s="61" customFormat="1" ht="78.75" x14ac:dyDescent="0.25">
      <c r="A6512" s="358"/>
      <c r="B6512" s="361"/>
      <c r="C6512" s="366"/>
      <c r="D6512" s="156" t="s">
        <v>250</v>
      </c>
      <c r="E6512" s="156" t="s">
        <v>251</v>
      </c>
      <c r="F6512" s="156" t="s">
        <v>60</v>
      </c>
      <c r="G6512" s="238">
        <f>MROUND(H6512*L6512*I6512/K6512,0.00000001)</f>
        <v>9.5732899999999999E-3</v>
      </c>
      <c r="H6512" s="158">
        <v>1</v>
      </c>
      <c r="I6512" s="159">
        <f>I6510</f>
        <v>2.4731E-2</v>
      </c>
      <c r="J6512" s="160"/>
      <c r="K6512" s="161">
        <f>K6510</f>
        <v>31</v>
      </c>
      <c r="L6512" s="250">
        <v>12</v>
      </c>
      <c r="M6512" s="163" t="str">
        <f t="shared" ref="M6512" si="1720">CONCATENATE(H6512," ",F6512,"*",I6512,"/",K6512,"чел/час")</f>
        <v>1 шт.*0,024731/31чел/час</v>
      </c>
      <c r="N6512" s="278">
        <f t="shared" ref="N6512:N6517" si="1721">N6415</f>
        <v>380.04666666666668</v>
      </c>
      <c r="O6512" s="280">
        <f t="shared" ref="O6512:O6514" si="1722">MROUND(N6512*G6512,0.000001)</f>
        <v>3.6382969999999997</v>
      </c>
      <c r="P6512" s="166"/>
      <c r="Q6512" s="166">
        <f t="shared" ref="Q6512:Q6517" si="1723">O6512*K6512</f>
        <v>112.787207</v>
      </c>
      <c r="R6512" s="71"/>
    </row>
    <row r="6513" spans="1:18" s="61" customFormat="1" ht="47.25" x14ac:dyDescent="0.25">
      <c r="A6513" s="358"/>
      <c r="B6513" s="361"/>
      <c r="C6513" s="366"/>
      <c r="D6513" s="156" t="s">
        <v>401</v>
      </c>
      <c r="E6513" s="156" t="s">
        <v>60</v>
      </c>
      <c r="F6513" s="156" t="s">
        <v>402</v>
      </c>
      <c r="G6513" s="238">
        <f t="shared" ref="G6513" si="1724">MROUND(H6513*L6513*I6513/K6513,0.000001)</f>
        <v>0</v>
      </c>
      <c r="H6513" s="158"/>
      <c r="I6513" s="159">
        <f t="shared" si="1712"/>
        <v>2.4731E-2</v>
      </c>
      <c r="J6513" s="160"/>
      <c r="K6513" s="161">
        <f t="shared" si="1713"/>
        <v>31</v>
      </c>
      <c r="L6513" s="250">
        <v>1</v>
      </c>
      <c r="M6513" s="163"/>
      <c r="N6513" s="278"/>
      <c r="O6513" s="280">
        <f t="shared" si="1722"/>
        <v>0</v>
      </c>
      <c r="P6513" s="166"/>
      <c r="Q6513" s="166">
        <f t="shared" si="1723"/>
        <v>0</v>
      </c>
      <c r="R6513" s="71"/>
    </row>
    <row r="6514" spans="1:18" s="61" customFormat="1" ht="31.5" x14ac:dyDescent="0.25">
      <c r="A6514" s="358"/>
      <c r="B6514" s="361"/>
      <c r="C6514" s="366"/>
      <c r="D6514" s="156" t="s">
        <v>35</v>
      </c>
      <c r="E6514" s="156" t="s">
        <v>102</v>
      </c>
      <c r="F6514" s="156" t="s">
        <v>252</v>
      </c>
      <c r="G6514" s="238">
        <f>MROUND(H6514*L6514*I6514/K6514,0.00000001)</f>
        <v>0</v>
      </c>
      <c r="H6514" s="158"/>
      <c r="I6514" s="159">
        <f t="shared" si="1712"/>
        <v>2.4731E-2</v>
      </c>
      <c r="J6514" s="160"/>
      <c r="K6514" s="161">
        <f t="shared" si="1713"/>
        <v>31</v>
      </c>
      <c r="L6514" s="250">
        <v>1</v>
      </c>
      <c r="M6514" s="163"/>
      <c r="N6514" s="278"/>
      <c r="O6514" s="280">
        <f t="shared" si="1722"/>
        <v>0</v>
      </c>
      <c r="P6514" s="166"/>
      <c r="Q6514" s="166">
        <f t="shared" si="1723"/>
        <v>0</v>
      </c>
      <c r="R6514" s="71"/>
    </row>
    <row r="6515" spans="1:18" s="61" customFormat="1" ht="31.5" x14ac:dyDescent="0.25">
      <c r="A6515" s="358"/>
      <c r="B6515" s="361"/>
      <c r="C6515" s="366"/>
      <c r="D6515" s="156" t="s">
        <v>99</v>
      </c>
      <c r="E6515" s="156" t="s">
        <v>103</v>
      </c>
      <c r="F6515" s="156" t="s">
        <v>225</v>
      </c>
      <c r="G6515" s="238">
        <f>MROUND(H6515*L6515*I6515/K6515,0.00000001)</f>
        <v>0</v>
      </c>
      <c r="H6515" s="158">
        <f>H6418</f>
        <v>0</v>
      </c>
      <c r="I6515" s="159">
        <f t="shared" si="1712"/>
        <v>2.4731E-2</v>
      </c>
      <c r="J6515" s="160"/>
      <c r="K6515" s="161">
        <f t="shared" si="1713"/>
        <v>31</v>
      </c>
      <c r="L6515" s="250">
        <v>1</v>
      </c>
      <c r="M6515" s="163"/>
      <c r="N6515" s="164">
        <f t="shared" si="1721"/>
        <v>0</v>
      </c>
      <c r="O6515" s="165">
        <f>MROUND(G6515*N6515,0.000001)</f>
        <v>0</v>
      </c>
      <c r="P6515" s="166"/>
      <c r="Q6515" s="166">
        <f t="shared" si="1723"/>
        <v>0</v>
      </c>
      <c r="R6515" s="71"/>
    </row>
    <row r="6516" spans="1:18" s="61" customFormat="1" x14ac:dyDescent="0.25">
      <c r="A6516" s="358"/>
      <c r="B6516" s="361"/>
      <c r="C6516" s="366"/>
      <c r="D6516" s="156" t="s">
        <v>27</v>
      </c>
      <c r="E6516" s="156" t="s">
        <v>28</v>
      </c>
      <c r="F6516" s="156" t="s">
        <v>28</v>
      </c>
      <c r="G6516" s="238">
        <f t="shared" ref="G6516" si="1725">MROUND(H6516*L6516*I6516/K6516,0.000001)</f>
        <v>0</v>
      </c>
      <c r="H6516" s="160">
        <f>H6419</f>
        <v>0</v>
      </c>
      <c r="I6516" s="159">
        <f>I6514</f>
        <v>2.4731E-2</v>
      </c>
      <c r="J6516" s="160"/>
      <c r="K6516" s="161">
        <f>K6514</f>
        <v>31</v>
      </c>
      <c r="L6516" s="250">
        <v>1</v>
      </c>
      <c r="M6516" s="163"/>
      <c r="N6516" s="278">
        <f t="shared" si="1721"/>
        <v>0</v>
      </c>
      <c r="O6516" s="280">
        <f t="shared" ref="O6516:O6517" si="1726">MROUND(N6516*G6516,0.000001)</f>
        <v>0</v>
      </c>
      <c r="P6516" s="166"/>
      <c r="Q6516" s="166">
        <f t="shared" si="1723"/>
        <v>0</v>
      </c>
      <c r="R6516" s="71"/>
    </row>
    <row r="6517" spans="1:18" s="61" customFormat="1" ht="31.5" x14ac:dyDescent="0.25">
      <c r="A6517" s="358"/>
      <c r="B6517" s="361"/>
      <c r="C6517" s="367"/>
      <c r="D6517" s="156" t="s">
        <v>104</v>
      </c>
      <c r="E6517" s="156" t="s">
        <v>105</v>
      </c>
      <c r="F6517" s="156" t="s">
        <v>226</v>
      </c>
      <c r="G6517" s="238">
        <f>MROUND(H6517*L6517*I6517/K6517,0.00000001)</f>
        <v>7.9777000000000005E-4</v>
      </c>
      <c r="H6517" s="160">
        <v>1</v>
      </c>
      <c r="I6517" s="159">
        <f t="shared" si="1712"/>
        <v>2.4731E-2</v>
      </c>
      <c r="J6517" s="160"/>
      <c r="K6517" s="161">
        <f t="shared" si="1713"/>
        <v>31</v>
      </c>
      <c r="L6517" s="250">
        <v>1</v>
      </c>
      <c r="M6517" s="163"/>
      <c r="N6517" s="278">
        <f t="shared" si="1721"/>
        <v>0</v>
      </c>
      <c r="O6517" s="280">
        <f t="shared" si="1726"/>
        <v>0</v>
      </c>
      <c r="P6517" s="166"/>
      <c r="Q6517" s="166">
        <f t="shared" si="1723"/>
        <v>0</v>
      </c>
      <c r="R6517" s="71"/>
    </row>
    <row r="6518" spans="1:18" s="62" customFormat="1" x14ac:dyDescent="0.25">
      <c r="A6518" s="358"/>
      <c r="B6518" s="361"/>
      <c r="C6518" s="249" t="s">
        <v>292</v>
      </c>
      <c r="D6518" s="240"/>
      <c r="E6518" s="240"/>
      <c r="F6518" s="240"/>
      <c r="G6518" s="227"/>
      <c r="H6518" s="228"/>
      <c r="I6518" s="206"/>
      <c r="J6518" s="228"/>
      <c r="K6518" s="207"/>
      <c r="L6518" s="257"/>
      <c r="M6518" s="209"/>
      <c r="N6518" s="281"/>
      <c r="O6518" s="279">
        <f>SUM(O6512:O6517)</f>
        <v>3.6382969999999997</v>
      </c>
      <c r="P6518" s="267"/>
      <c r="Q6518" s="166"/>
      <c r="R6518" s="71"/>
    </row>
    <row r="6519" spans="1:18" s="61" customFormat="1" ht="31.5" x14ac:dyDescent="0.25">
      <c r="A6519" s="358"/>
      <c r="B6519" s="361"/>
      <c r="C6519" s="221" t="s">
        <v>79</v>
      </c>
      <c r="D6519" s="156" t="s">
        <v>37</v>
      </c>
      <c r="E6519" s="156" t="s">
        <v>61</v>
      </c>
      <c r="F6519" s="156" t="s">
        <v>254</v>
      </c>
      <c r="G6519" s="238">
        <f>MROUND(H6519*L6519*I6519/K6519,0.00000001)</f>
        <v>7.9777000000000005E-4</v>
      </c>
      <c r="H6519" s="158">
        <v>1</v>
      </c>
      <c r="I6519" s="159">
        <f>I6517</f>
        <v>2.4731E-2</v>
      </c>
      <c r="J6519" s="160"/>
      <c r="K6519" s="161">
        <f>K6517</f>
        <v>31</v>
      </c>
      <c r="L6519" s="250">
        <v>1</v>
      </c>
      <c r="M6519" s="163" t="str">
        <f t="shared" ref="M6519" si="1727">CONCATENATE(H6519," ",F6519,"*",I6519,"/",K6519,"чел/час")</f>
        <v>1 автобус*0,024731/31чел/час</v>
      </c>
      <c r="N6519" s="278">
        <f>N6422</f>
        <v>24426.36</v>
      </c>
      <c r="O6519" s="280">
        <f t="shared" ref="O6519:O6521" si="1728">MROUND(N6519*G6519,0.000001)</f>
        <v>19.486616999999999</v>
      </c>
      <c r="P6519" s="166"/>
      <c r="Q6519" s="166">
        <f t="shared" ref="Q6519:Q6521" si="1729">O6519*K6519</f>
        <v>604.08512699999994</v>
      </c>
      <c r="R6519" s="71"/>
    </row>
    <row r="6520" spans="1:18" s="61" customFormat="1" ht="31.5" x14ac:dyDescent="0.25">
      <c r="A6520" s="358"/>
      <c r="B6520" s="361"/>
      <c r="C6520" s="221"/>
      <c r="D6520" s="156" t="s">
        <v>262</v>
      </c>
      <c r="E6520" s="156" t="s">
        <v>440</v>
      </c>
      <c r="F6520" s="156" t="s">
        <v>441</v>
      </c>
      <c r="G6520" s="238">
        <f t="shared" ref="G6520:G6521" si="1730">MROUND(H6520*L6520*I6520/K6520,0.000001)</f>
        <v>3.1909999999999998E-3</v>
      </c>
      <c r="H6520" s="158">
        <f>$H$3035</f>
        <v>1</v>
      </c>
      <c r="I6520" s="159">
        <f t="shared" si="1712"/>
        <v>2.4731E-2</v>
      </c>
      <c r="J6520" s="160"/>
      <c r="K6520" s="161">
        <f t="shared" si="1713"/>
        <v>31</v>
      </c>
      <c r="L6520" s="250">
        <v>4</v>
      </c>
      <c r="M6520" s="163" t="str">
        <f>CONCATENATE(H6520," ",F6520,"*",L6520,"раза в год","*",I6520,"/",K6520,"чел/час")</f>
        <v>1 услуга*4раза в год*0,024731/31чел/час</v>
      </c>
      <c r="N6520" s="278">
        <f>N6423</f>
        <v>25795.6675</v>
      </c>
      <c r="O6520" s="280">
        <f t="shared" si="1728"/>
        <v>82.313974999999999</v>
      </c>
      <c r="P6520" s="166"/>
      <c r="Q6520" s="166">
        <f t="shared" si="1729"/>
        <v>2551.7332249999999</v>
      </c>
      <c r="R6520" s="71"/>
    </row>
    <row r="6521" spans="1:18" s="61" customFormat="1" x14ac:dyDescent="0.25">
      <c r="A6521" s="358"/>
      <c r="B6521" s="361"/>
      <c r="C6521" s="221"/>
      <c r="D6521" s="156" t="s">
        <v>255</v>
      </c>
      <c r="E6521" s="156" t="s">
        <v>28</v>
      </c>
      <c r="F6521" s="156" t="s">
        <v>28</v>
      </c>
      <c r="G6521" s="238">
        <f t="shared" si="1730"/>
        <v>4.4674999999999999E-2</v>
      </c>
      <c r="H6521" s="158">
        <v>56</v>
      </c>
      <c r="I6521" s="159">
        <f>I6519</f>
        <v>2.4731E-2</v>
      </c>
      <c r="J6521" s="160"/>
      <c r="K6521" s="161">
        <f>K6519</f>
        <v>31</v>
      </c>
      <c r="L6521" s="250">
        <v>1</v>
      </c>
      <c r="M6521" s="163" t="str">
        <f>CONCATENATE(H6521," ",F6521,"*",L6521,"раза в год","*",I6521,"/",K6521,"чел/час")</f>
        <v>56 шт*1раза в год*0,024731/31чел/час</v>
      </c>
      <c r="N6521" s="278">
        <f>N6424</f>
        <v>777.7383928571428</v>
      </c>
      <c r="O6521" s="280">
        <f t="shared" si="1728"/>
        <v>34.745463000000001</v>
      </c>
      <c r="P6521" s="166"/>
      <c r="Q6521" s="166">
        <f t="shared" si="1729"/>
        <v>1077.1093530000001</v>
      </c>
      <c r="R6521" s="71"/>
    </row>
    <row r="6522" spans="1:18" s="62" customFormat="1" x14ac:dyDescent="0.25">
      <c r="A6522" s="358"/>
      <c r="B6522" s="361"/>
      <c r="C6522" s="218" t="s">
        <v>295</v>
      </c>
      <c r="D6522" s="240"/>
      <c r="E6522" s="240"/>
      <c r="F6522" s="240"/>
      <c r="G6522" s="227"/>
      <c r="H6522" s="241"/>
      <c r="I6522" s="206"/>
      <c r="J6522" s="228"/>
      <c r="K6522" s="207"/>
      <c r="L6522" s="257"/>
      <c r="M6522" s="209"/>
      <c r="N6522" s="281"/>
      <c r="O6522" s="279">
        <f>O6519+O6520+O6521</f>
        <v>136.546055</v>
      </c>
      <c r="P6522" s="267"/>
      <c r="Q6522" s="166"/>
      <c r="R6522" s="71"/>
    </row>
    <row r="6523" spans="1:18" s="61" customFormat="1" x14ac:dyDescent="0.25">
      <c r="A6523" s="358"/>
      <c r="B6523" s="361"/>
      <c r="C6523" s="364" t="s">
        <v>80</v>
      </c>
      <c r="D6523" s="156" t="s">
        <v>38</v>
      </c>
      <c r="E6523" s="156" t="s">
        <v>57</v>
      </c>
      <c r="F6523" s="156" t="s">
        <v>228</v>
      </c>
      <c r="G6523" s="238">
        <f t="shared" ref="G6523" si="1731">MROUND(H6523*L6523*I6523/K6523,0.000001)</f>
        <v>9.5729999999999999E-3</v>
      </c>
      <c r="H6523" s="158">
        <v>1</v>
      </c>
      <c r="I6523" s="159">
        <f>I6519</f>
        <v>2.4731E-2</v>
      </c>
      <c r="J6523" s="160"/>
      <c r="K6523" s="161">
        <f>K6519</f>
        <v>31</v>
      </c>
      <c r="L6523" s="250">
        <v>12</v>
      </c>
      <c r="M6523" s="163"/>
      <c r="N6523" s="278">
        <f t="shared" ref="N6523:N6539" si="1732">N6426</f>
        <v>0</v>
      </c>
      <c r="O6523" s="280">
        <f t="shared" ref="O6523:O6525" si="1733">MROUND(N6523*G6523,0.000001)</f>
        <v>0</v>
      </c>
      <c r="P6523" s="166"/>
      <c r="Q6523" s="166">
        <f t="shared" ref="Q6523:Q6539" si="1734">O6523*K6523</f>
        <v>0</v>
      </c>
      <c r="R6523" s="71"/>
    </row>
    <row r="6524" spans="1:18" s="61" customFormat="1" x14ac:dyDescent="0.25">
      <c r="A6524" s="358"/>
      <c r="B6524" s="361"/>
      <c r="C6524" s="364"/>
      <c r="D6524" s="156" t="s">
        <v>256</v>
      </c>
      <c r="E6524" s="156" t="s">
        <v>20</v>
      </c>
      <c r="F6524" s="156" t="s">
        <v>20</v>
      </c>
      <c r="G6524" s="238">
        <f>MROUND(H6524*L6524*I6524/K6524,0.00000001)</f>
        <v>1.994435E-2</v>
      </c>
      <c r="H6524" s="158">
        <f>H6427</f>
        <v>25</v>
      </c>
      <c r="I6524" s="159">
        <f>I6521</f>
        <v>2.4731E-2</v>
      </c>
      <c r="J6524" s="160"/>
      <c r="K6524" s="161">
        <f>K6521</f>
        <v>31</v>
      </c>
      <c r="L6524" s="250">
        <v>1</v>
      </c>
      <c r="M6524" s="163" t="str">
        <f t="shared" ref="M6524:M6529" si="1735">CONCATENATE(H6524," ",F6524,"*",I6524,"/",K6524,"чел/час")</f>
        <v>25 чел.*0,024731/31чел/час</v>
      </c>
      <c r="N6524" s="278">
        <f t="shared" si="1732"/>
        <v>1938.2380000000003</v>
      </c>
      <c r="O6524" s="280">
        <f t="shared" si="1733"/>
        <v>38.656897000000001</v>
      </c>
      <c r="P6524" s="166"/>
      <c r="Q6524" s="166">
        <f t="shared" si="1734"/>
        <v>1198.363807</v>
      </c>
      <c r="R6524" s="71"/>
    </row>
    <row r="6525" spans="1:18" s="61" customFormat="1" ht="63" x14ac:dyDescent="0.25">
      <c r="A6525" s="358"/>
      <c r="B6525" s="361"/>
      <c r="C6525" s="364"/>
      <c r="D6525" s="156" t="s">
        <v>39</v>
      </c>
      <c r="E6525" s="156" t="s">
        <v>20</v>
      </c>
      <c r="F6525" s="156" t="s">
        <v>234</v>
      </c>
      <c r="G6525" s="238">
        <f t="shared" ref="G6525" si="1736">MROUND(H6525*L6525*I6525/K6525,0.000001)</f>
        <v>7.9799999999999999E-4</v>
      </c>
      <c r="H6525" s="158">
        <v>1</v>
      </c>
      <c r="I6525" s="159">
        <f>I6523</f>
        <v>2.4731E-2</v>
      </c>
      <c r="J6525" s="160"/>
      <c r="K6525" s="161">
        <f>K6523</f>
        <v>31</v>
      </c>
      <c r="L6525" s="250">
        <v>1</v>
      </c>
      <c r="M6525" s="163" t="str">
        <f t="shared" si="1735"/>
        <v>1 чел(заявленная потребность руководителями учреждений)*0,024731/31чел/час</v>
      </c>
      <c r="N6525" s="278">
        <f t="shared" si="1732"/>
        <v>798.1</v>
      </c>
      <c r="O6525" s="280">
        <f t="shared" si="1733"/>
        <v>0.63688400000000001</v>
      </c>
      <c r="P6525" s="166"/>
      <c r="Q6525" s="166">
        <f t="shared" si="1734"/>
        <v>19.743404000000002</v>
      </c>
      <c r="R6525" s="71"/>
    </row>
    <row r="6526" spans="1:18" s="61" customFormat="1" ht="63" x14ac:dyDescent="0.25">
      <c r="A6526" s="358"/>
      <c r="B6526" s="361"/>
      <c r="C6526" s="364"/>
      <c r="D6526" s="156" t="s">
        <v>40</v>
      </c>
      <c r="E6526" s="156" t="s">
        <v>20</v>
      </c>
      <c r="F6526" s="156" t="s">
        <v>234</v>
      </c>
      <c r="G6526" s="238">
        <f>MROUND(H6526*L6526*I6526/K6526,0.000001)</f>
        <v>7.9799999999999999E-4</v>
      </c>
      <c r="H6526" s="158">
        <v>1</v>
      </c>
      <c r="I6526" s="159">
        <f>I6524</f>
        <v>2.4731E-2</v>
      </c>
      <c r="J6526" s="160"/>
      <c r="K6526" s="161">
        <f>K6524</f>
        <v>31</v>
      </c>
      <c r="L6526" s="250">
        <v>1</v>
      </c>
      <c r="M6526" s="163" t="str">
        <f t="shared" si="1735"/>
        <v>1 чел(заявленная потребность руководителями учреждений)*0,024731/31чел/час</v>
      </c>
      <c r="N6526" s="278">
        <f t="shared" si="1732"/>
        <v>1710.21</v>
      </c>
      <c r="O6526" s="280">
        <f>MROUND(N6526*G6526,0.000001)</f>
        <v>1.3647479999999999</v>
      </c>
      <c r="P6526" s="166"/>
      <c r="Q6526" s="166">
        <f t="shared" si="1734"/>
        <v>42.307187999999996</v>
      </c>
      <c r="R6526" s="71"/>
    </row>
    <row r="6527" spans="1:18" s="61" customFormat="1" ht="63" x14ac:dyDescent="0.25">
      <c r="A6527" s="358"/>
      <c r="B6527" s="361"/>
      <c r="C6527" s="364"/>
      <c r="D6527" s="156" t="s">
        <v>100</v>
      </c>
      <c r="E6527" s="156" t="s">
        <v>20</v>
      </c>
      <c r="F6527" s="156" t="s">
        <v>234</v>
      </c>
      <c r="G6527" s="238">
        <f>MROUND(H6527*L6527*I6527/K6527,0.00000001)</f>
        <v>7.9777000000000005E-4</v>
      </c>
      <c r="H6527" s="158">
        <v>1</v>
      </c>
      <c r="I6527" s="159">
        <f>I6525</f>
        <v>2.4731E-2</v>
      </c>
      <c r="J6527" s="160"/>
      <c r="K6527" s="161">
        <f>K6525</f>
        <v>31</v>
      </c>
      <c r="L6527" s="250">
        <v>1</v>
      </c>
      <c r="M6527" s="163" t="str">
        <f t="shared" si="1735"/>
        <v>1 чел(заявленная потребность руководителями учреждений)*0,024731/31чел/час</v>
      </c>
      <c r="N6527" s="278">
        <f t="shared" si="1732"/>
        <v>3648.4500000000003</v>
      </c>
      <c r="O6527" s="280">
        <f>MROUND(N6527*G6527,0.000001)</f>
        <v>2.9106239999999999</v>
      </c>
      <c r="P6527" s="166"/>
      <c r="Q6527" s="166">
        <f t="shared" si="1734"/>
        <v>90.229343999999998</v>
      </c>
      <c r="R6527" s="71"/>
    </row>
    <row r="6528" spans="1:18" s="61" customFormat="1" ht="110.25" x14ac:dyDescent="0.25">
      <c r="A6528" s="358"/>
      <c r="B6528" s="361"/>
      <c r="C6528" s="364"/>
      <c r="D6528" s="156" t="s">
        <v>235</v>
      </c>
      <c r="E6528" s="156" t="s">
        <v>50</v>
      </c>
      <c r="F6528" s="156" t="s">
        <v>230</v>
      </c>
      <c r="G6528" s="238">
        <f>MROUND(H6528*L6528*I6528/K6528,0.00000001)</f>
        <v>7.9777000000000005E-4</v>
      </c>
      <c r="H6528" s="158">
        <v>1</v>
      </c>
      <c r="I6528" s="159">
        <f>I6524</f>
        <v>2.4731E-2</v>
      </c>
      <c r="J6528" s="160"/>
      <c r="K6528" s="161">
        <f>K6524</f>
        <v>31</v>
      </c>
      <c r="L6528" s="250">
        <v>1</v>
      </c>
      <c r="M6528" s="163" t="str">
        <f t="shared" si="1735"/>
        <v>1 отчетов*0,024731/31чел/час</v>
      </c>
      <c r="N6528" s="278">
        <f t="shared" si="1732"/>
        <v>6840.84</v>
      </c>
      <c r="O6528" s="280">
        <f t="shared" ref="O6528:O6539" si="1737">MROUND(N6528*G6528,0.000001)</f>
        <v>5.4574169999999995</v>
      </c>
      <c r="P6528" s="166"/>
      <c r="Q6528" s="166">
        <f t="shared" si="1734"/>
        <v>169.17992699999999</v>
      </c>
      <c r="R6528" s="71"/>
    </row>
    <row r="6529" spans="1:18" s="61" customFormat="1" ht="63" x14ac:dyDescent="0.25">
      <c r="A6529" s="358"/>
      <c r="B6529" s="361"/>
      <c r="C6529" s="364"/>
      <c r="D6529" s="156" t="s">
        <v>42</v>
      </c>
      <c r="E6529" s="156" t="s">
        <v>51</v>
      </c>
      <c r="F6529" s="156" t="s">
        <v>407</v>
      </c>
      <c r="G6529" s="238">
        <f t="shared" ref="G6529:G6531" si="1738">MROUND(H6529*L6529*I6529/K6529,0.000001)</f>
        <v>4.7869999999999996E-3</v>
      </c>
      <c r="H6529" s="158">
        <f>H6432</f>
        <v>6</v>
      </c>
      <c r="I6529" s="159">
        <f t="shared" si="1712"/>
        <v>2.4731E-2</v>
      </c>
      <c r="J6529" s="160"/>
      <c r="K6529" s="161">
        <f t="shared" si="1713"/>
        <v>31</v>
      </c>
      <c r="L6529" s="250">
        <v>1</v>
      </c>
      <c r="M6529" s="163" t="str">
        <f t="shared" si="1735"/>
        <v>6 ед (заявленная потребность руководителями учреждений)*0,024731/31чел/час</v>
      </c>
      <c r="N6529" s="278">
        <f t="shared" si="1732"/>
        <v>1140.1400000000001</v>
      </c>
      <c r="O6529" s="280">
        <f t="shared" si="1737"/>
        <v>5.4578499999999996</v>
      </c>
      <c r="P6529" s="166"/>
      <c r="Q6529" s="166">
        <f t="shared" si="1734"/>
        <v>169.19334999999998</v>
      </c>
      <c r="R6529" s="71"/>
    </row>
    <row r="6530" spans="1:18" s="61" customFormat="1" ht="31.5" x14ac:dyDescent="0.25">
      <c r="A6530" s="358"/>
      <c r="B6530" s="361"/>
      <c r="C6530" s="364"/>
      <c r="D6530" s="156" t="s">
        <v>263</v>
      </c>
      <c r="E6530" s="156" t="s">
        <v>264</v>
      </c>
      <c r="F6530" s="156" t="s">
        <v>265</v>
      </c>
      <c r="G6530" s="238">
        <f t="shared" si="1738"/>
        <v>9.5729999999999999E-3</v>
      </c>
      <c r="H6530" s="158">
        <v>1</v>
      </c>
      <c r="I6530" s="159">
        <f t="shared" si="1712"/>
        <v>2.4731E-2</v>
      </c>
      <c r="J6530" s="160"/>
      <c r="K6530" s="161">
        <f t="shared" si="1713"/>
        <v>31</v>
      </c>
      <c r="L6530" s="250">
        <v>12</v>
      </c>
      <c r="M6530" s="163" t="str">
        <f>CONCATENATE(H6530," ",F6530,"*",L6530,"мес.","*",I6530,"/",K6530,"чел/час")</f>
        <v>1 мойка*12мес.*0,024731/31чел/час</v>
      </c>
      <c r="N6530" s="278">
        <f t="shared" si="1732"/>
        <v>570.07000000000005</v>
      </c>
      <c r="O6530" s="280">
        <f t="shared" si="1737"/>
        <v>5.4572799999999999</v>
      </c>
      <c r="P6530" s="166"/>
      <c r="Q6530" s="166">
        <f t="shared" si="1734"/>
        <v>169.17568</v>
      </c>
      <c r="R6530" s="71"/>
    </row>
    <row r="6531" spans="1:18" s="61" customFormat="1" ht="31.5" x14ac:dyDescent="0.25">
      <c r="A6531" s="358"/>
      <c r="B6531" s="361"/>
      <c r="C6531" s="364"/>
      <c r="D6531" s="156" t="s">
        <v>266</v>
      </c>
      <c r="E6531" s="156" t="s">
        <v>267</v>
      </c>
      <c r="F6531" s="156" t="s">
        <v>268</v>
      </c>
      <c r="G6531" s="238">
        <f t="shared" si="1738"/>
        <v>0.191466</v>
      </c>
      <c r="H6531" s="158">
        <v>20</v>
      </c>
      <c r="I6531" s="159">
        <f t="shared" si="1712"/>
        <v>2.4731E-2</v>
      </c>
      <c r="J6531" s="160"/>
      <c r="K6531" s="161">
        <f t="shared" si="1713"/>
        <v>31</v>
      </c>
      <c r="L6531" s="250">
        <v>12</v>
      </c>
      <c r="M6531" s="163" t="str">
        <f>CONCATENATE(H6531," ",F6531,"*",L6531,"мес.","*",I6531,"/",K6531,"чел/час")</f>
        <v>20 комплектов в мес.*12мес.*0,024731/31чел/час</v>
      </c>
      <c r="N6531" s="278">
        <f t="shared" si="1732"/>
        <v>513.06299999999999</v>
      </c>
      <c r="O6531" s="280">
        <f t="shared" si="1737"/>
        <v>98.23411999999999</v>
      </c>
      <c r="P6531" s="166"/>
      <c r="Q6531" s="166">
        <f t="shared" si="1734"/>
        <v>3045.2577199999996</v>
      </c>
      <c r="R6531" s="71"/>
    </row>
    <row r="6532" spans="1:18" s="61" customFormat="1" ht="47.25" x14ac:dyDescent="0.25">
      <c r="A6532" s="358"/>
      <c r="B6532" s="361"/>
      <c r="C6532" s="364"/>
      <c r="D6532" s="156" t="s">
        <v>269</v>
      </c>
      <c r="E6532" s="156" t="s">
        <v>20</v>
      </c>
      <c r="F6532" s="156" t="s">
        <v>20</v>
      </c>
      <c r="G6532" s="238">
        <f>MROUND(H6532*L6532*I6532/K6532,0.00000001)</f>
        <v>3.9888700000000003E-3</v>
      </c>
      <c r="H6532" s="158">
        <f>$H$3047</f>
        <v>5</v>
      </c>
      <c r="I6532" s="159">
        <f t="shared" si="1712"/>
        <v>2.4731E-2</v>
      </c>
      <c r="J6532" s="160"/>
      <c r="K6532" s="161">
        <f t="shared" si="1713"/>
        <v>31</v>
      </c>
      <c r="L6532" s="250">
        <v>1</v>
      </c>
      <c r="M6532" s="163" t="str">
        <f>CONCATENATE(H6532," ",F6532,"*",I6532,"/",K6532,"чел/час")</f>
        <v>5 чел.*0,024731/31чел/час</v>
      </c>
      <c r="N6532" s="278">
        <f t="shared" si="1732"/>
        <v>18384.758000000002</v>
      </c>
      <c r="O6532" s="280">
        <f t="shared" si="1737"/>
        <v>73.334409999999991</v>
      </c>
      <c r="P6532" s="166"/>
      <c r="Q6532" s="166">
        <f t="shared" si="1734"/>
        <v>2273.3667099999998</v>
      </c>
      <c r="R6532" s="71"/>
    </row>
    <row r="6533" spans="1:18" s="61" customFormat="1" ht="31.5" x14ac:dyDescent="0.25">
      <c r="A6533" s="358"/>
      <c r="B6533" s="361"/>
      <c r="C6533" s="364"/>
      <c r="D6533" s="156" t="s">
        <v>376</v>
      </c>
      <c r="E6533" s="156" t="s">
        <v>55</v>
      </c>
      <c r="F6533" s="156" t="s">
        <v>55</v>
      </c>
      <c r="G6533" s="238">
        <f>MROUND(H6533*L6533*I6533/K6533,0.00000001)</f>
        <v>9.5732899999999999E-3</v>
      </c>
      <c r="H6533" s="158">
        <v>1</v>
      </c>
      <c r="I6533" s="159">
        <f t="shared" si="1712"/>
        <v>2.4731E-2</v>
      </c>
      <c r="J6533" s="160"/>
      <c r="K6533" s="161">
        <f t="shared" si="1713"/>
        <v>31</v>
      </c>
      <c r="L6533" s="250">
        <v>12</v>
      </c>
      <c r="M6533" s="163" t="str">
        <f>CONCATENATE(H6533," ",F6533,"*",L6533,"мес.","*",I6533,"/",K6533,"чел/час")</f>
        <v>1 система*12мес.*0,024731/31чел/час</v>
      </c>
      <c r="N6533" s="278">
        <f t="shared" si="1732"/>
        <v>25726.499166666665</v>
      </c>
      <c r="O6533" s="280">
        <f t="shared" si="1737"/>
        <v>246.28723699999998</v>
      </c>
      <c r="P6533" s="166"/>
      <c r="Q6533" s="166">
        <f t="shared" si="1734"/>
        <v>7634.9043469999997</v>
      </c>
      <c r="R6533" s="71"/>
    </row>
    <row r="6534" spans="1:18" s="61" customFormat="1" ht="31.5" x14ac:dyDescent="0.25">
      <c r="A6534" s="358"/>
      <c r="B6534" s="361"/>
      <c r="C6534" s="364"/>
      <c r="D6534" s="156" t="s">
        <v>270</v>
      </c>
      <c r="E6534" s="156" t="s">
        <v>60</v>
      </c>
      <c r="F6534" s="156" t="s">
        <v>60</v>
      </c>
      <c r="G6534" s="238">
        <f t="shared" ref="G6534" si="1739">MROUND(H6534*L6534*I6534/K6534,0.000001)</f>
        <v>1.3561999999999999E-2</v>
      </c>
      <c r="H6534" s="158">
        <f>H6437</f>
        <v>17</v>
      </c>
      <c r="I6534" s="159">
        <f t="shared" si="1712"/>
        <v>2.4731E-2</v>
      </c>
      <c r="J6534" s="160"/>
      <c r="K6534" s="161">
        <f t="shared" si="1713"/>
        <v>31</v>
      </c>
      <c r="L6534" s="250">
        <v>1</v>
      </c>
      <c r="M6534" s="163" t="str">
        <f>CONCATENATE(H6534," ",F6534,"*",I6534,"/",K6534,"чел/час")</f>
        <v>17 шт.*0,024731/31чел/час</v>
      </c>
      <c r="N6534" s="278">
        <f t="shared" si="1732"/>
        <v>3219.218823529412</v>
      </c>
      <c r="O6534" s="280">
        <f t="shared" si="1737"/>
        <v>43.659045999999996</v>
      </c>
      <c r="P6534" s="166"/>
      <c r="Q6534" s="166">
        <f t="shared" si="1734"/>
        <v>1353.4304259999999</v>
      </c>
      <c r="R6534" s="71"/>
    </row>
    <row r="6535" spans="1:18" s="61" customFormat="1" ht="31.5" x14ac:dyDescent="0.25">
      <c r="A6535" s="358"/>
      <c r="B6535" s="361"/>
      <c r="C6535" s="364"/>
      <c r="D6535" s="156" t="s">
        <v>408</v>
      </c>
      <c r="E6535" s="156" t="s">
        <v>20</v>
      </c>
      <c r="F6535" s="156" t="s">
        <v>20</v>
      </c>
      <c r="G6535" s="238">
        <f>MROUND(H6535*L6535*I6535/K6535,0.00000001)</f>
        <v>4.7866499999999999E-3</v>
      </c>
      <c r="H6535" s="158">
        <f>$H$3050</f>
        <v>6</v>
      </c>
      <c r="I6535" s="159">
        <f t="shared" si="1712"/>
        <v>2.4731E-2</v>
      </c>
      <c r="J6535" s="160"/>
      <c r="K6535" s="161">
        <f t="shared" si="1713"/>
        <v>31</v>
      </c>
      <c r="L6535" s="250">
        <v>1</v>
      </c>
      <c r="M6535" s="163" t="str">
        <f>CONCATENATE(H6535," ",F6535,"*",I6535,"/",K6535,"чел/час")</f>
        <v>6 чел.*0,024731/31чел/час</v>
      </c>
      <c r="N6535" s="278">
        <f t="shared" si="1732"/>
        <v>570.07000000000005</v>
      </c>
      <c r="O6535" s="280">
        <f t="shared" si="1737"/>
        <v>2.728726</v>
      </c>
      <c r="P6535" s="166"/>
      <c r="Q6535" s="166">
        <f t="shared" si="1734"/>
        <v>84.590506000000005</v>
      </c>
      <c r="R6535" s="71"/>
    </row>
    <row r="6536" spans="1:18" s="61" customFormat="1" ht="63" x14ac:dyDescent="0.25">
      <c r="A6536" s="358"/>
      <c r="B6536" s="361"/>
      <c r="C6536" s="364"/>
      <c r="D6536" s="156" t="s">
        <v>45</v>
      </c>
      <c r="E6536" s="156" t="s">
        <v>53</v>
      </c>
      <c r="F6536" s="156" t="s">
        <v>257</v>
      </c>
      <c r="G6536" s="238">
        <f t="shared" ref="G6536:G6539" si="1740">MROUND(H6536*L6536*I6536/K6536,0.000001)</f>
        <v>9.5729999999999999E-3</v>
      </c>
      <c r="H6536" s="158">
        <v>1</v>
      </c>
      <c r="I6536" s="159">
        <f>I6534</f>
        <v>2.4731E-2</v>
      </c>
      <c r="J6536" s="160"/>
      <c r="K6536" s="161">
        <f>K6534</f>
        <v>31</v>
      </c>
      <c r="L6536" s="250">
        <v>12</v>
      </c>
      <c r="M6536" s="163" t="str">
        <f>CONCATENATE(H6536," ",F6536,"*",L6536,"мес.","*",I6536,"/",K6536,"чел")</f>
        <v>1  машина, оборудованная системой ГЛОНАСС*12мес.*0,024731/31чел</v>
      </c>
      <c r="N6536" s="278">
        <f t="shared" si="1732"/>
        <v>921.23333333333346</v>
      </c>
      <c r="O6536" s="280">
        <f t="shared" si="1737"/>
        <v>8.8189669999999989</v>
      </c>
      <c r="P6536" s="166"/>
      <c r="Q6536" s="166">
        <f t="shared" si="1734"/>
        <v>273.38797699999998</v>
      </c>
      <c r="R6536" s="71"/>
    </row>
    <row r="6537" spans="1:18" s="61" customFormat="1" ht="47.25" x14ac:dyDescent="0.25">
      <c r="A6537" s="358"/>
      <c r="B6537" s="361"/>
      <c r="C6537" s="364"/>
      <c r="D6537" s="156" t="s">
        <v>271</v>
      </c>
      <c r="E6537" s="156" t="s">
        <v>85</v>
      </c>
      <c r="F6537" s="156" t="s">
        <v>232</v>
      </c>
      <c r="G6537" s="238">
        <f t="shared" si="1740"/>
        <v>0.24252299999999999</v>
      </c>
      <c r="H6537" s="158">
        <f>H6440</f>
        <v>304</v>
      </c>
      <c r="I6537" s="159">
        <f>I6535</f>
        <v>2.4731E-2</v>
      </c>
      <c r="J6537" s="160"/>
      <c r="K6537" s="161">
        <f>K6535</f>
        <v>31</v>
      </c>
      <c r="L6537" s="250">
        <v>1</v>
      </c>
      <c r="M6537" s="163" t="str">
        <f>CONCATENATE(H6537," ",F6537,"*",L6537,"мес.","*",I6537,"/",K6537,"чел")</f>
        <v>304 мед.осмотров в мес.*1мес.*0,024731/31чел</v>
      </c>
      <c r="N6537" s="278">
        <f t="shared" si="1732"/>
        <v>59.287269736842113</v>
      </c>
      <c r="O6537" s="280">
        <f t="shared" si="1737"/>
        <v>14.378527</v>
      </c>
      <c r="P6537" s="166"/>
      <c r="Q6537" s="166">
        <f t="shared" si="1734"/>
        <v>445.73433699999998</v>
      </c>
      <c r="R6537" s="71"/>
    </row>
    <row r="6538" spans="1:18" s="61" customFormat="1" x14ac:dyDescent="0.25">
      <c r="A6538" s="358"/>
      <c r="B6538" s="361"/>
      <c r="C6538" s="364"/>
      <c r="D6538" s="156" t="s">
        <v>373</v>
      </c>
      <c r="E6538" s="156" t="s">
        <v>28</v>
      </c>
      <c r="F6538" s="156" t="s">
        <v>28</v>
      </c>
      <c r="G6538" s="238">
        <f t="shared" si="1740"/>
        <v>7.9799999999999999E-4</v>
      </c>
      <c r="H6538" s="158">
        <f>H6441</f>
        <v>1</v>
      </c>
      <c r="I6538" s="159">
        <f>I6537</f>
        <v>2.4731E-2</v>
      </c>
      <c r="J6538" s="160"/>
      <c r="K6538" s="161">
        <f>K6537</f>
        <v>31</v>
      </c>
      <c r="L6538" s="250">
        <v>1</v>
      </c>
      <c r="M6538" s="163" t="str">
        <f>CONCATENATE(H6538," ",F6538,"*",L6538,"мес.","*",I6538,"/",K6538,"чел")</f>
        <v>1 шт*1мес.*0,024731/31чел</v>
      </c>
      <c r="N6538" s="278">
        <f t="shared" si="1732"/>
        <v>24000</v>
      </c>
      <c r="O6538" s="280">
        <f t="shared" si="1737"/>
        <v>19.151999999999997</v>
      </c>
      <c r="P6538" s="166"/>
      <c r="Q6538" s="166">
        <f t="shared" si="1734"/>
        <v>593.71199999999988</v>
      </c>
      <c r="R6538" s="71"/>
    </row>
    <row r="6539" spans="1:18" s="61" customFormat="1" ht="31.5" x14ac:dyDescent="0.25">
      <c r="A6539" s="358"/>
      <c r="B6539" s="361"/>
      <c r="C6539" s="364"/>
      <c r="D6539" s="156" t="s">
        <v>43</v>
      </c>
      <c r="E6539" s="156" t="s">
        <v>52</v>
      </c>
      <c r="F6539" s="156" t="s">
        <v>231</v>
      </c>
      <c r="G6539" s="238">
        <f t="shared" si="1740"/>
        <v>7.9799999999999999E-4</v>
      </c>
      <c r="H6539" s="158">
        <v>1</v>
      </c>
      <c r="I6539" s="159">
        <f>I6529</f>
        <v>2.4731E-2</v>
      </c>
      <c r="J6539" s="160"/>
      <c r="K6539" s="161">
        <f>K6529</f>
        <v>31</v>
      </c>
      <c r="L6539" s="250">
        <v>1</v>
      </c>
      <c r="M6539" s="163" t="str">
        <f>CONCATENATE(H6539," ",F6539,"*",I6539,"/",K6539,"чел/час")</f>
        <v>1 ЭЦП*0,024731/31чел/час</v>
      </c>
      <c r="N6539" s="278">
        <f t="shared" si="1732"/>
        <v>8099.55</v>
      </c>
      <c r="O6539" s="280">
        <f t="shared" si="1737"/>
        <v>6.4634409999999995</v>
      </c>
      <c r="P6539" s="166"/>
      <c r="Q6539" s="166">
        <f t="shared" si="1734"/>
        <v>200.366671</v>
      </c>
      <c r="R6539" s="71"/>
    </row>
    <row r="6540" spans="1:18" s="62" customFormat="1" x14ac:dyDescent="0.25">
      <c r="A6540" s="358"/>
      <c r="B6540" s="361"/>
      <c r="C6540" s="245" t="s">
        <v>296</v>
      </c>
      <c r="D6540" s="240"/>
      <c r="E6540" s="240"/>
      <c r="F6540" s="240"/>
      <c r="G6540" s="227"/>
      <c r="H6540" s="241"/>
      <c r="I6540" s="206"/>
      <c r="J6540" s="228"/>
      <c r="K6540" s="207"/>
      <c r="L6540" s="257"/>
      <c r="M6540" s="209"/>
      <c r="N6540" s="281"/>
      <c r="O6540" s="279">
        <f>SUM(O6523:O6539)</f>
        <v>572.99817400000006</v>
      </c>
      <c r="P6540" s="267"/>
      <c r="Q6540" s="166"/>
      <c r="R6540" s="71"/>
    </row>
    <row r="6541" spans="1:18" s="61" customFormat="1" ht="31.5" x14ac:dyDescent="0.25">
      <c r="A6541" s="358"/>
      <c r="B6541" s="361"/>
      <c r="C6541" s="252" t="s">
        <v>237</v>
      </c>
      <c r="D6541" s="156" t="s">
        <v>41</v>
      </c>
      <c r="E6541" s="156" t="s">
        <v>61</v>
      </c>
      <c r="F6541" s="156" t="s">
        <v>254</v>
      </c>
      <c r="G6541" s="238">
        <f>MROUND(H6541*L6541*I6541/K6541,0.00000001)</f>
        <v>7.9777000000000005E-4</v>
      </c>
      <c r="H6541" s="158">
        <v>1</v>
      </c>
      <c r="I6541" s="159">
        <f>I6539</f>
        <v>2.4731E-2</v>
      </c>
      <c r="J6541" s="160"/>
      <c r="K6541" s="161">
        <f>K6539</f>
        <v>31</v>
      </c>
      <c r="L6541" s="250">
        <v>1</v>
      </c>
      <c r="M6541" s="163" t="str">
        <f>CONCATENATE(H6541," ",F6541,"*",I6541,"/",K6541,"чел/час")</f>
        <v>1 автобус*0,024731/31чел/час</v>
      </c>
      <c r="N6541" s="278">
        <f>N6444</f>
        <v>26907.3</v>
      </c>
      <c r="O6541" s="280">
        <f>MROUND(N6541*G6541,0.000001)</f>
        <v>21.465837000000001</v>
      </c>
      <c r="P6541" s="166"/>
      <c r="Q6541" s="166">
        <f t="shared" ref="Q6541" si="1741">O6541*K6541</f>
        <v>665.44094700000005</v>
      </c>
      <c r="R6541" s="71"/>
    </row>
    <row r="6542" spans="1:18" s="62" customFormat="1" x14ac:dyDescent="0.25">
      <c r="A6542" s="358"/>
      <c r="B6542" s="361"/>
      <c r="C6542" s="245" t="s">
        <v>297</v>
      </c>
      <c r="D6542" s="240"/>
      <c r="E6542" s="240"/>
      <c r="F6542" s="240"/>
      <c r="G6542" s="227"/>
      <c r="H6542" s="241"/>
      <c r="I6542" s="206"/>
      <c r="J6542" s="228"/>
      <c r="K6542" s="207"/>
      <c r="L6542" s="257"/>
      <c r="M6542" s="209"/>
      <c r="N6542" s="281"/>
      <c r="O6542" s="279">
        <f>O6541</f>
        <v>21.465837000000001</v>
      </c>
      <c r="P6542" s="267"/>
      <c r="Q6542" s="166"/>
      <c r="R6542" s="71"/>
    </row>
    <row r="6543" spans="1:18" s="61" customFormat="1" ht="78.75" x14ac:dyDescent="0.25">
      <c r="A6543" s="358"/>
      <c r="B6543" s="361"/>
      <c r="C6543" s="221" t="s">
        <v>236</v>
      </c>
      <c r="D6543" s="156" t="s">
        <v>19</v>
      </c>
      <c r="E6543" s="181" t="s">
        <v>20</v>
      </c>
      <c r="F6543" s="181" t="s">
        <v>238</v>
      </c>
      <c r="G6543" s="238">
        <f t="shared" ref="G6543" si="1742">MROUND(H6543*L6543*I6543/K6543,0.000001)</f>
        <v>0</v>
      </c>
      <c r="H6543" s="158"/>
      <c r="I6543" s="159">
        <f>I6541</f>
        <v>2.4731E-2</v>
      </c>
      <c r="J6543" s="160"/>
      <c r="K6543" s="161">
        <f>K6541</f>
        <v>31</v>
      </c>
      <c r="L6543" s="250"/>
      <c r="M6543" s="163"/>
      <c r="N6543" s="278"/>
      <c r="O6543" s="280">
        <f>MROUND(N6543*G6543,0.000001)</f>
        <v>0</v>
      </c>
      <c r="P6543" s="166"/>
      <c r="Q6543" s="166">
        <f t="shared" ref="Q6543" si="1743">O6543*K6543</f>
        <v>0</v>
      </c>
      <c r="R6543" s="71"/>
    </row>
    <row r="6544" spans="1:18" s="62" customFormat="1" x14ac:dyDescent="0.25">
      <c r="A6544" s="358"/>
      <c r="B6544" s="361"/>
      <c r="C6544" s="245" t="s">
        <v>298</v>
      </c>
      <c r="D6544" s="240"/>
      <c r="E6544" s="253"/>
      <c r="F6544" s="253"/>
      <c r="G6544" s="227"/>
      <c r="H6544" s="241"/>
      <c r="I6544" s="206"/>
      <c r="J6544" s="228"/>
      <c r="K6544" s="207"/>
      <c r="L6544" s="257"/>
      <c r="M6544" s="209"/>
      <c r="N6544" s="281"/>
      <c r="O6544" s="279">
        <f>O6543</f>
        <v>0</v>
      </c>
      <c r="P6544" s="267"/>
      <c r="Q6544" s="166"/>
      <c r="R6544" s="71"/>
    </row>
    <row r="6545" spans="1:18" s="61" customFormat="1" x14ac:dyDescent="0.25">
      <c r="A6545" s="358"/>
      <c r="B6545" s="361"/>
      <c r="C6545" s="365" t="s">
        <v>81</v>
      </c>
      <c r="D6545" s="156" t="s">
        <v>427</v>
      </c>
      <c r="E6545" s="156" t="s">
        <v>28</v>
      </c>
      <c r="F6545" s="156" t="s">
        <v>28</v>
      </c>
      <c r="G6545" s="238">
        <f>MROUND(H6545*L6545*I6545/K6545,0.00000001)</f>
        <v>0</v>
      </c>
      <c r="H6545" s="158"/>
      <c r="I6545" s="159">
        <f>I6541</f>
        <v>2.4731E-2</v>
      </c>
      <c r="J6545" s="160"/>
      <c r="K6545" s="161">
        <f>K6541</f>
        <v>31</v>
      </c>
      <c r="L6545" s="250">
        <v>1</v>
      </c>
      <c r="M6545" s="163"/>
      <c r="N6545" s="278"/>
      <c r="O6545" s="280">
        <f>MROUND(N6545*G6545,0.000001)</f>
        <v>0</v>
      </c>
      <c r="P6545" s="166"/>
      <c r="Q6545" s="166">
        <f t="shared" ref="Q6545:Q6549" si="1744">O6545*K6545</f>
        <v>0</v>
      </c>
      <c r="R6545" s="71"/>
    </row>
    <row r="6546" spans="1:18" s="61" customFormat="1" x14ac:dyDescent="0.25">
      <c r="A6546" s="358"/>
      <c r="B6546" s="361"/>
      <c r="C6546" s="366"/>
      <c r="D6546" s="156" t="s">
        <v>428</v>
      </c>
      <c r="E6546" s="156" t="s">
        <v>28</v>
      </c>
      <c r="F6546" s="156" t="s">
        <v>28</v>
      </c>
      <c r="G6546" s="238">
        <f>MROUND(H6546*L6546*I6546/K6546,0.00000001)</f>
        <v>0</v>
      </c>
      <c r="H6546" s="158"/>
      <c r="I6546" s="159">
        <f>I6545</f>
        <v>2.4731E-2</v>
      </c>
      <c r="J6546" s="160"/>
      <c r="K6546" s="161">
        <f>K6545</f>
        <v>31</v>
      </c>
      <c r="L6546" s="250">
        <v>1</v>
      </c>
      <c r="M6546" s="163"/>
      <c r="N6546" s="278"/>
      <c r="O6546" s="280">
        <f>MROUND(N6546*G6546,0.000001)</f>
        <v>0</v>
      </c>
      <c r="P6546" s="166"/>
      <c r="Q6546" s="166">
        <f t="shared" si="1744"/>
        <v>0</v>
      </c>
      <c r="R6546" s="71"/>
    </row>
    <row r="6547" spans="1:18" s="61" customFormat="1" x14ac:dyDescent="0.25">
      <c r="A6547" s="358"/>
      <c r="B6547" s="361"/>
      <c r="C6547" s="366"/>
      <c r="D6547" s="156" t="s">
        <v>110</v>
      </c>
      <c r="E6547" s="156" t="s">
        <v>28</v>
      </c>
      <c r="F6547" s="156" t="s">
        <v>28</v>
      </c>
      <c r="G6547" s="238">
        <f>MROUND(H6547*L6547*I6547/K6547,0.00000001)</f>
        <v>0</v>
      </c>
      <c r="H6547" s="158"/>
      <c r="I6547" s="159">
        <f t="shared" ref="I6547:I6548" si="1745">I6546</f>
        <v>2.4731E-2</v>
      </c>
      <c r="J6547" s="160"/>
      <c r="K6547" s="161">
        <f t="shared" ref="K6547:K6548" si="1746">K6546</f>
        <v>31</v>
      </c>
      <c r="L6547" s="250">
        <v>1</v>
      </c>
      <c r="M6547" s="163"/>
      <c r="N6547" s="278"/>
      <c r="O6547" s="280">
        <f>MROUND(N6547*G6547,0.000001)</f>
        <v>0</v>
      </c>
      <c r="P6547" s="166"/>
      <c r="Q6547" s="166">
        <f t="shared" si="1744"/>
        <v>0</v>
      </c>
      <c r="R6547" s="71"/>
    </row>
    <row r="6548" spans="1:18" s="61" customFormat="1" x14ac:dyDescent="0.25">
      <c r="A6548" s="358"/>
      <c r="B6548" s="361"/>
      <c r="C6548" s="366"/>
      <c r="D6548" s="156" t="s">
        <v>111</v>
      </c>
      <c r="E6548" s="156" t="s">
        <v>28</v>
      </c>
      <c r="F6548" s="156" t="s">
        <v>28</v>
      </c>
      <c r="G6548" s="238">
        <f>MROUND(H6548*L6548*I6548/K6548,0.00000001)</f>
        <v>0</v>
      </c>
      <c r="H6548" s="158"/>
      <c r="I6548" s="159">
        <f t="shared" si="1745"/>
        <v>2.4731E-2</v>
      </c>
      <c r="J6548" s="160"/>
      <c r="K6548" s="161">
        <f t="shared" si="1746"/>
        <v>31</v>
      </c>
      <c r="L6548" s="250">
        <v>1</v>
      </c>
      <c r="M6548" s="163"/>
      <c r="N6548" s="278"/>
      <c r="O6548" s="280">
        <f>MROUND(N6548*G6548,0.000001)</f>
        <v>0</v>
      </c>
      <c r="P6548" s="166"/>
      <c r="Q6548" s="166">
        <f t="shared" si="1744"/>
        <v>0</v>
      </c>
      <c r="R6548" s="71"/>
    </row>
    <row r="6549" spans="1:18" s="61" customFormat="1" x14ac:dyDescent="0.25">
      <c r="A6549" s="358"/>
      <c r="B6549" s="361"/>
      <c r="C6549" s="367"/>
      <c r="D6549" s="156" t="s">
        <v>438</v>
      </c>
      <c r="E6549" s="156" t="s">
        <v>28</v>
      </c>
      <c r="F6549" s="156" t="s">
        <v>28</v>
      </c>
      <c r="G6549" s="238">
        <f>MROUND(H6549*L6549*I6549/K6549,0.00000001)</f>
        <v>0</v>
      </c>
      <c r="H6549" s="158"/>
      <c r="I6549" s="159">
        <f>I6543</f>
        <v>2.4731E-2</v>
      </c>
      <c r="J6549" s="160"/>
      <c r="K6549" s="161">
        <f>K6543</f>
        <v>31</v>
      </c>
      <c r="L6549" s="250">
        <v>1</v>
      </c>
      <c r="M6549" s="163"/>
      <c r="N6549" s="278"/>
      <c r="O6549" s="280">
        <f>MROUND(N6549*G6549,0.000001)</f>
        <v>0</v>
      </c>
      <c r="P6549" s="166"/>
      <c r="Q6549" s="166">
        <f t="shared" si="1744"/>
        <v>0</v>
      </c>
      <c r="R6549" s="71"/>
    </row>
    <row r="6550" spans="1:18" s="62" customFormat="1" x14ac:dyDescent="0.25">
      <c r="A6550" s="358"/>
      <c r="B6550" s="361"/>
      <c r="C6550" s="245" t="s">
        <v>299</v>
      </c>
      <c r="D6550" s="240"/>
      <c r="E6550" s="240"/>
      <c r="F6550" s="240"/>
      <c r="G6550" s="227"/>
      <c r="H6550" s="241"/>
      <c r="I6550" s="206"/>
      <c r="J6550" s="228"/>
      <c r="K6550" s="207"/>
      <c r="L6550" s="257"/>
      <c r="M6550" s="209"/>
      <c r="N6550" s="281"/>
      <c r="O6550" s="279">
        <f>SUM(O6545:O6549)</f>
        <v>0</v>
      </c>
      <c r="P6550" s="267"/>
      <c r="Q6550" s="166"/>
      <c r="R6550" s="71"/>
    </row>
    <row r="6551" spans="1:18" s="61" customFormat="1" ht="110.25" x14ac:dyDescent="0.25">
      <c r="A6551" s="358"/>
      <c r="B6551" s="361"/>
      <c r="C6551" s="221" t="s">
        <v>82</v>
      </c>
      <c r="D6551" s="156" t="s">
        <v>46</v>
      </c>
      <c r="E6551" s="156" t="s">
        <v>54</v>
      </c>
      <c r="F6551" s="156" t="s">
        <v>285</v>
      </c>
      <c r="G6551" s="238">
        <f t="shared" ref="G6551" si="1747">MROUND(H6551*L6551*I6551/K6551,0.000001)</f>
        <v>2.0343239999999998</v>
      </c>
      <c r="H6551" s="242">
        <f>H6454</f>
        <v>231.81818181818181</v>
      </c>
      <c r="I6551" s="159">
        <f>I6543</f>
        <v>2.4731E-2</v>
      </c>
      <c r="J6551" s="160"/>
      <c r="K6551" s="161">
        <f>K6543</f>
        <v>31</v>
      </c>
      <c r="L6551" s="250">
        <v>11</v>
      </c>
      <c r="M6551" s="163" t="str">
        <f>CONCATENATE(H6551," ",F6551,"*",L6551,"автобус","*",I6551,"/",K6551,"чел/час")</f>
        <v>231,818181818182 л бензина АИ 92 (12,5л/день(зимой)*20дней*7мес+10л/день(летом)*20дней*4мес)*11автобус*0,024731/31чел/час</v>
      </c>
      <c r="N6551" s="278">
        <f>N6454</f>
        <v>57.007000000000005</v>
      </c>
      <c r="O6551" s="280">
        <f>MROUND(N6551*G6551,0.000001)</f>
        <v>115.97070799999999</v>
      </c>
      <c r="P6551" s="166"/>
      <c r="Q6551" s="166">
        <f t="shared" ref="Q6551" si="1748">O6551*K6551</f>
        <v>3595.0919479999998</v>
      </c>
      <c r="R6551" s="71"/>
    </row>
    <row r="6552" spans="1:18" s="62" customFormat="1" x14ac:dyDescent="0.25">
      <c r="A6552" s="358"/>
      <c r="B6552" s="361"/>
      <c r="C6552" s="218" t="s">
        <v>300</v>
      </c>
      <c r="D6552" s="240"/>
      <c r="E6552" s="240"/>
      <c r="F6552" s="240"/>
      <c r="G6552" s="227"/>
      <c r="H6552" s="241"/>
      <c r="I6552" s="206"/>
      <c r="J6552" s="228"/>
      <c r="K6552" s="207"/>
      <c r="L6552" s="257"/>
      <c r="M6552" s="209"/>
      <c r="N6552" s="281"/>
      <c r="O6552" s="279">
        <f>O6551</f>
        <v>115.97070799999999</v>
      </c>
      <c r="P6552" s="267"/>
      <c r="Q6552" s="166"/>
      <c r="R6552" s="71"/>
    </row>
    <row r="6553" spans="1:18" s="61" customFormat="1" ht="47.25" x14ac:dyDescent="0.25">
      <c r="A6553" s="358"/>
      <c r="B6553" s="361"/>
      <c r="C6553" s="364" t="s">
        <v>118</v>
      </c>
      <c r="D6553" s="156" t="s">
        <v>47</v>
      </c>
      <c r="E6553" s="156" t="s">
        <v>28</v>
      </c>
      <c r="F6553" s="156" t="s">
        <v>239</v>
      </c>
      <c r="G6553" s="238">
        <f t="shared" ref="G6553:G6554" si="1749">MROUND(H6553*L6553*I6553/K6553,0.000001)</f>
        <v>0</v>
      </c>
      <c r="H6553" s="158">
        <f>H6456</f>
        <v>0</v>
      </c>
      <c r="I6553" s="159">
        <f>I6551</f>
        <v>2.4731E-2</v>
      </c>
      <c r="J6553" s="160"/>
      <c r="K6553" s="161">
        <f>K6551</f>
        <v>31</v>
      </c>
      <c r="L6553" s="250">
        <v>1</v>
      </c>
      <c r="M6553" s="163"/>
      <c r="N6553" s="278">
        <f>N6456</f>
        <v>0</v>
      </c>
      <c r="O6553" s="280">
        <f>MROUND(N6553*G6553,0.000001)</f>
        <v>0</v>
      </c>
      <c r="P6553" s="166"/>
      <c r="Q6553" s="166">
        <f t="shared" ref="Q6553:Q6554" si="1750">O6553*K6553</f>
        <v>0</v>
      </c>
      <c r="R6553" s="71"/>
    </row>
    <row r="6554" spans="1:18" s="61" customFormat="1" ht="47.25" x14ac:dyDescent="0.25">
      <c r="A6554" s="358"/>
      <c r="B6554" s="361"/>
      <c r="C6554" s="364"/>
      <c r="D6554" s="255" t="s">
        <v>113</v>
      </c>
      <c r="E6554" s="156" t="s">
        <v>28</v>
      </c>
      <c r="F6554" s="156" t="s">
        <v>240</v>
      </c>
      <c r="G6554" s="238">
        <f t="shared" si="1749"/>
        <v>1.5955E-2</v>
      </c>
      <c r="H6554" s="158">
        <f>H6457</f>
        <v>20</v>
      </c>
      <c r="I6554" s="159">
        <f>I6553</f>
        <v>2.4731E-2</v>
      </c>
      <c r="J6554" s="160"/>
      <c r="K6554" s="161">
        <f>K6553</f>
        <v>31</v>
      </c>
      <c r="L6554" s="250">
        <v>1</v>
      </c>
      <c r="M6554" s="163" t="str">
        <f>CONCATENATE(H6554," ",F6554,"*",I6554,"/",K6554,"чел/час")</f>
        <v>20 светильников (потребность учреждений)*0,024731/31чел/час</v>
      </c>
      <c r="N6554" s="278">
        <f>N6457</f>
        <v>111.1635</v>
      </c>
      <c r="O6554" s="280">
        <f>MROUND(N6554*G6554,0.000001)</f>
        <v>1.773614</v>
      </c>
      <c r="P6554" s="166"/>
      <c r="Q6554" s="166">
        <f t="shared" si="1750"/>
        <v>54.982033999999999</v>
      </c>
      <c r="R6554" s="71"/>
    </row>
    <row r="6555" spans="1:18" s="62" customFormat="1" x14ac:dyDescent="0.25">
      <c r="A6555" s="359"/>
      <c r="B6555" s="362"/>
      <c r="C6555" s="218" t="s">
        <v>301</v>
      </c>
      <c r="D6555" s="256"/>
      <c r="E6555" s="240"/>
      <c r="F6555" s="240"/>
      <c r="G6555" s="227"/>
      <c r="H6555" s="241"/>
      <c r="I6555" s="206"/>
      <c r="J6555" s="228"/>
      <c r="K6555" s="207"/>
      <c r="L6555" s="257"/>
      <c r="M6555" s="209"/>
      <c r="N6555" s="281"/>
      <c r="O6555" s="279">
        <f>O6553+O6554</f>
        <v>1.773614</v>
      </c>
      <c r="P6555" s="267"/>
      <c r="Q6555" s="166"/>
      <c r="R6555" s="71"/>
    </row>
    <row r="6556" spans="1:18" s="61" customFormat="1" x14ac:dyDescent="0.25">
      <c r="A6556" s="357" t="str">
        <f>школы!$B$27</f>
        <v>Оценка качества образования</v>
      </c>
      <c r="B6556" s="360" t="str">
        <f>школы!$A$27</f>
        <v>48Д71100000000000004101</v>
      </c>
      <c r="C6556" s="194"/>
      <c r="D6556" s="369" t="s">
        <v>15</v>
      </c>
      <c r="E6556" s="370"/>
      <c r="F6556" s="370"/>
      <c r="G6556" s="371"/>
      <c r="H6556" s="195"/>
      <c r="I6556" s="195"/>
      <c r="J6556" s="195"/>
      <c r="K6556" s="195"/>
      <c r="L6556" s="196"/>
      <c r="M6556" s="197"/>
      <c r="N6556" s="278"/>
      <c r="O6556" s="279">
        <f>O6557+O6562+O6565</f>
        <v>10825.253789020302</v>
      </c>
      <c r="P6556" s="166"/>
      <c r="Q6556" s="166">
        <f t="shared" ref="Q6556:Q6558" si="1751">O6556*K6556</f>
        <v>0</v>
      </c>
      <c r="R6556" s="71"/>
    </row>
    <row r="6557" spans="1:18" s="61" customFormat="1" x14ac:dyDescent="0.25">
      <c r="A6557" s="358"/>
      <c r="B6557" s="361"/>
      <c r="C6557" s="194"/>
      <c r="D6557" s="350" t="s">
        <v>62</v>
      </c>
      <c r="E6557" s="350"/>
      <c r="F6557" s="350"/>
      <c r="G6557" s="350"/>
      <c r="H6557" s="195"/>
      <c r="I6557" s="195"/>
      <c r="J6557" s="195"/>
      <c r="K6557" s="195"/>
      <c r="L6557" s="196"/>
      <c r="M6557" s="197"/>
      <c r="N6557" s="278"/>
      <c r="O6557" s="279">
        <f>O6559+O6561</f>
        <v>10687.567888020301</v>
      </c>
      <c r="P6557" s="166"/>
      <c r="Q6557" s="166">
        <f t="shared" si="1751"/>
        <v>0</v>
      </c>
      <c r="R6557" s="71"/>
    </row>
    <row r="6558" spans="1:18" s="61" customFormat="1" x14ac:dyDescent="0.25">
      <c r="A6558" s="358"/>
      <c r="B6558" s="361"/>
      <c r="C6558" s="194">
        <v>211</v>
      </c>
      <c r="D6558" s="194" t="s">
        <v>86</v>
      </c>
      <c r="E6558" s="199" t="s">
        <v>95</v>
      </c>
      <c r="F6558" s="199" t="s">
        <v>95</v>
      </c>
      <c r="G6558" s="275">
        <f>MROUND(H6558*L6558*I6558/K6558,0.00000000001)</f>
        <v>0.46882870587999997</v>
      </c>
      <c r="H6558" s="201">
        <f>$H$2976</f>
        <v>49</v>
      </c>
      <c r="I6558" s="159">
        <f>школы!$K$27</f>
        <v>9.4881999999999994E-2</v>
      </c>
      <c r="J6558" s="159"/>
      <c r="K6558" s="161">
        <f>школы!$G$27</f>
        <v>119</v>
      </c>
      <c r="L6558" s="202">
        <v>12</v>
      </c>
      <c r="M6558" s="163" t="str">
        <f>CONCATENATE(H6558," ",F6558," ","в мес.","*",L6558,"мес.","*",I6558,"/",K6558,"чел/час")</f>
        <v>49 шт.ед в мес.*12мес.*0,094882/119чел/час</v>
      </c>
      <c r="N6558" s="278">
        <f>N6364</f>
        <v>17508.692159863946</v>
      </c>
      <c r="O6558" s="280">
        <f>MROUND(N6558*G6558,0.0000000001)</f>
        <v>8208.577486960301</v>
      </c>
      <c r="P6558" s="166"/>
      <c r="Q6558" s="166">
        <f t="shared" si="1751"/>
        <v>976820.72094827588</v>
      </c>
      <c r="R6558" s="71"/>
    </row>
    <row r="6559" spans="1:18" s="62" customFormat="1" x14ac:dyDescent="0.25">
      <c r="A6559" s="358"/>
      <c r="B6559" s="361"/>
      <c r="C6559" s="203" t="s">
        <v>288</v>
      </c>
      <c r="D6559" s="203"/>
      <c r="E6559" s="204"/>
      <c r="F6559" s="204"/>
      <c r="G6559" s="205"/>
      <c r="H6559" s="206"/>
      <c r="I6559" s="206"/>
      <c r="J6559" s="206"/>
      <c r="K6559" s="207"/>
      <c r="L6559" s="208"/>
      <c r="M6559" s="209"/>
      <c r="N6559" s="281"/>
      <c r="O6559" s="279">
        <f>O6558</f>
        <v>8208.577486960301</v>
      </c>
      <c r="P6559" s="267"/>
      <c r="Q6559" s="166"/>
      <c r="R6559" s="71"/>
    </row>
    <row r="6560" spans="1:18" s="61" customFormat="1" x14ac:dyDescent="0.25">
      <c r="A6560" s="358"/>
      <c r="B6560" s="361"/>
      <c r="C6560" s="194">
        <v>213</v>
      </c>
      <c r="D6560" s="194" t="s">
        <v>87</v>
      </c>
      <c r="E6560" s="194" t="s">
        <v>88</v>
      </c>
      <c r="F6560" s="194"/>
      <c r="G6560" s="211">
        <v>30.2</v>
      </c>
      <c r="H6560" s="159"/>
      <c r="I6560" s="159">
        <f>I6558</f>
        <v>9.4881999999999994E-2</v>
      </c>
      <c r="J6560" s="159"/>
      <c r="K6560" s="161">
        <f>K6558</f>
        <v>119</v>
      </c>
      <c r="L6560" s="202"/>
      <c r="M6560" s="212"/>
      <c r="N6560" s="278"/>
      <c r="O6560" s="280">
        <f>MROUND(O6558*0.302,0.00000001)</f>
        <v>2478.9904010599998</v>
      </c>
      <c r="P6560" s="166"/>
      <c r="Q6560" s="166">
        <f t="shared" ref="Q6560" si="1752">O6560*K6560</f>
        <v>294999.85772614001</v>
      </c>
      <c r="R6560" s="71"/>
    </row>
    <row r="6561" spans="1:18" s="62" customFormat="1" x14ac:dyDescent="0.25">
      <c r="A6561" s="358"/>
      <c r="B6561" s="361"/>
      <c r="C6561" s="203" t="s">
        <v>289</v>
      </c>
      <c r="D6561" s="203"/>
      <c r="E6561" s="203"/>
      <c r="F6561" s="203"/>
      <c r="G6561" s="213"/>
      <c r="H6561" s="214"/>
      <c r="I6561" s="206"/>
      <c r="J6561" s="214"/>
      <c r="K6561" s="207"/>
      <c r="L6561" s="215"/>
      <c r="M6561" s="216"/>
      <c r="N6561" s="281"/>
      <c r="O6561" s="279">
        <f>O6560</f>
        <v>2478.9904010599998</v>
      </c>
      <c r="P6561" s="267"/>
      <c r="Q6561" s="166"/>
      <c r="R6561" s="71"/>
    </row>
    <row r="6562" spans="1:18" s="61" customFormat="1" x14ac:dyDescent="0.25">
      <c r="A6562" s="358"/>
      <c r="B6562" s="361"/>
      <c r="C6562" s="194"/>
      <c r="D6562" s="356" t="s">
        <v>63</v>
      </c>
      <c r="E6562" s="356"/>
      <c r="F6562" s="356"/>
      <c r="G6562" s="356"/>
      <c r="H6562" s="195"/>
      <c r="I6562" s="159"/>
      <c r="J6562" s="195"/>
      <c r="K6562" s="161"/>
      <c r="L6562" s="196"/>
      <c r="M6562" s="197"/>
      <c r="N6562" s="278"/>
      <c r="O6562" s="279">
        <f>O6563</f>
        <v>137.685901</v>
      </c>
      <c r="P6562" s="166"/>
      <c r="Q6562" s="166">
        <f t="shared" ref="Q6562:Q6563" si="1753">O6562*K6562</f>
        <v>0</v>
      </c>
      <c r="R6562" s="71"/>
    </row>
    <row r="6563" spans="1:18" s="61" customFormat="1" x14ac:dyDescent="0.25">
      <c r="A6563" s="358"/>
      <c r="B6563" s="361"/>
      <c r="C6563" s="194">
        <v>346</v>
      </c>
      <c r="D6563" s="194" t="s">
        <v>259</v>
      </c>
      <c r="E6563" s="194" t="s">
        <v>260</v>
      </c>
      <c r="F6563" s="194" t="s">
        <v>261</v>
      </c>
      <c r="G6563" s="238">
        <f>MROUND(H6563*L6563*I6563/K6563,0.000001)</f>
        <v>0.19534499999999999</v>
      </c>
      <c r="H6563" s="283">
        <f>H6369</f>
        <v>245</v>
      </c>
      <c r="I6563" s="159">
        <f>I6560</f>
        <v>9.4881999999999994E-2</v>
      </c>
      <c r="J6563" s="195"/>
      <c r="K6563" s="161">
        <f>K6560</f>
        <v>119</v>
      </c>
      <c r="L6563" s="196">
        <v>1</v>
      </c>
      <c r="M6563" s="163" t="str">
        <f>CONCATENATE(H6563," ",F6563,"*",I6563,"/",K6563,"чел/час")</f>
        <v>245 упаковок*0,094882/119чел/час</v>
      </c>
      <c r="N6563" s="278">
        <f>N6369</f>
        <v>704.83453061224486</v>
      </c>
      <c r="O6563" s="280">
        <f>MROUND(N6563*G6563,0.000001)</f>
        <v>137.685901</v>
      </c>
      <c r="P6563" s="166"/>
      <c r="Q6563" s="166">
        <f t="shared" si="1753"/>
        <v>16384.622219000001</v>
      </c>
      <c r="R6563" s="71"/>
    </row>
    <row r="6564" spans="1:18" s="62" customFormat="1" x14ac:dyDescent="0.25">
      <c r="A6564" s="358"/>
      <c r="B6564" s="361"/>
      <c r="C6564" s="203" t="s">
        <v>356</v>
      </c>
      <c r="D6564" s="203"/>
      <c r="E6564" s="203"/>
      <c r="F6564" s="203"/>
      <c r="G6564" s="227"/>
      <c r="H6564" s="214"/>
      <c r="I6564" s="206"/>
      <c r="J6564" s="214"/>
      <c r="K6564" s="207"/>
      <c r="L6564" s="215"/>
      <c r="M6564" s="209"/>
      <c r="N6564" s="281"/>
      <c r="O6564" s="279">
        <f>O6563</f>
        <v>137.685901</v>
      </c>
      <c r="P6564" s="267"/>
      <c r="Q6564" s="166"/>
      <c r="R6564" s="71"/>
    </row>
    <row r="6565" spans="1:18" s="61" customFormat="1" x14ac:dyDescent="0.25">
      <c r="A6565" s="358"/>
      <c r="B6565" s="361"/>
      <c r="C6565" s="194"/>
      <c r="D6565" s="350" t="s">
        <v>64</v>
      </c>
      <c r="E6565" s="350"/>
      <c r="F6565" s="350"/>
      <c r="G6565" s="350"/>
      <c r="H6565" s="195"/>
      <c r="I6565" s="159"/>
      <c r="J6565" s="195"/>
      <c r="K6565" s="161"/>
      <c r="L6565" s="196"/>
      <c r="M6565" s="197"/>
      <c r="N6565" s="278"/>
      <c r="O6565" s="280"/>
      <c r="P6565" s="166"/>
      <c r="Q6565" s="166">
        <f t="shared" ref="Q6565:Q6575" si="1754">O6565*K6565</f>
        <v>0</v>
      </c>
      <c r="R6565" s="71"/>
    </row>
    <row r="6566" spans="1:18" s="61" customFormat="1" x14ac:dyDescent="0.25">
      <c r="A6566" s="358"/>
      <c r="B6566" s="361"/>
      <c r="C6566" s="194"/>
      <c r="D6566" s="194"/>
      <c r="E6566" s="194"/>
      <c r="F6566" s="194"/>
      <c r="G6566" s="217"/>
      <c r="H6566" s="195"/>
      <c r="I6566" s="159"/>
      <c r="J6566" s="195"/>
      <c r="K6566" s="161"/>
      <c r="L6566" s="196"/>
      <c r="M6566" s="197"/>
      <c r="N6566" s="278"/>
      <c r="O6566" s="280"/>
      <c r="P6566" s="166"/>
      <c r="Q6566" s="166">
        <f t="shared" si="1754"/>
        <v>0</v>
      </c>
      <c r="R6566" s="71"/>
    </row>
    <row r="6567" spans="1:18" s="61" customFormat="1" x14ac:dyDescent="0.25">
      <c r="A6567" s="358"/>
      <c r="B6567" s="361"/>
      <c r="C6567" s="194"/>
      <c r="D6567" s="355" t="s">
        <v>5</v>
      </c>
      <c r="E6567" s="355"/>
      <c r="F6567" s="355"/>
      <c r="G6567" s="355"/>
      <c r="H6567" s="195"/>
      <c r="I6567" s="159"/>
      <c r="J6567" s="195"/>
      <c r="K6567" s="161"/>
      <c r="L6567" s="196"/>
      <c r="M6567" s="197"/>
      <c r="N6567" s="278"/>
      <c r="O6567" s="279">
        <f>O6568+O6577+O6588+O6590+O6601</f>
        <v>1664.0207920000003</v>
      </c>
      <c r="P6567" s="166"/>
      <c r="Q6567" s="166">
        <f t="shared" si="1754"/>
        <v>0</v>
      </c>
      <c r="R6567" s="71"/>
    </row>
    <row r="6568" spans="1:18" s="61" customFormat="1" x14ac:dyDescent="0.25">
      <c r="A6568" s="358"/>
      <c r="B6568" s="361"/>
      <c r="C6568" s="221" t="s">
        <v>70</v>
      </c>
      <c r="D6568" s="355" t="s">
        <v>6</v>
      </c>
      <c r="E6568" s="355"/>
      <c r="F6568" s="355"/>
      <c r="G6568" s="355"/>
      <c r="H6568" s="189"/>
      <c r="I6568" s="159"/>
      <c r="J6568" s="189"/>
      <c r="K6568" s="161"/>
      <c r="L6568" s="190"/>
      <c r="M6568" s="197"/>
      <c r="N6568" s="278"/>
      <c r="O6568" s="279">
        <f>O6569+O6570+O6571+O6572+O6573+O6574+O6575</f>
        <v>630.61602400000015</v>
      </c>
      <c r="P6568" s="166"/>
      <c r="Q6568" s="166">
        <f t="shared" si="1754"/>
        <v>0</v>
      </c>
      <c r="R6568" s="71"/>
    </row>
    <row r="6569" spans="1:18" s="61" customFormat="1" ht="31.5" x14ac:dyDescent="0.25">
      <c r="A6569" s="358"/>
      <c r="B6569" s="361"/>
      <c r="C6569" s="221" t="s">
        <v>72</v>
      </c>
      <c r="D6569" s="222" t="s">
        <v>7</v>
      </c>
      <c r="E6569" s="223" t="s">
        <v>8</v>
      </c>
      <c r="F6569" s="223" t="s">
        <v>8</v>
      </c>
      <c r="G6569" s="238">
        <f>MROUND(H6569*L6569*I6569/K6569,0.00000001)</f>
        <v>9.8631252099999998</v>
      </c>
      <c r="H6569" s="160">
        <f t="shared" ref="H6569:H6575" si="1755">H6375</f>
        <v>12370.227223490891</v>
      </c>
      <c r="I6569" s="159">
        <f>I6563</f>
        <v>9.4881999999999994E-2</v>
      </c>
      <c r="J6569" s="160"/>
      <c r="K6569" s="161">
        <f>K6563</f>
        <v>119</v>
      </c>
      <c r="L6569" s="250">
        <v>1</v>
      </c>
      <c r="M6569" s="163" t="str">
        <f>CONCATENATE(H6569," ",F6569,"(лимиты выделенные УЖКХ) ","*",I6569,"/",K6569,"чел/час")</f>
        <v>12370,2272234909 кВт час.(лимиты выделенные УЖКХ) *0,094882/119чел/час</v>
      </c>
      <c r="N6569" s="278">
        <f t="shared" ref="N6569:N6575" si="1756">N6375</f>
        <v>10.942938036169672</v>
      </c>
      <c r="O6569" s="280">
        <f t="shared" ref="O6569:O6575" si="1757">MROUND(N6569*G6569,0.000001)</f>
        <v>107.931568</v>
      </c>
      <c r="P6569" s="166"/>
      <c r="Q6569" s="166">
        <f t="shared" si="1754"/>
        <v>12843.856592</v>
      </c>
      <c r="R6569" s="71"/>
    </row>
    <row r="6570" spans="1:18" s="61" customFormat="1" ht="31.5" x14ac:dyDescent="0.25">
      <c r="A6570" s="358"/>
      <c r="B6570" s="361"/>
      <c r="C6570" s="221" t="s">
        <v>73</v>
      </c>
      <c r="D6570" s="222" t="s">
        <v>9</v>
      </c>
      <c r="E6570" s="223" t="s">
        <v>10</v>
      </c>
      <c r="F6570" s="223" t="s">
        <v>10</v>
      </c>
      <c r="G6570" s="238">
        <f>MROUND(H6570*L6570*I6570/K6570,0.00000001)</f>
        <v>0.13554571000000001</v>
      </c>
      <c r="H6570" s="160">
        <f t="shared" si="1755"/>
        <v>170</v>
      </c>
      <c r="I6570" s="159">
        <f t="shared" ref="I6570:I6575" si="1758">I6569</f>
        <v>9.4881999999999994E-2</v>
      </c>
      <c r="J6570" s="160"/>
      <c r="K6570" s="161">
        <f t="shared" ref="K6570:K6575" si="1759">K6569</f>
        <v>119</v>
      </c>
      <c r="L6570" s="250">
        <v>1</v>
      </c>
      <c r="M6570" s="163" t="str">
        <f>CONCATENATE(H6570," ",F6570,"(лимиты выделенные УЖКХ) ","*",I6570,"/",K6570,"чел/час")</f>
        <v>170 Гкал(лимиты выделенные УЖКХ) *0,094882/119чел/час</v>
      </c>
      <c r="N6570" s="278">
        <f t="shared" si="1756"/>
        <v>2976.2517647058821</v>
      </c>
      <c r="O6570" s="280">
        <f t="shared" si="1757"/>
        <v>403.418159</v>
      </c>
      <c r="P6570" s="166"/>
      <c r="Q6570" s="166">
        <f t="shared" si="1754"/>
        <v>48006.760921000001</v>
      </c>
      <c r="R6570" s="71"/>
    </row>
    <row r="6571" spans="1:18" s="61" customFormat="1" ht="31.5" x14ac:dyDescent="0.25">
      <c r="A6571" s="358"/>
      <c r="B6571" s="361"/>
      <c r="C6571" s="365" t="s">
        <v>74</v>
      </c>
      <c r="D6571" s="222" t="s">
        <v>12</v>
      </c>
      <c r="E6571" s="222" t="s">
        <v>11</v>
      </c>
      <c r="F6571" s="222" t="s">
        <v>11</v>
      </c>
      <c r="G6571" s="238">
        <f>MROUND(H6571*L6571*I6571/K6571,0.000001)</f>
        <v>0.28250900000000001</v>
      </c>
      <c r="H6571" s="224">
        <f t="shared" si="1755"/>
        <v>354.32</v>
      </c>
      <c r="I6571" s="159">
        <f t="shared" si="1758"/>
        <v>9.4881999999999994E-2</v>
      </c>
      <c r="J6571" s="160"/>
      <c r="K6571" s="161">
        <f t="shared" si="1759"/>
        <v>119</v>
      </c>
      <c r="L6571" s="250">
        <v>1</v>
      </c>
      <c r="M6571" s="163" t="str">
        <f>CONCATENATE(H6571," ",F6571,"(лимиты выделенные УЖКХ) ","*",I6571,"/",K6571,"чел/час")</f>
        <v>354,32 м3(лимиты выделенные УЖКХ) *0,094882/119чел/час</v>
      </c>
      <c r="N6571" s="278">
        <f t="shared" si="1756"/>
        <v>54.214180119665841</v>
      </c>
      <c r="O6571" s="280">
        <f t="shared" si="1757"/>
        <v>15.315994</v>
      </c>
      <c r="P6571" s="166"/>
      <c r="Q6571" s="166">
        <f t="shared" si="1754"/>
        <v>1822.603286</v>
      </c>
      <c r="R6571" s="71"/>
    </row>
    <row r="6572" spans="1:18" s="61" customFormat="1" ht="47.25" x14ac:dyDescent="0.25">
      <c r="A6572" s="358"/>
      <c r="B6572" s="361"/>
      <c r="C6572" s="366"/>
      <c r="D6572" s="222" t="s">
        <v>17</v>
      </c>
      <c r="E6572" s="222" t="s">
        <v>11</v>
      </c>
      <c r="F6572" s="222" t="s">
        <v>11</v>
      </c>
      <c r="G6572" s="238">
        <f>MROUND(H6572*L6572*I6572/K6572,0.00000001)</f>
        <v>0.28250915999999998</v>
      </c>
      <c r="H6572" s="160">
        <f t="shared" si="1755"/>
        <v>354.32</v>
      </c>
      <c r="I6572" s="159">
        <f t="shared" si="1758"/>
        <v>9.4881999999999994E-2</v>
      </c>
      <c r="J6572" s="160"/>
      <c r="K6572" s="161">
        <f t="shared" si="1759"/>
        <v>119</v>
      </c>
      <c r="L6572" s="162">
        <f>$L$25</f>
        <v>1</v>
      </c>
      <c r="M6572" s="163" t="str">
        <f>CONCATENATE(H6572," ",F6572,"(лимиты выделенные УЖКХ) ","*",I6572,"/",K6572,"чел/час")</f>
        <v>354,32 м3(лимиты выделенные УЖКХ) *0,094882/119чел/час</v>
      </c>
      <c r="N6572" s="164">
        <f t="shared" si="1756"/>
        <v>82.384170780821918</v>
      </c>
      <c r="O6572" s="280">
        <f t="shared" si="1757"/>
        <v>23.274283</v>
      </c>
      <c r="P6572" s="166"/>
      <c r="Q6572" s="166">
        <f t="shared" si="1754"/>
        <v>2769.6396770000001</v>
      </c>
      <c r="R6572" s="71"/>
    </row>
    <row r="6573" spans="1:18" s="61" customFormat="1" ht="31.5" x14ac:dyDescent="0.25">
      <c r="A6573" s="358"/>
      <c r="B6573" s="361"/>
      <c r="C6573" s="367"/>
      <c r="D6573" s="222" t="s">
        <v>13</v>
      </c>
      <c r="E6573" s="222" t="s">
        <v>11</v>
      </c>
      <c r="F6573" s="222" t="s">
        <v>11</v>
      </c>
      <c r="G6573" s="238">
        <f>MROUND(H6573*L6573*I6573/K6573,0.00000001)</f>
        <v>0.28250915999999998</v>
      </c>
      <c r="H6573" s="160">
        <f t="shared" si="1755"/>
        <v>354.32</v>
      </c>
      <c r="I6573" s="159">
        <f t="shared" si="1758"/>
        <v>9.4881999999999994E-2</v>
      </c>
      <c r="J6573" s="160"/>
      <c r="K6573" s="161">
        <f t="shared" si="1759"/>
        <v>119</v>
      </c>
      <c r="L6573" s="162">
        <v>1</v>
      </c>
      <c r="M6573" s="163" t="str">
        <f>CONCATENATE(H6573," ",F6573,"(лимиты выделенные УЖКХ) ","*",I6573,"/",K6573,"чел/час")</f>
        <v>354,32 м3(лимиты выделенные УЖКХ) *0,094882/119чел/час</v>
      </c>
      <c r="N6573" s="278">
        <f t="shared" si="1756"/>
        <v>100.60429077934968</v>
      </c>
      <c r="O6573" s="280">
        <f t="shared" si="1757"/>
        <v>28.421633999999997</v>
      </c>
      <c r="P6573" s="166"/>
      <c r="Q6573" s="166">
        <f t="shared" si="1754"/>
        <v>3382.1744459999995</v>
      </c>
      <c r="R6573" s="71"/>
    </row>
    <row r="6574" spans="1:18" s="61" customFormat="1" x14ac:dyDescent="0.25">
      <c r="A6574" s="358"/>
      <c r="B6574" s="361"/>
      <c r="C6574" s="365" t="s">
        <v>216</v>
      </c>
      <c r="D6574" s="222" t="s">
        <v>23</v>
      </c>
      <c r="E6574" s="222" t="s">
        <v>11</v>
      </c>
      <c r="F6574" s="222" t="s">
        <v>11</v>
      </c>
      <c r="G6574" s="238">
        <f>MROUND(H6574*L6574*I6574/K6574,0.00000001)</f>
        <v>5.0518689999999998E-2</v>
      </c>
      <c r="H6574" s="160">
        <f t="shared" si="1755"/>
        <v>63.36</v>
      </c>
      <c r="I6574" s="159">
        <f t="shared" si="1758"/>
        <v>9.4881999999999994E-2</v>
      </c>
      <c r="J6574" s="160"/>
      <c r="K6574" s="161">
        <f t="shared" si="1759"/>
        <v>119</v>
      </c>
      <c r="L6574" s="162">
        <v>1</v>
      </c>
      <c r="M6574" s="163" t="str">
        <f>CONCATENATE(H6574," ",F6574," ","*",I6574,"/",K6574,"чел/час")</f>
        <v>63,36 м3 *0,094882/119чел/час</v>
      </c>
      <c r="N6574" s="164">
        <f t="shared" si="1756"/>
        <v>687.25773358585866</v>
      </c>
      <c r="O6574" s="280">
        <f t="shared" si="1757"/>
        <v>34.719360000000002</v>
      </c>
      <c r="P6574" s="166"/>
      <c r="Q6574" s="166">
        <f t="shared" si="1754"/>
        <v>4131.6038399999998</v>
      </c>
      <c r="R6574" s="71"/>
    </row>
    <row r="6575" spans="1:18" s="61" customFormat="1" ht="63" x14ac:dyDescent="0.25">
      <c r="A6575" s="358"/>
      <c r="B6575" s="361"/>
      <c r="C6575" s="367"/>
      <c r="D6575" s="222" t="s">
        <v>24</v>
      </c>
      <c r="E6575" s="222" t="s">
        <v>25</v>
      </c>
      <c r="F6575" s="222" t="s">
        <v>248</v>
      </c>
      <c r="G6575" s="238">
        <f>MROUND(H6575*L6575*I6575/K6575,0.00000001)</f>
        <v>3.1893099999999999E-3</v>
      </c>
      <c r="H6575" s="160">
        <f t="shared" si="1755"/>
        <v>4</v>
      </c>
      <c r="I6575" s="159">
        <f t="shared" si="1758"/>
        <v>9.4881999999999994E-2</v>
      </c>
      <c r="J6575" s="160"/>
      <c r="K6575" s="161">
        <f t="shared" si="1759"/>
        <v>119</v>
      </c>
      <c r="L6575" s="250">
        <v>1</v>
      </c>
      <c r="M6575" s="163" t="str">
        <f>CONCATENATE(H6575," ",F6575,"(потребность из расчета 4 контейнера для уборки территории весной и осенью на 1 учреждение)","*",I6575,"/",K6575,"чел/час")</f>
        <v>4 контейнеров(потребность из расчета 4 контейнера для уборки территории весной и осенью на 1 учреждение)*0,094882/119чел/час</v>
      </c>
      <c r="N6575" s="278">
        <f t="shared" si="1756"/>
        <v>5498.0625</v>
      </c>
      <c r="O6575" s="280">
        <f t="shared" si="1757"/>
        <v>17.535025999999998</v>
      </c>
      <c r="P6575" s="166"/>
      <c r="Q6575" s="166">
        <f t="shared" si="1754"/>
        <v>2086.6680939999997</v>
      </c>
      <c r="R6575" s="71"/>
    </row>
    <row r="6576" spans="1:18" s="62" customFormat="1" x14ac:dyDescent="0.25">
      <c r="A6576" s="358"/>
      <c r="B6576" s="361"/>
      <c r="C6576" s="218" t="s">
        <v>290</v>
      </c>
      <c r="D6576" s="226"/>
      <c r="E6576" s="226"/>
      <c r="F6576" s="226"/>
      <c r="G6576" s="227"/>
      <c r="H6576" s="228"/>
      <c r="I6576" s="206"/>
      <c r="J6576" s="228"/>
      <c r="K6576" s="207"/>
      <c r="L6576" s="257"/>
      <c r="M6576" s="209"/>
      <c r="N6576" s="281"/>
      <c r="O6576" s="279">
        <f>SUM(O6569:O6575)</f>
        <v>630.61602400000015</v>
      </c>
      <c r="P6576" s="267"/>
      <c r="Q6576" s="166"/>
      <c r="R6576" s="71"/>
    </row>
    <row r="6577" spans="1:18" s="61" customFormat="1" x14ac:dyDescent="0.25">
      <c r="A6577" s="358"/>
      <c r="B6577" s="361"/>
      <c r="C6577" s="221"/>
      <c r="D6577" s="356" t="s">
        <v>14</v>
      </c>
      <c r="E6577" s="356"/>
      <c r="F6577" s="356"/>
      <c r="G6577" s="356"/>
      <c r="H6577" s="188"/>
      <c r="I6577" s="159"/>
      <c r="J6577" s="188"/>
      <c r="K6577" s="161"/>
      <c r="L6577" s="250"/>
      <c r="M6577" s="230"/>
      <c r="N6577" s="278"/>
      <c r="O6577" s="279">
        <f>O6585+O6587+O6581</f>
        <v>0</v>
      </c>
      <c r="P6577" s="166"/>
      <c r="Q6577" s="166">
        <f t="shared" ref="Q6577" si="1760">O6577*K6577</f>
        <v>0</v>
      </c>
      <c r="R6577" s="71"/>
    </row>
    <row r="6578" spans="1:18" s="61" customFormat="1" x14ac:dyDescent="0.25">
      <c r="A6578" s="358"/>
      <c r="B6578" s="361"/>
      <c r="C6578" s="365" t="s">
        <v>379</v>
      </c>
      <c r="D6578" s="231" t="s">
        <v>49</v>
      </c>
      <c r="E6578" s="231" t="s">
        <v>22</v>
      </c>
      <c r="F6578" s="231" t="s">
        <v>22</v>
      </c>
      <c r="G6578" s="238">
        <f>MROUND(H6578*L6578*I6578/K6578,0.000001)</f>
        <v>0</v>
      </c>
      <c r="H6578" s="160"/>
      <c r="I6578" s="159">
        <f>I6573</f>
        <v>9.4881999999999994E-2</v>
      </c>
      <c r="J6578" s="160"/>
      <c r="K6578" s="161">
        <f>K6573</f>
        <v>119</v>
      </c>
      <c r="L6578" s="250"/>
      <c r="M6578" s="163"/>
      <c r="N6578" s="278"/>
      <c r="O6578" s="280">
        <f>MROUND(N6578*G6578,0.000001)</f>
        <v>0</v>
      </c>
      <c r="P6578" s="166"/>
      <c r="Q6578" s="166">
        <f>O6578*K6578</f>
        <v>0</v>
      </c>
      <c r="R6578" s="71"/>
    </row>
    <row r="6579" spans="1:18" s="61" customFormat="1" x14ac:dyDescent="0.25">
      <c r="A6579" s="358"/>
      <c r="B6579" s="361"/>
      <c r="C6579" s="366"/>
      <c r="D6579" s="231" t="s">
        <v>49</v>
      </c>
      <c r="E6579" s="231" t="s">
        <v>28</v>
      </c>
      <c r="F6579" s="231" t="s">
        <v>28</v>
      </c>
      <c r="G6579" s="238">
        <f>MROUND(H6579*L6579*I6579/K6579,0.00000001)</f>
        <v>0</v>
      </c>
      <c r="H6579" s="160"/>
      <c r="I6579" s="159">
        <f>I6573</f>
        <v>9.4881999999999994E-2</v>
      </c>
      <c r="J6579" s="160"/>
      <c r="K6579" s="161">
        <f>K6573</f>
        <v>119</v>
      </c>
      <c r="L6579" s="250">
        <v>1</v>
      </c>
      <c r="M6579" s="163"/>
      <c r="N6579" s="278"/>
      <c r="O6579" s="280">
        <f>MROUND(N6579*G6579,0.000001)</f>
        <v>0</v>
      </c>
      <c r="P6579" s="166"/>
      <c r="Q6579" s="166">
        <f>O6579*K6579</f>
        <v>0</v>
      </c>
      <c r="R6579" s="71"/>
    </row>
    <row r="6580" spans="1:18" s="61" customFormat="1" x14ac:dyDescent="0.25">
      <c r="A6580" s="358"/>
      <c r="B6580" s="361"/>
      <c r="C6580" s="367"/>
      <c r="D6580" s="231" t="s">
        <v>49</v>
      </c>
      <c r="E6580" s="231" t="s">
        <v>101</v>
      </c>
      <c r="F6580" s="231" t="s">
        <v>101</v>
      </c>
      <c r="G6580" s="238">
        <f>MROUND(H6580*L6580*I6580/K6580,0.00000001)</f>
        <v>0</v>
      </c>
      <c r="H6580" s="160"/>
      <c r="I6580" s="159">
        <f>I6578</f>
        <v>9.4881999999999994E-2</v>
      </c>
      <c r="J6580" s="160"/>
      <c r="K6580" s="161">
        <f>K6578</f>
        <v>119</v>
      </c>
      <c r="L6580" s="250">
        <v>1</v>
      </c>
      <c r="M6580" s="163"/>
      <c r="N6580" s="278"/>
      <c r="O6580" s="280">
        <f>MROUND(N6580*G6580,0.000001)</f>
        <v>0</v>
      </c>
      <c r="P6580" s="166"/>
      <c r="Q6580" s="166">
        <f>O6580*K6580</f>
        <v>0</v>
      </c>
      <c r="R6580" s="71"/>
    </row>
    <row r="6581" spans="1:18" s="62" customFormat="1" x14ac:dyDescent="0.25">
      <c r="A6581" s="358"/>
      <c r="B6581" s="361"/>
      <c r="C6581" s="218" t="s">
        <v>380</v>
      </c>
      <c r="D6581" s="232"/>
      <c r="E6581" s="232"/>
      <c r="F6581" s="232"/>
      <c r="G6581" s="227"/>
      <c r="H6581" s="228"/>
      <c r="I6581" s="206"/>
      <c r="J6581" s="228"/>
      <c r="K6581" s="207"/>
      <c r="L6581" s="257"/>
      <c r="M6581" s="209"/>
      <c r="N6581" s="281"/>
      <c r="O6581" s="279">
        <f>O6578+O6580+O6579</f>
        <v>0</v>
      </c>
      <c r="P6581" s="267"/>
      <c r="Q6581" s="166"/>
      <c r="R6581" s="71"/>
    </row>
    <row r="6582" spans="1:18" s="61" customFormat="1" x14ac:dyDescent="0.25">
      <c r="A6582" s="358"/>
      <c r="B6582" s="361"/>
      <c r="C6582" s="365" t="s">
        <v>76</v>
      </c>
      <c r="D6582" s="231" t="s">
        <v>49</v>
      </c>
      <c r="E6582" s="231" t="s">
        <v>22</v>
      </c>
      <c r="F6582" s="231" t="s">
        <v>22</v>
      </c>
      <c r="G6582" s="238">
        <f>MROUND(H6582*L6582*I6582/K6582,0.000001)</f>
        <v>0</v>
      </c>
      <c r="H6582" s="160"/>
      <c r="I6582" s="159">
        <f>I6578</f>
        <v>9.4881999999999994E-2</v>
      </c>
      <c r="J6582" s="160"/>
      <c r="K6582" s="161">
        <f>K6578</f>
        <v>119</v>
      </c>
      <c r="L6582" s="250">
        <v>1</v>
      </c>
      <c r="M6582" s="163"/>
      <c r="N6582" s="278"/>
      <c r="O6582" s="280">
        <f>MROUND(N6582*G6582,0.000001)</f>
        <v>0</v>
      </c>
      <c r="P6582" s="166"/>
      <c r="Q6582" s="166">
        <f t="shared" ref="Q6582" si="1761">O6582*K6582</f>
        <v>0</v>
      </c>
      <c r="R6582" s="71"/>
    </row>
    <row r="6583" spans="1:18" s="61" customFormat="1" x14ac:dyDescent="0.25">
      <c r="A6583" s="358"/>
      <c r="B6583" s="361"/>
      <c r="C6583" s="366"/>
      <c r="D6583" s="231" t="s">
        <v>49</v>
      </c>
      <c r="E6583" s="231" t="s">
        <v>28</v>
      </c>
      <c r="F6583" s="231" t="s">
        <v>28</v>
      </c>
      <c r="G6583" s="238">
        <f>MROUND(H6583*L6583*I6583/K6583,0.00000001)</f>
        <v>0</v>
      </c>
      <c r="H6583" s="160"/>
      <c r="I6583" s="159">
        <f>I6578</f>
        <v>9.4881999999999994E-2</v>
      </c>
      <c r="J6583" s="160"/>
      <c r="K6583" s="161">
        <f>K6578</f>
        <v>119</v>
      </c>
      <c r="L6583" s="250">
        <v>1</v>
      </c>
      <c r="M6583" s="163"/>
      <c r="N6583" s="278"/>
      <c r="O6583" s="280">
        <f>MROUND(N6583*G6583,0.000001)</f>
        <v>0</v>
      </c>
      <c r="P6583" s="166"/>
      <c r="Q6583" s="166">
        <f>O6583*K6583</f>
        <v>0</v>
      </c>
      <c r="R6583" s="71"/>
    </row>
    <row r="6584" spans="1:18" s="61" customFormat="1" x14ac:dyDescent="0.25">
      <c r="A6584" s="358"/>
      <c r="B6584" s="361"/>
      <c r="C6584" s="367"/>
      <c r="D6584" s="231" t="s">
        <v>49</v>
      </c>
      <c r="E6584" s="231" t="s">
        <v>101</v>
      </c>
      <c r="F6584" s="231" t="s">
        <v>101</v>
      </c>
      <c r="G6584" s="238">
        <f>MROUND(H6584*L6584*I6584/K6584,0.00000001)</f>
        <v>0</v>
      </c>
      <c r="H6584" s="160"/>
      <c r="I6584" s="159">
        <f>I6582</f>
        <v>9.4881999999999994E-2</v>
      </c>
      <c r="J6584" s="160"/>
      <c r="K6584" s="161">
        <f>K6582</f>
        <v>119</v>
      </c>
      <c r="L6584" s="250">
        <v>1</v>
      </c>
      <c r="M6584" s="163"/>
      <c r="N6584" s="278"/>
      <c r="O6584" s="280">
        <f>MROUND(N6584*G6584,0.000001)</f>
        <v>0</v>
      </c>
      <c r="P6584" s="166"/>
      <c r="Q6584" s="166">
        <f t="shared" ref="Q6584" si="1762">O6584*K6584</f>
        <v>0</v>
      </c>
      <c r="R6584" s="71"/>
    </row>
    <row r="6585" spans="1:18" s="62" customFormat="1" x14ac:dyDescent="0.25">
      <c r="A6585" s="358"/>
      <c r="B6585" s="361"/>
      <c r="C6585" s="218" t="s">
        <v>291</v>
      </c>
      <c r="D6585" s="232"/>
      <c r="E6585" s="232"/>
      <c r="F6585" s="232"/>
      <c r="G6585" s="227"/>
      <c r="H6585" s="228"/>
      <c r="I6585" s="206"/>
      <c r="J6585" s="228"/>
      <c r="K6585" s="207"/>
      <c r="L6585" s="257"/>
      <c r="M6585" s="209"/>
      <c r="N6585" s="281"/>
      <c r="O6585" s="279">
        <f>O6582+O6584+O6583</f>
        <v>0</v>
      </c>
      <c r="P6585" s="267"/>
      <c r="Q6585" s="166"/>
      <c r="R6585" s="71"/>
    </row>
    <row r="6586" spans="1:18" s="61" customFormat="1" x14ac:dyDescent="0.25">
      <c r="A6586" s="358"/>
      <c r="B6586" s="361"/>
      <c r="C6586" s="221" t="s">
        <v>77</v>
      </c>
      <c r="D6586" s="231"/>
      <c r="E6586" s="231"/>
      <c r="F6586" s="231"/>
      <c r="G6586" s="238">
        <f>MROUND(H6586*L6586*I6586/K6586,0.000001)</f>
        <v>0</v>
      </c>
      <c r="H6586" s="160"/>
      <c r="I6586" s="159">
        <f>I6582</f>
        <v>9.4881999999999994E-2</v>
      </c>
      <c r="J6586" s="160"/>
      <c r="K6586" s="161">
        <f>K6582</f>
        <v>119</v>
      </c>
      <c r="L6586" s="250"/>
      <c r="M6586" s="163"/>
      <c r="N6586" s="278">
        <f>N6392</f>
        <v>0</v>
      </c>
      <c r="O6586" s="280">
        <f>MROUND(N6586*G6586,0.000001)</f>
        <v>0</v>
      </c>
      <c r="P6586" s="166"/>
      <c r="Q6586" s="166">
        <f t="shared" ref="Q6586" si="1763">O6586*K6586</f>
        <v>0</v>
      </c>
      <c r="R6586" s="71"/>
    </row>
    <row r="6587" spans="1:18" s="62" customFormat="1" x14ac:dyDescent="0.25">
      <c r="A6587" s="358"/>
      <c r="B6587" s="361"/>
      <c r="C6587" s="218" t="s">
        <v>292</v>
      </c>
      <c r="D6587" s="232"/>
      <c r="E6587" s="232"/>
      <c r="F6587" s="232"/>
      <c r="G6587" s="227"/>
      <c r="H6587" s="228"/>
      <c r="I6587" s="206"/>
      <c r="J6587" s="228"/>
      <c r="K6587" s="207"/>
      <c r="L6587" s="257"/>
      <c r="M6587" s="209"/>
      <c r="N6587" s="281"/>
      <c r="O6587" s="279">
        <f>O6586</f>
        <v>0</v>
      </c>
      <c r="P6587" s="267"/>
      <c r="Q6587" s="166"/>
      <c r="R6587" s="71"/>
    </row>
    <row r="6588" spans="1:18" s="61" customFormat="1" x14ac:dyDescent="0.25">
      <c r="A6588" s="358"/>
      <c r="B6588" s="361"/>
      <c r="C6588" s="221"/>
      <c r="D6588" s="350" t="s">
        <v>65</v>
      </c>
      <c r="E6588" s="350"/>
      <c r="F6588" s="350"/>
      <c r="G6588" s="350"/>
      <c r="H6588" s="195"/>
      <c r="I6588" s="159"/>
      <c r="J6588" s="195"/>
      <c r="K6588" s="161"/>
      <c r="L6588" s="196"/>
      <c r="M6588" s="230"/>
      <c r="N6588" s="278"/>
      <c r="O6588" s="280"/>
      <c r="P6588" s="166"/>
      <c r="Q6588" s="166">
        <f t="shared" ref="Q6588:Q6595" si="1764">O6588*K6588</f>
        <v>0</v>
      </c>
      <c r="R6588" s="71"/>
    </row>
    <row r="6589" spans="1:18" s="61" customFormat="1" x14ac:dyDescent="0.25">
      <c r="A6589" s="358"/>
      <c r="B6589" s="361"/>
      <c r="C6589" s="221"/>
      <c r="D6589" s="194"/>
      <c r="E6589" s="194"/>
      <c r="F6589" s="194"/>
      <c r="G6589" s="217"/>
      <c r="H6589" s="195"/>
      <c r="I6589" s="159"/>
      <c r="J6589" s="195"/>
      <c r="K6589" s="161"/>
      <c r="L6589" s="196"/>
      <c r="M6589" s="230"/>
      <c r="N6589" s="278"/>
      <c r="O6589" s="280"/>
      <c r="P6589" s="166"/>
      <c r="Q6589" s="166">
        <f t="shared" si="1764"/>
        <v>0</v>
      </c>
      <c r="R6589" s="71"/>
    </row>
    <row r="6590" spans="1:18" s="61" customFormat="1" x14ac:dyDescent="0.25">
      <c r="A6590" s="358"/>
      <c r="B6590" s="361"/>
      <c r="C6590" s="221" t="s">
        <v>357</v>
      </c>
      <c r="D6590" s="368" t="s">
        <v>66</v>
      </c>
      <c r="E6590" s="368"/>
      <c r="F6590" s="368"/>
      <c r="G6590" s="368"/>
      <c r="H6590" s="195"/>
      <c r="I6590" s="159"/>
      <c r="J6590" s="195"/>
      <c r="K6590" s="161"/>
      <c r="L6590" s="196"/>
      <c r="M6590" s="230"/>
      <c r="N6590" s="278"/>
      <c r="O6590" s="279">
        <f>SUM(O6591:O6595)</f>
        <v>139.17147199999999</v>
      </c>
      <c r="P6590" s="166"/>
      <c r="Q6590" s="166">
        <f t="shared" si="1764"/>
        <v>0</v>
      </c>
      <c r="R6590" s="71"/>
    </row>
    <row r="6591" spans="1:18" s="61" customFormat="1" x14ac:dyDescent="0.25">
      <c r="A6591" s="358"/>
      <c r="B6591" s="361"/>
      <c r="C6591" s="365"/>
      <c r="D6591" s="284" t="s">
        <v>241</v>
      </c>
      <c r="E6591" s="156" t="s">
        <v>28</v>
      </c>
      <c r="F6591" s="156" t="s">
        <v>28</v>
      </c>
      <c r="G6591" s="238">
        <f>MROUND(H6591*L6591*I6591/K6591,0.000000001)</f>
        <v>4.7839664000000004E-2</v>
      </c>
      <c r="H6591" s="158">
        <f>H6397</f>
        <v>5</v>
      </c>
      <c r="I6591" s="159">
        <f>I6578</f>
        <v>9.4881999999999994E-2</v>
      </c>
      <c r="J6591" s="160"/>
      <c r="K6591" s="161">
        <f>K6578</f>
        <v>119</v>
      </c>
      <c r="L6591" s="250">
        <v>12</v>
      </c>
      <c r="M6591" s="163" t="str">
        <f>CONCATENATE(H6591," ",F6591,"*",L6591,"мес.","*",I6591,"/",K6591,"чел/час")</f>
        <v>5 шт*12мес.*0,094882/119чел/час</v>
      </c>
      <c r="N6591" s="278">
        <f>N6397</f>
        <v>291.41983333333332</v>
      </c>
      <c r="O6591" s="280">
        <f>MROUND(N6591*G6591,0.000001)</f>
        <v>13.941426999999999</v>
      </c>
      <c r="P6591" s="166"/>
      <c r="Q6591" s="166">
        <f t="shared" si="1764"/>
        <v>1659.0298129999999</v>
      </c>
      <c r="R6591" s="71"/>
    </row>
    <row r="6592" spans="1:18" s="61" customFormat="1" x14ac:dyDescent="0.25">
      <c r="A6592" s="358"/>
      <c r="B6592" s="361"/>
      <c r="C6592" s="366"/>
      <c r="D6592" s="284" t="s">
        <v>242</v>
      </c>
      <c r="E6592" s="156" t="s">
        <v>243</v>
      </c>
      <c r="F6592" s="156" t="s">
        <v>243</v>
      </c>
      <c r="G6592" s="238">
        <f>MROUND(H6592*L6592*I6592/K6592,0.00000001)</f>
        <v>67.28170326</v>
      </c>
      <c r="H6592" s="158">
        <v>7032</v>
      </c>
      <c r="I6592" s="159">
        <f>I6591</f>
        <v>9.4881999999999994E-2</v>
      </c>
      <c r="J6592" s="160"/>
      <c r="K6592" s="161">
        <f>K6591</f>
        <v>119</v>
      </c>
      <c r="L6592" s="250">
        <v>12</v>
      </c>
      <c r="M6592" s="163" t="str">
        <f>CONCATENATE(H6592," ",F6592,"*",L6592,"мес.","*",I6592,"/",K6592,"чел/час")</f>
        <v>7032 мин.*12мес.*0,094882/119чел/час</v>
      </c>
      <c r="N6592" s="278">
        <f>N6398</f>
        <v>0.82090076317785365</v>
      </c>
      <c r="O6592" s="280">
        <f>MROUND(N6592*G6592,0.000001)</f>
        <v>55.231601999999995</v>
      </c>
      <c r="P6592" s="166"/>
      <c r="Q6592" s="166">
        <f t="shared" si="1764"/>
        <v>6572.560637999999</v>
      </c>
      <c r="R6592" s="71"/>
    </row>
    <row r="6593" spans="1:41" s="61" customFormat="1" ht="31.5" x14ac:dyDescent="0.25">
      <c r="A6593" s="358"/>
      <c r="B6593" s="361"/>
      <c r="C6593" s="366"/>
      <c r="D6593" s="285" t="s">
        <v>244</v>
      </c>
      <c r="E6593" s="286" t="s">
        <v>245</v>
      </c>
      <c r="F6593" s="286" t="s">
        <v>247</v>
      </c>
      <c r="G6593" s="238">
        <f>MROUND(H6593*L6593*I6593/K6593,0.000001)</f>
        <v>9.5680000000000001E-3</v>
      </c>
      <c r="H6593" s="158">
        <v>1</v>
      </c>
      <c r="I6593" s="159">
        <f>I6592</f>
        <v>9.4881999999999994E-2</v>
      </c>
      <c r="J6593" s="160"/>
      <c r="K6593" s="161">
        <f>K6592</f>
        <v>119</v>
      </c>
      <c r="L6593" s="250">
        <v>12</v>
      </c>
      <c r="M6593" s="163" t="str">
        <f>CONCATENATE(H6593," ",F6593,"*",L6593,"мес.","*",I6593,"/",K6593,"чел/час")</f>
        <v>1 радиоточек*12мес.*0,094882/119чел/час</v>
      </c>
      <c r="N6593" s="278">
        <f>N6399</f>
        <v>173.30166666666665</v>
      </c>
      <c r="O6593" s="280">
        <f>MROUND(N6593*G6593,0.000001)</f>
        <v>1.65815</v>
      </c>
      <c r="P6593" s="166"/>
      <c r="Q6593" s="166">
        <f t="shared" si="1764"/>
        <v>197.31985</v>
      </c>
      <c r="R6593" s="71"/>
    </row>
    <row r="6594" spans="1:41" s="61" customFormat="1" ht="47.25" x14ac:dyDescent="0.25">
      <c r="A6594" s="358"/>
      <c r="B6594" s="361"/>
      <c r="C6594" s="366"/>
      <c r="D6594" s="285" t="s">
        <v>374</v>
      </c>
      <c r="E6594" s="156" t="s">
        <v>28</v>
      </c>
      <c r="F6594" s="156" t="s">
        <v>28</v>
      </c>
      <c r="G6594" s="238">
        <f>MROUND(H6594*L6594*I6594/K6594,0.000001)</f>
        <v>1.9136E-2</v>
      </c>
      <c r="H6594" s="158">
        <f>H6400</f>
        <v>6</v>
      </c>
      <c r="I6594" s="159">
        <f>I6592</f>
        <v>9.4881999999999994E-2</v>
      </c>
      <c r="J6594" s="160"/>
      <c r="K6594" s="161">
        <f>K6592</f>
        <v>119</v>
      </c>
      <c r="L6594" s="250">
        <f>L6400</f>
        <v>4</v>
      </c>
      <c r="M6594" s="163" t="str">
        <f>CONCATENATE(H6594," ",F6594,"*",L6594,"мес.","*",I6594,"/",K6594,"чел/час")</f>
        <v>6 шт*4мес.*0,094882/119чел/час</v>
      </c>
      <c r="N6594" s="278">
        <f>N6400</f>
        <v>1313.8174999999999</v>
      </c>
      <c r="O6594" s="280">
        <f>MROUND(N6594*G6594,0.000001)</f>
        <v>25.141211999999999</v>
      </c>
      <c r="P6594" s="166"/>
      <c r="Q6594" s="166">
        <f t="shared" si="1764"/>
        <v>2991.804228</v>
      </c>
      <c r="R6594" s="71"/>
    </row>
    <row r="6595" spans="1:41" s="61" customFormat="1" x14ac:dyDescent="0.25">
      <c r="A6595" s="358"/>
      <c r="B6595" s="361"/>
      <c r="C6595" s="367"/>
      <c r="D6595" s="284" t="s">
        <v>246</v>
      </c>
      <c r="E6595" s="156" t="s">
        <v>28</v>
      </c>
      <c r="F6595" s="156" t="s">
        <v>28</v>
      </c>
      <c r="G6595" s="238">
        <f>MROUND(H6595*L6595*I6595/K6595,0.000001)</f>
        <v>9.5680000000000001E-3</v>
      </c>
      <c r="H6595" s="158">
        <v>1</v>
      </c>
      <c r="I6595" s="159">
        <f>I6593</f>
        <v>9.4881999999999994E-2</v>
      </c>
      <c r="J6595" s="160"/>
      <c r="K6595" s="161">
        <f>K6593</f>
        <v>119</v>
      </c>
      <c r="L6595" s="250">
        <v>12</v>
      </c>
      <c r="M6595" s="163" t="str">
        <f>CONCATENATE(H6595," ",F6595,"*",L6595,"мес.","*",I6595,"/",K6595,"чел/час")</f>
        <v>1 шт*12мес.*0,094882/119чел/час</v>
      </c>
      <c r="N6595" s="278">
        <f>N6401</f>
        <v>4514.9541666666673</v>
      </c>
      <c r="O6595" s="280">
        <f>MROUND(N6595*G6595,0.000001)</f>
        <v>43.199081</v>
      </c>
      <c r="P6595" s="166"/>
      <c r="Q6595" s="166">
        <f t="shared" si="1764"/>
        <v>5140.6906390000004</v>
      </c>
      <c r="R6595" s="71"/>
    </row>
    <row r="6596" spans="1:41" s="62" customFormat="1" x14ac:dyDescent="0.25">
      <c r="A6596" s="358"/>
      <c r="B6596" s="361"/>
      <c r="C6596" s="218" t="s">
        <v>358</v>
      </c>
      <c r="D6596" s="287"/>
      <c r="E6596" s="287"/>
      <c r="F6596" s="287"/>
      <c r="G6596" s="288"/>
      <c r="H6596" s="214"/>
      <c r="I6596" s="206"/>
      <c r="J6596" s="214"/>
      <c r="K6596" s="207"/>
      <c r="L6596" s="215"/>
      <c r="M6596" s="289"/>
      <c r="N6596" s="281"/>
      <c r="O6596" s="279">
        <f>O6590</f>
        <v>139.17147199999999</v>
      </c>
      <c r="P6596" s="267"/>
      <c r="Q6596" s="166"/>
      <c r="R6596" s="71"/>
    </row>
    <row r="6597" spans="1:41" s="61" customFormat="1" x14ac:dyDescent="0.25">
      <c r="A6597" s="358"/>
      <c r="B6597" s="361"/>
      <c r="C6597" s="221"/>
      <c r="D6597" s="368" t="s">
        <v>67</v>
      </c>
      <c r="E6597" s="368"/>
      <c r="F6597" s="368"/>
      <c r="G6597" s="368"/>
      <c r="H6597" s="195"/>
      <c r="I6597" s="159">
        <f>I6595</f>
        <v>9.4881999999999994E-2</v>
      </c>
      <c r="J6597" s="195"/>
      <c r="K6597" s="161">
        <f>K6595</f>
        <v>119</v>
      </c>
      <c r="L6597" s="196"/>
      <c r="M6597" s="230"/>
      <c r="N6597" s="278"/>
      <c r="O6597" s="280"/>
      <c r="P6597" s="166"/>
      <c r="Q6597" s="166">
        <f t="shared" ref="Q6597:Q6607" si="1765">O6597*K6597</f>
        <v>0</v>
      </c>
      <c r="R6597" s="71"/>
    </row>
    <row r="6598" spans="1:41" s="61" customFormat="1" x14ac:dyDescent="0.25">
      <c r="A6598" s="358"/>
      <c r="B6598" s="361"/>
      <c r="C6598" s="221"/>
      <c r="D6598" s="194"/>
      <c r="E6598" s="194"/>
      <c r="F6598" s="194"/>
      <c r="G6598" s="217"/>
      <c r="H6598" s="195"/>
      <c r="I6598" s="159"/>
      <c r="J6598" s="195"/>
      <c r="K6598" s="161"/>
      <c r="L6598" s="196"/>
      <c r="M6598" s="230"/>
      <c r="N6598" s="278"/>
      <c r="O6598" s="280"/>
      <c r="P6598" s="166"/>
      <c r="Q6598" s="166">
        <f t="shared" si="1765"/>
        <v>0</v>
      </c>
      <c r="R6598" s="71"/>
    </row>
    <row r="6599" spans="1:41" s="61" customFormat="1" x14ac:dyDescent="0.25">
      <c r="A6599" s="358"/>
      <c r="B6599" s="361"/>
      <c r="C6599" s="221"/>
      <c r="D6599" s="350" t="s">
        <v>68</v>
      </c>
      <c r="E6599" s="350"/>
      <c r="F6599" s="350"/>
      <c r="G6599" s="350"/>
      <c r="H6599" s="195"/>
      <c r="I6599" s="159"/>
      <c r="J6599" s="195"/>
      <c r="K6599" s="161"/>
      <c r="L6599" s="196"/>
      <c r="M6599" s="230"/>
      <c r="N6599" s="278"/>
      <c r="O6599" s="280"/>
      <c r="P6599" s="166"/>
      <c r="Q6599" s="166">
        <f t="shared" si="1765"/>
        <v>0</v>
      </c>
      <c r="R6599" s="71"/>
    </row>
    <row r="6600" spans="1:41" s="61" customFormat="1" x14ac:dyDescent="0.25">
      <c r="A6600" s="358"/>
      <c r="B6600" s="361"/>
      <c r="C6600" s="221"/>
      <c r="D6600" s="156"/>
      <c r="E6600" s="156"/>
      <c r="F6600" s="156"/>
      <c r="G6600" s="236"/>
      <c r="H6600" s="195"/>
      <c r="I6600" s="159"/>
      <c r="J6600" s="195"/>
      <c r="K6600" s="161"/>
      <c r="L6600" s="196"/>
      <c r="M6600" s="230"/>
      <c r="N6600" s="278"/>
      <c r="O6600" s="280"/>
      <c r="P6600" s="166"/>
      <c r="Q6600" s="166">
        <f t="shared" si="1765"/>
        <v>0</v>
      </c>
      <c r="R6600" s="71"/>
    </row>
    <row r="6601" spans="1:41" s="61" customFormat="1" x14ac:dyDescent="0.25">
      <c r="A6601" s="358"/>
      <c r="B6601" s="361"/>
      <c r="C6601" s="221"/>
      <c r="D6601" s="368" t="s">
        <v>69</v>
      </c>
      <c r="E6601" s="368"/>
      <c r="F6601" s="368"/>
      <c r="G6601" s="368"/>
      <c r="H6601" s="187"/>
      <c r="I6601" s="159"/>
      <c r="J6601" s="187"/>
      <c r="K6601" s="161"/>
      <c r="L6601" s="276"/>
      <c r="M6601" s="230"/>
      <c r="N6601" s="278"/>
      <c r="O6601" s="279">
        <f>O6608+O6615+O6619+O6637+O6639+O6641+O6647+O6649+O6652</f>
        <v>894.23329600000011</v>
      </c>
      <c r="P6601" s="166"/>
      <c r="Q6601" s="166">
        <f t="shared" si="1765"/>
        <v>0</v>
      </c>
      <c r="R6601" s="71"/>
    </row>
    <row r="6602" spans="1:41" s="61" customFormat="1" ht="31.5" x14ac:dyDescent="0.25">
      <c r="A6602" s="358"/>
      <c r="B6602" s="361"/>
      <c r="C6602" s="365" t="s">
        <v>78</v>
      </c>
      <c r="D6602" s="156" t="s">
        <v>26</v>
      </c>
      <c r="E6602" s="156" t="s">
        <v>22</v>
      </c>
      <c r="F6602" s="156" t="s">
        <v>22</v>
      </c>
      <c r="G6602" s="238">
        <f>MROUND(H6602*L6602*I6602/K6602,0.000000001)</f>
        <v>6.6975529410000005</v>
      </c>
      <c r="H6602" s="158">
        <f>H6408</f>
        <v>700</v>
      </c>
      <c r="I6602" s="159">
        <f>I6591</f>
        <v>9.4881999999999994E-2</v>
      </c>
      <c r="J6602" s="160"/>
      <c r="K6602" s="161">
        <f>K6591</f>
        <v>119</v>
      </c>
      <c r="L6602" s="250">
        <v>12</v>
      </c>
      <c r="M6602" s="163" t="str">
        <f>CONCATENATE(H6602," ",F6602,"(обрабатываемая площадь в мес.)","*",L6602,"мес.","*",I6602,"/",K6602,"чел/час")</f>
        <v>700 м2(обрабатываемая площадь в мес.)*12мес.*0,094882/119чел/час</v>
      </c>
      <c r="N6602" s="278">
        <f>N6408</f>
        <v>1.2085488095238095</v>
      </c>
      <c r="O6602" s="280">
        <f>MROUND(N6602*G6602,0.000001)</f>
        <v>8.0943199999999997</v>
      </c>
      <c r="P6602" s="166"/>
      <c r="Q6602" s="166">
        <f t="shared" si="1765"/>
        <v>963.22407999999996</v>
      </c>
      <c r="R6602" s="71"/>
    </row>
    <row r="6603" spans="1:41" s="61" customFormat="1" ht="31.5" x14ac:dyDescent="0.25">
      <c r="A6603" s="358"/>
      <c r="B6603" s="361"/>
      <c r="C6603" s="366"/>
      <c r="D6603" s="156" t="s">
        <v>96</v>
      </c>
      <c r="E6603" s="156" t="s">
        <v>22</v>
      </c>
      <c r="F6603" s="156" t="s">
        <v>22</v>
      </c>
      <c r="G6603" s="238">
        <f>MROUND(H6603*L6603*I6603/K6603,0.0000001)</f>
        <v>4.3055696999999995</v>
      </c>
      <c r="H6603" s="158">
        <f>H6409</f>
        <v>450</v>
      </c>
      <c r="I6603" s="159">
        <f t="shared" ref="I6603" si="1766">I6602</f>
        <v>9.4881999999999994E-2</v>
      </c>
      <c r="J6603" s="160"/>
      <c r="K6603" s="161">
        <f>K6602</f>
        <v>119</v>
      </c>
      <c r="L6603" s="250">
        <v>12</v>
      </c>
      <c r="M6603" s="163" t="str">
        <f>CONCATENATE(H6603," ",F6603,"(обрабатываемая площадь в мес.)","*",L6603,"мес.","*",I6603,"/",K6603,"чел/час")</f>
        <v>450 м2(обрабатываемая площадь в мес.)*12мес.*0,094882/119чел/час</v>
      </c>
      <c r="N6603" s="278">
        <f>N6409</f>
        <v>1.9382388888888888</v>
      </c>
      <c r="O6603" s="280">
        <f>MROUND(N6603*G6603,0.000001)</f>
        <v>8.3452229999999989</v>
      </c>
      <c r="P6603" s="166"/>
      <c r="Q6603" s="166">
        <f t="shared" si="1765"/>
        <v>993.08153699999991</v>
      </c>
      <c r="R6603" s="71"/>
    </row>
    <row r="6604" spans="1:41" s="135" customFormat="1" ht="31.5" x14ac:dyDescent="0.25">
      <c r="A6604" s="358"/>
      <c r="B6604" s="361"/>
      <c r="C6604" s="366"/>
      <c r="D6604" s="156" t="s">
        <v>385</v>
      </c>
      <c r="E6604" s="156" t="s">
        <v>22</v>
      </c>
      <c r="F6604" s="156" t="s">
        <v>22</v>
      </c>
      <c r="G6604" s="238">
        <f>MROUND(H6604*L6604*I6604/K6604,0.000001)</f>
        <v>13.395106</v>
      </c>
      <c r="H6604" s="242">
        <f>$H$3022</f>
        <v>700</v>
      </c>
      <c r="I6604" s="244">
        <f>I6602</f>
        <v>9.4881999999999994E-2</v>
      </c>
      <c r="J6604" s="160"/>
      <c r="K6604" s="161">
        <f>K6591</f>
        <v>119</v>
      </c>
      <c r="L6604" s="162">
        <v>24</v>
      </c>
      <c r="M6604" s="163" t="str">
        <f>CONCATENATE(H6604," ",F6604,"(обрабатываемая площадь в год)","*",L6604," раза в год.","*",I6604,"/",K6604,"чел.")</f>
        <v>700 м2(обрабатываемая площадь в год)*24 раза в год.*0,094882/119чел.</v>
      </c>
      <c r="N6604" s="164">
        <f>$N$6410</f>
        <v>1.5391892857142857</v>
      </c>
      <c r="O6604" s="165">
        <f>MROUND(G6604*N6604,0.000001)</f>
        <v>20.617604</v>
      </c>
      <c r="P6604" s="166"/>
      <c r="Q6604" s="166">
        <f t="shared" si="1765"/>
        <v>2453.4948760000002</v>
      </c>
      <c r="R6604" s="71"/>
      <c r="S6604" s="61"/>
      <c r="T6604" s="61"/>
      <c r="U6604" s="61"/>
      <c r="V6604" s="61"/>
      <c r="W6604" s="61"/>
      <c r="X6604" s="61"/>
      <c r="Y6604" s="61"/>
      <c r="Z6604" s="61"/>
      <c r="AA6604" s="61"/>
      <c r="AB6604" s="61"/>
      <c r="AC6604" s="61"/>
      <c r="AD6604" s="61"/>
      <c r="AE6604" s="61"/>
      <c r="AF6604" s="61"/>
      <c r="AG6604" s="61"/>
      <c r="AH6604" s="61"/>
      <c r="AI6604" s="61"/>
      <c r="AJ6604" s="61"/>
      <c r="AK6604" s="61"/>
      <c r="AL6604" s="61"/>
      <c r="AM6604" s="61"/>
      <c r="AN6604" s="61"/>
      <c r="AO6604" s="61"/>
    </row>
    <row r="6605" spans="1:41" s="135" customFormat="1" ht="31.5" x14ac:dyDescent="0.25">
      <c r="A6605" s="358"/>
      <c r="B6605" s="361"/>
      <c r="C6605" s="366"/>
      <c r="D6605" s="156" t="s">
        <v>394</v>
      </c>
      <c r="E6605" s="156" t="s">
        <v>22</v>
      </c>
      <c r="F6605" s="156" t="s">
        <v>22</v>
      </c>
      <c r="G6605" s="238">
        <f>MROUND(H6605*L6605*I6605/K6605,0.000001)</f>
        <v>4.3055699999999995</v>
      </c>
      <c r="H6605" s="243">
        <f>$H$3023</f>
        <v>450</v>
      </c>
      <c r="I6605" s="244">
        <f>I6604</f>
        <v>9.4881999999999994E-2</v>
      </c>
      <c r="J6605" s="160"/>
      <c r="K6605" s="161">
        <f>K6591</f>
        <v>119</v>
      </c>
      <c r="L6605" s="162">
        <v>12</v>
      </c>
      <c r="M6605" s="163" t="str">
        <f>CONCATENATE(H6605," ",F6605,"(обрабатываемая площадь в мес.)","*",L6605,"мес.","*",I6605,"/",K6605,"чел.")</f>
        <v>450 м2(обрабатываемая площадь в мес.)*12мес.*0,094882/119чел.</v>
      </c>
      <c r="N6605" s="164">
        <f>$N$6411</f>
        <v>0.88677592592592591</v>
      </c>
      <c r="O6605" s="165">
        <f>MROUND(G6605*N6605,0.000001)</f>
        <v>3.818076</v>
      </c>
      <c r="P6605" s="166"/>
      <c r="Q6605" s="166">
        <f t="shared" si="1765"/>
        <v>454.351044</v>
      </c>
      <c r="R6605" s="71"/>
      <c r="S6605" s="61"/>
      <c r="T6605" s="61"/>
      <c r="U6605" s="61"/>
      <c r="V6605" s="61"/>
      <c r="W6605" s="61"/>
      <c r="X6605" s="61"/>
      <c r="Y6605" s="61"/>
      <c r="Z6605" s="61"/>
      <c r="AA6605" s="61"/>
      <c r="AB6605" s="61"/>
      <c r="AC6605" s="61"/>
      <c r="AD6605" s="61"/>
      <c r="AE6605" s="61"/>
      <c r="AF6605" s="61"/>
      <c r="AG6605" s="61"/>
      <c r="AH6605" s="61"/>
      <c r="AI6605" s="61"/>
      <c r="AJ6605" s="61"/>
      <c r="AK6605" s="61"/>
      <c r="AL6605" s="61"/>
      <c r="AM6605" s="61"/>
      <c r="AN6605" s="61"/>
      <c r="AO6605" s="61"/>
    </row>
    <row r="6606" spans="1:41" s="135" customFormat="1" ht="31.5" x14ac:dyDescent="0.25">
      <c r="A6606" s="358"/>
      <c r="B6606" s="361"/>
      <c r="C6606" s="366"/>
      <c r="D6606" s="156" t="s">
        <v>395</v>
      </c>
      <c r="E6606" s="156" t="s">
        <v>98</v>
      </c>
      <c r="F6606" s="156" t="s">
        <v>98</v>
      </c>
      <c r="G6606" s="238">
        <f>MROUND(H6606*L6606*I6606/K6606,0.000001)</f>
        <v>3.9899999999999999E-4</v>
      </c>
      <c r="H6606" s="242">
        <f>$H$3024</f>
        <v>0.5</v>
      </c>
      <c r="I6606" s="244">
        <f>I6602</f>
        <v>9.4881999999999994E-2</v>
      </c>
      <c r="J6606" s="160"/>
      <c r="K6606" s="161">
        <f>K6602</f>
        <v>119</v>
      </c>
      <c r="L6606" s="162">
        <v>1</v>
      </c>
      <c r="M6606" s="163" t="str">
        <f>CONCATENATE(H6606," ",F6606,"(обрабатываемая площадь в год)","*",L6606," раз в год","*",I6606,"/",K6606,"чел.")</f>
        <v>0,5 Га(обрабатываемая площадь в год)*1 раз в год*0,094882/119чел.</v>
      </c>
      <c r="N6606" s="164">
        <f>$N$6412</f>
        <v>570.08000000000004</v>
      </c>
      <c r="O6606" s="165">
        <f>MROUND(G6606*N6606,0.000001)</f>
        <v>0.227462</v>
      </c>
      <c r="P6606" s="166"/>
      <c r="Q6606" s="166">
        <f t="shared" si="1765"/>
        <v>27.067978</v>
      </c>
      <c r="R6606" s="71"/>
      <c r="S6606" s="61"/>
      <c r="T6606" s="61"/>
      <c r="U6606" s="61"/>
      <c r="V6606" s="61"/>
      <c r="W6606" s="61"/>
      <c r="X6606" s="61"/>
      <c r="Y6606" s="61"/>
      <c r="Z6606" s="61"/>
      <c r="AA6606" s="61"/>
      <c r="AB6606" s="61"/>
      <c r="AC6606" s="61"/>
      <c r="AD6606" s="61"/>
      <c r="AE6606" s="61"/>
      <c r="AF6606" s="61"/>
      <c r="AG6606" s="61"/>
      <c r="AH6606" s="61"/>
      <c r="AI6606" s="61"/>
      <c r="AJ6606" s="61"/>
      <c r="AK6606" s="61"/>
      <c r="AL6606" s="61"/>
      <c r="AM6606" s="61"/>
      <c r="AN6606" s="61"/>
      <c r="AO6606" s="61"/>
    </row>
    <row r="6607" spans="1:41" s="61" customFormat="1" ht="31.5" x14ac:dyDescent="0.25">
      <c r="A6607" s="358"/>
      <c r="B6607" s="361"/>
      <c r="C6607" s="367"/>
      <c r="D6607" s="156" t="s">
        <v>97</v>
      </c>
      <c r="E6607" s="156" t="s">
        <v>363</v>
      </c>
      <c r="F6607" s="156" t="s">
        <v>363</v>
      </c>
      <c r="G6607" s="238">
        <f>MROUND(H6607*L6607*I6607/K6607,0.0000001)</f>
        <v>3.9869999999999999E-4</v>
      </c>
      <c r="H6607" s="158">
        <f>H6413</f>
        <v>0.5</v>
      </c>
      <c r="I6607" s="159">
        <f>I6603</f>
        <v>9.4881999999999994E-2</v>
      </c>
      <c r="J6607" s="160"/>
      <c r="K6607" s="161">
        <f>K6603</f>
        <v>119</v>
      </c>
      <c r="L6607" s="250">
        <v>1</v>
      </c>
      <c r="M6607" s="163" t="str">
        <f>CONCATENATE(H6607," ",F6607,"(обрабатываемая площадь в мес.)","*",L6607,"мес.","*",I6607,"/",K6607,"чел")</f>
        <v>0,5 га(обрабатываемая площадь в мес.)*1мес.*0,094882/119чел</v>
      </c>
      <c r="N6607" s="278">
        <f>N6413</f>
        <v>3102.42</v>
      </c>
      <c r="O6607" s="280">
        <f>MROUND(N6607*G6607,0.000001)</f>
        <v>1.2369349999999999</v>
      </c>
      <c r="P6607" s="166"/>
      <c r="Q6607" s="166">
        <f t="shared" si="1765"/>
        <v>147.19526499999998</v>
      </c>
      <c r="R6607" s="71"/>
    </row>
    <row r="6608" spans="1:41" s="62" customFormat="1" x14ac:dyDescent="0.25">
      <c r="A6608" s="358"/>
      <c r="B6608" s="361"/>
      <c r="C6608" s="218" t="s">
        <v>294</v>
      </c>
      <c r="D6608" s="240"/>
      <c r="E6608" s="240"/>
      <c r="F6608" s="240"/>
      <c r="G6608" s="227"/>
      <c r="H6608" s="241"/>
      <c r="I6608" s="206"/>
      <c r="J6608" s="228"/>
      <c r="K6608" s="207"/>
      <c r="L6608" s="257"/>
      <c r="M6608" s="209"/>
      <c r="N6608" s="281"/>
      <c r="O6608" s="279">
        <f>SUM(O6602:O6607)</f>
        <v>42.339620000000004</v>
      </c>
      <c r="P6608" s="267"/>
      <c r="Q6608" s="166"/>
      <c r="R6608" s="71"/>
    </row>
    <row r="6609" spans="1:18" s="61" customFormat="1" ht="78.75" x14ac:dyDescent="0.25">
      <c r="A6609" s="358"/>
      <c r="B6609" s="361"/>
      <c r="C6609" s="366"/>
      <c r="D6609" s="156" t="s">
        <v>250</v>
      </c>
      <c r="E6609" s="156" t="s">
        <v>251</v>
      </c>
      <c r="F6609" s="156" t="s">
        <v>60</v>
      </c>
      <c r="G6609" s="238">
        <f>MROUND(H6609*L6609*I6609/K6609,0.00000001)</f>
        <v>9.5679300000000005E-3</v>
      </c>
      <c r="H6609" s="158">
        <v>1</v>
      </c>
      <c r="I6609" s="159">
        <f>I6607</f>
        <v>9.4881999999999994E-2</v>
      </c>
      <c r="J6609" s="160"/>
      <c r="K6609" s="161">
        <f>K6607</f>
        <v>119</v>
      </c>
      <c r="L6609" s="250">
        <v>12</v>
      </c>
      <c r="M6609" s="163" t="str">
        <f>CONCATENATE(H6609," ",F6609,"*",I6609,"/",K6609,"чел/час")</f>
        <v>1 шт.*0,094882/119чел/час</v>
      </c>
      <c r="N6609" s="278">
        <f t="shared" ref="N6609:N6614" si="1767">N6415</f>
        <v>380.04666666666668</v>
      </c>
      <c r="O6609" s="280">
        <f t="shared" ref="O6609:O6611" si="1768">MROUND(N6609*G6609,0.000001)</f>
        <v>3.63626</v>
      </c>
      <c r="P6609" s="166"/>
      <c r="Q6609" s="166">
        <f t="shared" ref="Q6609:Q6614" si="1769">O6609*K6609</f>
        <v>432.71494000000001</v>
      </c>
      <c r="R6609" s="71"/>
    </row>
    <row r="6610" spans="1:18" s="61" customFormat="1" ht="47.25" x14ac:dyDescent="0.25">
      <c r="A6610" s="358"/>
      <c r="B6610" s="361"/>
      <c r="C6610" s="366"/>
      <c r="D6610" s="156" t="s">
        <v>401</v>
      </c>
      <c r="E6610" s="156" t="s">
        <v>60</v>
      </c>
      <c r="F6610" s="156" t="s">
        <v>402</v>
      </c>
      <c r="G6610" s="238">
        <f t="shared" ref="G6610" si="1770">MROUND(H6610*L6610*I6610/K6610,0.000001)</f>
        <v>0</v>
      </c>
      <c r="H6610" s="158"/>
      <c r="I6610" s="159">
        <f>I6609</f>
        <v>9.4881999999999994E-2</v>
      </c>
      <c r="J6610" s="160"/>
      <c r="K6610" s="161">
        <f>K6609</f>
        <v>119</v>
      </c>
      <c r="L6610" s="250">
        <v>1</v>
      </c>
      <c r="M6610" s="163"/>
      <c r="N6610" s="278"/>
      <c r="O6610" s="280">
        <f t="shared" si="1768"/>
        <v>0</v>
      </c>
      <c r="P6610" s="166"/>
      <c r="Q6610" s="166">
        <f t="shared" si="1769"/>
        <v>0</v>
      </c>
      <c r="R6610" s="71"/>
    </row>
    <row r="6611" spans="1:18" s="61" customFormat="1" ht="31.5" x14ac:dyDescent="0.25">
      <c r="A6611" s="358"/>
      <c r="B6611" s="361"/>
      <c r="C6611" s="366"/>
      <c r="D6611" s="156" t="s">
        <v>35</v>
      </c>
      <c r="E6611" s="156" t="s">
        <v>102</v>
      </c>
      <c r="F6611" s="156" t="s">
        <v>252</v>
      </c>
      <c r="G6611" s="238">
        <f>MROUND(H6611*L6611*I6611/K6611,0.00000001)</f>
        <v>0</v>
      </c>
      <c r="H6611" s="158"/>
      <c r="I6611" s="159">
        <f>I6610</f>
        <v>9.4881999999999994E-2</v>
      </c>
      <c r="J6611" s="160"/>
      <c r="K6611" s="161">
        <f>K6610</f>
        <v>119</v>
      </c>
      <c r="L6611" s="250">
        <v>1</v>
      </c>
      <c r="M6611" s="163"/>
      <c r="N6611" s="278"/>
      <c r="O6611" s="280">
        <f t="shared" si="1768"/>
        <v>0</v>
      </c>
      <c r="P6611" s="166"/>
      <c r="Q6611" s="166">
        <f t="shared" si="1769"/>
        <v>0</v>
      </c>
      <c r="R6611" s="71"/>
    </row>
    <row r="6612" spans="1:18" s="61" customFormat="1" ht="31.5" x14ac:dyDescent="0.25">
      <c r="A6612" s="358"/>
      <c r="B6612" s="361"/>
      <c r="C6612" s="366"/>
      <c r="D6612" s="156" t="s">
        <v>99</v>
      </c>
      <c r="E6612" s="156" t="s">
        <v>103</v>
      </c>
      <c r="F6612" s="156" t="s">
        <v>225</v>
      </c>
      <c r="G6612" s="238">
        <f>MROUND(H6612*L6612*I6612/K6612,0.00000001)</f>
        <v>0</v>
      </c>
      <c r="H6612" s="158">
        <f>H6418</f>
        <v>0</v>
      </c>
      <c r="I6612" s="159">
        <f>I6611</f>
        <v>9.4881999999999994E-2</v>
      </c>
      <c r="J6612" s="160"/>
      <c r="K6612" s="161">
        <f>K6611</f>
        <v>119</v>
      </c>
      <c r="L6612" s="250">
        <v>1</v>
      </c>
      <c r="M6612" s="163"/>
      <c r="N6612" s="164">
        <f t="shared" si="1767"/>
        <v>0</v>
      </c>
      <c r="O6612" s="165">
        <f>MROUND(G6612*N6612,0.000001)</f>
        <v>0</v>
      </c>
      <c r="P6612" s="166"/>
      <c r="Q6612" s="166">
        <f t="shared" si="1769"/>
        <v>0</v>
      </c>
      <c r="R6612" s="71"/>
    </row>
    <row r="6613" spans="1:18" s="61" customFormat="1" x14ac:dyDescent="0.25">
      <c r="A6613" s="358"/>
      <c r="B6613" s="361"/>
      <c r="C6613" s="366"/>
      <c r="D6613" s="156" t="s">
        <v>27</v>
      </c>
      <c r="E6613" s="156" t="s">
        <v>28</v>
      </c>
      <c r="F6613" s="156" t="s">
        <v>28</v>
      </c>
      <c r="G6613" s="238">
        <f t="shared" ref="G6613" si="1771">MROUND(H6613*L6613*I6613/K6613,0.000001)</f>
        <v>0</v>
      </c>
      <c r="H6613" s="160">
        <f>H6419</f>
        <v>0</v>
      </c>
      <c r="I6613" s="159">
        <f>I6611</f>
        <v>9.4881999999999994E-2</v>
      </c>
      <c r="J6613" s="160"/>
      <c r="K6613" s="161">
        <f>K6611</f>
        <v>119</v>
      </c>
      <c r="L6613" s="250">
        <v>1</v>
      </c>
      <c r="M6613" s="163"/>
      <c r="N6613" s="278">
        <f t="shared" si="1767"/>
        <v>0</v>
      </c>
      <c r="O6613" s="280">
        <f t="shared" ref="O6613:O6614" si="1772">MROUND(N6613*G6613,0.000001)</f>
        <v>0</v>
      </c>
      <c r="P6613" s="166"/>
      <c r="Q6613" s="166">
        <f t="shared" si="1769"/>
        <v>0</v>
      </c>
      <c r="R6613" s="71"/>
    </row>
    <row r="6614" spans="1:18" s="61" customFormat="1" ht="31.5" x14ac:dyDescent="0.25">
      <c r="A6614" s="358"/>
      <c r="B6614" s="361"/>
      <c r="C6614" s="367"/>
      <c r="D6614" s="156" t="s">
        <v>104</v>
      </c>
      <c r="E6614" s="156" t="s">
        <v>105</v>
      </c>
      <c r="F6614" s="156" t="s">
        <v>226</v>
      </c>
      <c r="G6614" s="238">
        <f>MROUND(H6614*L6614*I6614/K6614,0.00000001)</f>
        <v>7.9733000000000007E-4</v>
      </c>
      <c r="H6614" s="160">
        <v>1</v>
      </c>
      <c r="I6614" s="159">
        <f>I6613</f>
        <v>9.4881999999999994E-2</v>
      </c>
      <c r="J6614" s="160"/>
      <c r="K6614" s="161">
        <f>K6613</f>
        <v>119</v>
      </c>
      <c r="L6614" s="250">
        <v>1</v>
      </c>
      <c r="M6614" s="163"/>
      <c r="N6614" s="278">
        <f t="shared" si="1767"/>
        <v>0</v>
      </c>
      <c r="O6614" s="280">
        <f t="shared" si="1772"/>
        <v>0</v>
      </c>
      <c r="P6614" s="166"/>
      <c r="Q6614" s="166">
        <f t="shared" si="1769"/>
        <v>0</v>
      </c>
      <c r="R6614" s="71"/>
    </row>
    <row r="6615" spans="1:18" s="62" customFormat="1" x14ac:dyDescent="0.25">
      <c r="A6615" s="358"/>
      <c r="B6615" s="361"/>
      <c r="C6615" s="249" t="s">
        <v>292</v>
      </c>
      <c r="D6615" s="240"/>
      <c r="E6615" s="240"/>
      <c r="F6615" s="240"/>
      <c r="G6615" s="227"/>
      <c r="H6615" s="228"/>
      <c r="I6615" s="206"/>
      <c r="J6615" s="228"/>
      <c r="K6615" s="207"/>
      <c r="L6615" s="257"/>
      <c r="M6615" s="209"/>
      <c r="N6615" s="281"/>
      <c r="O6615" s="279">
        <f>SUM(O6609:O6614)</f>
        <v>3.63626</v>
      </c>
      <c r="P6615" s="267"/>
      <c r="Q6615" s="166"/>
      <c r="R6615" s="71"/>
    </row>
    <row r="6616" spans="1:18" s="61" customFormat="1" ht="31.5" x14ac:dyDescent="0.25">
      <c r="A6616" s="358"/>
      <c r="B6616" s="361"/>
      <c r="C6616" s="221" t="s">
        <v>79</v>
      </c>
      <c r="D6616" s="156" t="s">
        <v>37</v>
      </c>
      <c r="E6616" s="156" t="s">
        <v>61</v>
      </c>
      <c r="F6616" s="156" t="s">
        <v>254</v>
      </c>
      <c r="G6616" s="238">
        <f>MROUND(H6616*L6616*I6616/K6616,0.00000001)</f>
        <v>7.9733000000000007E-4</v>
      </c>
      <c r="H6616" s="158">
        <v>1</v>
      </c>
      <c r="I6616" s="159">
        <f>I6614</f>
        <v>9.4881999999999994E-2</v>
      </c>
      <c r="J6616" s="160"/>
      <c r="K6616" s="161">
        <f>K6614</f>
        <v>119</v>
      </c>
      <c r="L6616" s="250">
        <v>1</v>
      </c>
      <c r="M6616" s="163" t="str">
        <f>CONCATENATE(H6616," ",F6616,"*",I6616,"/",K6616,"чел/час")</f>
        <v>1 автобус*0,094882/119чел/час</v>
      </c>
      <c r="N6616" s="278">
        <f>N6422</f>
        <v>24426.36</v>
      </c>
      <c r="O6616" s="280">
        <f>MROUND(N6616*G6616,0.000001)</f>
        <v>19.47587</v>
      </c>
      <c r="P6616" s="166"/>
      <c r="Q6616" s="166">
        <f t="shared" ref="Q6616:Q6618" si="1773">O6616*K6616</f>
        <v>2317.62853</v>
      </c>
      <c r="R6616" s="71"/>
    </row>
    <row r="6617" spans="1:18" s="61" customFormat="1" ht="31.5" x14ac:dyDescent="0.25">
      <c r="A6617" s="358"/>
      <c r="B6617" s="361"/>
      <c r="C6617" s="221"/>
      <c r="D6617" s="156" t="s">
        <v>262</v>
      </c>
      <c r="E6617" s="156" t="s">
        <v>440</v>
      </c>
      <c r="F6617" s="156" t="s">
        <v>441</v>
      </c>
      <c r="G6617" s="238">
        <f t="shared" ref="G6617:G6618" si="1774">MROUND(H6617*L6617*I6617/K6617,0.000001)</f>
        <v>3.189E-3</v>
      </c>
      <c r="H6617" s="158">
        <f>$H$3035</f>
        <v>1</v>
      </c>
      <c r="I6617" s="159">
        <f>I6616</f>
        <v>9.4881999999999994E-2</v>
      </c>
      <c r="J6617" s="160"/>
      <c r="K6617" s="161">
        <f>K6616</f>
        <v>119</v>
      </c>
      <c r="L6617" s="250">
        <v>4</v>
      </c>
      <c r="M6617" s="163" t="str">
        <f>CONCATENATE(H6617," ",F6617,"*",L6617,"раза в год","*",I6617,"/",K6617,"чел/час")</f>
        <v>1 услуга*4раза в год*0,094882/119чел/час</v>
      </c>
      <c r="N6617" s="278">
        <f>N6423</f>
        <v>25795.6675</v>
      </c>
      <c r="O6617" s="280">
        <f>MROUND(N6617*G6617,0.000001)</f>
        <v>82.262383999999997</v>
      </c>
      <c r="P6617" s="166"/>
      <c r="Q6617" s="166">
        <f t="shared" si="1773"/>
        <v>9789.2236959999991</v>
      </c>
      <c r="R6617" s="71"/>
    </row>
    <row r="6618" spans="1:18" s="61" customFormat="1" x14ac:dyDescent="0.25">
      <c r="A6618" s="358"/>
      <c r="B6618" s="361"/>
      <c r="C6618" s="221"/>
      <c r="D6618" s="156" t="s">
        <v>255</v>
      </c>
      <c r="E6618" s="156" t="s">
        <v>28</v>
      </c>
      <c r="F6618" s="156" t="s">
        <v>28</v>
      </c>
      <c r="G6618" s="238">
        <f t="shared" si="1774"/>
        <v>4.4649999999999995E-2</v>
      </c>
      <c r="H6618" s="158">
        <v>56</v>
      </c>
      <c r="I6618" s="159">
        <f>I6616</f>
        <v>9.4881999999999994E-2</v>
      </c>
      <c r="J6618" s="160"/>
      <c r="K6618" s="161">
        <f>K6616</f>
        <v>119</v>
      </c>
      <c r="L6618" s="250">
        <v>1</v>
      </c>
      <c r="M6618" s="163" t="str">
        <f>CONCATENATE(H6618," ",F6618,"*",L6618,"раза в год","*",I6618,"/",K6618,"чел/час")</f>
        <v>56 шт*1раза в год*0,094882/119чел/час</v>
      </c>
      <c r="N6618" s="278">
        <f>N6424</f>
        <v>777.7383928571428</v>
      </c>
      <c r="O6618" s="280">
        <f>MROUND(N6618*G6618,0.000001)</f>
        <v>34.726019000000001</v>
      </c>
      <c r="P6618" s="166"/>
      <c r="Q6618" s="166">
        <f t="shared" si="1773"/>
        <v>4132.3962609999999</v>
      </c>
      <c r="R6618" s="71"/>
    </row>
    <row r="6619" spans="1:18" s="62" customFormat="1" x14ac:dyDescent="0.25">
      <c r="A6619" s="358"/>
      <c r="B6619" s="361"/>
      <c r="C6619" s="218" t="s">
        <v>295</v>
      </c>
      <c r="D6619" s="240"/>
      <c r="E6619" s="240"/>
      <c r="F6619" s="240"/>
      <c r="G6619" s="227"/>
      <c r="H6619" s="241"/>
      <c r="I6619" s="206"/>
      <c r="J6619" s="228"/>
      <c r="K6619" s="207"/>
      <c r="L6619" s="257"/>
      <c r="M6619" s="209"/>
      <c r="N6619" s="281"/>
      <c r="O6619" s="279">
        <f>O6616+O6617+O6618</f>
        <v>136.46427299999999</v>
      </c>
      <c r="P6619" s="267"/>
      <c r="Q6619" s="166"/>
      <c r="R6619" s="71"/>
    </row>
    <row r="6620" spans="1:18" s="61" customFormat="1" x14ac:dyDescent="0.25">
      <c r="A6620" s="358"/>
      <c r="B6620" s="361"/>
      <c r="C6620" s="365" t="s">
        <v>80</v>
      </c>
      <c r="D6620" s="156" t="s">
        <v>38</v>
      </c>
      <c r="E6620" s="156" t="s">
        <v>57</v>
      </c>
      <c r="F6620" s="156" t="s">
        <v>228</v>
      </c>
      <c r="G6620" s="238">
        <f t="shared" ref="G6620" si="1775">MROUND(H6620*L6620*I6620/K6620,0.000001)</f>
        <v>9.5680000000000001E-3</v>
      </c>
      <c r="H6620" s="158">
        <v>1</v>
      </c>
      <c r="I6620" s="159">
        <f>I6616</f>
        <v>9.4881999999999994E-2</v>
      </c>
      <c r="J6620" s="160"/>
      <c r="K6620" s="161">
        <f>K6616</f>
        <v>119</v>
      </c>
      <c r="L6620" s="250">
        <v>12</v>
      </c>
      <c r="M6620" s="163"/>
      <c r="N6620" s="278">
        <f t="shared" ref="N6620:N6636" si="1776">N6426</f>
        <v>0</v>
      </c>
      <c r="O6620" s="280">
        <f t="shared" ref="O6620:O6636" si="1777">MROUND(N6620*G6620,0.000001)</f>
        <v>0</v>
      </c>
      <c r="P6620" s="166"/>
      <c r="Q6620" s="166">
        <f t="shared" ref="Q6620:Q6636" si="1778">O6620*K6620</f>
        <v>0</v>
      </c>
      <c r="R6620" s="71"/>
    </row>
    <row r="6621" spans="1:18" s="61" customFormat="1" x14ac:dyDescent="0.25">
      <c r="A6621" s="358"/>
      <c r="B6621" s="361"/>
      <c r="C6621" s="366"/>
      <c r="D6621" s="156" t="s">
        <v>256</v>
      </c>
      <c r="E6621" s="156" t="s">
        <v>20</v>
      </c>
      <c r="F6621" s="156" t="s">
        <v>20</v>
      </c>
      <c r="G6621" s="238">
        <f>MROUND(H6621*L6621*I6621/K6621,0.00000001)</f>
        <v>1.993319E-2</v>
      </c>
      <c r="H6621" s="158">
        <f>H6427</f>
        <v>25</v>
      </c>
      <c r="I6621" s="159">
        <f>I6618</f>
        <v>9.4881999999999994E-2</v>
      </c>
      <c r="J6621" s="160"/>
      <c r="K6621" s="161">
        <f>K6618</f>
        <v>119</v>
      </c>
      <c r="L6621" s="250">
        <v>1</v>
      </c>
      <c r="M6621" s="163" t="str">
        <f t="shared" ref="M6621:M6626" si="1779">CONCATENATE(H6621," ",F6621,"*",I6621,"/",K6621,"чел/час")</f>
        <v>25 чел.*0,094882/119чел/час</v>
      </c>
      <c r="N6621" s="278">
        <f t="shared" si="1776"/>
        <v>1938.2380000000003</v>
      </c>
      <c r="O6621" s="280">
        <f t="shared" si="1777"/>
        <v>38.635266000000001</v>
      </c>
      <c r="P6621" s="166"/>
      <c r="Q6621" s="166">
        <f t="shared" si="1778"/>
        <v>4597.5966539999999</v>
      </c>
      <c r="R6621" s="71"/>
    </row>
    <row r="6622" spans="1:18" s="61" customFormat="1" ht="63" x14ac:dyDescent="0.25">
      <c r="A6622" s="358"/>
      <c r="B6622" s="361"/>
      <c r="C6622" s="366"/>
      <c r="D6622" s="156" t="s">
        <v>39</v>
      </c>
      <c r="E6622" s="156" t="s">
        <v>20</v>
      </c>
      <c r="F6622" s="156" t="s">
        <v>234</v>
      </c>
      <c r="G6622" s="238">
        <f t="shared" ref="G6622" si="1780">MROUND(H6622*L6622*I6622/K6622,0.000001)</f>
        <v>7.9699999999999997E-4</v>
      </c>
      <c r="H6622" s="158">
        <v>1</v>
      </c>
      <c r="I6622" s="159">
        <f>I6620</f>
        <v>9.4881999999999994E-2</v>
      </c>
      <c r="J6622" s="160"/>
      <c r="K6622" s="161">
        <f>K6620</f>
        <v>119</v>
      </c>
      <c r="L6622" s="250">
        <v>1</v>
      </c>
      <c r="M6622" s="163" t="str">
        <f t="shared" si="1779"/>
        <v>1 чел(заявленная потребность руководителями учреждений)*0,094882/119чел/час</v>
      </c>
      <c r="N6622" s="278">
        <f t="shared" si="1776"/>
        <v>798.1</v>
      </c>
      <c r="O6622" s="280">
        <f t="shared" si="1777"/>
        <v>0.63608599999999993</v>
      </c>
      <c r="P6622" s="166"/>
      <c r="Q6622" s="166">
        <f t="shared" si="1778"/>
        <v>75.694233999999994</v>
      </c>
      <c r="R6622" s="71"/>
    </row>
    <row r="6623" spans="1:18" s="61" customFormat="1" ht="63" x14ac:dyDescent="0.25">
      <c r="A6623" s="358"/>
      <c r="B6623" s="361"/>
      <c r="C6623" s="366"/>
      <c r="D6623" s="156" t="s">
        <v>40</v>
      </c>
      <c r="E6623" s="156" t="s">
        <v>20</v>
      </c>
      <c r="F6623" s="156" t="s">
        <v>234</v>
      </c>
      <c r="G6623" s="238">
        <f>MROUND(H6623*L6623*I6623/K6623,0.000001)</f>
        <v>7.9699999999999997E-4</v>
      </c>
      <c r="H6623" s="158">
        <v>1</v>
      </c>
      <c r="I6623" s="159">
        <f>I6621</f>
        <v>9.4881999999999994E-2</v>
      </c>
      <c r="J6623" s="160"/>
      <c r="K6623" s="161">
        <f>K6621</f>
        <v>119</v>
      </c>
      <c r="L6623" s="250">
        <v>1</v>
      </c>
      <c r="M6623" s="163" t="str">
        <f t="shared" si="1779"/>
        <v>1 чел(заявленная потребность руководителями учреждений)*0,094882/119чел/час</v>
      </c>
      <c r="N6623" s="278">
        <f t="shared" si="1776"/>
        <v>1710.21</v>
      </c>
      <c r="O6623" s="280">
        <f t="shared" si="1777"/>
        <v>1.3630369999999998</v>
      </c>
      <c r="P6623" s="166"/>
      <c r="Q6623" s="166">
        <f t="shared" si="1778"/>
        <v>162.20140299999997</v>
      </c>
      <c r="R6623" s="71"/>
    </row>
    <row r="6624" spans="1:18" s="61" customFormat="1" ht="63" x14ac:dyDescent="0.25">
      <c r="A6624" s="358"/>
      <c r="B6624" s="361"/>
      <c r="C6624" s="366"/>
      <c r="D6624" s="156" t="s">
        <v>100</v>
      </c>
      <c r="E6624" s="156" t="s">
        <v>20</v>
      </c>
      <c r="F6624" s="156" t="s">
        <v>234</v>
      </c>
      <c r="G6624" s="238">
        <f>MROUND(H6624*L6624*I6624/K6624,0.00000001)</f>
        <v>7.9733000000000007E-4</v>
      </c>
      <c r="H6624" s="158">
        <v>1</v>
      </c>
      <c r="I6624" s="159">
        <f>I6622</f>
        <v>9.4881999999999994E-2</v>
      </c>
      <c r="J6624" s="160"/>
      <c r="K6624" s="161">
        <f>K6622</f>
        <v>119</v>
      </c>
      <c r="L6624" s="250">
        <v>1</v>
      </c>
      <c r="M6624" s="163" t="str">
        <f t="shared" si="1779"/>
        <v>1 чел(заявленная потребность руководителями учреждений)*0,094882/119чел/час</v>
      </c>
      <c r="N6624" s="278">
        <f t="shared" si="1776"/>
        <v>3648.4500000000003</v>
      </c>
      <c r="O6624" s="280">
        <f t="shared" si="1777"/>
        <v>2.9090189999999998</v>
      </c>
      <c r="P6624" s="166"/>
      <c r="Q6624" s="166">
        <f t="shared" si="1778"/>
        <v>346.17326099999997</v>
      </c>
      <c r="R6624" s="71"/>
    </row>
    <row r="6625" spans="1:18" s="61" customFormat="1" ht="110.25" x14ac:dyDescent="0.25">
      <c r="A6625" s="358"/>
      <c r="B6625" s="361"/>
      <c r="C6625" s="366"/>
      <c r="D6625" s="156" t="s">
        <v>235</v>
      </c>
      <c r="E6625" s="156" t="s">
        <v>50</v>
      </c>
      <c r="F6625" s="156" t="s">
        <v>230</v>
      </c>
      <c r="G6625" s="238">
        <f>MROUND(H6625*L6625*I6625/K6625,0.00000001)</f>
        <v>7.9733000000000007E-4</v>
      </c>
      <c r="H6625" s="158">
        <v>1</v>
      </c>
      <c r="I6625" s="159">
        <f>I6621</f>
        <v>9.4881999999999994E-2</v>
      </c>
      <c r="J6625" s="160"/>
      <c r="K6625" s="161">
        <f>K6621</f>
        <v>119</v>
      </c>
      <c r="L6625" s="250">
        <v>1</v>
      </c>
      <c r="M6625" s="163" t="str">
        <f t="shared" si="1779"/>
        <v>1 отчетов*0,094882/119чел/час</v>
      </c>
      <c r="N6625" s="278">
        <f t="shared" si="1776"/>
        <v>6840.84</v>
      </c>
      <c r="O6625" s="280">
        <f t="shared" si="1777"/>
        <v>5.4544069999999998</v>
      </c>
      <c r="P6625" s="166"/>
      <c r="Q6625" s="166">
        <f t="shared" si="1778"/>
        <v>649.074433</v>
      </c>
      <c r="R6625" s="71"/>
    </row>
    <row r="6626" spans="1:18" s="61" customFormat="1" ht="63" x14ac:dyDescent="0.25">
      <c r="A6626" s="358"/>
      <c r="B6626" s="361"/>
      <c r="C6626" s="366"/>
      <c r="D6626" s="156" t="s">
        <v>42</v>
      </c>
      <c r="E6626" s="156" t="s">
        <v>51</v>
      </c>
      <c r="F6626" s="156" t="s">
        <v>407</v>
      </c>
      <c r="G6626" s="238">
        <f t="shared" ref="G6626:G6628" si="1781">MROUND(H6626*L6626*I6626/K6626,0.000001)</f>
        <v>4.7840000000000001E-3</v>
      </c>
      <c r="H6626" s="158">
        <f>H6432</f>
        <v>6</v>
      </c>
      <c r="I6626" s="159">
        <f t="shared" ref="I6626:I6632" si="1782">I6625</f>
        <v>9.4881999999999994E-2</v>
      </c>
      <c r="J6626" s="160"/>
      <c r="K6626" s="161">
        <f t="shared" ref="K6626:K6632" si="1783">K6625</f>
        <v>119</v>
      </c>
      <c r="L6626" s="250">
        <v>1</v>
      </c>
      <c r="M6626" s="163" t="str">
        <f t="shared" si="1779"/>
        <v>6 ед (заявленная потребность руководителями учреждений)*0,094882/119чел/час</v>
      </c>
      <c r="N6626" s="278">
        <f t="shared" si="1776"/>
        <v>1140.1400000000001</v>
      </c>
      <c r="O6626" s="280">
        <f t="shared" si="1777"/>
        <v>5.4544299999999994</v>
      </c>
      <c r="P6626" s="166"/>
      <c r="Q6626" s="166">
        <f t="shared" si="1778"/>
        <v>649.07716999999991</v>
      </c>
      <c r="R6626" s="71"/>
    </row>
    <row r="6627" spans="1:18" s="61" customFormat="1" ht="31.5" x14ac:dyDescent="0.25">
      <c r="A6627" s="358"/>
      <c r="B6627" s="361"/>
      <c r="C6627" s="366"/>
      <c r="D6627" s="156" t="s">
        <v>263</v>
      </c>
      <c r="E6627" s="156" t="s">
        <v>264</v>
      </c>
      <c r="F6627" s="156" t="s">
        <v>265</v>
      </c>
      <c r="G6627" s="238">
        <f t="shared" si="1781"/>
        <v>9.5680000000000001E-3</v>
      </c>
      <c r="H6627" s="158">
        <v>1</v>
      </c>
      <c r="I6627" s="159">
        <f t="shared" si="1782"/>
        <v>9.4881999999999994E-2</v>
      </c>
      <c r="J6627" s="160"/>
      <c r="K6627" s="161">
        <f t="shared" si="1783"/>
        <v>119</v>
      </c>
      <c r="L6627" s="250">
        <v>12</v>
      </c>
      <c r="M6627" s="163" t="str">
        <f>CONCATENATE(H6627," ",F6627,"*",L6627,"мес.","*",I6627,"/",K6627,"чел/час")</f>
        <v>1 мойка*12мес.*0,094882/119чел/час</v>
      </c>
      <c r="N6627" s="278">
        <f t="shared" si="1776"/>
        <v>570.07000000000005</v>
      </c>
      <c r="O6627" s="280">
        <f t="shared" si="1777"/>
        <v>5.4544299999999994</v>
      </c>
      <c r="P6627" s="166"/>
      <c r="Q6627" s="166">
        <f t="shared" si="1778"/>
        <v>649.07716999999991</v>
      </c>
      <c r="R6627" s="71"/>
    </row>
    <row r="6628" spans="1:18" s="61" customFormat="1" ht="31.5" x14ac:dyDescent="0.25">
      <c r="A6628" s="358"/>
      <c r="B6628" s="361"/>
      <c r="C6628" s="366"/>
      <c r="D6628" s="156" t="s">
        <v>266</v>
      </c>
      <c r="E6628" s="156" t="s">
        <v>267</v>
      </c>
      <c r="F6628" s="156" t="s">
        <v>268</v>
      </c>
      <c r="G6628" s="238">
        <f t="shared" si="1781"/>
        <v>0.191359</v>
      </c>
      <c r="H6628" s="158">
        <v>20</v>
      </c>
      <c r="I6628" s="159">
        <f t="shared" si="1782"/>
        <v>9.4881999999999994E-2</v>
      </c>
      <c r="J6628" s="160"/>
      <c r="K6628" s="161">
        <f t="shared" si="1783"/>
        <v>119</v>
      </c>
      <c r="L6628" s="250">
        <v>12</v>
      </c>
      <c r="M6628" s="163" t="str">
        <f>CONCATENATE(H6628," ",F6628,"*",L6628,"мес.","*",I6628,"/",K6628,"чел/час")</f>
        <v>20 комплектов в мес.*12мес.*0,094882/119чел/час</v>
      </c>
      <c r="N6628" s="278">
        <f t="shared" si="1776"/>
        <v>513.06299999999999</v>
      </c>
      <c r="O6628" s="280">
        <f t="shared" si="1777"/>
        <v>98.179222999999993</v>
      </c>
      <c r="P6628" s="166"/>
      <c r="Q6628" s="166">
        <f t="shared" si="1778"/>
        <v>11683.327536999999</v>
      </c>
      <c r="R6628" s="71"/>
    </row>
    <row r="6629" spans="1:18" s="61" customFormat="1" ht="47.25" x14ac:dyDescent="0.25">
      <c r="A6629" s="358"/>
      <c r="B6629" s="361"/>
      <c r="C6629" s="366"/>
      <c r="D6629" s="156" t="s">
        <v>269</v>
      </c>
      <c r="E6629" s="156" t="s">
        <v>20</v>
      </c>
      <c r="F6629" s="156" t="s">
        <v>20</v>
      </c>
      <c r="G6629" s="238">
        <f>MROUND(H6629*L6629*I6629/K6629,0.00000001)</f>
        <v>3.9866400000000005E-3</v>
      </c>
      <c r="H6629" s="158">
        <f>$H$3047</f>
        <v>5</v>
      </c>
      <c r="I6629" s="159">
        <f t="shared" si="1782"/>
        <v>9.4881999999999994E-2</v>
      </c>
      <c r="J6629" s="160"/>
      <c r="K6629" s="161">
        <f t="shared" si="1783"/>
        <v>119</v>
      </c>
      <c r="L6629" s="250">
        <v>1</v>
      </c>
      <c r="M6629" s="163" t="str">
        <f>CONCATENATE(H6629," ",F6629,"*",I6629,"/",K6629,"чел/час")</f>
        <v>5 чел.*0,094882/119чел/час</v>
      </c>
      <c r="N6629" s="278">
        <f t="shared" si="1776"/>
        <v>18384.758000000002</v>
      </c>
      <c r="O6629" s="280">
        <f t="shared" si="1777"/>
        <v>73.293412000000004</v>
      </c>
      <c r="P6629" s="166"/>
      <c r="Q6629" s="166">
        <f t="shared" si="1778"/>
        <v>8721.9160279999996</v>
      </c>
      <c r="R6629" s="71"/>
    </row>
    <row r="6630" spans="1:18" s="61" customFormat="1" ht="31.5" x14ac:dyDescent="0.25">
      <c r="A6630" s="358"/>
      <c r="B6630" s="361"/>
      <c r="C6630" s="366"/>
      <c r="D6630" s="156" t="s">
        <v>376</v>
      </c>
      <c r="E6630" s="156" t="s">
        <v>55</v>
      </c>
      <c r="F6630" s="156" t="s">
        <v>55</v>
      </c>
      <c r="G6630" s="238">
        <f>MROUND(H6630*L6630*I6630/K6630,0.00000001)</f>
        <v>9.5679300000000005E-3</v>
      </c>
      <c r="H6630" s="158">
        <v>1</v>
      </c>
      <c r="I6630" s="159">
        <f t="shared" si="1782"/>
        <v>9.4881999999999994E-2</v>
      </c>
      <c r="J6630" s="160"/>
      <c r="K6630" s="161">
        <f t="shared" si="1783"/>
        <v>119</v>
      </c>
      <c r="L6630" s="250">
        <v>12</v>
      </c>
      <c r="M6630" s="163" t="str">
        <f>CONCATENATE(H6630," ",F6630,"*",L6630,"мес.","*",I6630,"/",K6630,"чел/час")</f>
        <v>1 система*12мес.*0,094882/119чел/час</v>
      </c>
      <c r="N6630" s="278">
        <f t="shared" si="1776"/>
        <v>25726.499166666665</v>
      </c>
      <c r="O6630" s="280">
        <f t="shared" si="1777"/>
        <v>246.14934299999999</v>
      </c>
      <c r="P6630" s="166"/>
      <c r="Q6630" s="166">
        <f t="shared" si="1778"/>
        <v>29291.771816999997</v>
      </c>
      <c r="R6630" s="71"/>
    </row>
    <row r="6631" spans="1:18" s="61" customFormat="1" ht="31.5" x14ac:dyDescent="0.25">
      <c r="A6631" s="358"/>
      <c r="B6631" s="361"/>
      <c r="C6631" s="366"/>
      <c r="D6631" s="156" t="s">
        <v>270</v>
      </c>
      <c r="E6631" s="156" t="s">
        <v>60</v>
      </c>
      <c r="F6631" s="156" t="s">
        <v>60</v>
      </c>
      <c r="G6631" s="238">
        <f t="shared" ref="G6631" si="1784">MROUND(H6631*L6631*I6631/K6631,0.000001)</f>
        <v>1.3554999999999999E-2</v>
      </c>
      <c r="H6631" s="158">
        <f>H6437</f>
        <v>17</v>
      </c>
      <c r="I6631" s="159">
        <f t="shared" si="1782"/>
        <v>9.4881999999999994E-2</v>
      </c>
      <c r="J6631" s="160"/>
      <c r="K6631" s="161">
        <f t="shared" si="1783"/>
        <v>119</v>
      </c>
      <c r="L6631" s="250">
        <v>1</v>
      </c>
      <c r="M6631" s="163" t="str">
        <f>CONCATENATE(H6631," ",F6631,"*",I6631,"/",K6631,"чел/час")</f>
        <v>17 шт.*0,094882/119чел/час</v>
      </c>
      <c r="N6631" s="278">
        <f t="shared" si="1776"/>
        <v>3219.218823529412</v>
      </c>
      <c r="O6631" s="280">
        <f t="shared" si="1777"/>
        <v>43.636510999999999</v>
      </c>
      <c r="P6631" s="166"/>
      <c r="Q6631" s="166">
        <f t="shared" si="1778"/>
        <v>5192.7448089999998</v>
      </c>
      <c r="R6631" s="71"/>
    </row>
    <row r="6632" spans="1:18" s="61" customFormat="1" ht="31.5" x14ac:dyDescent="0.25">
      <c r="A6632" s="358"/>
      <c r="B6632" s="361"/>
      <c r="C6632" s="366"/>
      <c r="D6632" s="156" t="s">
        <v>408</v>
      </c>
      <c r="E6632" s="156" t="s">
        <v>20</v>
      </c>
      <c r="F6632" s="156" t="s">
        <v>20</v>
      </c>
      <c r="G6632" s="238">
        <f>MROUND(H6632*L6632*I6632/K6632,0.00000001)</f>
        <v>4.7839700000000002E-3</v>
      </c>
      <c r="H6632" s="158">
        <f>$H$3050</f>
        <v>6</v>
      </c>
      <c r="I6632" s="159">
        <f t="shared" si="1782"/>
        <v>9.4881999999999994E-2</v>
      </c>
      <c r="J6632" s="160"/>
      <c r="K6632" s="161">
        <f t="shared" si="1783"/>
        <v>119</v>
      </c>
      <c r="L6632" s="250">
        <v>1</v>
      </c>
      <c r="M6632" s="163" t="str">
        <f>CONCATENATE(H6632," ",F6632,"*",I6632,"/",K6632,"чел/час")</f>
        <v>6 чел.*0,094882/119чел/час</v>
      </c>
      <c r="N6632" s="278">
        <f t="shared" si="1776"/>
        <v>570.07000000000005</v>
      </c>
      <c r="O6632" s="280">
        <f t="shared" si="1777"/>
        <v>2.727198</v>
      </c>
      <c r="P6632" s="166"/>
      <c r="Q6632" s="166">
        <f t="shared" si="1778"/>
        <v>324.536562</v>
      </c>
      <c r="R6632" s="71"/>
    </row>
    <row r="6633" spans="1:18" s="61" customFormat="1" ht="63" x14ac:dyDescent="0.25">
      <c r="A6633" s="358"/>
      <c r="B6633" s="361"/>
      <c r="C6633" s="366"/>
      <c r="D6633" s="156" t="s">
        <v>45</v>
      </c>
      <c r="E6633" s="156" t="s">
        <v>53</v>
      </c>
      <c r="F6633" s="156" t="s">
        <v>257</v>
      </c>
      <c r="G6633" s="238">
        <f t="shared" ref="G6633:G6636" si="1785">MROUND(H6633*L6633*I6633/K6633,0.000001)</f>
        <v>9.5680000000000001E-3</v>
      </c>
      <c r="H6633" s="158">
        <v>1</v>
      </c>
      <c r="I6633" s="159">
        <f>I6631</f>
        <v>9.4881999999999994E-2</v>
      </c>
      <c r="J6633" s="160"/>
      <c r="K6633" s="161">
        <f>K6631</f>
        <v>119</v>
      </c>
      <c r="L6633" s="250">
        <v>12</v>
      </c>
      <c r="M6633" s="163" t="str">
        <f>CONCATENATE(H6633," ",F6633,"*",L6633,"мес.","*",I6633,"/",K6633,"чел")</f>
        <v>1  машина, оборудованная системой ГЛОНАСС*12мес.*0,094882/119чел</v>
      </c>
      <c r="N6633" s="278">
        <f t="shared" si="1776"/>
        <v>921.23333333333346</v>
      </c>
      <c r="O6633" s="280">
        <f t="shared" si="1777"/>
        <v>8.8143609999999999</v>
      </c>
      <c r="P6633" s="166"/>
      <c r="Q6633" s="166">
        <f t="shared" si="1778"/>
        <v>1048.9089590000001</v>
      </c>
      <c r="R6633" s="71"/>
    </row>
    <row r="6634" spans="1:18" s="61" customFormat="1" ht="47.25" x14ac:dyDescent="0.25">
      <c r="A6634" s="358"/>
      <c r="B6634" s="361"/>
      <c r="C6634" s="366"/>
      <c r="D6634" s="156" t="s">
        <v>271</v>
      </c>
      <c r="E6634" s="156" t="s">
        <v>85</v>
      </c>
      <c r="F6634" s="156" t="s">
        <v>232</v>
      </c>
      <c r="G6634" s="238">
        <f t="shared" si="1785"/>
        <v>0.24238799999999999</v>
      </c>
      <c r="H6634" s="158">
        <f>H6440</f>
        <v>304</v>
      </c>
      <c r="I6634" s="159">
        <f>I6632</f>
        <v>9.4881999999999994E-2</v>
      </c>
      <c r="J6634" s="160"/>
      <c r="K6634" s="161">
        <f>K6632</f>
        <v>119</v>
      </c>
      <c r="L6634" s="250">
        <v>1</v>
      </c>
      <c r="M6634" s="163" t="str">
        <f>CONCATENATE(H6634," ",F6634,"*",L6634,"мес.","*",I6634,"/",K6634,"чел")</f>
        <v>304 мед.осмотров в мес.*1мес.*0,094882/119чел</v>
      </c>
      <c r="N6634" s="278">
        <f t="shared" si="1776"/>
        <v>59.287269736842113</v>
      </c>
      <c r="O6634" s="280">
        <f t="shared" si="1777"/>
        <v>14.370522999999999</v>
      </c>
      <c r="P6634" s="166"/>
      <c r="Q6634" s="166">
        <f t="shared" si="1778"/>
        <v>1710.0922369999998</v>
      </c>
      <c r="R6634" s="71"/>
    </row>
    <row r="6635" spans="1:18" s="61" customFormat="1" x14ac:dyDescent="0.25">
      <c r="A6635" s="358"/>
      <c r="B6635" s="361"/>
      <c r="C6635" s="366"/>
      <c r="D6635" s="156" t="s">
        <v>373</v>
      </c>
      <c r="E6635" s="156" t="s">
        <v>28</v>
      </c>
      <c r="F6635" s="156" t="s">
        <v>28</v>
      </c>
      <c r="G6635" s="238">
        <f t="shared" si="1785"/>
        <v>7.9699999999999997E-4</v>
      </c>
      <c r="H6635" s="158">
        <f>H6441</f>
        <v>1</v>
      </c>
      <c r="I6635" s="159">
        <f>I6634</f>
        <v>9.4881999999999994E-2</v>
      </c>
      <c r="J6635" s="160"/>
      <c r="K6635" s="161">
        <f>K6634</f>
        <v>119</v>
      </c>
      <c r="L6635" s="250">
        <v>1</v>
      </c>
      <c r="M6635" s="163" t="str">
        <f>CONCATENATE(H6635," ",F6635,"*",L6635,"мес.","*",I6635,"/",K6635,"чел")</f>
        <v>1 шт*1мес.*0,094882/119чел</v>
      </c>
      <c r="N6635" s="278">
        <f t="shared" si="1776"/>
        <v>24000</v>
      </c>
      <c r="O6635" s="280">
        <f t="shared" si="1777"/>
        <v>19.128</v>
      </c>
      <c r="P6635" s="166"/>
      <c r="Q6635" s="166">
        <f t="shared" si="1778"/>
        <v>2276.232</v>
      </c>
      <c r="R6635" s="71"/>
    </row>
    <row r="6636" spans="1:18" s="61" customFormat="1" ht="31.5" x14ac:dyDescent="0.25">
      <c r="A6636" s="358"/>
      <c r="B6636" s="361"/>
      <c r="C6636" s="367"/>
      <c r="D6636" s="156" t="s">
        <v>43</v>
      </c>
      <c r="E6636" s="156" t="s">
        <v>52</v>
      </c>
      <c r="F6636" s="156" t="s">
        <v>231</v>
      </c>
      <c r="G6636" s="238">
        <f t="shared" si="1785"/>
        <v>7.9699999999999997E-4</v>
      </c>
      <c r="H6636" s="158">
        <v>1</v>
      </c>
      <c r="I6636" s="159">
        <f>I6626</f>
        <v>9.4881999999999994E-2</v>
      </c>
      <c r="J6636" s="160"/>
      <c r="K6636" s="161">
        <f>K6626</f>
        <v>119</v>
      </c>
      <c r="L6636" s="250">
        <v>1</v>
      </c>
      <c r="M6636" s="163" t="str">
        <f>CONCATENATE(H6636," ",F6636,"*",I6636,"/",K6636,"чел/час")</f>
        <v>1 ЭЦП*0,094882/119чел/час</v>
      </c>
      <c r="N6636" s="278">
        <f t="shared" si="1776"/>
        <v>8099.55</v>
      </c>
      <c r="O6636" s="280">
        <f t="shared" si="1777"/>
        <v>6.4553409999999998</v>
      </c>
      <c r="P6636" s="166"/>
      <c r="Q6636" s="166">
        <f t="shared" si="1778"/>
        <v>768.18557899999996</v>
      </c>
      <c r="R6636" s="71"/>
    </row>
    <row r="6637" spans="1:18" s="62" customFormat="1" x14ac:dyDescent="0.25">
      <c r="A6637" s="358"/>
      <c r="B6637" s="361"/>
      <c r="C6637" s="245" t="s">
        <v>296</v>
      </c>
      <c r="D6637" s="240"/>
      <c r="E6637" s="240"/>
      <c r="F6637" s="240"/>
      <c r="G6637" s="227"/>
      <c r="H6637" s="241"/>
      <c r="I6637" s="206"/>
      <c r="J6637" s="228"/>
      <c r="K6637" s="207"/>
      <c r="L6637" s="257"/>
      <c r="M6637" s="209"/>
      <c r="N6637" s="281"/>
      <c r="O6637" s="279">
        <f>SUM(O6620:O6636)</f>
        <v>572.66058700000008</v>
      </c>
      <c r="P6637" s="267"/>
      <c r="Q6637" s="166"/>
      <c r="R6637" s="71"/>
    </row>
    <row r="6638" spans="1:18" s="61" customFormat="1" ht="31.5" x14ac:dyDescent="0.25">
      <c r="A6638" s="358"/>
      <c r="B6638" s="361"/>
      <c r="C6638" s="252" t="s">
        <v>237</v>
      </c>
      <c r="D6638" s="156" t="s">
        <v>41</v>
      </c>
      <c r="E6638" s="156" t="s">
        <v>61</v>
      </c>
      <c r="F6638" s="156" t="s">
        <v>254</v>
      </c>
      <c r="G6638" s="238">
        <f>MROUND(H6638*L6638*I6638/K6638,0.00000001)</f>
        <v>7.9733000000000007E-4</v>
      </c>
      <c r="H6638" s="158">
        <v>1</v>
      </c>
      <c r="I6638" s="159">
        <f>I6636</f>
        <v>9.4881999999999994E-2</v>
      </c>
      <c r="J6638" s="160"/>
      <c r="K6638" s="161">
        <f>K6636</f>
        <v>119</v>
      </c>
      <c r="L6638" s="250">
        <v>1</v>
      </c>
      <c r="M6638" s="163" t="str">
        <f>CONCATENATE(H6638," ",F6638,"*",I6638,"/",K6638,"чел/час")</f>
        <v>1 автобус*0,094882/119чел/час</v>
      </c>
      <c r="N6638" s="278">
        <f>N6444</f>
        <v>26907.3</v>
      </c>
      <c r="O6638" s="280">
        <f>MROUND(N6638*G6638,0.000001)</f>
        <v>21.453997999999999</v>
      </c>
      <c r="P6638" s="166"/>
      <c r="Q6638" s="166">
        <f t="shared" ref="Q6638" si="1786">O6638*K6638</f>
        <v>2553.0257619999998</v>
      </c>
      <c r="R6638" s="71"/>
    </row>
    <row r="6639" spans="1:18" s="62" customFormat="1" x14ac:dyDescent="0.25">
      <c r="A6639" s="358"/>
      <c r="B6639" s="361"/>
      <c r="C6639" s="245" t="s">
        <v>297</v>
      </c>
      <c r="D6639" s="240"/>
      <c r="E6639" s="240"/>
      <c r="F6639" s="240"/>
      <c r="G6639" s="227"/>
      <c r="H6639" s="241"/>
      <c r="I6639" s="206"/>
      <c r="J6639" s="228"/>
      <c r="K6639" s="207"/>
      <c r="L6639" s="257"/>
      <c r="M6639" s="209"/>
      <c r="N6639" s="281"/>
      <c r="O6639" s="279">
        <f>O6638</f>
        <v>21.453997999999999</v>
      </c>
      <c r="P6639" s="267"/>
      <c r="Q6639" s="166"/>
      <c r="R6639" s="71"/>
    </row>
    <row r="6640" spans="1:18" s="61" customFormat="1" ht="78.75" x14ac:dyDescent="0.25">
      <c r="A6640" s="358"/>
      <c r="B6640" s="361"/>
      <c r="C6640" s="221" t="s">
        <v>236</v>
      </c>
      <c r="D6640" s="156" t="s">
        <v>19</v>
      </c>
      <c r="E6640" s="181" t="s">
        <v>20</v>
      </c>
      <c r="F6640" s="181" t="s">
        <v>238</v>
      </c>
      <c r="G6640" s="238">
        <f t="shared" ref="G6640" si="1787">MROUND(H6640*L6640*I6640/K6640,0.000001)</f>
        <v>0</v>
      </c>
      <c r="H6640" s="158"/>
      <c r="I6640" s="159">
        <f>I6638</f>
        <v>9.4881999999999994E-2</v>
      </c>
      <c r="J6640" s="160"/>
      <c r="K6640" s="161">
        <f>K6638</f>
        <v>119</v>
      </c>
      <c r="L6640" s="250"/>
      <c r="M6640" s="163"/>
      <c r="N6640" s="278"/>
      <c r="O6640" s="280">
        <f>MROUND(N6640*G6640,0.000001)</f>
        <v>0</v>
      </c>
      <c r="P6640" s="166"/>
      <c r="Q6640" s="166">
        <f t="shared" ref="Q6640" si="1788">O6640*K6640</f>
        <v>0</v>
      </c>
      <c r="R6640" s="71"/>
    </row>
    <row r="6641" spans="1:18" s="62" customFormat="1" x14ac:dyDescent="0.25">
      <c r="A6641" s="358"/>
      <c r="B6641" s="361"/>
      <c r="C6641" s="245" t="s">
        <v>298</v>
      </c>
      <c r="D6641" s="240"/>
      <c r="E6641" s="253"/>
      <c r="F6641" s="253"/>
      <c r="G6641" s="227"/>
      <c r="H6641" s="241"/>
      <c r="I6641" s="206"/>
      <c r="J6641" s="228"/>
      <c r="K6641" s="207"/>
      <c r="L6641" s="257"/>
      <c r="M6641" s="209"/>
      <c r="N6641" s="281"/>
      <c r="O6641" s="279">
        <f>O6640</f>
        <v>0</v>
      </c>
      <c r="P6641" s="267"/>
      <c r="Q6641" s="166"/>
      <c r="R6641" s="71"/>
    </row>
    <row r="6642" spans="1:18" s="61" customFormat="1" ht="15.75" customHeight="1" x14ac:dyDescent="0.25">
      <c r="A6642" s="358"/>
      <c r="B6642" s="361"/>
      <c r="C6642" s="365" t="s">
        <v>81</v>
      </c>
      <c r="D6642" s="156" t="s">
        <v>427</v>
      </c>
      <c r="E6642" s="156" t="s">
        <v>28</v>
      </c>
      <c r="F6642" s="156" t="s">
        <v>28</v>
      </c>
      <c r="G6642" s="238">
        <f>MROUND(H6642*L6642*I6642/K6642,0.00000001)</f>
        <v>0</v>
      </c>
      <c r="H6642" s="158"/>
      <c r="I6642" s="159">
        <f>I6638</f>
        <v>9.4881999999999994E-2</v>
      </c>
      <c r="J6642" s="160"/>
      <c r="K6642" s="161">
        <f>K6638</f>
        <v>119</v>
      </c>
      <c r="L6642" s="250">
        <v>1</v>
      </c>
      <c r="M6642" s="163"/>
      <c r="N6642" s="278"/>
      <c r="O6642" s="280">
        <f>MROUND(N6642*G6642,0.000001)</f>
        <v>0</v>
      </c>
      <c r="P6642" s="166"/>
      <c r="Q6642" s="166">
        <f t="shared" ref="Q6642:Q6646" si="1789">O6642*K6642</f>
        <v>0</v>
      </c>
      <c r="R6642" s="71"/>
    </row>
    <row r="6643" spans="1:18" s="61" customFormat="1" ht="15.75" customHeight="1" x14ac:dyDescent="0.25">
      <c r="A6643" s="358"/>
      <c r="B6643" s="361"/>
      <c r="C6643" s="366"/>
      <c r="D6643" s="156" t="s">
        <v>428</v>
      </c>
      <c r="E6643" s="156" t="s">
        <v>28</v>
      </c>
      <c r="F6643" s="156" t="s">
        <v>28</v>
      </c>
      <c r="G6643" s="238">
        <f>MROUND(H6643*L6643*I6643/K6643,0.00000001)</f>
        <v>0</v>
      </c>
      <c r="H6643" s="158"/>
      <c r="I6643" s="159">
        <f>I6642</f>
        <v>9.4881999999999994E-2</v>
      </c>
      <c r="J6643" s="160"/>
      <c r="K6643" s="161">
        <f>K6642</f>
        <v>119</v>
      </c>
      <c r="L6643" s="250">
        <v>1</v>
      </c>
      <c r="M6643" s="163"/>
      <c r="N6643" s="278"/>
      <c r="O6643" s="280">
        <f>MROUND(N6643*G6643,0.000001)</f>
        <v>0</v>
      </c>
      <c r="P6643" s="166"/>
      <c r="Q6643" s="166">
        <f t="shared" si="1789"/>
        <v>0</v>
      </c>
      <c r="R6643" s="71"/>
    </row>
    <row r="6644" spans="1:18" s="61" customFormat="1" ht="15.75" customHeight="1" x14ac:dyDescent="0.25">
      <c r="A6644" s="358"/>
      <c r="B6644" s="361"/>
      <c r="C6644" s="366"/>
      <c r="D6644" s="156" t="s">
        <v>110</v>
      </c>
      <c r="E6644" s="156" t="s">
        <v>28</v>
      </c>
      <c r="F6644" s="156" t="s">
        <v>28</v>
      </c>
      <c r="G6644" s="238">
        <f>MROUND(H6644*L6644*I6644/K6644,0.00000001)</f>
        <v>0</v>
      </c>
      <c r="H6644" s="158"/>
      <c r="I6644" s="159">
        <f t="shared" ref="I6644:I6645" si="1790">I6643</f>
        <v>9.4881999999999994E-2</v>
      </c>
      <c r="J6644" s="160"/>
      <c r="K6644" s="161">
        <f t="shared" ref="K6644:K6645" si="1791">K6643</f>
        <v>119</v>
      </c>
      <c r="L6644" s="250">
        <v>1</v>
      </c>
      <c r="M6644" s="163"/>
      <c r="N6644" s="278"/>
      <c r="O6644" s="280">
        <f>MROUND(N6644*G6644,0.000001)</f>
        <v>0</v>
      </c>
      <c r="P6644" s="166"/>
      <c r="Q6644" s="166">
        <f t="shared" si="1789"/>
        <v>0</v>
      </c>
      <c r="R6644" s="71"/>
    </row>
    <row r="6645" spans="1:18" s="61" customFormat="1" ht="15.75" customHeight="1" x14ac:dyDescent="0.25">
      <c r="A6645" s="358"/>
      <c r="B6645" s="361"/>
      <c r="C6645" s="366"/>
      <c r="D6645" s="156" t="s">
        <v>111</v>
      </c>
      <c r="E6645" s="156" t="s">
        <v>28</v>
      </c>
      <c r="F6645" s="156" t="s">
        <v>28</v>
      </c>
      <c r="G6645" s="238">
        <f>MROUND(H6645*L6645*I6645/K6645,0.00000001)</f>
        <v>0</v>
      </c>
      <c r="H6645" s="158"/>
      <c r="I6645" s="159">
        <f t="shared" si="1790"/>
        <v>9.4881999999999994E-2</v>
      </c>
      <c r="J6645" s="160"/>
      <c r="K6645" s="161">
        <f t="shared" si="1791"/>
        <v>119</v>
      </c>
      <c r="L6645" s="250">
        <v>1</v>
      </c>
      <c r="M6645" s="163"/>
      <c r="N6645" s="278"/>
      <c r="O6645" s="280">
        <f>MROUND(N6645*G6645,0.000001)</f>
        <v>0</v>
      </c>
      <c r="P6645" s="166"/>
      <c r="Q6645" s="166">
        <f t="shared" si="1789"/>
        <v>0</v>
      </c>
      <c r="R6645" s="71"/>
    </row>
    <row r="6646" spans="1:18" s="61" customFormat="1" x14ac:dyDescent="0.25">
      <c r="A6646" s="358"/>
      <c r="B6646" s="361"/>
      <c r="C6646" s="367"/>
      <c r="D6646" s="156" t="s">
        <v>438</v>
      </c>
      <c r="E6646" s="156" t="s">
        <v>28</v>
      </c>
      <c r="F6646" s="156" t="s">
        <v>28</v>
      </c>
      <c r="G6646" s="238">
        <f>MROUND(H6646*L6646*I6646/K6646,0.00000001)</f>
        <v>0</v>
      </c>
      <c r="H6646" s="158"/>
      <c r="I6646" s="159">
        <f>I6640</f>
        <v>9.4881999999999994E-2</v>
      </c>
      <c r="J6646" s="160"/>
      <c r="K6646" s="161">
        <f>K6640</f>
        <v>119</v>
      </c>
      <c r="L6646" s="250">
        <v>1</v>
      </c>
      <c r="M6646" s="163"/>
      <c r="N6646" s="278"/>
      <c r="O6646" s="280">
        <f>MROUND(N6646*G6646,0.000001)</f>
        <v>0</v>
      </c>
      <c r="P6646" s="166"/>
      <c r="Q6646" s="166">
        <f t="shared" si="1789"/>
        <v>0</v>
      </c>
      <c r="R6646" s="71"/>
    </row>
    <row r="6647" spans="1:18" s="62" customFormat="1" x14ac:dyDescent="0.25">
      <c r="A6647" s="358"/>
      <c r="B6647" s="361"/>
      <c r="C6647" s="245" t="s">
        <v>299</v>
      </c>
      <c r="D6647" s="240"/>
      <c r="E6647" s="240"/>
      <c r="F6647" s="240"/>
      <c r="G6647" s="227"/>
      <c r="H6647" s="241"/>
      <c r="I6647" s="206"/>
      <c r="J6647" s="228"/>
      <c r="K6647" s="207"/>
      <c r="L6647" s="257"/>
      <c r="M6647" s="209"/>
      <c r="N6647" s="281"/>
      <c r="O6647" s="279">
        <f>SUM(O6642:O6646)</f>
        <v>0</v>
      </c>
      <c r="P6647" s="267"/>
      <c r="Q6647" s="166"/>
      <c r="R6647" s="71"/>
    </row>
    <row r="6648" spans="1:18" s="61" customFormat="1" ht="110.25" x14ac:dyDescent="0.25">
      <c r="A6648" s="358"/>
      <c r="B6648" s="361"/>
      <c r="C6648" s="221" t="s">
        <v>82</v>
      </c>
      <c r="D6648" s="156" t="s">
        <v>46</v>
      </c>
      <c r="E6648" s="156" t="s">
        <v>54</v>
      </c>
      <c r="F6648" s="156" t="s">
        <v>285</v>
      </c>
      <c r="G6648" s="238">
        <f t="shared" ref="G6648" si="1792">MROUND(H6648*L6648*I6648/K6648,0.000001)</f>
        <v>2.0331859999999997</v>
      </c>
      <c r="H6648" s="242">
        <f>H6454</f>
        <v>231.81818181818181</v>
      </c>
      <c r="I6648" s="159">
        <f>I6640</f>
        <v>9.4881999999999994E-2</v>
      </c>
      <c r="J6648" s="160"/>
      <c r="K6648" s="161">
        <f>K6640</f>
        <v>119</v>
      </c>
      <c r="L6648" s="250">
        <v>11</v>
      </c>
      <c r="M6648" s="163" t="str">
        <f>CONCATENATE(H6648," ",F6648,"*",L6648,"автобус","*",I6648,"/",K6648,"чел/час")</f>
        <v>231,818181818182 л бензина АИ 92 (12,5л/день(зимой)*20дней*7мес+10л/день(летом)*20дней*4мес)*11автобус*0,094882/119чел/час</v>
      </c>
      <c r="N6648" s="278">
        <f>N6454</f>
        <v>57.007000000000005</v>
      </c>
      <c r="O6648" s="280">
        <f>MROUND(N6648*G6648,0.000001)</f>
        <v>115.905834</v>
      </c>
      <c r="P6648" s="166"/>
      <c r="Q6648" s="166">
        <f t="shared" ref="Q6648" si="1793">O6648*K6648</f>
        <v>13792.794245999999</v>
      </c>
      <c r="R6648" s="71"/>
    </row>
    <row r="6649" spans="1:18" s="62" customFormat="1" x14ac:dyDescent="0.25">
      <c r="A6649" s="358"/>
      <c r="B6649" s="361"/>
      <c r="C6649" s="218" t="s">
        <v>300</v>
      </c>
      <c r="D6649" s="240"/>
      <c r="E6649" s="240"/>
      <c r="F6649" s="240"/>
      <c r="G6649" s="227"/>
      <c r="H6649" s="241"/>
      <c r="I6649" s="206"/>
      <c r="J6649" s="228"/>
      <c r="K6649" s="207"/>
      <c r="L6649" s="257"/>
      <c r="M6649" s="209"/>
      <c r="N6649" s="281"/>
      <c r="O6649" s="279">
        <f>O6648</f>
        <v>115.905834</v>
      </c>
      <c r="P6649" s="267"/>
      <c r="Q6649" s="166"/>
      <c r="R6649" s="71"/>
    </row>
    <row r="6650" spans="1:18" s="61" customFormat="1" ht="47.25" x14ac:dyDescent="0.25">
      <c r="A6650" s="358"/>
      <c r="B6650" s="361"/>
      <c r="C6650" s="365" t="s">
        <v>118</v>
      </c>
      <c r="D6650" s="156" t="s">
        <v>47</v>
      </c>
      <c r="E6650" s="156" t="s">
        <v>28</v>
      </c>
      <c r="F6650" s="156" t="s">
        <v>239</v>
      </c>
      <c r="G6650" s="238">
        <f t="shared" ref="G6650:G6651" si="1794">MROUND(H6650*L6650*I6650/K6650,0.000001)</f>
        <v>0</v>
      </c>
      <c r="H6650" s="158">
        <f>H6456</f>
        <v>0</v>
      </c>
      <c r="I6650" s="159">
        <f>I6648</f>
        <v>9.4881999999999994E-2</v>
      </c>
      <c r="J6650" s="160"/>
      <c r="K6650" s="161">
        <f>K6648</f>
        <v>119</v>
      </c>
      <c r="L6650" s="250">
        <v>1</v>
      </c>
      <c r="M6650" s="163"/>
      <c r="N6650" s="278">
        <f>N6456</f>
        <v>0</v>
      </c>
      <c r="O6650" s="280">
        <f>MROUND(N6650*G6650,0.000001)</f>
        <v>0</v>
      </c>
      <c r="P6650" s="166"/>
      <c r="Q6650" s="166">
        <f t="shared" ref="Q6650:Q6651" si="1795">O6650*K6650</f>
        <v>0</v>
      </c>
      <c r="R6650" s="71"/>
    </row>
    <row r="6651" spans="1:18" s="61" customFormat="1" ht="47.25" x14ac:dyDescent="0.25">
      <c r="A6651" s="358"/>
      <c r="B6651" s="361"/>
      <c r="C6651" s="367"/>
      <c r="D6651" s="255" t="s">
        <v>113</v>
      </c>
      <c r="E6651" s="156" t="s">
        <v>28</v>
      </c>
      <c r="F6651" s="156" t="s">
        <v>240</v>
      </c>
      <c r="G6651" s="238">
        <f t="shared" si="1794"/>
        <v>1.5946999999999999E-2</v>
      </c>
      <c r="H6651" s="158">
        <f>H6457</f>
        <v>20</v>
      </c>
      <c r="I6651" s="159">
        <f>I6650</f>
        <v>9.4881999999999994E-2</v>
      </c>
      <c r="J6651" s="160"/>
      <c r="K6651" s="161">
        <f>K6650</f>
        <v>119</v>
      </c>
      <c r="L6651" s="250">
        <v>1</v>
      </c>
      <c r="M6651" s="163" t="str">
        <f>CONCATENATE(H6651," ",F6651,"*",I6651,"/",K6651,"чел/час")</f>
        <v>20 светильников (потребность учреждений)*0,094882/119чел/час</v>
      </c>
      <c r="N6651" s="278">
        <f>N6457</f>
        <v>111.1635</v>
      </c>
      <c r="O6651" s="280">
        <f>MROUND(N6651*G6651,0.000001)</f>
        <v>1.772724</v>
      </c>
      <c r="P6651" s="166"/>
      <c r="Q6651" s="166">
        <f t="shared" si="1795"/>
        <v>210.95415599999998</v>
      </c>
      <c r="R6651" s="71"/>
    </row>
    <row r="6652" spans="1:18" s="62" customFormat="1" x14ac:dyDescent="0.25">
      <c r="A6652" s="359"/>
      <c r="B6652" s="362"/>
      <c r="C6652" s="218" t="s">
        <v>301</v>
      </c>
      <c r="D6652" s="256"/>
      <c r="E6652" s="240"/>
      <c r="F6652" s="240"/>
      <c r="G6652" s="227"/>
      <c r="H6652" s="241"/>
      <c r="I6652" s="206"/>
      <c r="J6652" s="228"/>
      <c r="K6652" s="207"/>
      <c r="L6652" s="257"/>
      <c r="M6652" s="209"/>
      <c r="N6652" s="281"/>
      <c r="O6652" s="279">
        <f>O6650+O6651</f>
        <v>1.772724</v>
      </c>
      <c r="P6652" s="267"/>
      <c r="Q6652" s="166"/>
      <c r="R6652" s="71"/>
    </row>
    <row r="6653" spans="1:18" s="61" customFormat="1" x14ac:dyDescent="0.25">
      <c r="A6653" s="357" t="str">
        <f>школы!$B$28</f>
        <v>Методическое обеспечение образовательной деятельности</v>
      </c>
      <c r="B6653" s="360" t="str">
        <f>школы!$A$28</f>
        <v>48Д70100000000000005101</v>
      </c>
      <c r="C6653" s="194"/>
      <c r="D6653" s="363" t="s">
        <v>15</v>
      </c>
      <c r="E6653" s="363"/>
      <c r="F6653" s="363"/>
      <c r="G6653" s="363"/>
      <c r="H6653" s="195"/>
      <c r="I6653" s="195"/>
      <c r="J6653" s="195"/>
      <c r="K6653" s="195"/>
      <c r="L6653" s="196"/>
      <c r="M6653" s="197"/>
      <c r="N6653" s="278"/>
      <c r="O6653" s="279">
        <f>O6654+O6659+O6662</f>
        <v>10825.8062558663</v>
      </c>
      <c r="P6653" s="166"/>
      <c r="Q6653" s="166">
        <f t="shared" ref="Q6653:Q6655" si="1796">O6653*K6653</f>
        <v>0</v>
      </c>
      <c r="R6653" s="71"/>
    </row>
    <row r="6654" spans="1:18" s="61" customFormat="1" x14ac:dyDescent="0.25">
      <c r="A6654" s="358"/>
      <c r="B6654" s="361"/>
      <c r="C6654" s="194"/>
      <c r="D6654" s="350" t="s">
        <v>62</v>
      </c>
      <c r="E6654" s="350"/>
      <c r="F6654" s="350"/>
      <c r="G6654" s="350"/>
      <c r="H6654" s="195"/>
      <c r="I6654" s="195"/>
      <c r="J6654" s="195"/>
      <c r="K6654" s="195"/>
      <c r="L6654" s="196"/>
      <c r="M6654" s="197"/>
      <c r="N6654" s="278"/>
      <c r="O6654" s="279">
        <f>O6656+O6658</f>
        <v>10688.1133058663</v>
      </c>
      <c r="P6654" s="166"/>
      <c r="Q6654" s="166">
        <f t="shared" si="1796"/>
        <v>0</v>
      </c>
      <c r="R6654" s="71"/>
    </row>
    <row r="6655" spans="1:18" s="61" customFormat="1" x14ac:dyDescent="0.25">
      <c r="A6655" s="358"/>
      <c r="B6655" s="361"/>
      <c r="C6655" s="194">
        <v>211</v>
      </c>
      <c r="D6655" s="194" t="s">
        <v>86</v>
      </c>
      <c r="E6655" s="199" t="s">
        <v>95</v>
      </c>
      <c r="F6655" s="199" t="s">
        <v>95</v>
      </c>
      <c r="G6655" s="275">
        <f>MROUND(H6655*L6655*I6655/K6655,0.00000000001)</f>
        <v>0.46885263157999996</v>
      </c>
      <c r="H6655" s="201">
        <f>$H$2976</f>
        <v>49</v>
      </c>
      <c r="I6655" s="159">
        <f>школы!$K$28</f>
        <v>9.0899999999999995E-2</v>
      </c>
      <c r="J6655" s="159"/>
      <c r="K6655" s="161">
        <f>школы!$G$28</f>
        <v>114</v>
      </c>
      <c r="L6655" s="202">
        <v>12</v>
      </c>
      <c r="M6655" s="163" t="str">
        <f>CONCATENATE(H6655," ",F6655," ","в мес.","*",L6655,"мес.","*",I6655,"/",K6655,"чел/час")</f>
        <v>49 шт.ед в мес.*12мес.*0,0909/114чел/час</v>
      </c>
      <c r="N6655" s="278">
        <f>N6364</f>
        <v>17508.692159863946</v>
      </c>
      <c r="O6655" s="280">
        <f>MROUND(N6655*G6655,0.0000000001)</f>
        <v>8208.9963946763</v>
      </c>
      <c r="P6655" s="166"/>
      <c r="Q6655" s="166">
        <f t="shared" si="1796"/>
        <v>935825.58899309824</v>
      </c>
      <c r="R6655" s="71"/>
    </row>
    <row r="6656" spans="1:18" s="62" customFormat="1" x14ac:dyDescent="0.25">
      <c r="A6656" s="358"/>
      <c r="B6656" s="361"/>
      <c r="C6656" s="203" t="s">
        <v>288</v>
      </c>
      <c r="D6656" s="203"/>
      <c r="E6656" s="204"/>
      <c r="F6656" s="204"/>
      <c r="G6656" s="205"/>
      <c r="H6656" s="206"/>
      <c r="I6656" s="206"/>
      <c r="J6656" s="206"/>
      <c r="K6656" s="207"/>
      <c r="L6656" s="208"/>
      <c r="M6656" s="209"/>
      <c r="N6656" s="281"/>
      <c r="O6656" s="279">
        <f>O6655</f>
        <v>8208.9963946763</v>
      </c>
      <c r="P6656" s="267"/>
      <c r="Q6656" s="166"/>
      <c r="R6656" s="71"/>
    </row>
    <row r="6657" spans="1:18" s="61" customFormat="1" x14ac:dyDescent="0.25">
      <c r="A6657" s="358"/>
      <c r="B6657" s="361"/>
      <c r="C6657" s="194">
        <v>213</v>
      </c>
      <c r="D6657" s="194" t="s">
        <v>87</v>
      </c>
      <c r="E6657" s="194" t="s">
        <v>88</v>
      </c>
      <c r="F6657" s="194"/>
      <c r="G6657" s="211">
        <v>30.2</v>
      </c>
      <c r="H6657" s="159"/>
      <c r="I6657" s="159">
        <f>I6655</f>
        <v>9.0899999999999995E-2</v>
      </c>
      <c r="J6657" s="159"/>
      <c r="K6657" s="161">
        <f>K6655</f>
        <v>114</v>
      </c>
      <c r="L6657" s="202"/>
      <c r="M6657" s="212"/>
      <c r="N6657" s="278"/>
      <c r="O6657" s="280">
        <f>MROUND(O6655*0.302,0.00000001)</f>
        <v>2479.1169111899999</v>
      </c>
      <c r="P6657" s="166"/>
      <c r="Q6657" s="166">
        <f t="shared" ref="Q6657" si="1797">O6657*K6657</f>
        <v>282619.32787565998</v>
      </c>
      <c r="R6657" s="71"/>
    </row>
    <row r="6658" spans="1:18" s="62" customFormat="1" x14ac:dyDescent="0.25">
      <c r="A6658" s="358"/>
      <c r="B6658" s="361"/>
      <c r="C6658" s="203" t="s">
        <v>289</v>
      </c>
      <c r="D6658" s="203"/>
      <c r="E6658" s="203"/>
      <c r="F6658" s="203"/>
      <c r="G6658" s="213"/>
      <c r="H6658" s="214"/>
      <c r="I6658" s="206"/>
      <c r="J6658" s="214"/>
      <c r="K6658" s="207"/>
      <c r="L6658" s="215"/>
      <c r="M6658" s="216"/>
      <c r="N6658" s="281"/>
      <c r="O6658" s="279">
        <f>O6657</f>
        <v>2479.1169111899999</v>
      </c>
      <c r="P6658" s="267"/>
      <c r="Q6658" s="166"/>
      <c r="R6658" s="71"/>
    </row>
    <row r="6659" spans="1:18" s="61" customFormat="1" x14ac:dyDescent="0.25">
      <c r="A6659" s="358"/>
      <c r="B6659" s="361"/>
      <c r="C6659" s="194"/>
      <c r="D6659" s="356" t="s">
        <v>63</v>
      </c>
      <c r="E6659" s="356"/>
      <c r="F6659" s="356"/>
      <c r="G6659" s="356"/>
      <c r="H6659" s="195"/>
      <c r="I6659" s="159"/>
      <c r="J6659" s="195"/>
      <c r="K6659" s="161"/>
      <c r="L6659" s="196"/>
      <c r="M6659" s="197"/>
      <c r="N6659" s="278"/>
      <c r="O6659" s="279">
        <f>O6660</f>
        <v>137.69295</v>
      </c>
      <c r="P6659" s="166"/>
      <c r="Q6659" s="166">
        <f t="shared" ref="Q6659:Q6660" si="1798">O6659*K6659</f>
        <v>0</v>
      </c>
      <c r="R6659" s="71"/>
    </row>
    <row r="6660" spans="1:18" s="61" customFormat="1" x14ac:dyDescent="0.25">
      <c r="A6660" s="358"/>
      <c r="B6660" s="361"/>
      <c r="C6660" s="194">
        <v>346</v>
      </c>
      <c r="D6660" s="194" t="s">
        <v>259</v>
      </c>
      <c r="E6660" s="194" t="s">
        <v>260</v>
      </c>
      <c r="F6660" s="194" t="s">
        <v>261</v>
      </c>
      <c r="G6660" s="238">
        <f>MROUND(H6660*L6660*I6660/K6660,0.000001)</f>
        <v>0.195355</v>
      </c>
      <c r="H6660" s="283">
        <f>H6369</f>
        <v>245</v>
      </c>
      <c r="I6660" s="159">
        <f>I6657</f>
        <v>9.0899999999999995E-2</v>
      </c>
      <c r="J6660" s="195"/>
      <c r="K6660" s="161">
        <f>K6657</f>
        <v>114</v>
      </c>
      <c r="L6660" s="196">
        <v>1</v>
      </c>
      <c r="M6660" s="163" t="str">
        <f>CONCATENATE(H6660," ",F6660,"*",I6660,"/",K6660,"чел/час")</f>
        <v>245 упаковок*0,0909/114чел/час</v>
      </c>
      <c r="N6660" s="278">
        <f>N6369</f>
        <v>704.83453061224486</v>
      </c>
      <c r="O6660" s="280">
        <f>MROUND(N6660*G6660,0.000001)</f>
        <v>137.69295</v>
      </c>
      <c r="P6660" s="166"/>
      <c r="Q6660" s="166">
        <f t="shared" si="1798"/>
        <v>15696.996299999999</v>
      </c>
      <c r="R6660" s="71"/>
    </row>
    <row r="6661" spans="1:18" s="62" customFormat="1" x14ac:dyDescent="0.25">
      <c r="A6661" s="358"/>
      <c r="B6661" s="361"/>
      <c r="C6661" s="203" t="s">
        <v>301</v>
      </c>
      <c r="D6661" s="203"/>
      <c r="E6661" s="203"/>
      <c r="F6661" s="203"/>
      <c r="G6661" s="227"/>
      <c r="H6661" s="214"/>
      <c r="I6661" s="206"/>
      <c r="J6661" s="214"/>
      <c r="K6661" s="207"/>
      <c r="L6661" s="215"/>
      <c r="M6661" s="209"/>
      <c r="N6661" s="281"/>
      <c r="O6661" s="279">
        <f>O6660</f>
        <v>137.69295</v>
      </c>
      <c r="P6661" s="267"/>
      <c r="Q6661" s="166"/>
      <c r="R6661" s="71"/>
    </row>
    <row r="6662" spans="1:18" s="61" customFormat="1" x14ac:dyDescent="0.25">
      <c r="A6662" s="358"/>
      <c r="B6662" s="361"/>
      <c r="C6662" s="194"/>
      <c r="D6662" s="350" t="s">
        <v>64</v>
      </c>
      <c r="E6662" s="350"/>
      <c r="F6662" s="350"/>
      <c r="G6662" s="350"/>
      <c r="H6662" s="195"/>
      <c r="I6662" s="159"/>
      <c r="J6662" s="195"/>
      <c r="K6662" s="161"/>
      <c r="L6662" s="196"/>
      <c r="M6662" s="197"/>
      <c r="N6662" s="278"/>
      <c r="O6662" s="280"/>
      <c r="P6662" s="166"/>
      <c r="Q6662" s="166">
        <f t="shared" ref="Q6662:Q6667" si="1799">O6662*K6662</f>
        <v>0</v>
      </c>
      <c r="R6662" s="71"/>
    </row>
    <row r="6663" spans="1:18" s="61" customFormat="1" x14ac:dyDescent="0.25">
      <c r="A6663" s="358"/>
      <c r="B6663" s="361"/>
      <c r="C6663" s="194"/>
      <c r="D6663" s="194"/>
      <c r="E6663" s="194"/>
      <c r="F6663" s="194"/>
      <c r="G6663" s="217"/>
      <c r="H6663" s="195"/>
      <c r="I6663" s="159"/>
      <c r="J6663" s="195"/>
      <c r="K6663" s="161"/>
      <c r="L6663" s="196"/>
      <c r="M6663" s="197"/>
      <c r="N6663" s="278"/>
      <c r="O6663" s="280"/>
      <c r="P6663" s="166"/>
      <c r="Q6663" s="166">
        <f t="shared" si="1799"/>
        <v>0</v>
      </c>
      <c r="R6663" s="71"/>
    </row>
    <row r="6664" spans="1:18" s="61" customFormat="1" x14ac:dyDescent="0.25">
      <c r="A6664" s="358"/>
      <c r="B6664" s="361"/>
      <c r="C6664" s="194"/>
      <c r="D6664" s="355" t="s">
        <v>5</v>
      </c>
      <c r="E6664" s="355"/>
      <c r="F6664" s="355"/>
      <c r="G6664" s="355"/>
      <c r="H6664" s="195"/>
      <c r="I6664" s="159"/>
      <c r="J6664" s="195"/>
      <c r="K6664" s="161"/>
      <c r="L6664" s="196"/>
      <c r="M6664" s="197"/>
      <c r="N6664" s="278"/>
      <c r="O6664" s="279">
        <f>O6665+O6674+O6685+O6687+O6698</f>
        <v>1664.094507</v>
      </c>
      <c r="P6664" s="166"/>
      <c r="Q6664" s="166">
        <f t="shared" si="1799"/>
        <v>0</v>
      </c>
      <c r="R6664" s="71"/>
    </row>
    <row r="6665" spans="1:18" s="61" customFormat="1" x14ac:dyDescent="0.25">
      <c r="A6665" s="358"/>
      <c r="B6665" s="361"/>
      <c r="C6665" s="221" t="s">
        <v>70</v>
      </c>
      <c r="D6665" s="355" t="s">
        <v>6</v>
      </c>
      <c r="E6665" s="355"/>
      <c r="F6665" s="355"/>
      <c r="G6665" s="355"/>
      <c r="H6665" s="189"/>
      <c r="I6665" s="159"/>
      <c r="J6665" s="189"/>
      <c r="K6665" s="161"/>
      <c r="L6665" s="190"/>
      <c r="M6665" s="197"/>
      <c r="N6665" s="278"/>
      <c r="O6665" s="279">
        <f>O6666+O6667+O6668+O6669+O6670+O6671+O6672</f>
        <v>630.64822400000003</v>
      </c>
      <c r="P6665" s="166"/>
      <c r="Q6665" s="166">
        <f t="shared" si="1799"/>
        <v>0</v>
      </c>
      <c r="R6665" s="71"/>
    </row>
    <row r="6666" spans="1:18" s="61" customFormat="1" ht="31.5" x14ac:dyDescent="0.25">
      <c r="A6666" s="358"/>
      <c r="B6666" s="361"/>
      <c r="C6666" s="221" t="s">
        <v>72</v>
      </c>
      <c r="D6666" s="222" t="s">
        <v>7</v>
      </c>
      <c r="E6666" s="223" t="s">
        <v>8</v>
      </c>
      <c r="F6666" s="223" t="s">
        <v>8</v>
      </c>
      <c r="G6666" s="238">
        <f>MROUND(H6666*L6666*I6666/K6666,0.00000001)</f>
        <v>9.8636285499999996</v>
      </c>
      <c r="H6666" s="160">
        <f t="shared" ref="H6666:H6672" si="1800">H6375</f>
        <v>12370.227223490891</v>
      </c>
      <c r="I6666" s="159">
        <f>I6660</f>
        <v>9.0899999999999995E-2</v>
      </c>
      <c r="J6666" s="160"/>
      <c r="K6666" s="161">
        <f>K6660</f>
        <v>114</v>
      </c>
      <c r="L6666" s="250">
        <v>1</v>
      </c>
      <c r="M6666" s="163" t="str">
        <f>CONCATENATE(H6666," ",F6666,"(лимиты выделенные УЖКХ) ","*",I6666,"/",K6666,"чел/час")</f>
        <v>12370,2272234909 кВт час.(лимиты выделенные УЖКХ) *0,0909/114чел/час</v>
      </c>
      <c r="N6666" s="278">
        <f t="shared" ref="N6666:N6672" si="1801">N6375</f>
        <v>10.942938036169672</v>
      </c>
      <c r="O6666" s="280">
        <f t="shared" ref="O6666:O6672" si="1802">MROUND(N6666*G6666,0.000001)</f>
        <v>107.93707599999999</v>
      </c>
      <c r="P6666" s="166"/>
      <c r="Q6666" s="166">
        <f t="shared" si="1799"/>
        <v>12304.826663999998</v>
      </c>
      <c r="R6666" s="71"/>
    </row>
    <row r="6667" spans="1:18" s="61" customFormat="1" ht="31.5" x14ac:dyDescent="0.25">
      <c r="A6667" s="358"/>
      <c r="B6667" s="361"/>
      <c r="C6667" s="221" t="s">
        <v>73</v>
      </c>
      <c r="D6667" s="222" t="s">
        <v>9</v>
      </c>
      <c r="E6667" s="223" t="s">
        <v>10</v>
      </c>
      <c r="F6667" s="223" t="s">
        <v>10</v>
      </c>
      <c r="G6667" s="238">
        <f>MROUND(H6667*L6667*I6667/K6667,0.00000001)</f>
        <v>0.13555263000000001</v>
      </c>
      <c r="H6667" s="160">
        <f t="shared" si="1800"/>
        <v>170</v>
      </c>
      <c r="I6667" s="159">
        <f t="shared" ref="I6667:I6672" si="1803">I6666</f>
        <v>9.0899999999999995E-2</v>
      </c>
      <c r="J6667" s="160"/>
      <c r="K6667" s="161">
        <f t="shared" ref="K6667:K6672" si="1804">K6666</f>
        <v>114</v>
      </c>
      <c r="L6667" s="250">
        <v>1</v>
      </c>
      <c r="M6667" s="163" t="str">
        <f>CONCATENATE(H6667," ",F6667,"(лимиты выделенные УЖКХ) ","*",I6667,"/",K6667,"чел/час")</f>
        <v>170 Гкал(лимиты выделенные УЖКХ) *0,0909/114чел/час</v>
      </c>
      <c r="N6667" s="278">
        <f t="shared" si="1801"/>
        <v>2976.2517647058821</v>
      </c>
      <c r="O6667" s="280">
        <f t="shared" si="1802"/>
        <v>403.43875399999996</v>
      </c>
      <c r="P6667" s="166"/>
      <c r="Q6667" s="166">
        <f t="shared" si="1799"/>
        <v>45992.017955999996</v>
      </c>
      <c r="R6667" s="71"/>
    </row>
    <row r="6668" spans="1:18" s="61" customFormat="1" ht="31.5" x14ac:dyDescent="0.25">
      <c r="A6668" s="358"/>
      <c r="B6668" s="361"/>
      <c r="C6668" s="364" t="s">
        <v>74</v>
      </c>
      <c r="D6668" s="222" t="s">
        <v>12</v>
      </c>
      <c r="E6668" s="222" t="s">
        <v>11</v>
      </c>
      <c r="F6668" s="222" t="s">
        <v>11</v>
      </c>
      <c r="G6668" s="238">
        <f>MROUND(H6668*L6668*I6668/K6668,0.000001)</f>
        <v>0.282524</v>
      </c>
      <c r="H6668" s="224">
        <f t="shared" si="1800"/>
        <v>354.32</v>
      </c>
      <c r="I6668" s="159">
        <f t="shared" si="1803"/>
        <v>9.0899999999999995E-2</v>
      </c>
      <c r="J6668" s="160"/>
      <c r="K6668" s="161">
        <f t="shared" si="1804"/>
        <v>114</v>
      </c>
      <c r="L6668" s="250">
        <v>1</v>
      </c>
      <c r="M6668" s="163" t="str">
        <f>CONCATENATE(H6668," ",F6668,"(лимиты выделенные УЖКХ) ","*",I6668,"/",K6668,"чел/час")</f>
        <v>354,32 м3(лимиты выделенные УЖКХ) *0,0909/114чел/час</v>
      </c>
      <c r="N6668" s="278">
        <f t="shared" si="1801"/>
        <v>54.214180119665841</v>
      </c>
      <c r="O6668" s="280">
        <f t="shared" si="1802"/>
        <v>15.316806999999999</v>
      </c>
      <c r="P6668" s="166"/>
      <c r="Q6668" s="166">
        <f>O6668*K6668</f>
        <v>1746.115998</v>
      </c>
      <c r="R6668" s="71"/>
    </row>
    <row r="6669" spans="1:18" s="61" customFormat="1" ht="47.25" x14ac:dyDescent="0.25">
      <c r="A6669" s="358"/>
      <c r="B6669" s="361"/>
      <c r="C6669" s="364"/>
      <c r="D6669" s="222" t="s">
        <v>17</v>
      </c>
      <c r="E6669" s="222" t="s">
        <v>11</v>
      </c>
      <c r="F6669" s="222" t="s">
        <v>11</v>
      </c>
      <c r="G6669" s="238">
        <f>MROUND(H6669*L6669*I6669/K6669,0.00000001)</f>
        <v>0.28252358</v>
      </c>
      <c r="H6669" s="160">
        <f t="shared" si="1800"/>
        <v>354.32</v>
      </c>
      <c r="I6669" s="159">
        <f t="shared" si="1803"/>
        <v>9.0899999999999995E-2</v>
      </c>
      <c r="J6669" s="160"/>
      <c r="K6669" s="161">
        <f t="shared" si="1804"/>
        <v>114</v>
      </c>
      <c r="L6669" s="162">
        <f>$L$25</f>
        <v>1</v>
      </c>
      <c r="M6669" s="163" t="str">
        <f>CONCATENATE(H6669," ",F6669,"(лимиты выделенные УЖКХ) ","*",I6669,"/",K6669,"чел/час")</f>
        <v>354,32 м3(лимиты выделенные УЖКХ) *0,0909/114чел/час</v>
      </c>
      <c r="N6669" s="164">
        <f t="shared" si="1801"/>
        <v>82.384170780821918</v>
      </c>
      <c r="O6669" s="280">
        <f t="shared" si="1802"/>
        <v>23.275471</v>
      </c>
      <c r="P6669" s="166"/>
      <c r="Q6669" s="166">
        <f>O6669*K6669</f>
        <v>2653.4036940000001</v>
      </c>
      <c r="R6669" s="71"/>
    </row>
    <row r="6670" spans="1:18" s="61" customFormat="1" ht="31.5" x14ac:dyDescent="0.25">
      <c r="A6670" s="358"/>
      <c r="B6670" s="361"/>
      <c r="C6670" s="364"/>
      <c r="D6670" s="222" t="s">
        <v>13</v>
      </c>
      <c r="E6670" s="222" t="s">
        <v>11</v>
      </c>
      <c r="F6670" s="222" t="s">
        <v>11</v>
      </c>
      <c r="G6670" s="238">
        <f>MROUND(H6670*L6670*I6670/K6670,0.00000001)</f>
        <v>0.28252358</v>
      </c>
      <c r="H6670" s="160">
        <f t="shared" si="1800"/>
        <v>354.32</v>
      </c>
      <c r="I6670" s="159">
        <f t="shared" si="1803"/>
        <v>9.0899999999999995E-2</v>
      </c>
      <c r="J6670" s="160"/>
      <c r="K6670" s="161">
        <f t="shared" si="1804"/>
        <v>114</v>
      </c>
      <c r="L6670" s="162">
        <v>1</v>
      </c>
      <c r="M6670" s="163" t="str">
        <f>CONCATENATE(H6670," ",F6670,"(лимиты выделенные УЖКХ) ","*",I6670,"/",K6670,"чел/час")</f>
        <v>354,32 м3(лимиты выделенные УЖКХ) *0,0909/114чел/час</v>
      </c>
      <c r="N6670" s="278">
        <f t="shared" si="1801"/>
        <v>100.60429077934968</v>
      </c>
      <c r="O6670" s="280">
        <f t="shared" si="1802"/>
        <v>28.423083999999999</v>
      </c>
      <c r="P6670" s="166"/>
      <c r="Q6670" s="166">
        <f>O6670*K6670</f>
        <v>3240.2315760000001</v>
      </c>
      <c r="R6670" s="71"/>
    </row>
    <row r="6671" spans="1:18" s="61" customFormat="1" x14ac:dyDescent="0.25">
      <c r="A6671" s="358"/>
      <c r="B6671" s="361"/>
      <c r="C6671" s="364" t="s">
        <v>216</v>
      </c>
      <c r="D6671" s="222" t="s">
        <v>23</v>
      </c>
      <c r="E6671" s="222" t="s">
        <v>11</v>
      </c>
      <c r="F6671" s="222" t="s">
        <v>11</v>
      </c>
      <c r="G6671" s="238">
        <f>MROUND(H6671*L6671*I6671/K6671,0.00000001)</f>
        <v>5.0521259999999998E-2</v>
      </c>
      <c r="H6671" s="160">
        <f t="shared" si="1800"/>
        <v>63.36</v>
      </c>
      <c r="I6671" s="159">
        <f t="shared" si="1803"/>
        <v>9.0899999999999995E-2</v>
      </c>
      <c r="J6671" s="160"/>
      <c r="K6671" s="161">
        <f t="shared" si="1804"/>
        <v>114</v>
      </c>
      <c r="L6671" s="162">
        <v>1</v>
      </c>
      <c r="M6671" s="163" t="str">
        <f>CONCATENATE(H6671," ",F6671," ","*",I6671,"/",K6671,"чел/час")</f>
        <v>63,36 м3 *0,0909/114чел/час</v>
      </c>
      <c r="N6671" s="164">
        <f t="shared" si="1801"/>
        <v>687.25773358585866</v>
      </c>
      <c r="O6671" s="280">
        <f t="shared" si="1802"/>
        <v>34.721126999999996</v>
      </c>
      <c r="P6671" s="166"/>
      <c r="Q6671" s="166">
        <f>O6671*K6671</f>
        <v>3958.2084779999996</v>
      </c>
      <c r="R6671" s="71"/>
    </row>
    <row r="6672" spans="1:18" s="61" customFormat="1" ht="47.25" x14ac:dyDescent="0.25">
      <c r="A6672" s="358"/>
      <c r="B6672" s="361"/>
      <c r="C6672" s="364"/>
      <c r="D6672" s="222" t="s">
        <v>24</v>
      </c>
      <c r="E6672" s="222" t="s">
        <v>25</v>
      </c>
      <c r="F6672" s="222" t="s">
        <v>248</v>
      </c>
      <c r="G6672" s="238">
        <f>MROUND(H6672*L6672*I6672/K6672,0.00000001)</f>
        <v>3.1894700000000002E-3</v>
      </c>
      <c r="H6672" s="160">
        <f t="shared" si="1800"/>
        <v>4</v>
      </c>
      <c r="I6672" s="159">
        <f t="shared" si="1803"/>
        <v>9.0899999999999995E-2</v>
      </c>
      <c r="J6672" s="160"/>
      <c r="K6672" s="161">
        <f t="shared" si="1804"/>
        <v>114</v>
      </c>
      <c r="L6672" s="250">
        <v>1</v>
      </c>
      <c r="M6672" s="163" t="str">
        <f>CONCATENATE(H6672," ",F6672,"(потребность из расчета 4 контейнера для уборки территории весной и осенью на 1 учреждение)","*",I6672,"/",K6672,"чел/час")</f>
        <v>4 контейнеров(потребность из расчета 4 контейнера для уборки территории весной и осенью на 1 учреждение)*0,0909/114чел/час</v>
      </c>
      <c r="N6672" s="278">
        <f t="shared" si="1801"/>
        <v>5498.0625</v>
      </c>
      <c r="O6672" s="280">
        <f t="shared" si="1802"/>
        <v>17.535905</v>
      </c>
      <c r="P6672" s="166"/>
      <c r="Q6672" s="166">
        <f>O6672*K6672</f>
        <v>1999.0931699999999</v>
      </c>
      <c r="R6672" s="71"/>
    </row>
    <row r="6673" spans="1:18" s="62" customFormat="1" x14ac:dyDescent="0.25">
      <c r="A6673" s="358"/>
      <c r="B6673" s="361"/>
      <c r="C6673" s="218" t="s">
        <v>290</v>
      </c>
      <c r="D6673" s="226"/>
      <c r="E6673" s="226"/>
      <c r="F6673" s="226"/>
      <c r="G6673" s="227"/>
      <c r="H6673" s="228"/>
      <c r="I6673" s="206"/>
      <c r="J6673" s="228"/>
      <c r="K6673" s="207"/>
      <c r="L6673" s="257"/>
      <c r="M6673" s="209"/>
      <c r="N6673" s="281"/>
      <c r="O6673" s="279">
        <f>SUM(O6666:O6672)</f>
        <v>630.64822400000003</v>
      </c>
      <c r="P6673" s="267"/>
      <c r="Q6673" s="166"/>
      <c r="R6673" s="71"/>
    </row>
    <row r="6674" spans="1:18" s="61" customFormat="1" x14ac:dyDescent="0.25">
      <c r="A6674" s="358"/>
      <c r="B6674" s="361"/>
      <c r="C6674" s="221"/>
      <c r="D6674" s="356" t="s">
        <v>14</v>
      </c>
      <c r="E6674" s="356"/>
      <c r="F6674" s="356"/>
      <c r="G6674" s="356"/>
      <c r="H6674" s="188"/>
      <c r="I6674" s="159"/>
      <c r="J6674" s="188"/>
      <c r="K6674" s="161"/>
      <c r="L6674" s="250"/>
      <c r="M6674" s="230"/>
      <c r="N6674" s="278"/>
      <c r="O6674" s="279">
        <f>O6678+O6682+O6684</f>
        <v>0</v>
      </c>
      <c r="P6674" s="166"/>
      <c r="Q6674" s="166">
        <f t="shared" ref="Q6674:Q6677" si="1805">O6674*K6674</f>
        <v>0</v>
      </c>
      <c r="R6674" s="71"/>
    </row>
    <row r="6675" spans="1:18" s="61" customFormat="1" x14ac:dyDescent="0.25">
      <c r="A6675" s="358"/>
      <c r="B6675" s="361"/>
      <c r="C6675" s="365" t="s">
        <v>379</v>
      </c>
      <c r="D6675" s="231" t="s">
        <v>49</v>
      </c>
      <c r="E6675" s="231" t="s">
        <v>22</v>
      </c>
      <c r="F6675" s="231" t="s">
        <v>22</v>
      </c>
      <c r="G6675" s="238">
        <f>MROUND(H6675*L6675*I6675/K6675,0.000001)</f>
        <v>0</v>
      </c>
      <c r="H6675" s="160"/>
      <c r="I6675" s="159">
        <f>I6670</f>
        <v>9.0899999999999995E-2</v>
      </c>
      <c r="J6675" s="160"/>
      <c r="K6675" s="161">
        <f>K6670</f>
        <v>114</v>
      </c>
      <c r="L6675" s="250"/>
      <c r="M6675" s="163"/>
      <c r="N6675" s="278"/>
      <c r="O6675" s="280">
        <f>MROUND(N6675*G6675,0.000001)</f>
        <v>0</v>
      </c>
      <c r="P6675" s="166"/>
      <c r="Q6675" s="166">
        <f t="shared" si="1805"/>
        <v>0</v>
      </c>
      <c r="R6675" s="71"/>
    </row>
    <row r="6676" spans="1:18" s="61" customFormat="1" x14ac:dyDescent="0.25">
      <c r="A6676" s="358"/>
      <c r="B6676" s="361"/>
      <c r="C6676" s="366"/>
      <c r="D6676" s="231" t="s">
        <v>49</v>
      </c>
      <c r="E6676" s="231" t="s">
        <v>28</v>
      </c>
      <c r="F6676" s="231" t="s">
        <v>28</v>
      </c>
      <c r="G6676" s="238">
        <f>MROUND(H6676*L6676*I6676/K6676,0.00000001)</f>
        <v>0</v>
      </c>
      <c r="H6676" s="160"/>
      <c r="I6676" s="159">
        <f>I6670</f>
        <v>9.0899999999999995E-2</v>
      </c>
      <c r="J6676" s="160"/>
      <c r="K6676" s="161">
        <f>K6670</f>
        <v>114</v>
      </c>
      <c r="L6676" s="250">
        <v>1</v>
      </c>
      <c r="M6676" s="163"/>
      <c r="N6676" s="278"/>
      <c r="O6676" s="280">
        <f>MROUND(N6676*G6676,0.000001)</f>
        <v>0</v>
      </c>
      <c r="P6676" s="166"/>
      <c r="Q6676" s="166">
        <f t="shared" si="1805"/>
        <v>0</v>
      </c>
      <c r="R6676" s="71"/>
    </row>
    <row r="6677" spans="1:18" s="61" customFormat="1" x14ac:dyDescent="0.25">
      <c r="A6677" s="358"/>
      <c r="B6677" s="361"/>
      <c r="C6677" s="367"/>
      <c r="D6677" s="231" t="s">
        <v>49</v>
      </c>
      <c r="E6677" s="231" t="s">
        <v>101</v>
      </c>
      <c r="F6677" s="231" t="s">
        <v>101</v>
      </c>
      <c r="G6677" s="238">
        <f>MROUND(H6677*L6677*I6677/K6677,0.00000001)</f>
        <v>0</v>
      </c>
      <c r="H6677" s="160"/>
      <c r="I6677" s="159">
        <f>I6675</f>
        <v>9.0899999999999995E-2</v>
      </c>
      <c r="J6677" s="160"/>
      <c r="K6677" s="161">
        <f>K6675</f>
        <v>114</v>
      </c>
      <c r="L6677" s="250">
        <v>1</v>
      </c>
      <c r="M6677" s="163"/>
      <c r="N6677" s="278"/>
      <c r="O6677" s="280">
        <f>MROUND(N6677*G6677,0.000001)</f>
        <v>0</v>
      </c>
      <c r="P6677" s="166"/>
      <c r="Q6677" s="166">
        <f t="shared" si="1805"/>
        <v>0</v>
      </c>
      <c r="R6677" s="71"/>
    </row>
    <row r="6678" spans="1:18" s="62" customFormat="1" x14ac:dyDescent="0.25">
      <c r="A6678" s="358"/>
      <c r="B6678" s="361"/>
      <c r="C6678" s="218" t="s">
        <v>380</v>
      </c>
      <c r="D6678" s="232"/>
      <c r="E6678" s="232"/>
      <c r="F6678" s="232"/>
      <c r="G6678" s="227"/>
      <c r="H6678" s="228"/>
      <c r="I6678" s="206"/>
      <c r="J6678" s="228"/>
      <c r="K6678" s="207"/>
      <c r="L6678" s="257"/>
      <c r="M6678" s="209"/>
      <c r="N6678" s="281"/>
      <c r="O6678" s="279">
        <f>O6675+O6677+O6676</f>
        <v>0</v>
      </c>
      <c r="P6678" s="267"/>
      <c r="Q6678" s="166"/>
      <c r="R6678" s="71"/>
    </row>
    <row r="6679" spans="1:18" s="61" customFormat="1" x14ac:dyDescent="0.25">
      <c r="A6679" s="358"/>
      <c r="B6679" s="361"/>
      <c r="C6679" s="365" t="s">
        <v>76</v>
      </c>
      <c r="D6679" s="231" t="s">
        <v>49</v>
      </c>
      <c r="E6679" s="231" t="s">
        <v>22</v>
      </c>
      <c r="F6679" s="231" t="s">
        <v>22</v>
      </c>
      <c r="G6679" s="238">
        <f>MROUND(H6679*L6679*I6679/K6679,0.000001)</f>
        <v>0</v>
      </c>
      <c r="H6679" s="160"/>
      <c r="I6679" s="159">
        <f>I6675</f>
        <v>9.0899999999999995E-2</v>
      </c>
      <c r="J6679" s="160"/>
      <c r="K6679" s="161">
        <f>K6675</f>
        <v>114</v>
      </c>
      <c r="L6679" s="250">
        <v>1</v>
      </c>
      <c r="M6679" s="163"/>
      <c r="N6679" s="278"/>
      <c r="O6679" s="280">
        <f>MROUND(N6679*G6679,0.000001)</f>
        <v>0</v>
      </c>
      <c r="P6679" s="166"/>
      <c r="Q6679" s="166">
        <f t="shared" ref="Q6679" si="1806">O6679*K6679</f>
        <v>0</v>
      </c>
      <c r="R6679" s="71"/>
    </row>
    <row r="6680" spans="1:18" s="61" customFormat="1" x14ac:dyDescent="0.25">
      <c r="A6680" s="358"/>
      <c r="B6680" s="361"/>
      <c r="C6680" s="366"/>
      <c r="D6680" s="231" t="s">
        <v>49</v>
      </c>
      <c r="E6680" s="231" t="s">
        <v>28</v>
      </c>
      <c r="F6680" s="231" t="s">
        <v>28</v>
      </c>
      <c r="G6680" s="238">
        <f>MROUND(H6680*L6680*I6680/K6680,0.000001)</f>
        <v>0</v>
      </c>
      <c r="H6680" s="160"/>
      <c r="I6680" s="159">
        <f>I6675</f>
        <v>9.0899999999999995E-2</v>
      </c>
      <c r="J6680" s="160"/>
      <c r="K6680" s="161">
        <f>K6675</f>
        <v>114</v>
      </c>
      <c r="L6680" s="250">
        <v>1</v>
      </c>
      <c r="M6680" s="163"/>
      <c r="N6680" s="278"/>
      <c r="O6680" s="280">
        <f>MROUND(N6680*G6680,0.000001)</f>
        <v>0</v>
      </c>
      <c r="P6680" s="166"/>
      <c r="Q6680" s="166">
        <f>O6680*K6680</f>
        <v>0</v>
      </c>
      <c r="R6680" s="71"/>
    </row>
    <row r="6681" spans="1:18" s="61" customFormat="1" x14ac:dyDescent="0.25">
      <c r="A6681" s="358"/>
      <c r="B6681" s="361"/>
      <c r="C6681" s="367"/>
      <c r="D6681" s="231" t="s">
        <v>49</v>
      </c>
      <c r="E6681" s="231" t="s">
        <v>101</v>
      </c>
      <c r="F6681" s="231" t="s">
        <v>101</v>
      </c>
      <c r="G6681" s="238">
        <f>MROUND(H6681*L6681*I6681/K6681,0.000001)</f>
        <v>0</v>
      </c>
      <c r="H6681" s="160"/>
      <c r="I6681" s="159">
        <f>I6676</f>
        <v>9.0899999999999995E-2</v>
      </c>
      <c r="J6681" s="160"/>
      <c r="K6681" s="161">
        <f>K6676</f>
        <v>114</v>
      </c>
      <c r="L6681" s="250">
        <v>1</v>
      </c>
      <c r="M6681" s="163"/>
      <c r="N6681" s="278"/>
      <c r="O6681" s="280">
        <f>MROUND(N6681*G6681,0.000001)</f>
        <v>0</v>
      </c>
      <c r="P6681" s="166"/>
      <c r="Q6681" s="166">
        <f t="shared" ref="Q6681" si="1807">O6681*K6681</f>
        <v>0</v>
      </c>
      <c r="R6681" s="71"/>
    </row>
    <row r="6682" spans="1:18" s="62" customFormat="1" x14ac:dyDescent="0.25">
      <c r="A6682" s="358"/>
      <c r="B6682" s="361"/>
      <c r="C6682" s="218" t="s">
        <v>291</v>
      </c>
      <c r="D6682" s="232"/>
      <c r="E6682" s="232"/>
      <c r="F6682" s="232"/>
      <c r="G6682" s="227"/>
      <c r="H6682" s="228"/>
      <c r="I6682" s="206"/>
      <c r="J6682" s="228"/>
      <c r="K6682" s="207"/>
      <c r="L6682" s="257"/>
      <c r="M6682" s="209"/>
      <c r="N6682" s="281"/>
      <c r="O6682" s="279">
        <f>O6679+O6681</f>
        <v>0</v>
      </c>
      <c r="P6682" s="267"/>
      <c r="Q6682" s="166"/>
      <c r="R6682" s="71"/>
    </row>
    <row r="6683" spans="1:18" s="61" customFormat="1" x14ac:dyDescent="0.25">
      <c r="A6683" s="358"/>
      <c r="B6683" s="361"/>
      <c r="C6683" s="221" t="s">
        <v>77</v>
      </c>
      <c r="D6683" s="231"/>
      <c r="E6683" s="231"/>
      <c r="F6683" s="231"/>
      <c r="G6683" s="238">
        <f>MROUND(H6683*L6683*I6683/K6683,0.000001)</f>
        <v>0</v>
      </c>
      <c r="H6683" s="160"/>
      <c r="I6683" s="159">
        <f>I6679</f>
        <v>9.0899999999999995E-2</v>
      </c>
      <c r="J6683" s="160"/>
      <c r="K6683" s="161">
        <f>K6679</f>
        <v>114</v>
      </c>
      <c r="L6683" s="250"/>
      <c r="M6683" s="163"/>
      <c r="N6683" s="278"/>
      <c r="O6683" s="280">
        <f>MROUND(N6683*G6683,0.000001)</f>
        <v>0</v>
      </c>
      <c r="P6683" s="166"/>
      <c r="Q6683" s="166">
        <f t="shared" ref="Q6683" si="1808">O6683*K6683</f>
        <v>0</v>
      </c>
      <c r="R6683" s="71"/>
    </row>
    <row r="6684" spans="1:18" s="62" customFormat="1" x14ac:dyDescent="0.25">
      <c r="A6684" s="358"/>
      <c r="B6684" s="361"/>
      <c r="C6684" s="218" t="s">
        <v>292</v>
      </c>
      <c r="D6684" s="232"/>
      <c r="E6684" s="232"/>
      <c r="F6684" s="232"/>
      <c r="G6684" s="227"/>
      <c r="H6684" s="228"/>
      <c r="I6684" s="206"/>
      <c r="J6684" s="228"/>
      <c r="K6684" s="207"/>
      <c r="L6684" s="257"/>
      <c r="M6684" s="209"/>
      <c r="N6684" s="281"/>
      <c r="O6684" s="279">
        <f>O6683</f>
        <v>0</v>
      </c>
      <c r="P6684" s="267"/>
      <c r="Q6684" s="166"/>
      <c r="R6684" s="71"/>
    </row>
    <row r="6685" spans="1:18" s="61" customFormat="1" x14ac:dyDescent="0.25">
      <c r="A6685" s="358"/>
      <c r="B6685" s="361"/>
      <c r="C6685" s="221"/>
      <c r="D6685" s="350" t="s">
        <v>65</v>
      </c>
      <c r="E6685" s="350"/>
      <c r="F6685" s="350"/>
      <c r="G6685" s="350"/>
      <c r="H6685" s="195"/>
      <c r="I6685" s="159"/>
      <c r="J6685" s="195"/>
      <c r="K6685" s="161"/>
      <c r="L6685" s="196"/>
      <c r="M6685" s="230"/>
      <c r="N6685" s="278"/>
      <c r="O6685" s="280"/>
      <c r="P6685" s="166"/>
      <c r="Q6685" s="166">
        <f t="shared" ref="Q6685:Q6692" si="1809">O6685*K6685</f>
        <v>0</v>
      </c>
      <c r="R6685" s="71"/>
    </row>
    <row r="6686" spans="1:18" s="61" customFormat="1" x14ac:dyDescent="0.25">
      <c r="A6686" s="358"/>
      <c r="B6686" s="361"/>
      <c r="C6686" s="221"/>
      <c r="D6686" s="194"/>
      <c r="E6686" s="194"/>
      <c r="F6686" s="194"/>
      <c r="G6686" s="217"/>
      <c r="H6686" s="195"/>
      <c r="I6686" s="159"/>
      <c r="J6686" s="195"/>
      <c r="K6686" s="161"/>
      <c r="L6686" s="196"/>
      <c r="M6686" s="230"/>
      <c r="N6686" s="278"/>
      <c r="O6686" s="280"/>
      <c r="P6686" s="166"/>
      <c r="Q6686" s="166">
        <f t="shared" si="1809"/>
        <v>0</v>
      </c>
      <c r="R6686" s="71"/>
    </row>
    <row r="6687" spans="1:18" s="61" customFormat="1" x14ac:dyDescent="0.25">
      <c r="A6687" s="358"/>
      <c r="B6687" s="361"/>
      <c r="C6687" s="221" t="s">
        <v>357</v>
      </c>
      <c r="D6687" s="368" t="s">
        <v>66</v>
      </c>
      <c r="E6687" s="368"/>
      <c r="F6687" s="368"/>
      <c r="G6687" s="368"/>
      <c r="H6687" s="195"/>
      <c r="I6687" s="159"/>
      <c r="J6687" s="195"/>
      <c r="K6687" s="161"/>
      <c r="L6687" s="196"/>
      <c r="M6687" s="230"/>
      <c r="N6687" s="278"/>
      <c r="O6687" s="279">
        <f>SUM(O6688:O6692)</f>
        <v>139.17631400000002</v>
      </c>
      <c r="P6687" s="166"/>
      <c r="Q6687" s="166">
        <f t="shared" si="1809"/>
        <v>0</v>
      </c>
      <c r="R6687" s="71"/>
    </row>
    <row r="6688" spans="1:18" s="61" customFormat="1" x14ac:dyDescent="0.25">
      <c r="A6688" s="358"/>
      <c r="B6688" s="361"/>
      <c r="C6688" s="365"/>
      <c r="D6688" s="284" t="s">
        <v>241</v>
      </c>
      <c r="E6688" s="156" t="s">
        <v>28</v>
      </c>
      <c r="F6688" s="156" t="s">
        <v>28</v>
      </c>
      <c r="G6688" s="238">
        <f>MROUND(H6688*L6688*I6688/K6688,0.000000001)</f>
        <v>4.7842105000000003E-2</v>
      </c>
      <c r="H6688" s="158">
        <f>H6397</f>
        <v>5</v>
      </c>
      <c r="I6688" s="159">
        <f>I6679</f>
        <v>9.0899999999999995E-2</v>
      </c>
      <c r="J6688" s="160"/>
      <c r="K6688" s="161">
        <f>K6679</f>
        <v>114</v>
      </c>
      <c r="L6688" s="250">
        <v>12</v>
      </c>
      <c r="M6688" s="163" t="str">
        <f>CONCATENATE(H6688," ",F6688,"*",L6688,"мес.","*",I6688,"/",K6688,"чел/час")</f>
        <v>5 шт*12мес.*0,0909/114чел/час</v>
      </c>
      <c r="N6688" s="278">
        <f>N6397</f>
        <v>291.41983333333332</v>
      </c>
      <c r="O6688" s="280">
        <f>MROUND(N6688*G6688,0.000001)</f>
        <v>13.942138</v>
      </c>
      <c r="P6688" s="166"/>
      <c r="Q6688" s="166">
        <f t="shared" si="1809"/>
        <v>1589.403732</v>
      </c>
      <c r="R6688" s="71"/>
    </row>
    <row r="6689" spans="1:41" s="61" customFormat="1" x14ac:dyDescent="0.25">
      <c r="A6689" s="358"/>
      <c r="B6689" s="361"/>
      <c r="C6689" s="366"/>
      <c r="D6689" s="284" t="s">
        <v>242</v>
      </c>
      <c r="E6689" s="156" t="s">
        <v>243</v>
      </c>
      <c r="F6689" s="156" t="s">
        <v>243</v>
      </c>
      <c r="G6689" s="238">
        <f>MROUND(H6689*L6689*I6689/K6689,0.00000001)</f>
        <v>67.285136840000007</v>
      </c>
      <c r="H6689" s="158">
        <v>7032</v>
      </c>
      <c r="I6689" s="159">
        <f>I6688</f>
        <v>9.0899999999999995E-2</v>
      </c>
      <c r="J6689" s="160"/>
      <c r="K6689" s="161">
        <f>K6688</f>
        <v>114</v>
      </c>
      <c r="L6689" s="250">
        <v>12</v>
      </c>
      <c r="M6689" s="163" t="str">
        <f>CONCATENATE(H6689," ",F6689,"*",L6689,"мес.","*",I6689,"/",K6689,"чел/час")</f>
        <v>7032 мин.*12мес.*0,0909/114чел/час</v>
      </c>
      <c r="N6689" s="278">
        <f>N6398</f>
        <v>0.82090076317785365</v>
      </c>
      <c r="O6689" s="280">
        <f>MROUND(N6689*G6689,0.000001)</f>
        <v>55.23442</v>
      </c>
      <c r="P6689" s="166"/>
      <c r="Q6689" s="166">
        <f t="shared" si="1809"/>
        <v>6296.7238799999996</v>
      </c>
      <c r="R6689" s="71"/>
    </row>
    <row r="6690" spans="1:41" s="61" customFormat="1" ht="31.5" x14ac:dyDescent="0.25">
      <c r="A6690" s="358"/>
      <c r="B6690" s="361"/>
      <c r="C6690" s="366"/>
      <c r="D6690" s="285" t="s">
        <v>244</v>
      </c>
      <c r="E6690" s="286" t="s">
        <v>245</v>
      </c>
      <c r="F6690" s="286" t="s">
        <v>247</v>
      </c>
      <c r="G6690" s="238">
        <f>MROUND(H6690*L6690*I6690/K6690,0.000001)</f>
        <v>9.5680000000000001E-3</v>
      </c>
      <c r="H6690" s="158">
        <v>1</v>
      </c>
      <c r="I6690" s="159">
        <f>I6689</f>
        <v>9.0899999999999995E-2</v>
      </c>
      <c r="J6690" s="160"/>
      <c r="K6690" s="161">
        <f>K6689</f>
        <v>114</v>
      </c>
      <c r="L6690" s="250">
        <v>12</v>
      </c>
      <c r="M6690" s="163" t="str">
        <f>CONCATENATE(H6690," ",F6690,"*",L6690,"мес.","*",I6690,"/",K6690,"чел/час")</f>
        <v>1 радиоточек*12мес.*0,0909/114чел/час</v>
      </c>
      <c r="N6690" s="278">
        <f>N6399</f>
        <v>173.30166666666665</v>
      </c>
      <c r="O6690" s="280">
        <f>MROUND(N6690*G6690,0.000001)</f>
        <v>1.65815</v>
      </c>
      <c r="P6690" s="166"/>
      <c r="Q6690" s="166">
        <f t="shared" si="1809"/>
        <v>189.0291</v>
      </c>
      <c r="R6690" s="71"/>
    </row>
    <row r="6691" spans="1:41" s="61" customFormat="1" ht="47.25" x14ac:dyDescent="0.25">
      <c r="A6691" s="358"/>
      <c r="B6691" s="361"/>
      <c r="C6691" s="366"/>
      <c r="D6691" s="285" t="s">
        <v>374</v>
      </c>
      <c r="E6691" s="156" t="s">
        <v>28</v>
      </c>
      <c r="F6691" s="156" t="s">
        <v>28</v>
      </c>
      <c r="G6691" s="238">
        <f>MROUND(H6691*L6691*I6691/K6691,0.000001)</f>
        <v>1.9136999999999998E-2</v>
      </c>
      <c r="H6691" s="158">
        <f>H6400</f>
        <v>6</v>
      </c>
      <c r="I6691" s="159">
        <f>I6689</f>
        <v>9.0899999999999995E-2</v>
      </c>
      <c r="J6691" s="160"/>
      <c r="K6691" s="161">
        <f>K6689</f>
        <v>114</v>
      </c>
      <c r="L6691" s="250">
        <f>L6400</f>
        <v>4</v>
      </c>
      <c r="M6691" s="163" t="str">
        <f>CONCATENATE(H6691," ",F6691,"*",L6691,"мес.","*",I6691,"/",K6691,"чел/час")</f>
        <v>6 шт*4мес.*0,0909/114чел/час</v>
      </c>
      <c r="N6691" s="278">
        <f>N6400</f>
        <v>1313.8174999999999</v>
      </c>
      <c r="O6691" s="280">
        <f>MROUND(N6691*G6691,0.000001)</f>
        <v>25.142524999999999</v>
      </c>
      <c r="P6691" s="166"/>
      <c r="Q6691" s="166">
        <f t="shared" si="1809"/>
        <v>2866.2478499999997</v>
      </c>
      <c r="R6691" s="71"/>
    </row>
    <row r="6692" spans="1:41" s="61" customFormat="1" x14ac:dyDescent="0.25">
      <c r="A6692" s="358"/>
      <c r="B6692" s="361"/>
      <c r="C6692" s="367"/>
      <c r="D6692" s="284" t="s">
        <v>246</v>
      </c>
      <c r="E6692" s="156" t="s">
        <v>28</v>
      </c>
      <c r="F6692" s="156" t="s">
        <v>28</v>
      </c>
      <c r="G6692" s="238">
        <f>MROUND(H6692*L6692*I6692/K6692,0.000001)</f>
        <v>9.5680000000000001E-3</v>
      </c>
      <c r="H6692" s="158">
        <v>1</v>
      </c>
      <c r="I6692" s="159">
        <f>I6690</f>
        <v>9.0899999999999995E-2</v>
      </c>
      <c r="J6692" s="160"/>
      <c r="K6692" s="161">
        <f>K6690</f>
        <v>114</v>
      </c>
      <c r="L6692" s="250">
        <v>12</v>
      </c>
      <c r="M6692" s="163" t="str">
        <f>CONCATENATE(H6692," ",F6692,"*",L6692,"мес.","*",I6692,"/",K6692,"чел/час")</f>
        <v>1 шт*12мес.*0,0909/114чел/час</v>
      </c>
      <c r="N6692" s="278">
        <f>N6401</f>
        <v>4514.9541666666673</v>
      </c>
      <c r="O6692" s="280">
        <f>MROUND(N6692*G6692,0.000001)</f>
        <v>43.199081</v>
      </c>
      <c r="P6692" s="166"/>
      <c r="Q6692" s="166">
        <f t="shared" si="1809"/>
        <v>4924.6952339999998</v>
      </c>
      <c r="R6692" s="71"/>
    </row>
    <row r="6693" spans="1:41" s="62" customFormat="1" x14ac:dyDescent="0.25">
      <c r="A6693" s="358"/>
      <c r="B6693" s="361"/>
      <c r="C6693" s="218" t="s">
        <v>358</v>
      </c>
      <c r="D6693" s="287"/>
      <c r="E6693" s="287"/>
      <c r="F6693" s="287"/>
      <c r="G6693" s="288"/>
      <c r="H6693" s="214"/>
      <c r="I6693" s="206"/>
      <c r="J6693" s="214"/>
      <c r="K6693" s="207"/>
      <c r="L6693" s="215"/>
      <c r="M6693" s="289"/>
      <c r="N6693" s="281"/>
      <c r="O6693" s="279">
        <f>O6687</f>
        <v>139.17631400000002</v>
      </c>
      <c r="P6693" s="267"/>
      <c r="Q6693" s="166"/>
      <c r="R6693" s="71"/>
    </row>
    <row r="6694" spans="1:41" s="61" customFormat="1" x14ac:dyDescent="0.25">
      <c r="A6694" s="358"/>
      <c r="B6694" s="361"/>
      <c r="C6694" s="221"/>
      <c r="D6694" s="368" t="s">
        <v>67</v>
      </c>
      <c r="E6694" s="368"/>
      <c r="F6694" s="368"/>
      <c r="G6694" s="368"/>
      <c r="H6694" s="195"/>
      <c r="I6694" s="159">
        <f>I6688</f>
        <v>9.0899999999999995E-2</v>
      </c>
      <c r="J6694" s="195"/>
      <c r="K6694" s="161">
        <f>K6688</f>
        <v>114</v>
      </c>
      <c r="L6694" s="196"/>
      <c r="M6694" s="230"/>
      <c r="N6694" s="278"/>
      <c r="O6694" s="280"/>
      <c r="P6694" s="166"/>
      <c r="Q6694" s="166">
        <f t="shared" ref="Q6694:Q6704" si="1810">O6694*K6694</f>
        <v>0</v>
      </c>
      <c r="R6694" s="71"/>
    </row>
    <row r="6695" spans="1:41" s="61" customFormat="1" x14ac:dyDescent="0.25">
      <c r="A6695" s="358"/>
      <c r="B6695" s="361"/>
      <c r="C6695" s="221"/>
      <c r="D6695" s="194"/>
      <c r="E6695" s="194"/>
      <c r="F6695" s="194"/>
      <c r="G6695" s="217"/>
      <c r="H6695" s="195"/>
      <c r="I6695" s="159"/>
      <c r="J6695" s="195"/>
      <c r="K6695" s="161"/>
      <c r="L6695" s="196"/>
      <c r="M6695" s="230"/>
      <c r="N6695" s="278"/>
      <c r="O6695" s="280"/>
      <c r="P6695" s="166"/>
      <c r="Q6695" s="166">
        <f t="shared" si="1810"/>
        <v>0</v>
      </c>
      <c r="R6695" s="71"/>
    </row>
    <row r="6696" spans="1:41" s="61" customFormat="1" x14ac:dyDescent="0.25">
      <c r="A6696" s="358"/>
      <c r="B6696" s="361"/>
      <c r="C6696" s="221"/>
      <c r="D6696" s="350" t="s">
        <v>68</v>
      </c>
      <c r="E6696" s="350"/>
      <c r="F6696" s="350"/>
      <c r="G6696" s="350"/>
      <c r="H6696" s="195"/>
      <c r="I6696" s="159"/>
      <c r="J6696" s="195"/>
      <c r="K6696" s="161"/>
      <c r="L6696" s="196"/>
      <c r="M6696" s="230"/>
      <c r="N6696" s="278"/>
      <c r="O6696" s="280"/>
      <c r="P6696" s="166"/>
      <c r="Q6696" s="166">
        <f t="shared" si="1810"/>
        <v>0</v>
      </c>
      <c r="R6696" s="71"/>
    </row>
    <row r="6697" spans="1:41" s="61" customFormat="1" x14ac:dyDescent="0.25">
      <c r="A6697" s="358"/>
      <c r="B6697" s="361"/>
      <c r="C6697" s="221"/>
      <c r="D6697" s="156"/>
      <c r="E6697" s="156"/>
      <c r="F6697" s="156"/>
      <c r="G6697" s="236"/>
      <c r="H6697" s="195"/>
      <c r="I6697" s="159"/>
      <c r="J6697" s="195"/>
      <c r="K6697" s="161"/>
      <c r="L6697" s="196"/>
      <c r="M6697" s="230"/>
      <c r="N6697" s="278"/>
      <c r="O6697" s="280"/>
      <c r="P6697" s="166"/>
      <c r="Q6697" s="166">
        <f t="shared" si="1810"/>
        <v>0</v>
      </c>
      <c r="R6697" s="71"/>
    </row>
    <row r="6698" spans="1:41" s="61" customFormat="1" x14ac:dyDescent="0.25">
      <c r="A6698" s="358"/>
      <c r="B6698" s="361"/>
      <c r="C6698" s="221"/>
      <c r="D6698" s="368" t="s">
        <v>69</v>
      </c>
      <c r="E6698" s="368"/>
      <c r="F6698" s="368"/>
      <c r="G6698" s="368"/>
      <c r="H6698" s="187"/>
      <c r="I6698" s="159"/>
      <c r="J6698" s="187"/>
      <c r="K6698" s="161"/>
      <c r="L6698" s="276"/>
      <c r="M6698" s="230"/>
      <c r="N6698" s="278"/>
      <c r="O6698" s="279">
        <f>O6705+O6712+O6716+O6734+O6736+O6738+O6744+O6746+O6749</f>
        <v>894.26996899999995</v>
      </c>
      <c r="P6698" s="166"/>
      <c r="Q6698" s="166">
        <f t="shared" si="1810"/>
        <v>0</v>
      </c>
      <c r="R6698" s="71"/>
    </row>
    <row r="6699" spans="1:41" s="61" customFormat="1" ht="31.5" x14ac:dyDescent="0.25">
      <c r="A6699" s="358"/>
      <c r="B6699" s="361"/>
      <c r="C6699" s="365" t="s">
        <v>78</v>
      </c>
      <c r="D6699" s="156" t="s">
        <v>26</v>
      </c>
      <c r="E6699" s="156" t="s">
        <v>22</v>
      </c>
      <c r="F6699" s="156" t="s">
        <v>22</v>
      </c>
      <c r="G6699" s="238">
        <f>MROUND(H6699*L6699*I6699/K6699,0.000000001)</f>
        <v>6.6978947370000004</v>
      </c>
      <c r="H6699" s="158">
        <f>H6408</f>
        <v>700</v>
      </c>
      <c r="I6699" s="159">
        <f>I6688</f>
        <v>9.0899999999999995E-2</v>
      </c>
      <c r="J6699" s="160"/>
      <c r="K6699" s="161">
        <f>K6688</f>
        <v>114</v>
      </c>
      <c r="L6699" s="250">
        <v>12</v>
      </c>
      <c r="M6699" s="163" t="str">
        <f>CONCATENATE(H6699," ",F6699,"(обрабатываемая площадь в мес.)","*",L6699,"мес.","*",I6699,"/",K6699,"чел/час")</f>
        <v>700 м2(обрабатываемая площадь в мес.)*12мес.*0,0909/114чел/час</v>
      </c>
      <c r="N6699" s="278">
        <f>N6408</f>
        <v>1.2085488095238095</v>
      </c>
      <c r="O6699" s="280">
        <f>MROUND(N6699*G6699,0.000001)</f>
        <v>8.0947329999999997</v>
      </c>
      <c r="P6699" s="166"/>
      <c r="Q6699" s="166">
        <f t="shared" si="1810"/>
        <v>922.79956199999992</v>
      </c>
      <c r="R6699" s="71"/>
    </row>
    <row r="6700" spans="1:41" s="61" customFormat="1" ht="31.5" x14ac:dyDescent="0.25">
      <c r="A6700" s="358"/>
      <c r="B6700" s="361"/>
      <c r="C6700" s="366"/>
      <c r="D6700" s="156" t="s">
        <v>96</v>
      </c>
      <c r="E6700" s="156" t="s">
        <v>22</v>
      </c>
      <c r="F6700" s="156" t="s">
        <v>22</v>
      </c>
      <c r="G6700" s="238">
        <f>MROUND(H6700*L6700*I6700/K6700,0.0000001)</f>
        <v>4.3057894999999995</v>
      </c>
      <c r="H6700" s="158">
        <f>H6409</f>
        <v>450</v>
      </c>
      <c r="I6700" s="159">
        <f t="shared" ref="I6700" si="1811">I6699</f>
        <v>9.0899999999999995E-2</v>
      </c>
      <c r="J6700" s="160"/>
      <c r="K6700" s="161">
        <f>K6699</f>
        <v>114</v>
      </c>
      <c r="L6700" s="250">
        <v>12</v>
      </c>
      <c r="M6700" s="163" t="str">
        <f>CONCATENATE(H6700," ",F6700,"(обрабатываемая площадь в мес.)","*",L6700,"мес.","*",I6700,"/",K6700,"чел/час")</f>
        <v>450 м2(обрабатываемая площадь в мес.)*12мес.*0,0909/114чел/час</v>
      </c>
      <c r="N6700" s="278">
        <f>N6409</f>
        <v>1.9382388888888888</v>
      </c>
      <c r="O6700" s="280">
        <f>MROUND(N6700*G6700,0.000001)</f>
        <v>8.3456489999999999</v>
      </c>
      <c r="P6700" s="166"/>
      <c r="Q6700" s="166">
        <f t="shared" si="1810"/>
        <v>951.40398600000003</v>
      </c>
      <c r="R6700" s="71"/>
    </row>
    <row r="6701" spans="1:41" s="135" customFormat="1" ht="31.5" x14ac:dyDescent="0.25">
      <c r="A6701" s="358"/>
      <c r="B6701" s="361"/>
      <c r="C6701" s="366"/>
      <c r="D6701" s="156" t="s">
        <v>385</v>
      </c>
      <c r="E6701" s="156" t="s">
        <v>22</v>
      </c>
      <c r="F6701" s="156" t="s">
        <v>22</v>
      </c>
      <c r="G6701" s="238">
        <f>MROUND(H6701*L6701*I6701/K6701,0.000001)</f>
        <v>13.395788999999999</v>
      </c>
      <c r="H6701" s="242">
        <f>$H$3022</f>
        <v>700</v>
      </c>
      <c r="I6701" s="244">
        <f>I6699</f>
        <v>9.0899999999999995E-2</v>
      </c>
      <c r="J6701" s="160"/>
      <c r="K6701" s="161">
        <f>K6699</f>
        <v>114</v>
      </c>
      <c r="L6701" s="162">
        <v>24</v>
      </c>
      <c r="M6701" s="163" t="str">
        <f>CONCATENATE(H6701," ",F6701,"(обрабатываемая площадь в год)","*",L6701," раза в год.","*",I6701,"/",K6701,"чел.")</f>
        <v>700 м2(обрабатываемая площадь в год)*24 раза в год.*0,0909/114чел.</v>
      </c>
      <c r="N6701" s="164">
        <f>$N$6410</f>
        <v>1.5391892857142857</v>
      </c>
      <c r="O6701" s="165">
        <f>MROUND(G6701*N6701,0.000001)</f>
        <v>20.618655</v>
      </c>
      <c r="P6701" s="166"/>
      <c r="Q6701" s="166">
        <f t="shared" si="1810"/>
        <v>2350.5266700000002</v>
      </c>
      <c r="R6701" s="71"/>
      <c r="S6701" s="61"/>
      <c r="T6701" s="61"/>
      <c r="U6701" s="61"/>
      <c r="V6701" s="61"/>
      <c r="W6701" s="61"/>
      <c r="X6701" s="61"/>
      <c r="Y6701" s="61"/>
      <c r="Z6701" s="61"/>
      <c r="AA6701" s="61"/>
      <c r="AB6701" s="61"/>
      <c r="AC6701" s="61"/>
      <c r="AD6701" s="61"/>
      <c r="AE6701" s="61"/>
      <c r="AF6701" s="61"/>
      <c r="AG6701" s="61"/>
      <c r="AH6701" s="61"/>
      <c r="AI6701" s="61"/>
      <c r="AJ6701" s="61"/>
      <c r="AK6701" s="61"/>
      <c r="AL6701" s="61"/>
      <c r="AM6701" s="61"/>
      <c r="AN6701" s="61"/>
      <c r="AO6701" s="61"/>
    </row>
    <row r="6702" spans="1:41" s="135" customFormat="1" ht="31.5" x14ac:dyDescent="0.25">
      <c r="A6702" s="358"/>
      <c r="B6702" s="361"/>
      <c r="C6702" s="366"/>
      <c r="D6702" s="156" t="s">
        <v>394</v>
      </c>
      <c r="E6702" s="156" t="s">
        <v>22</v>
      </c>
      <c r="F6702" s="156" t="s">
        <v>22</v>
      </c>
      <c r="G6702" s="238">
        <f>MROUND(H6702*L6702*I6702/K6702,0.000001)</f>
        <v>4.3057889999999999</v>
      </c>
      <c r="H6702" s="243">
        <f>$H$3023</f>
        <v>450</v>
      </c>
      <c r="I6702" s="244">
        <f t="shared" ref="I6702:I6704" si="1812">I6700</f>
        <v>9.0899999999999995E-2</v>
      </c>
      <c r="J6702" s="160"/>
      <c r="K6702" s="161">
        <f>K6699</f>
        <v>114</v>
      </c>
      <c r="L6702" s="162">
        <v>12</v>
      </c>
      <c r="M6702" s="163" t="str">
        <f>CONCATENATE(H6702," ",F6702,"(обрабатываемая площадь в мес.)","*",L6702,"мес.","*",I6702,"/",K6702,"чел.")</f>
        <v>450 м2(обрабатываемая площадь в мес.)*12мес.*0,0909/114чел.</v>
      </c>
      <c r="N6702" s="164">
        <f>$N$6411</f>
        <v>0.88677592592592591</v>
      </c>
      <c r="O6702" s="165">
        <f>MROUND(G6702*N6702,0.000001)</f>
        <v>3.8182699999999996</v>
      </c>
      <c r="P6702" s="166"/>
      <c r="Q6702" s="166">
        <f t="shared" si="1810"/>
        <v>435.28277999999995</v>
      </c>
      <c r="R6702" s="71"/>
      <c r="S6702" s="61"/>
      <c r="T6702" s="61"/>
      <c r="U6702" s="61"/>
      <c r="V6702" s="61"/>
      <c r="W6702" s="61"/>
      <c r="X6702" s="61"/>
      <c r="Y6702" s="61"/>
      <c r="Z6702" s="61"/>
      <c r="AA6702" s="61"/>
      <c r="AB6702" s="61"/>
      <c r="AC6702" s="61"/>
      <c r="AD6702" s="61"/>
      <c r="AE6702" s="61"/>
      <c r="AF6702" s="61"/>
      <c r="AG6702" s="61"/>
      <c r="AH6702" s="61"/>
      <c r="AI6702" s="61"/>
      <c r="AJ6702" s="61"/>
      <c r="AK6702" s="61"/>
      <c r="AL6702" s="61"/>
      <c r="AM6702" s="61"/>
      <c r="AN6702" s="61"/>
      <c r="AO6702" s="61"/>
    </row>
    <row r="6703" spans="1:41" s="135" customFormat="1" ht="31.5" x14ac:dyDescent="0.25">
      <c r="A6703" s="358"/>
      <c r="B6703" s="361"/>
      <c r="C6703" s="366"/>
      <c r="D6703" s="156" t="s">
        <v>395</v>
      </c>
      <c r="E6703" s="156" t="s">
        <v>98</v>
      </c>
      <c r="F6703" s="156" t="s">
        <v>98</v>
      </c>
      <c r="G6703" s="238">
        <f>MROUND(H6703*L6703*I6703/K6703,0.000001)</f>
        <v>3.9899999999999999E-4</v>
      </c>
      <c r="H6703" s="242">
        <f>$H$3024</f>
        <v>0.5</v>
      </c>
      <c r="I6703" s="244">
        <f t="shared" si="1812"/>
        <v>9.0899999999999995E-2</v>
      </c>
      <c r="J6703" s="160"/>
      <c r="K6703" s="161">
        <f>K6699</f>
        <v>114</v>
      </c>
      <c r="L6703" s="162">
        <v>1</v>
      </c>
      <c r="M6703" s="163" t="str">
        <f>CONCATENATE(H6703," ",F6703,"(обрабатываемая площадь в год)","*",L6703," раз в год","*",I6703,"/",K6703,"чел.")</f>
        <v>0,5 Га(обрабатываемая площадь в год)*1 раз в год*0,0909/114чел.</v>
      </c>
      <c r="N6703" s="164">
        <f>$N$6412</f>
        <v>570.08000000000004</v>
      </c>
      <c r="O6703" s="165">
        <f>MROUND(G6703*N6703,0.000001)</f>
        <v>0.227462</v>
      </c>
      <c r="P6703" s="166"/>
      <c r="Q6703" s="166">
        <f t="shared" si="1810"/>
        <v>25.930668000000001</v>
      </c>
      <c r="R6703" s="71"/>
      <c r="S6703" s="61"/>
      <c r="T6703" s="61"/>
      <c r="U6703" s="61"/>
      <c r="V6703" s="61"/>
      <c r="W6703" s="61"/>
      <c r="X6703" s="61"/>
      <c r="Y6703" s="61"/>
      <c r="Z6703" s="61"/>
      <c r="AA6703" s="61"/>
      <c r="AB6703" s="61"/>
      <c r="AC6703" s="61"/>
      <c r="AD6703" s="61"/>
      <c r="AE6703" s="61"/>
      <c r="AF6703" s="61"/>
      <c r="AG6703" s="61"/>
      <c r="AH6703" s="61"/>
      <c r="AI6703" s="61"/>
      <c r="AJ6703" s="61"/>
      <c r="AK6703" s="61"/>
      <c r="AL6703" s="61"/>
      <c r="AM6703" s="61"/>
      <c r="AN6703" s="61"/>
      <c r="AO6703" s="61"/>
    </row>
    <row r="6704" spans="1:41" s="61" customFormat="1" ht="31.5" x14ac:dyDescent="0.25">
      <c r="A6704" s="358"/>
      <c r="B6704" s="361"/>
      <c r="C6704" s="367"/>
      <c r="D6704" s="156" t="s">
        <v>97</v>
      </c>
      <c r="E6704" s="156" t="s">
        <v>363</v>
      </c>
      <c r="F6704" s="156" t="s">
        <v>363</v>
      </c>
      <c r="G6704" s="238">
        <f>MROUND(H6704*L6704*I6704/K6704,0.0000001)</f>
        <v>3.9869999999999999E-4</v>
      </c>
      <c r="H6704" s="158">
        <f>H6413</f>
        <v>0.5</v>
      </c>
      <c r="I6704" s="244">
        <f t="shared" si="1812"/>
        <v>9.0899999999999995E-2</v>
      </c>
      <c r="J6704" s="160"/>
      <c r="K6704" s="161">
        <f>K6700</f>
        <v>114</v>
      </c>
      <c r="L6704" s="250">
        <v>1</v>
      </c>
      <c r="M6704" s="163" t="str">
        <f>CONCATENATE(H6704," ",F6704,"(обрабатываемая площадь в мес.)","*",L6704,"мес.","*",I6704,"/",K6704,"чел")</f>
        <v>0,5 га(обрабатываемая площадь в мес.)*1мес.*0,0909/114чел</v>
      </c>
      <c r="N6704" s="278">
        <f>N6413</f>
        <v>3102.42</v>
      </c>
      <c r="O6704" s="280">
        <f>MROUND(N6704*G6704,0.000001)</f>
        <v>1.2369349999999999</v>
      </c>
      <c r="P6704" s="166"/>
      <c r="Q6704" s="166">
        <f t="shared" si="1810"/>
        <v>141.01058999999998</v>
      </c>
      <c r="R6704" s="71"/>
    </row>
    <row r="6705" spans="1:18" s="62" customFormat="1" x14ac:dyDescent="0.25">
      <c r="A6705" s="358"/>
      <c r="B6705" s="361"/>
      <c r="C6705" s="218" t="s">
        <v>294</v>
      </c>
      <c r="D6705" s="240"/>
      <c r="E6705" s="240"/>
      <c r="F6705" s="240"/>
      <c r="G6705" s="227"/>
      <c r="H6705" s="241"/>
      <c r="I6705" s="206"/>
      <c r="J6705" s="228"/>
      <c r="K6705" s="207"/>
      <c r="L6705" s="257"/>
      <c r="M6705" s="209"/>
      <c r="N6705" s="281"/>
      <c r="O6705" s="279">
        <f>SUM(O6699:O6704)</f>
        <v>42.341704000000007</v>
      </c>
      <c r="P6705" s="267"/>
      <c r="Q6705" s="166"/>
      <c r="R6705" s="71"/>
    </row>
    <row r="6706" spans="1:18" s="61" customFormat="1" ht="78.75" x14ac:dyDescent="0.25">
      <c r="A6706" s="358"/>
      <c r="B6706" s="361"/>
      <c r="C6706" s="366"/>
      <c r="D6706" s="156" t="s">
        <v>250</v>
      </c>
      <c r="E6706" s="156" t="s">
        <v>251</v>
      </c>
      <c r="F6706" s="156" t="s">
        <v>60</v>
      </c>
      <c r="G6706" s="238">
        <f>MROUND(H6706*L6706*I6706/K6706,0.00000001)</f>
        <v>9.5684199999999994E-3</v>
      </c>
      <c r="H6706" s="158">
        <v>1</v>
      </c>
      <c r="I6706" s="159">
        <f>I6704</f>
        <v>9.0899999999999995E-2</v>
      </c>
      <c r="J6706" s="160"/>
      <c r="K6706" s="161">
        <f>K6704</f>
        <v>114</v>
      </c>
      <c r="L6706" s="250">
        <v>12</v>
      </c>
      <c r="M6706" s="163" t="str">
        <f>CONCATENATE(H6706," ",F6706,"*",I6706,"/",K6706,"чел/час")</f>
        <v>1 шт.*0,0909/114чел/час</v>
      </c>
      <c r="N6706" s="278">
        <f t="shared" ref="N6706:N6711" si="1813">N6415</f>
        <v>380.04666666666668</v>
      </c>
      <c r="O6706" s="280">
        <f t="shared" ref="O6706:O6708" si="1814">MROUND(N6706*G6706,0.000001)</f>
        <v>3.6364459999999998</v>
      </c>
      <c r="P6706" s="166"/>
      <c r="Q6706" s="166">
        <f t="shared" ref="Q6706:Q6711" si="1815">O6706*K6706</f>
        <v>414.554844</v>
      </c>
      <c r="R6706" s="71"/>
    </row>
    <row r="6707" spans="1:18" s="61" customFormat="1" ht="47.25" x14ac:dyDescent="0.25">
      <c r="A6707" s="358"/>
      <c r="B6707" s="361"/>
      <c r="C6707" s="366"/>
      <c r="D6707" s="156" t="s">
        <v>401</v>
      </c>
      <c r="E6707" s="156" t="s">
        <v>60</v>
      </c>
      <c r="F6707" s="156" t="s">
        <v>402</v>
      </c>
      <c r="G6707" s="238">
        <f t="shared" ref="G6707" si="1816">MROUND(H6707*L6707*I6707/K6707,0.000001)</f>
        <v>0</v>
      </c>
      <c r="H6707" s="158"/>
      <c r="I6707" s="159">
        <f>I6706</f>
        <v>9.0899999999999995E-2</v>
      </c>
      <c r="J6707" s="160"/>
      <c r="K6707" s="161">
        <f>K6706</f>
        <v>114</v>
      </c>
      <c r="L6707" s="250">
        <v>1</v>
      </c>
      <c r="M6707" s="163"/>
      <c r="N6707" s="278"/>
      <c r="O6707" s="280">
        <f t="shared" si="1814"/>
        <v>0</v>
      </c>
      <c r="P6707" s="166"/>
      <c r="Q6707" s="166">
        <f t="shared" si="1815"/>
        <v>0</v>
      </c>
      <c r="R6707" s="71"/>
    </row>
    <row r="6708" spans="1:18" s="61" customFormat="1" ht="31.5" x14ac:dyDescent="0.25">
      <c r="A6708" s="358"/>
      <c r="B6708" s="361"/>
      <c r="C6708" s="366"/>
      <c r="D6708" s="156" t="s">
        <v>35</v>
      </c>
      <c r="E6708" s="156" t="s">
        <v>102</v>
      </c>
      <c r="F6708" s="156" t="s">
        <v>252</v>
      </c>
      <c r="G6708" s="238">
        <f>MROUND(H6708*L6708*I6708/K6708,0.00000001)</f>
        <v>0</v>
      </c>
      <c r="H6708" s="158"/>
      <c r="I6708" s="159">
        <f>I6707</f>
        <v>9.0899999999999995E-2</v>
      </c>
      <c r="J6708" s="160"/>
      <c r="K6708" s="161">
        <f>K6707</f>
        <v>114</v>
      </c>
      <c r="L6708" s="250">
        <v>1</v>
      </c>
      <c r="M6708" s="163"/>
      <c r="N6708" s="278"/>
      <c r="O6708" s="280">
        <f t="shared" si="1814"/>
        <v>0</v>
      </c>
      <c r="P6708" s="166"/>
      <c r="Q6708" s="166">
        <f t="shared" si="1815"/>
        <v>0</v>
      </c>
      <c r="R6708" s="71"/>
    </row>
    <row r="6709" spans="1:18" s="61" customFormat="1" ht="31.5" x14ac:dyDescent="0.25">
      <c r="A6709" s="358"/>
      <c r="B6709" s="361"/>
      <c r="C6709" s="366"/>
      <c r="D6709" s="156" t="s">
        <v>99</v>
      </c>
      <c r="E6709" s="156" t="s">
        <v>103</v>
      </c>
      <c r="F6709" s="156" t="s">
        <v>225</v>
      </c>
      <c r="G6709" s="238">
        <f>MROUND(H6709*L6709*I6709/K6709,0.00000001)</f>
        <v>0</v>
      </c>
      <c r="H6709" s="158">
        <f>H6418</f>
        <v>0</v>
      </c>
      <c r="I6709" s="159">
        <f>I6708</f>
        <v>9.0899999999999995E-2</v>
      </c>
      <c r="J6709" s="160"/>
      <c r="K6709" s="161">
        <f>K6708</f>
        <v>114</v>
      </c>
      <c r="L6709" s="250">
        <v>1</v>
      </c>
      <c r="M6709" s="163"/>
      <c r="N6709" s="164">
        <f t="shared" si="1813"/>
        <v>0</v>
      </c>
      <c r="O6709" s="165">
        <f>MROUND(G6709*N6709,0.000001)</f>
        <v>0</v>
      </c>
      <c r="P6709" s="166"/>
      <c r="Q6709" s="166">
        <f t="shared" si="1815"/>
        <v>0</v>
      </c>
      <c r="R6709" s="71"/>
    </row>
    <row r="6710" spans="1:18" s="61" customFormat="1" x14ac:dyDescent="0.25">
      <c r="A6710" s="358"/>
      <c r="B6710" s="361"/>
      <c r="C6710" s="366"/>
      <c r="D6710" s="156" t="s">
        <v>27</v>
      </c>
      <c r="E6710" s="156" t="s">
        <v>28</v>
      </c>
      <c r="F6710" s="156" t="s">
        <v>28</v>
      </c>
      <c r="G6710" s="238">
        <f t="shared" ref="G6710" si="1817">MROUND(H6710*L6710*I6710/K6710,0.000001)</f>
        <v>0</v>
      </c>
      <c r="H6710" s="160">
        <f>H6419</f>
        <v>0</v>
      </c>
      <c r="I6710" s="159">
        <f>I6708</f>
        <v>9.0899999999999995E-2</v>
      </c>
      <c r="J6710" s="160"/>
      <c r="K6710" s="161">
        <f>K6708</f>
        <v>114</v>
      </c>
      <c r="L6710" s="250">
        <v>1</v>
      </c>
      <c r="M6710" s="163"/>
      <c r="N6710" s="278">
        <f t="shared" si="1813"/>
        <v>0</v>
      </c>
      <c r="O6710" s="280">
        <f t="shared" ref="O6710:O6711" si="1818">MROUND(N6710*G6710,0.000001)</f>
        <v>0</v>
      </c>
      <c r="P6710" s="166"/>
      <c r="Q6710" s="166">
        <f t="shared" si="1815"/>
        <v>0</v>
      </c>
      <c r="R6710" s="71"/>
    </row>
    <row r="6711" spans="1:18" s="61" customFormat="1" ht="31.5" x14ac:dyDescent="0.25">
      <c r="A6711" s="358"/>
      <c r="B6711" s="361"/>
      <c r="C6711" s="367"/>
      <c r="D6711" s="156" t="s">
        <v>104</v>
      </c>
      <c r="E6711" s="156" t="s">
        <v>105</v>
      </c>
      <c r="F6711" s="156" t="s">
        <v>226</v>
      </c>
      <c r="G6711" s="238">
        <f>MROUND(H6711*L6711*I6711/K6711,0.00000001)</f>
        <v>7.9737000000000004E-4</v>
      </c>
      <c r="H6711" s="160">
        <v>1</v>
      </c>
      <c r="I6711" s="159">
        <f>I6710</f>
        <v>9.0899999999999995E-2</v>
      </c>
      <c r="J6711" s="160"/>
      <c r="K6711" s="161">
        <f>K6710</f>
        <v>114</v>
      </c>
      <c r="L6711" s="250">
        <v>1</v>
      </c>
      <c r="M6711" s="163"/>
      <c r="N6711" s="278">
        <f t="shared" si="1813"/>
        <v>0</v>
      </c>
      <c r="O6711" s="280">
        <f t="shared" si="1818"/>
        <v>0</v>
      </c>
      <c r="P6711" s="166"/>
      <c r="Q6711" s="166">
        <f t="shared" si="1815"/>
        <v>0</v>
      </c>
      <c r="R6711" s="71"/>
    </row>
    <row r="6712" spans="1:18" s="62" customFormat="1" x14ac:dyDescent="0.25">
      <c r="A6712" s="358"/>
      <c r="B6712" s="361"/>
      <c r="C6712" s="249" t="s">
        <v>292</v>
      </c>
      <c r="D6712" s="240"/>
      <c r="E6712" s="240"/>
      <c r="F6712" s="240"/>
      <c r="G6712" s="227"/>
      <c r="H6712" s="228"/>
      <c r="I6712" s="206"/>
      <c r="J6712" s="228"/>
      <c r="K6712" s="207"/>
      <c r="L6712" s="257"/>
      <c r="M6712" s="209"/>
      <c r="N6712" s="281"/>
      <c r="O6712" s="279">
        <f>SUM(O6706:O6711)</f>
        <v>3.6364459999999998</v>
      </c>
      <c r="P6712" s="267"/>
      <c r="Q6712" s="166"/>
      <c r="R6712" s="71"/>
    </row>
    <row r="6713" spans="1:18" s="61" customFormat="1" ht="31.5" x14ac:dyDescent="0.25">
      <c r="A6713" s="358"/>
      <c r="B6713" s="361"/>
      <c r="C6713" s="221" t="s">
        <v>79</v>
      </c>
      <c r="D6713" s="156" t="s">
        <v>37</v>
      </c>
      <c r="E6713" s="156" t="s">
        <v>61</v>
      </c>
      <c r="F6713" s="156" t="s">
        <v>254</v>
      </c>
      <c r="G6713" s="238">
        <f>MROUND(H6713*L6713*I6713/K6713,0.00000001)</f>
        <v>7.9737000000000004E-4</v>
      </c>
      <c r="H6713" s="158">
        <v>1</v>
      </c>
      <c r="I6713" s="159">
        <f>I6711</f>
        <v>9.0899999999999995E-2</v>
      </c>
      <c r="J6713" s="160"/>
      <c r="K6713" s="161">
        <f>K6711</f>
        <v>114</v>
      </c>
      <c r="L6713" s="250">
        <v>1</v>
      </c>
      <c r="M6713" s="163" t="str">
        <f>CONCATENATE(H6713," ",F6713,"*",I6713,"/",K6713,"чел/час")</f>
        <v>1 автобус*0,0909/114чел/час</v>
      </c>
      <c r="N6713" s="278">
        <f>N6422</f>
        <v>24426.36</v>
      </c>
      <c r="O6713" s="280">
        <f>MROUND(N6713*G6713,0.000001)</f>
        <v>19.476846999999999</v>
      </c>
      <c r="P6713" s="166"/>
      <c r="Q6713" s="166">
        <f t="shared" ref="Q6713:Q6715" si="1819">O6713*K6713</f>
        <v>2220.3605579999999</v>
      </c>
      <c r="R6713" s="71"/>
    </row>
    <row r="6714" spans="1:18" s="61" customFormat="1" ht="31.5" x14ac:dyDescent="0.25">
      <c r="A6714" s="358"/>
      <c r="B6714" s="361"/>
      <c r="C6714" s="221"/>
      <c r="D6714" s="156" t="s">
        <v>262</v>
      </c>
      <c r="E6714" s="156" t="s">
        <v>440</v>
      </c>
      <c r="F6714" s="156" t="s">
        <v>441</v>
      </c>
      <c r="G6714" s="238">
        <f t="shared" ref="G6714:G6715" si="1820">MROUND(H6714*L6714*I6714/K6714,0.000001)</f>
        <v>3.189E-3</v>
      </c>
      <c r="H6714" s="158">
        <f>$H$3035</f>
        <v>1</v>
      </c>
      <c r="I6714" s="159">
        <f>I6713</f>
        <v>9.0899999999999995E-2</v>
      </c>
      <c r="J6714" s="160"/>
      <c r="K6714" s="161">
        <f>K6713</f>
        <v>114</v>
      </c>
      <c r="L6714" s="250">
        <v>4</v>
      </c>
      <c r="M6714" s="163" t="str">
        <f>CONCATENATE(H6714," ",F6714,"*",L6714,"раза в год","*",I6714,"/",K6714,"чел/час")</f>
        <v>1 услуга*4раза в год*0,0909/114чел/час</v>
      </c>
      <c r="N6714" s="278">
        <f>N6423</f>
        <v>25795.6675</v>
      </c>
      <c r="O6714" s="280">
        <f>MROUND(N6714*G6714,0.000001)</f>
        <v>82.262383999999997</v>
      </c>
      <c r="P6714" s="166"/>
      <c r="Q6714" s="166">
        <f t="shared" si="1819"/>
        <v>9377.911775999999</v>
      </c>
      <c r="R6714" s="71"/>
    </row>
    <row r="6715" spans="1:18" s="61" customFormat="1" x14ac:dyDescent="0.25">
      <c r="A6715" s="358"/>
      <c r="B6715" s="361"/>
      <c r="C6715" s="221"/>
      <c r="D6715" s="156" t="s">
        <v>255</v>
      </c>
      <c r="E6715" s="156" t="s">
        <v>28</v>
      </c>
      <c r="F6715" s="156" t="s">
        <v>28</v>
      </c>
      <c r="G6715" s="238">
        <f t="shared" si="1820"/>
        <v>4.4652999999999998E-2</v>
      </c>
      <c r="H6715" s="158">
        <v>56</v>
      </c>
      <c r="I6715" s="159">
        <f>I6713</f>
        <v>9.0899999999999995E-2</v>
      </c>
      <c r="J6715" s="160"/>
      <c r="K6715" s="161">
        <f>K6713</f>
        <v>114</v>
      </c>
      <c r="L6715" s="250">
        <v>1</v>
      </c>
      <c r="M6715" s="163" t="str">
        <f>CONCATENATE(H6715," ",F6715,"*",L6715,"раза в год","*",I6715,"/",K6715,"чел/час")</f>
        <v>56 шт*1раза в год*0,0909/114чел/час</v>
      </c>
      <c r="N6715" s="278">
        <f>N6424</f>
        <v>777.7383928571428</v>
      </c>
      <c r="O6715" s="280">
        <f>MROUND(N6715*G6715,0.000001)</f>
        <v>34.728352000000001</v>
      </c>
      <c r="P6715" s="166"/>
      <c r="Q6715" s="166">
        <f t="shared" si="1819"/>
        <v>3959.0321280000003</v>
      </c>
      <c r="R6715" s="71"/>
    </row>
    <row r="6716" spans="1:18" s="62" customFormat="1" x14ac:dyDescent="0.25">
      <c r="A6716" s="358"/>
      <c r="B6716" s="361"/>
      <c r="C6716" s="218" t="s">
        <v>295</v>
      </c>
      <c r="D6716" s="240"/>
      <c r="E6716" s="240"/>
      <c r="F6716" s="240"/>
      <c r="G6716" s="227"/>
      <c r="H6716" s="241"/>
      <c r="I6716" s="206"/>
      <c r="J6716" s="228"/>
      <c r="K6716" s="207"/>
      <c r="L6716" s="257"/>
      <c r="M6716" s="209"/>
      <c r="N6716" s="281"/>
      <c r="O6716" s="279">
        <f>O6713+O6714+O6715</f>
        <v>136.46758299999999</v>
      </c>
      <c r="P6716" s="267"/>
      <c r="Q6716" s="166"/>
      <c r="R6716" s="71"/>
    </row>
    <row r="6717" spans="1:18" s="61" customFormat="1" x14ac:dyDescent="0.25">
      <c r="A6717" s="358"/>
      <c r="B6717" s="361"/>
      <c r="C6717" s="365" t="s">
        <v>80</v>
      </c>
      <c r="D6717" s="156" t="s">
        <v>38</v>
      </c>
      <c r="E6717" s="156" t="s">
        <v>57</v>
      </c>
      <c r="F6717" s="156" t="s">
        <v>228</v>
      </c>
      <c r="G6717" s="238">
        <f t="shared" ref="G6717" si="1821">MROUND(H6717*L6717*I6717/K6717,0.000001)</f>
        <v>9.5680000000000001E-3</v>
      </c>
      <c r="H6717" s="158">
        <v>1</v>
      </c>
      <c r="I6717" s="159">
        <f>I6713</f>
        <v>9.0899999999999995E-2</v>
      </c>
      <c r="J6717" s="160"/>
      <c r="K6717" s="161">
        <f>K6713</f>
        <v>114</v>
      </c>
      <c r="L6717" s="250">
        <v>12</v>
      </c>
      <c r="M6717" s="163"/>
      <c r="N6717" s="278">
        <f t="shared" ref="N6717:N6733" si="1822">N6426</f>
        <v>0</v>
      </c>
      <c r="O6717" s="280">
        <f t="shared" ref="O6717:O6733" si="1823">MROUND(N6717*G6717,0.000001)</f>
        <v>0</v>
      </c>
      <c r="P6717" s="166"/>
      <c r="Q6717" s="166">
        <f t="shared" ref="Q6717:Q6733" si="1824">O6717*K6717</f>
        <v>0</v>
      </c>
      <c r="R6717" s="71"/>
    </row>
    <row r="6718" spans="1:18" s="61" customFormat="1" x14ac:dyDescent="0.25">
      <c r="A6718" s="358"/>
      <c r="B6718" s="361"/>
      <c r="C6718" s="366"/>
      <c r="D6718" s="156" t="s">
        <v>256</v>
      </c>
      <c r="E6718" s="156" t="s">
        <v>20</v>
      </c>
      <c r="F6718" s="156" t="s">
        <v>20</v>
      </c>
      <c r="G6718" s="238">
        <f>MROUND(H6718*L6718*I6718/K6718,0.00000001)</f>
        <v>1.9934210000000001E-2</v>
      </c>
      <c r="H6718" s="158">
        <f>H6427</f>
        <v>25</v>
      </c>
      <c r="I6718" s="159">
        <f>I6715</f>
        <v>9.0899999999999995E-2</v>
      </c>
      <c r="J6718" s="160"/>
      <c r="K6718" s="161">
        <f>K6715</f>
        <v>114</v>
      </c>
      <c r="L6718" s="250">
        <v>1</v>
      </c>
      <c r="M6718" s="163" t="str">
        <f t="shared" ref="M6718:M6723" si="1825">CONCATENATE(H6718," ",F6718,"*",I6718,"/",K6718,"чел/час")</f>
        <v>25 чел.*0,0909/114чел/час</v>
      </c>
      <c r="N6718" s="278">
        <f t="shared" si="1822"/>
        <v>1938.2380000000003</v>
      </c>
      <c r="O6718" s="280">
        <f t="shared" si="1823"/>
        <v>38.637242999999998</v>
      </c>
      <c r="P6718" s="166"/>
      <c r="Q6718" s="166">
        <f t="shared" si="1824"/>
        <v>4404.6457019999998</v>
      </c>
      <c r="R6718" s="71"/>
    </row>
    <row r="6719" spans="1:18" s="61" customFormat="1" ht="63" x14ac:dyDescent="0.25">
      <c r="A6719" s="358"/>
      <c r="B6719" s="361"/>
      <c r="C6719" s="366"/>
      <c r="D6719" s="156" t="s">
        <v>39</v>
      </c>
      <c r="E6719" s="156" t="s">
        <v>20</v>
      </c>
      <c r="F6719" s="156" t="s">
        <v>234</v>
      </c>
      <c r="G6719" s="238">
        <f t="shared" ref="G6719" si="1826">MROUND(H6719*L6719*I6719/K6719,0.000001)</f>
        <v>7.9699999999999997E-4</v>
      </c>
      <c r="H6719" s="158">
        <v>1</v>
      </c>
      <c r="I6719" s="159">
        <f>I6717</f>
        <v>9.0899999999999995E-2</v>
      </c>
      <c r="J6719" s="160"/>
      <c r="K6719" s="161">
        <f>K6717</f>
        <v>114</v>
      </c>
      <c r="L6719" s="250">
        <v>1</v>
      </c>
      <c r="M6719" s="163" t="str">
        <f t="shared" si="1825"/>
        <v>1 чел(заявленная потребность руководителями учреждений)*0,0909/114чел/час</v>
      </c>
      <c r="N6719" s="278">
        <f t="shared" si="1822"/>
        <v>798.1</v>
      </c>
      <c r="O6719" s="280">
        <f t="shared" si="1823"/>
        <v>0.63608599999999993</v>
      </c>
      <c r="P6719" s="166"/>
      <c r="Q6719" s="166">
        <f t="shared" si="1824"/>
        <v>72.513803999999993</v>
      </c>
      <c r="R6719" s="71"/>
    </row>
    <row r="6720" spans="1:18" s="61" customFormat="1" ht="63" x14ac:dyDescent="0.25">
      <c r="A6720" s="358"/>
      <c r="B6720" s="361"/>
      <c r="C6720" s="366"/>
      <c r="D6720" s="156" t="s">
        <v>40</v>
      </c>
      <c r="E6720" s="156" t="s">
        <v>20</v>
      </c>
      <c r="F6720" s="156" t="s">
        <v>234</v>
      </c>
      <c r="G6720" s="238">
        <f>MROUND(H6720*L6720*I6720/K6720,0.000001)</f>
        <v>7.9699999999999997E-4</v>
      </c>
      <c r="H6720" s="158">
        <v>1</v>
      </c>
      <c r="I6720" s="159">
        <f>I6718</f>
        <v>9.0899999999999995E-2</v>
      </c>
      <c r="J6720" s="160"/>
      <c r="K6720" s="161">
        <f>K6718</f>
        <v>114</v>
      </c>
      <c r="L6720" s="250">
        <v>1</v>
      </c>
      <c r="M6720" s="163" t="str">
        <f t="shared" si="1825"/>
        <v>1 чел(заявленная потребность руководителями учреждений)*0,0909/114чел/час</v>
      </c>
      <c r="N6720" s="278">
        <f t="shared" si="1822"/>
        <v>1710.21</v>
      </c>
      <c r="O6720" s="280">
        <f t="shared" si="1823"/>
        <v>1.3630369999999998</v>
      </c>
      <c r="P6720" s="166"/>
      <c r="Q6720" s="166">
        <f t="shared" si="1824"/>
        <v>155.38621799999999</v>
      </c>
      <c r="R6720" s="71"/>
    </row>
    <row r="6721" spans="1:18" s="61" customFormat="1" ht="63" x14ac:dyDescent="0.25">
      <c r="A6721" s="358"/>
      <c r="B6721" s="361"/>
      <c r="C6721" s="366"/>
      <c r="D6721" s="156" t="s">
        <v>100</v>
      </c>
      <c r="E6721" s="156" t="s">
        <v>20</v>
      </c>
      <c r="F6721" s="156" t="s">
        <v>234</v>
      </c>
      <c r="G6721" s="238">
        <f>MROUND(H6721*L6721*I6721/K6721,0.00000001)</f>
        <v>7.9737000000000004E-4</v>
      </c>
      <c r="H6721" s="158">
        <v>1</v>
      </c>
      <c r="I6721" s="159">
        <f>I6719</f>
        <v>9.0899999999999995E-2</v>
      </c>
      <c r="J6721" s="160"/>
      <c r="K6721" s="161">
        <f>K6719</f>
        <v>114</v>
      </c>
      <c r="L6721" s="250">
        <v>1</v>
      </c>
      <c r="M6721" s="163" t="str">
        <f t="shared" si="1825"/>
        <v>1 чел(заявленная потребность руководителями учреждений)*0,0909/114чел/час</v>
      </c>
      <c r="N6721" s="278">
        <f t="shared" si="1822"/>
        <v>3648.4500000000003</v>
      </c>
      <c r="O6721" s="280">
        <f t="shared" si="1823"/>
        <v>2.9091649999999998</v>
      </c>
      <c r="P6721" s="166"/>
      <c r="Q6721" s="166">
        <f t="shared" si="1824"/>
        <v>331.64480999999995</v>
      </c>
      <c r="R6721" s="71"/>
    </row>
    <row r="6722" spans="1:18" s="61" customFormat="1" ht="110.25" x14ac:dyDescent="0.25">
      <c r="A6722" s="358"/>
      <c r="B6722" s="361"/>
      <c r="C6722" s="366"/>
      <c r="D6722" s="156" t="s">
        <v>235</v>
      </c>
      <c r="E6722" s="156" t="s">
        <v>50</v>
      </c>
      <c r="F6722" s="156" t="s">
        <v>230</v>
      </c>
      <c r="G6722" s="238">
        <f>MROUND(H6722*L6722*I6722/K6722,0.00000001)</f>
        <v>7.9737000000000004E-4</v>
      </c>
      <c r="H6722" s="158">
        <v>1</v>
      </c>
      <c r="I6722" s="159">
        <f>I6718</f>
        <v>9.0899999999999995E-2</v>
      </c>
      <c r="J6722" s="160"/>
      <c r="K6722" s="161">
        <f>K6718</f>
        <v>114</v>
      </c>
      <c r="L6722" s="250">
        <v>1</v>
      </c>
      <c r="M6722" s="163" t="str">
        <f t="shared" si="1825"/>
        <v>1 отчетов*0,0909/114чел/час</v>
      </c>
      <c r="N6722" s="278">
        <f t="shared" si="1822"/>
        <v>6840.84</v>
      </c>
      <c r="O6722" s="280">
        <f t="shared" si="1823"/>
        <v>5.4546809999999999</v>
      </c>
      <c r="P6722" s="166"/>
      <c r="Q6722" s="166">
        <f t="shared" si="1824"/>
        <v>621.83363399999996</v>
      </c>
      <c r="R6722" s="71"/>
    </row>
    <row r="6723" spans="1:18" s="61" customFormat="1" ht="63" x14ac:dyDescent="0.25">
      <c r="A6723" s="358"/>
      <c r="B6723" s="361"/>
      <c r="C6723" s="366"/>
      <c r="D6723" s="156" t="s">
        <v>42</v>
      </c>
      <c r="E6723" s="156" t="s">
        <v>51</v>
      </c>
      <c r="F6723" s="156" t="s">
        <v>407</v>
      </c>
      <c r="G6723" s="238">
        <f t="shared" ref="G6723:G6725" si="1827">MROUND(H6723*L6723*I6723/K6723,0.000001)</f>
        <v>4.7840000000000001E-3</v>
      </c>
      <c r="H6723" s="158">
        <f>H6432</f>
        <v>6</v>
      </c>
      <c r="I6723" s="159">
        <f t="shared" ref="I6723:I6729" si="1828">I6722</f>
        <v>9.0899999999999995E-2</v>
      </c>
      <c r="J6723" s="160"/>
      <c r="K6723" s="161">
        <f t="shared" ref="K6723:K6729" si="1829">K6722</f>
        <v>114</v>
      </c>
      <c r="L6723" s="250">
        <v>1</v>
      </c>
      <c r="M6723" s="163" t="str">
        <f t="shared" si="1825"/>
        <v>6 ед (заявленная потребность руководителями учреждений)*0,0909/114чел/час</v>
      </c>
      <c r="N6723" s="278">
        <f t="shared" si="1822"/>
        <v>1140.1400000000001</v>
      </c>
      <c r="O6723" s="280">
        <f t="shared" si="1823"/>
        <v>5.4544299999999994</v>
      </c>
      <c r="P6723" s="166"/>
      <c r="Q6723" s="166">
        <f t="shared" si="1824"/>
        <v>621.8050199999999</v>
      </c>
      <c r="R6723" s="71"/>
    </row>
    <row r="6724" spans="1:18" s="61" customFormat="1" ht="31.5" x14ac:dyDescent="0.25">
      <c r="A6724" s="358"/>
      <c r="B6724" s="361"/>
      <c r="C6724" s="366"/>
      <c r="D6724" s="156" t="s">
        <v>263</v>
      </c>
      <c r="E6724" s="156" t="s">
        <v>264</v>
      </c>
      <c r="F6724" s="156" t="s">
        <v>265</v>
      </c>
      <c r="G6724" s="238">
        <f t="shared" si="1827"/>
        <v>9.5680000000000001E-3</v>
      </c>
      <c r="H6724" s="158">
        <v>1</v>
      </c>
      <c r="I6724" s="159">
        <f t="shared" si="1828"/>
        <v>9.0899999999999995E-2</v>
      </c>
      <c r="J6724" s="160"/>
      <c r="K6724" s="161">
        <f t="shared" si="1829"/>
        <v>114</v>
      </c>
      <c r="L6724" s="250">
        <v>12</v>
      </c>
      <c r="M6724" s="163" t="str">
        <f>CONCATENATE(H6724," ",F6724,"*",L6724,"мес.","*",I6724,"/",K6724,"чел/час")</f>
        <v>1 мойка*12мес.*0,0909/114чел/час</v>
      </c>
      <c r="N6724" s="278">
        <f t="shared" si="1822"/>
        <v>570.07000000000005</v>
      </c>
      <c r="O6724" s="280">
        <f t="shared" si="1823"/>
        <v>5.4544299999999994</v>
      </c>
      <c r="P6724" s="166"/>
      <c r="Q6724" s="166">
        <f t="shared" si="1824"/>
        <v>621.8050199999999</v>
      </c>
      <c r="R6724" s="71"/>
    </row>
    <row r="6725" spans="1:18" s="61" customFormat="1" ht="31.5" x14ac:dyDescent="0.25">
      <c r="A6725" s="358"/>
      <c r="B6725" s="361"/>
      <c r="C6725" s="366"/>
      <c r="D6725" s="156" t="s">
        <v>266</v>
      </c>
      <c r="E6725" s="156" t="s">
        <v>267</v>
      </c>
      <c r="F6725" s="156" t="s">
        <v>268</v>
      </c>
      <c r="G6725" s="238">
        <f t="shared" si="1827"/>
        <v>0.19136799999999998</v>
      </c>
      <c r="H6725" s="158">
        <v>20</v>
      </c>
      <c r="I6725" s="159">
        <f t="shared" si="1828"/>
        <v>9.0899999999999995E-2</v>
      </c>
      <c r="J6725" s="160"/>
      <c r="K6725" s="161">
        <f t="shared" si="1829"/>
        <v>114</v>
      </c>
      <c r="L6725" s="250">
        <v>12</v>
      </c>
      <c r="M6725" s="163" t="str">
        <f>CONCATENATE(H6725," ",F6725,"*",L6725,"мес.","*",I6725,"/",K6725,"чел/час")</f>
        <v>20 комплектов в мес.*12мес.*0,0909/114чел/час</v>
      </c>
      <c r="N6725" s="278">
        <f t="shared" si="1822"/>
        <v>513.06299999999999</v>
      </c>
      <c r="O6725" s="280">
        <f t="shared" si="1823"/>
        <v>98.183839999999989</v>
      </c>
      <c r="P6725" s="166"/>
      <c r="Q6725" s="166">
        <f t="shared" si="1824"/>
        <v>11192.957759999999</v>
      </c>
      <c r="R6725" s="71"/>
    </row>
    <row r="6726" spans="1:18" s="61" customFormat="1" ht="47.25" x14ac:dyDescent="0.25">
      <c r="A6726" s="358"/>
      <c r="B6726" s="361"/>
      <c r="C6726" s="366"/>
      <c r="D6726" s="156" t="s">
        <v>269</v>
      </c>
      <c r="E6726" s="156" t="s">
        <v>20</v>
      </c>
      <c r="F6726" s="156" t="s">
        <v>20</v>
      </c>
      <c r="G6726" s="238">
        <f>MROUND(H6726*L6726*I6726/K6726,0.00000001)</f>
        <v>3.9868400000000002E-3</v>
      </c>
      <c r="H6726" s="158">
        <f>$H$3047</f>
        <v>5</v>
      </c>
      <c r="I6726" s="159">
        <f t="shared" si="1828"/>
        <v>9.0899999999999995E-2</v>
      </c>
      <c r="J6726" s="160"/>
      <c r="K6726" s="161">
        <f t="shared" si="1829"/>
        <v>114</v>
      </c>
      <c r="L6726" s="250">
        <v>1</v>
      </c>
      <c r="M6726" s="163" t="str">
        <f>CONCATENATE(H6726," ",F6726,"*",I6726,"/",K6726,"чел/час")</f>
        <v>5 чел.*0,0909/114чел/час</v>
      </c>
      <c r="N6726" s="278">
        <f t="shared" si="1822"/>
        <v>18384.758000000002</v>
      </c>
      <c r="O6726" s="280">
        <f t="shared" si="1823"/>
        <v>73.297089</v>
      </c>
      <c r="P6726" s="166"/>
      <c r="Q6726" s="166">
        <f t="shared" si="1824"/>
        <v>8355.8681460000007</v>
      </c>
      <c r="R6726" s="71"/>
    </row>
    <row r="6727" spans="1:18" s="61" customFormat="1" ht="31.5" x14ac:dyDescent="0.25">
      <c r="A6727" s="358"/>
      <c r="B6727" s="361"/>
      <c r="C6727" s="366"/>
      <c r="D6727" s="156" t="s">
        <v>376</v>
      </c>
      <c r="E6727" s="156" t="s">
        <v>55</v>
      </c>
      <c r="F6727" s="156" t="s">
        <v>55</v>
      </c>
      <c r="G6727" s="238">
        <f>MROUND(H6727*L6727*I6727/K6727,0.00000001)</f>
        <v>9.5684199999999994E-3</v>
      </c>
      <c r="H6727" s="158">
        <v>1</v>
      </c>
      <c r="I6727" s="159">
        <f t="shared" si="1828"/>
        <v>9.0899999999999995E-2</v>
      </c>
      <c r="J6727" s="160"/>
      <c r="K6727" s="161">
        <f t="shared" si="1829"/>
        <v>114</v>
      </c>
      <c r="L6727" s="250">
        <v>12</v>
      </c>
      <c r="M6727" s="163" t="str">
        <f>CONCATENATE(H6727," ",F6727,"*",L6727,"мес.","*",I6727,"/",K6727,"чел/час")</f>
        <v>1 система*12мес.*0,0909/114чел/час</v>
      </c>
      <c r="N6727" s="278">
        <f t="shared" si="1822"/>
        <v>25726.499166666665</v>
      </c>
      <c r="O6727" s="280">
        <f t="shared" si="1823"/>
        <v>246.16194899999999</v>
      </c>
      <c r="P6727" s="166"/>
      <c r="Q6727" s="166">
        <f t="shared" si="1824"/>
        <v>28062.462186000001</v>
      </c>
      <c r="R6727" s="71"/>
    </row>
    <row r="6728" spans="1:18" s="61" customFormat="1" ht="31.5" x14ac:dyDescent="0.25">
      <c r="A6728" s="358"/>
      <c r="B6728" s="361"/>
      <c r="C6728" s="366"/>
      <c r="D6728" s="156" t="s">
        <v>270</v>
      </c>
      <c r="E6728" s="156" t="s">
        <v>60</v>
      </c>
      <c r="F6728" s="156" t="s">
        <v>60</v>
      </c>
      <c r="G6728" s="238">
        <f t="shared" ref="G6728" si="1830">MROUND(H6728*L6728*I6728/K6728,0.000001)</f>
        <v>1.3554999999999999E-2</v>
      </c>
      <c r="H6728" s="158">
        <f>H6437</f>
        <v>17</v>
      </c>
      <c r="I6728" s="159">
        <f t="shared" si="1828"/>
        <v>9.0899999999999995E-2</v>
      </c>
      <c r="J6728" s="160"/>
      <c r="K6728" s="161">
        <f t="shared" si="1829"/>
        <v>114</v>
      </c>
      <c r="L6728" s="250">
        <v>1</v>
      </c>
      <c r="M6728" s="163" t="str">
        <f>CONCATENATE(H6728," ",F6728,"*",I6728,"/",K6728,"чел/час")</f>
        <v>17 шт.*0,0909/114чел/час</v>
      </c>
      <c r="N6728" s="278">
        <f t="shared" si="1822"/>
        <v>3219.218823529412</v>
      </c>
      <c r="O6728" s="280">
        <f t="shared" si="1823"/>
        <v>43.636510999999999</v>
      </c>
      <c r="P6728" s="166"/>
      <c r="Q6728" s="166">
        <f t="shared" si="1824"/>
        <v>4974.5622539999995</v>
      </c>
      <c r="R6728" s="71"/>
    </row>
    <row r="6729" spans="1:18" s="61" customFormat="1" ht="31.5" x14ac:dyDescent="0.25">
      <c r="A6729" s="358"/>
      <c r="B6729" s="361"/>
      <c r="C6729" s="366"/>
      <c r="D6729" s="156" t="s">
        <v>408</v>
      </c>
      <c r="E6729" s="156" t="s">
        <v>20</v>
      </c>
      <c r="F6729" s="156" t="s">
        <v>20</v>
      </c>
      <c r="G6729" s="238">
        <f>MROUND(H6729*L6729*I6729/K6729,0.00000001)</f>
        <v>4.7842099999999997E-3</v>
      </c>
      <c r="H6729" s="158">
        <f>$H$3050</f>
        <v>6</v>
      </c>
      <c r="I6729" s="159">
        <f t="shared" si="1828"/>
        <v>9.0899999999999995E-2</v>
      </c>
      <c r="J6729" s="160"/>
      <c r="K6729" s="161">
        <f t="shared" si="1829"/>
        <v>114</v>
      </c>
      <c r="L6729" s="250">
        <v>1</v>
      </c>
      <c r="M6729" s="163" t="str">
        <f>CONCATENATE(H6729," ",F6729,"*",I6729,"/",K6729,"чел/час")</f>
        <v>6 чел.*0,0909/114чел/час</v>
      </c>
      <c r="N6729" s="278">
        <f t="shared" si="1822"/>
        <v>570.07000000000005</v>
      </c>
      <c r="O6729" s="280">
        <f t="shared" si="1823"/>
        <v>2.7273350000000001</v>
      </c>
      <c r="P6729" s="166"/>
      <c r="Q6729" s="166">
        <f t="shared" si="1824"/>
        <v>310.91619000000003</v>
      </c>
      <c r="R6729" s="71"/>
    </row>
    <row r="6730" spans="1:18" s="61" customFormat="1" ht="63" x14ac:dyDescent="0.25">
      <c r="A6730" s="358"/>
      <c r="B6730" s="361"/>
      <c r="C6730" s="366"/>
      <c r="D6730" s="156" t="s">
        <v>45</v>
      </c>
      <c r="E6730" s="156" t="s">
        <v>53</v>
      </c>
      <c r="F6730" s="156" t="s">
        <v>257</v>
      </c>
      <c r="G6730" s="238">
        <f t="shared" ref="G6730:G6733" si="1831">MROUND(H6730*L6730*I6730/K6730,0.000001)</f>
        <v>9.5680000000000001E-3</v>
      </c>
      <c r="H6730" s="158">
        <v>1</v>
      </c>
      <c r="I6730" s="159">
        <f>I6728</f>
        <v>9.0899999999999995E-2</v>
      </c>
      <c r="J6730" s="160"/>
      <c r="K6730" s="161">
        <f>K6728</f>
        <v>114</v>
      </c>
      <c r="L6730" s="250">
        <v>12</v>
      </c>
      <c r="M6730" s="163" t="str">
        <f>CONCATENATE(H6730," ",F6730,"*",L6730,"мес.","*",I6730,"/",K6730,"чел")</f>
        <v>1  машина, оборудованная системой ГЛОНАСС*12мес.*0,0909/114чел</v>
      </c>
      <c r="N6730" s="278">
        <f t="shared" si="1822"/>
        <v>921.23333333333346</v>
      </c>
      <c r="O6730" s="280">
        <f t="shared" si="1823"/>
        <v>8.8143609999999999</v>
      </c>
      <c r="P6730" s="166"/>
      <c r="Q6730" s="166">
        <f t="shared" si="1824"/>
        <v>1004.8371539999999</v>
      </c>
      <c r="R6730" s="71"/>
    </row>
    <row r="6731" spans="1:18" s="61" customFormat="1" ht="47.25" x14ac:dyDescent="0.25">
      <c r="A6731" s="358"/>
      <c r="B6731" s="361"/>
      <c r="C6731" s="366"/>
      <c r="D6731" s="156" t="s">
        <v>271</v>
      </c>
      <c r="E6731" s="156" t="s">
        <v>85</v>
      </c>
      <c r="F6731" s="156" t="s">
        <v>232</v>
      </c>
      <c r="G6731" s="238">
        <f t="shared" si="1831"/>
        <v>0.24239999999999998</v>
      </c>
      <c r="H6731" s="158">
        <f>H6440</f>
        <v>304</v>
      </c>
      <c r="I6731" s="159">
        <f>I6729</f>
        <v>9.0899999999999995E-2</v>
      </c>
      <c r="J6731" s="160"/>
      <c r="K6731" s="161">
        <f>K6729</f>
        <v>114</v>
      </c>
      <c r="L6731" s="250">
        <v>1</v>
      </c>
      <c r="M6731" s="163" t="str">
        <f>CONCATENATE(H6731," ",F6731,"*",L6731,"мес.","*",I6731,"/",K6731,"чел")</f>
        <v>304 мед.осмотров в мес.*1мес.*0,0909/114чел</v>
      </c>
      <c r="N6731" s="278">
        <f t="shared" si="1822"/>
        <v>59.287269736842113</v>
      </c>
      <c r="O6731" s="280">
        <f t="shared" si="1823"/>
        <v>14.371233999999999</v>
      </c>
      <c r="P6731" s="166"/>
      <c r="Q6731" s="166">
        <f t="shared" si="1824"/>
        <v>1638.3206759999998</v>
      </c>
      <c r="R6731" s="71"/>
    </row>
    <row r="6732" spans="1:18" s="61" customFormat="1" x14ac:dyDescent="0.25">
      <c r="A6732" s="358"/>
      <c r="B6732" s="361"/>
      <c r="C6732" s="366"/>
      <c r="D6732" s="156" t="s">
        <v>373</v>
      </c>
      <c r="E6732" s="156" t="s">
        <v>28</v>
      </c>
      <c r="F6732" s="156" t="s">
        <v>28</v>
      </c>
      <c r="G6732" s="238">
        <f t="shared" si="1831"/>
        <v>7.9699999999999997E-4</v>
      </c>
      <c r="H6732" s="158">
        <f>H6441</f>
        <v>1</v>
      </c>
      <c r="I6732" s="159">
        <f>I6731</f>
        <v>9.0899999999999995E-2</v>
      </c>
      <c r="J6732" s="160"/>
      <c r="K6732" s="161">
        <f>K6731</f>
        <v>114</v>
      </c>
      <c r="L6732" s="250">
        <v>1</v>
      </c>
      <c r="M6732" s="163" t="str">
        <f>CONCATENATE(H6732," ",F6732,"*",L6732,"мес.","*",I6732,"/",K6732,"чел")</f>
        <v>1 шт*1мес.*0,0909/114чел</v>
      </c>
      <c r="N6732" s="278">
        <f t="shared" si="1822"/>
        <v>24000</v>
      </c>
      <c r="O6732" s="280">
        <f t="shared" si="1823"/>
        <v>19.128</v>
      </c>
      <c r="P6732" s="166"/>
      <c r="Q6732" s="166">
        <f t="shared" si="1824"/>
        <v>2180.5920000000001</v>
      </c>
      <c r="R6732" s="71"/>
    </row>
    <row r="6733" spans="1:18" s="61" customFormat="1" ht="31.5" x14ac:dyDescent="0.25">
      <c r="A6733" s="358"/>
      <c r="B6733" s="361"/>
      <c r="C6733" s="367"/>
      <c r="D6733" s="156" t="s">
        <v>43</v>
      </c>
      <c r="E6733" s="156" t="s">
        <v>52</v>
      </c>
      <c r="F6733" s="156" t="s">
        <v>231</v>
      </c>
      <c r="G6733" s="238">
        <f t="shared" si="1831"/>
        <v>7.9699999999999997E-4</v>
      </c>
      <c r="H6733" s="158">
        <v>1</v>
      </c>
      <c r="I6733" s="159">
        <f>I6723</f>
        <v>9.0899999999999995E-2</v>
      </c>
      <c r="J6733" s="160"/>
      <c r="K6733" s="161">
        <f>K6723</f>
        <v>114</v>
      </c>
      <c r="L6733" s="250">
        <v>1</v>
      </c>
      <c r="M6733" s="163" t="str">
        <f>CONCATENATE(H6733," ",F6733,"*",I6733,"/",K6733,"чел/час")</f>
        <v>1 ЭЦП*0,0909/114чел/час</v>
      </c>
      <c r="N6733" s="278">
        <f t="shared" si="1822"/>
        <v>8099.55</v>
      </c>
      <c r="O6733" s="280">
        <f t="shared" si="1823"/>
        <v>6.4553409999999998</v>
      </c>
      <c r="P6733" s="166"/>
      <c r="Q6733" s="166">
        <f t="shared" si="1824"/>
        <v>735.90887399999997</v>
      </c>
      <c r="R6733" s="71"/>
    </row>
    <row r="6734" spans="1:18" s="62" customFormat="1" x14ac:dyDescent="0.25">
      <c r="A6734" s="358"/>
      <c r="B6734" s="361"/>
      <c r="C6734" s="245" t="s">
        <v>296</v>
      </c>
      <c r="D6734" s="240"/>
      <c r="E6734" s="240"/>
      <c r="F6734" s="240"/>
      <c r="G6734" s="227"/>
      <c r="H6734" s="241"/>
      <c r="I6734" s="206"/>
      <c r="J6734" s="228"/>
      <c r="K6734" s="207"/>
      <c r="L6734" s="257"/>
      <c r="M6734" s="209"/>
      <c r="N6734" s="281"/>
      <c r="O6734" s="279">
        <f>SUM(O6717:O6733)</f>
        <v>572.68473199999994</v>
      </c>
      <c r="P6734" s="267"/>
      <c r="Q6734" s="166"/>
      <c r="R6734" s="71"/>
    </row>
    <row r="6735" spans="1:18" s="61" customFormat="1" ht="31.5" x14ac:dyDescent="0.25">
      <c r="A6735" s="358"/>
      <c r="B6735" s="361"/>
      <c r="C6735" s="252" t="s">
        <v>237</v>
      </c>
      <c r="D6735" s="156" t="s">
        <v>41</v>
      </c>
      <c r="E6735" s="156" t="s">
        <v>61</v>
      </c>
      <c r="F6735" s="156" t="s">
        <v>254</v>
      </c>
      <c r="G6735" s="238">
        <f>MROUND(H6735*L6735*I6735/K6735,0.00000001)</f>
        <v>7.9737000000000004E-4</v>
      </c>
      <c r="H6735" s="158">
        <v>1</v>
      </c>
      <c r="I6735" s="159">
        <f>I6733</f>
        <v>9.0899999999999995E-2</v>
      </c>
      <c r="J6735" s="160"/>
      <c r="K6735" s="161">
        <f>K6733</f>
        <v>114</v>
      </c>
      <c r="L6735" s="250">
        <v>1</v>
      </c>
      <c r="M6735" s="163" t="str">
        <f>CONCATENATE(H6735," ",F6735,"*",I6735,"/",K6735,"чел/час")</f>
        <v>1 автобус*0,0909/114чел/час</v>
      </c>
      <c r="N6735" s="278">
        <f>N6444</f>
        <v>26907.3</v>
      </c>
      <c r="O6735" s="280">
        <f>MROUND(N6735*G6735,0.000001)</f>
        <v>21.455074</v>
      </c>
      <c r="P6735" s="166"/>
      <c r="Q6735" s="166">
        <f t="shared" ref="Q6735" si="1832">O6735*K6735</f>
        <v>2445.878436</v>
      </c>
      <c r="R6735" s="71"/>
    </row>
    <row r="6736" spans="1:18" s="62" customFormat="1" x14ac:dyDescent="0.25">
      <c r="A6736" s="358"/>
      <c r="B6736" s="361"/>
      <c r="C6736" s="245" t="s">
        <v>297</v>
      </c>
      <c r="D6736" s="240"/>
      <c r="E6736" s="240"/>
      <c r="F6736" s="240"/>
      <c r="G6736" s="227"/>
      <c r="H6736" s="241"/>
      <c r="I6736" s="206"/>
      <c r="J6736" s="228"/>
      <c r="K6736" s="207"/>
      <c r="L6736" s="257"/>
      <c r="M6736" s="209"/>
      <c r="N6736" s="281"/>
      <c r="O6736" s="279">
        <f>O6735</f>
        <v>21.455074</v>
      </c>
      <c r="P6736" s="267"/>
      <c r="Q6736" s="166"/>
      <c r="R6736" s="71"/>
    </row>
    <row r="6737" spans="1:20" s="61" customFormat="1" ht="78.75" x14ac:dyDescent="0.25">
      <c r="A6737" s="358"/>
      <c r="B6737" s="361"/>
      <c r="C6737" s="221" t="s">
        <v>236</v>
      </c>
      <c r="D6737" s="156" t="s">
        <v>19</v>
      </c>
      <c r="E6737" s="181" t="s">
        <v>20</v>
      </c>
      <c r="F6737" s="181" t="s">
        <v>238</v>
      </c>
      <c r="G6737" s="238">
        <f t="shared" ref="G6737" si="1833">MROUND(H6737*L6737*I6737/K6737,0.000001)</f>
        <v>0</v>
      </c>
      <c r="H6737" s="158"/>
      <c r="I6737" s="159">
        <f>I6735</f>
        <v>9.0899999999999995E-2</v>
      </c>
      <c r="J6737" s="160"/>
      <c r="K6737" s="161">
        <f>K6735</f>
        <v>114</v>
      </c>
      <c r="L6737" s="250"/>
      <c r="M6737" s="163"/>
      <c r="N6737" s="278"/>
      <c r="O6737" s="280">
        <f>MROUND(N6737*G6737,0.000001)</f>
        <v>0</v>
      </c>
      <c r="P6737" s="166"/>
      <c r="Q6737" s="166">
        <f t="shared" ref="Q6737" si="1834">O6737*K6737</f>
        <v>0</v>
      </c>
      <c r="R6737" s="71"/>
    </row>
    <row r="6738" spans="1:20" s="62" customFormat="1" x14ac:dyDescent="0.25">
      <c r="A6738" s="358"/>
      <c r="B6738" s="361"/>
      <c r="C6738" s="245" t="s">
        <v>298</v>
      </c>
      <c r="D6738" s="240"/>
      <c r="E6738" s="253"/>
      <c r="F6738" s="253"/>
      <c r="G6738" s="227"/>
      <c r="H6738" s="241"/>
      <c r="I6738" s="206"/>
      <c r="J6738" s="228"/>
      <c r="K6738" s="207"/>
      <c r="L6738" s="257"/>
      <c r="M6738" s="209"/>
      <c r="N6738" s="281"/>
      <c r="O6738" s="279">
        <f>O6737</f>
        <v>0</v>
      </c>
      <c r="P6738" s="267"/>
      <c r="Q6738" s="166"/>
      <c r="R6738" s="71"/>
    </row>
    <row r="6739" spans="1:20" s="61" customFormat="1" x14ac:dyDescent="0.25">
      <c r="A6739" s="358"/>
      <c r="B6739" s="361"/>
      <c r="C6739" s="365" t="s">
        <v>81</v>
      </c>
      <c r="D6739" s="156" t="s">
        <v>427</v>
      </c>
      <c r="E6739" s="156" t="s">
        <v>28</v>
      </c>
      <c r="F6739" s="156" t="s">
        <v>28</v>
      </c>
      <c r="G6739" s="238">
        <f>MROUND(H6739*L6739*I6739/K6739,0.00000001)</f>
        <v>0</v>
      </c>
      <c r="H6739" s="158"/>
      <c r="I6739" s="159">
        <f>I6735</f>
        <v>9.0899999999999995E-2</v>
      </c>
      <c r="J6739" s="160"/>
      <c r="K6739" s="161">
        <f>K6735</f>
        <v>114</v>
      </c>
      <c r="L6739" s="250">
        <v>1</v>
      </c>
      <c r="M6739" s="163"/>
      <c r="N6739" s="278"/>
      <c r="O6739" s="280">
        <f>MROUND(N6739*G6739,0.000001)</f>
        <v>0</v>
      </c>
      <c r="P6739" s="166"/>
      <c r="Q6739" s="166">
        <f t="shared" ref="Q6739:Q6743" si="1835">O6739*K6739</f>
        <v>0</v>
      </c>
      <c r="R6739" s="71"/>
    </row>
    <row r="6740" spans="1:20" s="61" customFormat="1" x14ac:dyDescent="0.25">
      <c r="A6740" s="358"/>
      <c r="B6740" s="361"/>
      <c r="C6740" s="366"/>
      <c r="D6740" s="156" t="s">
        <v>428</v>
      </c>
      <c r="E6740" s="156" t="s">
        <v>28</v>
      </c>
      <c r="F6740" s="156" t="s">
        <v>28</v>
      </c>
      <c r="G6740" s="238">
        <f>MROUND(H6740*L6740*I6740/K6740,0.00000001)</f>
        <v>0</v>
      </c>
      <c r="H6740" s="158"/>
      <c r="I6740" s="159">
        <f>I6739</f>
        <v>9.0899999999999995E-2</v>
      </c>
      <c r="J6740" s="160"/>
      <c r="K6740" s="161">
        <f>K6739</f>
        <v>114</v>
      </c>
      <c r="L6740" s="250">
        <v>1</v>
      </c>
      <c r="M6740" s="163"/>
      <c r="N6740" s="278"/>
      <c r="O6740" s="280">
        <f>MROUND(N6740*G6740,0.000001)</f>
        <v>0</v>
      </c>
      <c r="P6740" s="166"/>
      <c r="Q6740" s="166">
        <f t="shared" si="1835"/>
        <v>0</v>
      </c>
      <c r="R6740" s="71"/>
    </row>
    <row r="6741" spans="1:20" s="61" customFormat="1" x14ac:dyDescent="0.25">
      <c r="A6741" s="358"/>
      <c r="B6741" s="361"/>
      <c r="C6741" s="366"/>
      <c r="D6741" s="156" t="s">
        <v>110</v>
      </c>
      <c r="E6741" s="156" t="s">
        <v>28</v>
      </c>
      <c r="F6741" s="156" t="s">
        <v>28</v>
      </c>
      <c r="G6741" s="238">
        <f>MROUND(H6741*L6741*I6741/K6741,0.00000001)</f>
        <v>0</v>
      </c>
      <c r="H6741" s="158"/>
      <c r="I6741" s="159">
        <f t="shared" ref="I6741:I6742" si="1836">I6740</f>
        <v>9.0899999999999995E-2</v>
      </c>
      <c r="J6741" s="160"/>
      <c r="K6741" s="161">
        <f t="shared" ref="K6741:K6742" si="1837">K6740</f>
        <v>114</v>
      </c>
      <c r="L6741" s="250">
        <v>1</v>
      </c>
      <c r="M6741" s="163"/>
      <c r="N6741" s="278"/>
      <c r="O6741" s="280">
        <f>MROUND(N6741*G6741,0.000001)</f>
        <v>0</v>
      </c>
      <c r="P6741" s="166"/>
      <c r="Q6741" s="166">
        <f t="shared" si="1835"/>
        <v>0</v>
      </c>
      <c r="R6741" s="71"/>
    </row>
    <row r="6742" spans="1:20" s="61" customFormat="1" x14ac:dyDescent="0.25">
      <c r="A6742" s="358"/>
      <c r="B6742" s="361"/>
      <c r="C6742" s="366"/>
      <c r="D6742" s="156" t="s">
        <v>111</v>
      </c>
      <c r="E6742" s="156" t="s">
        <v>28</v>
      </c>
      <c r="F6742" s="156" t="s">
        <v>28</v>
      </c>
      <c r="G6742" s="238">
        <f>MROUND(H6742*L6742*I6742/K6742,0.00000001)</f>
        <v>0</v>
      </c>
      <c r="H6742" s="158"/>
      <c r="I6742" s="159">
        <f t="shared" si="1836"/>
        <v>9.0899999999999995E-2</v>
      </c>
      <c r="J6742" s="160"/>
      <c r="K6742" s="161">
        <f t="shared" si="1837"/>
        <v>114</v>
      </c>
      <c r="L6742" s="250">
        <v>1</v>
      </c>
      <c r="M6742" s="163"/>
      <c r="N6742" s="278"/>
      <c r="O6742" s="280">
        <f>MROUND(N6742*G6742,0.000001)</f>
        <v>0</v>
      </c>
      <c r="P6742" s="166"/>
      <c r="Q6742" s="166">
        <f t="shared" si="1835"/>
        <v>0</v>
      </c>
      <c r="R6742" s="71"/>
    </row>
    <row r="6743" spans="1:20" s="61" customFormat="1" x14ac:dyDescent="0.25">
      <c r="A6743" s="358"/>
      <c r="B6743" s="361"/>
      <c r="C6743" s="367"/>
      <c r="D6743" s="156" t="s">
        <v>438</v>
      </c>
      <c r="E6743" s="156" t="s">
        <v>28</v>
      </c>
      <c r="F6743" s="156" t="s">
        <v>28</v>
      </c>
      <c r="G6743" s="238">
        <f>MROUND(H6743*L6743*I6743/K6743,0.00000001)</f>
        <v>0</v>
      </c>
      <c r="H6743" s="158"/>
      <c r="I6743" s="159">
        <f>I6737</f>
        <v>9.0899999999999995E-2</v>
      </c>
      <c r="J6743" s="160"/>
      <c r="K6743" s="161">
        <f>K6737</f>
        <v>114</v>
      </c>
      <c r="L6743" s="250">
        <v>1</v>
      </c>
      <c r="M6743" s="163"/>
      <c r="N6743" s="278"/>
      <c r="O6743" s="280">
        <f>MROUND(N6743*G6743,0.000001)</f>
        <v>0</v>
      </c>
      <c r="P6743" s="166"/>
      <c r="Q6743" s="166">
        <f t="shared" si="1835"/>
        <v>0</v>
      </c>
      <c r="R6743" s="71"/>
    </row>
    <row r="6744" spans="1:20" s="62" customFormat="1" x14ac:dyDescent="0.25">
      <c r="A6744" s="358"/>
      <c r="B6744" s="361"/>
      <c r="C6744" s="245" t="s">
        <v>299</v>
      </c>
      <c r="D6744" s="240"/>
      <c r="E6744" s="240"/>
      <c r="F6744" s="240"/>
      <c r="G6744" s="227"/>
      <c r="H6744" s="241"/>
      <c r="I6744" s="206"/>
      <c r="J6744" s="228"/>
      <c r="K6744" s="207"/>
      <c r="L6744" s="257"/>
      <c r="M6744" s="209"/>
      <c r="N6744" s="281"/>
      <c r="O6744" s="279">
        <f>SUM(O6739:O6743)</f>
        <v>0</v>
      </c>
      <c r="P6744" s="267"/>
      <c r="Q6744" s="166"/>
      <c r="R6744" s="71"/>
    </row>
    <row r="6745" spans="1:20" s="61" customFormat="1" ht="110.25" x14ac:dyDescent="0.25">
      <c r="A6745" s="358"/>
      <c r="B6745" s="361"/>
      <c r="C6745" s="221" t="s">
        <v>82</v>
      </c>
      <c r="D6745" s="156" t="s">
        <v>46</v>
      </c>
      <c r="E6745" s="156" t="s">
        <v>54</v>
      </c>
      <c r="F6745" s="156" t="s">
        <v>285</v>
      </c>
      <c r="G6745" s="238">
        <f t="shared" ref="G6745" si="1838">MROUND(H6745*L6745*I6745/K6745,0.000001)</f>
        <v>2.0332889999999999</v>
      </c>
      <c r="H6745" s="242">
        <f>H6454</f>
        <v>231.81818181818181</v>
      </c>
      <c r="I6745" s="159">
        <f>I6737</f>
        <v>9.0899999999999995E-2</v>
      </c>
      <c r="J6745" s="160"/>
      <c r="K6745" s="161">
        <f>K6737</f>
        <v>114</v>
      </c>
      <c r="L6745" s="250">
        <v>11</v>
      </c>
      <c r="M6745" s="163" t="str">
        <f>CONCATENATE(H6745," ",F6745,"*",L6745,"автобус","*",I6745,"/",K6745,"чел/час")</f>
        <v>231,818181818182 л бензина АИ 92 (12,5л/день(зимой)*20дней*7мес+10л/день(летом)*20дней*4мес)*11автобус*0,0909/114чел/час</v>
      </c>
      <c r="N6745" s="278">
        <f>N6454</f>
        <v>57.007000000000005</v>
      </c>
      <c r="O6745" s="280">
        <f>MROUND(N6745*G6745,0.000001)</f>
        <v>115.911706</v>
      </c>
      <c r="P6745" s="166"/>
      <c r="Q6745" s="166">
        <f>O6745*K6745</f>
        <v>13213.934483999999</v>
      </c>
      <c r="R6745" s="71"/>
    </row>
    <row r="6746" spans="1:20" s="62" customFormat="1" x14ac:dyDescent="0.25">
      <c r="A6746" s="358"/>
      <c r="B6746" s="361"/>
      <c r="C6746" s="218" t="s">
        <v>300</v>
      </c>
      <c r="D6746" s="240"/>
      <c r="E6746" s="240"/>
      <c r="F6746" s="240"/>
      <c r="G6746" s="227"/>
      <c r="H6746" s="241"/>
      <c r="I6746" s="206"/>
      <c r="J6746" s="228"/>
      <c r="K6746" s="207"/>
      <c r="L6746" s="257"/>
      <c r="M6746" s="209"/>
      <c r="N6746" s="281"/>
      <c r="O6746" s="279">
        <f>O6745</f>
        <v>115.911706</v>
      </c>
      <c r="P6746" s="267"/>
      <c r="Q6746" s="166"/>
      <c r="R6746" s="71"/>
    </row>
    <row r="6747" spans="1:20" s="61" customFormat="1" ht="47.25" x14ac:dyDescent="0.25">
      <c r="A6747" s="358"/>
      <c r="B6747" s="361"/>
      <c r="C6747" s="365" t="s">
        <v>118</v>
      </c>
      <c r="D6747" s="156" t="s">
        <v>47</v>
      </c>
      <c r="E6747" s="156" t="s">
        <v>28</v>
      </c>
      <c r="F6747" s="156" t="s">
        <v>239</v>
      </c>
      <c r="G6747" s="238">
        <f>MROUND(H6747*L6747*I6747/K6747,0.000001)</f>
        <v>0</v>
      </c>
      <c r="H6747" s="158">
        <f>H6456</f>
        <v>0</v>
      </c>
      <c r="I6747" s="159">
        <f>I6745</f>
        <v>9.0899999999999995E-2</v>
      </c>
      <c r="J6747" s="160"/>
      <c r="K6747" s="161">
        <f>K6745</f>
        <v>114</v>
      </c>
      <c r="L6747" s="250">
        <v>1</v>
      </c>
      <c r="M6747" s="163"/>
      <c r="N6747" s="278">
        <f>N6456</f>
        <v>0</v>
      </c>
      <c r="O6747" s="280">
        <f>MROUND(N6747*G6747,0.000001)</f>
        <v>0</v>
      </c>
      <c r="P6747" s="166"/>
      <c r="Q6747" s="166">
        <f t="shared" ref="Q6747:Q6748" si="1839">O6747*K6747</f>
        <v>0</v>
      </c>
      <c r="R6747" s="71"/>
    </row>
    <row r="6748" spans="1:20" s="61" customFormat="1" ht="47.25" x14ac:dyDescent="0.25">
      <c r="A6748" s="358"/>
      <c r="B6748" s="361"/>
      <c r="C6748" s="367"/>
      <c r="D6748" s="255" t="s">
        <v>113</v>
      </c>
      <c r="E6748" s="156" t="s">
        <v>28</v>
      </c>
      <c r="F6748" s="156" t="s">
        <v>240</v>
      </c>
      <c r="G6748" s="238">
        <f>MROUND(H6748*L6748*I6748/K6748,0.000001)</f>
        <v>1.5946999999999999E-2</v>
      </c>
      <c r="H6748" s="158">
        <f>H6457</f>
        <v>20</v>
      </c>
      <c r="I6748" s="159">
        <f>I6747</f>
        <v>9.0899999999999995E-2</v>
      </c>
      <c r="J6748" s="160"/>
      <c r="K6748" s="161">
        <f>K6747</f>
        <v>114</v>
      </c>
      <c r="L6748" s="250">
        <v>1</v>
      </c>
      <c r="M6748" s="163" t="str">
        <f>CONCATENATE(H6748," ",F6748,"*",I6748,"/",K6748,"чел/час")</f>
        <v>20 светильников (потребность учреждений)*0,0909/114чел/час</v>
      </c>
      <c r="N6748" s="278">
        <f>N6457</f>
        <v>111.1635</v>
      </c>
      <c r="O6748" s="280">
        <f>MROUND(N6748*G6748,0.000001)</f>
        <v>1.772724</v>
      </c>
      <c r="P6748" s="166"/>
      <c r="Q6748" s="166">
        <f t="shared" si="1839"/>
        <v>202.09053599999999</v>
      </c>
      <c r="R6748" s="71"/>
    </row>
    <row r="6749" spans="1:20" s="62" customFormat="1" x14ac:dyDescent="0.25">
      <c r="A6749" s="359"/>
      <c r="B6749" s="362"/>
      <c r="C6749" s="218" t="s">
        <v>301</v>
      </c>
      <c r="D6749" s="256"/>
      <c r="E6749" s="240"/>
      <c r="F6749" s="240"/>
      <c r="G6749" s="227"/>
      <c r="H6749" s="241"/>
      <c r="I6749" s="206"/>
      <c r="J6749" s="228"/>
      <c r="K6749" s="207"/>
      <c r="L6749" s="257"/>
      <c r="M6749" s="209"/>
      <c r="N6749" s="281"/>
      <c r="O6749" s="279">
        <f>O6747+O6748</f>
        <v>1.772724</v>
      </c>
      <c r="P6749" s="267"/>
      <c r="Q6749" s="166"/>
      <c r="R6749" s="71"/>
    </row>
    <row r="6750" spans="1:20" s="61" customFormat="1" x14ac:dyDescent="0.25">
      <c r="A6750" s="348" t="str">
        <f>школы!$B$44</f>
        <v>Организация отдыха детей и молодежи</v>
      </c>
      <c r="B6750" s="349" t="str">
        <f>школы!$A$44</f>
        <v>920700О.99.0.АЗ22АА01001</v>
      </c>
      <c r="C6750" s="194"/>
      <c r="D6750" s="350" t="s">
        <v>15</v>
      </c>
      <c r="E6750" s="350"/>
      <c r="F6750" s="350"/>
      <c r="G6750" s="350"/>
      <c r="H6750" s="159"/>
      <c r="I6750" s="159"/>
      <c r="J6750" s="159"/>
      <c r="K6750" s="159"/>
      <c r="L6750" s="202"/>
      <c r="M6750" s="212"/>
      <c r="N6750" s="278"/>
      <c r="O6750" s="279">
        <f>O6751+O6756</f>
        <v>2055.1031809999999</v>
      </c>
      <c r="P6750" s="166"/>
      <c r="Q6750" s="167">
        <f t="shared" ref="Q6750:Q6752" si="1840">O6750*K6750</f>
        <v>0</v>
      </c>
      <c r="R6750" s="71"/>
    </row>
    <row r="6751" spans="1:20" s="61" customFormat="1" x14ac:dyDescent="0.25">
      <c r="A6751" s="348"/>
      <c r="B6751" s="349"/>
      <c r="C6751" s="194"/>
      <c r="D6751" s="350" t="s">
        <v>62</v>
      </c>
      <c r="E6751" s="350"/>
      <c r="F6751" s="350"/>
      <c r="G6751" s="350"/>
      <c r="H6751" s="159"/>
      <c r="I6751" s="159"/>
      <c r="J6751" s="159"/>
      <c r="K6751" s="159"/>
      <c r="L6751" s="202"/>
      <c r="M6751" s="212"/>
      <c r="N6751" s="278"/>
      <c r="O6751" s="279">
        <f>O6752+O6754</f>
        <v>155.40182299999998</v>
      </c>
      <c r="P6751" s="166"/>
      <c r="Q6751" s="167">
        <f t="shared" si="1840"/>
        <v>0</v>
      </c>
      <c r="R6751" s="71"/>
    </row>
    <row r="6752" spans="1:20" s="61" customFormat="1" x14ac:dyDescent="0.25">
      <c r="A6752" s="348"/>
      <c r="B6752" s="349"/>
      <c r="C6752" s="194">
        <v>211</v>
      </c>
      <c r="D6752" s="194" t="s">
        <v>86</v>
      </c>
      <c r="E6752" s="194" t="s">
        <v>272</v>
      </c>
      <c r="F6752" s="194"/>
      <c r="G6752" s="311">
        <f>90/K6752</f>
        <v>1.5177065767284991E-2</v>
      </c>
      <c r="H6752" s="159">
        <v>2.4</v>
      </c>
      <c r="I6752" s="159"/>
      <c r="J6752" s="159"/>
      <c r="K6752" s="161">
        <f>школы!G44</f>
        <v>5930</v>
      </c>
      <c r="L6752" s="202">
        <v>24</v>
      </c>
      <c r="M6752" s="312" t="s">
        <v>442</v>
      </c>
      <c r="N6752" s="278">
        <f>Лист1!Q144</f>
        <v>7864.25</v>
      </c>
      <c r="O6752" s="280">
        <f>MROUND(N6752*G6752,0.000001)</f>
        <v>119.35623899999999</v>
      </c>
      <c r="P6752" s="166"/>
      <c r="Q6752" s="167">
        <f t="shared" si="1840"/>
        <v>707782.49726999993</v>
      </c>
      <c r="R6752" s="71"/>
      <c r="T6752" s="71"/>
    </row>
    <row r="6753" spans="1:22" s="62" customFormat="1" x14ac:dyDescent="0.25">
      <c r="A6753" s="348"/>
      <c r="B6753" s="349"/>
      <c r="C6753" s="203" t="s">
        <v>288</v>
      </c>
      <c r="D6753" s="203"/>
      <c r="E6753" s="203"/>
      <c r="F6753" s="203"/>
      <c r="G6753" s="313"/>
      <c r="H6753" s="206"/>
      <c r="I6753" s="206"/>
      <c r="J6753" s="206"/>
      <c r="K6753" s="207"/>
      <c r="L6753" s="208"/>
      <c r="M6753" s="314"/>
      <c r="N6753" s="281"/>
      <c r="O6753" s="279">
        <f>O6752</f>
        <v>119.35623899999999</v>
      </c>
      <c r="P6753" s="267"/>
      <c r="Q6753" s="167"/>
      <c r="R6753" s="71"/>
      <c r="T6753" s="72"/>
    </row>
    <row r="6754" spans="1:22" s="61" customFormat="1" x14ac:dyDescent="0.25">
      <c r="A6754" s="348"/>
      <c r="B6754" s="349"/>
      <c r="C6754" s="194">
        <v>213</v>
      </c>
      <c r="D6754" s="194" t="s">
        <v>87</v>
      </c>
      <c r="E6754" s="194" t="s">
        <v>88</v>
      </c>
      <c r="F6754" s="194"/>
      <c r="G6754" s="189">
        <v>30.2</v>
      </c>
      <c r="H6754" s="159"/>
      <c r="I6754" s="159"/>
      <c r="J6754" s="159"/>
      <c r="K6754" s="161">
        <f>K6752</f>
        <v>5930</v>
      </c>
      <c r="L6754" s="202"/>
      <c r="M6754" s="212"/>
      <c r="N6754" s="278"/>
      <c r="O6754" s="280">
        <f>MROUND(O6752*0.302,0.000001)</f>
        <v>36.045583999999998</v>
      </c>
      <c r="P6754" s="166"/>
      <c r="Q6754" s="167">
        <f t="shared" ref="Q6754" si="1841">O6754*K6754</f>
        <v>213750.31311999998</v>
      </c>
      <c r="R6754" s="71"/>
      <c r="S6754" s="71"/>
    </row>
    <row r="6755" spans="1:22" s="62" customFormat="1" x14ac:dyDescent="0.25">
      <c r="A6755" s="348"/>
      <c r="B6755" s="349"/>
      <c r="C6755" s="203" t="s">
        <v>289</v>
      </c>
      <c r="D6755" s="203"/>
      <c r="E6755" s="203"/>
      <c r="F6755" s="203"/>
      <c r="G6755" s="219"/>
      <c r="H6755" s="206"/>
      <c r="I6755" s="206"/>
      <c r="J6755" s="206"/>
      <c r="K6755" s="207"/>
      <c r="L6755" s="208"/>
      <c r="M6755" s="315"/>
      <c r="N6755" s="281"/>
      <c r="O6755" s="279">
        <f>O6754</f>
        <v>36.045583999999998</v>
      </c>
      <c r="P6755" s="267"/>
      <c r="Q6755" s="167"/>
      <c r="R6755" s="71"/>
    </row>
    <row r="6756" spans="1:22" s="99" customFormat="1" x14ac:dyDescent="0.25">
      <c r="A6756" s="348"/>
      <c r="B6756" s="349"/>
      <c r="C6756" s="316"/>
      <c r="D6756" s="351" t="s">
        <v>63</v>
      </c>
      <c r="E6756" s="351"/>
      <c r="F6756" s="351"/>
      <c r="G6756" s="351"/>
      <c r="H6756" s="270"/>
      <c r="I6756" s="270"/>
      <c r="J6756" s="270"/>
      <c r="K6756" s="270"/>
      <c r="L6756" s="317"/>
      <c r="M6756" s="318"/>
      <c r="N6756" s="164"/>
      <c r="O6756" s="294">
        <f>O6759+O6760+O6761+O6762+O6763</f>
        <v>1899.701358</v>
      </c>
      <c r="P6756" s="274"/>
      <c r="Q6756" s="167">
        <f t="shared" ref="Q6756:Q6758" si="1842">O6756*K6756</f>
        <v>0</v>
      </c>
      <c r="R6756" s="71"/>
    </row>
    <row r="6757" spans="1:22" s="99" customFormat="1" x14ac:dyDescent="0.25">
      <c r="A6757" s="348"/>
      <c r="B6757" s="349"/>
      <c r="C6757" s="352">
        <v>226</v>
      </c>
      <c r="D6757" s="181" t="s">
        <v>273</v>
      </c>
      <c r="E6757" s="316" t="s">
        <v>274</v>
      </c>
      <c r="F6757" s="316"/>
      <c r="G6757" s="319">
        <f>MROUND(H6757/K6757*L6757,0.0000001)</f>
        <v>1</v>
      </c>
      <c r="H6757" s="320">
        <f>Лист1!O270</f>
        <v>5930</v>
      </c>
      <c r="I6757" s="270"/>
      <c r="J6757" s="270"/>
      <c r="K6757" s="271">
        <f>K6752</f>
        <v>5930</v>
      </c>
      <c r="L6757" s="317">
        <v>1</v>
      </c>
      <c r="M6757" s="163" t="s">
        <v>443</v>
      </c>
      <c r="N6757" s="164">
        <f>Лист1!Q270</f>
        <v>1156.1589713322091</v>
      </c>
      <c r="O6757" s="321">
        <f>MROUND(N6757*G6757,0.000001)</f>
        <v>1156.1589709999998</v>
      </c>
      <c r="P6757" s="274"/>
      <c r="Q6757" s="167">
        <f t="shared" si="1842"/>
        <v>6856022.6980299987</v>
      </c>
      <c r="R6757" s="71"/>
    </row>
    <row r="6758" spans="1:22" s="99" customFormat="1" ht="31.5" x14ac:dyDescent="0.25">
      <c r="A6758" s="348"/>
      <c r="B6758" s="349"/>
      <c r="C6758" s="353"/>
      <c r="D6758" s="181" t="s">
        <v>275</v>
      </c>
      <c r="E6758" s="316" t="s">
        <v>88</v>
      </c>
      <c r="F6758" s="316"/>
      <c r="G6758" s="248">
        <v>50</v>
      </c>
      <c r="H6758" s="270"/>
      <c r="I6758" s="270"/>
      <c r="J6758" s="270"/>
      <c r="K6758" s="271">
        <f>K6752</f>
        <v>5930</v>
      </c>
      <c r="L6758" s="317">
        <v>1</v>
      </c>
      <c r="M6758" s="322">
        <v>0.5</v>
      </c>
      <c r="N6758" s="164"/>
      <c r="O6758" s="321">
        <f>MROUND(O6757*0.5,0.000001)</f>
        <v>578.07948599999997</v>
      </c>
      <c r="P6758" s="274"/>
      <c r="Q6758" s="167">
        <f t="shared" si="1842"/>
        <v>3428011.3519799998</v>
      </c>
      <c r="R6758" s="71"/>
      <c r="V6758" s="100"/>
    </row>
    <row r="6759" spans="1:22" s="92" customFormat="1" x14ac:dyDescent="0.25">
      <c r="A6759" s="348"/>
      <c r="B6759" s="349"/>
      <c r="C6759" s="323" t="s">
        <v>329</v>
      </c>
      <c r="D6759" s="253"/>
      <c r="E6759" s="261"/>
      <c r="F6759" s="261"/>
      <c r="G6759" s="324"/>
      <c r="H6759" s="262"/>
      <c r="I6759" s="262"/>
      <c r="J6759" s="262"/>
      <c r="K6759" s="263"/>
      <c r="L6759" s="264"/>
      <c r="M6759" s="325"/>
      <c r="N6759" s="210"/>
      <c r="O6759" s="294">
        <f>O6757+O6758</f>
        <v>1734.2384569999999</v>
      </c>
      <c r="P6759" s="295"/>
      <c r="Q6759" s="167"/>
      <c r="R6759" s="71"/>
    </row>
    <row r="6760" spans="1:22" s="99" customFormat="1" ht="47.25" x14ac:dyDescent="0.25">
      <c r="A6760" s="348"/>
      <c r="B6760" s="349"/>
      <c r="C6760" s="326">
        <v>227</v>
      </c>
      <c r="D6760" s="181" t="s">
        <v>276</v>
      </c>
      <c r="E6760" s="181" t="s">
        <v>277</v>
      </c>
      <c r="F6760" s="181"/>
      <c r="G6760" s="319">
        <f>MROUND(H6760/K6760*L6760,0.000001)</f>
        <v>1</v>
      </c>
      <c r="H6760" s="271">
        <f>K6760</f>
        <v>5930</v>
      </c>
      <c r="I6760" s="270"/>
      <c r="J6760" s="270"/>
      <c r="K6760" s="271">
        <f>K6752</f>
        <v>5930</v>
      </c>
      <c r="L6760" s="317">
        <v>1</v>
      </c>
      <c r="M6760" s="322" t="s">
        <v>278</v>
      </c>
      <c r="N6760" s="164">
        <f>Лист1!Q272</f>
        <v>60</v>
      </c>
      <c r="O6760" s="321">
        <f>MROUND(N6760*G6760,0.000001)</f>
        <v>60</v>
      </c>
      <c r="P6760" s="274"/>
      <c r="Q6760" s="167">
        <f t="shared" ref="Q6760:Q6762" si="1843">O6760*K6760</f>
        <v>355800</v>
      </c>
      <c r="R6760" s="71"/>
    </row>
    <row r="6761" spans="1:22" s="99" customFormat="1" ht="31.5" x14ac:dyDescent="0.25">
      <c r="A6761" s="348"/>
      <c r="B6761" s="349"/>
      <c r="C6761" s="326" t="s">
        <v>118</v>
      </c>
      <c r="D6761" s="181" t="s">
        <v>279</v>
      </c>
      <c r="E6761" s="181" t="s">
        <v>280</v>
      </c>
      <c r="F6761" s="181"/>
      <c r="G6761" s="319">
        <f>MROUND(H6761/K6761*L6761,0.000001)</f>
        <v>1</v>
      </c>
      <c r="H6761" s="271">
        <f>K6761</f>
        <v>5930</v>
      </c>
      <c r="I6761" s="270"/>
      <c r="J6761" s="270"/>
      <c r="K6761" s="271">
        <f>K6752</f>
        <v>5930</v>
      </c>
      <c r="L6761" s="317">
        <v>1</v>
      </c>
      <c r="M6761" s="322" t="s">
        <v>281</v>
      </c>
      <c r="N6761" s="164">
        <f>Лист1!Q273</f>
        <v>47.613827993254638</v>
      </c>
      <c r="O6761" s="321">
        <f>MROUND(N6761*G6761,0.000001)</f>
        <v>47.613827999999998</v>
      </c>
      <c r="P6761" s="274"/>
      <c r="Q6761" s="167">
        <f t="shared" si="1843"/>
        <v>282350.00004000001</v>
      </c>
      <c r="R6761" s="71"/>
    </row>
    <row r="6762" spans="1:22" s="99" customFormat="1" ht="63" x14ac:dyDescent="0.25">
      <c r="A6762" s="348"/>
      <c r="B6762" s="349"/>
      <c r="C6762" s="326" t="s">
        <v>360</v>
      </c>
      <c r="D6762" s="181" t="s">
        <v>282</v>
      </c>
      <c r="E6762" s="181" t="s">
        <v>283</v>
      </c>
      <c r="F6762" s="181"/>
      <c r="G6762" s="319">
        <f>MROUND(H6762/K6762*L6762,0.000001)</f>
        <v>1</v>
      </c>
      <c r="H6762" s="271">
        <f>K6762</f>
        <v>5930</v>
      </c>
      <c r="I6762" s="270"/>
      <c r="J6762" s="270"/>
      <c r="K6762" s="271">
        <f>K6757</f>
        <v>5930</v>
      </c>
      <c r="L6762" s="317">
        <v>1</v>
      </c>
      <c r="M6762" s="322" t="s">
        <v>284</v>
      </c>
      <c r="N6762" s="164">
        <f>Лист1!Q274</f>
        <v>47.613827993254638</v>
      </c>
      <c r="O6762" s="321">
        <f>MROUND(N6762*G6762,0.000001)</f>
        <v>47.613827999999998</v>
      </c>
      <c r="P6762" s="274"/>
      <c r="Q6762" s="167">
        <f t="shared" si="1843"/>
        <v>282350.00004000001</v>
      </c>
      <c r="R6762" s="71"/>
    </row>
    <row r="6763" spans="1:22" s="99" customFormat="1" ht="31.5" x14ac:dyDescent="0.25">
      <c r="A6763" s="348"/>
      <c r="B6763" s="349"/>
      <c r="C6763" s="326" t="s">
        <v>359</v>
      </c>
      <c r="D6763" s="181" t="s">
        <v>351</v>
      </c>
      <c r="E6763" s="181" t="s">
        <v>354</v>
      </c>
      <c r="F6763" s="181"/>
      <c r="G6763" s="319">
        <f>MROUND(H6763/K6763*L6763,0.000001)</f>
        <v>1</v>
      </c>
      <c r="H6763" s="271">
        <f>K6763</f>
        <v>5930</v>
      </c>
      <c r="I6763" s="270"/>
      <c r="J6763" s="270"/>
      <c r="K6763" s="271">
        <f>K6752</f>
        <v>5930</v>
      </c>
      <c r="L6763" s="317">
        <v>1</v>
      </c>
      <c r="M6763" s="322" t="s">
        <v>353</v>
      </c>
      <c r="N6763" s="164">
        <f>Лист1!Q275</f>
        <v>10.235244519392918</v>
      </c>
      <c r="O6763" s="321">
        <f>MROUND(N6763*G6763,0.000001)</f>
        <v>10.235244999999999</v>
      </c>
      <c r="P6763" s="274"/>
      <c r="Q6763" s="167">
        <f>O6763*K6763</f>
        <v>60695.002849999997</v>
      </c>
      <c r="R6763" s="71"/>
      <c r="S6763" s="100"/>
      <c r="T6763" s="100"/>
    </row>
    <row r="6764" spans="1:22" s="99" customFormat="1" x14ac:dyDescent="0.25">
      <c r="A6764" s="348"/>
      <c r="B6764" s="349"/>
      <c r="C6764" s="316"/>
      <c r="D6764" s="354" t="s">
        <v>64</v>
      </c>
      <c r="E6764" s="354"/>
      <c r="F6764" s="354"/>
      <c r="G6764" s="354"/>
      <c r="H6764" s="270"/>
      <c r="I6764" s="270"/>
      <c r="J6764" s="270"/>
      <c r="K6764" s="270"/>
      <c r="L6764" s="317"/>
      <c r="M6764" s="318"/>
      <c r="N6764" s="164"/>
      <c r="O6764" s="321"/>
      <c r="P6764" s="274"/>
      <c r="Q6764" s="166">
        <f t="shared" ref="Q6764:Q6779" si="1844">O6764*K6764</f>
        <v>0</v>
      </c>
      <c r="R6764" s="100"/>
    </row>
    <row r="6765" spans="1:22" s="99" customFormat="1" x14ac:dyDescent="0.25">
      <c r="A6765" s="348"/>
      <c r="B6765" s="349"/>
      <c r="C6765" s="316"/>
      <c r="D6765" s="316"/>
      <c r="E6765" s="316"/>
      <c r="F6765" s="316"/>
      <c r="G6765" s="269"/>
      <c r="H6765" s="270"/>
      <c r="I6765" s="270"/>
      <c r="J6765" s="270"/>
      <c r="K6765" s="270"/>
      <c r="L6765" s="317"/>
      <c r="M6765" s="318"/>
      <c r="N6765" s="164"/>
      <c r="O6765" s="321"/>
      <c r="P6765" s="274"/>
      <c r="Q6765" s="166">
        <f t="shared" si="1844"/>
        <v>0</v>
      </c>
    </row>
    <row r="6766" spans="1:22" s="61" customFormat="1" x14ac:dyDescent="0.25">
      <c r="A6766" s="348"/>
      <c r="B6766" s="349"/>
      <c r="C6766" s="194"/>
      <c r="D6766" s="355" t="s">
        <v>5</v>
      </c>
      <c r="E6766" s="355"/>
      <c r="F6766" s="355"/>
      <c r="G6766" s="355"/>
      <c r="H6766" s="159"/>
      <c r="I6766" s="159"/>
      <c r="J6766" s="159"/>
      <c r="K6766" s="159"/>
      <c r="L6766" s="202"/>
      <c r="M6766" s="212"/>
      <c r="N6766" s="278"/>
      <c r="O6766" s="280"/>
      <c r="P6766" s="166"/>
      <c r="Q6766" s="166">
        <f t="shared" si="1844"/>
        <v>0</v>
      </c>
    </row>
    <row r="6767" spans="1:22" s="61" customFormat="1" x14ac:dyDescent="0.25">
      <c r="A6767" s="348"/>
      <c r="B6767" s="349"/>
      <c r="C6767" s="221" t="s">
        <v>70</v>
      </c>
      <c r="D6767" s="355" t="s">
        <v>6</v>
      </c>
      <c r="E6767" s="355"/>
      <c r="F6767" s="355"/>
      <c r="G6767" s="355"/>
      <c r="H6767" s="189"/>
      <c r="I6767" s="189"/>
      <c r="J6767" s="189"/>
      <c r="K6767" s="189"/>
      <c r="L6767" s="190"/>
      <c r="M6767" s="212"/>
      <c r="N6767" s="278"/>
      <c r="O6767" s="280"/>
      <c r="P6767" s="166"/>
      <c r="Q6767" s="166">
        <f t="shared" si="1844"/>
        <v>0</v>
      </c>
    </row>
    <row r="6768" spans="1:22" s="61" customFormat="1" x14ac:dyDescent="0.25">
      <c r="A6768" s="348"/>
      <c r="B6768" s="349"/>
      <c r="C6768" s="221"/>
      <c r="D6768" s="156"/>
      <c r="E6768" s="156"/>
      <c r="F6768" s="156"/>
      <c r="G6768" s="311"/>
      <c r="H6768" s="327"/>
      <c r="I6768" s="159"/>
      <c r="J6768" s="159"/>
      <c r="K6768" s="159"/>
      <c r="L6768" s="202"/>
      <c r="M6768" s="156"/>
      <c r="N6768" s="278"/>
      <c r="O6768" s="280"/>
      <c r="P6768" s="166"/>
      <c r="Q6768" s="166">
        <f t="shared" si="1844"/>
        <v>0</v>
      </c>
    </row>
    <row r="6769" spans="1:20" s="61" customFormat="1" x14ac:dyDescent="0.25">
      <c r="A6769" s="348"/>
      <c r="B6769" s="349"/>
      <c r="C6769" s="221"/>
      <c r="D6769" s="356" t="s">
        <v>14</v>
      </c>
      <c r="E6769" s="356"/>
      <c r="F6769" s="356"/>
      <c r="G6769" s="356"/>
      <c r="H6769" s="188"/>
      <c r="I6769" s="188"/>
      <c r="J6769" s="188"/>
      <c r="K6769" s="188"/>
      <c r="L6769" s="328"/>
      <c r="M6769" s="329"/>
      <c r="N6769" s="278"/>
      <c r="O6769" s="280"/>
      <c r="P6769" s="166"/>
      <c r="Q6769" s="166">
        <f t="shared" si="1844"/>
        <v>0</v>
      </c>
    </row>
    <row r="6770" spans="1:20" s="61" customFormat="1" x14ac:dyDescent="0.25">
      <c r="A6770" s="348"/>
      <c r="B6770" s="349"/>
      <c r="C6770" s="221"/>
      <c r="D6770" s="231"/>
      <c r="E6770" s="231"/>
      <c r="F6770" s="231"/>
      <c r="G6770" s="188"/>
      <c r="H6770" s="188"/>
      <c r="I6770" s="188"/>
      <c r="J6770" s="188"/>
      <c r="K6770" s="188"/>
      <c r="L6770" s="328"/>
      <c r="M6770" s="329"/>
      <c r="N6770" s="278"/>
      <c r="O6770" s="280"/>
      <c r="P6770" s="166"/>
      <c r="Q6770" s="166">
        <f t="shared" si="1844"/>
        <v>0</v>
      </c>
    </row>
    <row r="6771" spans="1:20" s="61" customFormat="1" x14ac:dyDescent="0.25">
      <c r="A6771" s="348"/>
      <c r="B6771" s="349"/>
      <c r="C6771" s="221"/>
      <c r="D6771" s="350" t="s">
        <v>65</v>
      </c>
      <c r="E6771" s="350"/>
      <c r="F6771" s="350"/>
      <c r="G6771" s="350"/>
      <c r="H6771" s="159"/>
      <c r="I6771" s="159"/>
      <c r="J6771" s="159"/>
      <c r="K6771" s="159"/>
      <c r="L6771" s="202"/>
      <c r="M6771" s="329"/>
      <c r="N6771" s="278"/>
      <c r="O6771" s="280"/>
      <c r="P6771" s="166"/>
      <c r="Q6771" s="166">
        <f t="shared" si="1844"/>
        <v>0</v>
      </c>
    </row>
    <row r="6772" spans="1:20" s="61" customFormat="1" x14ac:dyDescent="0.25">
      <c r="A6772" s="348"/>
      <c r="B6772" s="349"/>
      <c r="C6772" s="221"/>
      <c r="D6772" s="194"/>
      <c r="E6772" s="194"/>
      <c r="F6772" s="194"/>
      <c r="G6772" s="189"/>
      <c r="H6772" s="159"/>
      <c r="I6772" s="159"/>
      <c r="J6772" s="159"/>
      <c r="K6772" s="159"/>
      <c r="L6772" s="202"/>
      <c r="M6772" s="329"/>
      <c r="N6772" s="278"/>
      <c r="O6772" s="280"/>
      <c r="P6772" s="166"/>
      <c r="Q6772" s="166">
        <f t="shared" si="1844"/>
        <v>0</v>
      </c>
    </row>
    <row r="6773" spans="1:20" s="61" customFormat="1" x14ac:dyDescent="0.25">
      <c r="A6773" s="348"/>
      <c r="B6773" s="349"/>
      <c r="C6773" s="221"/>
      <c r="D6773" s="355" t="s">
        <v>66</v>
      </c>
      <c r="E6773" s="355"/>
      <c r="F6773" s="355"/>
      <c r="G6773" s="355"/>
      <c r="H6773" s="159"/>
      <c r="I6773" s="159"/>
      <c r="J6773" s="159"/>
      <c r="K6773" s="159"/>
      <c r="L6773" s="202"/>
      <c r="M6773" s="329"/>
      <c r="N6773" s="278"/>
      <c r="O6773" s="280"/>
      <c r="P6773" s="166"/>
      <c r="Q6773" s="166">
        <f t="shared" si="1844"/>
        <v>0</v>
      </c>
    </row>
    <row r="6774" spans="1:20" s="61" customFormat="1" x14ac:dyDescent="0.25">
      <c r="A6774" s="348"/>
      <c r="B6774" s="349"/>
      <c r="C6774" s="221"/>
      <c r="D6774" s="194"/>
      <c r="E6774" s="194"/>
      <c r="F6774" s="194"/>
      <c r="G6774" s="189"/>
      <c r="H6774" s="159"/>
      <c r="I6774" s="159"/>
      <c r="J6774" s="159"/>
      <c r="K6774" s="159"/>
      <c r="L6774" s="202"/>
      <c r="M6774" s="329"/>
      <c r="N6774" s="278"/>
      <c r="O6774" s="280"/>
      <c r="P6774" s="166"/>
      <c r="Q6774" s="166">
        <f t="shared" si="1844"/>
        <v>0</v>
      </c>
    </row>
    <row r="6775" spans="1:20" s="61" customFormat="1" x14ac:dyDescent="0.25">
      <c r="A6775" s="348"/>
      <c r="B6775" s="349"/>
      <c r="C6775" s="221"/>
      <c r="D6775" s="355" t="s">
        <v>67</v>
      </c>
      <c r="E6775" s="355"/>
      <c r="F6775" s="355"/>
      <c r="G6775" s="355"/>
      <c r="H6775" s="159"/>
      <c r="I6775" s="159"/>
      <c r="J6775" s="159"/>
      <c r="K6775" s="159"/>
      <c r="L6775" s="202"/>
      <c r="M6775" s="329"/>
      <c r="N6775" s="278"/>
      <c r="O6775" s="280"/>
      <c r="P6775" s="166"/>
      <c r="Q6775" s="166">
        <f t="shared" si="1844"/>
        <v>0</v>
      </c>
    </row>
    <row r="6776" spans="1:20" s="61" customFormat="1" x14ac:dyDescent="0.25">
      <c r="A6776" s="348"/>
      <c r="B6776" s="349"/>
      <c r="C6776" s="221"/>
      <c r="D6776" s="194"/>
      <c r="E6776" s="194"/>
      <c r="F6776" s="194"/>
      <c r="G6776" s="189"/>
      <c r="H6776" s="159"/>
      <c r="I6776" s="159"/>
      <c r="J6776" s="159"/>
      <c r="K6776" s="159"/>
      <c r="L6776" s="202"/>
      <c r="M6776" s="329"/>
      <c r="N6776" s="278"/>
      <c r="O6776" s="280"/>
      <c r="P6776" s="166"/>
      <c r="Q6776" s="166">
        <f t="shared" si="1844"/>
        <v>0</v>
      </c>
    </row>
    <row r="6777" spans="1:20" s="61" customFormat="1" x14ac:dyDescent="0.25">
      <c r="A6777" s="348"/>
      <c r="B6777" s="349"/>
      <c r="C6777" s="221"/>
      <c r="D6777" s="350" t="s">
        <v>68</v>
      </c>
      <c r="E6777" s="350"/>
      <c r="F6777" s="350"/>
      <c r="G6777" s="350"/>
      <c r="H6777" s="159"/>
      <c r="I6777" s="159"/>
      <c r="J6777" s="159"/>
      <c r="K6777" s="159"/>
      <c r="L6777" s="202"/>
      <c r="M6777" s="329"/>
      <c r="N6777" s="278"/>
      <c r="O6777" s="280"/>
      <c r="P6777" s="166"/>
      <c r="Q6777" s="166">
        <f t="shared" si="1844"/>
        <v>0</v>
      </c>
    </row>
    <row r="6778" spans="1:20" s="61" customFormat="1" x14ac:dyDescent="0.25">
      <c r="A6778" s="348"/>
      <c r="B6778" s="349"/>
      <c r="C6778" s="221"/>
      <c r="D6778" s="156"/>
      <c r="E6778" s="156"/>
      <c r="F6778" s="156"/>
      <c r="G6778" s="188"/>
      <c r="H6778" s="159"/>
      <c r="I6778" s="159"/>
      <c r="J6778" s="159"/>
      <c r="K6778" s="159"/>
      <c r="L6778" s="202"/>
      <c r="M6778" s="329"/>
      <c r="N6778" s="278"/>
      <c r="O6778" s="280"/>
      <c r="P6778" s="166"/>
      <c r="Q6778" s="166">
        <f t="shared" si="1844"/>
        <v>0</v>
      </c>
    </row>
    <row r="6779" spans="1:20" s="61" customFormat="1" x14ac:dyDescent="0.25">
      <c r="A6779" s="348"/>
      <c r="B6779" s="349"/>
      <c r="C6779" s="221"/>
      <c r="D6779" s="355" t="s">
        <v>69</v>
      </c>
      <c r="E6779" s="355"/>
      <c r="F6779" s="355"/>
      <c r="G6779" s="355"/>
      <c r="H6779" s="189"/>
      <c r="I6779" s="189"/>
      <c r="J6779" s="189"/>
      <c r="K6779" s="189"/>
      <c r="L6779" s="190"/>
      <c r="M6779" s="329"/>
      <c r="N6779" s="278"/>
      <c r="O6779" s="280"/>
      <c r="P6779" s="166"/>
      <c r="Q6779" s="166">
        <f t="shared" si="1844"/>
        <v>0</v>
      </c>
    </row>
    <row r="6780" spans="1:20" s="61" customFormat="1" x14ac:dyDescent="0.25">
      <c r="B6780" s="166"/>
      <c r="C6780" s="330"/>
      <c r="D6780" s="331"/>
      <c r="E6780" s="332"/>
      <c r="F6780" s="332"/>
      <c r="G6780" s="333"/>
      <c r="H6780" s="334"/>
      <c r="I6780" s="335"/>
      <c r="J6780" s="335"/>
      <c r="K6780" s="335"/>
      <c r="L6780" s="335"/>
      <c r="M6780" s="335"/>
      <c r="N6780" s="336"/>
      <c r="O6780" s="332"/>
      <c r="P6780" s="166"/>
      <c r="Q6780" s="167">
        <f>SUBTOTAL(9,Q3398:Q6779)</f>
        <v>778831026.70951188</v>
      </c>
      <c r="R6780" s="71">
        <f>Лист1!B276-Лист1!B268+Лист1!F276-Лист1!F268+Лист1!J276-Лист1!J268+Лист1!N276</f>
        <v>778832420.49999964</v>
      </c>
      <c r="S6780" s="71"/>
      <c r="T6780" s="71"/>
    </row>
    <row r="6781" spans="1:20" s="61" customFormat="1" x14ac:dyDescent="0.25">
      <c r="B6781" s="166"/>
      <c r="C6781" s="330"/>
      <c r="D6781" s="331"/>
      <c r="E6781" s="332"/>
      <c r="F6781" s="332"/>
      <c r="G6781" s="333"/>
      <c r="H6781" s="335"/>
      <c r="I6781" s="335"/>
      <c r="J6781" s="335"/>
      <c r="K6781" s="335"/>
      <c r="L6781" s="335"/>
      <c r="M6781" s="335"/>
      <c r="N6781" s="332"/>
      <c r="O6781" s="332"/>
      <c r="P6781" s="166"/>
      <c r="Q6781" s="166"/>
      <c r="R6781" s="71"/>
    </row>
    <row r="6782" spans="1:20" x14ac:dyDescent="0.25">
      <c r="Q6782" s="167">
        <f>SUBTOTAL(9,Q3394:Q3394)</f>
        <v>0</v>
      </c>
      <c r="R6782" s="71" t="e">
        <f>Лист1!#REF!+Лист1!#REF!+Лист1!#REF!+Лист1!#REF!-Лист1!#REF!-Лист1!#REF!-Лист1!#REF!</f>
        <v>#REF!</v>
      </c>
      <c r="S6782" s="71"/>
    </row>
    <row r="6783" spans="1:20" x14ac:dyDescent="0.25">
      <c r="Q6783" s="167"/>
    </row>
    <row r="6784" spans="1:20" s="166" customFormat="1" ht="18.75" x14ac:dyDescent="0.3">
      <c r="A6784" s="176" t="s">
        <v>445</v>
      </c>
      <c r="B6784" s="176"/>
      <c r="C6784" s="177"/>
      <c r="D6784" s="178"/>
      <c r="E6784" s="178"/>
      <c r="F6784" s="178"/>
      <c r="G6784" s="179"/>
      <c r="H6784" s="178"/>
      <c r="I6784" s="178"/>
      <c r="J6784" s="178"/>
      <c r="K6784" s="178"/>
      <c r="L6784" s="178"/>
      <c r="M6784" s="178"/>
      <c r="N6784" s="174"/>
      <c r="O6784" s="174"/>
    </row>
    <row r="6785" spans="1:18" s="61" customFormat="1" ht="63" x14ac:dyDescent="0.25">
      <c r="A6785" s="97" t="s">
        <v>0</v>
      </c>
      <c r="B6785" s="180" t="s">
        <v>369</v>
      </c>
      <c r="C6785" s="181" t="s">
        <v>71</v>
      </c>
      <c r="D6785" s="182" t="s">
        <v>1</v>
      </c>
      <c r="E6785" s="182" t="s">
        <v>2</v>
      </c>
      <c r="F6785" s="182"/>
      <c r="G6785" s="183" t="s">
        <v>3</v>
      </c>
      <c r="H6785" s="182" t="s">
        <v>170</v>
      </c>
      <c r="I6785" s="182" t="s">
        <v>171</v>
      </c>
      <c r="J6785" s="182"/>
      <c r="K6785" s="182" t="s">
        <v>172</v>
      </c>
      <c r="L6785" s="184" t="s">
        <v>174</v>
      </c>
      <c r="M6785" s="182" t="s">
        <v>16</v>
      </c>
      <c r="N6785" s="185" t="s">
        <v>286</v>
      </c>
      <c r="O6785" s="183" t="s">
        <v>287</v>
      </c>
      <c r="P6785" s="166"/>
      <c r="Q6785" s="166"/>
    </row>
    <row r="6786" spans="1:18" s="114" customFormat="1" x14ac:dyDescent="0.25">
      <c r="A6786" s="98" t="s">
        <v>4</v>
      </c>
      <c r="B6786" s="186">
        <v>2</v>
      </c>
      <c r="C6786" s="187" t="s">
        <v>173</v>
      </c>
      <c r="D6786" s="188">
        <v>3</v>
      </c>
      <c r="E6786" s="189">
        <v>4</v>
      </c>
      <c r="F6786" s="189" t="s">
        <v>173</v>
      </c>
      <c r="G6786" s="189">
        <v>5</v>
      </c>
      <c r="H6786" s="189" t="s">
        <v>173</v>
      </c>
      <c r="I6786" s="189" t="s">
        <v>173</v>
      </c>
      <c r="J6786" s="189" t="s">
        <v>173</v>
      </c>
      <c r="K6786" s="189" t="s">
        <v>173</v>
      </c>
      <c r="L6786" s="190" t="s">
        <v>173</v>
      </c>
      <c r="M6786" s="189">
        <v>6</v>
      </c>
      <c r="N6786" s="191" t="s">
        <v>173</v>
      </c>
      <c r="O6786" s="192" t="s">
        <v>173</v>
      </c>
      <c r="P6786" s="193"/>
      <c r="Q6786" s="193"/>
    </row>
    <row r="6787" spans="1:18" s="61" customFormat="1" x14ac:dyDescent="0.25">
      <c r="A6787" s="357" t="str">
        <f>CONCATENATE(школы!$B$6,", ",школы!$C$6,", ",школы!$D$6)</f>
        <v>Реализация основных общеобразовательных программ начального общего образования, адаптированная образовательная программа, дети-инвалиды</v>
      </c>
      <c r="B6787" s="360" t="str">
        <f>школы!$A$6</f>
        <v>801012О.99.0.БА81АБ44001</v>
      </c>
      <c r="C6787" s="194"/>
      <c r="D6787" s="363" t="s">
        <v>15</v>
      </c>
      <c r="E6787" s="363"/>
      <c r="F6787" s="363"/>
      <c r="G6787" s="363"/>
      <c r="H6787" s="195"/>
      <c r="I6787" s="195"/>
      <c r="J6787" s="195"/>
      <c r="K6787" s="195"/>
      <c r="L6787" s="196"/>
      <c r="M6787" s="197"/>
      <c r="N6787" s="164"/>
      <c r="O6787" s="198">
        <f>O6788+O6793+O6795</f>
        <v>6152.2974015179998</v>
      </c>
      <c r="P6787" s="166"/>
      <c r="Q6787" s="166"/>
    </row>
    <row r="6788" spans="1:18" s="61" customFormat="1" x14ac:dyDescent="0.25">
      <c r="A6788" s="358"/>
      <c r="B6788" s="361"/>
      <c r="C6788" s="194"/>
      <c r="D6788" s="350" t="s">
        <v>62</v>
      </c>
      <c r="E6788" s="350"/>
      <c r="F6788" s="350"/>
      <c r="G6788" s="350"/>
      <c r="H6788" s="195"/>
      <c r="I6788" s="195"/>
      <c r="J6788" s="195"/>
      <c r="K6788" s="195"/>
      <c r="L6788" s="196"/>
      <c r="M6788" s="197"/>
      <c r="N6788" s="164"/>
      <c r="O6788" s="165">
        <f>O6790+O6792</f>
        <v>6152.2974015179998</v>
      </c>
      <c r="P6788" s="166"/>
      <c r="Q6788" s="166"/>
    </row>
    <row r="6789" spans="1:18" s="61" customFormat="1" x14ac:dyDescent="0.25">
      <c r="A6789" s="358"/>
      <c r="B6789" s="361"/>
      <c r="C6789" s="194">
        <v>211</v>
      </c>
      <c r="D6789" s="194" t="s">
        <v>86</v>
      </c>
      <c r="E6789" s="199" t="s">
        <v>95</v>
      </c>
      <c r="F6789" s="199" t="s">
        <v>95</v>
      </c>
      <c r="G6789" s="200">
        <f>MROUND(H6789*L6789*I6789/K6789,0.0000000001)</f>
        <v>0.3667654394</v>
      </c>
      <c r="H6789" s="201">
        <f>Лист1!C284</f>
        <v>921.8</v>
      </c>
      <c r="I6789" s="159">
        <f>школы!$K$6</f>
        <v>3.5477600000000001E-3</v>
      </c>
      <c r="J6789" s="159"/>
      <c r="K6789" s="161">
        <f>школы!$G$6</f>
        <v>107</v>
      </c>
      <c r="L6789" s="202">
        <v>12</v>
      </c>
      <c r="M6789" s="163" t="str">
        <f>CONCATENATE(H6789," ",F6789," ","в мес.","*",L6789,"мес.","*",I6789,"/",K6789,"чел.")</f>
        <v>921,8 шт.ед в мес.*12мес.*0,00354776/107чел.</v>
      </c>
      <c r="N6789" s="164">
        <f>Лист1!E284</f>
        <v>12883.620739314385</v>
      </c>
      <c r="O6789" s="165">
        <f>MROUND(G6789*N6789,0.000000001)</f>
        <v>4725.2668215180001</v>
      </c>
      <c r="P6789" s="166"/>
      <c r="Q6789" s="166">
        <f t="shared" ref="Q6789:Q6790" si="1845">O6789*K6789</f>
        <v>505603.54990242602</v>
      </c>
      <c r="R6789" s="71"/>
    </row>
    <row r="6790" spans="1:18" s="61" customFormat="1" x14ac:dyDescent="0.25">
      <c r="A6790" s="358"/>
      <c r="B6790" s="361"/>
      <c r="C6790" s="203" t="s">
        <v>288</v>
      </c>
      <c r="D6790" s="203"/>
      <c r="E6790" s="204"/>
      <c r="F6790" s="204"/>
      <c r="G6790" s="205"/>
      <c r="H6790" s="206"/>
      <c r="I6790" s="206"/>
      <c r="J6790" s="206"/>
      <c r="K6790" s="207"/>
      <c r="L6790" s="208"/>
      <c r="M6790" s="209"/>
      <c r="N6790" s="210">
        <f>N6789</f>
        <v>12883.620739314385</v>
      </c>
      <c r="O6790" s="198">
        <f>O6789</f>
        <v>4725.2668215180001</v>
      </c>
      <c r="P6790" s="166"/>
      <c r="Q6790" s="166">
        <f t="shared" si="1845"/>
        <v>0</v>
      </c>
      <c r="R6790" s="71"/>
    </row>
    <row r="6791" spans="1:18" s="61" customFormat="1" x14ac:dyDescent="0.25">
      <c r="A6791" s="358"/>
      <c r="B6791" s="361"/>
      <c r="C6791" s="194">
        <v>213</v>
      </c>
      <c r="D6791" s="194" t="s">
        <v>87</v>
      </c>
      <c r="E6791" s="194" t="s">
        <v>88</v>
      </c>
      <c r="F6791" s="194"/>
      <c r="G6791" s="211">
        <v>30.2</v>
      </c>
      <c r="H6791" s="159"/>
      <c r="I6791" s="159"/>
      <c r="J6791" s="159"/>
      <c r="K6791" s="161">
        <f>K6789</f>
        <v>107</v>
      </c>
      <c r="L6791" s="202"/>
      <c r="M6791" s="212"/>
      <c r="N6791" s="164"/>
      <c r="O6791" s="165">
        <f>MROUND(O6789*0.302,0.000001)</f>
        <v>1427.0305799999999</v>
      </c>
      <c r="P6791" s="166"/>
      <c r="Q6791" s="166">
        <f>O6791*K6791</f>
        <v>152692.27205999999</v>
      </c>
      <c r="R6791" s="71"/>
    </row>
    <row r="6792" spans="1:18" s="61" customFormat="1" x14ac:dyDescent="0.25">
      <c r="A6792" s="358"/>
      <c r="B6792" s="361"/>
      <c r="C6792" s="203" t="s">
        <v>289</v>
      </c>
      <c r="D6792" s="203"/>
      <c r="E6792" s="203"/>
      <c r="F6792" s="203"/>
      <c r="G6792" s="213"/>
      <c r="H6792" s="214"/>
      <c r="I6792" s="206"/>
      <c r="J6792" s="214"/>
      <c r="K6792" s="207"/>
      <c r="L6792" s="215"/>
      <c r="M6792" s="216"/>
      <c r="N6792" s="210"/>
      <c r="O6792" s="198">
        <f>O6791</f>
        <v>1427.0305799999999</v>
      </c>
      <c r="P6792" s="166"/>
      <c r="Q6792" s="166"/>
      <c r="R6792" s="71"/>
    </row>
    <row r="6793" spans="1:18" s="61" customFormat="1" ht="112.5" customHeight="1" x14ac:dyDescent="0.25">
      <c r="A6793" s="358"/>
      <c r="B6793" s="361"/>
      <c r="C6793" s="194"/>
      <c r="D6793" s="356" t="s">
        <v>63</v>
      </c>
      <c r="E6793" s="356"/>
      <c r="F6793" s="356"/>
      <c r="G6793" s="356"/>
      <c r="H6793" s="195"/>
      <c r="I6793" s="159"/>
      <c r="J6793" s="195"/>
      <c r="K6793" s="161"/>
      <c r="L6793" s="196"/>
      <c r="M6793" s="197"/>
      <c r="N6793" s="164"/>
      <c r="O6793" s="165"/>
      <c r="P6793" s="166"/>
      <c r="Q6793" s="166"/>
      <c r="R6793" s="71"/>
    </row>
    <row r="6794" spans="1:18" s="61" customFormat="1" x14ac:dyDescent="0.25">
      <c r="A6794" s="358"/>
      <c r="B6794" s="361"/>
      <c r="C6794" s="194"/>
      <c r="D6794" s="194"/>
      <c r="E6794" s="194"/>
      <c r="F6794" s="194"/>
      <c r="G6794" s="217"/>
      <c r="H6794" s="195"/>
      <c r="I6794" s="159"/>
      <c r="J6794" s="195"/>
      <c r="K6794" s="161"/>
      <c r="L6794" s="196"/>
      <c r="M6794" s="197"/>
      <c r="N6794" s="164"/>
      <c r="O6794" s="165"/>
      <c r="P6794" s="166"/>
      <c r="Q6794" s="166"/>
      <c r="R6794" s="71"/>
    </row>
    <row r="6795" spans="1:18" s="61" customFormat="1" ht="124.5" customHeight="1" x14ac:dyDescent="0.25">
      <c r="A6795" s="358"/>
      <c r="B6795" s="361"/>
      <c r="C6795" s="194"/>
      <c r="D6795" s="350" t="s">
        <v>370</v>
      </c>
      <c r="E6795" s="350"/>
      <c r="F6795" s="350"/>
      <c r="G6795" s="350"/>
      <c r="H6795" s="195"/>
      <c r="I6795" s="159"/>
      <c r="J6795" s="195"/>
      <c r="K6795" s="161"/>
      <c r="L6795" s="196"/>
      <c r="M6795" s="197"/>
      <c r="N6795" s="164"/>
      <c r="O6795" s="165"/>
      <c r="P6795" s="166"/>
      <c r="Q6795" s="166"/>
      <c r="R6795" s="71"/>
    </row>
    <row r="6796" spans="1:18" s="61" customFormat="1" x14ac:dyDescent="0.25">
      <c r="A6796" s="358"/>
      <c r="B6796" s="361"/>
      <c r="C6796" s="194"/>
      <c r="D6796" s="194"/>
      <c r="E6796" s="194"/>
      <c r="F6796" s="194"/>
      <c r="G6796" s="217"/>
      <c r="H6796" s="195"/>
      <c r="I6796" s="159"/>
      <c r="J6796" s="195"/>
      <c r="K6796" s="161"/>
      <c r="L6796" s="196"/>
      <c r="M6796" s="197"/>
      <c r="N6796" s="164"/>
      <c r="O6796" s="165"/>
      <c r="P6796" s="166"/>
      <c r="Q6796" s="166"/>
      <c r="R6796" s="71"/>
    </row>
    <row r="6797" spans="1:18" s="61" customFormat="1" ht="21" customHeight="1" x14ac:dyDescent="0.25">
      <c r="A6797" s="358"/>
      <c r="B6797" s="361"/>
      <c r="C6797" s="194"/>
      <c r="D6797" s="355" t="s">
        <v>5</v>
      </c>
      <c r="E6797" s="355"/>
      <c r="F6797" s="355"/>
      <c r="G6797" s="355"/>
      <c r="H6797" s="195"/>
      <c r="I6797" s="159"/>
      <c r="J6797" s="195"/>
      <c r="K6797" s="161"/>
      <c r="L6797" s="196"/>
      <c r="M6797" s="197"/>
      <c r="N6797" s="164"/>
      <c r="O6797" s="198">
        <f>O6798+O6808+O6819+O6821+O6823+O6825+O6827</f>
        <v>10324.637133573</v>
      </c>
      <c r="P6797" s="166"/>
      <c r="Q6797" s="166"/>
      <c r="R6797" s="71"/>
    </row>
    <row r="6798" spans="1:18" s="61" customFormat="1" x14ac:dyDescent="0.25">
      <c r="A6798" s="358"/>
      <c r="B6798" s="361"/>
      <c r="C6798" s="218" t="s">
        <v>70</v>
      </c>
      <c r="D6798" s="380" t="s">
        <v>6</v>
      </c>
      <c r="E6798" s="380"/>
      <c r="F6798" s="380"/>
      <c r="G6798" s="380"/>
      <c r="H6798" s="219"/>
      <c r="I6798" s="206"/>
      <c r="J6798" s="219"/>
      <c r="K6798" s="207"/>
      <c r="L6798" s="220"/>
      <c r="M6798" s="216"/>
      <c r="N6798" s="210"/>
      <c r="O6798" s="198">
        <f>O6807</f>
        <v>6239.9584505100001</v>
      </c>
      <c r="P6798" s="166"/>
      <c r="Q6798" s="166"/>
      <c r="R6798" s="71"/>
    </row>
    <row r="6799" spans="1:18" s="61" customFormat="1" ht="31.5" x14ac:dyDescent="0.25">
      <c r="A6799" s="358"/>
      <c r="B6799" s="361"/>
      <c r="C6799" s="221" t="s">
        <v>72</v>
      </c>
      <c r="D6799" s="222" t="s">
        <v>7</v>
      </c>
      <c r="E6799" s="223" t="s">
        <v>8</v>
      </c>
      <c r="F6799" s="223" t="s">
        <v>8</v>
      </c>
      <c r="G6799" s="157">
        <f>MROUND(H6799*L6799*I6799/K6799,0.00000000001)</f>
        <v>109.85195954990999</v>
      </c>
      <c r="H6799" s="160">
        <f>Лист1!C292*1000</f>
        <v>3313121.4264326878</v>
      </c>
      <c r="I6799" s="159">
        <f>I6789</f>
        <v>3.5477600000000001E-3</v>
      </c>
      <c r="J6799" s="160"/>
      <c r="K6799" s="161">
        <f>K6789</f>
        <v>107</v>
      </c>
      <c r="L6799" s="162">
        <v>1</v>
      </c>
      <c r="M6799" s="163" t="str">
        <f t="shared" ref="M6799:M6804" si="1846">CONCATENATE(H6799," ",F6799,"(лимиты выделенные УЖКХ) ","*",I6799,"/",K6799,"чел.")</f>
        <v>3313121,42643269 кВт час.(лимиты выделенные УЖКХ) *0,00354776/107чел.</v>
      </c>
      <c r="N6799" s="164">
        <f>Лист1!E292</f>
        <v>11.333602475424668</v>
      </c>
      <c r="O6799" s="165">
        <f>MROUND(G6799*N6799,0.000001)</f>
        <v>1245.0184409999999</v>
      </c>
      <c r="P6799" s="166"/>
      <c r="Q6799" s="166">
        <f t="shared" ref="Q6799:Q6806" si="1847">O6799*K6799</f>
        <v>133216.973187</v>
      </c>
      <c r="R6799" s="71"/>
    </row>
    <row r="6800" spans="1:18" s="61" customFormat="1" ht="31.5" x14ac:dyDescent="0.25">
      <c r="A6800" s="358"/>
      <c r="B6800" s="361"/>
      <c r="C6800" s="221" t="s">
        <v>73</v>
      </c>
      <c r="D6800" s="222" t="s">
        <v>9</v>
      </c>
      <c r="E6800" s="223" t="s">
        <v>10</v>
      </c>
      <c r="F6800" s="223" t="s">
        <v>10</v>
      </c>
      <c r="G6800" s="157">
        <f t="shared" ref="G6800:G6806" si="1848">MROUND(H6800*L6800*I6800/K6800,0.00000000001)</f>
        <v>1.0576101340799999</v>
      </c>
      <c r="H6800" s="160">
        <f>Лист1!C293</f>
        <v>31897.39</v>
      </c>
      <c r="I6800" s="159">
        <f t="shared" ref="I6800:I6806" si="1849">I6799</f>
        <v>3.5477600000000001E-3</v>
      </c>
      <c r="J6800" s="160"/>
      <c r="K6800" s="161">
        <f t="shared" ref="K6800:K6806" si="1850">K6799</f>
        <v>107</v>
      </c>
      <c r="L6800" s="162">
        <v>1</v>
      </c>
      <c r="M6800" s="163" t="str">
        <f t="shared" si="1846"/>
        <v>31897,39 Гкал(лимиты выделенные УЖКХ) *0,00354776/107чел.</v>
      </c>
      <c r="N6800" s="164">
        <f>Лист1!E293</f>
        <v>3095.3018623153812</v>
      </c>
      <c r="O6800" s="165">
        <f>MROUND(G6800*N6800,0.000001)</f>
        <v>3273.6226179999999</v>
      </c>
      <c r="P6800" s="166"/>
      <c r="Q6800" s="166">
        <f t="shared" si="1847"/>
        <v>350277.62012599997</v>
      </c>
      <c r="R6800" s="71"/>
    </row>
    <row r="6801" spans="1:18" s="61" customFormat="1" ht="31.5" x14ac:dyDescent="0.25">
      <c r="A6801" s="358"/>
      <c r="B6801" s="361"/>
      <c r="C6801" s="364" t="s">
        <v>74</v>
      </c>
      <c r="D6801" s="222" t="s">
        <v>12</v>
      </c>
      <c r="E6801" s="222" t="s">
        <v>11</v>
      </c>
      <c r="F6801" s="222" t="s">
        <v>11</v>
      </c>
      <c r="G6801" s="157">
        <f t="shared" si="1848"/>
        <v>6.12486513196</v>
      </c>
      <c r="H6801" s="224">
        <f>Лист1!C294</f>
        <v>184725.17</v>
      </c>
      <c r="I6801" s="159">
        <f t="shared" si="1849"/>
        <v>3.5477600000000001E-3</v>
      </c>
      <c r="J6801" s="160"/>
      <c r="K6801" s="161">
        <f t="shared" si="1850"/>
        <v>107</v>
      </c>
      <c r="L6801" s="162">
        <v>1</v>
      </c>
      <c r="M6801" s="163" t="str">
        <f t="shared" si="1846"/>
        <v>184725,17 м3(лимиты выделенные УЖКХ) *0,00354776/107чел.</v>
      </c>
      <c r="N6801" s="164">
        <f>Лист1!E294</f>
        <v>56.382747245543193</v>
      </c>
      <c r="O6801" s="165">
        <f>MROUND(G6801*N6801,0.000001)</f>
        <v>345.33672300000001</v>
      </c>
      <c r="P6801" s="166"/>
      <c r="Q6801" s="166">
        <f t="shared" si="1847"/>
        <v>36951.029361000001</v>
      </c>
      <c r="R6801" s="71"/>
    </row>
    <row r="6802" spans="1:18" s="61" customFormat="1" ht="47.25" x14ac:dyDescent="0.25">
      <c r="A6802" s="358"/>
      <c r="B6802" s="361"/>
      <c r="C6802" s="364"/>
      <c r="D6802" s="222" t="s">
        <v>17</v>
      </c>
      <c r="E6802" s="222" t="s">
        <v>11</v>
      </c>
      <c r="F6802" s="222" t="s">
        <v>11</v>
      </c>
      <c r="G6802" s="157">
        <f t="shared" si="1848"/>
        <v>6.12486513196</v>
      </c>
      <c r="H6802" s="160">
        <f>Лист1!C295</f>
        <v>184725.17</v>
      </c>
      <c r="I6802" s="159">
        <f t="shared" si="1849"/>
        <v>3.5477600000000001E-3</v>
      </c>
      <c r="J6802" s="160"/>
      <c r="K6802" s="161">
        <f t="shared" si="1850"/>
        <v>107</v>
      </c>
      <c r="L6802" s="162">
        <v>1</v>
      </c>
      <c r="M6802" s="163" t="str">
        <f t="shared" si="1846"/>
        <v>184725,17 м3(лимиты выделенные УЖКХ) *0,00354776/107чел.</v>
      </c>
      <c r="N6802" s="164">
        <f>Лист1!E295</f>
        <v>85.679537612054773</v>
      </c>
      <c r="O6802" s="165">
        <f>MROUND(G6802*N6802,0.000001)</f>
        <v>524.77561200000002</v>
      </c>
      <c r="P6802" s="166"/>
      <c r="Q6802" s="166">
        <f t="shared" si="1847"/>
        <v>56150.990484000002</v>
      </c>
      <c r="R6802" s="71"/>
    </row>
    <row r="6803" spans="1:18" s="61" customFormat="1" ht="31.5" x14ac:dyDescent="0.25">
      <c r="A6803" s="358"/>
      <c r="B6803" s="361"/>
      <c r="C6803" s="364"/>
      <c r="D6803" s="222" t="s">
        <v>13</v>
      </c>
      <c r="E6803" s="222" t="s">
        <v>11</v>
      </c>
      <c r="F6803" s="222" t="s">
        <v>11</v>
      </c>
      <c r="G6803" s="157">
        <f t="shared" si="1848"/>
        <v>6.12486513196</v>
      </c>
      <c r="H6803" s="160">
        <f>Лист1!C296</f>
        <v>184725.17</v>
      </c>
      <c r="I6803" s="159">
        <f t="shared" si="1849"/>
        <v>3.5477600000000001E-3</v>
      </c>
      <c r="J6803" s="160"/>
      <c r="K6803" s="161">
        <f t="shared" si="1850"/>
        <v>107</v>
      </c>
      <c r="L6803" s="225">
        <v>1</v>
      </c>
      <c r="M6803" s="163" t="str">
        <f t="shared" si="1846"/>
        <v>184725,17 м3(лимиты выделенные УЖКХ) *0,00354776/107чел.</v>
      </c>
      <c r="N6803" s="164">
        <f>Лист1!E296</f>
        <v>116.85554734686012</v>
      </c>
      <c r="O6803" s="165">
        <f>MROUND(G6803*N6803,0.00000001)</f>
        <v>715.72446742</v>
      </c>
      <c r="P6803" s="166"/>
      <c r="Q6803" s="166">
        <f t="shared" si="1847"/>
        <v>76582.518013940004</v>
      </c>
      <c r="R6803" s="71"/>
    </row>
    <row r="6804" spans="1:18" s="61" customFormat="1" ht="31.5" x14ac:dyDescent="0.25">
      <c r="A6804" s="358"/>
      <c r="B6804" s="361"/>
      <c r="C6804" s="221" t="s">
        <v>75</v>
      </c>
      <c r="D6804" s="222" t="s">
        <v>18</v>
      </c>
      <c r="E6804" s="222" t="s">
        <v>48</v>
      </c>
      <c r="F6804" s="222" t="s">
        <v>48</v>
      </c>
      <c r="G6804" s="157">
        <f t="shared" si="1848"/>
        <v>0.46046609136</v>
      </c>
      <c r="H6804" s="160">
        <f>Лист1!C297</f>
        <v>13887.6</v>
      </c>
      <c r="I6804" s="159">
        <f t="shared" si="1849"/>
        <v>3.5477600000000001E-3</v>
      </c>
      <c r="J6804" s="160"/>
      <c r="K6804" s="161">
        <f t="shared" si="1850"/>
        <v>107</v>
      </c>
      <c r="L6804" s="162">
        <v>1</v>
      </c>
      <c r="M6804" s="163" t="str">
        <f t="shared" si="1846"/>
        <v>13887,6 тыс. м3(лимиты выделенные УЖКХ) *0,00354776/107чел.</v>
      </c>
      <c r="N6804" s="164">
        <f>Лист1!E297</f>
        <v>31.799284973645559</v>
      </c>
      <c r="O6804" s="165">
        <f>MROUND(G6804*N6804,0.000001)</f>
        <v>14.642491999999999</v>
      </c>
      <c r="P6804" s="166"/>
      <c r="Q6804" s="166">
        <f t="shared" si="1847"/>
        <v>1566.7466439999998</v>
      </c>
      <c r="R6804" s="71"/>
    </row>
    <row r="6805" spans="1:18" s="61" customFormat="1" x14ac:dyDescent="0.25">
      <c r="A6805" s="358"/>
      <c r="B6805" s="361"/>
      <c r="C6805" s="364" t="s">
        <v>216</v>
      </c>
      <c r="D6805" s="222" t="s">
        <v>23</v>
      </c>
      <c r="E6805" s="222" t="s">
        <v>11</v>
      </c>
      <c r="F6805" s="222" t="s">
        <v>11</v>
      </c>
      <c r="G6805" s="157">
        <f t="shared" si="1848"/>
        <v>0.11169276866</v>
      </c>
      <c r="H6805" s="160">
        <f>Лист1!C298</f>
        <v>3368.6400000000003</v>
      </c>
      <c r="I6805" s="159">
        <f t="shared" si="1849"/>
        <v>3.5477600000000001E-3</v>
      </c>
      <c r="J6805" s="160"/>
      <c r="K6805" s="161">
        <f t="shared" si="1850"/>
        <v>107</v>
      </c>
      <c r="L6805" s="162">
        <f>L6804</f>
        <v>1</v>
      </c>
      <c r="M6805" s="163" t="str">
        <f>CONCATENATE(H6805," ",F6805," ","*",I6805,"/",K6805,"чел.")</f>
        <v>3368,64 м3 *0,00354776/107чел.</v>
      </c>
      <c r="N6805" s="164">
        <f>Лист1!E298</f>
        <v>807.40973805452643</v>
      </c>
      <c r="O6805" s="165">
        <f>MROUND(G6805*N6805,0.00000001)</f>
        <v>90.181829090000008</v>
      </c>
      <c r="P6805" s="166"/>
      <c r="Q6805" s="166">
        <f t="shared" si="1847"/>
        <v>9649.4557126300006</v>
      </c>
      <c r="R6805" s="71"/>
    </row>
    <row r="6806" spans="1:18" s="61" customFormat="1" ht="47.25" x14ac:dyDescent="0.25">
      <c r="A6806" s="358"/>
      <c r="B6806" s="361"/>
      <c r="C6806" s="364"/>
      <c r="D6806" s="222" t="s">
        <v>24</v>
      </c>
      <c r="E6806" s="222" t="s">
        <v>25</v>
      </c>
      <c r="F6806" s="222" t="s">
        <v>217</v>
      </c>
      <c r="G6806" s="157">
        <f t="shared" si="1848"/>
        <v>4.8740254199999998E-3</v>
      </c>
      <c r="H6806" s="160">
        <f>Лист1!C299</f>
        <v>147</v>
      </c>
      <c r="I6806" s="159">
        <f t="shared" si="1849"/>
        <v>3.5477600000000001E-3</v>
      </c>
      <c r="J6806" s="160"/>
      <c r="K6806" s="161">
        <f t="shared" si="1850"/>
        <v>107</v>
      </c>
      <c r="L6806" s="162">
        <f>L6805</f>
        <v>1</v>
      </c>
      <c r="M6806" s="163" t="str">
        <f>CONCATENATE(H6806," ",F6806,"(потребность из расчета 4 контейнера для уборки территории весной и осенью на 1 учреждение)","*",I6806,"/",K6806,"чел.")</f>
        <v>147 контейнера(потребность из расчета 4 контейнера для уборки территории весной и осенью на 1 учреждение)*0,00354776/107чел.</v>
      </c>
      <c r="N6806" s="164">
        <f>Лист1!E299</f>
        <v>6289.7226530612279</v>
      </c>
      <c r="O6806" s="165">
        <f>MROUND(G6806*N6806,0.000001)</f>
        <v>30.656267999999997</v>
      </c>
      <c r="P6806" s="166"/>
      <c r="Q6806" s="166">
        <f t="shared" si="1847"/>
        <v>3280.2206759999999</v>
      </c>
      <c r="R6806" s="71"/>
    </row>
    <row r="6807" spans="1:18" s="61" customFormat="1" x14ac:dyDescent="0.25">
      <c r="A6807" s="358"/>
      <c r="B6807" s="361"/>
      <c r="C6807" s="218" t="s">
        <v>290</v>
      </c>
      <c r="D6807" s="226"/>
      <c r="E6807" s="226"/>
      <c r="F6807" s="226"/>
      <c r="G6807" s="227"/>
      <c r="H6807" s="228"/>
      <c r="I6807" s="206"/>
      <c r="J6807" s="228"/>
      <c r="K6807" s="207"/>
      <c r="L6807" s="229"/>
      <c r="M6807" s="209"/>
      <c r="N6807" s="210"/>
      <c r="O6807" s="198">
        <f>SUM(O6799:O6806)</f>
        <v>6239.9584505100001</v>
      </c>
      <c r="P6807" s="166"/>
      <c r="Q6807" s="166"/>
      <c r="R6807" s="71"/>
    </row>
    <row r="6808" spans="1:18" s="61" customFormat="1" ht="50.25" customHeight="1" x14ac:dyDescent="0.25">
      <c r="A6808" s="358"/>
      <c r="B6808" s="361"/>
      <c r="C6808" s="221"/>
      <c r="D6808" s="356" t="s">
        <v>371</v>
      </c>
      <c r="E6808" s="356"/>
      <c r="F6808" s="356"/>
      <c r="G6808" s="356"/>
      <c r="H6808" s="188"/>
      <c r="I6808" s="159"/>
      <c r="J6808" s="188"/>
      <c r="K6808" s="161"/>
      <c r="L6808" s="162"/>
      <c r="M6808" s="230"/>
      <c r="N6808" s="164"/>
      <c r="O6808" s="198">
        <f>O6816+O6817+O6812</f>
        <v>3316.0150129930003</v>
      </c>
      <c r="P6808" s="166"/>
      <c r="Q6808" s="166"/>
      <c r="R6808" s="71"/>
    </row>
    <row r="6809" spans="1:18" s="61" customFormat="1" x14ac:dyDescent="0.25">
      <c r="A6809" s="358"/>
      <c r="B6809" s="361"/>
      <c r="C6809" s="221" t="s">
        <v>379</v>
      </c>
      <c r="D6809" s="231" t="s">
        <v>49</v>
      </c>
      <c r="E6809" s="231" t="s">
        <v>22</v>
      </c>
      <c r="F6809" s="231" t="s">
        <v>22</v>
      </c>
      <c r="G6809" s="157">
        <f>MROUND(H6809*L6809*I6809/K6809,0.000000001)</f>
        <v>0</v>
      </c>
      <c r="H6809" s="160"/>
      <c r="I6809" s="159">
        <f>I6806</f>
        <v>3.5477600000000001E-3</v>
      </c>
      <c r="J6809" s="160"/>
      <c r="K6809" s="161">
        <f>K6806</f>
        <v>107</v>
      </c>
      <c r="L6809" s="162"/>
      <c r="M6809" s="163"/>
      <c r="N6809" s="164"/>
      <c r="O6809" s="165">
        <f>MROUND(G6809*N6809,0.00000001)</f>
        <v>0</v>
      </c>
      <c r="P6809" s="166"/>
      <c r="Q6809" s="166">
        <f t="shared" ref="Q6809:Q6811" si="1851">O6809*K6809</f>
        <v>0</v>
      </c>
      <c r="R6809" s="71"/>
    </row>
    <row r="6810" spans="1:18" s="61" customFormat="1" x14ac:dyDescent="0.25">
      <c r="A6810" s="358"/>
      <c r="B6810" s="361"/>
      <c r="C6810" s="221" t="s">
        <v>379</v>
      </c>
      <c r="D6810" s="231" t="s">
        <v>49</v>
      </c>
      <c r="E6810" s="231" t="s">
        <v>28</v>
      </c>
      <c r="F6810" s="231" t="s">
        <v>28</v>
      </c>
      <c r="G6810" s="157">
        <f>MROUND(H6810*L6810*I6810/K6810,0.000000001)</f>
        <v>0</v>
      </c>
      <c r="H6810" s="160"/>
      <c r="I6810" s="159">
        <f>I6806</f>
        <v>3.5477600000000001E-3</v>
      </c>
      <c r="J6810" s="160"/>
      <c r="K6810" s="161">
        <f>K6806</f>
        <v>107</v>
      </c>
      <c r="L6810" s="162">
        <v>1</v>
      </c>
      <c r="M6810" s="163"/>
      <c r="N6810" s="164"/>
      <c r="O6810" s="165">
        <f>MROUND(G6810*N6810,0.00000001)</f>
        <v>0</v>
      </c>
      <c r="P6810" s="166"/>
      <c r="Q6810" s="166">
        <f t="shared" si="1851"/>
        <v>0</v>
      </c>
      <c r="R6810" s="71"/>
    </row>
    <row r="6811" spans="1:18" s="61" customFormat="1" x14ac:dyDescent="0.25">
      <c r="A6811" s="358"/>
      <c r="B6811" s="361"/>
      <c r="C6811" s="221" t="s">
        <v>379</v>
      </c>
      <c r="D6811" s="231" t="s">
        <v>49</v>
      </c>
      <c r="E6811" s="231" t="s">
        <v>101</v>
      </c>
      <c r="F6811" s="231" t="s">
        <v>101</v>
      </c>
      <c r="G6811" s="157">
        <f>MROUND(H6811*L6811*I6811/K6811,0.000000001)</f>
        <v>0</v>
      </c>
      <c r="H6811" s="160"/>
      <c r="I6811" s="159">
        <f>I6810</f>
        <v>3.5477600000000001E-3</v>
      </c>
      <c r="J6811" s="160"/>
      <c r="K6811" s="161">
        <f>K6809</f>
        <v>107</v>
      </c>
      <c r="L6811" s="162"/>
      <c r="M6811" s="163"/>
      <c r="N6811" s="164"/>
      <c r="O6811" s="165">
        <f>MROUND(G6811*N6811,0.00000001)</f>
        <v>0</v>
      </c>
      <c r="P6811" s="166"/>
      <c r="Q6811" s="166">
        <f t="shared" si="1851"/>
        <v>0</v>
      </c>
      <c r="R6811" s="71"/>
    </row>
    <row r="6812" spans="1:18" s="61" customFormat="1" x14ac:dyDescent="0.25">
      <c r="A6812" s="358"/>
      <c r="B6812" s="361"/>
      <c r="C6812" s="218" t="s">
        <v>380</v>
      </c>
      <c r="D6812" s="232"/>
      <c r="E6812" s="232"/>
      <c r="F6812" s="232"/>
      <c r="G6812" s="227"/>
      <c r="H6812" s="228"/>
      <c r="I6812" s="206"/>
      <c r="J6812" s="228"/>
      <c r="K6812" s="207"/>
      <c r="L6812" s="229"/>
      <c r="M6812" s="209"/>
      <c r="N6812" s="210"/>
      <c r="O6812" s="198">
        <f>SUM(O6809:O6811)</f>
        <v>0</v>
      </c>
      <c r="P6812" s="166"/>
      <c r="Q6812" s="166"/>
      <c r="R6812" s="71"/>
    </row>
    <row r="6813" spans="1:18" s="61" customFormat="1" x14ac:dyDescent="0.25">
      <c r="A6813" s="358"/>
      <c r="B6813" s="361"/>
      <c r="C6813" s="221" t="s">
        <v>76</v>
      </c>
      <c r="D6813" s="231" t="s">
        <v>49</v>
      </c>
      <c r="E6813" s="231" t="s">
        <v>22</v>
      </c>
      <c r="F6813" s="231" t="s">
        <v>22</v>
      </c>
      <c r="G6813" s="157">
        <f>MROUND(H6813*L6813*I6813/K6813,0.00000000000001)</f>
        <v>0.85050085757008997</v>
      </c>
      <c r="H6813" s="160">
        <f>Лист1!C303</f>
        <v>25651</v>
      </c>
      <c r="I6813" s="159">
        <f>I6810</f>
        <v>3.5477600000000001E-3</v>
      </c>
      <c r="J6813" s="160"/>
      <c r="K6813" s="161">
        <f>K6810</f>
        <v>107</v>
      </c>
      <c r="L6813" s="162">
        <v>1</v>
      </c>
      <c r="M6813" s="163" t="str">
        <f>CONCATENATE(H6813," ",F6813,"*",I6813,"/",K6813,"чел.")</f>
        <v>25651 м2*0,00354776/107чел.</v>
      </c>
      <c r="N6813" s="164">
        <f>Лист1!E303</f>
        <v>2452.3410393356985</v>
      </c>
      <c r="O6813" s="165">
        <f>MROUND(G6813*N6813,0.0000000001)</f>
        <v>2085.7181570093003</v>
      </c>
      <c r="P6813" s="166"/>
      <c r="Q6813" s="166">
        <f t="shared" ref="Q6813:Q6815" si="1852">O6813*K6813</f>
        <v>223171.84279999512</v>
      </c>
      <c r="R6813" s="71"/>
    </row>
    <row r="6814" spans="1:18" s="61" customFormat="1" x14ac:dyDescent="0.25">
      <c r="A6814" s="358"/>
      <c r="B6814" s="361"/>
      <c r="C6814" s="221"/>
      <c r="D6814" s="231" t="s">
        <v>49</v>
      </c>
      <c r="E6814" s="231" t="s">
        <v>28</v>
      </c>
      <c r="F6814" s="231" t="s">
        <v>28</v>
      </c>
      <c r="G6814" s="157">
        <f>MROUND(H6814*L6814*I6814/K6814,0.000000000001)</f>
        <v>6.1903438504999998E-2</v>
      </c>
      <c r="H6814" s="160">
        <f>Лист1!C305</f>
        <v>1867</v>
      </c>
      <c r="I6814" s="159">
        <f>I6813</f>
        <v>3.5477600000000001E-3</v>
      </c>
      <c r="J6814" s="160"/>
      <c r="K6814" s="161">
        <f>K6813</f>
        <v>107</v>
      </c>
      <c r="L6814" s="162">
        <v>1</v>
      </c>
      <c r="M6814" s="163" t="str">
        <f>CONCATENATE(H6814," ",F6814,"*",I6814,"/",K6814,"чел.")</f>
        <v>1867 шт*0,00354776/107чел.</v>
      </c>
      <c r="N6814" s="164">
        <f>Лист1!E305</f>
        <v>18299.732190680235</v>
      </c>
      <c r="O6814" s="165">
        <f>MROUND(G6814*N6814,0.0000000001)</f>
        <v>1132.8163463237001</v>
      </c>
      <c r="P6814" s="166"/>
      <c r="Q6814" s="166">
        <f t="shared" si="1852"/>
        <v>121211.34905663591</v>
      </c>
      <c r="R6814" s="71"/>
    </row>
    <row r="6815" spans="1:18" s="61" customFormat="1" x14ac:dyDescent="0.25">
      <c r="A6815" s="358"/>
      <c r="B6815" s="361"/>
      <c r="C6815" s="221"/>
      <c r="D6815" s="231" t="s">
        <v>49</v>
      </c>
      <c r="E6815" s="231" t="s">
        <v>101</v>
      </c>
      <c r="F6815" s="231" t="s">
        <v>101</v>
      </c>
      <c r="G6815" s="157">
        <f>MROUND(H6815*L6815*I6815/K6815,0.000000001)</f>
        <v>2.1220247000000001E-2</v>
      </c>
      <c r="H6815" s="160">
        <f>Лист1!C304</f>
        <v>640</v>
      </c>
      <c r="I6815" s="159">
        <f>I6814</f>
        <v>3.5477600000000001E-3</v>
      </c>
      <c r="J6815" s="160"/>
      <c r="K6815" s="161">
        <f>K6814</f>
        <v>107</v>
      </c>
      <c r="L6815" s="162">
        <v>1</v>
      </c>
      <c r="M6815" s="163" t="str">
        <f>CONCATENATE(H6815," ",F6815,"*",I6815,"/",K6815,"чел.")</f>
        <v>640 погон.м.*0,00354776/107чел.</v>
      </c>
      <c r="N6815" s="164">
        <f>Лист1!E304</f>
        <v>4593.75</v>
      </c>
      <c r="O6815" s="165">
        <f>MROUND(G6815*N6815,0.00000001)</f>
        <v>97.480509659999996</v>
      </c>
      <c r="P6815" s="166"/>
      <c r="Q6815" s="166">
        <f t="shared" si="1852"/>
        <v>10430.41453362</v>
      </c>
      <c r="R6815" s="71"/>
    </row>
    <row r="6816" spans="1:18" s="61" customFormat="1" x14ac:dyDescent="0.25">
      <c r="A6816" s="358"/>
      <c r="B6816" s="361"/>
      <c r="C6816" s="218" t="s">
        <v>291</v>
      </c>
      <c r="D6816" s="232"/>
      <c r="E6816" s="232"/>
      <c r="F6816" s="232"/>
      <c r="G6816" s="227"/>
      <c r="H6816" s="228"/>
      <c r="I6816" s="206"/>
      <c r="J6816" s="228"/>
      <c r="K6816" s="207"/>
      <c r="L6816" s="229"/>
      <c r="M6816" s="209"/>
      <c r="N6816" s="210"/>
      <c r="O6816" s="198">
        <f>SUM(O6813:O6815)</f>
        <v>3316.0150129930003</v>
      </c>
      <c r="P6816" s="166"/>
      <c r="Q6816" s="166"/>
      <c r="R6816" s="71"/>
    </row>
    <row r="6817" spans="1:41" s="61" customFormat="1" x14ac:dyDescent="0.25">
      <c r="A6817" s="358"/>
      <c r="B6817" s="361"/>
      <c r="C6817" s="221" t="s">
        <v>77</v>
      </c>
      <c r="D6817" s="231"/>
      <c r="E6817" s="231"/>
      <c r="F6817" s="231"/>
      <c r="G6817" s="233">
        <f>MROUND(H6817*L6817*I6817/K6817,0.00000000001)</f>
        <v>0</v>
      </c>
      <c r="H6817" s="160"/>
      <c r="I6817" s="159">
        <f>I6815</f>
        <v>3.5477600000000001E-3</v>
      </c>
      <c r="J6817" s="160"/>
      <c r="K6817" s="161">
        <f>K6815</f>
        <v>107</v>
      </c>
      <c r="L6817" s="162"/>
      <c r="M6817" s="163"/>
      <c r="N6817" s="164"/>
      <c r="O6817" s="165">
        <f>MROUND(G6817*N6817,0.000000001)</f>
        <v>0</v>
      </c>
      <c r="P6817" s="166"/>
      <c r="Q6817" s="166">
        <f t="shared" ref="Q6817" si="1853">O6817*K6817</f>
        <v>0</v>
      </c>
      <c r="R6817" s="71"/>
    </row>
    <row r="6818" spans="1:41" s="61" customFormat="1" x14ac:dyDescent="0.25">
      <c r="A6818" s="358"/>
      <c r="B6818" s="361"/>
      <c r="C6818" s="218" t="s">
        <v>292</v>
      </c>
      <c r="D6818" s="232"/>
      <c r="E6818" s="232"/>
      <c r="F6818" s="232"/>
      <c r="G6818" s="227"/>
      <c r="H6818" s="228"/>
      <c r="I6818" s="206"/>
      <c r="J6818" s="228"/>
      <c r="K6818" s="207"/>
      <c r="L6818" s="229"/>
      <c r="M6818" s="209"/>
      <c r="N6818" s="210"/>
      <c r="O6818" s="198">
        <f>O6817</f>
        <v>0</v>
      </c>
      <c r="P6818" s="166"/>
      <c r="Q6818" s="166"/>
      <c r="R6818" s="71"/>
    </row>
    <row r="6819" spans="1:41" s="61" customFormat="1" ht="51" customHeight="1" x14ac:dyDescent="0.25">
      <c r="A6819" s="358"/>
      <c r="B6819" s="361"/>
      <c r="C6819" s="221"/>
      <c r="D6819" s="350" t="s">
        <v>372</v>
      </c>
      <c r="E6819" s="350"/>
      <c r="F6819" s="350"/>
      <c r="G6819" s="350"/>
      <c r="H6819" s="195"/>
      <c r="I6819" s="159"/>
      <c r="J6819" s="195"/>
      <c r="K6819" s="161"/>
      <c r="L6819" s="234"/>
      <c r="M6819" s="230"/>
      <c r="N6819" s="164"/>
      <c r="O6819" s="165">
        <f t="shared" ref="O6819:O6820" si="1854">MROUND(G6819*N6819,0.000001)</f>
        <v>0</v>
      </c>
      <c r="P6819" s="166"/>
      <c r="Q6819" s="166"/>
      <c r="R6819" s="71"/>
    </row>
    <row r="6820" spans="1:41" s="61" customFormat="1" x14ac:dyDescent="0.25">
      <c r="A6820" s="358"/>
      <c r="B6820" s="361"/>
      <c r="C6820" s="221"/>
      <c r="D6820" s="194"/>
      <c r="E6820" s="194"/>
      <c r="F6820" s="194"/>
      <c r="G6820" s="217"/>
      <c r="H6820" s="195"/>
      <c r="I6820" s="159"/>
      <c r="J6820" s="195"/>
      <c r="K6820" s="161"/>
      <c r="L6820" s="234"/>
      <c r="M6820" s="230"/>
      <c r="N6820" s="164"/>
      <c r="O6820" s="165">
        <f t="shared" si="1854"/>
        <v>0</v>
      </c>
      <c r="P6820" s="166"/>
      <c r="Q6820" s="166"/>
      <c r="R6820" s="71"/>
    </row>
    <row r="6821" spans="1:41" s="61" customFormat="1" x14ac:dyDescent="0.25">
      <c r="A6821" s="358"/>
      <c r="B6821" s="361"/>
      <c r="C6821" s="218" t="s">
        <v>357</v>
      </c>
      <c r="D6821" s="377" t="s">
        <v>66</v>
      </c>
      <c r="E6821" s="377"/>
      <c r="F6821" s="377"/>
      <c r="G6821" s="377"/>
      <c r="H6821" s="195"/>
      <c r="I6821" s="159"/>
      <c r="J6821" s="195"/>
      <c r="K6821" s="161"/>
      <c r="L6821" s="234"/>
      <c r="M6821" s="230"/>
      <c r="N6821" s="164"/>
      <c r="O6821" s="198">
        <f>O6822</f>
        <v>19.462287</v>
      </c>
      <c r="P6821" s="166"/>
      <c r="Q6821" s="166"/>
      <c r="R6821" s="71"/>
    </row>
    <row r="6822" spans="1:41" s="61" customFormat="1" ht="47.25" x14ac:dyDescent="0.25">
      <c r="A6822" s="358"/>
      <c r="B6822" s="361"/>
      <c r="C6822" s="221"/>
      <c r="D6822" s="222" t="s">
        <v>374</v>
      </c>
      <c r="E6822" s="194" t="s">
        <v>28</v>
      </c>
      <c r="F6822" s="194" t="s">
        <v>28</v>
      </c>
      <c r="G6822" s="217">
        <f>MROUND(H6822*L6822*I6822/K6822,0.000000001)</f>
        <v>4.7745560000000001E-3</v>
      </c>
      <c r="H6822" s="201">
        <f>Лист1!C290</f>
        <v>36</v>
      </c>
      <c r="I6822" s="159">
        <f>I6817</f>
        <v>3.5477600000000001E-3</v>
      </c>
      <c r="J6822" s="195"/>
      <c r="K6822" s="161">
        <f>K6817</f>
        <v>107</v>
      </c>
      <c r="L6822" s="235">
        <v>4</v>
      </c>
      <c r="M6822" s="163" t="str">
        <f>CONCATENATE(H6822," ",F6822,"*",I6822,"/",K6822,"чел.")</f>
        <v>36 шт*0,00354776/107чел.</v>
      </c>
      <c r="N6822" s="164">
        <f>Лист1!E290</f>
        <v>4076.2506250000024</v>
      </c>
      <c r="O6822" s="165">
        <f t="shared" ref="O6822:O6826" si="1855">MROUND(G6822*N6822,0.000001)</f>
        <v>19.462287</v>
      </c>
      <c r="P6822" s="166"/>
      <c r="Q6822" s="166">
        <f t="shared" ref="Q6822" si="1856">O6822*K6822</f>
        <v>2082.4647089999999</v>
      </c>
      <c r="R6822" s="71"/>
    </row>
    <row r="6823" spans="1:41" s="61" customFormat="1" x14ac:dyDescent="0.25">
      <c r="A6823" s="358"/>
      <c r="B6823" s="361"/>
      <c r="C6823" s="221"/>
      <c r="D6823" s="368" t="s">
        <v>67</v>
      </c>
      <c r="E6823" s="368"/>
      <c r="F6823" s="368"/>
      <c r="G6823" s="368"/>
      <c r="H6823" s="195"/>
      <c r="I6823" s="159"/>
      <c r="J6823" s="195"/>
      <c r="K6823" s="161"/>
      <c r="L6823" s="234"/>
      <c r="M6823" s="230"/>
      <c r="N6823" s="164"/>
      <c r="O6823" s="165">
        <f t="shared" si="1855"/>
        <v>0</v>
      </c>
      <c r="P6823" s="166"/>
      <c r="Q6823" s="166"/>
      <c r="R6823" s="71"/>
    </row>
    <row r="6824" spans="1:41" s="61" customFormat="1" x14ac:dyDescent="0.25">
      <c r="A6824" s="358"/>
      <c r="B6824" s="361"/>
      <c r="C6824" s="221"/>
      <c r="D6824" s="194"/>
      <c r="E6824" s="194"/>
      <c r="F6824" s="194"/>
      <c r="G6824" s="217"/>
      <c r="H6824" s="195"/>
      <c r="I6824" s="159"/>
      <c r="J6824" s="195"/>
      <c r="K6824" s="161"/>
      <c r="L6824" s="234"/>
      <c r="M6824" s="230"/>
      <c r="N6824" s="164"/>
      <c r="O6824" s="165">
        <f t="shared" si="1855"/>
        <v>0</v>
      </c>
      <c r="P6824" s="166"/>
      <c r="Q6824" s="166"/>
      <c r="R6824" s="71"/>
    </row>
    <row r="6825" spans="1:41" s="61" customFormat="1" x14ac:dyDescent="0.25">
      <c r="A6825" s="358"/>
      <c r="B6825" s="361"/>
      <c r="C6825" s="221"/>
      <c r="D6825" s="350" t="s">
        <v>68</v>
      </c>
      <c r="E6825" s="350"/>
      <c r="F6825" s="350"/>
      <c r="G6825" s="350"/>
      <c r="H6825" s="195"/>
      <c r="I6825" s="159"/>
      <c r="J6825" s="195"/>
      <c r="K6825" s="161"/>
      <c r="L6825" s="234"/>
      <c r="M6825" s="230"/>
      <c r="N6825" s="164"/>
      <c r="O6825" s="165">
        <f t="shared" si="1855"/>
        <v>0</v>
      </c>
      <c r="P6825" s="166"/>
      <c r="Q6825" s="166"/>
      <c r="R6825" s="71"/>
    </row>
    <row r="6826" spans="1:41" s="61" customFormat="1" x14ac:dyDescent="0.25">
      <c r="A6826" s="358"/>
      <c r="B6826" s="361"/>
      <c r="C6826" s="221"/>
      <c r="D6826" s="156"/>
      <c r="E6826" s="156"/>
      <c r="F6826" s="156"/>
      <c r="G6826" s="236"/>
      <c r="H6826" s="195"/>
      <c r="I6826" s="159"/>
      <c r="J6826" s="195"/>
      <c r="K6826" s="161"/>
      <c r="L6826" s="234"/>
      <c r="M6826" s="230"/>
      <c r="N6826" s="164"/>
      <c r="O6826" s="165">
        <f t="shared" si="1855"/>
        <v>0</v>
      </c>
      <c r="P6826" s="166"/>
      <c r="Q6826" s="166"/>
      <c r="R6826" s="71"/>
    </row>
    <row r="6827" spans="1:41" s="61" customFormat="1" x14ac:dyDescent="0.25">
      <c r="A6827" s="358"/>
      <c r="B6827" s="361"/>
      <c r="C6827" s="221"/>
      <c r="D6827" s="368" t="s">
        <v>69</v>
      </c>
      <c r="E6827" s="368"/>
      <c r="F6827" s="368"/>
      <c r="G6827" s="368"/>
      <c r="H6827" s="187"/>
      <c r="I6827" s="159"/>
      <c r="J6827" s="187"/>
      <c r="K6827" s="161"/>
      <c r="L6827" s="237"/>
      <c r="M6827" s="230"/>
      <c r="N6827" s="164"/>
      <c r="O6827" s="198">
        <f>O6829+O6836+O6853+O6855+O6870+O6872+O6874+O6899+O6901+O6906+O6903</f>
        <v>749.20138307000002</v>
      </c>
      <c r="P6827" s="166"/>
      <c r="Q6827" s="166"/>
      <c r="R6827" s="71"/>
    </row>
    <row r="6828" spans="1:41" s="61" customFormat="1" x14ac:dyDescent="0.25">
      <c r="A6828" s="358"/>
      <c r="B6828" s="361"/>
      <c r="C6828" s="221">
        <v>224</v>
      </c>
      <c r="D6828" s="156" t="s">
        <v>21</v>
      </c>
      <c r="E6828" s="156" t="s">
        <v>22</v>
      </c>
      <c r="F6828" s="156" t="s">
        <v>22</v>
      </c>
      <c r="G6828" s="238">
        <f>MROUND(H6828*L6828*I6828/K6828,0.000000001)</f>
        <v>0</v>
      </c>
      <c r="H6828" s="158"/>
      <c r="I6828" s="159">
        <f>I6822</f>
        <v>3.5477600000000001E-3</v>
      </c>
      <c r="J6828" s="160"/>
      <c r="K6828" s="161">
        <f>K6822</f>
        <v>107</v>
      </c>
      <c r="L6828" s="162"/>
      <c r="M6828" s="163"/>
      <c r="N6828" s="164"/>
      <c r="O6828" s="165">
        <f>MROUND(G6828*N6828,0.000000001)</f>
        <v>0</v>
      </c>
      <c r="P6828" s="166"/>
      <c r="Q6828" s="166">
        <f t="shared" ref="Q6828" si="1857">O6828*K6828</f>
        <v>0</v>
      </c>
      <c r="R6828" s="71"/>
    </row>
    <row r="6829" spans="1:41" s="61" customFormat="1" x14ac:dyDescent="0.25">
      <c r="A6829" s="358"/>
      <c r="B6829" s="361"/>
      <c r="C6829" s="239" t="s">
        <v>293</v>
      </c>
      <c r="D6829" s="240"/>
      <c r="E6829" s="240"/>
      <c r="F6829" s="240"/>
      <c r="G6829" s="227"/>
      <c r="H6829" s="241"/>
      <c r="I6829" s="206"/>
      <c r="J6829" s="228"/>
      <c r="K6829" s="207"/>
      <c r="L6829" s="229"/>
      <c r="M6829" s="209"/>
      <c r="N6829" s="210"/>
      <c r="O6829" s="198">
        <f>SUM(O6828)</f>
        <v>0</v>
      </c>
      <c r="P6829" s="166"/>
      <c r="Q6829" s="166"/>
      <c r="R6829" s="71"/>
    </row>
    <row r="6830" spans="1:41" s="61" customFormat="1" ht="31.5" x14ac:dyDescent="0.25">
      <c r="A6830" s="358"/>
      <c r="B6830" s="361"/>
      <c r="C6830" s="364" t="s">
        <v>78</v>
      </c>
      <c r="D6830" s="156" t="s">
        <v>26</v>
      </c>
      <c r="E6830" s="156" t="s">
        <v>22</v>
      </c>
      <c r="F6830" s="156" t="s">
        <v>22</v>
      </c>
      <c r="G6830" s="238">
        <f>MROUND(H6830*L6830*I6830/K6830,0.000001)</f>
        <v>10.28121</v>
      </c>
      <c r="H6830" s="158">
        <f>Лист1!C307</f>
        <v>25840</v>
      </c>
      <c r="I6830" s="159">
        <f>I6828</f>
        <v>3.5477600000000001E-3</v>
      </c>
      <c r="J6830" s="160"/>
      <c r="K6830" s="161">
        <f>K6828</f>
        <v>107</v>
      </c>
      <c r="L6830" s="162">
        <v>12</v>
      </c>
      <c r="M6830" s="163" t="str">
        <f>CONCATENATE(H6830," ",F6830,"(обрабатываемая площадь в мес.)","*",L6830,"мес.","*",I6830,"/",K6830,"чел.")</f>
        <v>25840 м2(обрабатываемая площадь в мес.)*12мес.*0,00354776/107чел.</v>
      </c>
      <c r="N6830" s="164">
        <f>Лист1!E307</f>
        <v>1.2568903508771934</v>
      </c>
      <c r="O6830" s="165">
        <f t="shared" ref="O6830:O6835" si="1858">MROUND(G6830*N6830,0.000001)</f>
        <v>12.922353999999999</v>
      </c>
      <c r="P6830" s="166"/>
      <c r="Q6830" s="166">
        <f t="shared" ref="Q6830:Q6835" si="1859">O6830*K6830</f>
        <v>1382.6918779999999</v>
      </c>
      <c r="R6830" s="71"/>
    </row>
    <row r="6831" spans="1:41" s="61" customFormat="1" ht="31.5" x14ac:dyDescent="0.25">
      <c r="A6831" s="358"/>
      <c r="B6831" s="361"/>
      <c r="C6831" s="364"/>
      <c r="D6831" s="156" t="s">
        <v>96</v>
      </c>
      <c r="E6831" s="156" t="s">
        <v>22</v>
      </c>
      <c r="F6831" s="156" t="s">
        <v>22</v>
      </c>
      <c r="G6831" s="238">
        <f>MROUND(H6831*L6831*I6831/K6831,0.000001)</f>
        <v>5.3216399999999995</v>
      </c>
      <c r="H6831" s="158">
        <f>Лист1!C308</f>
        <v>13375</v>
      </c>
      <c r="I6831" s="159">
        <f>I6830</f>
        <v>3.5477600000000001E-3</v>
      </c>
      <c r="J6831" s="160"/>
      <c r="K6831" s="161">
        <f>K6830</f>
        <v>107</v>
      </c>
      <c r="L6831" s="162">
        <v>12</v>
      </c>
      <c r="M6831" s="163" t="str">
        <f>CONCATENATE(H6831," ",F6831,"(обрабатываемая площадь в мес.)","*",L6831,"мес.","*",I6831,"/",K6831,"чел.")</f>
        <v>13375 м2(обрабатываемая площадь в мес.)*12мес.*0,00354776/107чел.</v>
      </c>
      <c r="N6831" s="164">
        <f>Лист1!E308</f>
        <v>2.0157672274143299</v>
      </c>
      <c r="O6831" s="165">
        <f t="shared" si="1858"/>
        <v>10.727188</v>
      </c>
      <c r="P6831" s="166"/>
      <c r="Q6831" s="166">
        <f t="shared" si="1859"/>
        <v>1147.8091159999999</v>
      </c>
      <c r="R6831" s="71"/>
    </row>
    <row r="6832" spans="1:41" s="135" customFormat="1" ht="31.5" x14ac:dyDescent="0.25">
      <c r="A6832" s="358"/>
      <c r="B6832" s="361"/>
      <c r="C6832" s="364"/>
      <c r="D6832" s="156" t="s">
        <v>385</v>
      </c>
      <c r="E6832" s="156" t="s">
        <v>22</v>
      </c>
      <c r="F6832" s="156" t="s">
        <v>22</v>
      </c>
      <c r="G6832" s="238">
        <f>MROUND(H6832*L6832*I6832/K6832,0.000001)</f>
        <v>10.643279999999999</v>
      </c>
      <c r="H6832" s="242">
        <f>Лист1!C309</f>
        <v>13375</v>
      </c>
      <c r="I6832" s="159">
        <f>I6831</f>
        <v>3.5477600000000001E-3</v>
      </c>
      <c r="J6832" s="160"/>
      <c r="K6832" s="161">
        <f>K6831</f>
        <v>107</v>
      </c>
      <c r="L6832" s="162">
        <v>24</v>
      </c>
      <c r="M6832" s="163" t="str">
        <f>CONCATENATE(H6832," ",F6832,"(обрабатываемая площадь в год)","*",L6832," раза в год.","*",I6832,"/",K6832,"чел.")</f>
        <v>13375 м2(обрабатываемая площадь в год)*24 раза в год.*0,00354776/107чел.</v>
      </c>
      <c r="N6832" s="164">
        <f>Лист1!E309</f>
        <v>2.4900656074766365</v>
      </c>
      <c r="O6832" s="165">
        <f t="shared" si="1858"/>
        <v>26.502464999999997</v>
      </c>
      <c r="P6832" s="166"/>
      <c r="Q6832" s="166">
        <f t="shared" si="1859"/>
        <v>2835.7637549999995</v>
      </c>
      <c r="R6832" s="71"/>
      <c r="S6832" s="61"/>
      <c r="T6832" s="61"/>
      <c r="U6832" s="61"/>
      <c r="V6832" s="61"/>
      <c r="W6832" s="61"/>
      <c r="X6832" s="61"/>
      <c r="Y6832" s="61"/>
      <c r="Z6832" s="61"/>
      <c r="AA6832" s="61"/>
      <c r="AB6832" s="61"/>
      <c r="AC6832" s="61"/>
      <c r="AD6832" s="61"/>
      <c r="AE6832" s="61"/>
      <c r="AF6832" s="61"/>
      <c r="AG6832" s="61"/>
      <c r="AH6832" s="61"/>
      <c r="AI6832" s="61"/>
      <c r="AJ6832" s="61"/>
      <c r="AK6832" s="61"/>
      <c r="AL6832" s="61"/>
      <c r="AM6832" s="61"/>
      <c r="AN6832" s="61"/>
      <c r="AO6832" s="61"/>
    </row>
    <row r="6833" spans="1:41" s="135" customFormat="1" ht="31.5" x14ac:dyDescent="0.25">
      <c r="A6833" s="358"/>
      <c r="B6833" s="361"/>
      <c r="C6833" s="364"/>
      <c r="D6833" s="156" t="s">
        <v>394</v>
      </c>
      <c r="E6833" s="156" t="s">
        <v>22</v>
      </c>
      <c r="F6833" s="156" t="s">
        <v>22</v>
      </c>
      <c r="G6833" s="238">
        <f>MROUND(H6833*L6833*I6833/K6833,0.000001)</f>
        <v>10.28121</v>
      </c>
      <c r="H6833" s="243">
        <f>Лист1!C310</f>
        <v>25840</v>
      </c>
      <c r="I6833" s="159">
        <f>I6832</f>
        <v>3.5477600000000001E-3</v>
      </c>
      <c r="J6833" s="160"/>
      <c r="K6833" s="161">
        <f>K6832</f>
        <v>107</v>
      </c>
      <c r="L6833" s="162">
        <v>12</v>
      </c>
      <c r="M6833" s="163" t="str">
        <f>CONCATENATE(H6833," ",F6833,"(обрабатываемая площадь в мес.)","*",L6833,"мес.","*",I6833,"/",K6833,"чел.")</f>
        <v>25840 м2(обрабатываемая площадь в мес.)*12мес.*0,00354776/107чел.</v>
      </c>
      <c r="N6833" s="164">
        <f>Лист1!E310</f>
        <v>0.59287277476780176</v>
      </c>
      <c r="O6833" s="165">
        <f t="shared" si="1858"/>
        <v>6.0954499999999996</v>
      </c>
      <c r="P6833" s="166"/>
      <c r="Q6833" s="166">
        <f t="shared" si="1859"/>
        <v>652.21314999999993</v>
      </c>
      <c r="R6833" s="71"/>
      <c r="S6833" s="61"/>
      <c r="T6833" s="61"/>
      <c r="U6833" s="61"/>
      <c r="V6833" s="61"/>
      <c r="W6833" s="61"/>
      <c r="X6833" s="61"/>
      <c r="Y6833" s="61"/>
      <c r="Z6833" s="61"/>
      <c r="AA6833" s="61"/>
      <c r="AB6833" s="61"/>
      <c r="AC6833" s="61"/>
      <c r="AD6833" s="61"/>
      <c r="AE6833" s="61"/>
      <c r="AF6833" s="61"/>
      <c r="AG6833" s="61"/>
      <c r="AH6833" s="61"/>
      <c r="AI6833" s="61"/>
      <c r="AJ6833" s="61"/>
      <c r="AK6833" s="61"/>
      <c r="AL6833" s="61"/>
      <c r="AM6833" s="61"/>
      <c r="AN6833" s="61"/>
      <c r="AO6833" s="61"/>
    </row>
    <row r="6834" spans="1:41" s="135" customFormat="1" ht="31.5" x14ac:dyDescent="0.25">
      <c r="A6834" s="358"/>
      <c r="B6834" s="361"/>
      <c r="C6834" s="364"/>
      <c r="D6834" s="156" t="s">
        <v>395</v>
      </c>
      <c r="E6834" s="156" t="s">
        <v>98</v>
      </c>
      <c r="F6834" s="156" t="s">
        <v>98</v>
      </c>
      <c r="G6834" s="238">
        <f>MROUND(H6834*L6834*I6834/K6834,0.00000001)</f>
        <v>6.2799000000000004E-4</v>
      </c>
      <c r="H6834" s="242">
        <f>Лист1!C312</f>
        <v>18.939999999999998</v>
      </c>
      <c r="I6834" s="159">
        <f>I6833</f>
        <v>3.5477600000000001E-3</v>
      </c>
      <c r="J6834" s="160"/>
      <c r="K6834" s="161">
        <f>K6830</f>
        <v>107</v>
      </c>
      <c r="L6834" s="162">
        <v>1</v>
      </c>
      <c r="M6834" s="163" t="str">
        <f>CONCATENATE(H6834," ",F6834,"(обрабатываемая площадь в год)","*",L6834," раз в год","*",I6834,"/",K6834,"чел.")</f>
        <v>18,94 Га(обрабатываемая площадь в год)*1 раз в год*0,00354776/107чел.</v>
      </c>
      <c r="N6834" s="164">
        <f>Лист1!E312</f>
        <v>592.87803590285125</v>
      </c>
      <c r="O6834" s="165">
        <f t="shared" si="1858"/>
        <v>0.37232099999999996</v>
      </c>
      <c r="P6834" s="166"/>
      <c r="Q6834" s="166">
        <f t="shared" si="1859"/>
        <v>39.838346999999999</v>
      </c>
      <c r="R6834" s="71"/>
      <c r="S6834" s="61"/>
      <c r="T6834" s="61"/>
      <c r="U6834" s="61"/>
      <c r="V6834" s="61"/>
      <c r="W6834" s="61"/>
      <c r="X6834" s="61"/>
      <c r="Y6834" s="61"/>
      <c r="Z6834" s="61"/>
      <c r="AA6834" s="61"/>
      <c r="AB6834" s="61"/>
      <c r="AC6834" s="61"/>
      <c r="AD6834" s="61"/>
      <c r="AE6834" s="61"/>
      <c r="AF6834" s="61"/>
      <c r="AG6834" s="61"/>
      <c r="AH6834" s="61"/>
      <c r="AI6834" s="61"/>
      <c r="AJ6834" s="61"/>
      <c r="AK6834" s="61"/>
      <c r="AL6834" s="61"/>
      <c r="AM6834" s="61"/>
      <c r="AN6834" s="61"/>
      <c r="AO6834" s="61"/>
    </row>
    <row r="6835" spans="1:41" s="61" customFormat="1" ht="31.5" x14ac:dyDescent="0.25">
      <c r="A6835" s="358"/>
      <c r="B6835" s="361"/>
      <c r="C6835" s="364"/>
      <c r="D6835" s="156" t="s">
        <v>97</v>
      </c>
      <c r="E6835" s="156" t="s">
        <v>98</v>
      </c>
      <c r="F6835" s="156" t="s">
        <v>98</v>
      </c>
      <c r="G6835" s="238">
        <f>MROUND(H6835*L6835*I6835/K6835,0.0000000001)</f>
        <v>6.279867E-4</v>
      </c>
      <c r="H6835" s="242">
        <f>Лист1!C311</f>
        <v>18.939999999999998</v>
      </c>
      <c r="I6835" s="244">
        <f>I6831</f>
        <v>3.5477600000000001E-3</v>
      </c>
      <c r="J6835" s="160"/>
      <c r="K6835" s="161">
        <f>K6831</f>
        <v>107</v>
      </c>
      <c r="L6835" s="162">
        <v>1</v>
      </c>
      <c r="M6835" s="163" t="str">
        <f>CONCATENATE(H6835," ",F6835,"(обрабатываемая площадь в год)","*",L6835," раз в год","*",I6835,"/",K6835,"чел.")</f>
        <v>18,94 Га(обрабатываемая площадь в год)*1 раз в год*0,00354776/107чел.</v>
      </c>
      <c r="N6835" s="164">
        <f>Лист1!E311</f>
        <v>3226.5021119324188</v>
      </c>
      <c r="O6835" s="165">
        <f t="shared" si="1858"/>
        <v>2.0261999999999998</v>
      </c>
      <c r="P6835" s="166"/>
      <c r="Q6835" s="166">
        <f t="shared" si="1859"/>
        <v>216.80339999999998</v>
      </c>
      <c r="R6835" s="71"/>
    </row>
    <row r="6836" spans="1:41" s="61" customFormat="1" x14ac:dyDescent="0.25">
      <c r="A6836" s="358"/>
      <c r="B6836" s="361"/>
      <c r="C6836" s="245" t="s">
        <v>294</v>
      </c>
      <c r="D6836" s="240"/>
      <c r="E6836" s="240"/>
      <c r="F6836" s="240"/>
      <c r="G6836" s="227"/>
      <c r="H6836" s="241"/>
      <c r="I6836" s="206"/>
      <c r="J6836" s="228"/>
      <c r="K6836" s="207"/>
      <c r="L6836" s="229"/>
      <c r="M6836" s="209"/>
      <c r="N6836" s="210"/>
      <c r="O6836" s="198">
        <f>SUM(O6830:O6835)</f>
        <v>58.645977999999999</v>
      </c>
      <c r="P6836" s="166"/>
      <c r="Q6836" s="166"/>
      <c r="R6836" s="71"/>
    </row>
    <row r="6837" spans="1:41" s="61" customFormat="1" ht="63" x14ac:dyDescent="0.25">
      <c r="A6837" s="358"/>
      <c r="B6837" s="361"/>
      <c r="C6837" s="365" t="s">
        <v>77</v>
      </c>
      <c r="D6837" s="156" t="s">
        <v>29</v>
      </c>
      <c r="E6837" s="156" t="s">
        <v>58</v>
      </c>
      <c r="F6837" s="156" t="s">
        <v>218</v>
      </c>
      <c r="G6837" s="157">
        <f>MROUND(H6837*L6837*I6837/K6837,0.000000001)</f>
        <v>1.9893980000000003E-3</v>
      </c>
      <c r="H6837" s="158">
        <v>15</v>
      </c>
      <c r="I6837" s="159">
        <f>I6835</f>
        <v>3.5477600000000001E-3</v>
      </c>
      <c r="J6837" s="160"/>
      <c r="K6837" s="161">
        <f>K6835</f>
        <v>107</v>
      </c>
      <c r="L6837" s="162">
        <v>4</v>
      </c>
      <c r="M6837" s="163" t="str">
        <f>CONCATENATE(H6837," ",F6837,"*",L6837," раза в год","*",I6837,"/",K6837,"чел.")</f>
        <v>15 установок*4 раза в год*0,00354776/107чел.</v>
      </c>
      <c r="N6837" s="164">
        <f>Лист1!E314</f>
        <v>2355.4600000000005</v>
      </c>
      <c r="O6837" s="165">
        <f>MROUND(G6837*N6837,0.000001)</f>
        <v>4.6859469999999996</v>
      </c>
      <c r="P6837" s="166"/>
      <c r="Q6837" s="166">
        <f t="shared" ref="Q6837:Q6852" si="1860">O6837*K6837</f>
        <v>501.39632899999998</v>
      </c>
      <c r="R6837" s="71"/>
    </row>
    <row r="6838" spans="1:41" s="61" customFormat="1" ht="47.25" x14ac:dyDescent="0.25">
      <c r="A6838" s="358"/>
      <c r="B6838" s="361"/>
      <c r="C6838" s="366"/>
      <c r="D6838" s="156" t="s">
        <v>30</v>
      </c>
      <c r="E6838" s="156" t="s">
        <v>58</v>
      </c>
      <c r="F6838" s="156" t="s">
        <v>218</v>
      </c>
      <c r="G6838" s="157">
        <f>MROUND(H6838*L6838*I6838/K6838,0.000000001)</f>
        <v>9.9469900000000015E-4</v>
      </c>
      <c r="H6838" s="158">
        <v>15</v>
      </c>
      <c r="I6838" s="159">
        <f t="shared" ref="I6838:I6846" si="1861">I6837</f>
        <v>3.5477600000000001E-3</v>
      </c>
      <c r="J6838" s="160"/>
      <c r="K6838" s="161">
        <f t="shared" ref="K6838:K6846" si="1862">K6837</f>
        <v>107</v>
      </c>
      <c r="L6838" s="162">
        <v>2</v>
      </c>
      <c r="M6838" s="163" t="str">
        <f>CONCATENATE(H6838," ",F6838,"*",L6838,"полуг.","*",I6838,"/",K6838,"чел.")</f>
        <v>15 установок*2полуг.*0,00354776/107чел.</v>
      </c>
      <c r="N6838" s="164">
        <f>Лист1!E315</f>
        <v>4710.920000000001</v>
      </c>
      <c r="O6838" s="165">
        <f>MROUND(G6838*N6838,0.000001)</f>
        <v>4.6859469999999996</v>
      </c>
      <c r="P6838" s="166"/>
      <c r="Q6838" s="166">
        <f t="shared" si="1860"/>
        <v>501.39632899999998</v>
      </c>
      <c r="R6838" s="71"/>
    </row>
    <row r="6839" spans="1:41" s="61" customFormat="1" x14ac:dyDescent="0.25">
      <c r="A6839" s="358"/>
      <c r="B6839" s="361"/>
      <c r="C6839" s="366"/>
      <c r="D6839" s="156" t="s">
        <v>397</v>
      </c>
      <c r="E6839" s="156" t="s">
        <v>433</v>
      </c>
      <c r="F6839" s="156" t="s">
        <v>433</v>
      </c>
      <c r="G6839" s="157">
        <f>MROUND(H6839*L6839*I6839/K6839,0.000000001)</f>
        <v>0</v>
      </c>
      <c r="H6839" s="158"/>
      <c r="I6839" s="159">
        <f t="shared" si="1861"/>
        <v>3.5477600000000001E-3</v>
      </c>
      <c r="J6839" s="160"/>
      <c r="K6839" s="161">
        <f t="shared" si="1862"/>
        <v>107</v>
      </c>
      <c r="L6839" s="162">
        <v>1</v>
      </c>
      <c r="M6839" s="163"/>
      <c r="N6839" s="164"/>
      <c r="O6839" s="165">
        <f>MROUND(G6839*N6839,0.000001)</f>
        <v>0</v>
      </c>
      <c r="P6839" s="166"/>
      <c r="Q6839" s="166">
        <f t="shared" si="1860"/>
        <v>0</v>
      </c>
      <c r="R6839" s="71"/>
    </row>
    <row r="6840" spans="1:41" s="61" customFormat="1" ht="47.25" x14ac:dyDescent="0.25">
      <c r="A6840" s="358"/>
      <c r="B6840" s="361"/>
      <c r="C6840" s="366"/>
      <c r="D6840" s="156" t="s">
        <v>32</v>
      </c>
      <c r="E6840" s="156" t="s">
        <v>55</v>
      </c>
      <c r="F6840" s="156" t="s">
        <v>219</v>
      </c>
      <c r="G6840" s="157">
        <f>MROUND(H6840*L6840*I6840/K6840,0.000000001)</f>
        <v>4.7745560000000001E-3</v>
      </c>
      <c r="H6840" s="158">
        <f>Лист1!C317</f>
        <v>36</v>
      </c>
      <c r="I6840" s="159">
        <f t="shared" si="1861"/>
        <v>3.5477600000000001E-3</v>
      </c>
      <c r="J6840" s="160"/>
      <c r="K6840" s="161">
        <f t="shared" si="1862"/>
        <v>107</v>
      </c>
      <c r="L6840" s="162">
        <v>4</v>
      </c>
      <c r="M6840" s="163" t="str">
        <f>CONCATENATE(H6840," ",F6840,"*",L6840,"кв.","*",I6840,"/",K6840,"чел.")</f>
        <v>36 системы*4кв.*0,00354776/107чел.</v>
      </c>
      <c r="N6840" s="164">
        <f>Лист1!E317</f>
        <v>7532.7785416666693</v>
      </c>
      <c r="O6840" s="165">
        <f>MROUND(G6840*N6840,0.000001)</f>
        <v>35.965672999999995</v>
      </c>
      <c r="P6840" s="166"/>
      <c r="Q6840" s="166">
        <f t="shared" si="1860"/>
        <v>3848.3270109999994</v>
      </c>
      <c r="R6840" s="71"/>
    </row>
    <row r="6841" spans="1:41" s="61" customFormat="1" ht="63" x14ac:dyDescent="0.25">
      <c r="A6841" s="358"/>
      <c r="B6841" s="361"/>
      <c r="C6841" s="366"/>
      <c r="D6841" s="156" t="s">
        <v>33</v>
      </c>
      <c r="E6841" s="156" t="s">
        <v>56</v>
      </c>
      <c r="F6841" s="156" t="s">
        <v>220</v>
      </c>
      <c r="G6841" s="157">
        <f>MROUND(H6841*L6841*I6841/K6841,0.000000001)</f>
        <v>1.193639E-3</v>
      </c>
      <c r="H6841" s="158">
        <f>Лист1!C319</f>
        <v>36</v>
      </c>
      <c r="I6841" s="159">
        <f t="shared" si="1861"/>
        <v>3.5477600000000001E-3</v>
      </c>
      <c r="J6841" s="160"/>
      <c r="K6841" s="161">
        <f t="shared" si="1862"/>
        <v>107</v>
      </c>
      <c r="L6841" s="162">
        <v>1</v>
      </c>
      <c r="M6841" s="163" t="str">
        <f>CONCATENATE(H6841," ",F6841,"*",L6841," раз в год","*",I6841,"/",K6841,"чел.")</f>
        <v>36 дымоходов*1 раз в год*0,00354776/107чел.</v>
      </c>
      <c r="N6841" s="164">
        <f>Лист1!E319</f>
        <v>7312.0941666666668</v>
      </c>
      <c r="O6841" s="165">
        <f>MROUND(G6841*N6841,0.000001)</f>
        <v>8.728000999999999</v>
      </c>
      <c r="P6841" s="166"/>
      <c r="Q6841" s="166">
        <f t="shared" si="1860"/>
        <v>933.89610699999992</v>
      </c>
      <c r="R6841" s="71"/>
    </row>
    <row r="6842" spans="1:41" s="61" customFormat="1" x14ac:dyDescent="0.25">
      <c r="A6842" s="358"/>
      <c r="B6842" s="361"/>
      <c r="C6842" s="366"/>
      <c r="D6842" s="194" t="s">
        <v>398</v>
      </c>
      <c r="E6842" s="156" t="s">
        <v>60</v>
      </c>
      <c r="F6842" s="156" t="s">
        <v>60</v>
      </c>
      <c r="G6842" s="266">
        <f t="shared" ref="G6842" si="1863">MROUND(H6842*L6842*I6842/K6842,0.00000001)</f>
        <v>1.16048E-3</v>
      </c>
      <c r="H6842" s="246">
        <f>Лист1!C320</f>
        <v>35</v>
      </c>
      <c r="I6842" s="159">
        <f t="shared" si="1861"/>
        <v>3.5477600000000001E-3</v>
      </c>
      <c r="J6842" s="160"/>
      <c r="K6842" s="161">
        <f t="shared" si="1862"/>
        <v>107</v>
      </c>
      <c r="L6842" s="162">
        <v>1</v>
      </c>
      <c r="M6842" s="163" t="str">
        <f>CONCATENATE(H6842," ",F6842,"*",I6842,"/",K6842,"чел.")</f>
        <v>35 шт.*0,00354776/107чел.</v>
      </c>
      <c r="N6842" s="164">
        <f>Лист1!E320</f>
        <v>12660.374571428585</v>
      </c>
      <c r="O6842" s="165">
        <f t="shared" ref="O6842:O6843" si="1864">MROUND(G6842*N6842,0.000001)</f>
        <v>14.692110999999999</v>
      </c>
      <c r="P6842" s="166"/>
      <c r="Q6842" s="166">
        <f t="shared" si="1860"/>
        <v>1572.0558769999998</v>
      </c>
      <c r="R6842" s="71"/>
    </row>
    <row r="6843" spans="1:41" s="61" customFormat="1" ht="47.25" x14ac:dyDescent="0.25">
      <c r="A6843" s="358"/>
      <c r="B6843" s="361"/>
      <c r="C6843" s="366"/>
      <c r="D6843" s="156" t="s">
        <v>401</v>
      </c>
      <c r="E6843" s="156" t="s">
        <v>60</v>
      </c>
      <c r="F6843" s="156" t="s">
        <v>402</v>
      </c>
      <c r="G6843" s="157">
        <f t="shared" ref="G6843" si="1865">MROUND(H6843*L6843*I6843/K6843,0.000000001)</f>
        <v>2.320964E-3</v>
      </c>
      <c r="H6843" s="246">
        <f>Лист1!C321</f>
        <v>35</v>
      </c>
      <c r="I6843" s="159">
        <f t="shared" si="1861"/>
        <v>3.5477600000000001E-3</v>
      </c>
      <c r="J6843" s="160"/>
      <c r="K6843" s="161">
        <f t="shared" si="1862"/>
        <v>107</v>
      </c>
      <c r="L6843" s="162">
        <v>2</v>
      </c>
      <c r="M6843" s="163" t="str">
        <f>CONCATENATE(H6843," ",F6843,"*",L6843," раз в год","*",I6843,"/",K6843,"чел.")</f>
        <v>35 противопожарных водопроводов*2 раз в год*0,00354776/107чел.</v>
      </c>
      <c r="N6843" s="164">
        <f>Лист1!E321</f>
        <v>5928.7300000000032</v>
      </c>
      <c r="O6843" s="165">
        <f t="shared" si="1864"/>
        <v>13.760368999999999</v>
      </c>
      <c r="P6843" s="166"/>
      <c r="Q6843" s="166">
        <f t="shared" si="1860"/>
        <v>1472.359483</v>
      </c>
      <c r="R6843" s="71"/>
    </row>
    <row r="6844" spans="1:41" s="61" customFormat="1" ht="31.5" x14ac:dyDescent="0.25">
      <c r="A6844" s="358"/>
      <c r="B6844" s="361"/>
      <c r="C6844" s="366"/>
      <c r="D6844" s="156" t="s">
        <v>221</v>
      </c>
      <c r="E6844" s="156" t="s">
        <v>60</v>
      </c>
      <c r="F6844" s="156" t="s">
        <v>60</v>
      </c>
      <c r="G6844" s="157">
        <f>MROUND(H6844*L6844*I6844/K6844,0.00000000001)</f>
        <v>7.1618332699999992E-3</v>
      </c>
      <c r="H6844" s="158">
        <f>Лист1!C322</f>
        <v>18</v>
      </c>
      <c r="I6844" s="159">
        <f t="shared" si="1861"/>
        <v>3.5477600000000001E-3</v>
      </c>
      <c r="J6844" s="160"/>
      <c r="K6844" s="161">
        <f t="shared" si="1862"/>
        <v>107</v>
      </c>
      <c r="L6844" s="247">
        <v>12</v>
      </c>
      <c r="M6844" s="163" t="str">
        <f>CONCATENATE(H6844," ",F6844,"*",L6844,"мес.","*",I6844,"/",K6844,"чел.")</f>
        <v>18 шт.*12мес.*0,00354776/107чел.</v>
      </c>
      <c r="N6844" s="164">
        <f>Лист1!E322</f>
        <v>6840.4345833333346</v>
      </c>
      <c r="O6844" s="165">
        <f>MROUND(G6844*N6844,0.000001)</f>
        <v>48.990051999999999</v>
      </c>
      <c r="P6844" s="166"/>
      <c r="Q6844" s="166">
        <f t="shared" si="1860"/>
        <v>5241.9355639999994</v>
      </c>
      <c r="R6844" s="71"/>
    </row>
    <row r="6845" spans="1:41" s="61" customFormat="1" ht="47.25" x14ac:dyDescent="0.25">
      <c r="A6845" s="358"/>
      <c r="B6845" s="361"/>
      <c r="C6845" s="366"/>
      <c r="D6845" s="156" t="s">
        <v>34</v>
      </c>
      <c r="E6845" s="156" t="s">
        <v>59</v>
      </c>
      <c r="F6845" s="156" t="s">
        <v>28</v>
      </c>
      <c r="G6845" s="157">
        <f>MROUND(H6845*L6845*I6845/K6845,0.000000000001)</f>
        <v>6.6313271000000002E-5</v>
      </c>
      <c r="H6845" s="158">
        <f>Лист1!C323</f>
        <v>2</v>
      </c>
      <c r="I6845" s="159">
        <f t="shared" si="1861"/>
        <v>3.5477600000000001E-3</v>
      </c>
      <c r="J6845" s="160"/>
      <c r="K6845" s="161">
        <f t="shared" si="1862"/>
        <v>107</v>
      </c>
      <c r="L6845" s="162">
        <v>1</v>
      </c>
      <c r="M6845" s="163" t="str">
        <f>CONCATENATE(H6845," ",F6845,"*",I6845,"/",K6845,"чел.")</f>
        <v>2 шт*0,00354776/107чел.</v>
      </c>
      <c r="N6845" s="164">
        <f>Лист1!E323</f>
        <v>8158.8</v>
      </c>
      <c r="O6845" s="165">
        <f t="shared" ref="O6845" si="1866">MROUND(G6845*N6845,0.000001)</f>
        <v>0.54103699999999999</v>
      </c>
      <c r="P6845" s="166"/>
      <c r="Q6845" s="166">
        <f t="shared" si="1860"/>
        <v>57.890959000000002</v>
      </c>
      <c r="R6845" s="71"/>
    </row>
    <row r="6846" spans="1:41" s="61" customFormat="1" ht="47.25" x14ac:dyDescent="0.25">
      <c r="A6846" s="358"/>
      <c r="B6846" s="361"/>
      <c r="C6846" s="366"/>
      <c r="D6846" s="156" t="s">
        <v>222</v>
      </c>
      <c r="E6846" s="156" t="s">
        <v>60</v>
      </c>
      <c r="F6846" s="156" t="s">
        <v>60</v>
      </c>
      <c r="G6846" s="157">
        <f t="shared" ref="G6846:G6852" si="1867">MROUND(H6846*L6846*I6846/K6846,0.000000001)</f>
        <v>1.6578300000000002E-4</v>
      </c>
      <c r="H6846" s="248">
        <f>Лист1!C324</f>
        <v>5</v>
      </c>
      <c r="I6846" s="159">
        <f t="shared" si="1861"/>
        <v>3.5477600000000001E-3</v>
      </c>
      <c r="J6846" s="160"/>
      <c r="K6846" s="161">
        <f t="shared" si="1862"/>
        <v>107</v>
      </c>
      <c r="L6846" s="162">
        <v>1</v>
      </c>
      <c r="M6846" s="163" t="str">
        <f>CONCATENATE(H6846," ",F6846,"*",I6846,"/",K6846,"чел.")</f>
        <v>5 шт.*0,00354776/107чел.</v>
      </c>
      <c r="N6846" s="164">
        <f>Лист1!E324</f>
        <v>45611.39</v>
      </c>
      <c r="O6846" s="165">
        <f>MROUND(G6846*N6846,0.00000001)</f>
        <v>7.5615930699999998</v>
      </c>
      <c r="P6846" s="166"/>
      <c r="Q6846" s="166">
        <f t="shared" si="1860"/>
        <v>809.09045848999995</v>
      </c>
      <c r="R6846" s="71"/>
    </row>
    <row r="6847" spans="1:41" s="61" customFormat="1" ht="31.5" x14ac:dyDescent="0.25">
      <c r="A6847" s="358"/>
      <c r="B6847" s="361"/>
      <c r="C6847" s="366"/>
      <c r="D6847" s="156" t="s">
        <v>35</v>
      </c>
      <c r="E6847" s="156" t="s">
        <v>102</v>
      </c>
      <c r="F6847" s="156" t="s">
        <v>223</v>
      </c>
      <c r="G6847" s="157">
        <f t="shared" si="1867"/>
        <v>1.160482E-3</v>
      </c>
      <c r="H6847" s="158">
        <f>Лист1!C325</f>
        <v>35</v>
      </c>
      <c r="I6847" s="159">
        <f>I6845</f>
        <v>3.5477600000000001E-3</v>
      </c>
      <c r="J6847" s="160"/>
      <c r="K6847" s="161">
        <f>K6845</f>
        <v>107</v>
      </c>
      <c r="L6847" s="162">
        <v>1</v>
      </c>
      <c r="M6847" s="163" t="str">
        <f>CONCATENATE(H6847," ",F6847,"*",I6847,"/",K6847,"чел.")</f>
        <v>35 замеров*0,00354776/107чел.</v>
      </c>
      <c r="N6847" s="164">
        <f>Лист1!E325</f>
        <v>26000</v>
      </c>
      <c r="O6847" s="165">
        <f t="shared" ref="O6847" si="1868">MROUND(G6847*N6847,0.000001)</f>
        <v>30.172532</v>
      </c>
      <c r="P6847" s="166"/>
      <c r="Q6847" s="166">
        <f t="shared" si="1860"/>
        <v>3228.460924</v>
      </c>
      <c r="R6847" s="71"/>
    </row>
    <row r="6848" spans="1:41" s="61" customFormat="1" ht="47.25" x14ac:dyDescent="0.25">
      <c r="A6848" s="358"/>
      <c r="B6848" s="361"/>
      <c r="C6848" s="366"/>
      <c r="D6848" s="156" t="s">
        <v>399</v>
      </c>
      <c r="E6848" s="156" t="s">
        <v>60</v>
      </c>
      <c r="F6848" s="156" t="s">
        <v>60</v>
      </c>
      <c r="G6848" s="157">
        <f t="shared" si="1867"/>
        <v>1.1604822000000001E-2</v>
      </c>
      <c r="H6848" s="158">
        <f>Лист1!C326</f>
        <v>35</v>
      </c>
      <c r="I6848" s="159">
        <f>I6847</f>
        <v>3.5477600000000001E-3</v>
      </c>
      <c r="J6848" s="160"/>
      <c r="K6848" s="161">
        <f>K6847</f>
        <v>107</v>
      </c>
      <c r="L6848" s="162">
        <v>10</v>
      </c>
      <c r="M6848" s="163" t="str">
        <f>CONCATENATE(H6848," ",F6848,"*",L6848,"мес.","*",I6848,"/",K6848,"чел.")</f>
        <v>35 шт.*10мес.*0,00354776/107чел.</v>
      </c>
      <c r="N6848" s="164">
        <f>Лист1!E326</f>
        <v>3380.9014857142843</v>
      </c>
      <c r="O6848" s="165">
        <f>MROUND(G6848*N6848,0.000001)</f>
        <v>39.234760000000001</v>
      </c>
      <c r="P6848" s="166"/>
      <c r="Q6848" s="166">
        <f t="shared" si="1860"/>
        <v>4198.1193199999998</v>
      </c>
      <c r="R6848" s="71"/>
    </row>
    <row r="6849" spans="1:18" s="61" customFormat="1" ht="47.25" x14ac:dyDescent="0.25">
      <c r="A6849" s="358"/>
      <c r="B6849" s="361"/>
      <c r="C6849" s="366"/>
      <c r="D6849" s="156" t="s">
        <v>36</v>
      </c>
      <c r="E6849" s="156" t="s">
        <v>31</v>
      </c>
      <c r="F6849" s="156" t="s">
        <v>224</v>
      </c>
      <c r="G6849" s="157">
        <f t="shared" si="1867"/>
        <v>1.4323667000000002E-2</v>
      </c>
      <c r="H6849" s="158">
        <f>Лист1!C327</f>
        <v>36</v>
      </c>
      <c r="I6849" s="159">
        <f>I6848</f>
        <v>3.5477600000000001E-3</v>
      </c>
      <c r="J6849" s="160"/>
      <c r="K6849" s="161">
        <f>K6848</f>
        <v>107</v>
      </c>
      <c r="L6849" s="162">
        <v>12</v>
      </c>
      <c r="M6849" s="163" t="str">
        <f>CONCATENATE(H6849," ",F6849,"*",L6849,"мес.","*",I6849,"/",K6849,"чел.")</f>
        <v>36 устройств*12мес.*0,00354776/107чел.</v>
      </c>
      <c r="N6849" s="164">
        <f>Лист1!E327</f>
        <v>1269.5381481481488</v>
      </c>
      <c r="O6849" s="165">
        <f t="shared" ref="O6849" si="1869">MROUND(G6849*N6849,0.000001)</f>
        <v>18.184442000000001</v>
      </c>
      <c r="P6849" s="166"/>
      <c r="Q6849" s="166">
        <f t="shared" si="1860"/>
        <v>1945.7352940000001</v>
      </c>
      <c r="R6849" s="71"/>
    </row>
    <row r="6850" spans="1:18" s="61" customFormat="1" ht="31.5" x14ac:dyDescent="0.25">
      <c r="A6850" s="358"/>
      <c r="B6850" s="361"/>
      <c r="C6850" s="366"/>
      <c r="D6850" s="156" t="s">
        <v>99</v>
      </c>
      <c r="E6850" s="156" t="s">
        <v>103</v>
      </c>
      <c r="F6850" s="156" t="s">
        <v>225</v>
      </c>
      <c r="G6850" s="157">
        <f t="shared" si="1867"/>
        <v>6.664484E-3</v>
      </c>
      <c r="H6850" s="158">
        <f>Лист1!C328</f>
        <v>201</v>
      </c>
      <c r="I6850" s="159">
        <f>I6849</f>
        <v>3.5477600000000001E-3</v>
      </c>
      <c r="J6850" s="160"/>
      <c r="K6850" s="161">
        <f>K6849</f>
        <v>107</v>
      </c>
      <c r="L6850" s="162">
        <v>1</v>
      </c>
      <c r="M6850" s="163" t="str">
        <f>CONCATENATE(H6850," ",F6850,"*",I6850,"/",K6850,"чел.")</f>
        <v>201 ед.*0,00354776/107чел.</v>
      </c>
      <c r="N6850" s="164">
        <f>Лист1!E328</f>
        <v>15000</v>
      </c>
      <c r="O6850" s="165">
        <f>MROUND(G6850*N6850,0.000001)</f>
        <v>99.967259999999996</v>
      </c>
      <c r="P6850" s="166"/>
      <c r="Q6850" s="166">
        <f t="shared" si="1860"/>
        <v>10696.49682</v>
      </c>
      <c r="R6850" s="71"/>
    </row>
    <row r="6851" spans="1:18" s="61" customFormat="1" x14ac:dyDescent="0.25">
      <c r="A6851" s="358"/>
      <c r="B6851" s="361"/>
      <c r="C6851" s="366"/>
      <c r="D6851" s="156" t="s">
        <v>27</v>
      </c>
      <c r="E6851" s="156" t="s">
        <v>28</v>
      </c>
      <c r="F6851" s="156" t="s">
        <v>28</v>
      </c>
      <c r="G6851" s="157">
        <f t="shared" si="1867"/>
        <v>0.138926303</v>
      </c>
      <c r="H6851" s="160">
        <f>Лист1!C329</f>
        <v>4190</v>
      </c>
      <c r="I6851" s="159">
        <f>I6850</f>
        <v>3.5477600000000001E-3</v>
      </c>
      <c r="J6851" s="160"/>
      <c r="K6851" s="161">
        <f>K6850</f>
        <v>107</v>
      </c>
      <c r="L6851" s="162">
        <v>1</v>
      </c>
      <c r="M6851" s="163" t="str">
        <f>CONCATENATE(H6851," ",F6851,"*",I6851,"/",K6851,"чел.")</f>
        <v>4190 шт*0,00354776/107чел.</v>
      </c>
      <c r="N6851" s="164">
        <f>Лист1!E329</f>
        <v>435.13600000000008</v>
      </c>
      <c r="O6851" s="165">
        <f t="shared" ref="O6851:O6852" si="1870">MROUND(G6851*N6851,0.000001)</f>
        <v>60.451836</v>
      </c>
      <c r="P6851" s="166"/>
      <c r="Q6851" s="166">
        <f t="shared" si="1860"/>
        <v>6468.3464519999998</v>
      </c>
      <c r="R6851" s="71"/>
    </row>
    <row r="6852" spans="1:18" s="61" customFormat="1" ht="31.5" x14ac:dyDescent="0.25">
      <c r="A6852" s="358"/>
      <c r="B6852" s="361"/>
      <c r="C6852" s="367"/>
      <c r="D6852" s="156" t="s">
        <v>104</v>
      </c>
      <c r="E6852" s="156" t="s">
        <v>105</v>
      </c>
      <c r="F6852" s="156" t="s">
        <v>226</v>
      </c>
      <c r="G6852" s="157">
        <f t="shared" si="1867"/>
        <v>1.193639E-3</v>
      </c>
      <c r="H6852" s="160">
        <f>Лист1!C330</f>
        <v>36</v>
      </c>
      <c r="I6852" s="159">
        <f>I6851</f>
        <v>3.5477600000000001E-3</v>
      </c>
      <c r="J6852" s="160"/>
      <c r="K6852" s="161">
        <f>K6851</f>
        <v>107</v>
      </c>
      <c r="L6852" s="162">
        <v>1</v>
      </c>
      <c r="M6852" s="163" t="str">
        <f>CONCATENATE(H6852," ",F6852,"*",I6852,"/",K6852,"чел.")</f>
        <v>36 отключений*0,00354776/107чел.</v>
      </c>
      <c r="N6852" s="164">
        <f>Лист1!E330</f>
        <v>10671.710000000006</v>
      </c>
      <c r="O6852" s="165">
        <f t="shared" si="1870"/>
        <v>12.738168999999999</v>
      </c>
      <c r="P6852" s="166"/>
      <c r="Q6852" s="166">
        <f t="shared" si="1860"/>
        <v>1362.9840829999998</v>
      </c>
      <c r="R6852" s="71"/>
    </row>
    <row r="6853" spans="1:18" s="61" customFormat="1" x14ac:dyDescent="0.25">
      <c r="A6853" s="358"/>
      <c r="B6853" s="361"/>
      <c r="C6853" s="249" t="s">
        <v>292</v>
      </c>
      <c r="D6853" s="240"/>
      <c r="E6853" s="240"/>
      <c r="F6853" s="240"/>
      <c r="G6853" s="227"/>
      <c r="H6853" s="228"/>
      <c r="I6853" s="206"/>
      <c r="J6853" s="228"/>
      <c r="K6853" s="207"/>
      <c r="L6853" s="229"/>
      <c r="M6853" s="209"/>
      <c r="N6853" s="210"/>
      <c r="O6853" s="198">
        <f>SUM(O6837:O6852)</f>
        <v>400.35972906999996</v>
      </c>
      <c r="P6853" s="166"/>
      <c r="Q6853" s="166"/>
      <c r="R6853" s="71"/>
    </row>
    <row r="6854" spans="1:18" s="61" customFormat="1" ht="31.5" x14ac:dyDescent="0.25">
      <c r="A6854" s="358"/>
      <c r="B6854" s="361"/>
      <c r="C6854" s="221" t="s">
        <v>79</v>
      </c>
      <c r="D6854" s="156" t="s">
        <v>37</v>
      </c>
      <c r="E6854" s="156" t="s">
        <v>61</v>
      </c>
      <c r="F6854" s="156" t="s">
        <v>227</v>
      </c>
      <c r="G6854" s="157">
        <f>MROUND(H6854*L6854*I6854/K6854,0.000000001)</f>
        <v>1.3262700000000002E-4</v>
      </c>
      <c r="H6854" s="158">
        <f>Лист1!C332</f>
        <v>4</v>
      </c>
      <c r="I6854" s="159">
        <f>I6852</f>
        <v>3.5477600000000001E-3</v>
      </c>
      <c r="J6854" s="160"/>
      <c r="K6854" s="161">
        <f>K6852</f>
        <v>107</v>
      </c>
      <c r="L6854" s="162">
        <v>1</v>
      </c>
      <c r="M6854" s="163" t="str">
        <f>CONCATENATE(H6854," ",F6854,"*",I6854,"/",K6854,"чел.")</f>
        <v>4 автобуса*0,00354776/107чел.</v>
      </c>
      <c r="N6854" s="164">
        <f>Лист1!E332</f>
        <v>37900.35</v>
      </c>
      <c r="O6854" s="165">
        <f>MROUND(G6854*N6854,0.000001)</f>
        <v>5.0266099999999998</v>
      </c>
      <c r="P6854" s="166"/>
      <c r="Q6854" s="166">
        <f t="shared" ref="Q6854" si="1871">O6854*K6854</f>
        <v>537.84726999999998</v>
      </c>
      <c r="R6854" s="71"/>
    </row>
    <row r="6855" spans="1:18" s="61" customFormat="1" x14ac:dyDescent="0.25">
      <c r="A6855" s="358"/>
      <c r="B6855" s="361"/>
      <c r="C6855" s="218" t="s">
        <v>295</v>
      </c>
      <c r="D6855" s="240"/>
      <c r="E6855" s="240"/>
      <c r="F6855" s="240"/>
      <c r="G6855" s="227"/>
      <c r="H6855" s="241"/>
      <c r="I6855" s="206"/>
      <c r="J6855" s="228"/>
      <c r="K6855" s="207"/>
      <c r="L6855" s="229"/>
      <c r="M6855" s="209"/>
      <c r="N6855" s="210"/>
      <c r="O6855" s="198">
        <f>SUM(O6854)</f>
        <v>5.0266099999999998</v>
      </c>
      <c r="P6855" s="166"/>
      <c r="Q6855" s="166"/>
      <c r="R6855" s="71"/>
    </row>
    <row r="6856" spans="1:18" s="61" customFormat="1" ht="15.6" customHeight="1" x14ac:dyDescent="0.25">
      <c r="A6856" s="358"/>
      <c r="B6856" s="361"/>
      <c r="C6856" s="365" t="s">
        <v>80</v>
      </c>
      <c r="D6856" s="156" t="s">
        <v>38</v>
      </c>
      <c r="E6856" s="156" t="s">
        <v>57</v>
      </c>
      <c r="F6856" s="156" t="s">
        <v>228</v>
      </c>
      <c r="G6856" s="157">
        <f>MROUND(H6856*L6856*I6856/K6856,0.0000000001)</f>
        <v>1.43236665E-2</v>
      </c>
      <c r="H6856" s="158">
        <f>Лист1!C335</f>
        <v>36</v>
      </c>
      <c r="I6856" s="159">
        <f>I6854</f>
        <v>3.5477600000000001E-3</v>
      </c>
      <c r="J6856" s="160"/>
      <c r="K6856" s="161">
        <f>K6854</f>
        <v>107</v>
      </c>
      <c r="L6856" s="162">
        <v>12</v>
      </c>
      <c r="M6856" s="163" t="str">
        <f>CONCATENATE(H6856," ",F6856,"*",L6856,"мес.","*",I6856,"/",K6856,"чел.")</f>
        <v>36 зданий*12мес.*0,00354776/107чел.</v>
      </c>
      <c r="N6856" s="164">
        <f>Лист1!E335</f>
        <v>5106.1928935185206</v>
      </c>
      <c r="O6856" s="165">
        <f>MROUND(G6856*N6856,0.000001)</f>
        <v>73.139403999999999</v>
      </c>
      <c r="P6856" s="166"/>
      <c r="Q6856" s="166">
        <f t="shared" ref="Q6856:Q6869" si="1872">O6856*K6856</f>
        <v>7825.916228</v>
      </c>
      <c r="R6856" s="71"/>
    </row>
    <row r="6857" spans="1:18" s="61" customFormat="1" ht="46.9" customHeight="1" x14ac:dyDescent="0.25">
      <c r="A6857" s="358"/>
      <c r="B6857" s="361"/>
      <c r="C6857" s="366"/>
      <c r="D6857" s="156" t="s">
        <v>229</v>
      </c>
      <c r="E6857" s="156" t="s">
        <v>60</v>
      </c>
      <c r="F6857" s="156" t="s">
        <v>60</v>
      </c>
      <c r="G6857" s="157">
        <f>MROUND(H6857*L6857*I6857/K6857,0.000001)</f>
        <v>7.9377000000000003E-2</v>
      </c>
      <c r="H6857" s="158">
        <f>Лист1!C340</f>
        <v>2394</v>
      </c>
      <c r="I6857" s="159">
        <f>I6856</f>
        <v>3.5477600000000001E-3</v>
      </c>
      <c r="J6857" s="160"/>
      <c r="K6857" s="161">
        <f>K6856</f>
        <v>107</v>
      </c>
      <c r="L6857" s="162">
        <v>1</v>
      </c>
      <c r="M6857" s="163" t="str">
        <f t="shared" ref="M6857" si="1873">CONCATENATE(H6857," ",F6857,"*",I6857,"/",K6857,"чел.")</f>
        <v>2394 шт.*0,00354776/107чел.</v>
      </c>
      <c r="N6857" s="164">
        <f>Лист1!E340</f>
        <v>177.86185045948207</v>
      </c>
      <c r="O6857" s="165">
        <f>MROUND(G6857*N6857,0.000001)</f>
        <v>14.118139999999999</v>
      </c>
      <c r="P6857" s="166"/>
      <c r="Q6857" s="166">
        <f t="shared" si="1872"/>
        <v>1510.6409799999999</v>
      </c>
      <c r="R6857" s="71"/>
    </row>
    <row r="6858" spans="1:18" s="61" customFormat="1" ht="46.9" customHeight="1" x14ac:dyDescent="0.25">
      <c r="A6858" s="358"/>
      <c r="B6858" s="361"/>
      <c r="C6858" s="366"/>
      <c r="D6858" s="156" t="s">
        <v>405</v>
      </c>
      <c r="E6858" s="156" t="s">
        <v>60</v>
      </c>
      <c r="F6858" s="156" t="s">
        <v>406</v>
      </c>
      <c r="G6858" s="157">
        <f>MROUND(H6858*L6858*I6858/K6858,0.00000001)</f>
        <v>1.1936399999999999E-3</v>
      </c>
      <c r="H6858" s="158">
        <f>Лист1!C341</f>
        <v>36</v>
      </c>
      <c r="I6858" s="159">
        <f>I6857</f>
        <v>3.5477600000000001E-3</v>
      </c>
      <c r="J6858" s="160"/>
      <c r="K6858" s="161">
        <f>K6857</f>
        <v>107</v>
      </c>
      <c r="L6858" s="162">
        <v>1</v>
      </c>
      <c r="M6858" s="163" t="str">
        <f>CONCATENATE(H6858," ",F6858,"*",I6858,"/",K6858,"чел.")</f>
        <v>36 лицензий*0,00354776/107чел.</v>
      </c>
      <c r="N6858" s="164">
        <f>Лист1!E341</f>
        <v>13043.200000000006</v>
      </c>
      <c r="O6858" s="165">
        <f t="shared" ref="O6858:O6867" si="1874">MROUND(G6858*N6858,0.000001)</f>
        <v>15.568885</v>
      </c>
      <c r="P6858" s="166"/>
      <c r="Q6858" s="166">
        <f t="shared" si="1872"/>
        <v>1665.8706950000001</v>
      </c>
      <c r="R6858" s="71"/>
    </row>
    <row r="6859" spans="1:18" s="61" customFormat="1" ht="62.45" customHeight="1" x14ac:dyDescent="0.25">
      <c r="A6859" s="358"/>
      <c r="B6859" s="361"/>
      <c r="C6859" s="366"/>
      <c r="D6859" s="156" t="s">
        <v>39</v>
      </c>
      <c r="E6859" s="156" t="s">
        <v>20</v>
      </c>
      <c r="F6859" s="156" t="s">
        <v>234</v>
      </c>
      <c r="G6859" s="157">
        <f>MROUND(H6859*L6859*I6859/K6859,0.00000001)</f>
        <v>3.9124800000000003E-3</v>
      </c>
      <c r="H6859" s="158">
        <f>Лист1!C342</f>
        <v>118</v>
      </c>
      <c r="I6859" s="159">
        <f>I6857</f>
        <v>3.5477600000000001E-3</v>
      </c>
      <c r="J6859" s="160"/>
      <c r="K6859" s="161">
        <f>K6857</f>
        <v>107</v>
      </c>
      <c r="L6859" s="162">
        <v>1</v>
      </c>
      <c r="M6859" s="163" t="str">
        <f t="shared" ref="M6859:M6862" si="1875">CONCATENATE(H6859," ",F6859,"*",I6859,"/",K6859,"чел.")</f>
        <v>118 чел(заявленная потребность руководителями учреждений)*0,00354776/107чел.</v>
      </c>
      <c r="N6859" s="164">
        <f>Лист1!E342</f>
        <v>830.02203389830515</v>
      </c>
      <c r="O6859" s="165">
        <f t="shared" si="1874"/>
        <v>3.2474449999999999</v>
      </c>
      <c r="P6859" s="166"/>
      <c r="Q6859" s="166">
        <f t="shared" si="1872"/>
        <v>347.47661499999998</v>
      </c>
      <c r="R6859" s="71"/>
    </row>
    <row r="6860" spans="1:18" s="61" customFormat="1" ht="62.45" customHeight="1" x14ac:dyDescent="0.25">
      <c r="A6860" s="358"/>
      <c r="B6860" s="361"/>
      <c r="C6860" s="366"/>
      <c r="D6860" s="156" t="s">
        <v>40</v>
      </c>
      <c r="E6860" s="156" t="s">
        <v>20</v>
      </c>
      <c r="F6860" s="156" t="s">
        <v>234</v>
      </c>
      <c r="G6860" s="157">
        <f>MROUND(H6860*L6860*I6860/K6860,0.000000001)</f>
        <v>3.1830370000000001E-3</v>
      </c>
      <c r="H6860" s="158">
        <f>Лист1!C343</f>
        <v>96</v>
      </c>
      <c r="I6860" s="159">
        <f t="shared" ref="I6860:I6867" si="1876">I6859</f>
        <v>3.5477600000000001E-3</v>
      </c>
      <c r="J6860" s="160"/>
      <c r="K6860" s="161">
        <f t="shared" ref="K6860:K6867" si="1877">K6859</f>
        <v>107</v>
      </c>
      <c r="L6860" s="162">
        <v>1</v>
      </c>
      <c r="M6860" s="163" t="str">
        <f t="shared" si="1875"/>
        <v>96 чел(заявленная потребность руководителями учреждений)*0,00354776/107чел.</v>
      </c>
      <c r="N6860" s="164">
        <f>Лист1!E343</f>
        <v>1778.6189583333326</v>
      </c>
      <c r="O6860" s="165">
        <f t="shared" si="1874"/>
        <v>5.6614100000000001</v>
      </c>
      <c r="P6860" s="166"/>
      <c r="Q6860" s="166">
        <f t="shared" si="1872"/>
        <v>605.77087000000006</v>
      </c>
      <c r="R6860" s="71"/>
    </row>
    <row r="6861" spans="1:18" s="61" customFormat="1" ht="62.45" customHeight="1" x14ac:dyDescent="0.25">
      <c r="A6861" s="358"/>
      <c r="B6861" s="361"/>
      <c r="C6861" s="366"/>
      <c r="D6861" s="156" t="s">
        <v>100</v>
      </c>
      <c r="E6861" s="156" t="s">
        <v>20</v>
      </c>
      <c r="F6861" s="156" t="s">
        <v>234</v>
      </c>
      <c r="G6861" s="157">
        <f>MROUND(H6861*L6861*I6861/K6861,0.000000001)</f>
        <v>2.685687E-3</v>
      </c>
      <c r="H6861" s="158">
        <f>Лист1!C344</f>
        <v>81</v>
      </c>
      <c r="I6861" s="159">
        <f t="shared" si="1876"/>
        <v>3.5477600000000001E-3</v>
      </c>
      <c r="J6861" s="160"/>
      <c r="K6861" s="161">
        <f t="shared" si="1877"/>
        <v>107</v>
      </c>
      <c r="L6861" s="162">
        <v>1</v>
      </c>
      <c r="M6861" s="163" t="str">
        <f t="shared" si="1875"/>
        <v>81 чел(заявленная потребность руководителями учреждений)*0,00354776/107чел.</v>
      </c>
      <c r="N6861" s="164">
        <f>Лист1!E344</f>
        <v>3794.386419753087</v>
      </c>
      <c r="O6861" s="165">
        <f t="shared" si="1874"/>
        <v>10.190534</v>
      </c>
      <c r="P6861" s="166"/>
      <c r="Q6861" s="166">
        <f t="shared" si="1872"/>
        <v>1090.387138</v>
      </c>
      <c r="R6861" s="71"/>
    </row>
    <row r="6862" spans="1:18" s="61" customFormat="1" ht="109.15" customHeight="1" x14ac:dyDescent="0.25">
      <c r="A6862" s="358"/>
      <c r="B6862" s="361"/>
      <c r="C6862" s="366"/>
      <c r="D6862" s="156" t="s">
        <v>235</v>
      </c>
      <c r="E6862" s="156" t="s">
        <v>50</v>
      </c>
      <c r="F6862" s="156" t="s">
        <v>230</v>
      </c>
      <c r="G6862" s="157">
        <f>MROUND(H6862*L6862*I6862/K6862,0.00000001)</f>
        <v>1.1936399999999999E-3</v>
      </c>
      <c r="H6862" s="158">
        <f>Лист1!C345</f>
        <v>36</v>
      </c>
      <c r="I6862" s="159">
        <f t="shared" si="1876"/>
        <v>3.5477600000000001E-3</v>
      </c>
      <c r="J6862" s="160"/>
      <c r="K6862" s="161">
        <f t="shared" si="1877"/>
        <v>107</v>
      </c>
      <c r="L6862" s="162">
        <v>1</v>
      </c>
      <c r="M6862" s="163" t="str">
        <f t="shared" si="1875"/>
        <v>36 отчетов*0,00354776/107чел.</v>
      </c>
      <c r="N6862" s="164">
        <f>Лист1!E345</f>
        <v>7114.47</v>
      </c>
      <c r="O6862" s="165">
        <f t="shared" si="1874"/>
        <v>8.4921159999999993</v>
      </c>
      <c r="P6862" s="166"/>
      <c r="Q6862" s="166">
        <f t="shared" si="1872"/>
        <v>908.65641199999993</v>
      </c>
      <c r="R6862" s="71"/>
    </row>
    <row r="6863" spans="1:18" s="61" customFormat="1" ht="62.45" customHeight="1" x14ac:dyDescent="0.25">
      <c r="A6863" s="358"/>
      <c r="B6863" s="361"/>
      <c r="C6863" s="366"/>
      <c r="D6863" s="156" t="s">
        <v>42</v>
      </c>
      <c r="E6863" s="156" t="s">
        <v>51</v>
      </c>
      <c r="F6863" s="156" t="s">
        <v>407</v>
      </c>
      <c r="G6863" s="157">
        <f>MROUND(H6863*L6863*I6863/K6863,0.000001)</f>
        <v>6.764E-3</v>
      </c>
      <c r="H6863" s="158">
        <f>Лист1!C349</f>
        <v>204</v>
      </c>
      <c r="I6863" s="159">
        <f t="shared" si="1876"/>
        <v>3.5477600000000001E-3</v>
      </c>
      <c r="J6863" s="160"/>
      <c r="K6863" s="161">
        <f t="shared" si="1877"/>
        <v>107</v>
      </c>
      <c r="L6863" s="162">
        <v>1</v>
      </c>
      <c r="M6863" s="163" t="str">
        <f>CONCATENATE( H6863," ",F6863,"*",I6863,"/",K6863,"чел.")</f>
        <v>204 ед (заявленная потребность руководителями учреждений)*0,00354776/107чел.</v>
      </c>
      <c r="N6863" s="164">
        <f>Лист1!E349</f>
        <v>1185.7454901960789</v>
      </c>
      <c r="O6863" s="165">
        <f t="shared" si="1874"/>
        <v>8.0203819999999997</v>
      </c>
      <c r="P6863" s="166"/>
      <c r="Q6863" s="166">
        <f t="shared" si="1872"/>
        <v>858.18087400000002</v>
      </c>
      <c r="R6863" s="71"/>
    </row>
    <row r="6864" spans="1:18" s="61" customFormat="1" ht="31.15" customHeight="1" x14ac:dyDescent="0.25">
      <c r="A6864" s="358"/>
      <c r="B6864" s="361"/>
      <c r="C6864" s="366"/>
      <c r="D6864" s="156" t="s">
        <v>43</v>
      </c>
      <c r="E6864" s="156" t="s">
        <v>52</v>
      </c>
      <c r="F6864" s="156" t="s">
        <v>231</v>
      </c>
      <c r="G6864" s="157">
        <f>MROUND(H6864*L6864*I6864/K6864,0.000000001)</f>
        <v>1.193639E-3</v>
      </c>
      <c r="H6864" s="158">
        <f>Лист1!C350</f>
        <v>36</v>
      </c>
      <c r="I6864" s="159">
        <f t="shared" si="1876"/>
        <v>3.5477600000000001E-3</v>
      </c>
      <c r="J6864" s="160"/>
      <c r="K6864" s="161">
        <f t="shared" si="1877"/>
        <v>107</v>
      </c>
      <c r="L6864" s="162">
        <v>1</v>
      </c>
      <c r="M6864" s="163" t="str">
        <f t="shared" ref="M6864" si="1878">CONCATENATE(H6864," ",F6864,"*",I6864,"/",K6864,"чел.")</f>
        <v>36 ЭЦП*0,00354776/107чел.</v>
      </c>
      <c r="N6864" s="164">
        <f>Лист1!E350</f>
        <v>8423.5400000000009</v>
      </c>
      <c r="O6864" s="165">
        <f t="shared" si="1874"/>
        <v>10.054665999999999</v>
      </c>
      <c r="P6864" s="166"/>
      <c r="Q6864" s="166">
        <f t="shared" si="1872"/>
        <v>1075.849262</v>
      </c>
      <c r="R6864" s="71"/>
    </row>
    <row r="6865" spans="1:18" s="61" customFormat="1" ht="46.9" customHeight="1" x14ac:dyDescent="0.25">
      <c r="A6865" s="358"/>
      <c r="B6865" s="361"/>
      <c r="C6865" s="366"/>
      <c r="D6865" s="156" t="s">
        <v>44</v>
      </c>
      <c r="E6865" s="156" t="s">
        <v>85</v>
      </c>
      <c r="F6865" s="156" t="s">
        <v>232</v>
      </c>
      <c r="G6865" s="157">
        <f>MROUND(H6865*L6865*I6865/K6865,0.000001)</f>
        <v>4.0318E-2</v>
      </c>
      <c r="H6865" s="158">
        <f>Лист1!C351</f>
        <v>1216</v>
      </c>
      <c r="I6865" s="159">
        <f t="shared" si="1876"/>
        <v>3.5477600000000001E-3</v>
      </c>
      <c r="J6865" s="160"/>
      <c r="K6865" s="161">
        <f t="shared" si="1877"/>
        <v>107</v>
      </c>
      <c r="L6865" s="162">
        <v>1</v>
      </c>
      <c r="M6865" s="163" t="str">
        <f>CONCATENATE(H6865," ",F6865,"*",L6865,"мес.","*",I6865,"/",K6865,"чел.")</f>
        <v>1216 мед.осмотров в мес.*1мес.*0,00354776/107чел.</v>
      </c>
      <c r="N6865" s="164">
        <f>Лист1!E351</f>
        <v>61.65877467105264</v>
      </c>
      <c r="O6865" s="165">
        <f t="shared" si="1874"/>
        <v>2.4859579999999997</v>
      </c>
      <c r="P6865" s="166"/>
      <c r="Q6865" s="166">
        <f t="shared" si="1872"/>
        <v>265.99750599999999</v>
      </c>
      <c r="R6865" s="71"/>
    </row>
    <row r="6866" spans="1:18" s="61" customFormat="1" ht="62.45" customHeight="1" x14ac:dyDescent="0.25">
      <c r="A6866" s="358"/>
      <c r="B6866" s="361"/>
      <c r="C6866" s="366"/>
      <c r="D6866" s="156" t="s">
        <v>45</v>
      </c>
      <c r="E6866" s="156" t="s">
        <v>53</v>
      </c>
      <c r="F6866" s="156" t="s">
        <v>233</v>
      </c>
      <c r="G6866" s="157">
        <f>MROUND(H6866*L6866*I6866/K6866,0.000000001)</f>
        <v>1.591519E-3</v>
      </c>
      <c r="H6866" s="158">
        <f>Лист1!C353</f>
        <v>4</v>
      </c>
      <c r="I6866" s="159">
        <f t="shared" si="1876"/>
        <v>3.5477600000000001E-3</v>
      </c>
      <c r="J6866" s="160"/>
      <c r="K6866" s="161">
        <f t="shared" si="1877"/>
        <v>107</v>
      </c>
      <c r="L6866" s="162">
        <v>12</v>
      </c>
      <c r="M6866" s="163" t="str">
        <f>CONCATENATE(H6866," ",F6866,"*",L6866,"мес.","*",I6866,"/",K6866,"чел.")</f>
        <v>4  машины, оборудованных системой ГЛОНАСС*12мес.*0,00354776/107чел.</v>
      </c>
      <c r="N6866" s="164">
        <f>Лист1!E353</f>
        <v>958.08249999999998</v>
      </c>
      <c r="O6866" s="165">
        <f t="shared" si="1874"/>
        <v>1.524807</v>
      </c>
      <c r="P6866" s="166"/>
      <c r="Q6866" s="166">
        <f t="shared" si="1872"/>
        <v>163.154349</v>
      </c>
      <c r="R6866" s="71"/>
    </row>
    <row r="6867" spans="1:18" s="61" customFormat="1" ht="15.6" customHeight="1" x14ac:dyDescent="0.25">
      <c r="A6867" s="358"/>
      <c r="B6867" s="361"/>
      <c r="C6867" s="366"/>
      <c r="D6867" s="156" t="s">
        <v>408</v>
      </c>
      <c r="E6867" s="156" t="s">
        <v>20</v>
      </c>
      <c r="F6867" s="156" t="s">
        <v>20</v>
      </c>
      <c r="G6867" s="157">
        <f>MROUND(H6867*L6867*I6867/K6867,0.00000001)</f>
        <v>5.626681E-2</v>
      </c>
      <c r="H6867" s="158">
        <f>Лист1!C354</f>
        <v>1697</v>
      </c>
      <c r="I6867" s="159">
        <f t="shared" si="1876"/>
        <v>3.5477600000000001E-3</v>
      </c>
      <c r="J6867" s="160"/>
      <c r="K6867" s="161">
        <f t="shared" si="1877"/>
        <v>107</v>
      </c>
      <c r="L6867" s="250">
        <v>1</v>
      </c>
      <c r="M6867" s="163" t="str">
        <f>CONCATENATE(H6867," ",F6867,"*",L6867," раз в год","*",I6867,"/",K6867,"чел.")</f>
        <v>1697 чел.*1 раз в год*0,00354776/107чел.</v>
      </c>
      <c r="N6867" s="164">
        <f>Лист1!E354</f>
        <v>592.87278137890405</v>
      </c>
      <c r="O6867" s="165">
        <f t="shared" si="1874"/>
        <v>33.359059999999999</v>
      </c>
      <c r="P6867" s="166"/>
      <c r="Q6867" s="166">
        <f t="shared" si="1872"/>
        <v>3569.4194200000002</v>
      </c>
      <c r="R6867" s="71"/>
    </row>
    <row r="6868" spans="1:18" s="166" customFormat="1" ht="31.5" x14ac:dyDescent="0.25">
      <c r="A6868" s="379"/>
      <c r="B6868" s="361"/>
      <c r="C6868" s="364"/>
      <c r="D6868" s="156" t="s">
        <v>106</v>
      </c>
      <c r="E6868" s="156" t="s">
        <v>107</v>
      </c>
      <c r="F6868" s="156"/>
      <c r="G6868" s="157">
        <f>MROUND(H6868*L6868*I6868/K6868,0.000000001)</f>
        <v>0</v>
      </c>
      <c r="H6868" s="158"/>
      <c r="I6868" s="159">
        <f>I6866</f>
        <v>3.5477600000000001E-3</v>
      </c>
      <c r="J6868" s="160"/>
      <c r="K6868" s="161">
        <f>K6866</f>
        <v>107</v>
      </c>
      <c r="L6868" s="162"/>
      <c r="M6868" s="163"/>
      <c r="N6868" s="164">
        <f>Лист1!E6787+0.00006</f>
        <v>6.0000000000000002E-5</v>
      </c>
      <c r="O6868" s="165">
        <f>MROUND(G6868*N6868,0.000000001)</f>
        <v>0</v>
      </c>
      <c r="Q6868" s="166">
        <f t="shared" si="1872"/>
        <v>0</v>
      </c>
      <c r="R6868" s="167"/>
    </row>
    <row r="6869" spans="1:18" s="61" customFormat="1" ht="15.6" customHeight="1" x14ac:dyDescent="0.25">
      <c r="A6869" s="358"/>
      <c r="B6869" s="361"/>
      <c r="C6869" s="367"/>
      <c r="D6869" s="156" t="s">
        <v>373</v>
      </c>
      <c r="E6869" s="156" t="s">
        <v>28</v>
      </c>
      <c r="F6869" s="156" t="s">
        <v>28</v>
      </c>
      <c r="G6869" s="157">
        <f>MROUND(H6869*L6869*I6869/K6869,0.000000001)</f>
        <v>1.193639E-3</v>
      </c>
      <c r="H6869" s="158">
        <f>Лист1!C336</f>
        <v>36</v>
      </c>
      <c r="I6869" s="159">
        <f>I6867</f>
        <v>3.5477600000000001E-3</v>
      </c>
      <c r="J6869" s="160"/>
      <c r="K6869" s="161">
        <f>K6867</f>
        <v>107</v>
      </c>
      <c r="L6869" s="162">
        <v>1</v>
      </c>
      <c r="M6869" s="163" t="str">
        <f>CONCATENATE(H6869," ",F6869,"*",L6869,"мес.","*",I6869,"/",K6869,"чел.")</f>
        <v>36 шт*1мес.*0,00354776/107чел.</v>
      </c>
      <c r="N6869" s="164">
        <f>Лист1!E336</f>
        <v>24000</v>
      </c>
      <c r="O6869" s="165">
        <f>MROUND(G6869*N6869,0.000000001)</f>
        <v>28.647336000000003</v>
      </c>
      <c r="P6869" s="166"/>
      <c r="Q6869" s="166">
        <f t="shared" si="1872"/>
        <v>3065.2649520000004</v>
      </c>
      <c r="R6869" s="71"/>
    </row>
    <row r="6870" spans="1:18" s="61" customFormat="1" x14ac:dyDescent="0.25">
      <c r="A6870" s="358"/>
      <c r="B6870" s="361"/>
      <c r="C6870" s="245" t="s">
        <v>296</v>
      </c>
      <c r="D6870" s="240"/>
      <c r="E6870" s="240"/>
      <c r="F6870" s="240"/>
      <c r="G6870" s="251"/>
      <c r="H6870" s="241"/>
      <c r="I6870" s="206"/>
      <c r="J6870" s="228"/>
      <c r="K6870" s="207"/>
      <c r="L6870" s="229"/>
      <c r="M6870" s="209"/>
      <c r="N6870" s="210"/>
      <c r="O6870" s="198">
        <f>SUM(O6856:O6869)</f>
        <v>214.51014300000003</v>
      </c>
      <c r="P6870" s="166"/>
      <c r="Q6870" s="166"/>
      <c r="R6870" s="71"/>
    </row>
    <row r="6871" spans="1:18" s="61" customFormat="1" ht="31.5" x14ac:dyDescent="0.25">
      <c r="A6871" s="358"/>
      <c r="B6871" s="361"/>
      <c r="C6871" s="252" t="s">
        <v>237</v>
      </c>
      <c r="D6871" s="156" t="s">
        <v>41</v>
      </c>
      <c r="E6871" s="156" t="s">
        <v>61</v>
      </c>
      <c r="F6871" s="156" t="s">
        <v>227</v>
      </c>
      <c r="G6871" s="157">
        <f>MROUND(H6871*L6871*I6871/K6871,0.000000001)</f>
        <v>1.3262700000000002E-4</v>
      </c>
      <c r="H6871" s="158">
        <f>Лист1!C355</f>
        <v>4</v>
      </c>
      <c r="I6871" s="159">
        <f>I6868</f>
        <v>3.5477600000000001E-3</v>
      </c>
      <c r="J6871" s="160"/>
      <c r="K6871" s="161">
        <f>K6868</f>
        <v>107</v>
      </c>
      <c r="L6871" s="162">
        <v>1</v>
      </c>
      <c r="M6871" s="163" t="str">
        <f>CONCATENATE(H6871," ",F6871,"*",I6871,"/",K6871,"чел.")</f>
        <v>4 автобуса*0,00354776/107чел.</v>
      </c>
      <c r="N6871" s="164">
        <f>Лист1!E355</f>
        <v>27983.595000000001</v>
      </c>
      <c r="O6871" s="165">
        <f>MROUND(G6871*N6871,0.000001)</f>
        <v>3.7113799999999997</v>
      </c>
      <c r="P6871" s="166"/>
      <c r="Q6871" s="166">
        <f t="shared" ref="Q6871" si="1879">O6871*K6871</f>
        <v>397.11765999999994</v>
      </c>
      <c r="R6871" s="71"/>
    </row>
    <row r="6872" spans="1:18" s="61" customFormat="1" x14ac:dyDescent="0.25">
      <c r="A6872" s="358"/>
      <c r="B6872" s="361"/>
      <c r="C6872" s="245" t="s">
        <v>297</v>
      </c>
      <c r="D6872" s="240"/>
      <c r="E6872" s="240"/>
      <c r="F6872" s="240"/>
      <c r="G6872" s="251"/>
      <c r="H6872" s="241"/>
      <c r="I6872" s="206"/>
      <c r="J6872" s="228"/>
      <c r="K6872" s="207"/>
      <c r="L6872" s="229"/>
      <c r="M6872" s="209"/>
      <c r="N6872" s="210"/>
      <c r="O6872" s="198">
        <f>SUM(O6871)</f>
        <v>3.7113799999999997</v>
      </c>
      <c r="P6872" s="166"/>
      <c r="Q6872" s="166"/>
      <c r="R6872" s="71"/>
    </row>
    <row r="6873" spans="1:18" s="61" customFormat="1" ht="78.75" x14ac:dyDescent="0.25">
      <c r="A6873" s="358"/>
      <c r="B6873" s="361"/>
      <c r="C6873" s="221" t="s">
        <v>236</v>
      </c>
      <c r="D6873" s="156" t="s">
        <v>19</v>
      </c>
      <c r="E6873" s="181" t="s">
        <v>20</v>
      </c>
      <c r="F6873" s="181" t="s">
        <v>238</v>
      </c>
      <c r="G6873" s="157">
        <f>MROUND(H6873*L6873*I6873/K6873,0.000001)</f>
        <v>0</v>
      </c>
      <c r="H6873" s="158"/>
      <c r="I6873" s="159">
        <f>I6868</f>
        <v>3.5477600000000001E-3</v>
      </c>
      <c r="J6873" s="160"/>
      <c r="K6873" s="161">
        <f>K6868</f>
        <v>107</v>
      </c>
      <c r="L6873" s="162"/>
      <c r="M6873" s="163"/>
      <c r="N6873" s="164"/>
      <c r="O6873" s="165">
        <f>MROUND(G6873*N6873,0.000001)</f>
        <v>0</v>
      </c>
      <c r="P6873" s="166"/>
      <c r="Q6873" s="166">
        <f t="shared" ref="Q6873" si="1880">O6873*K6873</f>
        <v>0</v>
      </c>
      <c r="R6873" s="71"/>
    </row>
    <row r="6874" spans="1:18" s="61" customFormat="1" x14ac:dyDescent="0.25">
      <c r="A6874" s="358"/>
      <c r="B6874" s="361"/>
      <c r="C6874" s="245" t="s">
        <v>298</v>
      </c>
      <c r="D6874" s="240"/>
      <c r="E6874" s="253"/>
      <c r="F6874" s="253"/>
      <c r="G6874" s="251"/>
      <c r="H6874" s="241"/>
      <c r="I6874" s="206"/>
      <c r="J6874" s="228"/>
      <c r="K6874" s="207"/>
      <c r="L6874" s="229"/>
      <c r="M6874" s="209"/>
      <c r="N6874" s="210"/>
      <c r="O6874" s="198">
        <f>SUM(O6873)</f>
        <v>0</v>
      </c>
      <c r="P6874" s="166"/>
      <c r="Q6874" s="166"/>
      <c r="R6874" s="71"/>
    </row>
    <row r="6875" spans="1:18" s="61" customFormat="1" ht="30" x14ac:dyDescent="0.25">
      <c r="A6875" s="358"/>
      <c r="B6875" s="361"/>
      <c r="C6875" s="365" t="s">
        <v>81</v>
      </c>
      <c r="D6875" s="254" t="s">
        <v>410</v>
      </c>
      <c r="E6875" s="156" t="s">
        <v>28</v>
      </c>
      <c r="F6875" s="156" t="s">
        <v>28</v>
      </c>
      <c r="G6875" s="157">
        <f>MROUND(H6875*L6875*I6875/K6875,0.0000000001)</f>
        <v>0</v>
      </c>
      <c r="H6875" s="158"/>
      <c r="I6875" s="159">
        <f>I6868</f>
        <v>3.5477600000000001E-3</v>
      </c>
      <c r="J6875" s="160"/>
      <c r="K6875" s="161">
        <f>K6868</f>
        <v>107</v>
      </c>
      <c r="L6875" s="162">
        <v>1</v>
      </c>
      <c r="M6875" s="163"/>
      <c r="N6875" s="164"/>
      <c r="O6875" s="165">
        <f>MROUND(G6875*N6875,0.000001)</f>
        <v>0</v>
      </c>
      <c r="P6875" s="166"/>
      <c r="Q6875" s="166">
        <f t="shared" ref="Q6875:Q6898" si="1881">O6875*K6875</f>
        <v>0</v>
      </c>
      <c r="R6875" s="71"/>
    </row>
    <row r="6876" spans="1:18" s="61" customFormat="1" x14ac:dyDescent="0.25">
      <c r="A6876" s="358"/>
      <c r="B6876" s="361"/>
      <c r="C6876" s="366"/>
      <c r="D6876" s="254" t="s">
        <v>325</v>
      </c>
      <c r="E6876" s="156" t="s">
        <v>28</v>
      </c>
      <c r="F6876" s="156" t="s">
        <v>28</v>
      </c>
      <c r="G6876" s="238">
        <f>MROUND(H6876*L6876*I6876/K6876,0.00000001)</f>
        <v>0</v>
      </c>
      <c r="H6876" s="158"/>
      <c r="I6876" s="159">
        <f>I6875</f>
        <v>3.5477600000000001E-3</v>
      </c>
      <c r="J6876" s="160"/>
      <c r="K6876" s="161">
        <f>K6875</f>
        <v>107</v>
      </c>
      <c r="L6876" s="162">
        <v>1</v>
      </c>
      <c r="M6876" s="163"/>
      <c r="N6876" s="164"/>
      <c r="O6876" s="165">
        <f>MROUND(G6876*N6876,0.000001)</f>
        <v>0</v>
      </c>
      <c r="P6876" s="166"/>
      <c r="Q6876" s="166">
        <f t="shared" si="1881"/>
        <v>0</v>
      </c>
      <c r="R6876" s="71"/>
    </row>
    <row r="6877" spans="1:18" s="61" customFormat="1" ht="30" x14ac:dyDescent="0.25">
      <c r="A6877" s="358"/>
      <c r="B6877" s="361"/>
      <c r="C6877" s="366"/>
      <c r="D6877" s="254" t="s">
        <v>411</v>
      </c>
      <c r="E6877" s="156" t="s">
        <v>28</v>
      </c>
      <c r="F6877" s="156" t="s">
        <v>28</v>
      </c>
      <c r="G6877" s="157">
        <f>MROUND(H6877*L6877*I6877/K6877,0.00000001)</f>
        <v>0</v>
      </c>
      <c r="H6877" s="158"/>
      <c r="I6877" s="159">
        <f>I6875</f>
        <v>3.5477600000000001E-3</v>
      </c>
      <c r="J6877" s="160"/>
      <c r="K6877" s="161">
        <f>K6875</f>
        <v>107</v>
      </c>
      <c r="L6877" s="162">
        <v>1</v>
      </c>
      <c r="M6877" s="163"/>
      <c r="N6877" s="164"/>
      <c r="O6877" s="165">
        <f t="shared" ref="O6877:O6898" si="1882">MROUND(G6877*N6877,0.000001)</f>
        <v>0</v>
      </c>
      <c r="P6877" s="166"/>
      <c r="Q6877" s="166">
        <f t="shared" si="1881"/>
        <v>0</v>
      </c>
      <c r="R6877" s="71"/>
    </row>
    <row r="6878" spans="1:18" s="61" customFormat="1" x14ac:dyDescent="0.25">
      <c r="A6878" s="358"/>
      <c r="B6878" s="361"/>
      <c r="C6878" s="366"/>
      <c r="D6878" s="255" t="s">
        <v>412</v>
      </c>
      <c r="E6878" s="156" t="s">
        <v>28</v>
      </c>
      <c r="F6878" s="156" t="s">
        <v>28</v>
      </c>
      <c r="G6878" s="157">
        <f>MROUND(H6878*L6878*I6878/K6878,0.00000001)</f>
        <v>0</v>
      </c>
      <c r="H6878" s="158"/>
      <c r="I6878" s="159">
        <f>I6877</f>
        <v>3.5477600000000001E-3</v>
      </c>
      <c r="J6878" s="160"/>
      <c r="K6878" s="161">
        <f>K6877</f>
        <v>107</v>
      </c>
      <c r="L6878" s="162">
        <v>1</v>
      </c>
      <c r="M6878" s="163"/>
      <c r="N6878" s="164"/>
      <c r="O6878" s="165">
        <f t="shared" si="1882"/>
        <v>0</v>
      </c>
      <c r="P6878" s="166"/>
      <c r="Q6878" s="166">
        <f t="shared" si="1881"/>
        <v>0</v>
      </c>
      <c r="R6878" s="71"/>
    </row>
    <row r="6879" spans="1:18" s="61" customFormat="1" ht="31.5" x14ac:dyDescent="0.25">
      <c r="A6879" s="358"/>
      <c r="B6879" s="361"/>
      <c r="C6879" s="366"/>
      <c r="D6879" s="255" t="s">
        <v>413</v>
      </c>
      <c r="E6879" s="156" t="s">
        <v>28</v>
      </c>
      <c r="F6879" s="156" t="s">
        <v>28</v>
      </c>
      <c r="G6879" s="157">
        <f>MROUND(H6879*L6879*I6879/K6879,0.0000000001)</f>
        <v>0</v>
      </c>
      <c r="H6879" s="158"/>
      <c r="I6879" s="159">
        <f>I6878</f>
        <v>3.5477600000000001E-3</v>
      </c>
      <c r="J6879" s="160"/>
      <c r="K6879" s="161">
        <f>K6878</f>
        <v>107</v>
      </c>
      <c r="L6879" s="162">
        <v>1</v>
      </c>
      <c r="M6879" s="163"/>
      <c r="N6879" s="164"/>
      <c r="O6879" s="165">
        <f t="shared" si="1882"/>
        <v>0</v>
      </c>
      <c r="P6879" s="166"/>
      <c r="Q6879" s="166">
        <f t="shared" si="1881"/>
        <v>0</v>
      </c>
      <c r="R6879" s="71"/>
    </row>
    <row r="6880" spans="1:18" s="61" customFormat="1" x14ac:dyDescent="0.25">
      <c r="A6880" s="358"/>
      <c r="B6880" s="361"/>
      <c r="C6880" s="366"/>
      <c r="D6880" s="254" t="s">
        <v>109</v>
      </c>
      <c r="E6880" s="156" t="s">
        <v>28</v>
      </c>
      <c r="F6880" s="156" t="s">
        <v>28</v>
      </c>
      <c r="G6880" s="157">
        <f>MROUND(H6880*L6880*I6880/K6880,0.0000000001)</f>
        <v>0</v>
      </c>
      <c r="H6880" s="158"/>
      <c r="I6880" s="159">
        <f>I6879</f>
        <v>3.5477600000000001E-3</v>
      </c>
      <c r="J6880" s="160"/>
      <c r="K6880" s="161">
        <f>K6879</f>
        <v>107</v>
      </c>
      <c r="L6880" s="162">
        <v>1</v>
      </c>
      <c r="M6880" s="163"/>
      <c r="N6880" s="164"/>
      <c r="O6880" s="165">
        <f t="shared" si="1882"/>
        <v>0</v>
      </c>
      <c r="P6880" s="166"/>
      <c r="Q6880" s="166">
        <f t="shared" si="1881"/>
        <v>0</v>
      </c>
      <c r="R6880" s="71"/>
    </row>
    <row r="6881" spans="1:18" s="61" customFormat="1" x14ac:dyDescent="0.25">
      <c r="A6881" s="358"/>
      <c r="B6881" s="361"/>
      <c r="C6881" s="366"/>
      <c r="D6881" s="254" t="s">
        <v>414</v>
      </c>
      <c r="E6881" s="156" t="s">
        <v>28</v>
      </c>
      <c r="F6881" s="156" t="s">
        <v>28</v>
      </c>
      <c r="G6881" s="157">
        <f>MROUND(H6881*L6881*I6881/K6881,0.0000000001)</f>
        <v>0</v>
      </c>
      <c r="H6881" s="158"/>
      <c r="I6881" s="159">
        <f>I6879</f>
        <v>3.5477600000000001E-3</v>
      </c>
      <c r="J6881" s="160"/>
      <c r="K6881" s="161">
        <f>K6879</f>
        <v>107</v>
      </c>
      <c r="L6881" s="162">
        <v>1</v>
      </c>
      <c r="M6881" s="163"/>
      <c r="N6881" s="164"/>
      <c r="O6881" s="165">
        <f t="shared" si="1882"/>
        <v>0</v>
      </c>
      <c r="P6881" s="166"/>
      <c r="Q6881" s="166">
        <f t="shared" si="1881"/>
        <v>0</v>
      </c>
      <c r="R6881" s="71"/>
    </row>
    <row r="6882" spans="1:18" s="61" customFormat="1" x14ac:dyDescent="0.25">
      <c r="A6882" s="358"/>
      <c r="B6882" s="361"/>
      <c r="C6882" s="366"/>
      <c r="D6882" s="254" t="s">
        <v>415</v>
      </c>
      <c r="E6882" s="156" t="s">
        <v>28</v>
      </c>
      <c r="F6882" s="156" t="s">
        <v>28</v>
      </c>
      <c r="G6882" s="157">
        <f>MROUND(H6882*L6882*I6882/K6882,0.00000001)</f>
        <v>0</v>
      </c>
      <c r="H6882" s="158"/>
      <c r="I6882" s="159">
        <f t="shared" ref="I6882:I6891" si="1883">I6880</f>
        <v>3.5477600000000001E-3</v>
      </c>
      <c r="J6882" s="160"/>
      <c r="K6882" s="161">
        <f t="shared" ref="K6882:K6891" si="1884">K6880</f>
        <v>107</v>
      </c>
      <c r="L6882" s="162">
        <v>1</v>
      </c>
      <c r="M6882" s="163"/>
      <c r="N6882" s="164"/>
      <c r="O6882" s="165">
        <f t="shared" si="1882"/>
        <v>0</v>
      </c>
      <c r="P6882" s="166"/>
      <c r="Q6882" s="166">
        <f t="shared" si="1881"/>
        <v>0</v>
      </c>
      <c r="R6882" s="71"/>
    </row>
    <row r="6883" spans="1:18" s="61" customFormat="1" x14ac:dyDescent="0.25">
      <c r="A6883" s="358"/>
      <c r="B6883" s="361"/>
      <c r="C6883" s="366"/>
      <c r="D6883" s="254" t="s">
        <v>416</v>
      </c>
      <c r="E6883" s="156" t="s">
        <v>28</v>
      </c>
      <c r="F6883" s="156" t="s">
        <v>28</v>
      </c>
      <c r="G6883" s="157">
        <f>MROUND(H6883*L6883*I6883/K6883,0.000000001)</f>
        <v>0</v>
      </c>
      <c r="H6883" s="246"/>
      <c r="I6883" s="159">
        <f t="shared" si="1883"/>
        <v>3.5477600000000001E-3</v>
      </c>
      <c r="J6883" s="160"/>
      <c r="K6883" s="161">
        <f t="shared" si="1884"/>
        <v>107</v>
      </c>
      <c r="L6883" s="162">
        <v>1</v>
      </c>
      <c r="M6883" s="163"/>
      <c r="N6883" s="164"/>
      <c r="O6883" s="165">
        <f t="shared" si="1882"/>
        <v>0</v>
      </c>
      <c r="P6883" s="166"/>
      <c r="Q6883" s="166">
        <f t="shared" si="1881"/>
        <v>0</v>
      </c>
      <c r="R6883" s="71"/>
    </row>
    <row r="6884" spans="1:18" s="61" customFormat="1" x14ac:dyDescent="0.25">
      <c r="A6884" s="358"/>
      <c r="B6884" s="361"/>
      <c r="C6884" s="366"/>
      <c r="D6884" s="254" t="s">
        <v>417</v>
      </c>
      <c r="E6884" s="156" t="s">
        <v>28</v>
      </c>
      <c r="F6884" s="156" t="s">
        <v>28</v>
      </c>
      <c r="G6884" s="157">
        <f>MROUND(H6884*L6884*I6884/K6884,0.00000001)</f>
        <v>0</v>
      </c>
      <c r="H6884" s="158"/>
      <c r="I6884" s="159">
        <f t="shared" si="1883"/>
        <v>3.5477600000000001E-3</v>
      </c>
      <c r="J6884" s="160"/>
      <c r="K6884" s="161">
        <f t="shared" si="1884"/>
        <v>107</v>
      </c>
      <c r="L6884" s="162">
        <v>1</v>
      </c>
      <c r="M6884" s="163"/>
      <c r="N6884" s="164"/>
      <c r="O6884" s="165">
        <f t="shared" si="1882"/>
        <v>0</v>
      </c>
      <c r="P6884" s="166"/>
      <c r="Q6884" s="166">
        <f t="shared" si="1881"/>
        <v>0</v>
      </c>
      <c r="R6884" s="71"/>
    </row>
    <row r="6885" spans="1:18" s="61" customFormat="1" ht="30" x14ac:dyDescent="0.25">
      <c r="A6885" s="358"/>
      <c r="B6885" s="361"/>
      <c r="C6885" s="366"/>
      <c r="D6885" s="254" t="s">
        <v>418</v>
      </c>
      <c r="E6885" s="156" t="s">
        <v>28</v>
      </c>
      <c r="F6885" s="156" t="s">
        <v>28</v>
      </c>
      <c r="G6885" s="157">
        <f>MROUND(H6885*L6885*I6885/K6885,0.00000001)</f>
        <v>0</v>
      </c>
      <c r="H6885" s="158"/>
      <c r="I6885" s="159">
        <f t="shared" si="1883"/>
        <v>3.5477600000000001E-3</v>
      </c>
      <c r="J6885" s="160"/>
      <c r="K6885" s="161">
        <f t="shared" si="1884"/>
        <v>107</v>
      </c>
      <c r="L6885" s="162">
        <v>1</v>
      </c>
      <c r="M6885" s="163"/>
      <c r="N6885" s="164"/>
      <c r="O6885" s="165">
        <f t="shared" si="1882"/>
        <v>0</v>
      </c>
      <c r="P6885" s="166"/>
      <c r="Q6885" s="166">
        <f t="shared" si="1881"/>
        <v>0</v>
      </c>
      <c r="R6885" s="71"/>
    </row>
    <row r="6886" spans="1:18" s="61" customFormat="1" x14ac:dyDescent="0.25">
      <c r="A6886" s="358"/>
      <c r="B6886" s="361"/>
      <c r="C6886" s="366"/>
      <c r="D6886" s="254" t="s">
        <v>324</v>
      </c>
      <c r="E6886" s="156" t="s">
        <v>28</v>
      </c>
      <c r="F6886" s="156" t="s">
        <v>28</v>
      </c>
      <c r="G6886" s="157">
        <f>MROUND(H6886*L6886*I6886/K6886,0.000000001)</f>
        <v>0</v>
      </c>
      <c r="H6886" s="158"/>
      <c r="I6886" s="159">
        <f t="shared" si="1883"/>
        <v>3.5477600000000001E-3</v>
      </c>
      <c r="J6886" s="160"/>
      <c r="K6886" s="161">
        <f t="shared" si="1884"/>
        <v>107</v>
      </c>
      <c r="L6886" s="162">
        <v>1</v>
      </c>
      <c r="M6886" s="163"/>
      <c r="N6886" s="164"/>
      <c r="O6886" s="165">
        <f t="shared" si="1882"/>
        <v>0</v>
      </c>
      <c r="P6886" s="166"/>
      <c r="Q6886" s="166">
        <f t="shared" si="1881"/>
        <v>0</v>
      </c>
      <c r="R6886" s="71"/>
    </row>
    <row r="6887" spans="1:18" s="61" customFormat="1" x14ac:dyDescent="0.25">
      <c r="A6887" s="358"/>
      <c r="B6887" s="361"/>
      <c r="C6887" s="366"/>
      <c r="D6887" s="254" t="s">
        <v>419</v>
      </c>
      <c r="E6887" s="156" t="s">
        <v>28</v>
      </c>
      <c r="F6887" s="156" t="s">
        <v>28</v>
      </c>
      <c r="G6887" s="157">
        <f>MROUND(H6887*L6887*I6887/K6887,0.000000001)</f>
        <v>0</v>
      </c>
      <c r="H6887" s="246"/>
      <c r="I6887" s="159">
        <f t="shared" si="1883"/>
        <v>3.5477600000000001E-3</v>
      </c>
      <c r="J6887" s="160"/>
      <c r="K6887" s="161">
        <f t="shared" si="1884"/>
        <v>107</v>
      </c>
      <c r="L6887" s="162">
        <v>1</v>
      </c>
      <c r="M6887" s="163"/>
      <c r="N6887" s="164"/>
      <c r="O6887" s="165">
        <f t="shared" si="1882"/>
        <v>0</v>
      </c>
      <c r="P6887" s="166"/>
      <c r="Q6887" s="166">
        <f t="shared" si="1881"/>
        <v>0</v>
      </c>
      <c r="R6887" s="71"/>
    </row>
    <row r="6888" spans="1:18" s="61" customFormat="1" x14ac:dyDescent="0.25">
      <c r="A6888" s="358"/>
      <c r="B6888" s="361"/>
      <c r="C6888" s="366"/>
      <c r="D6888" s="254" t="s">
        <v>420</v>
      </c>
      <c r="E6888" s="156" t="s">
        <v>28</v>
      </c>
      <c r="F6888" s="156" t="s">
        <v>28</v>
      </c>
      <c r="G6888" s="157">
        <f>MROUND(H6888*L6888*I6888/K6888,0.000000001)</f>
        <v>0</v>
      </c>
      <c r="H6888" s="158"/>
      <c r="I6888" s="159">
        <f t="shared" si="1883"/>
        <v>3.5477600000000001E-3</v>
      </c>
      <c r="J6888" s="160"/>
      <c r="K6888" s="161">
        <f t="shared" si="1884"/>
        <v>107</v>
      </c>
      <c r="L6888" s="162">
        <v>1</v>
      </c>
      <c r="M6888" s="163"/>
      <c r="N6888" s="164"/>
      <c r="O6888" s="165">
        <f t="shared" si="1882"/>
        <v>0</v>
      </c>
      <c r="P6888" s="166"/>
      <c r="Q6888" s="166">
        <f t="shared" si="1881"/>
        <v>0</v>
      </c>
      <c r="R6888" s="71"/>
    </row>
    <row r="6889" spans="1:18" s="61" customFormat="1" x14ac:dyDescent="0.25">
      <c r="A6889" s="358"/>
      <c r="B6889" s="361"/>
      <c r="C6889" s="366"/>
      <c r="D6889" s="254" t="s">
        <v>421</v>
      </c>
      <c r="E6889" s="156" t="s">
        <v>28</v>
      </c>
      <c r="F6889" s="156" t="s">
        <v>28</v>
      </c>
      <c r="G6889" s="157">
        <f>MROUND(H6889*L6889*I6889/K6889,0.00000001)</f>
        <v>0</v>
      </c>
      <c r="H6889" s="158"/>
      <c r="I6889" s="159">
        <f t="shared" si="1883"/>
        <v>3.5477600000000001E-3</v>
      </c>
      <c r="J6889" s="160"/>
      <c r="K6889" s="161">
        <f t="shared" si="1884"/>
        <v>107</v>
      </c>
      <c r="L6889" s="162">
        <v>1</v>
      </c>
      <c r="M6889" s="163"/>
      <c r="N6889" s="164"/>
      <c r="O6889" s="165">
        <f t="shared" si="1882"/>
        <v>0</v>
      </c>
      <c r="P6889" s="166"/>
      <c r="Q6889" s="166">
        <f t="shared" si="1881"/>
        <v>0</v>
      </c>
      <c r="R6889" s="71"/>
    </row>
    <row r="6890" spans="1:18" s="61" customFormat="1" ht="30" x14ac:dyDescent="0.25">
      <c r="A6890" s="358"/>
      <c r="B6890" s="361"/>
      <c r="C6890" s="366"/>
      <c r="D6890" s="254" t="s">
        <v>422</v>
      </c>
      <c r="E6890" s="156" t="s">
        <v>28</v>
      </c>
      <c r="F6890" s="156" t="s">
        <v>28</v>
      </c>
      <c r="G6890" s="157">
        <f>MROUND(H6890*L6890*I6890/K6890,0.00000001)</f>
        <v>0</v>
      </c>
      <c r="H6890" s="158"/>
      <c r="I6890" s="159">
        <f t="shared" si="1883"/>
        <v>3.5477600000000001E-3</v>
      </c>
      <c r="J6890" s="160"/>
      <c r="K6890" s="161">
        <f t="shared" si="1884"/>
        <v>107</v>
      </c>
      <c r="L6890" s="162">
        <v>1</v>
      </c>
      <c r="M6890" s="163"/>
      <c r="N6890" s="164"/>
      <c r="O6890" s="165">
        <f t="shared" si="1882"/>
        <v>0</v>
      </c>
      <c r="P6890" s="166"/>
      <c r="Q6890" s="166">
        <f t="shared" si="1881"/>
        <v>0</v>
      </c>
      <c r="R6890" s="71"/>
    </row>
    <row r="6891" spans="1:18" s="61" customFormat="1" x14ac:dyDescent="0.25">
      <c r="A6891" s="358"/>
      <c r="B6891" s="361"/>
      <c r="C6891" s="366"/>
      <c r="D6891" s="254" t="s">
        <v>423</v>
      </c>
      <c r="E6891" s="156" t="s">
        <v>28</v>
      </c>
      <c r="F6891" s="156" t="s">
        <v>28</v>
      </c>
      <c r="G6891" s="157">
        <f>MROUND(H6891*L6891*I6891/K6891,0.000000001)</f>
        <v>0</v>
      </c>
      <c r="H6891" s="158"/>
      <c r="I6891" s="159">
        <f t="shared" si="1883"/>
        <v>3.5477600000000001E-3</v>
      </c>
      <c r="J6891" s="160"/>
      <c r="K6891" s="161">
        <f t="shared" si="1884"/>
        <v>107</v>
      </c>
      <c r="L6891" s="162">
        <v>1</v>
      </c>
      <c r="M6891" s="163"/>
      <c r="N6891" s="164"/>
      <c r="O6891" s="165">
        <f t="shared" si="1882"/>
        <v>0</v>
      </c>
      <c r="P6891" s="166"/>
      <c r="Q6891" s="166">
        <f t="shared" si="1881"/>
        <v>0</v>
      </c>
      <c r="R6891" s="71"/>
    </row>
    <row r="6892" spans="1:18" s="61" customFormat="1" x14ac:dyDescent="0.25">
      <c r="A6892" s="358"/>
      <c r="B6892" s="361"/>
      <c r="C6892" s="366"/>
      <c r="D6892" s="254" t="s">
        <v>424</v>
      </c>
      <c r="E6892" s="156" t="s">
        <v>28</v>
      </c>
      <c r="F6892" s="156" t="s">
        <v>28</v>
      </c>
      <c r="G6892" s="157">
        <f t="shared" ref="G6892:G6898" si="1885">MROUND(H6892*L6892*I6892/K6892,0.00000001)</f>
        <v>0</v>
      </c>
      <c r="H6892" s="158"/>
      <c r="I6892" s="159">
        <f>I6881</f>
        <v>3.5477600000000001E-3</v>
      </c>
      <c r="J6892" s="160"/>
      <c r="K6892" s="161">
        <f>K6881</f>
        <v>107</v>
      </c>
      <c r="L6892" s="162">
        <v>1</v>
      </c>
      <c r="M6892" s="163"/>
      <c r="N6892" s="164"/>
      <c r="O6892" s="165">
        <f t="shared" si="1882"/>
        <v>0</v>
      </c>
      <c r="P6892" s="166"/>
      <c r="Q6892" s="166">
        <f t="shared" si="1881"/>
        <v>0</v>
      </c>
      <c r="R6892" s="71"/>
    </row>
    <row r="6893" spans="1:18" s="61" customFormat="1" x14ac:dyDescent="0.25">
      <c r="A6893" s="358"/>
      <c r="B6893" s="361"/>
      <c r="C6893" s="366"/>
      <c r="D6893" s="254" t="s">
        <v>425</v>
      </c>
      <c r="E6893" s="156" t="s">
        <v>28</v>
      </c>
      <c r="F6893" s="156" t="s">
        <v>28</v>
      </c>
      <c r="G6893" s="157">
        <f t="shared" si="1885"/>
        <v>0</v>
      </c>
      <c r="H6893" s="158"/>
      <c r="I6893" s="159">
        <f t="shared" ref="I6893:I6898" si="1886">I6892</f>
        <v>3.5477600000000001E-3</v>
      </c>
      <c r="J6893" s="160"/>
      <c r="K6893" s="161">
        <f t="shared" ref="K6893:K6898" si="1887">K6892</f>
        <v>107</v>
      </c>
      <c r="L6893" s="162">
        <v>1</v>
      </c>
      <c r="M6893" s="163"/>
      <c r="N6893" s="164"/>
      <c r="O6893" s="165">
        <f t="shared" si="1882"/>
        <v>0</v>
      </c>
      <c r="P6893" s="166"/>
      <c r="Q6893" s="166">
        <f t="shared" si="1881"/>
        <v>0</v>
      </c>
      <c r="R6893" s="71"/>
    </row>
    <row r="6894" spans="1:18" s="61" customFormat="1" x14ac:dyDescent="0.25">
      <c r="A6894" s="358"/>
      <c r="B6894" s="361"/>
      <c r="C6894" s="366"/>
      <c r="D6894" s="254" t="s">
        <v>108</v>
      </c>
      <c r="E6894" s="156" t="s">
        <v>28</v>
      </c>
      <c r="F6894" s="156" t="s">
        <v>28</v>
      </c>
      <c r="G6894" s="157">
        <f t="shared" si="1885"/>
        <v>0</v>
      </c>
      <c r="H6894" s="158"/>
      <c r="I6894" s="159">
        <f t="shared" si="1886"/>
        <v>3.5477600000000001E-3</v>
      </c>
      <c r="J6894" s="160"/>
      <c r="K6894" s="161">
        <f t="shared" si="1887"/>
        <v>107</v>
      </c>
      <c r="L6894" s="162">
        <v>1</v>
      </c>
      <c r="M6894" s="163"/>
      <c r="N6894" s="164"/>
      <c r="O6894" s="165">
        <f t="shared" si="1882"/>
        <v>0</v>
      </c>
      <c r="P6894" s="166"/>
      <c r="Q6894" s="166">
        <f t="shared" si="1881"/>
        <v>0</v>
      </c>
      <c r="R6894" s="71"/>
    </row>
    <row r="6895" spans="1:18" s="61" customFormat="1" x14ac:dyDescent="0.25">
      <c r="A6895" s="358"/>
      <c r="B6895" s="361"/>
      <c r="C6895" s="366"/>
      <c r="D6895" s="254" t="s">
        <v>426</v>
      </c>
      <c r="E6895" s="156" t="s">
        <v>28</v>
      </c>
      <c r="F6895" s="156" t="s">
        <v>28</v>
      </c>
      <c r="G6895" s="157">
        <f t="shared" si="1885"/>
        <v>0</v>
      </c>
      <c r="H6895" s="158"/>
      <c r="I6895" s="159">
        <f t="shared" si="1886"/>
        <v>3.5477600000000001E-3</v>
      </c>
      <c r="J6895" s="160"/>
      <c r="K6895" s="161">
        <f t="shared" si="1887"/>
        <v>107</v>
      </c>
      <c r="L6895" s="162">
        <v>1</v>
      </c>
      <c r="M6895" s="163"/>
      <c r="N6895" s="164"/>
      <c r="O6895" s="165">
        <f t="shared" si="1882"/>
        <v>0</v>
      </c>
      <c r="P6895" s="166"/>
      <c r="Q6895" s="166">
        <f t="shared" si="1881"/>
        <v>0</v>
      </c>
      <c r="R6895" s="71"/>
    </row>
    <row r="6896" spans="1:18" s="61" customFormat="1" x14ac:dyDescent="0.25">
      <c r="A6896" s="358"/>
      <c r="B6896" s="361"/>
      <c r="C6896" s="366"/>
      <c r="D6896" s="254" t="s">
        <v>427</v>
      </c>
      <c r="E6896" s="156" t="s">
        <v>28</v>
      </c>
      <c r="F6896" s="156" t="s">
        <v>28</v>
      </c>
      <c r="G6896" s="157">
        <f t="shared" si="1885"/>
        <v>0</v>
      </c>
      <c r="H6896" s="158"/>
      <c r="I6896" s="159">
        <f t="shared" si="1886"/>
        <v>3.5477600000000001E-3</v>
      </c>
      <c r="J6896" s="160"/>
      <c r="K6896" s="161">
        <f t="shared" si="1887"/>
        <v>107</v>
      </c>
      <c r="L6896" s="162">
        <v>1</v>
      </c>
      <c r="M6896" s="163"/>
      <c r="N6896" s="164"/>
      <c r="O6896" s="165">
        <f t="shared" si="1882"/>
        <v>0</v>
      </c>
      <c r="P6896" s="166"/>
      <c r="Q6896" s="166">
        <f t="shared" si="1881"/>
        <v>0</v>
      </c>
      <c r="R6896" s="71"/>
    </row>
    <row r="6897" spans="1:19" s="61" customFormat="1" x14ac:dyDescent="0.25">
      <c r="A6897" s="358"/>
      <c r="B6897" s="361"/>
      <c r="C6897" s="366"/>
      <c r="D6897" s="254" t="s">
        <v>428</v>
      </c>
      <c r="E6897" s="156" t="s">
        <v>28</v>
      </c>
      <c r="F6897" s="156" t="s">
        <v>28</v>
      </c>
      <c r="G6897" s="157">
        <f t="shared" si="1885"/>
        <v>0</v>
      </c>
      <c r="H6897" s="158"/>
      <c r="I6897" s="159">
        <f t="shared" si="1886"/>
        <v>3.5477600000000001E-3</v>
      </c>
      <c r="J6897" s="160"/>
      <c r="K6897" s="161">
        <f t="shared" si="1887"/>
        <v>107</v>
      </c>
      <c r="L6897" s="162">
        <v>1</v>
      </c>
      <c r="M6897" s="163"/>
      <c r="N6897" s="164"/>
      <c r="O6897" s="165">
        <f t="shared" si="1882"/>
        <v>0</v>
      </c>
      <c r="P6897" s="166"/>
      <c r="Q6897" s="166">
        <f t="shared" si="1881"/>
        <v>0</v>
      </c>
      <c r="R6897" s="71"/>
    </row>
    <row r="6898" spans="1:19" s="61" customFormat="1" x14ac:dyDescent="0.25">
      <c r="A6898" s="358"/>
      <c r="B6898" s="361"/>
      <c r="C6898" s="366"/>
      <c r="D6898" s="255" t="s">
        <v>429</v>
      </c>
      <c r="E6898" s="156" t="s">
        <v>28</v>
      </c>
      <c r="F6898" s="156" t="s">
        <v>28</v>
      </c>
      <c r="G6898" s="157">
        <f t="shared" si="1885"/>
        <v>0</v>
      </c>
      <c r="H6898" s="158"/>
      <c r="I6898" s="159">
        <f t="shared" si="1886"/>
        <v>3.5477600000000001E-3</v>
      </c>
      <c r="J6898" s="160"/>
      <c r="K6898" s="161">
        <f t="shared" si="1887"/>
        <v>107</v>
      </c>
      <c r="L6898" s="162">
        <v>1</v>
      </c>
      <c r="M6898" s="163"/>
      <c r="N6898" s="164"/>
      <c r="O6898" s="165">
        <f t="shared" si="1882"/>
        <v>0</v>
      </c>
      <c r="P6898" s="166"/>
      <c r="Q6898" s="166">
        <f t="shared" si="1881"/>
        <v>0</v>
      </c>
      <c r="R6898" s="71"/>
    </row>
    <row r="6899" spans="1:19" s="61" customFormat="1" x14ac:dyDescent="0.25">
      <c r="A6899" s="358"/>
      <c r="B6899" s="361"/>
      <c r="C6899" s="249" t="s">
        <v>299</v>
      </c>
      <c r="D6899" s="256"/>
      <c r="E6899" s="240"/>
      <c r="F6899" s="240"/>
      <c r="G6899" s="251"/>
      <c r="H6899" s="241"/>
      <c r="I6899" s="206"/>
      <c r="J6899" s="228"/>
      <c r="K6899" s="207"/>
      <c r="L6899" s="229"/>
      <c r="M6899" s="209"/>
      <c r="N6899" s="210"/>
      <c r="O6899" s="198">
        <f>SUM(O6875:O6898)</f>
        <v>0</v>
      </c>
      <c r="P6899" s="166"/>
      <c r="Q6899" s="166"/>
      <c r="R6899" s="71"/>
    </row>
    <row r="6900" spans="1:19" s="61" customFormat="1" ht="110.25" x14ac:dyDescent="0.25">
      <c r="A6900" s="358"/>
      <c r="B6900" s="361"/>
      <c r="C6900" s="221" t="s">
        <v>82</v>
      </c>
      <c r="D6900" s="156" t="s">
        <v>46</v>
      </c>
      <c r="E6900" s="156" t="s">
        <v>54</v>
      </c>
      <c r="F6900" s="156" t="s">
        <v>285</v>
      </c>
      <c r="G6900" s="157">
        <f>MROUND(H6900*L6900*I6900/K6900,0.000001)</f>
        <v>0.375002</v>
      </c>
      <c r="H6900" s="243">
        <f>Лист1!C404</f>
        <v>1028.1818077549303</v>
      </c>
      <c r="I6900" s="159">
        <f>I6898</f>
        <v>3.5477600000000001E-3</v>
      </c>
      <c r="J6900" s="160"/>
      <c r="K6900" s="161">
        <f>K6898</f>
        <v>107</v>
      </c>
      <c r="L6900" s="162">
        <v>11</v>
      </c>
      <c r="M6900" s="163" t="str">
        <f>CONCATENATE(H6900," ",F6900,"*",L6900,"автобуса","*",I6900,"/",K6900,"чел.")</f>
        <v>1028,18180775493 л бензина АИ 92 (12,5л/день(зимой)*20дней*7мес+10л/день(летом)*20дней*4мес)*11автобуса*0,00354776/107чел.</v>
      </c>
      <c r="N6900" s="164">
        <f>Лист1!E404</f>
        <v>59.28728000000001</v>
      </c>
      <c r="O6900" s="165">
        <f>MROUND(G6900*N6900,0.000001)</f>
        <v>22.232848999999998</v>
      </c>
      <c r="P6900" s="166"/>
      <c r="Q6900" s="166">
        <f>O6900*K6900</f>
        <v>2378.914843</v>
      </c>
      <c r="R6900" s="71"/>
    </row>
    <row r="6901" spans="1:19" s="61" customFormat="1" x14ac:dyDescent="0.25">
      <c r="A6901" s="358"/>
      <c r="B6901" s="361"/>
      <c r="C6901" s="218" t="s">
        <v>300</v>
      </c>
      <c r="D6901" s="240"/>
      <c r="E6901" s="240"/>
      <c r="F6901" s="240"/>
      <c r="G6901" s="251"/>
      <c r="H6901" s="241"/>
      <c r="I6901" s="206"/>
      <c r="J6901" s="228"/>
      <c r="K6901" s="207"/>
      <c r="L6901" s="229"/>
      <c r="M6901" s="209"/>
      <c r="N6901" s="210"/>
      <c r="O6901" s="198">
        <f>SUM(O6900)</f>
        <v>22.232848999999998</v>
      </c>
      <c r="P6901" s="166"/>
      <c r="Q6901" s="166"/>
      <c r="R6901" s="71"/>
    </row>
    <row r="6902" spans="1:19" s="61" customFormat="1" ht="47.25" x14ac:dyDescent="0.25">
      <c r="A6902" s="358"/>
      <c r="B6902" s="361"/>
      <c r="C6902" s="221" t="s">
        <v>434</v>
      </c>
      <c r="D6902" s="156" t="s">
        <v>436</v>
      </c>
      <c r="E6902" s="156" t="s">
        <v>28</v>
      </c>
      <c r="F6902" s="156" t="s">
        <v>437</v>
      </c>
      <c r="G6902" s="157">
        <f>MROUND(H6902*L6902*I6902/K6902,0.000001)</f>
        <v>9.6150000000000003E-3</v>
      </c>
      <c r="H6902" s="242">
        <f>Лист1!C403</f>
        <v>290</v>
      </c>
      <c r="I6902" s="159">
        <f>I6900</f>
        <v>3.5477600000000001E-3</v>
      </c>
      <c r="J6902" s="160"/>
      <c r="K6902" s="161">
        <f>K6900</f>
        <v>107</v>
      </c>
      <c r="L6902" s="162">
        <v>1</v>
      </c>
      <c r="M6902" s="163" t="str">
        <f>CONCATENATE(H6902," ",F6902,"*",I6902,"/",K6902,"чел.")</f>
        <v>290 огнетушителей (потребность учреждений) *0,00354776/107чел.</v>
      </c>
      <c r="N6902" s="164">
        <f>Лист1!E403</f>
        <v>2000</v>
      </c>
      <c r="O6902" s="165">
        <f>MROUND(G6902*N6902,0.000001)</f>
        <v>19.23</v>
      </c>
      <c r="P6902" s="166"/>
      <c r="Q6902" s="166">
        <f t="shared" ref="Q6902" si="1888">O6902*K6902</f>
        <v>2057.61</v>
      </c>
      <c r="R6902" s="71"/>
    </row>
    <row r="6903" spans="1:19" s="61" customFormat="1" x14ac:dyDescent="0.25">
      <c r="A6903" s="358"/>
      <c r="B6903" s="361"/>
      <c r="C6903" s="218" t="s">
        <v>435</v>
      </c>
      <c r="D6903" s="240"/>
      <c r="E6903" s="240"/>
      <c r="F6903" s="240"/>
      <c r="G6903" s="251"/>
      <c r="H6903" s="241"/>
      <c r="I6903" s="206"/>
      <c r="J6903" s="228"/>
      <c r="K6903" s="207"/>
      <c r="L6903" s="229"/>
      <c r="M6903" s="209"/>
      <c r="N6903" s="210"/>
      <c r="O6903" s="198">
        <f>SUM(O6902)</f>
        <v>19.23</v>
      </c>
      <c r="P6903" s="166"/>
      <c r="Q6903" s="166"/>
      <c r="R6903" s="71"/>
    </row>
    <row r="6904" spans="1:19" s="61" customFormat="1" ht="47.25" x14ac:dyDescent="0.25">
      <c r="A6904" s="358"/>
      <c r="B6904" s="361"/>
      <c r="C6904" s="364" t="s">
        <v>118</v>
      </c>
      <c r="D6904" s="156" t="s">
        <v>47</v>
      </c>
      <c r="E6904" s="156" t="s">
        <v>28</v>
      </c>
      <c r="F6904" s="156" t="s">
        <v>239</v>
      </c>
      <c r="G6904" s="157">
        <f>MROUND(H6904*L6904*I6904/K6904,0.00000001)</f>
        <v>4.6419299999999998E-3</v>
      </c>
      <c r="H6904" s="158">
        <f>Лист1!C406</f>
        <v>140</v>
      </c>
      <c r="I6904" s="159">
        <f>I6900</f>
        <v>3.5477600000000001E-3</v>
      </c>
      <c r="J6904" s="160"/>
      <c r="K6904" s="161">
        <f>K6900</f>
        <v>107</v>
      </c>
      <c r="L6904" s="162">
        <v>1</v>
      </c>
      <c r="M6904" s="163" t="str">
        <f>CONCATENATE(H6904," ",F6904,"*",I6904,"/",K6904,"чел.")</f>
        <v>140 манометров (потребность учреждений) *0,00354776/107чел.</v>
      </c>
      <c r="N6904" s="164">
        <f>Лист1!E406</f>
        <v>770.73500000000035</v>
      </c>
      <c r="O6904" s="165">
        <f>MROUND(G6904*N6904,0.000001)</f>
        <v>3.5776979999999998</v>
      </c>
      <c r="P6904" s="166"/>
      <c r="Q6904" s="166">
        <f t="shared" ref="Q6904:Q6905" si="1889">O6904*K6904</f>
        <v>382.81368599999996</v>
      </c>
      <c r="R6904" s="71"/>
    </row>
    <row r="6905" spans="1:19" s="61" customFormat="1" ht="47.25" x14ac:dyDescent="0.25">
      <c r="A6905" s="358"/>
      <c r="B6905" s="361"/>
      <c r="C6905" s="364"/>
      <c r="D6905" s="255" t="s">
        <v>113</v>
      </c>
      <c r="E6905" s="156" t="s">
        <v>28</v>
      </c>
      <c r="F6905" s="156" t="s">
        <v>240</v>
      </c>
      <c r="G6905" s="157">
        <f>MROUND(H6905*L6905*I6905/K6905,0.00000001)</f>
        <v>0.18949017000000001</v>
      </c>
      <c r="H6905" s="158">
        <f>Лист1!C407</f>
        <v>5715</v>
      </c>
      <c r="I6905" s="159">
        <f>I6904</f>
        <v>3.5477600000000001E-3</v>
      </c>
      <c r="J6905" s="160"/>
      <c r="K6905" s="161">
        <f>K6904</f>
        <v>107</v>
      </c>
      <c r="L6905" s="162">
        <v>1</v>
      </c>
      <c r="M6905" s="163" t="str">
        <f>CONCATENATE(H6905," ",F6905,"*",I6905,"/",K6905,"чел.")</f>
        <v>5715 светильников (потребность учреждений)*0,00354776/107чел.</v>
      </c>
      <c r="N6905" s="164">
        <f>Лист1!E407</f>
        <v>115.61019597550306</v>
      </c>
      <c r="O6905" s="165">
        <f>MROUND(G6905*N6905,0.000001)</f>
        <v>21.906995999999999</v>
      </c>
      <c r="P6905" s="166"/>
      <c r="Q6905" s="166">
        <f t="shared" si="1889"/>
        <v>2344.0485720000001</v>
      </c>
      <c r="R6905" s="71"/>
    </row>
    <row r="6906" spans="1:19" s="61" customFormat="1" x14ac:dyDescent="0.25">
      <c r="A6906" s="359"/>
      <c r="B6906" s="362"/>
      <c r="C6906" s="218" t="s">
        <v>301</v>
      </c>
      <c r="D6906" s="256"/>
      <c r="E6906" s="240"/>
      <c r="F6906" s="240"/>
      <c r="G6906" s="227"/>
      <c r="H6906" s="241"/>
      <c r="I6906" s="206"/>
      <c r="J6906" s="228"/>
      <c r="K6906" s="207"/>
      <c r="L6906" s="257"/>
      <c r="M6906" s="209"/>
      <c r="N6906" s="210"/>
      <c r="O6906" s="198">
        <f>SUM(O6904:O6905)</f>
        <v>25.484693999999998</v>
      </c>
      <c r="P6906" s="166"/>
      <c r="Q6906" s="166"/>
      <c r="R6906" s="71"/>
    </row>
    <row r="6907" spans="1:19" s="61" customFormat="1" x14ac:dyDescent="0.25">
      <c r="A6907" s="357" t="str">
        <f>CONCATENATE(школы!$B$7,", ",школы!$C$7,", ",школы!$D$7)</f>
        <v>Реализация основных общеобразовательных программ начального общего образования, адаптированная образовательная программа, обучающиеся с ограниченными возможностями здоровья (ОВЗ)</v>
      </c>
      <c r="B6907" s="360" t="str">
        <f>школы!$A$7</f>
        <v>801012О.99.0.БА81АА00001</v>
      </c>
      <c r="C6907" s="194"/>
      <c r="D6907" s="363" t="s">
        <v>15</v>
      </c>
      <c r="E6907" s="363"/>
      <c r="F6907" s="363"/>
      <c r="G6907" s="363"/>
      <c r="H6907" s="195"/>
      <c r="I6907" s="195"/>
      <c r="J6907" s="195"/>
      <c r="K6907" s="195"/>
      <c r="L6907" s="196"/>
      <c r="M6907" s="197"/>
      <c r="N6907" s="164"/>
      <c r="O6907" s="198">
        <f>O6908+O6913+O6915</f>
        <v>6152.3001572960002</v>
      </c>
      <c r="P6907" s="166"/>
      <c r="Q6907" s="166"/>
      <c r="R6907" s="71"/>
    </row>
    <row r="6908" spans="1:19" s="61" customFormat="1" x14ac:dyDescent="0.25">
      <c r="A6908" s="358"/>
      <c r="B6908" s="361"/>
      <c r="C6908" s="194"/>
      <c r="D6908" s="350" t="s">
        <v>62</v>
      </c>
      <c r="E6908" s="350"/>
      <c r="F6908" s="350"/>
      <c r="G6908" s="350"/>
      <c r="H6908" s="195"/>
      <c r="I6908" s="195"/>
      <c r="J6908" s="195"/>
      <c r="K6908" s="195"/>
      <c r="L6908" s="196"/>
      <c r="M6908" s="197"/>
      <c r="N6908" s="164"/>
      <c r="O6908" s="165">
        <f>O6910+O6912</f>
        <v>6152.3001572960002</v>
      </c>
      <c r="P6908" s="166"/>
      <c r="Q6908" s="166"/>
      <c r="R6908" s="71"/>
      <c r="S6908" s="121"/>
    </row>
    <row r="6909" spans="1:19" s="61" customFormat="1" x14ac:dyDescent="0.25">
      <c r="A6909" s="358"/>
      <c r="B6909" s="361"/>
      <c r="C6909" s="194">
        <v>211</v>
      </c>
      <c r="D6909" s="194" t="s">
        <v>86</v>
      </c>
      <c r="E6909" s="199" t="s">
        <v>95</v>
      </c>
      <c r="F6909" s="199" t="s">
        <v>95</v>
      </c>
      <c r="G6909" s="258">
        <f>MROUND(H6909*L6909*I6909/K6909,0.0000000001)</f>
        <v>0.3667656037</v>
      </c>
      <c r="H6909" s="201">
        <f>H6789</f>
        <v>921.8</v>
      </c>
      <c r="I6909" s="159">
        <f>школы!$K$7</f>
        <v>1.356107E-2</v>
      </c>
      <c r="J6909" s="159"/>
      <c r="K6909" s="161">
        <f>школы!$G$7</f>
        <v>409</v>
      </c>
      <c r="L6909" s="202">
        <v>12</v>
      </c>
      <c r="M6909" s="163" t="str">
        <f>CONCATENATE(H6909," ",F6909," ","в мес.","*",L6909,"мес.","*",I6909,"/",K6909,"чел.")</f>
        <v>921,8 шт.ед в мес.*12мес.*0,01356107/409чел.</v>
      </c>
      <c r="N6909" s="164">
        <f>N6789</f>
        <v>12883.620739314385</v>
      </c>
      <c r="O6909" s="165">
        <f>MROUND(G6909*N6909,0.000000001)</f>
        <v>4725.2689382960007</v>
      </c>
      <c r="P6909" s="166"/>
      <c r="Q6909" s="166">
        <f t="shared" ref="Q6909" si="1890">O6909*K6909</f>
        <v>1932634.9957630644</v>
      </c>
      <c r="R6909" s="71"/>
    </row>
    <row r="6910" spans="1:19" s="61" customFormat="1" x14ac:dyDescent="0.25">
      <c r="A6910" s="358"/>
      <c r="B6910" s="361"/>
      <c r="C6910" s="203" t="s">
        <v>288</v>
      </c>
      <c r="D6910" s="203"/>
      <c r="E6910" s="204"/>
      <c r="F6910" s="204"/>
      <c r="G6910" s="259"/>
      <c r="H6910" s="206"/>
      <c r="I6910" s="206"/>
      <c r="J6910" s="206"/>
      <c r="K6910" s="207"/>
      <c r="L6910" s="208"/>
      <c r="M6910" s="209"/>
      <c r="N6910" s="210">
        <f>N6909</f>
        <v>12883.620739314385</v>
      </c>
      <c r="O6910" s="198">
        <f>O6909</f>
        <v>4725.2689382960007</v>
      </c>
      <c r="P6910" s="166"/>
      <c r="Q6910" s="166"/>
      <c r="R6910" s="71"/>
    </row>
    <row r="6911" spans="1:19" s="61" customFormat="1" x14ac:dyDescent="0.25">
      <c r="A6911" s="358"/>
      <c r="B6911" s="361"/>
      <c r="C6911" s="194">
        <v>213</v>
      </c>
      <c r="D6911" s="194" t="s">
        <v>87</v>
      </c>
      <c r="E6911" s="194" t="s">
        <v>88</v>
      </c>
      <c r="F6911" s="194"/>
      <c r="G6911" s="260">
        <v>30.2</v>
      </c>
      <c r="H6911" s="159"/>
      <c r="I6911" s="159"/>
      <c r="J6911" s="159"/>
      <c r="K6911" s="161">
        <f>K6909</f>
        <v>409</v>
      </c>
      <c r="L6911" s="202"/>
      <c r="M6911" s="212"/>
      <c r="N6911" s="164"/>
      <c r="O6911" s="165">
        <f>MROUND(O6909*0.302,0.000001)</f>
        <v>1427.031219</v>
      </c>
      <c r="P6911" s="166"/>
      <c r="Q6911" s="166">
        <f>O6911*K6911</f>
        <v>583655.76857099996</v>
      </c>
      <c r="R6911" s="71"/>
    </row>
    <row r="6912" spans="1:19" s="61" customFormat="1" x14ac:dyDescent="0.25">
      <c r="A6912" s="358"/>
      <c r="B6912" s="361"/>
      <c r="C6912" s="261" t="s">
        <v>289</v>
      </c>
      <c r="D6912" s="261"/>
      <c r="E6912" s="261"/>
      <c r="F6912" s="261"/>
      <c r="G6912" s="227"/>
      <c r="H6912" s="262"/>
      <c r="I6912" s="262"/>
      <c r="J6912" s="262"/>
      <c r="K6912" s="263"/>
      <c r="L6912" s="264"/>
      <c r="M6912" s="265"/>
      <c r="N6912" s="210"/>
      <c r="O6912" s="198">
        <f>O6911</f>
        <v>1427.031219</v>
      </c>
      <c r="P6912" s="166"/>
      <c r="Q6912" s="166"/>
      <c r="R6912" s="71"/>
    </row>
    <row r="6913" spans="1:18" s="61" customFormat="1" x14ac:dyDescent="0.25">
      <c r="A6913" s="358"/>
      <c r="B6913" s="361"/>
      <c r="C6913" s="194"/>
      <c r="D6913" s="356" t="s">
        <v>63</v>
      </c>
      <c r="E6913" s="356"/>
      <c r="F6913" s="356"/>
      <c r="G6913" s="356"/>
      <c r="H6913" s="195"/>
      <c r="I6913" s="159"/>
      <c r="J6913" s="195"/>
      <c r="K6913" s="161"/>
      <c r="L6913" s="196"/>
      <c r="M6913" s="197"/>
      <c r="N6913" s="164"/>
      <c r="O6913" s="165"/>
      <c r="P6913" s="166"/>
      <c r="Q6913" s="166"/>
      <c r="R6913" s="71"/>
    </row>
    <row r="6914" spans="1:18" s="61" customFormat="1" x14ac:dyDescent="0.25">
      <c r="A6914" s="358"/>
      <c r="B6914" s="361"/>
      <c r="C6914" s="194"/>
      <c r="D6914" s="194"/>
      <c r="E6914" s="194"/>
      <c r="F6914" s="194"/>
      <c r="G6914" s="217"/>
      <c r="H6914" s="195"/>
      <c r="I6914" s="159"/>
      <c r="J6914" s="195"/>
      <c r="K6914" s="161"/>
      <c r="L6914" s="196"/>
      <c r="M6914" s="197"/>
      <c r="N6914" s="164"/>
      <c r="O6914" s="165"/>
      <c r="P6914" s="166"/>
      <c r="Q6914" s="166"/>
      <c r="R6914" s="71"/>
    </row>
    <row r="6915" spans="1:18" s="61" customFormat="1" x14ac:dyDescent="0.25">
      <c r="A6915" s="358"/>
      <c r="B6915" s="361"/>
      <c r="C6915" s="194"/>
      <c r="D6915" s="350" t="s">
        <v>64</v>
      </c>
      <c r="E6915" s="350"/>
      <c r="F6915" s="350"/>
      <c r="G6915" s="350"/>
      <c r="H6915" s="195"/>
      <c r="I6915" s="159"/>
      <c r="J6915" s="195"/>
      <c r="K6915" s="161"/>
      <c r="L6915" s="196"/>
      <c r="M6915" s="197"/>
      <c r="N6915" s="164"/>
      <c r="O6915" s="165"/>
      <c r="P6915" s="166"/>
      <c r="Q6915" s="166"/>
      <c r="R6915" s="71"/>
    </row>
    <row r="6916" spans="1:18" s="61" customFormat="1" x14ac:dyDescent="0.25">
      <c r="A6916" s="358"/>
      <c r="B6916" s="361"/>
      <c r="C6916" s="194"/>
      <c r="D6916" s="194"/>
      <c r="E6916" s="194"/>
      <c r="F6916" s="194"/>
      <c r="G6916" s="217"/>
      <c r="H6916" s="195"/>
      <c r="I6916" s="159"/>
      <c r="J6916" s="195"/>
      <c r="K6916" s="161"/>
      <c r="L6916" s="196"/>
      <c r="M6916" s="197"/>
      <c r="N6916" s="164"/>
      <c r="O6916" s="165"/>
      <c r="P6916" s="166"/>
      <c r="Q6916" s="166"/>
      <c r="R6916" s="71"/>
    </row>
    <row r="6917" spans="1:18" s="61" customFormat="1" x14ac:dyDescent="0.25">
      <c r="A6917" s="358"/>
      <c r="B6917" s="361"/>
      <c r="C6917" s="194"/>
      <c r="D6917" s="355" t="s">
        <v>5</v>
      </c>
      <c r="E6917" s="355"/>
      <c r="F6917" s="355"/>
      <c r="G6917" s="355"/>
      <c r="H6917" s="195"/>
      <c r="I6917" s="159"/>
      <c r="J6917" s="195"/>
      <c r="K6917" s="161"/>
      <c r="L6917" s="196"/>
      <c r="M6917" s="197"/>
      <c r="N6917" s="164"/>
      <c r="O6917" s="198">
        <f>O6918+O6928+O6939+O6941+O6943+O6945+O6947</f>
        <v>10324.64157783562</v>
      </c>
      <c r="P6917" s="166"/>
      <c r="Q6917" s="166"/>
      <c r="R6917" s="71"/>
    </row>
    <row r="6918" spans="1:18" s="61" customFormat="1" x14ac:dyDescent="0.25">
      <c r="A6918" s="358"/>
      <c r="B6918" s="361"/>
      <c r="C6918" s="218" t="s">
        <v>70</v>
      </c>
      <c r="D6918" s="355" t="s">
        <v>6</v>
      </c>
      <c r="E6918" s="355"/>
      <c r="F6918" s="355"/>
      <c r="G6918" s="355"/>
      <c r="H6918" s="219"/>
      <c r="I6918" s="206"/>
      <c r="J6918" s="219"/>
      <c r="K6918" s="207"/>
      <c r="L6918" s="220"/>
      <c r="M6918" s="216"/>
      <c r="N6918" s="210"/>
      <c r="O6918" s="198">
        <f>O6927</f>
        <v>6239.9612455100005</v>
      </c>
      <c r="P6918" s="166"/>
      <c r="Q6918" s="166"/>
      <c r="R6918" s="71"/>
    </row>
    <row r="6919" spans="1:18" s="61" customFormat="1" ht="31.5" x14ac:dyDescent="0.25">
      <c r="A6919" s="358"/>
      <c r="B6919" s="361"/>
      <c r="C6919" s="221" t="s">
        <v>72</v>
      </c>
      <c r="D6919" s="222" t="s">
        <v>7</v>
      </c>
      <c r="E6919" s="223" t="s">
        <v>8</v>
      </c>
      <c r="F6919" s="223" t="s">
        <v>8</v>
      </c>
      <c r="G6919" s="266">
        <f>MROUND(H6919*L6919*I6919/K6919,0.00000000001)</f>
        <v>109.85200875880999</v>
      </c>
      <c r="H6919" s="160">
        <f t="shared" ref="H6919:H6926" si="1891">H6799</f>
        <v>3313121.4264326878</v>
      </c>
      <c r="I6919" s="159">
        <f>I6909</f>
        <v>1.356107E-2</v>
      </c>
      <c r="J6919" s="160"/>
      <c r="K6919" s="161">
        <f>K6909</f>
        <v>409</v>
      </c>
      <c r="L6919" s="250">
        <v>1</v>
      </c>
      <c r="M6919" s="163" t="str">
        <f t="shared" ref="M6919:M6924" si="1892">CONCATENATE(H6919," ",F6919,"(лимиты выделенные УЖКХ) ","*",I6919,"/",K6919,"чел.")</f>
        <v>3313121,42643269 кВт час.(лимиты выделенные УЖКХ) *0,01356107/409чел.</v>
      </c>
      <c r="N6919" s="164">
        <f t="shared" ref="N6919:N6926" si="1893">N6799</f>
        <v>11.333602475424668</v>
      </c>
      <c r="O6919" s="165">
        <f t="shared" ref="O6919:O6922" si="1894">MROUND(G6919*N6919,0.000001)</f>
        <v>1245.018998</v>
      </c>
      <c r="P6919" s="166"/>
      <c r="Q6919" s="166">
        <f t="shared" ref="Q6919:Q6926" si="1895">O6919*K6919</f>
        <v>509212.77018200001</v>
      </c>
      <c r="R6919" s="71"/>
    </row>
    <row r="6920" spans="1:18" s="61" customFormat="1" ht="31.5" x14ac:dyDescent="0.25">
      <c r="A6920" s="358"/>
      <c r="B6920" s="361"/>
      <c r="C6920" s="221" t="s">
        <v>73</v>
      </c>
      <c r="D6920" s="222" t="s">
        <v>9</v>
      </c>
      <c r="E6920" s="223" t="s">
        <v>10</v>
      </c>
      <c r="F6920" s="223" t="s">
        <v>10</v>
      </c>
      <c r="G6920" s="266">
        <f t="shared" ref="G6920:G6926" si="1896">MROUND(H6920*L6920*I6920/K6920,0.00000000001)</f>
        <v>1.0576106078399998</v>
      </c>
      <c r="H6920" s="160">
        <f t="shared" si="1891"/>
        <v>31897.39</v>
      </c>
      <c r="I6920" s="159">
        <f t="shared" ref="I6920:I6926" si="1897">I6919</f>
        <v>1.356107E-2</v>
      </c>
      <c r="J6920" s="160"/>
      <c r="K6920" s="161">
        <f t="shared" ref="K6920:K6924" si="1898">K6919</f>
        <v>409</v>
      </c>
      <c r="L6920" s="250">
        <v>1</v>
      </c>
      <c r="M6920" s="163" t="str">
        <f t="shared" si="1892"/>
        <v>31897,39 Гкал(лимиты выделенные УЖКХ) *0,01356107/409чел.</v>
      </c>
      <c r="N6920" s="164">
        <f t="shared" si="1893"/>
        <v>3095.3018623153812</v>
      </c>
      <c r="O6920" s="165">
        <f t="shared" si="1894"/>
        <v>3273.624084</v>
      </c>
      <c r="P6920" s="166"/>
      <c r="Q6920" s="166">
        <f t="shared" si="1895"/>
        <v>1338912.2503559999</v>
      </c>
      <c r="R6920" s="71"/>
    </row>
    <row r="6921" spans="1:18" s="61" customFormat="1" ht="31.5" x14ac:dyDescent="0.25">
      <c r="A6921" s="358"/>
      <c r="B6921" s="361"/>
      <c r="C6921" s="364" t="s">
        <v>74</v>
      </c>
      <c r="D6921" s="222" t="s">
        <v>12</v>
      </c>
      <c r="E6921" s="222" t="s">
        <v>11</v>
      </c>
      <c r="F6921" s="222" t="s">
        <v>11</v>
      </c>
      <c r="G6921" s="266">
        <f t="shared" si="1896"/>
        <v>6.1248678756299997</v>
      </c>
      <c r="H6921" s="224">
        <f t="shared" si="1891"/>
        <v>184725.17</v>
      </c>
      <c r="I6921" s="159">
        <f t="shared" si="1897"/>
        <v>1.356107E-2</v>
      </c>
      <c r="J6921" s="160"/>
      <c r="K6921" s="161">
        <f t="shared" si="1898"/>
        <v>409</v>
      </c>
      <c r="L6921" s="250">
        <v>1</v>
      </c>
      <c r="M6921" s="163" t="str">
        <f t="shared" si="1892"/>
        <v>184725,17 м3(лимиты выделенные УЖКХ) *0,01356107/409чел.</v>
      </c>
      <c r="N6921" s="164">
        <f t="shared" si="1893"/>
        <v>56.382747245543193</v>
      </c>
      <c r="O6921" s="165">
        <f t="shared" si="1894"/>
        <v>345.33687699999996</v>
      </c>
      <c r="P6921" s="166"/>
      <c r="Q6921" s="166">
        <f t="shared" si="1895"/>
        <v>141242.78269299999</v>
      </c>
      <c r="R6921" s="71"/>
    </row>
    <row r="6922" spans="1:18" s="61" customFormat="1" ht="47.25" x14ac:dyDescent="0.25">
      <c r="A6922" s="358"/>
      <c r="B6922" s="361"/>
      <c r="C6922" s="364"/>
      <c r="D6922" s="222" t="s">
        <v>17</v>
      </c>
      <c r="E6922" s="222" t="s">
        <v>11</v>
      </c>
      <c r="F6922" s="222" t="s">
        <v>11</v>
      </c>
      <c r="G6922" s="266">
        <f t="shared" si="1896"/>
        <v>6.1248678756299997</v>
      </c>
      <c r="H6922" s="160">
        <f t="shared" si="1891"/>
        <v>184725.17</v>
      </c>
      <c r="I6922" s="159">
        <f t="shared" si="1897"/>
        <v>1.356107E-2</v>
      </c>
      <c r="J6922" s="160"/>
      <c r="K6922" s="161">
        <f t="shared" si="1898"/>
        <v>409</v>
      </c>
      <c r="L6922" s="162">
        <f>$L$6802</f>
        <v>1</v>
      </c>
      <c r="M6922" s="163" t="str">
        <f t="shared" si="1892"/>
        <v>184725,17 м3(лимиты выделенные УЖКХ) *0,01356107/409чел.</v>
      </c>
      <c r="N6922" s="164">
        <f t="shared" si="1893"/>
        <v>85.679537612054773</v>
      </c>
      <c r="O6922" s="165">
        <f t="shared" si="1894"/>
        <v>524.775848</v>
      </c>
      <c r="P6922" s="166"/>
      <c r="Q6922" s="166">
        <f t="shared" si="1895"/>
        <v>214633.32183199999</v>
      </c>
      <c r="R6922" s="71"/>
    </row>
    <row r="6923" spans="1:18" s="61" customFormat="1" ht="31.5" x14ac:dyDescent="0.25">
      <c r="A6923" s="358"/>
      <c r="B6923" s="361"/>
      <c r="C6923" s="364"/>
      <c r="D6923" s="222" t="s">
        <v>13</v>
      </c>
      <c r="E6923" s="222" t="s">
        <v>11</v>
      </c>
      <c r="F6923" s="222" t="s">
        <v>11</v>
      </c>
      <c r="G6923" s="266">
        <f t="shared" si="1896"/>
        <v>6.1248678756299997</v>
      </c>
      <c r="H6923" s="160">
        <f t="shared" si="1891"/>
        <v>184725.17</v>
      </c>
      <c r="I6923" s="159">
        <f t="shared" si="1897"/>
        <v>1.356107E-2</v>
      </c>
      <c r="J6923" s="160"/>
      <c r="K6923" s="161">
        <f t="shared" si="1898"/>
        <v>409</v>
      </c>
      <c r="L6923" s="225">
        <v>1</v>
      </c>
      <c r="M6923" s="163" t="str">
        <f t="shared" si="1892"/>
        <v>184725,17 м3(лимиты выделенные УЖКХ) *0,01356107/409чел.</v>
      </c>
      <c r="N6923" s="164">
        <f t="shared" si="1893"/>
        <v>116.85554734686012</v>
      </c>
      <c r="O6923" s="165">
        <f>MROUND(G6923*N6923,0.00000001)</f>
        <v>715.72478803000001</v>
      </c>
      <c r="P6923" s="166"/>
      <c r="Q6923" s="166">
        <f t="shared" si="1895"/>
        <v>292731.43830426998</v>
      </c>
      <c r="R6923" s="71"/>
    </row>
    <row r="6924" spans="1:18" s="61" customFormat="1" ht="31.5" x14ac:dyDescent="0.25">
      <c r="A6924" s="358"/>
      <c r="B6924" s="361"/>
      <c r="C6924" s="221" t="s">
        <v>75</v>
      </c>
      <c r="D6924" s="222" t="s">
        <v>18</v>
      </c>
      <c r="E6924" s="222" t="s">
        <v>48</v>
      </c>
      <c r="F6924" s="222" t="s">
        <v>48</v>
      </c>
      <c r="G6924" s="266">
        <f t="shared" si="1896"/>
        <v>0.46046629762999997</v>
      </c>
      <c r="H6924" s="160">
        <f t="shared" si="1891"/>
        <v>13887.6</v>
      </c>
      <c r="I6924" s="159">
        <f t="shared" si="1897"/>
        <v>1.356107E-2</v>
      </c>
      <c r="J6924" s="160"/>
      <c r="K6924" s="161">
        <f t="shared" si="1898"/>
        <v>409</v>
      </c>
      <c r="L6924" s="250">
        <v>1</v>
      </c>
      <c r="M6924" s="163" t="str">
        <f t="shared" si="1892"/>
        <v>13887,6 тыс. м3(лимиты выделенные УЖКХ) *0,01356107/409чел.</v>
      </c>
      <c r="N6924" s="164">
        <f t="shared" si="1893"/>
        <v>31.799284973645559</v>
      </c>
      <c r="O6924" s="165">
        <f t="shared" ref="O6924" si="1899">MROUND(G6924*N6924,0.000001)</f>
        <v>14.642498999999999</v>
      </c>
      <c r="P6924" s="166"/>
      <c r="Q6924" s="166">
        <f t="shared" si="1895"/>
        <v>5988.782091</v>
      </c>
      <c r="R6924" s="71"/>
    </row>
    <row r="6925" spans="1:18" s="61" customFormat="1" x14ac:dyDescent="0.25">
      <c r="A6925" s="358"/>
      <c r="B6925" s="361"/>
      <c r="C6925" s="364" t="s">
        <v>216</v>
      </c>
      <c r="D6925" s="222" t="s">
        <v>23</v>
      </c>
      <c r="E6925" s="222" t="s">
        <v>11</v>
      </c>
      <c r="F6925" s="222" t="s">
        <v>11</v>
      </c>
      <c r="G6925" s="266">
        <f t="shared" si="1896"/>
        <v>0.11169281868999999</v>
      </c>
      <c r="H6925" s="160">
        <f t="shared" si="1891"/>
        <v>3368.6400000000003</v>
      </c>
      <c r="I6925" s="159">
        <f t="shared" si="1897"/>
        <v>1.356107E-2</v>
      </c>
      <c r="J6925" s="160"/>
      <c r="K6925" s="161">
        <f t="shared" ref="K6925:L6925" si="1900">K6924</f>
        <v>409</v>
      </c>
      <c r="L6925" s="162">
        <f t="shared" si="1900"/>
        <v>1</v>
      </c>
      <c r="M6925" s="163" t="str">
        <f>CONCATENATE(H6925," ",F6925," ","*",I6925,"/",K6925,"чел.")</f>
        <v>3368,64 м3 *0,01356107/409чел.</v>
      </c>
      <c r="N6925" s="164">
        <f t="shared" si="1893"/>
        <v>807.40973805452643</v>
      </c>
      <c r="O6925" s="165">
        <f>MROUND(G6925*N6925,0.00000001)</f>
        <v>90.181869480000003</v>
      </c>
      <c r="P6925" s="166"/>
      <c r="Q6925" s="166">
        <f t="shared" si="1895"/>
        <v>36884.38461732</v>
      </c>
      <c r="R6925" s="71"/>
    </row>
    <row r="6926" spans="1:18" s="61" customFormat="1" ht="47.25" x14ac:dyDescent="0.25">
      <c r="A6926" s="358"/>
      <c r="B6926" s="361"/>
      <c r="C6926" s="364"/>
      <c r="D6926" s="222" t="s">
        <v>24</v>
      </c>
      <c r="E6926" s="222" t="s">
        <v>25</v>
      </c>
      <c r="F6926" s="222" t="s">
        <v>217</v>
      </c>
      <c r="G6926" s="266">
        <f t="shared" si="1896"/>
        <v>4.8740275999999997E-3</v>
      </c>
      <c r="H6926" s="160">
        <f t="shared" si="1891"/>
        <v>147</v>
      </c>
      <c r="I6926" s="159">
        <f t="shared" si="1897"/>
        <v>1.356107E-2</v>
      </c>
      <c r="J6926" s="160"/>
      <c r="K6926" s="161">
        <f t="shared" ref="K6926:L6926" si="1901">K6925</f>
        <v>409</v>
      </c>
      <c r="L6926" s="250">
        <f t="shared" si="1901"/>
        <v>1</v>
      </c>
      <c r="M6926" s="163" t="str">
        <f>CONCATENATE(H6926," ",F6926,"(потребность из расчета 4 контейнера для уборки территории весной и осенью на 1 учреждение)","*",I6926,"/",K6926,"чел.")</f>
        <v>147 контейнера(потребность из расчета 4 контейнера для уборки территории весной и осенью на 1 учреждение)*0,01356107/409чел.</v>
      </c>
      <c r="N6926" s="164">
        <f t="shared" si="1893"/>
        <v>6289.7226530612279</v>
      </c>
      <c r="O6926" s="165">
        <f t="shared" ref="O6926" si="1902">MROUND(G6926*N6926,0.000001)</f>
        <v>30.656281999999997</v>
      </c>
      <c r="P6926" s="166"/>
      <c r="Q6926" s="166">
        <f t="shared" si="1895"/>
        <v>12538.419338</v>
      </c>
      <c r="R6926" s="71"/>
    </row>
    <row r="6927" spans="1:18" s="61" customFormat="1" x14ac:dyDescent="0.25">
      <c r="A6927" s="358"/>
      <c r="B6927" s="361"/>
      <c r="C6927" s="218" t="s">
        <v>290</v>
      </c>
      <c r="D6927" s="226"/>
      <c r="E6927" s="226"/>
      <c r="F6927" s="226"/>
      <c r="G6927" s="227"/>
      <c r="H6927" s="228"/>
      <c r="I6927" s="206"/>
      <c r="J6927" s="228"/>
      <c r="K6927" s="207"/>
      <c r="L6927" s="257"/>
      <c r="M6927" s="209"/>
      <c r="N6927" s="210"/>
      <c r="O6927" s="198">
        <f>SUM(O6919:O6926)</f>
        <v>6239.9612455100005</v>
      </c>
      <c r="P6927" s="166"/>
      <c r="Q6927" s="166"/>
      <c r="R6927" s="71"/>
    </row>
    <row r="6928" spans="1:18" s="61" customFormat="1" x14ac:dyDescent="0.25">
      <c r="A6928" s="358"/>
      <c r="B6928" s="361"/>
      <c r="C6928" s="221"/>
      <c r="D6928" s="356" t="s">
        <v>14</v>
      </c>
      <c r="E6928" s="356"/>
      <c r="F6928" s="356"/>
      <c r="G6928" s="356"/>
      <c r="H6928" s="188"/>
      <c r="I6928" s="159"/>
      <c r="J6928" s="188"/>
      <c r="K6928" s="161"/>
      <c r="L6928" s="250"/>
      <c r="M6928" s="230"/>
      <c r="N6928" s="164"/>
      <c r="O6928" s="198">
        <f>O6936+O6937+O6932</f>
        <v>3316.0164960956199</v>
      </c>
      <c r="P6928" s="166"/>
      <c r="Q6928" s="166"/>
      <c r="R6928" s="71"/>
    </row>
    <row r="6929" spans="1:18" s="61" customFormat="1" x14ac:dyDescent="0.25">
      <c r="A6929" s="358"/>
      <c r="B6929" s="361"/>
      <c r="C6929" s="221" t="s">
        <v>379</v>
      </c>
      <c r="D6929" s="231" t="s">
        <v>49</v>
      </c>
      <c r="E6929" s="231" t="s">
        <v>22</v>
      </c>
      <c r="F6929" s="231" t="s">
        <v>22</v>
      </c>
      <c r="G6929" s="157"/>
      <c r="H6929" s="160"/>
      <c r="I6929" s="159">
        <f>I6924</f>
        <v>1.356107E-2</v>
      </c>
      <c r="J6929" s="160"/>
      <c r="K6929" s="161">
        <f>K6924</f>
        <v>409</v>
      </c>
      <c r="L6929" s="250"/>
      <c r="M6929" s="163"/>
      <c r="N6929" s="164"/>
      <c r="O6929" s="165">
        <f>MROUND(G6929*N6929,0.00000001)</f>
        <v>0</v>
      </c>
      <c r="P6929" s="166"/>
      <c r="Q6929" s="166">
        <f t="shared" ref="Q6929:Q6931" si="1903">O6929*K6929</f>
        <v>0</v>
      </c>
      <c r="R6929" s="71"/>
    </row>
    <row r="6930" spans="1:18" s="61" customFormat="1" x14ac:dyDescent="0.25">
      <c r="A6930" s="358"/>
      <c r="B6930" s="361"/>
      <c r="C6930" s="221" t="s">
        <v>379</v>
      </c>
      <c r="D6930" s="231" t="s">
        <v>49</v>
      </c>
      <c r="E6930" s="231" t="s">
        <v>28</v>
      </c>
      <c r="F6930" s="231" t="s">
        <v>28</v>
      </c>
      <c r="G6930" s="157">
        <f>MROUND(H6930*L6930*I6930/K6930,0.00000000000001)</f>
        <v>0</v>
      </c>
      <c r="H6930" s="160"/>
      <c r="I6930" s="159">
        <f>I6929</f>
        <v>1.356107E-2</v>
      </c>
      <c r="J6930" s="160"/>
      <c r="K6930" s="161">
        <f>K6929</f>
        <v>409</v>
      </c>
      <c r="L6930" s="250">
        <v>1</v>
      </c>
      <c r="M6930" s="163"/>
      <c r="N6930" s="164"/>
      <c r="O6930" s="165">
        <f>MROUND(G6930*N6930,0.00000001)</f>
        <v>0</v>
      </c>
      <c r="P6930" s="166"/>
      <c r="Q6930" s="166">
        <f t="shared" si="1903"/>
        <v>0</v>
      </c>
      <c r="R6930" s="71"/>
    </row>
    <row r="6931" spans="1:18" s="61" customFormat="1" x14ac:dyDescent="0.25">
      <c r="A6931" s="358"/>
      <c r="B6931" s="361"/>
      <c r="C6931" s="221" t="s">
        <v>379</v>
      </c>
      <c r="D6931" s="231" t="s">
        <v>49</v>
      </c>
      <c r="E6931" s="231" t="s">
        <v>101</v>
      </c>
      <c r="F6931" s="231" t="s">
        <v>101</v>
      </c>
      <c r="G6931" s="157"/>
      <c r="H6931" s="160"/>
      <c r="I6931" s="159">
        <f>I6930</f>
        <v>1.356107E-2</v>
      </c>
      <c r="J6931" s="160"/>
      <c r="K6931" s="161">
        <f>K6930</f>
        <v>409</v>
      </c>
      <c r="L6931" s="250"/>
      <c r="M6931" s="163"/>
      <c r="N6931" s="164"/>
      <c r="O6931" s="165">
        <f>MROUND(G6931*N6931,0.00000001)</f>
        <v>0</v>
      </c>
      <c r="P6931" s="166"/>
      <c r="Q6931" s="166">
        <f t="shared" si="1903"/>
        <v>0</v>
      </c>
      <c r="R6931" s="71"/>
    </row>
    <row r="6932" spans="1:18" s="61" customFormat="1" x14ac:dyDescent="0.25">
      <c r="A6932" s="358"/>
      <c r="B6932" s="361"/>
      <c r="C6932" s="218" t="s">
        <v>381</v>
      </c>
      <c r="D6932" s="232"/>
      <c r="E6932" s="232"/>
      <c r="F6932" s="232"/>
      <c r="G6932" s="227"/>
      <c r="H6932" s="228"/>
      <c r="I6932" s="206"/>
      <c r="J6932" s="228"/>
      <c r="K6932" s="207"/>
      <c r="L6932" s="257"/>
      <c r="M6932" s="209"/>
      <c r="N6932" s="210"/>
      <c r="O6932" s="198">
        <f>SUM(O6929:O6931)</f>
        <v>0</v>
      </c>
      <c r="P6932" s="166"/>
      <c r="Q6932" s="166"/>
      <c r="R6932" s="71"/>
    </row>
    <row r="6933" spans="1:18" s="61" customFormat="1" x14ac:dyDescent="0.25">
      <c r="A6933" s="358"/>
      <c r="B6933" s="361"/>
      <c r="C6933" s="221" t="s">
        <v>76</v>
      </c>
      <c r="D6933" s="231" t="s">
        <v>49</v>
      </c>
      <c r="E6933" s="231" t="s">
        <v>22</v>
      </c>
      <c r="F6933" s="231" t="s">
        <v>22</v>
      </c>
      <c r="G6933" s="157">
        <f>MROUND(H6933*L6933*I6933/K6933,0.00000000000001)</f>
        <v>0.85050123855745996</v>
      </c>
      <c r="H6933" s="160">
        <f>H6813</f>
        <v>25651</v>
      </c>
      <c r="I6933" s="159">
        <f>I6931</f>
        <v>1.356107E-2</v>
      </c>
      <c r="J6933" s="160"/>
      <c r="K6933" s="161">
        <f>K6931</f>
        <v>409</v>
      </c>
      <c r="L6933" s="250">
        <v>1</v>
      </c>
      <c r="M6933" s="163" t="str">
        <f>CONCATENATE(H6933," ",F6933,"*",I6933,"/",K6933,"чел.")</f>
        <v>25651 м2*0,01356107/409чел.</v>
      </c>
      <c r="N6933" s="164">
        <f>N6813</f>
        <v>2452.3410393356985</v>
      </c>
      <c r="O6933" s="165">
        <f>MROUND(G6933*N6933,0.00000000001)</f>
        <v>2085.7190913202999</v>
      </c>
      <c r="P6933" s="166"/>
      <c r="Q6933" s="166">
        <f t="shared" ref="Q6933:Q6935" si="1904">O6933*K6933</f>
        <v>853059.10835000267</v>
      </c>
      <c r="R6933" s="71"/>
    </row>
    <row r="6934" spans="1:18" s="61" customFormat="1" x14ac:dyDescent="0.25">
      <c r="A6934" s="358"/>
      <c r="B6934" s="361"/>
      <c r="C6934" s="221"/>
      <c r="D6934" s="231" t="s">
        <v>49</v>
      </c>
      <c r="E6934" s="231" t="s">
        <v>28</v>
      </c>
      <c r="F6934" s="231" t="s">
        <v>28</v>
      </c>
      <c r="G6934" s="157">
        <f>MROUND(H6934*L6934*I6934/K6934,0.000000000001)</f>
        <v>6.1903466234999996E-2</v>
      </c>
      <c r="H6934" s="160">
        <f>H6814</f>
        <v>1867</v>
      </c>
      <c r="I6934" s="159">
        <f>I6933</f>
        <v>1.356107E-2</v>
      </c>
      <c r="J6934" s="160"/>
      <c r="K6934" s="161">
        <f>K6933</f>
        <v>409</v>
      </c>
      <c r="L6934" s="250">
        <v>1</v>
      </c>
      <c r="M6934" s="163" t="str">
        <f>CONCATENATE(H6934," ",F6934,"*",I6934,"/",K6934,"чел.")</f>
        <v>1867 шт*0,01356107/409чел.</v>
      </c>
      <c r="N6934" s="164">
        <f>N6814</f>
        <v>18299.732190680235</v>
      </c>
      <c r="O6934" s="165">
        <f>MROUND(G6934*N6934,0.00000000001)</f>
        <v>1132.8168537753199</v>
      </c>
      <c r="P6934" s="166"/>
      <c r="Q6934" s="166">
        <f t="shared" si="1904"/>
        <v>463322.09319410584</v>
      </c>
      <c r="R6934" s="71"/>
    </row>
    <row r="6935" spans="1:18" s="61" customFormat="1" x14ac:dyDescent="0.25">
      <c r="A6935" s="358"/>
      <c r="B6935" s="361"/>
      <c r="C6935" s="221"/>
      <c r="D6935" s="231" t="s">
        <v>49</v>
      </c>
      <c r="E6935" s="231" t="s">
        <v>101</v>
      </c>
      <c r="F6935" s="231" t="s">
        <v>101</v>
      </c>
      <c r="G6935" s="157">
        <f>MROUND(H6935*L6935*I6935/K6935,0.000000001)</f>
        <v>2.1220256E-2</v>
      </c>
      <c r="H6935" s="160">
        <f>H6815</f>
        <v>640</v>
      </c>
      <c r="I6935" s="159">
        <f>I6934</f>
        <v>1.356107E-2</v>
      </c>
      <c r="J6935" s="160"/>
      <c r="K6935" s="161">
        <f>K6934</f>
        <v>409</v>
      </c>
      <c r="L6935" s="250">
        <v>1</v>
      </c>
      <c r="M6935" s="163" t="str">
        <f>CONCATENATE(H6935," ",F6935,"*",I6935,"/",K6935,"чел.")</f>
        <v>640 погон.м.*0,01356107/409чел.</v>
      </c>
      <c r="N6935" s="164">
        <f>N6815</f>
        <v>4593.75</v>
      </c>
      <c r="O6935" s="165">
        <f>MROUND(G6935*N6935,0.00000001)</f>
        <v>97.480551000000006</v>
      </c>
      <c r="P6935" s="166"/>
      <c r="Q6935" s="166">
        <f t="shared" si="1904"/>
        <v>39869.545359000003</v>
      </c>
      <c r="R6935" s="71"/>
    </row>
    <row r="6936" spans="1:18" s="61" customFormat="1" x14ac:dyDescent="0.25">
      <c r="A6936" s="358"/>
      <c r="B6936" s="361"/>
      <c r="C6936" s="218" t="s">
        <v>302</v>
      </c>
      <c r="D6936" s="232"/>
      <c r="E6936" s="232"/>
      <c r="F6936" s="232"/>
      <c r="G6936" s="227"/>
      <c r="H6936" s="228"/>
      <c r="I6936" s="206"/>
      <c r="J6936" s="228"/>
      <c r="K6936" s="207"/>
      <c r="L6936" s="257"/>
      <c r="M6936" s="209"/>
      <c r="N6936" s="210"/>
      <c r="O6936" s="198">
        <f>SUM(O6933:O6935)</f>
        <v>3316.0164960956199</v>
      </c>
      <c r="P6936" s="166"/>
      <c r="Q6936" s="166"/>
      <c r="R6936" s="71"/>
    </row>
    <row r="6937" spans="1:18" s="61" customFormat="1" x14ac:dyDescent="0.25">
      <c r="A6937" s="358"/>
      <c r="B6937" s="361"/>
      <c r="C6937" s="221" t="s">
        <v>77</v>
      </c>
      <c r="D6937" s="231"/>
      <c r="E6937" s="231"/>
      <c r="F6937" s="231"/>
      <c r="G6937" s="157">
        <f>MROUND(H6937*L6937*I6937/K6937,0.00000000001)</f>
        <v>0</v>
      </c>
      <c r="H6937" s="160">
        <f>H6817</f>
        <v>0</v>
      </c>
      <c r="I6937" s="159">
        <f>I6935</f>
        <v>1.356107E-2</v>
      </c>
      <c r="J6937" s="160"/>
      <c r="K6937" s="161">
        <f>K6935</f>
        <v>409</v>
      </c>
      <c r="L6937" s="250"/>
      <c r="M6937" s="163"/>
      <c r="N6937" s="164">
        <f>N6817</f>
        <v>0</v>
      </c>
      <c r="O6937" s="165">
        <f>MROUND(G6937*N6937,0.000000001)</f>
        <v>0</v>
      </c>
      <c r="P6937" s="166"/>
      <c r="Q6937" s="166">
        <f t="shared" ref="Q6937" si="1905">O6937*K6937</f>
        <v>0</v>
      </c>
      <c r="R6937" s="71"/>
    </row>
    <row r="6938" spans="1:18" s="62" customFormat="1" x14ac:dyDescent="0.25">
      <c r="A6938" s="358"/>
      <c r="B6938" s="361"/>
      <c r="C6938" s="218" t="s">
        <v>292</v>
      </c>
      <c r="D6938" s="232"/>
      <c r="E6938" s="232"/>
      <c r="F6938" s="232"/>
      <c r="G6938" s="227"/>
      <c r="H6938" s="228"/>
      <c r="I6938" s="206"/>
      <c r="J6938" s="228"/>
      <c r="K6938" s="207"/>
      <c r="L6938" s="257"/>
      <c r="M6938" s="209"/>
      <c r="N6938" s="210"/>
      <c r="O6938" s="198">
        <f>O6937</f>
        <v>0</v>
      </c>
      <c r="P6938" s="267"/>
      <c r="Q6938" s="166"/>
      <c r="R6938" s="71"/>
    </row>
    <row r="6939" spans="1:18" s="61" customFormat="1" x14ac:dyDescent="0.25">
      <c r="A6939" s="358"/>
      <c r="B6939" s="361"/>
      <c r="C6939" s="221"/>
      <c r="D6939" s="350" t="s">
        <v>65</v>
      </c>
      <c r="E6939" s="350"/>
      <c r="F6939" s="350"/>
      <c r="G6939" s="350"/>
      <c r="H6939" s="195"/>
      <c r="I6939" s="159"/>
      <c r="J6939" s="195"/>
      <c r="K6939" s="161"/>
      <c r="L6939" s="196"/>
      <c r="M6939" s="230"/>
      <c r="N6939" s="164"/>
      <c r="O6939" s="165">
        <f t="shared" ref="O6939:O6940" si="1906">MROUND(G6939*N6939,0.000001)</f>
        <v>0</v>
      </c>
      <c r="P6939" s="166"/>
      <c r="Q6939" s="166"/>
      <c r="R6939" s="71"/>
    </row>
    <row r="6940" spans="1:18" s="61" customFormat="1" x14ac:dyDescent="0.25">
      <c r="A6940" s="358"/>
      <c r="B6940" s="361"/>
      <c r="C6940" s="221"/>
      <c r="D6940" s="194"/>
      <c r="E6940" s="194"/>
      <c r="F6940" s="194"/>
      <c r="G6940" s="217"/>
      <c r="H6940" s="195"/>
      <c r="I6940" s="159"/>
      <c r="J6940" s="195"/>
      <c r="K6940" s="161"/>
      <c r="L6940" s="196"/>
      <c r="M6940" s="230"/>
      <c r="N6940" s="164"/>
      <c r="O6940" s="165">
        <f t="shared" si="1906"/>
        <v>0</v>
      </c>
      <c r="P6940" s="166"/>
      <c r="Q6940" s="166"/>
      <c r="R6940" s="71"/>
    </row>
    <row r="6941" spans="1:18" s="61" customFormat="1" x14ac:dyDescent="0.25">
      <c r="A6941" s="358"/>
      <c r="B6941" s="361"/>
      <c r="C6941" s="218" t="s">
        <v>357</v>
      </c>
      <c r="D6941" s="377" t="s">
        <v>66</v>
      </c>
      <c r="E6941" s="377"/>
      <c r="F6941" s="377"/>
      <c r="G6941" s="377"/>
      <c r="H6941" s="195"/>
      <c r="I6941" s="159"/>
      <c r="J6941" s="195"/>
      <c r="K6941" s="161"/>
      <c r="L6941" s="234"/>
      <c r="M6941" s="230"/>
      <c r="N6941" s="164"/>
      <c r="O6941" s="198">
        <f>O6942</f>
        <v>19.462294999999997</v>
      </c>
      <c r="P6941" s="166"/>
      <c r="Q6941" s="166"/>
      <c r="R6941" s="71"/>
    </row>
    <row r="6942" spans="1:18" s="61" customFormat="1" ht="47.25" x14ac:dyDescent="0.25">
      <c r="A6942" s="358"/>
      <c r="B6942" s="361"/>
      <c r="C6942" s="221"/>
      <c r="D6942" s="222" t="s">
        <v>374</v>
      </c>
      <c r="E6942" s="194" t="s">
        <v>28</v>
      </c>
      <c r="F6942" s="194" t="s">
        <v>28</v>
      </c>
      <c r="G6942" s="217">
        <f>MROUND(H6942*L6942*I6942/K6942,0.000000001)</f>
        <v>4.7745579999999999E-3</v>
      </c>
      <c r="H6942" s="201">
        <f>H6822</f>
        <v>36</v>
      </c>
      <c r="I6942" s="159">
        <f>I6937</f>
        <v>1.356107E-2</v>
      </c>
      <c r="J6942" s="195"/>
      <c r="K6942" s="161">
        <f>K6937</f>
        <v>409</v>
      </c>
      <c r="L6942" s="235">
        <f>L6822</f>
        <v>4</v>
      </c>
      <c r="M6942" s="163" t="str">
        <f>CONCATENATE(H6942," ",F6942,"*",I6942,"/",K6942,"чел.")</f>
        <v>36 шт*0,01356107/409чел.</v>
      </c>
      <c r="N6942" s="164">
        <f>N6822</f>
        <v>4076.2506250000024</v>
      </c>
      <c r="O6942" s="165">
        <f>MROUND(G6942*N6942,0.000001)</f>
        <v>19.462294999999997</v>
      </c>
      <c r="P6942" s="166"/>
      <c r="Q6942" s="166">
        <f t="shared" ref="Q6942" si="1907">O6942*K6942</f>
        <v>7960.0786549999993</v>
      </c>
      <c r="R6942" s="71"/>
    </row>
    <row r="6943" spans="1:18" s="61" customFormat="1" x14ac:dyDescent="0.25">
      <c r="A6943" s="358"/>
      <c r="B6943" s="361"/>
      <c r="C6943" s="221"/>
      <c r="D6943" s="368" t="s">
        <v>67</v>
      </c>
      <c r="E6943" s="368"/>
      <c r="F6943" s="368"/>
      <c r="G6943" s="368"/>
      <c r="H6943" s="195"/>
      <c r="I6943" s="159"/>
      <c r="J6943" s="195"/>
      <c r="K6943" s="161"/>
      <c r="L6943" s="196"/>
      <c r="M6943" s="230"/>
      <c r="N6943" s="164"/>
      <c r="O6943" s="165">
        <f t="shared" ref="O6943:O6946" si="1908">MROUND(G6943*N6943,0.000001)</f>
        <v>0</v>
      </c>
      <c r="P6943" s="166"/>
      <c r="Q6943" s="166"/>
      <c r="R6943" s="71"/>
    </row>
    <row r="6944" spans="1:18" s="61" customFormat="1" x14ac:dyDescent="0.25">
      <c r="A6944" s="358"/>
      <c r="B6944" s="361"/>
      <c r="C6944" s="221"/>
      <c r="D6944" s="194"/>
      <c r="E6944" s="194"/>
      <c r="F6944" s="194"/>
      <c r="G6944" s="217"/>
      <c r="H6944" s="195"/>
      <c r="I6944" s="159"/>
      <c r="J6944" s="195"/>
      <c r="K6944" s="161"/>
      <c r="L6944" s="196"/>
      <c r="M6944" s="230"/>
      <c r="N6944" s="164"/>
      <c r="O6944" s="165">
        <f t="shared" si="1908"/>
        <v>0</v>
      </c>
      <c r="P6944" s="166"/>
      <c r="Q6944" s="166"/>
      <c r="R6944" s="71"/>
    </row>
    <row r="6945" spans="1:41" s="61" customFormat="1" x14ac:dyDescent="0.25">
      <c r="A6945" s="358"/>
      <c r="B6945" s="361"/>
      <c r="C6945" s="221"/>
      <c r="D6945" s="350" t="s">
        <v>68</v>
      </c>
      <c r="E6945" s="350"/>
      <c r="F6945" s="350"/>
      <c r="G6945" s="350"/>
      <c r="H6945" s="195"/>
      <c r="I6945" s="159"/>
      <c r="J6945" s="195"/>
      <c r="K6945" s="161"/>
      <c r="L6945" s="196"/>
      <c r="M6945" s="230"/>
      <c r="N6945" s="164"/>
      <c r="O6945" s="165">
        <f t="shared" si="1908"/>
        <v>0</v>
      </c>
      <c r="P6945" s="166"/>
      <c r="Q6945" s="166"/>
      <c r="R6945" s="71"/>
    </row>
    <row r="6946" spans="1:41" s="61" customFormat="1" x14ac:dyDescent="0.25">
      <c r="A6946" s="358"/>
      <c r="B6946" s="361"/>
      <c r="C6946" s="221"/>
      <c r="D6946" s="156"/>
      <c r="E6946" s="156"/>
      <c r="F6946" s="156"/>
      <c r="G6946" s="236"/>
      <c r="H6946" s="195"/>
      <c r="I6946" s="159"/>
      <c r="J6946" s="195"/>
      <c r="K6946" s="161"/>
      <c r="L6946" s="196"/>
      <c r="M6946" s="230"/>
      <c r="N6946" s="164"/>
      <c r="O6946" s="165">
        <f t="shared" si="1908"/>
        <v>0</v>
      </c>
      <c r="P6946" s="166"/>
      <c r="Q6946" s="166"/>
      <c r="R6946" s="71"/>
    </row>
    <row r="6947" spans="1:41" s="99" customFormat="1" x14ac:dyDescent="0.25">
      <c r="A6947" s="358"/>
      <c r="B6947" s="361"/>
      <c r="C6947" s="268"/>
      <c r="D6947" s="378" t="s">
        <v>69</v>
      </c>
      <c r="E6947" s="378"/>
      <c r="F6947" s="378"/>
      <c r="G6947" s="378"/>
      <c r="H6947" s="269"/>
      <c r="I6947" s="270"/>
      <c r="J6947" s="269"/>
      <c r="K6947" s="271"/>
      <c r="L6947" s="272"/>
      <c r="M6947" s="273"/>
      <c r="N6947" s="164"/>
      <c r="O6947" s="198">
        <f>O6949+O6956+O6973+O6975+O6990+O6992+O6994+O7019+O7021+O7026+O7023</f>
        <v>749.20154122999986</v>
      </c>
      <c r="P6947" s="274"/>
      <c r="Q6947" s="166"/>
      <c r="R6947" s="71"/>
    </row>
    <row r="6948" spans="1:41" s="61" customFormat="1" x14ac:dyDescent="0.25">
      <c r="A6948" s="358"/>
      <c r="B6948" s="361"/>
      <c r="C6948" s="221">
        <v>224</v>
      </c>
      <c r="D6948" s="156" t="s">
        <v>21</v>
      </c>
      <c r="E6948" s="156" t="s">
        <v>22</v>
      </c>
      <c r="F6948" s="156" t="s">
        <v>22</v>
      </c>
      <c r="G6948" s="266">
        <f>MROUND(H6948*L6948*I6948/K6948,0.000001)</f>
        <v>0</v>
      </c>
      <c r="H6948" s="158"/>
      <c r="I6948" s="159">
        <f>I6942</f>
        <v>1.356107E-2</v>
      </c>
      <c r="J6948" s="160"/>
      <c r="K6948" s="161">
        <f>K6942</f>
        <v>409</v>
      </c>
      <c r="L6948" s="250"/>
      <c r="M6948" s="163"/>
      <c r="N6948" s="164"/>
      <c r="O6948" s="165">
        <f>MROUND(G6948*N6948,0.000001)</f>
        <v>0</v>
      </c>
      <c r="P6948" s="166"/>
      <c r="Q6948" s="166">
        <f t="shared" ref="Q6948" si="1909">O6948*K6948</f>
        <v>0</v>
      </c>
      <c r="R6948" s="71"/>
    </row>
    <row r="6949" spans="1:41" s="61" customFormat="1" x14ac:dyDescent="0.25">
      <c r="A6949" s="358"/>
      <c r="B6949" s="361"/>
      <c r="C6949" s="218" t="s">
        <v>293</v>
      </c>
      <c r="D6949" s="240"/>
      <c r="E6949" s="240"/>
      <c r="F6949" s="240"/>
      <c r="G6949" s="227"/>
      <c r="H6949" s="241"/>
      <c r="I6949" s="206"/>
      <c r="J6949" s="228"/>
      <c r="K6949" s="207"/>
      <c r="L6949" s="257"/>
      <c r="M6949" s="209"/>
      <c r="N6949" s="210"/>
      <c r="O6949" s="198">
        <f>SUM(O6948)</f>
        <v>0</v>
      </c>
      <c r="P6949" s="166"/>
      <c r="Q6949" s="166"/>
      <c r="R6949" s="71"/>
    </row>
    <row r="6950" spans="1:41" s="61" customFormat="1" ht="31.5" x14ac:dyDescent="0.25">
      <c r="A6950" s="358"/>
      <c r="B6950" s="361"/>
      <c r="C6950" s="364" t="s">
        <v>78</v>
      </c>
      <c r="D6950" s="156" t="s">
        <v>26</v>
      </c>
      <c r="E6950" s="156" t="s">
        <v>22</v>
      </c>
      <c r="F6950" s="156" t="s">
        <v>22</v>
      </c>
      <c r="G6950" s="266">
        <f>MROUND(H6950*L6950*I6950/K6950,0.000001)</f>
        <v>10.281214</v>
      </c>
      <c r="H6950" s="158">
        <f>H6830</f>
        <v>25840</v>
      </c>
      <c r="I6950" s="159">
        <f>I6948</f>
        <v>1.356107E-2</v>
      </c>
      <c r="J6950" s="160"/>
      <c r="K6950" s="161">
        <f>K6948</f>
        <v>409</v>
      </c>
      <c r="L6950" s="250">
        <v>12</v>
      </c>
      <c r="M6950" s="163" t="str">
        <f>CONCATENATE(H6950," ",F6950,"(обрабатываемая площадь в мес.)","*",L6950,"мес.","*",I6950,"/",K6950,"чел.")</f>
        <v>25840 м2(обрабатываемая площадь в мес.)*12мес.*0,01356107/409чел.</v>
      </c>
      <c r="N6950" s="164">
        <f>N6830</f>
        <v>1.2568903508771934</v>
      </c>
      <c r="O6950" s="165">
        <f t="shared" ref="O6950:O6955" si="1910">MROUND(G6950*N6950,0.000001)</f>
        <v>12.922359</v>
      </c>
      <c r="P6950" s="166"/>
      <c r="Q6950" s="166">
        <f t="shared" ref="Q6950:Q6955" si="1911">O6950*K6950</f>
        <v>5285.244831</v>
      </c>
      <c r="R6950" s="71"/>
    </row>
    <row r="6951" spans="1:41" s="61" customFormat="1" ht="31.5" x14ac:dyDescent="0.25">
      <c r="A6951" s="358"/>
      <c r="B6951" s="361"/>
      <c r="C6951" s="364"/>
      <c r="D6951" s="156" t="s">
        <v>96</v>
      </c>
      <c r="E6951" s="156" t="s">
        <v>22</v>
      </c>
      <c r="F6951" s="156" t="s">
        <v>22</v>
      </c>
      <c r="G6951" s="266">
        <f>MROUND(H6951*L6951*I6951/K6951,0.000001)</f>
        <v>5.3216419999999998</v>
      </c>
      <c r="H6951" s="158">
        <f>H6831</f>
        <v>13375</v>
      </c>
      <c r="I6951" s="159">
        <f>I6950</f>
        <v>1.356107E-2</v>
      </c>
      <c r="J6951" s="160"/>
      <c r="K6951" s="161">
        <f>K6950</f>
        <v>409</v>
      </c>
      <c r="L6951" s="250">
        <v>12</v>
      </c>
      <c r="M6951" s="163" t="str">
        <f>CONCATENATE(H6951," ",F6951,"(обрабатываемая площадь в мес.)","*",L6951,"мес.","*",I6951,"/",K6951,"чел.")</f>
        <v>13375 м2(обрабатываемая площадь в мес.)*12мес.*0,01356107/409чел.</v>
      </c>
      <c r="N6951" s="164">
        <f>N6831</f>
        <v>2.0157672274143299</v>
      </c>
      <c r="O6951" s="165">
        <f t="shared" si="1910"/>
        <v>10.727191999999999</v>
      </c>
      <c r="P6951" s="166"/>
      <c r="Q6951" s="166">
        <f t="shared" si="1911"/>
        <v>4387.4215279999999</v>
      </c>
      <c r="R6951" s="71"/>
    </row>
    <row r="6952" spans="1:41" s="135" customFormat="1" ht="31.5" x14ac:dyDescent="0.25">
      <c r="A6952" s="358"/>
      <c r="B6952" s="361"/>
      <c r="C6952" s="364"/>
      <c r="D6952" s="156" t="s">
        <v>385</v>
      </c>
      <c r="E6952" s="156" t="s">
        <v>22</v>
      </c>
      <c r="F6952" s="156" t="s">
        <v>22</v>
      </c>
      <c r="G6952" s="238">
        <f>MROUND(H6952*L6952*I6952/K6952,0.000001)</f>
        <v>10.643284999999999</v>
      </c>
      <c r="H6952" s="242">
        <f>$H$55</f>
        <v>13375</v>
      </c>
      <c r="I6952" s="159">
        <f>I6951</f>
        <v>1.356107E-2</v>
      </c>
      <c r="J6952" s="160"/>
      <c r="K6952" s="161">
        <f>K6951</f>
        <v>409</v>
      </c>
      <c r="L6952" s="162">
        <v>24</v>
      </c>
      <c r="M6952" s="163" t="str">
        <f>CONCATENATE(H6952," ",F6952,"(обрабатываемая площадь в год)","*",L6952," раза в год.","*",I6952,"/",K6952,"чел.")</f>
        <v>13375 м2(обрабатываемая площадь в год)*24 раза в год.*0,01356107/409чел.</v>
      </c>
      <c r="N6952" s="164">
        <f>$N$6832</f>
        <v>2.4900656074766365</v>
      </c>
      <c r="O6952" s="165">
        <f t="shared" si="1910"/>
        <v>26.502478</v>
      </c>
      <c r="P6952" s="166"/>
      <c r="Q6952" s="166">
        <f t="shared" si="1911"/>
        <v>10839.513502</v>
      </c>
      <c r="R6952" s="71"/>
      <c r="S6952" s="61"/>
      <c r="T6952" s="61"/>
      <c r="U6952" s="61"/>
      <c r="V6952" s="61"/>
      <c r="W6952" s="61"/>
      <c r="X6952" s="61"/>
      <c r="Y6952" s="61"/>
      <c r="Z6952" s="61"/>
      <c r="AA6952" s="61"/>
      <c r="AB6952" s="61"/>
      <c r="AC6952" s="61"/>
      <c r="AD6952" s="61"/>
      <c r="AE6952" s="61"/>
      <c r="AF6952" s="61"/>
      <c r="AG6952" s="61"/>
      <c r="AH6952" s="61"/>
      <c r="AI6952" s="61"/>
      <c r="AJ6952" s="61"/>
      <c r="AK6952" s="61"/>
      <c r="AL6952" s="61"/>
      <c r="AM6952" s="61"/>
      <c r="AN6952" s="61"/>
      <c r="AO6952" s="61"/>
    </row>
    <row r="6953" spans="1:41" s="135" customFormat="1" ht="31.5" x14ac:dyDescent="0.25">
      <c r="A6953" s="358"/>
      <c r="B6953" s="361"/>
      <c r="C6953" s="364"/>
      <c r="D6953" s="156" t="s">
        <v>394</v>
      </c>
      <c r="E6953" s="156" t="s">
        <v>22</v>
      </c>
      <c r="F6953" s="156" t="s">
        <v>22</v>
      </c>
      <c r="G6953" s="238">
        <f>MROUND(H6953*L6953*I6953/K6953,0.000001)</f>
        <v>10.281214</v>
      </c>
      <c r="H6953" s="243">
        <f>$H$56</f>
        <v>25840</v>
      </c>
      <c r="I6953" s="159">
        <f>I6952</f>
        <v>1.356107E-2</v>
      </c>
      <c r="J6953" s="160"/>
      <c r="K6953" s="161">
        <f>K6952</f>
        <v>409</v>
      </c>
      <c r="L6953" s="162">
        <v>12</v>
      </c>
      <c r="M6953" s="163" t="str">
        <f>CONCATENATE(H6953," ",F6953,"(обрабатываемая площадь в мес.)","*",L6953,"мес.","*",I6953,"/",K6953,"чел.")</f>
        <v>25840 м2(обрабатываемая площадь в мес.)*12мес.*0,01356107/409чел.</v>
      </c>
      <c r="N6953" s="164">
        <f>$N$6833</f>
        <v>0.59287277476780176</v>
      </c>
      <c r="O6953" s="165">
        <f t="shared" si="1910"/>
        <v>6.0954519999999999</v>
      </c>
      <c r="P6953" s="166"/>
      <c r="Q6953" s="166">
        <f t="shared" si="1911"/>
        <v>2493.0398679999998</v>
      </c>
      <c r="R6953" s="71"/>
      <c r="S6953" s="61"/>
      <c r="T6953" s="61"/>
      <c r="U6953" s="61"/>
      <c r="V6953" s="61"/>
      <c r="W6953" s="61"/>
      <c r="X6953" s="61"/>
      <c r="Y6953" s="61"/>
      <c r="Z6953" s="61"/>
      <c r="AA6953" s="61"/>
      <c r="AB6953" s="61"/>
      <c r="AC6953" s="61"/>
      <c r="AD6953" s="61"/>
      <c r="AE6953" s="61"/>
      <c r="AF6953" s="61"/>
      <c r="AG6953" s="61"/>
      <c r="AH6953" s="61"/>
      <c r="AI6953" s="61"/>
      <c r="AJ6953" s="61"/>
      <c r="AK6953" s="61"/>
      <c r="AL6953" s="61"/>
      <c r="AM6953" s="61"/>
      <c r="AN6953" s="61"/>
      <c r="AO6953" s="61"/>
    </row>
    <row r="6954" spans="1:41" s="135" customFormat="1" ht="31.5" x14ac:dyDescent="0.25">
      <c r="A6954" s="358"/>
      <c r="B6954" s="361"/>
      <c r="C6954" s="364"/>
      <c r="D6954" s="156" t="s">
        <v>395</v>
      </c>
      <c r="E6954" s="156" t="s">
        <v>98</v>
      </c>
      <c r="F6954" s="156" t="s">
        <v>98</v>
      </c>
      <c r="G6954" s="238">
        <f>MROUND(H6954*L6954*I6954/K6954,0.000000001)</f>
        <v>6.2798699999999999E-4</v>
      </c>
      <c r="H6954" s="242">
        <f>$H$57</f>
        <v>18.939999999999998</v>
      </c>
      <c r="I6954" s="159">
        <f>I6953</f>
        <v>1.356107E-2</v>
      </c>
      <c r="J6954" s="160"/>
      <c r="K6954" s="161">
        <f>K6953</f>
        <v>409</v>
      </c>
      <c r="L6954" s="162">
        <v>1</v>
      </c>
      <c r="M6954" s="163" t="str">
        <f>CONCATENATE(H6954," ",F6954,"(обрабатываемая площадь в год)","*",L6954," раз в год","*",I6954,"/",K6954,"чел.")</f>
        <v>18,94 Га(обрабатываемая площадь в год)*1 раз в год*0,01356107/409чел.</v>
      </c>
      <c r="N6954" s="164">
        <f>$N$6834</f>
        <v>592.87803590285125</v>
      </c>
      <c r="O6954" s="165">
        <f t="shared" si="1910"/>
        <v>0.37231999999999998</v>
      </c>
      <c r="P6954" s="166"/>
      <c r="Q6954" s="166">
        <f t="shared" si="1911"/>
        <v>152.27887999999999</v>
      </c>
      <c r="R6954" s="71"/>
      <c r="S6954" s="61"/>
      <c r="T6954" s="61"/>
      <c r="U6954" s="61"/>
      <c r="V6954" s="61"/>
      <c r="W6954" s="61"/>
      <c r="X6954" s="61"/>
      <c r="Y6954" s="61"/>
      <c r="Z6954" s="61"/>
      <c r="AA6954" s="61"/>
      <c r="AB6954" s="61"/>
      <c r="AC6954" s="61"/>
      <c r="AD6954" s="61"/>
      <c r="AE6954" s="61"/>
      <c r="AF6954" s="61"/>
      <c r="AG6954" s="61"/>
      <c r="AH6954" s="61"/>
      <c r="AI6954" s="61"/>
      <c r="AJ6954" s="61"/>
      <c r="AK6954" s="61"/>
      <c r="AL6954" s="61"/>
      <c r="AM6954" s="61"/>
      <c r="AN6954" s="61"/>
      <c r="AO6954" s="61"/>
    </row>
    <row r="6955" spans="1:41" s="61" customFormat="1" ht="31.5" x14ac:dyDescent="0.25">
      <c r="A6955" s="358"/>
      <c r="B6955" s="361"/>
      <c r="C6955" s="364"/>
      <c r="D6955" s="156" t="s">
        <v>97</v>
      </c>
      <c r="E6955" s="156" t="s">
        <v>98</v>
      </c>
      <c r="F6955" s="156" t="s">
        <v>98</v>
      </c>
      <c r="G6955" s="266">
        <f>MROUND(H6955*L6955*I6955/K6955,0.0000000001)</f>
        <v>6.2798699999999999E-4</v>
      </c>
      <c r="H6955" s="242">
        <f>H6835</f>
        <v>18.939999999999998</v>
      </c>
      <c r="I6955" s="244">
        <f>I6951</f>
        <v>1.356107E-2</v>
      </c>
      <c r="J6955" s="160"/>
      <c r="K6955" s="161">
        <f>K6951</f>
        <v>409</v>
      </c>
      <c r="L6955" s="250">
        <v>1</v>
      </c>
      <c r="M6955" s="163" t="str">
        <f>CONCATENATE(H6955," ",F6955,"(обрабатываемая площадь в мес.)","*",L6955,"мес.","*",I6955,"/",K6955,"чел.")</f>
        <v>18,94 Га(обрабатываемая площадь в мес.)*1мес.*0,01356107/409чел.</v>
      </c>
      <c r="N6955" s="164">
        <f>N6835</f>
        <v>3226.5021119324188</v>
      </c>
      <c r="O6955" s="165">
        <f t="shared" si="1910"/>
        <v>2.0262009999999999</v>
      </c>
      <c r="P6955" s="166"/>
      <c r="Q6955" s="166">
        <f t="shared" si="1911"/>
        <v>828.71620899999994</v>
      </c>
      <c r="R6955" s="71"/>
    </row>
    <row r="6956" spans="1:41" s="61" customFormat="1" x14ac:dyDescent="0.25">
      <c r="A6956" s="358"/>
      <c r="B6956" s="361"/>
      <c r="C6956" s="245" t="s">
        <v>303</v>
      </c>
      <c r="D6956" s="156"/>
      <c r="E6956" s="156"/>
      <c r="F6956" s="156"/>
      <c r="G6956" s="238"/>
      <c r="H6956" s="158"/>
      <c r="I6956" s="159"/>
      <c r="J6956" s="160"/>
      <c r="K6956" s="161"/>
      <c r="L6956" s="250"/>
      <c r="M6956" s="163"/>
      <c r="N6956" s="210"/>
      <c r="O6956" s="198">
        <f>SUM(O6950:O6955)</f>
        <v>58.646002000000003</v>
      </c>
      <c r="P6956" s="166"/>
      <c r="Q6956" s="166"/>
      <c r="R6956" s="71"/>
    </row>
    <row r="6957" spans="1:41" s="61" customFormat="1" ht="63" x14ac:dyDescent="0.25">
      <c r="A6957" s="358"/>
      <c r="B6957" s="361"/>
      <c r="C6957" s="365" t="s">
        <v>77</v>
      </c>
      <c r="D6957" s="156" t="s">
        <v>29</v>
      </c>
      <c r="E6957" s="156" t="s">
        <v>58</v>
      </c>
      <c r="F6957" s="156" t="s">
        <v>218</v>
      </c>
      <c r="G6957" s="266">
        <f>MROUND(H6957*L6957*I6957/K6957,0.00000001)</f>
        <v>1.9894000000000001E-3</v>
      </c>
      <c r="H6957" s="158">
        <v>15</v>
      </c>
      <c r="I6957" s="159">
        <f>I6955</f>
        <v>1.356107E-2</v>
      </c>
      <c r="J6957" s="160"/>
      <c r="K6957" s="161">
        <f>K6955</f>
        <v>409</v>
      </c>
      <c r="L6957" s="162">
        <v>4</v>
      </c>
      <c r="M6957" s="163" t="str">
        <f>CONCATENATE(H6957," ",F6957,"*",L6957," раза в год","*",I6957,"/",K6957,"чел.")</f>
        <v>15 установок*4 раза в год*0,01356107/409чел.</v>
      </c>
      <c r="N6957" s="164">
        <f t="shared" ref="N6957:N6972" si="1912">N6837</f>
        <v>2355.4600000000005</v>
      </c>
      <c r="O6957" s="165">
        <f t="shared" ref="O6957:O6965" si="1913">MROUND(G6957*N6957,0.000001)</f>
        <v>4.6859519999999995</v>
      </c>
      <c r="P6957" s="166"/>
      <c r="Q6957" s="166">
        <f t="shared" ref="Q6957:Q6972" si="1914">O6957*K6957</f>
        <v>1916.5543679999998</v>
      </c>
      <c r="R6957" s="71"/>
    </row>
    <row r="6958" spans="1:41" s="61" customFormat="1" ht="47.25" x14ac:dyDescent="0.25">
      <c r="A6958" s="358"/>
      <c r="B6958" s="361"/>
      <c r="C6958" s="366"/>
      <c r="D6958" s="156" t="s">
        <v>30</v>
      </c>
      <c r="E6958" s="156" t="s">
        <v>58</v>
      </c>
      <c r="F6958" s="156" t="s">
        <v>218</v>
      </c>
      <c r="G6958" s="266">
        <f t="shared" ref="G6958:G6963" si="1915">MROUND(H6958*L6958*I6958/K6958,0.00000001)</f>
        <v>9.9470000000000005E-4</v>
      </c>
      <c r="H6958" s="158">
        <v>15</v>
      </c>
      <c r="I6958" s="159">
        <f>I6957</f>
        <v>1.356107E-2</v>
      </c>
      <c r="J6958" s="160"/>
      <c r="K6958" s="161">
        <f>K6957</f>
        <v>409</v>
      </c>
      <c r="L6958" s="250">
        <v>2</v>
      </c>
      <c r="M6958" s="163" t="str">
        <f>CONCATENATE(H6958," ",F6958,"*",L6958,"полуг.","*",I6958,"/",K6958,"чел.")</f>
        <v>15 установок*2полуг.*0,01356107/409чел.</v>
      </c>
      <c r="N6958" s="164">
        <f t="shared" si="1912"/>
        <v>4710.920000000001</v>
      </c>
      <c r="O6958" s="165">
        <f t="shared" si="1913"/>
        <v>4.6859519999999995</v>
      </c>
      <c r="P6958" s="166"/>
      <c r="Q6958" s="166">
        <f t="shared" si="1914"/>
        <v>1916.5543679999998</v>
      </c>
      <c r="R6958" s="71"/>
    </row>
    <row r="6959" spans="1:41" s="61" customFormat="1" x14ac:dyDescent="0.25">
      <c r="A6959" s="358"/>
      <c r="B6959" s="361"/>
      <c r="C6959" s="366"/>
      <c r="D6959" s="156" t="s">
        <v>397</v>
      </c>
      <c r="E6959" s="156" t="s">
        <v>433</v>
      </c>
      <c r="F6959" s="156" t="s">
        <v>433</v>
      </c>
      <c r="G6959" s="266">
        <f t="shared" si="1915"/>
        <v>0</v>
      </c>
      <c r="H6959" s="158">
        <f>H6839</f>
        <v>0</v>
      </c>
      <c r="I6959" s="159">
        <f>I6958</f>
        <v>1.356107E-2</v>
      </c>
      <c r="J6959" s="160"/>
      <c r="K6959" s="161">
        <f>K6958</f>
        <v>409</v>
      </c>
      <c r="L6959" s="162">
        <v>1</v>
      </c>
      <c r="M6959" s="163"/>
      <c r="N6959" s="164">
        <f t="shared" si="1912"/>
        <v>0</v>
      </c>
      <c r="O6959" s="165">
        <f t="shared" si="1913"/>
        <v>0</v>
      </c>
      <c r="P6959" s="166"/>
      <c r="Q6959" s="166">
        <f t="shared" si="1914"/>
        <v>0</v>
      </c>
      <c r="R6959" s="71"/>
    </row>
    <row r="6960" spans="1:41" s="61" customFormat="1" ht="47.25" x14ac:dyDescent="0.25">
      <c r="A6960" s="358"/>
      <c r="B6960" s="361"/>
      <c r="C6960" s="366"/>
      <c r="D6960" s="156" t="s">
        <v>32</v>
      </c>
      <c r="E6960" s="156" t="s">
        <v>55</v>
      </c>
      <c r="F6960" s="156" t="s">
        <v>219</v>
      </c>
      <c r="G6960" s="266">
        <f t="shared" si="1915"/>
        <v>4.7745599999999997E-3</v>
      </c>
      <c r="H6960" s="158">
        <f>H6840</f>
        <v>36</v>
      </c>
      <c r="I6960" s="159">
        <f>I6959</f>
        <v>1.356107E-2</v>
      </c>
      <c r="J6960" s="160"/>
      <c r="K6960" s="161">
        <f>K6959</f>
        <v>409</v>
      </c>
      <c r="L6960" s="250">
        <v>4</v>
      </c>
      <c r="M6960" s="163" t="str">
        <f>CONCATENATE(H6960," ",F6960,"*",L6960,"кв.","*",I6960,"/",K6960,"чел.")</f>
        <v>36 системы*4кв.*0,01356107/409чел.</v>
      </c>
      <c r="N6960" s="164">
        <f t="shared" si="1912"/>
        <v>7532.7785416666693</v>
      </c>
      <c r="O6960" s="165">
        <f t="shared" si="1913"/>
        <v>35.965702999999998</v>
      </c>
      <c r="P6960" s="166"/>
      <c r="Q6960" s="166">
        <f t="shared" si="1914"/>
        <v>14709.972527</v>
      </c>
      <c r="R6960" s="71"/>
    </row>
    <row r="6961" spans="1:18" s="61" customFormat="1" ht="63" x14ac:dyDescent="0.25">
      <c r="A6961" s="358"/>
      <c r="B6961" s="361"/>
      <c r="C6961" s="366"/>
      <c r="D6961" s="156" t="s">
        <v>33</v>
      </c>
      <c r="E6961" s="156" t="s">
        <v>56</v>
      </c>
      <c r="F6961" s="156" t="s">
        <v>220</v>
      </c>
      <c r="G6961" s="266">
        <f t="shared" si="1915"/>
        <v>1.1936399999999999E-3</v>
      </c>
      <c r="H6961" s="158">
        <f>$H$64</f>
        <v>36</v>
      </c>
      <c r="I6961" s="159">
        <f t="shared" ref="I6961:I6972" si="1916">I6960</f>
        <v>1.356107E-2</v>
      </c>
      <c r="J6961" s="160"/>
      <c r="K6961" s="161">
        <f t="shared" ref="K6961:K6972" si="1917">K6960</f>
        <v>409</v>
      </c>
      <c r="L6961" s="162">
        <v>1</v>
      </c>
      <c r="M6961" s="163" t="str">
        <f>CONCATENATE(H6961," ",F6961,"*",L6961," раз в год","*",I6961,"/",K6961,"чел.")</f>
        <v>36 дымоходов*1 раз в год*0,01356107/409чел.</v>
      </c>
      <c r="N6961" s="164">
        <f t="shared" si="1912"/>
        <v>7312.0941666666668</v>
      </c>
      <c r="O6961" s="165">
        <f t="shared" si="1913"/>
        <v>8.7280079999999991</v>
      </c>
      <c r="P6961" s="166"/>
      <c r="Q6961" s="166">
        <f t="shared" si="1914"/>
        <v>3569.7552719999994</v>
      </c>
      <c r="R6961" s="71"/>
    </row>
    <row r="6962" spans="1:18" s="61" customFormat="1" x14ac:dyDescent="0.25">
      <c r="A6962" s="358"/>
      <c r="B6962" s="361"/>
      <c r="C6962" s="366"/>
      <c r="D6962" s="194" t="s">
        <v>398</v>
      </c>
      <c r="E6962" s="156" t="s">
        <v>60</v>
      </c>
      <c r="F6962" s="156" t="s">
        <v>60</v>
      </c>
      <c r="G6962" s="266">
        <f t="shared" si="1915"/>
        <v>1.16048E-3</v>
      </c>
      <c r="H6962" s="246">
        <f t="shared" ref="H6962:H6972" si="1918">H6842</f>
        <v>35</v>
      </c>
      <c r="I6962" s="159">
        <f t="shared" si="1916"/>
        <v>1.356107E-2</v>
      </c>
      <c r="J6962" s="160"/>
      <c r="K6962" s="161">
        <f t="shared" si="1917"/>
        <v>409</v>
      </c>
      <c r="L6962" s="250">
        <v>1</v>
      </c>
      <c r="M6962" s="163" t="str">
        <f>CONCATENATE(H6962," ",F6962,"*",I6962,"/",K6962,"чел.")</f>
        <v>35 шт.*0,01356107/409чел.</v>
      </c>
      <c r="N6962" s="164">
        <f t="shared" si="1912"/>
        <v>12660.374571428585</v>
      </c>
      <c r="O6962" s="165">
        <f t="shared" si="1913"/>
        <v>14.692110999999999</v>
      </c>
      <c r="P6962" s="166"/>
      <c r="Q6962" s="166">
        <f t="shared" si="1914"/>
        <v>6009.0733989999999</v>
      </c>
      <c r="R6962" s="71"/>
    </row>
    <row r="6963" spans="1:18" s="61" customFormat="1" ht="47.25" x14ac:dyDescent="0.25">
      <c r="A6963" s="358"/>
      <c r="B6963" s="361"/>
      <c r="C6963" s="366"/>
      <c r="D6963" s="156" t="s">
        <v>401</v>
      </c>
      <c r="E6963" s="156" t="s">
        <v>60</v>
      </c>
      <c r="F6963" s="156" t="s">
        <v>402</v>
      </c>
      <c r="G6963" s="266">
        <f t="shared" si="1915"/>
        <v>2.3209699999999999E-3</v>
      </c>
      <c r="H6963" s="246">
        <f t="shared" si="1918"/>
        <v>35</v>
      </c>
      <c r="I6963" s="159">
        <f t="shared" si="1916"/>
        <v>1.356107E-2</v>
      </c>
      <c r="J6963" s="160"/>
      <c r="K6963" s="161">
        <f t="shared" si="1917"/>
        <v>409</v>
      </c>
      <c r="L6963" s="162">
        <v>2</v>
      </c>
      <c r="M6963" s="163" t="str">
        <f>CONCATENATE(H6963," ",F6963,"*",L6963," раз в год","*",I6963,"/",K6963,"чел.")</f>
        <v>35 противопожарных водопроводов*2 раз в год*0,01356107/409чел.</v>
      </c>
      <c r="N6963" s="164">
        <f t="shared" si="1912"/>
        <v>5928.7300000000032</v>
      </c>
      <c r="O6963" s="165">
        <f t="shared" si="1913"/>
        <v>13.760403999999999</v>
      </c>
      <c r="P6963" s="166"/>
      <c r="Q6963" s="166">
        <f t="shared" si="1914"/>
        <v>5628.005236</v>
      </c>
      <c r="R6963" s="71"/>
    </row>
    <row r="6964" spans="1:18" s="61" customFormat="1" ht="31.5" x14ac:dyDescent="0.25">
      <c r="A6964" s="358"/>
      <c r="B6964" s="361"/>
      <c r="C6964" s="366"/>
      <c r="D6964" s="156" t="s">
        <v>221</v>
      </c>
      <c r="E6964" s="156" t="s">
        <v>60</v>
      </c>
      <c r="F6964" s="156" t="s">
        <v>60</v>
      </c>
      <c r="G6964" s="266">
        <f>MROUND(H6964*L6964*I6964/K6964,0.0000000001)</f>
        <v>7.1618365000000002E-3</v>
      </c>
      <c r="H6964" s="158">
        <f t="shared" si="1918"/>
        <v>18</v>
      </c>
      <c r="I6964" s="159">
        <f t="shared" si="1916"/>
        <v>1.356107E-2</v>
      </c>
      <c r="J6964" s="160"/>
      <c r="K6964" s="161">
        <f t="shared" si="1917"/>
        <v>409</v>
      </c>
      <c r="L6964" s="250">
        <v>12</v>
      </c>
      <c r="M6964" s="163" t="str">
        <f>CONCATENATE(H6964," ",F6964,"*",L6964,"мес.","*",I6964,"/",K6964,"чел.")</f>
        <v>18 шт.*12мес.*0,01356107/409чел.</v>
      </c>
      <c r="N6964" s="164">
        <f t="shared" si="1912"/>
        <v>6840.4345833333346</v>
      </c>
      <c r="O6964" s="165">
        <f t="shared" si="1913"/>
        <v>48.990074</v>
      </c>
      <c r="P6964" s="166"/>
      <c r="Q6964" s="166">
        <f t="shared" si="1914"/>
        <v>20036.940266000001</v>
      </c>
      <c r="R6964" s="71"/>
    </row>
    <row r="6965" spans="1:18" s="61" customFormat="1" ht="47.25" x14ac:dyDescent="0.25">
      <c r="A6965" s="358"/>
      <c r="B6965" s="361"/>
      <c r="C6965" s="366"/>
      <c r="D6965" s="156" t="s">
        <v>34</v>
      </c>
      <c r="E6965" s="156" t="s">
        <v>59</v>
      </c>
      <c r="F6965" s="156" t="s">
        <v>28</v>
      </c>
      <c r="G6965" s="266">
        <f>MROUND(H6965*L6965*I6965/K6965,0.00000000001)</f>
        <v>6.6313299999999994E-5</v>
      </c>
      <c r="H6965" s="158">
        <f t="shared" si="1918"/>
        <v>2</v>
      </c>
      <c r="I6965" s="159">
        <f t="shared" si="1916"/>
        <v>1.356107E-2</v>
      </c>
      <c r="J6965" s="160"/>
      <c r="K6965" s="161">
        <f t="shared" si="1917"/>
        <v>409</v>
      </c>
      <c r="L6965" s="250">
        <v>1</v>
      </c>
      <c r="M6965" s="163" t="str">
        <f>CONCATENATE(H6965," ",F6965,"*",I6965,"/",K6965,"чел.")</f>
        <v>2 шт*0,01356107/409чел.</v>
      </c>
      <c r="N6965" s="164">
        <f t="shared" si="1912"/>
        <v>8158.8</v>
      </c>
      <c r="O6965" s="165">
        <f t="shared" si="1913"/>
        <v>0.54103699999999999</v>
      </c>
      <c r="P6965" s="166"/>
      <c r="Q6965" s="166">
        <f t="shared" si="1914"/>
        <v>221.284133</v>
      </c>
      <c r="R6965" s="71"/>
    </row>
    <row r="6966" spans="1:18" s="61" customFormat="1" ht="47.25" x14ac:dyDescent="0.25">
      <c r="A6966" s="358"/>
      <c r="B6966" s="361"/>
      <c r="C6966" s="366"/>
      <c r="D6966" s="156" t="s">
        <v>222</v>
      </c>
      <c r="E6966" s="156" t="s">
        <v>60</v>
      </c>
      <c r="F6966" s="156" t="s">
        <v>60</v>
      </c>
      <c r="G6966" s="266">
        <f t="shared" ref="G6966:G6972" si="1919">MROUND(H6966*L6966*I6966/K6966,0.00000001)</f>
        <v>1.6578E-4</v>
      </c>
      <c r="H6966" s="248">
        <f t="shared" si="1918"/>
        <v>5</v>
      </c>
      <c r="I6966" s="159">
        <f t="shared" si="1916"/>
        <v>1.356107E-2</v>
      </c>
      <c r="J6966" s="160"/>
      <c r="K6966" s="161">
        <f t="shared" si="1917"/>
        <v>409</v>
      </c>
      <c r="L6966" s="250">
        <v>1</v>
      </c>
      <c r="M6966" s="163" t="str">
        <f>CONCATENATE(H6966," ",F6966,"*",I6966,"/",K6966,"чел.")</f>
        <v>5 шт.*0,01356107/409чел.</v>
      </c>
      <c r="N6966" s="164">
        <f t="shared" si="1912"/>
        <v>45611.39</v>
      </c>
      <c r="O6966" s="165">
        <f>MROUND(G6966*N6966,0.00000001)</f>
        <v>7.5614562300000001</v>
      </c>
      <c r="P6966" s="166"/>
      <c r="Q6966" s="166">
        <f t="shared" si="1914"/>
        <v>3092.63559807</v>
      </c>
      <c r="R6966" s="71"/>
    </row>
    <row r="6967" spans="1:18" s="61" customFormat="1" ht="31.5" x14ac:dyDescent="0.25">
      <c r="A6967" s="358"/>
      <c r="B6967" s="361"/>
      <c r="C6967" s="366"/>
      <c r="D6967" s="156" t="s">
        <v>35</v>
      </c>
      <c r="E6967" s="156" t="s">
        <v>102</v>
      </c>
      <c r="F6967" s="156" t="s">
        <v>223</v>
      </c>
      <c r="G6967" s="266">
        <f t="shared" si="1919"/>
        <v>1.16048E-3</v>
      </c>
      <c r="H6967" s="158">
        <f t="shared" si="1918"/>
        <v>35</v>
      </c>
      <c r="I6967" s="159">
        <f t="shared" si="1916"/>
        <v>1.356107E-2</v>
      </c>
      <c r="J6967" s="160"/>
      <c r="K6967" s="161">
        <f t="shared" si="1917"/>
        <v>409</v>
      </c>
      <c r="L6967" s="250">
        <v>1</v>
      </c>
      <c r="M6967" s="163" t="str">
        <f>CONCATENATE(H6967," ",F6967,"*",I6967,"/",K6967,"чел.")</f>
        <v>35 замеров*0,01356107/409чел.</v>
      </c>
      <c r="N6967" s="164">
        <f t="shared" si="1912"/>
        <v>26000</v>
      </c>
      <c r="O6967" s="165">
        <f t="shared" ref="O6967:O6972" si="1920">MROUND(G6967*N6967,0.000001)</f>
        <v>30.17248</v>
      </c>
      <c r="P6967" s="166"/>
      <c r="Q6967" s="166">
        <f t="shared" si="1914"/>
        <v>12340.544320000001</v>
      </c>
      <c r="R6967" s="71"/>
    </row>
    <row r="6968" spans="1:18" s="61" customFormat="1" ht="47.25" x14ac:dyDescent="0.25">
      <c r="A6968" s="358"/>
      <c r="B6968" s="361"/>
      <c r="C6968" s="366"/>
      <c r="D6968" s="156" t="s">
        <v>399</v>
      </c>
      <c r="E6968" s="156" t="s">
        <v>60</v>
      </c>
      <c r="F6968" s="156" t="s">
        <v>60</v>
      </c>
      <c r="G6968" s="266">
        <f t="shared" si="1919"/>
        <v>1.160483E-2</v>
      </c>
      <c r="H6968" s="158">
        <f t="shared" si="1918"/>
        <v>35</v>
      </c>
      <c r="I6968" s="159">
        <f t="shared" si="1916"/>
        <v>1.356107E-2</v>
      </c>
      <c r="J6968" s="160"/>
      <c r="K6968" s="161">
        <f t="shared" si="1917"/>
        <v>409</v>
      </c>
      <c r="L6968" s="250">
        <v>10</v>
      </c>
      <c r="M6968" s="163" t="str">
        <f>CONCATENATE(H6968," ",F6968,"*",L6968,"мес.","*",I6968,"/",K6968,"чел.")</f>
        <v>35 шт.*10мес.*0,01356107/409чел.</v>
      </c>
      <c r="N6968" s="164">
        <f t="shared" si="1912"/>
        <v>3380.9014857142843</v>
      </c>
      <c r="O6968" s="165">
        <f t="shared" si="1920"/>
        <v>39.234786999999997</v>
      </c>
      <c r="P6968" s="166"/>
      <c r="Q6968" s="166">
        <f t="shared" si="1914"/>
        <v>16047.027882999999</v>
      </c>
      <c r="R6968" s="71"/>
    </row>
    <row r="6969" spans="1:18" s="61" customFormat="1" ht="47.25" x14ac:dyDescent="0.25">
      <c r="A6969" s="358"/>
      <c r="B6969" s="361"/>
      <c r="C6969" s="366"/>
      <c r="D6969" s="156" t="s">
        <v>36</v>
      </c>
      <c r="E6969" s="156" t="s">
        <v>31</v>
      </c>
      <c r="F6969" s="156" t="s">
        <v>224</v>
      </c>
      <c r="G6969" s="266">
        <f t="shared" si="1919"/>
        <v>1.432367E-2</v>
      </c>
      <c r="H6969" s="158">
        <f t="shared" si="1918"/>
        <v>36</v>
      </c>
      <c r="I6969" s="159">
        <f t="shared" si="1916"/>
        <v>1.356107E-2</v>
      </c>
      <c r="J6969" s="160"/>
      <c r="K6969" s="161">
        <f t="shared" si="1917"/>
        <v>409</v>
      </c>
      <c r="L6969" s="250">
        <v>12</v>
      </c>
      <c r="M6969" s="163" t="str">
        <f>CONCATENATE(H6969," ",F6969,"*",L6969,"мес.","*",I6969,"/",K6969,"чел.")</f>
        <v>36 устройств*12мес.*0,01356107/409чел.</v>
      </c>
      <c r="N6969" s="164">
        <f t="shared" si="1912"/>
        <v>1269.5381481481488</v>
      </c>
      <c r="O6969" s="165">
        <f t="shared" si="1920"/>
        <v>18.184445</v>
      </c>
      <c r="P6969" s="166"/>
      <c r="Q6969" s="166">
        <f t="shared" si="1914"/>
        <v>7437.438005</v>
      </c>
      <c r="R6969" s="71"/>
    </row>
    <row r="6970" spans="1:18" s="61" customFormat="1" ht="31.5" x14ac:dyDescent="0.25">
      <c r="A6970" s="358"/>
      <c r="B6970" s="361"/>
      <c r="C6970" s="366"/>
      <c r="D6970" s="156" t="s">
        <v>99</v>
      </c>
      <c r="E6970" s="156" t="s">
        <v>103</v>
      </c>
      <c r="F6970" s="156" t="s">
        <v>225</v>
      </c>
      <c r="G6970" s="266">
        <f t="shared" si="1919"/>
        <v>6.6644900000000003E-3</v>
      </c>
      <c r="H6970" s="158">
        <f t="shared" si="1918"/>
        <v>201</v>
      </c>
      <c r="I6970" s="159">
        <f t="shared" si="1916"/>
        <v>1.356107E-2</v>
      </c>
      <c r="J6970" s="160"/>
      <c r="K6970" s="161">
        <f t="shared" si="1917"/>
        <v>409</v>
      </c>
      <c r="L6970" s="250">
        <v>1</v>
      </c>
      <c r="M6970" s="163" t="str">
        <f>CONCATENATE(H6970," ",F6970,"*",I6970,"/",K6970,"чел.")</f>
        <v>201 ед.*0,01356107/409чел.</v>
      </c>
      <c r="N6970" s="164">
        <f t="shared" si="1912"/>
        <v>15000</v>
      </c>
      <c r="O6970" s="165">
        <f t="shared" si="1920"/>
        <v>99.967349999999996</v>
      </c>
      <c r="P6970" s="166"/>
      <c r="Q6970" s="166">
        <f t="shared" si="1914"/>
        <v>40886.64615</v>
      </c>
      <c r="R6970" s="71"/>
    </row>
    <row r="6971" spans="1:18" s="61" customFormat="1" x14ac:dyDescent="0.25">
      <c r="A6971" s="358"/>
      <c r="B6971" s="361"/>
      <c r="C6971" s="366"/>
      <c r="D6971" s="156" t="s">
        <v>27</v>
      </c>
      <c r="E6971" s="156" t="s">
        <v>28</v>
      </c>
      <c r="F6971" s="156" t="s">
        <v>28</v>
      </c>
      <c r="G6971" s="266">
        <f t="shared" si="1919"/>
        <v>0.13892636999999999</v>
      </c>
      <c r="H6971" s="160">
        <f t="shared" si="1918"/>
        <v>4190</v>
      </c>
      <c r="I6971" s="159">
        <f t="shared" si="1916"/>
        <v>1.356107E-2</v>
      </c>
      <c r="J6971" s="160"/>
      <c r="K6971" s="161">
        <f t="shared" si="1917"/>
        <v>409</v>
      </c>
      <c r="L6971" s="250">
        <v>1</v>
      </c>
      <c r="M6971" s="163" t="str">
        <f>CONCATENATE(H6971," ",F6971,"*",I6971,"/",K6971,"чел.")</f>
        <v>4190 шт*0,01356107/409чел.</v>
      </c>
      <c r="N6971" s="164">
        <f t="shared" si="1912"/>
        <v>435.13600000000008</v>
      </c>
      <c r="O6971" s="165">
        <f t="shared" si="1920"/>
        <v>60.451864999999998</v>
      </c>
      <c r="P6971" s="166"/>
      <c r="Q6971" s="166">
        <f t="shared" si="1914"/>
        <v>24724.812784999998</v>
      </c>
      <c r="R6971" s="71"/>
    </row>
    <row r="6972" spans="1:18" s="61" customFormat="1" ht="31.5" x14ac:dyDescent="0.25">
      <c r="A6972" s="358"/>
      <c r="B6972" s="361"/>
      <c r="C6972" s="367"/>
      <c r="D6972" s="156" t="s">
        <v>104</v>
      </c>
      <c r="E6972" s="156" t="s">
        <v>105</v>
      </c>
      <c r="F6972" s="156" t="s">
        <v>226</v>
      </c>
      <c r="G6972" s="266">
        <f t="shared" si="1919"/>
        <v>1.1936399999999999E-3</v>
      </c>
      <c r="H6972" s="160">
        <f t="shared" si="1918"/>
        <v>36</v>
      </c>
      <c r="I6972" s="159">
        <f t="shared" si="1916"/>
        <v>1.356107E-2</v>
      </c>
      <c r="J6972" s="160"/>
      <c r="K6972" s="161">
        <f t="shared" si="1917"/>
        <v>409</v>
      </c>
      <c r="L6972" s="250">
        <v>1</v>
      </c>
      <c r="M6972" s="163" t="str">
        <f>CONCATENATE(H6972," ",F6972,"*",I6972,"/",K6972,"чел.")</f>
        <v>36 отключений*0,01356107/409чел.</v>
      </c>
      <c r="N6972" s="164">
        <f t="shared" si="1912"/>
        <v>10671.710000000006</v>
      </c>
      <c r="O6972" s="165">
        <f t="shared" si="1920"/>
        <v>12.73818</v>
      </c>
      <c r="P6972" s="166"/>
      <c r="Q6972" s="166">
        <f t="shared" si="1914"/>
        <v>5209.9156199999998</v>
      </c>
      <c r="R6972" s="71"/>
    </row>
    <row r="6973" spans="1:18" s="61" customFormat="1" x14ac:dyDescent="0.25">
      <c r="A6973" s="358"/>
      <c r="B6973" s="361"/>
      <c r="C6973" s="249" t="s">
        <v>304</v>
      </c>
      <c r="D6973" s="240"/>
      <c r="E6973" s="240"/>
      <c r="F6973" s="240"/>
      <c r="G6973" s="227"/>
      <c r="H6973" s="228"/>
      <c r="I6973" s="206"/>
      <c r="J6973" s="228"/>
      <c r="K6973" s="207"/>
      <c r="L6973" s="257"/>
      <c r="M6973" s="209"/>
      <c r="N6973" s="210"/>
      <c r="O6973" s="198">
        <f>SUM(O6957:O6972)</f>
        <v>400.35980422999995</v>
      </c>
      <c r="P6973" s="166"/>
      <c r="Q6973" s="166"/>
      <c r="R6973" s="71"/>
    </row>
    <row r="6974" spans="1:18" s="61" customFormat="1" ht="31.5" x14ac:dyDescent="0.25">
      <c r="A6974" s="358"/>
      <c r="B6974" s="361"/>
      <c r="C6974" s="221" t="s">
        <v>79</v>
      </c>
      <c r="D6974" s="156" t="s">
        <v>37</v>
      </c>
      <c r="E6974" s="156" t="s">
        <v>61</v>
      </c>
      <c r="F6974" s="156" t="s">
        <v>227</v>
      </c>
      <c r="G6974" s="266">
        <f>MROUND(H6974*L6974*I6974/K6974,0.000000001)</f>
        <v>1.3262700000000002E-4</v>
      </c>
      <c r="H6974" s="158">
        <f>H6854</f>
        <v>4</v>
      </c>
      <c r="I6974" s="159">
        <f>I6972</f>
        <v>1.356107E-2</v>
      </c>
      <c r="J6974" s="160"/>
      <c r="K6974" s="161">
        <f>K6972</f>
        <v>409</v>
      </c>
      <c r="L6974" s="250">
        <v>1</v>
      </c>
      <c r="M6974" s="163" t="str">
        <f>CONCATENATE(H6974," ",F6974,"*",I6974,"/",K6974,"чел.")</f>
        <v>4 автобуса*0,01356107/409чел.</v>
      </c>
      <c r="N6974" s="164">
        <f>N6854</f>
        <v>37900.35</v>
      </c>
      <c r="O6974" s="165">
        <f>MROUND(G6974*N6974,0.000001)</f>
        <v>5.0266099999999998</v>
      </c>
      <c r="P6974" s="166"/>
      <c r="Q6974" s="166">
        <f t="shared" ref="Q6974" si="1921">O6974*K6974</f>
        <v>2055.8834899999997</v>
      </c>
      <c r="R6974" s="71"/>
    </row>
    <row r="6975" spans="1:18" s="61" customFormat="1" x14ac:dyDescent="0.25">
      <c r="A6975" s="358"/>
      <c r="B6975" s="361"/>
      <c r="C6975" s="218" t="s">
        <v>305</v>
      </c>
      <c r="D6975" s="240"/>
      <c r="E6975" s="240"/>
      <c r="F6975" s="240"/>
      <c r="G6975" s="227"/>
      <c r="H6975" s="241"/>
      <c r="I6975" s="206"/>
      <c r="J6975" s="228"/>
      <c r="K6975" s="207"/>
      <c r="L6975" s="257"/>
      <c r="M6975" s="209"/>
      <c r="N6975" s="210"/>
      <c r="O6975" s="198">
        <f>SUM(O6974)</f>
        <v>5.0266099999999998</v>
      </c>
      <c r="P6975" s="166"/>
      <c r="Q6975" s="166"/>
      <c r="R6975" s="71"/>
    </row>
    <row r="6976" spans="1:18" s="61" customFormat="1" ht="15.6" customHeight="1" x14ac:dyDescent="0.25">
      <c r="A6976" s="358"/>
      <c r="B6976" s="361"/>
      <c r="C6976" s="365" t="s">
        <v>80</v>
      </c>
      <c r="D6976" s="156" t="s">
        <v>38</v>
      </c>
      <c r="E6976" s="156" t="s">
        <v>57</v>
      </c>
      <c r="F6976" s="156" t="s">
        <v>228</v>
      </c>
      <c r="G6976" s="266">
        <f>MROUND(H6976*L6976*I6976/K6976,0.0000000001)</f>
        <v>1.4323673E-2</v>
      </c>
      <c r="H6976" s="158">
        <f t="shared" ref="H6976:H6989" si="1922">H6856</f>
        <v>36</v>
      </c>
      <c r="I6976" s="159">
        <f>I6974</f>
        <v>1.356107E-2</v>
      </c>
      <c r="J6976" s="160"/>
      <c r="K6976" s="161">
        <f>K6974</f>
        <v>409</v>
      </c>
      <c r="L6976" s="250">
        <v>12</v>
      </c>
      <c r="M6976" s="163" t="str">
        <f>CONCATENATE(H6976," ",F6976,"*",L6976,"мес.","*",I6976,"/",K6976,"чел.")</f>
        <v>36 зданий*12мес.*0,01356107/409чел.</v>
      </c>
      <c r="N6976" s="164">
        <f t="shared" ref="N6976:N6989" si="1923">N6856</f>
        <v>5106.1928935185206</v>
      </c>
      <c r="O6976" s="165">
        <f>MROUND(G6976*N6976,0.000001)</f>
        <v>73.139437000000001</v>
      </c>
      <c r="P6976" s="166"/>
      <c r="Q6976" s="166">
        <f t="shared" ref="Q6976:Q6989" si="1924">O6976*K6976</f>
        <v>29914.029732999999</v>
      </c>
      <c r="R6976" s="71"/>
    </row>
    <row r="6977" spans="1:18" s="61" customFormat="1" ht="46.9" customHeight="1" x14ac:dyDescent="0.25">
      <c r="A6977" s="358"/>
      <c r="B6977" s="361"/>
      <c r="C6977" s="366"/>
      <c r="D6977" s="156" t="s">
        <v>229</v>
      </c>
      <c r="E6977" s="156" t="s">
        <v>60</v>
      </c>
      <c r="F6977" s="156" t="s">
        <v>60</v>
      </c>
      <c r="G6977" s="266">
        <f>MROUND(H6977*L6977*I6977/K6977,0.000001)</f>
        <v>7.9377000000000003E-2</v>
      </c>
      <c r="H6977" s="158">
        <f t="shared" si="1922"/>
        <v>2394</v>
      </c>
      <c r="I6977" s="159">
        <f>I6976</f>
        <v>1.356107E-2</v>
      </c>
      <c r="J6977" s="160"/>
      <c r="K6977" s="161">
        <f>K6976</f>
        <v>409</v>
      </c>
      <c r="L6977" s="250">
        <v>1</v>
      </c>
      <c r="M6977" s="163" t="str">
        <f t="shared" ref="M6977:M6984" si="1925">CONCATENATE(H6977," ",F6977,"*",I6977,"/",K6977,"чел.")</f>
        <v>2394 шт.*0,01356107/409чел.</v>
      </c>
      <c r="N6977" s="164">
        <f t="shared" si="1923"/>
        <v>177.86185045948207</v>
      </c>
      <c r="O6977" s="165">
        <f>MROUND(G6977*N6977,0.000001)</f>
        <v>14.118139999999999</v>
      </c>
      <c r="P6977" s="166"/>
      <c r="Q6977" s="166">
        <f t="shared" si="1924"/>
        <v>5774.3192599999993</v>
      </c>
      <c r="R6977" s="71"/>
    </row>
    <row r="6978" spans="1:18" s="61" customFormat="1" ht="46.9" customHeight="1" x14ac:dyDescent="0.25">
      <c r="A6978" s="358"/>
      <c r="B6978" s="361"/>
      <c r="C6978" s="366"/>
      <c r="D6978" s="156" t="s">
        <v>405</v>
      </c>
      <c r="E6978" s="156" t="s">
        <v>60</v>
      </c>
      <c r="F6978" s="156" t="s">
        <v>406</v>
      </c>
      <c r="G6978" s="266">
        <f>MROUND(H6978*L6978*I6978/K6978,0.00000001)</f>
        <v>1.1936399999999999E-3</v>
      </c>
      <c r="H6978" s="158">
        <f t="shared" si="1922"/>
        <v>36</v>
      </c>
      <c r="I6978" s="159">
        <f>I6977</f>
        <v>1.356107E-2</v>
      </c>
      <c r="J6978" s="160"/>
      <c r="K6978" s="161">
        <f>K6977</f>
        <v>409</v>
      </c>
      <c r="L6978" s="250">
        <v>1</v>
      </c>
      <c r="M6978" s="163" t="str">
        <f t="shared" si="1925"/>
        <v>36 лицензий*0,01356107/409чел.</v>
      </c>
      <c r="N6978" s="164">
        <f t="shared" si="1923"/>
        <v>13043.200000000006</v>
      </c>
      <c r="O6978" s="165">
        <f t="shared" ref="O6978:O6987" si="1926">MROUND(G6978*N6978,0.000001)</f>
        <v>15.568885</v>
      </c>
      <c r="P6978" s="166"/>
      <c r="Q6978" s="166">
        <f t="shared" si="1924"/>
        <v>6367.673965</v>
      </c>
      <c r="R6978" s="71"/>
    </row>
    <row r="6979" spans="1:18" s="61" customFormat="1" ht="62.45" customHeight="1" x14ac:dyDescent="0.25">
      <c r="A6979" s="358"/>
      <c r="B6979" s="361"/>
      <c r="C6979" s="366"/>
      <c r="D6979" s="156" t="s">
        <v>39</v>
      </c>
      <c r="E6979" s="156" t="s">
        <v>20</v>
      </c>
      <c r="F6979" s="156" t="s">
        <v>234</v>
      </c>
      <c r="G6979" s="266">
        <f>MROUND(H6979*L6979*I6979/K6979,0.00000001)</f>
        <v>3.9124800000000003E-3</v>
      </c>
      <c r="H6979" s="158">
        <f t="shared" si="1922"/>
        <v>118</v>
      </c>
      <c r="I6979" s="159">
        <f>I6977</f>
        <v>1.356107E-2</v>
      </c>
      <c r="J6979" s="160"/>
      <c r="K6979" s="161">
        <f>K6977</f>
        <v>409</v>
      </c>
      <c r="L6979" s="250">
        <v>1</v>
      </c>
      <c r="M6979" s="163" t="str">
        <f t="shared" si="1925"/>
        <v>118 чел(заявленная потребность руководителями учреждений)*0,01356107/409чел.</v>
      </c>
      <c r="N6979" s="164">
        <f t="shared" si="1923"/>
        <v>830.02203389830515</v>
      </c>
      <c r="O6979" s="165">
        <f t="shared" si="1926"/>
        <v>3.2474449999999999</v>
      </c>
      <c r="P6979" s="166"/>
      <c r="Q6979" s="166">
        <f t="shared" si="1924"/>
        <v>1328.205005</v>
      </c>
      <c r="R6979" s="71"/>
    </row>
    <row r="6980" spans="1:18" s="61" customFormat="1" ht="62.45" customHeight="1" x14ac:dyDescent="0.25">
      <c r="A6980" s="358"/>
      <c r="B6980" s="361"/>
      <c r="C6980" s="366"/>
      <c r="D6980" s="156" t="s">
        <v>40</v>
      </c>
      <c r="E6980" s="156" t="s">
        <v>20</v>
      </c>
      <c r="F6980" s="156" t="s">
        <v>234</v>
      </c>
      <c r="G6980" s="266">
        <f>MROUND(H6980*L6980*I6980/K6980,0.000000001)</f>
        <v>3.183038E-3</v>
      </c>
      <c r="H6980" s="158">
        <f t="shared" si="1922"/>
        <v>96</v>
      </c>
      <c r="I6980" s="159">
        <f t="shared" ref="I6980:I6987" si="1927">I6979</f>
        <v>1.356107E-2</v>
      </c>
      <c r="J6980" s="160"/>
      <c r="K6980" s="161">
        <f t="shared" ref="K6980:K6987" si="1928">K6979</f>
        <v>409</v>
      </c>
      <c r="L6980" s="250">
        <v>1</v>
      </c>
      <c r="M6980" s="163" t="str">
        <f t="shared" si="1925"/>
        <v>96 чел(заявленная потребность руководителями учреждений)*0,01356107/409чел.</v>
      </c>
      <c r="N6980" s="164">
        <f t="shared" si="1923"/>
        <v>1778.6189583333326</v>
      </c>
      <c r="O6980" s="165">
        <f t="shared" si="1926"/>
        <v>5.6614119999999994</v>
      </c>
      <c r="P6980" s="166"/>
      <c r="Q6980" s="166">
        <f t="shared" si="1924"/>
        <v>2315.5175079999999</v>
      </c>
      <c r="R6980" s="71"/>
    </row>
    <row r="6981" spans="1:18" s="61" customFormat="1" ht="62.45" customHeight="1" x14ac:dyDescent="0.25">
      <c r="A6981" s="358"/>
      <c r="B6981" s="361"/>
      <c r="C6981" s="366"/>
      <c r="D6981" s="156" t="s">
        <v>100</v>
      </c>
      <c r="E6981" s="156" t="s">
        <v>20</v>
      </c>
      <c r="F6981" s="156" t="s">
        <v>234</v>
      </c>
      <c r="G6981" s="266">
        <f>MROUND(H6981*L6981*I6981/K6981,0.0000000001)</f>
        <v>2.6856887000000001E-3</v>
      </c>
      <c r="H6981" s="158">
        <f t="shared" si="1922"/>
        <v>81</v>
      </c>
      <c r="I6981" s="159">
        <f t="shared" si="1927"/>
        <v>1.356107E-2</v>
      </c>
      <c r="J6981" s="160"/>
      <c r="K6981" s="161">
        <f t="shared" si="1928"/>
        <v>409</v>
      </c>
      <c r="L6981" s="250">
        <v>1</v>
      </c>
      <c r="M6981" s="163" t="str">
        <f t="shared" si="1925"/>
        <v>81 чел(заявленная потребность руководителями учреждений)*0,01356107/409чел.</v>
      </c>
      <c r="N6981" s="164">
        <f t="shared" si="1923"/>
        <v>3794.386419753087</v>
      </c>
      <c r="O6981" s="165">
        <f t="shared" si="1926"/>
        <v>10.190541</v>
      </c>
      <c r="P6981" s="166"/>
      <c r="Q6981" s="166">
        <f t="shared" si="1924"/>
        <v>4167.9312689999997</v>
      </c>
      <c r="R6981" s="71"/>
    </row>
    <row r="6982" spans="1:18" s="61" customFormat="1" ht="109.15" customHeight="1" x14ac:dyDescent="0.25">
      <c r="A6982" s="358"/>
      <c r="B6982" s="361"/>
      <c r="C6982" s="366"/>
      <c r="D6982" s="156" t="s">
        <v>235</v>
      </c>
      <c r="E6982" s="156" t="s">
        <v>50</v>
      </c>
      <c r="F6982" s="156" t="s">
        <v>230</v>
      </c>
      <c r="G6982" s="266">
        <f>MROUND(H6982*L6982*I6982/K6982,0.00000001)</f>
        <v>1.1936399999999999E-3</v>
      </c>
      <c r="H6982" s="158">
        <f t="shared" si="1922"/>
        <v>36</v>
      </c>
      <c r="I6982" s="159">
        <f t="shared" si="1927"/>
        <v>1.356107E-2</v>
      </c>
      <c r="J6982" s="160"/>
      <c r="K6982" s="161">
        <f t="shared" si="1928"/>
        <v>409</v>
      </c>
      <c r="L6982" s="250">
        <v>1</v>
      </c>
      <c r="M6982" s="163" t="str">
        <f t="shared" si="1925"/>
        <v>36 отчетов*0,01356107/409чел.</v>
      </c>
      <c r="N6982" s="164">
        <f t="shared" si="1923"/>
        <v>7114.47</v>
      </c>
      <c r="O6982" s="165">
        <f t="shared" si="1926"/>
        <v>8.4921159999999993</v>
      </c>
      <c r="P6982" s="166"/>
      <c r="Q6982" s="166">
        <f t="shared" si="1924"/>
        <v>3473.2754439999999</v>
      </c>
      <c r="R6982" s="71"/>
    </row>
    <row r="6983" spans="1:18" s="61" customFormat="1" ht="62.45" customHeight="1" x14ac:dyDescent="0.25">
      <c r="A6983" s="358"/>
      <c r="B6983" s="361"/>
      <c r="C6983" s="366"/>
      <c r="D6983" s="156" t="s">
        <v>42</v>
      </c>
      <c r="E6983" s="156" t="s">
        <v>51</v>
      </c>
      <c r="F6983" s="156" t="s">
        <v>407</v>
      </c>
      <c r="G6983" s="266">
        <f t="shared" ref="G6983:G6985" si="1929">MROUND(H6983*L6983*I6983/K6983,0.00000001)</f>
        <v>6.7639600000000003E-3</v>
      </c>
      <c r="H6983" s="158">
        <f t="shared" si="1922"/>
        <v>204</v>
      </c>
      <c r="I6983" s="159">
        <f t="shared" si="1927"/>
        <v>1.356107E-2</v>
      </c>
      <c r="J6983" s="160"/>
      <c r="K6983" s="161">
        <f t="shared" si="1928"/>
        <v>409</v>
      </c>
      <c r="L6983" s="250">
        <v>1</v>
      </c>
      <c r="M6983" s="163" t="str">
        <f t="shared" si="1925"/>
        <v>204 ед (заявленная потребность руководителями учреждений)*0,01356107/409чел.</v>
      </c>
      <c r="N6983" s="164">
        <f t="shared" si="1923"/>
        <v>1185.7454901960789</v>
      </c>
      <c r="O6983" s="165">
        <f t="shared" si="1926"/>
        <v>8.0203349999999993</v>
      </c>
      <c r="P6983" s="166"/>
      <c r="Q6983" s="166">
        <f t="shared" si="1924"/>
        <v>3280.3170149999996</v>
      </c>
      <c r="R6983" s="71"/>
    </row>
    <row r="6984" spans="1:18" s="61" customFormat="1" ht="31.15" customHeight="1" x14ac:dyDescent="0.25">
      <c r="A6984" s="358"/>
      <c r="B6984" s="361"/>
      <c r="C6984" s="366"/>
      <c r="D6984" s="156" t="s">
        <v>43</v>
      </c>
      <c r="E6984" s="156" t="s">
        <v>52</v>
      </c>
      <c r="F6984" s="156" t="s">
        <v>231</v>
      </c>
      <c r="G6984" s="266">
        <f t="shared" si="1929"/>
        <v>1.1936399999999999E-3</v>
      </c>
      <c r="H6984" s="158">
        <f t="shared" si="1922"/>
        <v>36</v>
      </c>
      <c r="I6984" s="159">
        <f t="shared" si="1927"/>
        <v>1.356107E-2</v>
      </c>
      <c r="J6984" s="160"/>
      <c r="K6984" s="161">
        <f t="shared" si="1928"/>
        <v>409</v>
      </c>
      <c r="L6984" s="250">
        <v>1</v>
      </c>
      <c r="M6984" s="163" t="str">
        <f t="shared" si="1925"/>
        <v>36 ЭЦП*0,01356107/409чел.</v>
      </c>
      <c r="N6984" s="164">
        <f t="shared" si="1923"/>
        <v>8423.5400000000009</v>
      </c>
      <c r="O6984" s="165">
        <f t="shared" si="1926"/>
        <v>10.054674</v>
      </c>
      <c r="P6984" s="166"/>
      <c r="Q6984" s="166">
        <f t="shared" si="1924"/>
        <v>4112.3616659999998</v>
      </c>
      <c r="R6984" s="71"/>
    </row>
    <row r="6985" spans="1:18" s="61" customFormat="1" ht="46.9" customHeight="1" x14ac:dyDescent="0.25">
      <c r="A6985" s="358"/>
      <c r="B6985" s="361"/>
      <c r="C6985" s="366"/>
      <c r="D6985" s="156" t="s">
        <v>44</v>
      </c>
      <c r="E6985" s="156" t="s">
        <v>85</v>
      </c>
      <c r="F6985" s="156" t="s">
        <v>232</v>
      </c>
      <c r="G6985" s="266">
        <f t="shared" si="1929"/>
        <v>4.0318489999999998E-2</v>
      </c>
      <c r="H6985" s="158">
        <f t="shared" si="1922"/>
        <v>1216</v>
      </c>
      <c r="I6985" s="159">
        <f t="shared" si="1927"/>
        <v>1.356107E-2</v>
      </c>
      <c r="J6985" s="160"/>
      <c r="K6985" s="161">
        <f t="shared" si="1928"/>
        <v>409</v>
      </c>
      <c r="L6985" s="250">
        <v>1</v>
      </c>
      <c r="M6985" s="163" t="str">
        <f>CONCATENATE(H6985," ",F6985,"*",L6985,"мес.","*",I6985,"/",K6985,"чел.")</f>
        <v>1216 мед.осмотров в мес.*1мес.*0,01356107/409чел.</v>
      </c>
      <c r="N6985" s="164">
        <f t="shared" si="1923"/>
        <v>61.65877467105264</v>
      </c>
      <c r="O6985" s="165">
        <f t="shared" si="1926"/>
        <v>2.485989</v>
      </c>
      <c r="P6985" s="166"/>
      <c r="Q6985" s="166">
        <f t="shared" si="1924"/>
        <v>1016.769501</v>
      </c>
      <c r="R6985" s="71"/>
    </row>
    <row r="6986" spans="1:18" s="61" customFormat="1" ht="62.45" customHeight="1" x14ac:dyDescent="0.25">
      <c r="A6986" s="358"/>
      <c r="B6986" s="361"/>
      <c r="C6986" s="366"/>
      <c r="D6986" s="156" t="s">
        <v>45</v>
      </c>
      <c r="E6986" s="156" t="s">
        <v>53</v>
      </c>
      <c r="F6986" s="156" t="s">
        <v>233</v>
      </c>
      <c r="G6986" s="266">
        <f>MROUND(H6986*L6986*I6986/K6986,0.0000000001)</f>
        <v>1.5915192000000001E-3</v>
      </c>
      <c r="H6986" s="158">
        <f t="shared" si="1922"/>
        <v>4</v>
      </c>
      <c r="I6986" s="159">
        <f t="shared" si="1927"/>
        <v>1.356107E-2</v>
      </c>
      <c r="J6986" s="160"/>
      <c r="K6986" s="161">
        <f t="shared" si="1928"/>
        <v>409</v>
      </c>
      <c r="L6986" s="250">
        <v>12</v>
      </c>
      <c r="M6986" s="163" t="str">
        <f>CONCATENATE(H6986," ",F6986,"*",L6986,"мес.","*",I6986,"/",K6986,"чел.")</f>
        <v>4  машины, оборудованных системой ГЛОНАСС*12мес.*0,01356107/409чел.</v>
      </c>
      <c r="N6986" s="164">
        <f t="shared" si="1923"/>
        <v>958.08249999999998</v>
      </c>
      <c r="O6986" s="165">
        <f t="shared" si="1926"/>
        <v>1.524807</v>
      </c>
      <c r="P6986" s="166"/>
      <c r="Q6986" s="166">
        <f t="shared" si="1924"/>
        <v>623.64606300000003</v>
      </c>
      <c r="R6986" s="71"/>
    </row>
    <row r="6987" spans="1:18" s="61" customFormat="1" ht="15.6" customHeight="1" x14ac:dyDescent="0.25">
      <c r="A6987" s="358"/>
      <c r="B6987" s="361"/>
      <c r="C6987" s="366"/>
      <c r="D6987" s="156" t="s">
        <v>408</v>
      </c>
      <c r="E6987" s="156" t="s">
        <v>20</v>
      </c>
      <c r="F6987" s="156" t="s">
        <v>20</v>
      </c>
      <c r="G6987" s="266">
        <f>MROUND(H6987*L6987*I6987/K6987,0.0000000001)</f>
        <v>5.6266835700000004E-2</v>
      </c>
      <c r="H6987" s="158">
        <f t="shared" si="1922"/>
        <v>1697</v>
      </c>
      <c r="I6987" s="159">
        <f t="shared" si="1927"/>
        <v>1.356107E-2</v>
      </c>
      <c r="J6987" s="160"/>
      <c r="K6987" s="161">
        <f t="shared" si="1928"/>
        <v>409</v>
      </c>
      <c r="L6987" s="250">
        <v>1</v>
      </c>
      <c r="M6987" s="163" t="str">
        <f>CONCATENATE(H6987," ",F6987,"*",L6987," раз в год","*",I6987,"/",K6987,"чел.")</f>
        <v>1697 чел.*1 раз в год*0,01356107/409чел.</v>
      </c>
      <c r="N6987" s="164">
        <f t="shared" si="1923"/>
        <v>592.87278137890405</v>
      </c>
      <c r="O6987" s="165">
        <f t="shared" si="1926"/>
        <v>33.359074999999997</v>
      </c>
      <c r="P6987" s="166"/>
      <c r="Q6987" s="166">
        <f t="shared" si="1924"/>
        <v>13643.861674999998</v>
      </c>
      <c r="R6987" s="71"/>
    </row>
    <row r="6988" spans="1:18" s="61" customFormat="1" ht="31.5" x14ac:dyDescent="0.25">
      <c r="A6988" s="358"/>
      <c r="B6988" s="361"/>
      <c r="C6988" s="364"/>
      <c r="D6988" s="156" t="s">
        <v>106</v>
      </c>
      <c r="E6988" s="156" t="s">
        <v>107</v>
      </c>
      <c r="F6988" s="156"/>
      <c r="G6988" s="266">
        <f t="shared" ref="G6988" si="1930">MROUND(H6988*L6988*I6988/K6988,0.00000001)</f>
        <v>0</v>
      </c>
      <c r="H6988" s="158">
        <f t="shared" si="1922"/>
        <v>0</v>
      </c>
      <c r="I6988" s="159">
        <f>I6986</f>
        <v>1.356107E-2</v>
      </c>
      <c r="J6988" s="160"/>
      <c r="K6988" s="161">
        <f>K6986</f>
        <v>409</v>
      </c>
      <c r="L6988" s="250">
        <f>L6868</f>
        <v>0</v>
      </c>
      <c r="M6988" s="163"/>
      <c r="N6988" s="164">
        <f t="shared" si="1923"/>
        <v>6.0000000000000002E-5</v>
      </c>
      <c r="O6988" s="165">
        <f>MROUND(G6988*N6988,0.000000001)</f>
        <v>0</v>
      </c>
      <c r="P6988" s="166"/>
      <c r="Q6988" s="166">
        <f t="shared" si="1924"/>
        <v>0</v>
      </c>
      <c r="R6988" s="71"/>
    </row>
    <row r="6989" spans="1:18" s="61" customFormat="1" ht="15.6" customHeight="1" x14ac:dyDescent="0.25">
      <c r="A6989" s="358"/>
      <c r="B6989" s="361"/>
      <c r="C6989" s="367"/>
      <c r="D6989" s="156" t="s">
        <v>373</v>
      </c>
      <c r="E6989" s="156" t="s">
        <v>28</v>
      </c>
      <c r="F6989" s="156" t="s">
        <v>28</v>
      </c>
      <c r="G6989" s="157">
        <f>MROUND(H6989*L6989*I6989/K6989,0.000000001)</f>
        <v>1.193639E-3</v>
      </c>
      <c r="H6989" s="158">
        <f t="shared" si="1922"/>
        <v>36</v>
      </c>
      <c r="I6989" s="159">
        <f>I6987</f>
        <v>1.356107E-2</v>
      </c>
      <c r="J6989" s="160"/>
      <c r="K6989" s="161">
        <f>K6987</f>
        <v>409</v>
      </c>
      <c r="L6989" s="162">
        <v>1</v>
      </c>
      <c r="M6989" s="163" t="str">
        <f>CONCATENATE(H6989," ",F6989,"*",L6989,"мес.","*",I6989,"/",K6989,"чел.")</f>
        <v>36 шт*1мес.*0,01356107/409чел.</v>
      </c>
      <c r="N6989" s="164">
        <f t="shared" si="1923"/>
        <v>24000</v>
      </c>
      <c r="O6989" s="165">
        <f>MROUND(G6989*N6989,0.000000001)</f>
        <v>28.647336000000003</v>
      </c>
      <c r="P6989" s="166"/>
      <c r="Q6989" s="166">
        <f t="shared" si="1924"/>
        <v>11716.760424000002</v>
      </c>
      <c r="R6989" s="71"/>
    </row>
    <row r="6990" spans="1:18" s="61" customFormat="1" x14ac:dyDescent="0.25">
      <c r="A6990" s="358"/>
      <c r="B6990" s="361"/>
      <c r="C6990" s="245" t="s">
        <v>306</v>
      </c>
      <c r="D6990" s="240"/>
      <c r="E6990" s="240"/>
      <c r="F6990" s="240"/>
      <c r="G6990" s="227"/>
      <c r="H6990" s="241"/>
      <c r="I6990" s="206"/>
      <c r="J6990" s="228"/>
      <c r="K6990" s="207"/>
      <c r="L6990" s="257"/>
      <c r="M6990" s="209"/>
      <c r="N6990" s="210"/>
      <c r="O6990" s="198">
        <f>SUM(O6976:O6989)</f>
        <v>214.51019199999996</v>
      </c>
      <c r="P6990" s="166"/>
      <c r="Q6990" s="166"/>
      <c r="R6990" s="71"/>
    </row>
    <row r="6991" spans="1:18" s="61" customFormat="1" ht="31.5" x14ac:dyDescent="0.25">
      <c r="A6991" s="358"/>
      <c r="B6991" s="361"/>
      <c r="C6991" s="252" t="s">
        <v>237</v>
      </c>
      <c r="D6991" s="156" t="s">
        <v>41</v>
      </c>
      <c r="E6991" s="156" t="s">
        <v>61</v>
      </c>
      <c r="F6991" s="156" t="s">
        <v>227</v>
      </c>
      <c r="G6991" s="266">
        <f>MROUND(H6991*L6991*I6991/K6991,0.000000001)</f>
        <v>1.3262700000000002E-4</v>
      </c>
      <c r="H6991" s="158">
        <f>H6871</f>
        <v>4</v>
      </c>
      <c r="I6991" s="159">
        <f>I6988</f>
        <v>1.356107E-2</v>
      </c>
      <c r="J6991" s="160"/>
      <c r="K6991" s="161">
        <f>K6988</f>
        <v>409</v>
      </c>
      <c r="L6991" s="250">
        <v>1</v>
      </c>
      <c r="M6991" s="163" t="str">
        <f>CONCATENATE(H6991," ",F6991,"*",I6991,"/",K6991,"чел.")</f>
        <v>4 автобуса*0,01356107/409чел.</v>
      </c>
      <c r="N6991" s="164">
        <f>N6871</f>
        <v>27983.595000000001</v>
      </c>
      <c r="O6991" s="165">
        <f>MROUND(G6991*N6991,0.000001)</f>
        <v>3.7113799999999997</v>
      </c>
      <c r="P6991" s="166"/>
      <c r="Q6991" s="166">
        <f t="shared" ref="Q6991" si="1931">O6991*K6991</f>
        <v>1517.9544199999998</v>
      </c>
      <c r="R6991" s="71"/>
    </row>
    <row r="6992" spans="1:18" s="61" customFormat="1" x14ac:dyDescent="0.25">
      <c r="A6992" s="358"/>
      <c r="B6992" s="361"/>
      <c r="C6992" s="245" t="s">
        <v>307</v>
      </c>
      <c r="D6992" s="240"/>
      <c r="E6992" s="240"/>
      <c r="F6992" s="240"/>
      <c r="G6992" s="227"/>
      <c r="H6992" s="241"/>
      <c r="I6992" s="206"/>
      <c r="J6992" s="228"/>
      <c r="K6992" s="207"/>
      <c r="L6992" s="257"/>
      <c r="M6992" s="209"/>
      <c r="N6992" s="210"/>
      <c r="O6992" s="198">
        <f>SUM(O6991)</f>
        <v>3.7113799999999997</v>
      </c>
      <c r="P6992" s="166"/>
      <c r="Q6992" s="166"/>
      <c r="R6992" s="71"/>
    </row>
    <row r="6993" spans="1:18" s="61" customFormat="1" ht="78.75" x14ac:dyDescent="0.25">
      <c r="A6993" s="358"/>
      <c r="B6993" s="361"/>
      <c r="C6993" s="221" t="s">
        <v>236</v>
      </c>
      <c r="D6993" s="156" t="s">
        <v>19</v>
      </c>
      <c r="E6993" s="181" t="s">
        <v>20</v>
      </c>
      <c r="F6993" s="181" t="s">
        <v>238</v>
      </c>
      <c r="G6993" s="266">
        <f>MROUND(H6993*L6993*I6993/K6993,0.000001)</f>
        <v>0</v>
      </c>
      <c r="H6993" s="158"/>
      <c r="I6993" s="159">
        <f>I6988</f>
        <v>1.356107E-2</v>
      </c>
      <c r="J6993" s="160"/>
      <c r="K6993" s="161">
        <f>K6988</f>
        <v>409</v>
      </c>
      <c r="L6993" s="250"/>
      <c r="M6993" s="163"/>
      <c r="N6993" s="164"/>
      <c r="O6993" s="165">
        <f>MROUND(G6993*N6993,0.000001)</f>
        <v>0</v>
      </c>
      <c r="P6993" s="166"/>
      <c r="Q6993" s="166">
        <f t="shared" ref="Q6993" si="1932">O6993*K6993</f>
        <v>0</v>
      </c>
      <c r="R6993" s="71"/>
    </row>
    <row r="6994" spans="1:18" s="61" customFormat="1" x14ac:dyDescent="0.25">
      <c r="A6994" s="358"/>
      <c r="B6994" s="361"/>
      <c r="C6994" s="245" t="s">
        <v>308</v>
      </c>
      <c r="D6994" s="240"/>
      <c r="E6994" s="253"/>
      <c r="F6994" s="253"/>
      <c r="G6994" s="227"/>
      <c r="H6994" s="241"/>
      <c r="I6994" s="206"/>
      <c r="J6994" s="228"/>
      <c r="K6994" s="207"/>
      <c r="L6994" s="257"/>
      <c r="M6994" s="209"/>
      <c r="N6994" s="210"/>
      <c r="O6994" s="198">
        <f>SUM(O6993)</f>
        <v>0</v>
      </c>
      <c r="P6994" s="166"/>
      <c r="Q6994" s="166"/>
      <c r="R6994" s="71"/>
    </row>
    <row r="6995" spans="1:18" s="61" customFormat="1" ht="30" x14ac:dyDescent="0.25">
      <c r="A6995" s="358"/>
      <c r="B6995" s="361"/>
      <c r="C6995" s="365" t="s">
        <v>81</v>
      </c>
      <c r="D6995" s="254" t="s">
        <v>410</v>
      </c>
      <c r="E6995" s="156" t="s">
        <v>28</v>
      </c>
      <c r="F6995" s="156" t="s">
        <v>28</v>
      </c>
      <c r="G6995" s="157">
        <f>MROUND(H6995*L6995*I6995/K6995,0.0000000001)</f>
        <v>0</v>
      </c>
      <c r="H6995" s="158"/>
      <c r="I6995" s="159">
        <f>I6988</f>
        <v>1.356107E-2</v>
      </c>
      <c r="J6995" s="160"/>
      <c r="K6995" s="161">
        <f>K6988</f>
        <v>409</v>
      </c>
      <c r="L6995" s="250">
        <v>1</v>
      </c>
      <c r="M6995" s="163"/>
      <c r="N6995" s="164"/>
      <c r="O6995" s="165">
        <f>MROUND(G6995*N6995,0.000001)</f>
        <v>0</v>
      </c>
      <c r="P6995" s="166"/>
      <c r="Q6995" s="166">
        <f t="shared" ref="Q6995" si="1933">O6995*K6995</f>
        <v>0</v>
      </c>
      <c r="R6995" s="71"/>
    </row>
    <row r="6996" spans="1:18" s="61" customFormat="1" x14ac:dyDescent="0.25">
      <c r="A6996" s="358"/>
      <c r="B6996" s="361"/>
      <c r="C6996" s="366"/>
      <c r="D6996" s="254" t="s">
        <v>325</v>
      </c>
      <c r="E6996" s="156" t="s">
        <v>28</v>
      </c>
      <c r="F6996" s="156" t="s">
        <v>28</v>
      </c>
      <c r="G6996" s="157">
        <f>MROUND(H6996*L6996*I6996/K6996,0.0000000001)</f>
        <v>0</v>
      </c>
      <c r="H6996" s="158"/>
      <c r="I6996" s="159">
        <f>I6995</f>
        <v>1.356107E-2</v>
      </c>
      <c r="J6996" s="160"/>
      <c r="K6996" s="161">
        <f>K6995</f>
        <v>409</v>
      </c>
      <c r="L6996" s="250">
        <v>1</v>
      </c>
      <c r="M6996" s="163"/>
      <c r="N6996" s="164"/>
      <c r="O6996" s="165">
        <f>MROUND(G6996*N6996,0.000001)</f>
        <v>0</v>
      </c>
      <c r="P6996" s="166"/>
      <c r="Q6996" s="166">
        <f>O6996*K6996</f>
        <v>0</v>
      </c>
      <c r="R6996" s="71"/>
    </row>
    <row r="6997" spans="1:18" s="61" customFormat="1" ht="30" x14ac:dyDescent="0.25">
      <c r="A6997" s="358"/>
      <c r="B6997" s="361"/>
      <c r="C6997" s="366"/>
      <c r="D6997" s="254" t="s">
        <v>411</v>
      </c>
      <c r="E6997" s="156" t="s">
        <v>28</v>
      </c>
      <c r="F6997" s="156" t="s">
        <v>28</v>
      </c>
      <c r="G6997" s="157">
        <f t="shared" ref="G6997:G7018" si="1934">MROUND(H6997*L6997*I6997/K6997,0.0000000001)</f>
        <v>0</v>
      </c>
      <c r="H6997" s="158"/>
      <c r="I6997" s="159">
        <f>I6995</f>
        <v>1.356107E-2</v>
      </c>
      <c r="J6997" s="160"/>
      <c r="K6997" s="161">
        <f>K6995</f>
        <v>409</v>
      </c>
      <c r="L6997" s="250">
        <v>1</v>
      </c>
      <c r="M6997" s="163"/>
      <c r="N6997" s="164"/>
      <c r="O6997" s="165">
        <f t="shared" ref="O6997:O7018" si="1935">MROUND(G6997*N6997,0.000001)</f>
        <v>0</v>
      </c>
      <c r="P6997" s="166"/>
      <c r="Q6997" s="166">
        <f t="shared" ref="Q6997:Q7018" si="1936">O6997*K6997</f>
        <v>0</v>
      </c>
      <c r="R6997" s="71"/>
    </row>
    <row r="6998" spans="1:18" s="61" customFormat="1" x14ac:dyDescent="0.25">
      <c r="A6998" s="358"/>
      <c r="B6998" s="361"/>
      <c r="C6998" s="366"/>
      <c r="D6998" s="255" t="s">
        <v>412</v>
      </c>
      <c r="E6998" s="156" t="s">
        <v>28</v>
      </c>
      <c r="F6998" s="156" t="s">
        <v>28</v>
      </c>
      <c r="G6998" s="157">
        <f t="shared" si="1934"/>
        <v>0</v>
      </c>
      <c r="H6998" s="158"/>
      <c r="I6998" s="159">
        <f>I6997</f>
        <v>1.356107E-2</v>
      </c>
      <c r="J6998" s="160"/>
      <c r="K6998" s="161">
        <f>K6997</f>
        <v>409</v>
      </c>
      <c r="L6998" s="250">
        <v>1</v>
      </c>
      <c r="M6998" s="163"/>
      <c r="N6998" s="164"/>
      <c r="O6998" s="165">
        <f t="shared" si="1935"/>
        <v>0</v>
      </c>
      <c r="P6998" s="166"/>
      <c r="Q6998" s="166">
        <f t="shared" si="1936"/>
        <v>0</v>
      </c>
      <c r="R6998" s="71"/>
    </row>
    <row r="6999" spans="1:18" s="61" customFormat="1" ht="31.5" x14ac:dyDescent="0.25">
      <c r="A6999" s="358"/>
      <c r="B6999" s="361"/>
      <c r="C6999" s="366"/>
      <c r="D6999" s="255" t="s">
        <v>413</v>
      </c>
      <c r="E6999" s="156" t="s">
        <v>28</v>
      </c>
      <c r="F6999" s="156" t="s">
        <v>28</v>
      </c>
      <c r="G6999" s="157">
        <f t="shared" si="1934"/>
        <v>0</v>
      </c>
      <c r="H6999" s="158"/>
      <c r="I6999" s="159">
        <f>I6998</f>
        <v>1.356107E-2</v>
      </c>
      <c r="J6999" s="160"/>
      <c r="K6999" s="161">
        <f>K6998</f>
        <v>409</v>
      </c>
      <c r="L6999" s="250">
        <v>1</v>
      </c>
      <c r="M6999" s="163"/>
      <c r="N6999" s="164"/>
      <c r="O6999" s="165">
        <f t="shared" si="1935"/>
        <v>0</v>
      </c>
      <c r="P6999" s="166"/>
      <c r="Q6999" s="166">
        <f t="shared" si="1936"/>
        <v>0</v>
      </c>
      <c r="R6999" s="71"/>
    </row>
    <row r="7000" spans="1:18" s="61" customFormat="1" x14ac:dyDescent="0.25">
      <c r="A7000" s="358"/>
      <c r="B7000" s="361"/>
      <c r="C7000" s="366"/>
      <c r="D7000" s="254" t="s">
        <v>109</v>
      </c>
      <c r="E7000" s="156" t="s">
        <v>28</v>
      </c>
      <c r="F7000" s="156" t="s">
        <v>28</v>
      </c>
      <c r="G7000" s="157">
        <f t="shared" si="1934"/>
        <v>0</v>
      </c>
      <c r="H7000" s="158"/>
      <c r="I7000" s="159">
        <f>I6999</f>
        <v>1.356107E-2</v>
      </c>
      <c r="J7000" s="160"/>
      <c r="K7000" s="161">
        <f>K6999</f>
        <v>409</v>
      </c>
      <c r="L7000" s="250">
        <v>1</v>
      </c>
      <c r="M7000" s="163"/>
      <c r="N7000" s="164"/>
      <c r="O7000" s="165">
        <f t="shared" si="1935"/>
        <v>0</v>
      </c>
      <c r="P7000" s="166"/>
      <c r="Q7000" s="166">
        <f t="shared" si="1936"/>
        <v>0</v>
      </c>
      <c r="R7000" s="71"/>
    </row>
    <row r="7001" spans="1:18" s="61" customFormat="1" x14ac:dyDescent="0.25">
      <c r="A7001" s="358"/>
      <c r="B7001" s="361"/>
      <c r="C7001" s="366"/>
      <c r="D7001" s="254" t="s">
        <v>414</v>
      </c>
      <c r="E7001" s="156" t="s">
        <v>28</v>
      </c>
      <c r="F7001" s="156" t="s">
        <v>28</v>
      </c>
      <c r="G7001" s="157">
        <f t="shared" si="1934"/>
        <v>0</v>
      </c>
      <c r="H7001" s="158"/>
      <c r="I7001" s="159">
        <f>I6999</f>
        <v>1.356107E-2</v>
      </c>
      <c r="J7001" s="160"/>
      <c r="K7001" s="161">
        <f>K6999</f>
        <v>409</v>
      </c>
      <c r="L7001" s="250">
        <v>1</v>
      </c>
      <c r="M7001" s="163"/>
      <c r="N7001" s="164"/>
      <c r="O7001" s="165">
        <f t="shared" si="1935"/>
        <v>0</v>
      </c>
      <c r="P7001" s="166"/>
      <c r="Q7001" s="166">
        <f t="shared" si="1936"/>
        <v>0</v>
      </c>
      <c r="R7001" s="71"/>
    </row>
    <row r="7002" spans="1:18" s="61" customFormat="1" x14ac:dyDescent="0.25">
      <c r="A7002" s="358"/>
      <c r="B7002" s="361"/>
      <c r="C7002" s="366"/>
      <c r="D7002" s="254" t="s">
        <v>415</v>
      </c>
      <c r="E7002" s="156" t="s">
        <v>28</v>
      </c>
      <c r="F7002" s="156" t="s">
        <v>28</v>
      </c>
      <c r="G7002" s="157">
        <f t="shared" si="1934"/>
        <v>0</v>
      </c>
      <c r="H7002" s="158"/>
      <c r="I7002" s="159">
        <f t="shared" ref="I7002:I7011" si="1937">I7000</f>
        <v>1.356107E-2</v>
      </c>
      <c r="J7002" s="160"/>
      <c r="K7002" s="161">
        <f t="shared" ref="K7002:K7011" si="1938">K7000</f>
        <v>409</v>
      </c>
      <c r="L7002" s="250">
        <v>1</v>
      </c>
      <c r="M7002" s="163"/>
      <c r="N7002" s="164"/>
      <c r="O7002" s="165">
        <f t="shared" si="1935"/>
        <v>0</v>
      </c>
      <c r="P7002" s="166"/>
      <c r="Q7002" s="166">
        <f t="shared" si="1936"/>
        <v>0</v>
      </c>
      <c r="R7002" s="71"/>
    </row>
    <row r="7003" spans="1:18" s="61" customFormat="1" x14ac:dyDescent="0.25">
      <c r="A7003" s="358"/>
      <c r="B7003" s="361"/>
      <c r="C7003" s="366"/>
      <c r="D7003" s="254" t="s">
        <v>416</v>
      </c>
      <c r="E7003" s="156" t="s">
        <v>28</v>
      </c>
      <c r="F7003" s="156" t="s">
        <v>28</v>
      </c>
      <c r="G7003" s="157">
        <f t="shared" si="1934"/>
        <v>0</v>
      </c>
      <c r="H7003" s="246"/>
      <c r="I7003" s="159">
        <f t="shared" si="1937"/>
        <v>1.356107E-2</v>
      </c>
      <c r="J7003" s="160"/>
      <c r="K7003" s="161">
        <f t="shared" si="1938"/>
        <v>409</v>
      </c>
      <c r="L7003" s="250">
        <v>1</v>
      </c>
      <c r="M7003" s="163"/>
      <c r="N7003" s="164"/>
      <c r="O7003" s="165">
        <f t="shared" si="1935"/>
        <v>0</v>
      </c>
      <c r="P7003" s="166"/>
      <c r="Q7003" s="166">
        <f t="shared" si="1936"/>
        <v>0</v>
      </c>
      <c r="R7003" s="71"/>
    </row>
    <row r="7004" spans="1:18" s="61" customFormat="1" x14ac:dyDescent="0.25">
      <c r="A7004" s="358"/>
      <c r="B7004" s="361"/>
      <c r="C7004" s="366"/>
      <c r="D7004" s="254" t="s">
        <v>417</v>
      </c>
      <c r="E7004" s="156" t="s">
        <v>28</v>
      </c>
      <c r="F7004" s="156" t="s">
        <v>28</v>
      </c>
      <c r="G7004" s="157">
        <f t="shared" si="1934"/>
        <v>0</v>
      </c>
      <c r="H7004" s="158"/>
      <c r="I7004" s="159">
        <f t="shared" si="1937"/>
        <v>1.356107E-2</v>
      </c>
      <c r="J7004" s="160"/>
      <c r="K7004" s="161">
        <f t="shared" si="1938"/>
        <v>409</v>
      </c>
      <c r="L7004" s="250">
        <v>1</v>
      </c>
      <c r="M7004" s="163"/>
      <c r="N7004" s="164"/>
      <c r="O7004" s="165">
        <f t="shared" si="1935"/>
        <v>0</v>
      </c>
      <c r="P7004" s="166"/>
      <c r="Q7004" s="166">
        <f t="shared" si="1936"/>
        <v>0</v>
      </c>
      <c r="R7004" s="71"/>
    </row>
    <row r="7005" spans="1:18" s="61" customFormat="1" ht="30" x14ac:dyDescent="0.25">
      <c r="A7005" s="358"/>
      <c r="B7005" s="361"/>
      <c r="C7005" s="366"/>
      <c r="D7005" s="254" t="s">
        <v>418</v>
      </c>
      <c r="E7005" s="156" t="s">
        <v>28</v>
      </c>
      <c r="F7005" s="156" t="s">
        <v>28</v>
      </c>
      <c r="G7005" s="157">
        <f t="shared" si="1934"/>
        <v>0</v>
      </c>
      <c r="H7005" s="158"/>
      <c r="I7005" s="159">
        <f t="shared" si="1937"/>
        <v>1.356107E-2</v>
      </c>
      <c r="J7005" s="160"/>
      <c r="K7005" s="161">
        <f t="shared" si="1938"/>
        <v>409</v>
      </c>
      <c r="L7005" s="250">
        <v>1</v>
      </c>
      <c r="M7005" s="163"/>
      <c r="N7005" s="164"/>
      <c r="O7005" s="165">
        <f t="shared" si="1935"/>
        <v>0</v>
      </c>
      <c r="P7005" s="166"/>
      <c r="Q7005" s="166">
        <f t="shared" si="1936"/>
        <v>0</v>
      </c>
      <c r="R7005" s="71"/>
    </row>
    <row r="7006" spans="1:18" s="61" customFormat="1" x14ac:dyDescent="0.25">
      <c r="A7006" s="358"/>
      <c r="B7006" s="361"/>
      <c r="C7006" s="366"/>
      <c r="D7006" s="254" t="s">
        <v>324</v>
      </c>
      <c r="E7006" s="156" t="s">
        <v>28</v>
      </c>
      <c r="F7006" s="156" t="s">
        <v>28</v>
      </c>
      <c r="G7006" s="157">
        <f t="shared" si="1934"/>
        <v>0</v>
      </c>
      <c r="H7006" s="158"/>
      <c r="I7006" s="159">
        <f t="shared" si="1937"/>
        <v>1.356107E-2</v>
      </c>
      <c r="J7006" s="160"/>
      <c r="K7006" s="161">
        <f t="shared" si="1938"/>
        <v>409</v>
      </c>
      <c r="L7006" s="250">
        <v>1</v>
      </c>
      <c r="M7006" s="163"/>
      <c r="N7006" s="164"/>
      <c r="O7006" s="165">
        <f t="shared" si="1935"/>
        <v>0</v>
      </c>
      <c r="P7006" s="166"/>
      <c r="Q7006" s="166">
        <f t="shared" si="1936"/>
        <v>0</v>
      </c>
      <c r="R7006" s="71"/>
    </row>
    <row r="7007" spans="1:18" s="61" customFormat="1" x14ac:dyDescent="0.25">
      <c r="A7007" s="358"/>
      <c r="B7007" s="361"/>
      <c r="C7007" s="366"/>
      <c r="D7007" s="254" t="s">
        <v>419</v>
      </c>
      <c r="E7007" s="156" t="s">
        <v>28</v>
      </c>
      <c r="F7007" s="156" t="s">
        <v>28</v>
      </c>
      <c r="G7007" s="157">
        <f t="shared" si="1934"/>
        <v>0</v>
      </c>
      <c r="H7007" s="246"/>
      <c r="I7007" s="159">
        <f t="shared" si="1937"/>
        <v>1.356107E-2</v>
      </c>
      <c r="J7007" s="160"/>
      <c r="K7007" s="161">
        <f t="shared" si="1938"/>
        <v>409</v>
      </c>
      <c r="L7007" s="250">
        <v>1</v>
      </c>
      <c r="M7007" s="163"/>
      <c r="N7007" s="164"/>
      <c r="O7007" s="165">
        <f t="shared" si="1935"/>
        <v>0</v>
      </c>
      <c r="P7007" s="166"/>
      <c r="Q7007" s="166">
        <f t="shared" si="1936"/>
        <v>0</v>
      </c>
      <c r="R7007" s="71"/>
    </row>
    <row r="7008" spans="1:18" s="61" customFormat="1" x14ac:dyDescent="0.25">
      <c r="A7008" s="358"/>
      <c r="B7008" s="361"/>
      <c r="C7008" s="366"/>
      <c r="D7008" s="254" t="s">
        <v>420</v>
      </c>
      <c r="E7008" s="156" t="s">
        <v>28</v>
      </c>
      <c r="F7008" s="156" t="s">
        <v>28</v>
      </c>
      <c r="G7008" s="157">
        <f t="shared" si="1934"/>
        <v>0</v>
      </c>
      <c r="H7008" s="158"/>
      <c r="I7008" s="159">
        <f t="shared" si="1937"/>
        <v>1.356107E-2</v>
      </c>
      <c r="J7008" s="160"/>
      <c r="K7008" s="161">
        <f t="shared" si="1938"/>
        <v>409</v>
      </c>
      <c r="L7008" s="250">
        <v>1</v>
      </c>
      <c r="M7008" s="163"/>
      <c r="N7008" s="164"/>
      <c r="O7008" s="165">
        <f t="shared" si="1935"/>
        <v>0</v>
      </c>
      <c r="P7008" s="166"/>
      <c r="Q7008" s="166">
        <f t="shared" si="1936"/>
        <v>0</v>
      </c>
      <c r="R7008" s="71"/>
    </row>
    <row r="7009" spans="1:18" s="61" customFormat="1" x14ac:dyDescent="0.25">
      <c r="A7009" s="358"/>
      <c r="B7009" s="361"/>
      <c r="C7009" s="366"/>
      <c r="D7009" s="254" t="s">
        <v>421</v>
      </c>
      <c r="E7009" s="156" t="s">
        <v>28</v>
      </c>
      <c r="F7009" s="156" t="s">
        <v>28</v>
      </c>
      <c r="G7009" s="157">
        <f t="shared" si="1934"/>
        <v>0</v>
      </c>
      <c r="H7009" s="158"/>
      <c r="I7009" s="159">
        <f t="shared" si="1937"/>
        <v>1.356107E-2</v>
      </c>
      <c r="J7009" s="160"/>
      <c r="K7009" s="161">
        <f t="shared" si="1938"/>
        <v>409</v>
      </c>
      <c r="L7009" s="250">
        <v>1</v>
      </c>
      <c r="M7009" s="163"/>
      <c r="N7009" s="164"/>
      <c r="O7009" s="165">
        <f t="shared" si="1935"/>
        <v>0</v>
      </c>
      <c r="P7009" s="166"/>
      <c r="Q7009" s="166">
        <f t="shared" si="1936"/>
        <v>0</v>
      </c>
      <c r="R7009" s="71"/>
    </row>
    <row r="7010" spans="1:18" s="61" customFormat="1" ht="30" x14ac:dyDescent="0.25">
      <c r="A7010" s="358"/>
      <c r="B7010" s="361"/>
      <c r="C7010" s="366"/>
      <c r="D7010" s="254" t="s">
        <v>422</v>
      </c>
      <c r="E7010" s="156" t="s">
        <v>28</v>
      </c>
      <c r="F7010" s="156" t="s">
        <v>28</v>
      </c>
      <c r="G7010" s="157">
        <f t="shared" si="1934"/>
        <v>0</v>
      </c>
      <c r="H7010" s="158"/>
      <c r="I7010" s="159">
        <f t="shared" si="1937"/>
        <v>1.356107E-2</v>
      </c>
      <c r="J7010" s="160"/>
      <c r="K7010" s="161">
        <f t="shared" si="1938"/>
        <v>409</v>
      </c>
      <c r="L7010" s="250">
        <v>1</v>
      </c>
      <c r="M7010" s="163"/>
      <c r="N7010" s="164"/>
      <c r="O7010" s="165">
        <f t="shared" si="1935"/>
        <v>0</v>
      </c>
      <c r="P7010" s="166"/>
      <c r="Q7010" s="166">
        <f t="shared" si="1936"/>
        <v>0</v>
      </c>
      <c r="R7010" s="71"/>
    </row>
    <row r="7011" spans="1:18" s="61" customFormat="1" x14ac:dyDescent="0.25">
      <c r="A7011" s="358"/>
      <c r="B7011" s="361"/>
      <c r="C7011" s="366"/>
      <c r="D7011" s="254" t="s">
        <v>423</v>
      </c>
      <c r="E7011" s="156" t="s">
        <v>28</v>
      </c>
      <c r="F7011" s="156" t="s">
        <v>28</v>
      </c>
      <c r="G7011" s="157">
        <f t="shared" si="1934"/>
        <v>0</v>
      </c>
      <c r="H7011" s="158"/>
      <c r="I7011" s="159">
        <f t="shared" si="1937"/>
        <v>1.356107E-2</v>
      </c>
      <c r="J7011" s="160"/>
      <c r="K7011" s="161">
        <f t="shared" si="1938"/>
        <v>409</v>
      </c>
      <c r="L7011" s="250">
        <v>1</v>
      </c>
      <c r="M7011" s="163"/>
      <c r="N7011" s="164"/>
      <c r="O7011" s="165">
        <f t="shared" si="1935"/>
        <v>0</v>
      </c>
      <c r="P7011" s="166"/>
      <c r="Q7011" s="166">
        <f t="shared" si="1936"/>
        <v>0</v>
      </c>
      <c r="R7011" s="71"/>
    </row>
    <row r="7012" spans="1:18" s="61" customFormat="1" x14ac:dyDescent="0.25">
      <c r="A7012" s="358"/>
      <c r="B7012" s="361"/>
      <c r="C7012" s="366"/>
      <c r="D7012" s="254" t="s">
        <v>424</v>
      </c>
      <c r="E7012" s="156" t="s">
        <v>28</v>
      </c>
      <c r="F7012" s="156" t="s">
        <v>28</v>
      </c>
      <c r="G7012" s="157">
        <f t="shared" si="1934"/>
        <v>0</v>
      </c>
      <c r="H7012" s="158"/>
      <c r="I7012" s="159">
        <f>I7001</f>
        <v>1.356107E-2</v>
      </c>
      <c r="J7012" s="160"/>
      <c r="K7012" s="161">
        <f>K7001</f>
        <v>409</v>
      </c>
      <c r="L7012" s="250">
        <v>1</v>
      </c>
      <c r="M7012" s="163"/>
      <c r="N7012" s="164"/>
      <c r="O7012" s="165">
        <f t="shared" si="1935"/>
        <v>0</v>
      </c>
      <c r="P7012" s="166"/>
      <c r="Q7012" s="166">
        <f t="shared" si="1936"/>
        <v>0</v>
      </c>
      <c r="R7012" s="71"/>
    </row>
    <row r="7013" spans="1:18" s="61" customFormat="1" x14ac:dyDescent="0.25">
      <c r="A7013" s="358"/>
      <c r="B7013" s="361"/>
      <c r="C7013" s="366"/>
      <c r="D7013" s="254" t="s">
        <v>425</v>
      </c>
      <c r="E7013" s="156" t="s">
        <v>28</v>
      </c>
      <c r="F7013" s="156" t="s">
        <v>28</v>
      </c>
      <c r="G7013" s="157">
        <f t="shared" si="1934"/>
        <v>0</v>
      </c>
      <c r="H7013" s="158"/>
      <c r="I7013" s="159">
        <f t="shared" ref="I7013:I7018" si="1939">I7012</f>
        <v>1.356107E-2</v>
      </c>
      <c r="J7013" s="160"/>
      <c r="K7013" s="161">
        <f t="shared" ref="K7013:K7018" si="1940">K7012</f>
        <v>409</v>
      </c>
      <c r="L7013" s="250">
        <v>1</v>
      </c>
      <c r="M7013" s="163"/>
      <c r="N7013" s="164"/>
      <c r="O7013" s="165">
        <f t="shared" si="1935"/>
        <v>0</v>
      </c>
      <c r="P7013" s="166"/>
      <c r="Q7013" s="166">
        <f t="shared" si="1936"/>
        <v>0</v>
      </c>
      <c r="R7013" s="71"/>
    </row>
    <row r="7014" spans="1:18" s="61" customFormat="1" x14ac:dyDescent="0.25">
      <c r="A7014" s="358"/>
      <c r="B7014" s="361"/>
      <c r="C7014" s="366"/>
      <c r="D7014" s="254" t="s">
        <v>108</v>
      </c>
      <c r="E7014" s="156" t="s">
        <v>28</v>
      </c>
      <c r="F7014" s="156" t="s">
        <v>28</v>
      </c>
      <c r="G7014" s="157">
        <f t="shared" si="1934"/>
        <v>0</v>
      </c>
      <c r="H7014" s="158"/>
      <c r="I7014" s="159">
        <f t="shared" si="1939"/>
        <v>1.356107E-2</v>
      </c>
      <c r="J7014" s="160"/>
      <c r="K7014" s="161">
        <f t="shared" si="1940"/>
        <v>409</v>
      </c>
      <c r="L7014" s="250">
        <v>1</v>
      </c>
      <c r="M7014" s="163"/>
      <c r="N7014" s="164"/>
      <c r="O7014" s="165">
        <f t="shared" si="1935"/>
        <v>0</v>
      </c>
      <c r="P7014" s="166"/>
      <c r="Q7014" s="166">
        <f t="shared" si="1936"/>
        <v>0</v>
      </c>
      <c r="R7014" s="71"/>
    </row>
    <row r="7015" spans="1:18" s="61" customFormat="1" x14ac:dyDescent="0.25">
      <c r="A7015" s="358"/>
      <c r="B7015" s="361"/>
      <c r="C7015" s="366"/>
      <c r="D7015" s="254" t="s">
        <v>426</v>
      </c>
      <c r="E7015" s="156" t="s">
        <v>28</v>
      </c>
      <c r="F7015" s="156" t="s">
        <v>28</v>
      </c>
      <c r="G7015" s="157">
        <f t="shared" si="1934"/>
        <v>0</v>
      </c>
      <c r="H7015" s="158"/>
      <c r="I7015" s="159">
        <f t="shared" si="1939"/>
        <v>1.356107E-2</v>
      </c>
      <c r="J7015" s="160"/>
      <c r="K7015" s="161">
        <f t="shared" si="1940"/>
        <v>409</v>
      </c>
      <c r="L7015" s="250">
        <v>1</v>
      </c>
      <c r="M7015" s="163"/>
      <c r="N7015" s="164"/>
      <c r="O7015" s="165">
        <f t="shared" si="1935"/>
        <v>0</v>
      </c>
      <c r="P7015" s="166"/>
      <c r="Q7015" s="166">
        <f t="shared" si="1936"/>
        <v>0</v>
      </c>
      <c r="R7015" s="71"/>
    </row>
    <row r="7016" spans="1:18" s="61" customFormat="1" x14ac:dyDescent="0.25">
      <c r="A7016" s="358"/>
      <c r="B7016" s="361"/>
      <c r="C7016" s="366"/>
      <c r="D7016" s="254" t="s">
        <v>427</v>
      </c>
      <c r="E7016" s="156" t="s">
        <v>28</v>
      </c>
      <c r="F7016" s="156" t="s">
        <v>28</v>
      </c>
      <c r="G7016" s="157">
        <f t="shared" si="1934"/>
        <v>0</v>
      </c>
      <c r="H7016" s="158"/>
      <c r="I7016" s="159">
        <f t="shared" si="1939"/>
        <v>1.356107E-2</v>
      </c>
      <c r="J7016" s="160"/>
      <c r="K7016" s="161">
        <f t="shared" si="1940"/>
        <v>409</v>
      </c>
      <c r="L7016" s="250">
        <v>1</v>
      </c>
      <c r="M7016" s="163"/>
      <c r="N7016" s="164"/>
      <c r="O7016" s="165">
        <f t="shared" si="1935"/>
        <v>0</v>
      </c>
      <c r="P7016" s="166"/>
      <c r="Q7016" s="166">
        <f t="shared" si="1936"/>
        <v>0</v>
      </c>
      <c r="R7016" s="71"/>
    </row>
    <row r="7017" spans="1:18" s="61" customFormat="1" x14ac:dyDescent="0.25">
      <c r="A7017" s="358"/>
      <c r="B7017" s="361"/>
      <c r="C7017" s="366"/>
      <c r="D7017" s="254" t="s">
        <v>428</v>
      </c>
      <c r="E7017" s="156" t="s">
        <v>28</v>
      </c>
      <c r="F7017" s="156" t="s">
        <v>28</v>
      </c>
      <c r="G7017" s="157">
        <f t="shared" si="1934"/>
        <v>0</v>
      </c>
      <c r="H7017" s="158"/>
      <c r="I7017" s="159">
        <f t="shared" si="1939"/>
        <v>1.356107E-2</v>
      </c>
      <c r="J7017" s="160"/>
      <c r="K7017" s="161">
        <f t="shared" si="1940"/>
        <v>409</v>
      </c>
      <c r="L7017" s="250">
        <v>1</v>
      </c>
      <c r="M7017" s="163"/>
      <c r="N7017" s="164"/>
      <c r="O7017" s="165">
        <f t="shared" si="1935"/>
        <v>0</v>
      </c>
      <c r="P7017" s="166"/>
      <c r="Q7017" s="166">
        <f t="shared" si="1936"/>
        <v>0</v>
      </c>
      <c r="R7017" s="71"/>
    </row>
    <row r="7018" spans="1:18" s="61" customFormat="1" x14ac:dyDescent="0.25">
      <c r="A7018" s="358"/>
      <c r="B7018" s="361"/>
      <c r="C7018" s="366"/>
      <c r="D7018" s="255" t="s">
        <v>429</v>
      </c>
      <c r="E7018" s="156" t="s">
        <v>28</v>
      </c>
      <c r="F7018" s="156" t="s">
        <v>28</v>
      </c>
      <c r="G7018" s="157">
        <f t="shared" si="1934"/>
        <v>0</v>
      </c>
      <c r="H7018" s="158"/>
      <c r="I7018" s="159">
        <f t="shared" si="1939"/>
        <v>1.356107E-2</v>
      </c>
      <c r="J7018" s="160"/>
      <c r="K7018" s="161">
        <f t="shared" si="1940"/>
        <v>409</v>
      </c>
      <c r="L7018" s="250">
        <v>1</v>
      </c>
      <c r="M7018" s="163"/>
      <c r="N7018" s="164"/>
      <c r="O7018" s="165">
        <f t="shared" si="1935"/>
        <v>0</v>
      </c>
      <c r="P7018" s="166"/>
      <c r="Q7018" s="166">
        <f t="shared" si="1936"/>
        <v>0</v>
      </c>
      <c r="R7018" s="71"/>
    </row>
    <row r="7019" spans="1:18" s="61" customFormat="1" x14ac:dyDescent="0.25">
      <c r="A7019" s="358"/>
      <c r="B7019" s="361"/>
      <c r="C7019" s="249" t="s">
        <v>299</v>
      </c>
      <c r="D7019" s="256"/>
      <c r="E7019" s="240"/>
      <c r="F7019" s="240"/>
      <c r="G7019" s="227"/>
      <c r="H7019" s="241"/>
      <c r="I7019" s="206"/>
      <c r="J7019" s="228"/>
      <c r="K7019" s="207"/>
      <c r="L7019" s="257"/>
      <c r="M7019" s="209"/>
      <c r="N7019" s="210"/>
      <c r="O7019" s="198">
        <f>SUM(O6995:O7018)</f>
        <v>0</v>
      </c>
      <c r="P7019" s="166"/>
      <c r="Q7019" s="166"/>
      <c r="R7019" s="71"/>
    </row>
    <row r="7020" spans="1:18" s="61" customFormat="1" ht="110.25" x14ac:dyDescent="0.25">
      <c r="A7020" s="358"/>
      <c r="B7020" s="361"/>
      <c r="C7020" s="221" t="s">
        <v>82</v>
      </c>
      <c r="D7020" s="156" t="s">
        <v>46</v>
      </c>
      <c r="E7020" s="156" t="s">
        <v>54</v>
      </c>
      <c r="F7020" s="156" t="s">
        <v>285</v>
      </c>
      <c r="G7020" s="238">
        <f>MROUND(H7020*L7020*I7020/K7020,0.000001)</f>
        <v>0.375002</v>
      </c>
      <c r="H7020" s="242">
        <f>H6900</f>
        <v>1028.1818077549303</v>
      </c>
      <c r="I7020" s="159">
        <f>I7018</f>
        <v>1.356107E-2</v>
      </c>
      <c r="J7020" s="160"/>
      <c r="K7020" s="161">
        <f>K7018</f>
        <v>409</v>
      </c>
      <c r="L7020" s="225">
        <f>L6900</f>
        <v>11</v>
      </c>
      <c r="M7020" s="163" t="str">
        <f>CONCATENATE(H7020," ",F7020,"*",L7020,"автобуса","*",I7020,"/",K7020,"чел.")</f>
        <v>1028,18180775493 л бензина АИ 92 (12,5л/день(зимой)*20дней*7мес+10л/день(летом)*20дней*4мес)*11автобуса*0,01356107/409чел.</v>
      </c>
      <c r="N7020" s="164">
        <f>N6900</f>
        <v>59.28728000000001</v>
      </c>
      <c r="O7020" s="165">
        <f>MROUND(G7020*N7020,0.000001)</f>
        <v>22.232848999999998</v>
      </c>
      <c r="P7020" s="166"/>
      <c r="Q7020" s="166">
        <f t="shared" ref="Q7020" si="1941">O7020*K7020</f>
        <v>9093.2352409999985</v>
      </c>
      <c r="R7020" s="71"/>
    </row>
    <row r="7021" spans="1:18" s="61" customFormat="1" x14ac:dyDescent="0.25">
      <c r="A7021" s="358"/>
      <c r="B7021" s="361"/>
      <c r="C7021" s="218" t="s">
        <v>309</v>
      </c>
      <c r="D7021" s="240"/>
      <c r="E7021" s="240"/>
      <c r="F7021" s="240"/>
      <c r="G7021" s="227"/>
      <c r="H7021" s="241"/>
      <c r="I7021" s="206"/>
      <c r="J7021" s="228"/>
      <c r="K7021" s="207"/>
      <c r="L7021" s="257"/>
      <c r="M7021" s="209"/>
      <c r="N7021" s="210"/>
      <c r="O7021" s="198">
        <f>SUM(O7020)</f>
        <v>22.232848999999998</v>
      </c>
      <c r="P7021" s="166"/>
      <c r="Q7021" s="166"/>
      <c r="R7021" s="71"/>
    </row>
    <row r="7022" spans="1:18" s="61" customFormat="1" ht="47.25" x14ac:dyDescent="0.25">
      <c r="A7022" s="358"/>
      <c r="B7022" s="361"/>
      <c r="C7022" s="221" t="s">
        <v>434</v>
      </c>
      <c r="D7022" s="156" t="s">
        <v>436</v>
      </c>
      <c r="E7022" s="156" t="s">
        <v>28</v>
      </c>
      <c r="F7022" s="156" t="s">
        <v>437</v>
      </c>
      <c r="G7022" s="157">
        <f>MROUND(H7022*L7022*I7022/K7022,0.000001)</f>
        <v>9.6150000000000003E-3</v>
      </c>
      <c r="H7022" s="242">
        <f>$H$125</f>
        <v>290</v>
      </c>
      <c r="I7022" s="159">
        <f>I7020</f>
        <v>1.356107E-2</v>
      </c>
      <c r="J7022" s="160"/>
      <c r="K7022" s="161">
        <f>K7020</f>
        <v>409</v>
      </c>
      <c r="L7022" s="162">
        <v>1</v>
      </c>
      <c r="M7022" s="163" t="str">
        <f>CONCATENATE(H7022," ",F7022,"*",I7022,"/",K7022,"чел.")</f>
        <v>290 огнетушителей (потребность учреждений) *0,01356107/409чел.</v>
      </c>
      <c r="N7022" s="164">
        <f>$N$125</f>
        <v>2000</v>
      </c>
      <c r="O7022" s="165">
        <f>MROUND(G7022*N7022,0.000001)</f>
        <v>19.23</v>
      </c>
      <c r="P7022" s="166"/>
      <c r="Q7022" s="166">
        <f t="shared" ref="Q7022" si="1942">O7022*K7022</f>
        <v>7865.0700000000006</v>
      </c>
      <c r="R7022" s="71"/>
    </row>
    <row r="7023" spans="1:18" s="61" customFormat="1" x14ac:dyDescent="0.25">
      <c r="A7023" s="358"/>
      <c r="B7023" s="361"/>
      <c r="C7023" s="218" t="s">
        <v>435</v>
      </c>
      <c r="D7023" s="240"/>
      <c r="E7023" s="240"/>
      <c r="F7023" s="240"/>
      <c r="G7023" s="251"/>
      <c r="H7023" s="241"/>
      <c r="I7023" s="206"/>
      <c r="J7023" s="228"/>
      <c r="K7023" s="207"/>
      <c r="L7023" s="229"/>
      <c r="M7023" s="209"/>
      <c r="N7023" s="210"/>
      <c r="O7023" s="198">
        <f>SUM(O7022)</f>
        <v>19.23</v>
      </c>
      <c r="P7023" s="166"/>
      <c r="Q7023" s="166"/>
      <c r="R7023" s="71"/>
    </row>
    <row r="7024" spans="1:18" s="61" customFormat="1" ht="47.25" x14ac:dyDescent="0.25">
      <c r="A7024" s="358"/>
      <c r="B7024" s="361"/>
      <c r="C7024" s="364" t="s">
        <v>118</v>
      </c>
      <c r="D7024" s="156" t="s">
        <v>47</v>
      </c>
      <c r="E7024" s="156" t="s">
        <v>28</v>
      </c>
      <c r="F7024" s="156" t="s">
        <v>239</v>
      </c>
      <c r="G7024" s="266">
        <f>MROUND(H7024*L7024*I7024/K7024,0.00000001)</f>
        <v>4.6419299999999998E-3</v>
      </c>
      <c r="H7024" s="158">
        <f>H6904</f>
        <v>140</v>
      </c>
      <c r="I7024" s="159">
        <f>I7020</f>
        <v>1.356107E-2</v>
      </c>
      <c r="J7024" s="160"/>
      <c r="K7024" s="161">
        <f>K7020</f>
        <v>409</v>
      </c>
      <c r="L7024" s="250">
        <v>1</v>
      </c>
      <c r="M7024" s="163" t="str">
        <f>CONCATENATE(H7024," ",F7024,"*",I7024,"/",K7024,"чел.")</f>
        <v>140 манометров (потребность учреждений) *0,01356107/409чел.</v>
      </c>
      <c r="N7024" s="164">
        <f>N6904</f>
        <v>770.73500000000035</v>
      </c>
      <c r="O7024" s="165">
        <f>MROUND(G7024*N7024,0.000001)</f>
        <v>3.5776979999999998</v>
      </c>
      <c r="P7024" s="166"/>
      <c r="Q7024" s="166">
        <f t="shared" ref="Q7024:Q7025" si="1943">O7024*K7024</f>
        <v>1463.2784819999999</v>
      </c>
      <c r="R7024" s="71"/>
    </row>
    <row r="7025" spans="1:19" s="61" customFormat="1" ht="47.25" x14ac:dyDescent="0.25">
      <c r="A7025" s="358"/>
      <c r="B7025" s="361"/>
      <c r="C7025" s="364"/>
      <c r="D7025" s="255" t="s">
        <v>113</v>
      </c>
      <c r="E7025" s="156" t="s">
        <v>28</v>
      </c>
      <c r="F7025" s="156" t="s">
        <v>240</v>
      </c>
      <c r="G7025" s="266">
        <f>MROUND(H7025*L7025*I7025/K7025,0.00000001)</f>
        <v>0.18949025999999999</v>
      </c>
      <c r="H7025" s="158">
        <f>H6905</f>
        <v>5715</v>
      </c>
      <c r="I7025" s="159">
        <f>I7024</f>
        <v>1.356107E-2</v>
      </c>
      <c r="J7025" s="160"/>
      <c r="K7025" s="161">
        <f>K7024</f>
        <v>409</v>
      </c>
      <c r="L7025" s="250">
        <v>1</v>
      </c>
      <c r="M7025" s="163" t="str">
        <f>CONCATENATE(H7025," ",F7025,"*",I7025,"/",K7025,"чел.")</f>
        <v>5715 светильников (потребность учреждений)*0,01356107/409чел.</v>
      </c>
      <c r="N7025" s="164">
        <f>N6905</f>
        <v>115.61019597550306</v>
      </c>
      <c r="O7025" s="165">
        <f>MROUND(G7025*N7025,0.000001)</f>
        <v>21.907005999999999</v>
      </c>
      <c r="P7025" s="166"/>
      <c r="Q7025" s="166">
        <f t="shared" si="1943"/>
        <v>8959.9654539999992</v>
      </c>
      <c r="R7025" s="71"/>
    </row>
    <row r="7026" spans="1:19" s="61" customFormat="1" x14ac:dyDescent="0.25">
      <c r="A7026" s="359"/>
      <c r="B7026" s="362"/>
      <c r="C7026" s="218" t="s">
        <v>310</v>
      </c>
      <c r="D7026" s="256"/>
      <c r="E7026" s="240"/>
      <c r="F7026" s="240"/>
      <c r="G7026" s="227"/>
      <c r="H7026" s="241"/>
      <c r="I7026" s="206"/>
      <c r="J7026" s="228"/>
      <c r="K7026" s="207"/>
      <c r="L7026" s="257"/>
      <c r="M7026" s="209"/>
      <c r="N7026" s="210"/>
      <c r="O7026" s="198">
        <f>SUM(O7024:O7025)</f>
        <v>25.484704000000001</v>
      </c>
      <c r="P7026" s="166"/>
      <c r="Q7026" s="166"/>
      <c r="R7026" s="71"/>
    </row>
    <row r="7027" spans="1:19" s="61" customFormat="1" x14ac:dyDescent="0.25">
      <c r="A7027" s="357" t="str">
        <f>CONCATENATE(школы!$B$8,", ",школы!$C$8,", ",школы!$D$8)</f>
        <v>Реализация основных общеобразовательных программ начального общего образования, , дети-инвалиды</v>
      </c>
      <c r="B7027" s="360" t="str">
        <f>школы!$A$8</f>
        <v>801012О.99.0.БА81АЩ48001</v>
      </c>
      <c r="C7027" s="194"/>
      <c r="D7027" s="363" t="s">
        <v>15</v>
      </c>
      <c r="E7027" s="363"/>
      <c r="F7027" s="363"/>
      <c r="G7027" s="363"/>
      <c r="H7027" s="195"/>
      <c r="I7027" s="195"/>
      <c r="J7027" s="195"/>
      <c r="K7027" s="195"/>
      <c r="L7027" s="196"/>
      <c r="M7027" s="197"/>
      <c r="N7027" s="164"/>
      <c r="O7027" s="198">
        <f>O7028+O7033+O7035</f>
        <v>6152.2921376370005</v>
      </c>
      <c r="P7027" s="166"/>
      <c r="Q7027" s="166"/>
      <c r="R7027" s="71"/>
    </row>
    <row r="7028" spans="1:19" s="61" customFormat="1" x14ac:dyDescent="0.25">
      <c r="A7028" s="358"/>
      <c r="B7028" s="361"/>
      <c r="C7028" s="194"/>
      <c r="D7028" s="350" t="s">
        <v>62</v>
      </c>
      <c r="E7028" s="350"/>
      <c r="F7028" s="350"/>
      <c r="G7028" s="350"/>
      <c r="H7028" s="195"/>
      <c r="I7028" s="195"/>
      <c r="J7028" s="195"/>
      <c r="K7028" s="195"/>
      <c r="L7028" s="196"/>
      <c r="M7028" s="197"/>
      <c r="N7028" s="164"/>
      <c r="O7028" s="165">
        <f>O7030+O7032</f>
        <v>6152.2921376370005</v>
      </c>
      <c r="P7028" s="166"/>
      <c r="Q7028" s="166"/>
      <c r="R7028" s="71"/>
    </row>
    <row r="7029" spans="1:19" s="61" customFormat="1" x14ac:dyDescent="0.25">
      <c r="A7029" s="358"/>
      <c r="B7029" s="361"/>
      <c r="C7029" s="194">
        <v>211</v>
      </c>
      <c r="D7029" s="194" t="s">
        <v>86</v>
      </c>
      <c r="E7029" s="199" t="s">
        <v>95</v>
      </c>
      <c r="F7029" s="199" t="s">
        <v>95</v>
      </c>
      <c r="G7029" s="275">
        <f>MROUND(H7029*L7029*I7029/K7029,0.0000000001)</f>
        <v>0.36676512560000002</v>
      </c>
      <c r="H7029" s="201">
        <f>H6789</f>
        <v>921.8</v>
      </c>
      <c r="I7029" s="159">
        <f>школы!$K$8</f>
        <v>1.85677E-3</v>
      </c>
      <c r="J7029" s="159"/>
      <c r="K7029" s="161">
        <f>школы!$G$8</f>
        <v>56</v>
      </c>
      <c r="L7029" s="202">
        <v>12</v>
      </c>
      <c r="M7029" s="163" t="str">
        <f>CONCATENATE(H7029," ",F7029," ","в мес.","*",L7029,"мес.","*",I7029,"/",K7029,"чел.")</f>
        <v>921,8 шт.ед в мес.*12мес.*0,00185677/56чел.</v>
      </c>
      <c r="N7029" s="164">
        <f>N6789</f>
        <v>12883.620739314385</v>
      </c>
      <c r="O7029" s="165">
        <f>MROUND(G7029*N7029,0.000000001)</f>
        <v>4725.2627786370003</v>
      </c>
      <c r="P7029" s="166"/>
      <c r="Q7029" s="166">
        <f t="shared" ref="Q7029" si="1944">O7029*K7029</f>
        <v>264614.71560367203</v>
      </c>
      <c r="R7029" s="71"/>
      <c r="S7029" s="121"/>
    </row>
    <row r="7030" spans="1:19" s="61" customFormat="1" x14ac:dyDescent="0.25">
      <c r="A7030" s="358"/>
      <c r="B7030" s="361"/>
      <c r="C7030" s="203" t="s">
        <v>288</v>
      </c>
      <c r="D7030" s="203"/>
      <c r="E7030" s="204"/>
      <c r="F7030" s="204"/>
      <c r="G7030" s="205"/>
      <c r="H7030" s="206"/>
      <c r="I7030" s="206"/>
      <c r="J7030" s="206"/>
      <c r="K7030" s="207"/>
      <c r="L7030" s="208"/>
      <c r="M7030" s="209"/>
      <c r="N7030" s="210">
        <f>N7029</f>
        <v>12883.620739314385</v>
      </c>
      <c r="O7030" s="198">
        <f>O7029</f>
        <v>4725.2627786370003</v>
      </c>
      <c r="P7030" s="166"/>
      <c r="Q7030" s="166"/>
      <c r="R7030" s="71"/>
    </row>
    <row r="7031" spans="1:19" s="61" customFormat="1" x14ac:dyDescent="0.25">
      <c r="A7031" s="358"/>
      <c r="B7031" s="361"/>
      <c r="C7031" s="194">
        <v>213</v>
      </c>
      <c r="D7031" s="194" t="s">
        <v>87</v>
      </c>
      <c r="E7031" s="194" t="s">
        <v>88</v>
      </c>
      <c r="F7031" s="194"/>
      <c r="G7031" s="211">
        <v>30.2</v>
      </c>
      <c r="H7031" s="159"/>
      <c r="I7031" s="159"/>
      <c r="J7031" s="159"/>
      <c r="K7031" s="161">
        <f>K7029</f>
        <v>56</v>
      </c>
      <c r="L7031" s="202"/>
      <c r="M7031" s="212"/>
      <c r="N7031" s="164"/>
      <c r="O7031" s="165">
        <f>MROUND(O7029*0.302,0.000001)</f>
        <v>1427.0293589999999</v>
      </c>
      <c r="P7031" s="166"/>
      <c r="Q7031" s="166">
        <f>O7031*K7031</f>
        <v>79913.644103999992</v>
      </c>
      <c r="R7031" s="71"/>
    </row>
    <row r="7032" spans="1:19" s="61" customFormat="1" x14ac:dyDescent="0.25">
      <c r="A7032" s="358"/>
      <c r="B7032" s="361"/>
      <c r="C7032" s="203" t="s">
        <v>289</v>
      </c>
      <c r="D7032" s="203"/>
      <c r="E7032" s="203"/>
      <c r="F7032" s="203"/>
      <c r="G7032" s="213"/>
      <c r="H7032" s="214"/>
      <c r="I7032" s="206"/>
      <c r="J7032" s="214"/>
      <c r="K7032" s="207"/>
      <c r="L7032" s="215"/>
      <c r="M7032" s="216"/>
      <c r="N7032" s="210"/>
      <c r="O7032" s="198">
        <f>O7031</f>
        <v>1427.0293589999999</v>
      </c>
      <c r="P7032" s="166"/>
      <c r="Q7032" s="166"/>
      <c r="R7032" s="71"/>
    </row>
    <row r="7033" spans="1:19" s="61" customFormat="1" x14ac:dyDescent="0.25">
      <c r="A7033" s="358"/>
      <c r="B7033" s="361"/>
      <c r="C7033" s="194"/>
      <c r="D7033" s="356" t="s">
        <v>63</v>
      </c>
      <c r="E7033" s="356"/>
      <c r="F7033" s="356"/>
      <c r="G7033" s="356"/>
      <c r="H7033" s="195"/>
      <c r="I7033" s="159"/>
      <c r="J7033" s="195"/>
      <c r="K7033" s="161"/>
      <c r="L7033" s="196"/>
      <c r="M7033" s="197"/>
      <c r="N7033" s="164"/>
      <c r="O7033" s="165"/>
      <c r="P7033" s="166"/>
      <c r="Q7033" s="166"/>
      <c r="R7033" s="71"/>
    </row>
    <row r="7034" spans="1:19" s="61" customFormat="1" x14ac:dyDescent="0.25">
      <c r="A7034" s="358"/>
      <c r="B7034" s="361"/>
      <c r="C7034" s="194"/>
      <c r="D7034" s="194"/>
      <c r="E7034" s="194"/>
      <c r="F7034" s="194"/>
      <c r="G7034" s="217"/>
      <c r="H7034" s="195"/>
      <c r="I7034" s="159"/>
      <c r="J7034" s="195"/>
      <c r="K7034" s="161"/>
      <c r="L7034" s="196"/>
      <c r="M7034" s="197"/>
      <c r="N7034" s="164"/>
      <c r="O7034" s="165"/>
      <c r="P7034" s="166"/>
      <c r="Q7034" s="166"/>
      <c r="R7034" s="71"/>
    </row>
    <row r="7035" spans="1:19" s="61" customFormat="1" x14ac:dyDescent="0.25">
      <c r="A7035" s="358"/>
      <c r="B7035" s="361"/>
      <c r="C7035" s="194"/>
      <c r="D7035" s="350" t="s">
        <v>64</v>
      </c>
      <c r="E7035" s="350"/>
      <c r="F7035" s="350"/>
      <c r="G7035" s="350"/>
      <c r="H7035" s="195"/>
      <c r="I7035" s="159"/>
      <c r="J7035" s="195"/>
      <c r="K7035" s="161"/>
      <c r="L7035" s="196"/>
      <c r="M7035" s="197"/>
      <c r="N7035" s="164"/>
      <c r="O7035" s="165"/>
      <c r="P7035" s="166"/>
      <c r="Q7035" s="166"/>
      <c r="R7035" s="71"/>
    </row>
    <row r="7036" spans="1:19" s="61" customFormat="1" x14ac:dyDescent="0.25">
      <c r="A7036" s="358"/>
      <c r="B7036" s="361"/>
      <c r="C7036" s="194"/>
      <c r="D7036" s="194"/>
      <c r="E7036" s="194"/>
      <c r="F7036" s="194"/>
      <c r="G7036" s="217"/>
      <c r="H7036" s="195"/>
      <c r="I7036" s="159"/>
      <c r="J7036" s="195"/>
      <c r="K7036" s="161"/>
      <c r="L7036" s="196"/>
      <c r="M7036" s="197"/>
      <c r="N7036" s="164"/>
      <c r="O7036" s="165"/>
      <c r="P7036" s="166"/>
      <c r="Q7036" s="166"/>
      <c r="R7036" s="71"/>
    </row>
    <row r="7037" spans="1:19" s="61" customFormat="1" x14ac:dyDescent="0.25">
      <c r="A7037" s="358"/>
      <c r="B7037" s="361"/>
      <c r="C7037" s="194"/>
      <c r="D7037" s="355" t="s">
        <v>5</v>
      </c>
      <c r="E7037" s="355"/>
      <c r="F7037" s="355"/>
      <c r="G7037" s="355"/>
      <c r="H7037" s="195"/>
      <c r="I7037" s="159"/>
      <c r="J7037" s="195"/>
      <c r="K7037" s="161"/>
      <c r="L7037" s="196"/>
      <c r="M7037" s="197"/>
      <c r="N7037" s="164"/>
      <c r="O7037" s="198">
        <f>O7038+O7048+O7059+O7061+O7063+O7065+O7067</f>
        <v>10324.62856210666</v>
      </c>
      <c r="P7037" s="166"/>
      <c r="Q7037" s="166"/>
      <c r="R7037" s="71"/>
    </row>
    <row r="7038" spans="1:19" s="61" customFormat="1" x14ac:dyDescent="0.25">
      <c r="A7038" s="358"/>
      <c r="B7038" s="361"/>
      <c r="C7038" s="218" t="s">
        <v>70</v>
      </c>
      <c r="D7038" s="355" t="s">
        <v>6</v>
      </c>
      <c r="E7038" s="355"/>
      <c r="F7038" s="355"/>
      <c r="G7038" s="355"/>
      <c r="H7038" s="189"/>
      <c r="I7038" s="159"/>
      <c r="J7038" s="189"/>
      <c r="K7038" s="161"/>
      <c r="L7038" s="190"/>
      <c r="M7038" s="197"/>
      <c r="N7038" s="210"/>
      <c r="O7038" s="198">
        <f>O7047</f>
        <v>6239.9531099200012</v>
      </c>
      <c r="P7038" s="166"/>
      <c r="Q7038" s="166"/>
      <c r="R7038" s="71"/>
    </row>
    <row r="7039" spans="1:19" s="61" customFormat="1" ht="31.5" x14ac:dyDescent="0.25">
      <c r="A7039" s="358"/>
      <c r="B7039" s="361"/>
      <c r="C7039" s="221" t="s">
        <v>72</v>
      </c>
      <c r="D7039" s="222" t="s">
        <v>7</v>
      </c>
      <c r="E7039" s="223" t="s">
        <v>8</v>
      </c>
      <c r="F7039" s="223" t="s">
        <v>8</v>
      </c>
      <c r="G7039" s="238">
        <f>MROUND(H7039*L7039*I7039/K7039,0.00000000001)</f>
        <v>109.85186555281</v>
      </c>
      <c r="H7039" s="160">
        <f t="shared" ref="H7039:H7046" si="1945">H6799</f>
        <v>3313121.4264326878</v>
      </c>
      <c r="I7039" s="159">
        <f>I7029</f>
        <v>1.85677E-3</v>
      </c>
      <c r="J7039" s="160"/>
      <c r="K7039" s="161">
        <f>K7029</f>
        <v>56</v>
      </c>
      <c r="L7039" s="250">
        <v>1</v>
      </c>
      <c r="M7039" s="163" t="str">
        <f>CONCATENATE(H7039," ",F7039,"(лимиты выделенные УЖКХ) ","*",I7039,"/",K7039,"чел.")</f>
        <v>3313121,42643269 кВт час.(лимиты выделенные УЖКХ) *0,00185677/56чел.</v>
      </c>
      <c r="N7039" s="164">
        <f t="shared" ref="N7039:N7046" si="1946">N6799</f>
        <v>11.333602475424668</v>
      </c>
      <c r="O7039" s="165">
        <f t="shared" ref="O7039:O7042" si="1947">MROUND(G7039*N7039,0.000001)</f>
        <v>1245.0173749999999</v>
      </c>
      <c r="P7039" s="166"/>
      <c r="Q7039" s="166">
        <f t="shared" ref="Q7039:Q7046" si="1948">O7039*K7039</f>
        <v>69720.972999999998</v>
      </c>
      <c r="R7039" s="71"/>
    </row>
    <row r="7040" spans="1:19" s="61" customFormat="1" ht="31.5" x14ac:dyDescent="0.25">
      <c r="A7040" s="358"/>
      <c r="B7040" s="361"/>
      <c r="C7040" s="221" t="s">
        <v>73</v>
      </c>
      <c r="D7040" s="222" t="s">
        <v>9</v>
      </c>
      <c r="E7040" s="223" t="s">
        <v>10</v>
      </c>
      <c r="F7040" s="223" t="s">
        <v>10</v>
      </c>
      <c r="G7040" s="238">
        <f>MROUND(H7040*L7040*I7040/K7040,0.00000000001)</f>
        <v>1.0576092291099999</v>
      </c>
      <c r="H7040" s="160">
        <f t="shared" si="1945"/>
        <v>31897.39</v>
      </c>
      <c r="I7040" s="159">
        <f t="shared" ref="I7040:I7103" si="1949">I7039</f>
        <v>1.85677E-3</v>
      </c>
      <c r="J7040" s="160"/>
      <c r="K7040" s="161">
        <f t="shared" ref="K7040:K7046" si="1950">K7039</f>
        <v>56</v>
      </c>
      <c r="L7040" s="250">
        <v>1</v>
      </c>
      <c r="M7040" s="163" t="str">
        <f>CONCATENATE(H7040," ",F7040,"(лимиты выделенные УЖКХ) ","*",I7040,"/",K7040,"чел.")</f>
        <v>31897,39 Гкал(лимиты выделенные УЖКХ) *0,00185677/56чел.</v>
      </c>
      <c r="N7040" s="164">
        <f t="shared" si="1946"/>
        <v>3095.3018623153812</v>
      </c>
      <c r="O7040" s="165">
        <f t="shared" si="1947"/>
        <v>3273.6198159999999</v>
      </c>
      <c r="P7040" s="166"/>
      <c r="Q7040" s="166">
        <f t="shared" si="1948"/>
        <v>183322.70969600001</v>
      </c>
      <c r="R7040" s="71"/>
    </row>
    <row r="7041" spans="1:18" s="61" customFormat="1" ht="31.5" x14ac:dyDescent="0.25">
      <c r="A7041" s="358"/>
      <c r="B7041" s="361"/>
      <c r="C7041" s="364" t="s">
        <v>74</v>
      </c>
      <c r="D7041" s="222" t="s">
        <v>12</v>
      </c>
      <c r="E7041" s="222" t="s">
        <v>11</v>
      </c>
      <c r="F7041" s="222" t="s">
        <v>11</v>
      </c>
      <c r="G7041" s="238">
        <f>MROUND(H7041*L7041*I7041/K7041,0.00000000001)</f>
        <v>6.1248598910899998</v>
      </c>
      <c r="H7041" s="224">
        <f t="shared" si="1945"/>
        <v>184725.17</v>
      </c>
      <c r="I7041" s="159">
        <f t="shared" si="1949"/>
        <v>1.85677E-3</v>
      </c>
      <c r="J7041" s="160"/>
      <c r="K7041" s="161">
        <f t="shared" si="1950"/>
        <v>56</v>
      </c>
      <c r="L7041" s="250">
        <v>1</v>
      </c>
      <c r="M7041" s="163" t="str">
        <f>CONCATENATE(H7041," ",F7041,"(лимиты выделенные УЖКХ) ","*",I7041,"/",K7041,"чел.")</f>
        <v>184725,17 м3(лимиты выделенные УЖКХ) *0,00185677/56чел.</v>
      </c>
      <c r="N7041" s="164">
        <f t="shared" si="1946"/>
        <v>56.382747245543193</v>
      </c>
      <c r="O7041" s="165">
        <f t="shared" si="1947"/>
        <v>345.33642699999996</v>
      </c>
      <c r="P7041" s="166"/>
      <c r="Q7041" s="166">
        <f t="shared" si="1948"/>
        <v>19338.839911999996</v>
      </c>
      <c r="R7041" s="71"/>
    </row>
    <row r="7042" spans="1:18" s="61" customFormat="1" ht="47.25" x14ac:dyDescent="0.25">
      <c r="A7042" s="358"/>
      <c r="B7042" s="361"/>
      <c r="C7042" s="364"/>
      <c r="D7042" s="222" t="s">
        <v>17</v>
      </c>
      <c r="E7042" s="222" t="s">
        <v>11</v>
      </c>
      <c r="F7042" s="222" t="s">
        <v>11</v>
      </c>
      <c r="G7042" s="238">
        <f>MROUND(H7042*L7042*I7042/K7042,0.00000000001)</f>
        <v>6.1248598910899998</v>
      </c>
      <c r="H7042" s="160">
        <f t="shared" si="1945"/>
        <v>184725.17</v>
      </c>
      <c r="I7042" s="159">
        <f t="shared" si="1949"/>
        <v>1.85677E-3</v>
      </c>
      <c r="J7042" s="160"/>
      <c r="K7042" s="161">
        <f t="shared" si="1950"/>
        <v>56</v>
      </c>
      <c r="L7042" s="162">
        <f>$L$6802</f>
        <v>1</v>
      </c>
      <c r="M7042" s="181" t="s">
        <v>119</v>
      </c>
      <c r="N7042" s="164">
        <f t="shared" si="1946"/>
        <v>85.679537612054773</v>
      </c>
      <c r="O7042" s="165">
        <f t="shared" si="1947"/>
        <v>524.77516300000002</v>
      </c>
      <c r="P7042" s="166"/>
      <c r="Q7042" s="166">
        <f t="shared" si="1948"/>
        <v>29387.409127999999</v>
      </c>
      <c r="R7042" s="71"/>
    </row>
    <row r="7043" spans="1:18" s="61" customFormat="1" ht="31.5" x14ac:dyDescent="0.25">
      <c r="A7043" s="358"/>
      <c r="B7043" s="361"/>
      <c r="C7043" s="364"/>
      <c r="D7043" s="222" t="s">
        <v>13</v>
      </c>
      <c r="E7043" s="222" t="s">
        <v>11</v>
      </c>
      <c r="F7043" s="222" t="s">
        <v>11</v>
      </c>
      <c r="G7043" s="238">
        <f>MROUND(H7043*L7043*I7043/K7043,0.00000000001)</f>
        <v>6.1248598910899998</v>
      </c>
      <c r="H7043" s="160">
        <f t="shared" si="1945"/>
        <v>184725.17</v>
      </c>
      <c r="I7043" s="159">
        <f t="shared" si="1949"/>
        <v>1.85677E-3</v>
      </c>
      <c r="J7043" s="160"/>
      <c r="K7043" s="161">
        <f t="shared" si="1950"/>
        <v>56</v>
      </c>
      <c r="L7043" s="225">
        <v>1</v>
      </c>
      <c r="M7043" s="163" t="str">
        <f>CONCATENATE(H7043," ",F7043,"(лимиты выделенные УЖКХ) ","*",I7043,"/",K7043,"чел.")</f>
        <v>184725,17 м3(лимиты выделенные УЖКХ) *0,00185677/56чел.</v>
      </c>
      <c r="N7043" s="164">
        <f t="shared" si="1946"/>
        <v>116.85554734686012</v>
      </c>
      <c r="O7043" s="165">
        <f>MROUND(G7043*N7043,0.00000001)</f>
        <v>715.72385500000007</v>
      </c>
      <c r="P7043" s="166"/>
      <c r="Q7043" s="166">
        <f t="shared" si="1948"/>
        <v>40080.535880000003</v>
      </c>
      <c r="R7043" s="71"/>
    </row>
    <row r="7044" spans="1:18" s="61" customFormat="1" ht="31.5" x14ac:dyDescent="0.25">
      <c r="A7044" s="358"/>
      <c r="B7044" s="361"/>
      <c r="C7044" s="221" t="s">
        <v>75</v>
      </c>
      <c r="D7044" s="222" t="s">
        <v>18</v>
      </c>
      <c r="E7044" s="222" t="s">
        <v>48</v>
      </c>
      <c r="F7044" s="222" t="s">
        <v>48</v>
      </c>
      <c r="G7044" s="238">
        <f>MROUND(H7044*L7044*I7044/K7044,0.0000000001)</f>
        <v>0.46046569740000004</v>
      </c>
      <c r="H7044" s="160">
        <f t="shared" si="1945"/>
        <v>13887.6</v>
      </c>
      <c r="I7044" s="159">
        <f t="shared" si="1949"/>
        <v>1.85677E-3</v>
      </c>
      <c r="J7044" s="160"/>
      <c r="K7044" s="161">
        <f t="shared" si="1950"/>
        <v>56</v>
      </c>
      <c r="L7044" s="250">
        <v>1</v>
      </c>
      <c r="M7044" s="163" t="str">
        <f>CONCATENATE(H7044," ",F7044,"(лимиты выделенные УЖКХ) ","*",I7044,"/",K7044,"чел.")</f>
        <v>13887,6 тыс. м3(лимиты выделенные УЖКХ) *0,00185677/56чел.</v>
      </c>
      <c r="N7044" s="164">
        <f t="shared" si="1946"/>
        <v>31.799284973645559</v>
      </c>
      <c r="O7044" s="165">
        <f t="shared" ref="O7044" si="1951">MROUND(G7044*N7044,0.000001)</f>
        <v>14.642479999999999</v>
      </c>
      <c r="P7044" s="166"/>
      <c r="Q7044" s="166">
        <f t="shared" si="1948"/>
        <v>819.97887999999989</v>
      </c>
      <c r="R7044" s="71"/>
    </row>
    <row r="7045" spans="1:18" s="61" customFormat="1" x14ac:dyDescent="0.25">
      <c r="A7045" s="358"/>
      <c r="B7045" s="361"/>
      <c r="C7045" s="364" t="s">
        <v>216</v>
      </c>
      <c r="D7045" s="222" t="s">
        <v>23</v>
      </c>
      <c r="E7045" s="222" t="s">
        <v>11</v>
      </c>
      <c r="F7045" s="222" t="s">
        <v>11</v>
      </c>
      <c r="G7045" s="238">
        <f>MROUND(H7045*L7045*I7045/K7045,0.000000000001)</f>
        <v>0.11169267308599999</v>
      </c>
      <c r="H7045" s="160">
        <f t="shared" si="1945"/>
        <v>3368.6400000000003</v>
      </c>
      <c r="I7045" s="159">
        <f t="shared" si="1949"/>
        <v>1.85677E-3</v>
      </c>
      <c r="J7045" s="160"/>
      <c r="K7045" s="161">
        <f t="shared" si="1950"/>
        <v>56</v>
      </c>
      <c r="L7045" s="162">
        <f>L7044</f>
        <v>1</v>
      </c>
      <c r="M7045" s="163" t="str">
        <f>CONCATENATE(H7045," ",F7045," ","*",I7045,"/",K7045,"чел.")</f>
        <v>3368,64 м3 *0,00185677/56чел.</v>
      </c>
      <c r="N7045" s="164">
        <f t="shared" si="1946"/>
        <v>807.40973805452643</v>
      </c>
      <c r="O7045" s="165">
        <f>MROUND(G7045*N7045,0.00000001)</f>
        <v>90.181751919999996</v>
      </c>
      <c r="P7045" s="166"/>
      <c r="Q7045" s="166">
        <f t="shared" si="1948"/>
        <v>5050.1781075199997</v>
      </c>
      <c r="R7045" s="71"/>
    </row>
    <row r="7046" spans="1:18" s="61" customFormat="1" ht="47.25" x14ac:dyDescent="0.25">
      <c r="A7046" s="358"/>
      <c r="B7046" s="361"/>
      <c r="C7046" s="364"/>
      <c r="D7046" s="222" t="s">
        <v>24</v>
      </c>
      <c r="E7046" s="222" t="s">
        <v>25</v>
      </c>
      <c r="F7046" s="222" t="s">
        <v>217</v>
      </c>
      <c r="G7046" s="238">
        <f>MROUND(H7046*L7046*I7046/K7046,0.000000000001)</f>
        <v>4.87402125E-3</v>
      </c>
      <c r="H7046" s="160">
        <f t="shared" si="1945"/>
        <v>147</v>
      </c>
      <c r="I7046" s="159">
        <f t="shared" si="1949"/>
        <v>1.85677E-3</v>
      </c>
      <c r="J7046" s="160"/>
      <c r="K7046" s="161">
        <f t="shared" si="1950"/>
        <v>56</v>
      </c>
      <c r="L7046" s="250">
        <f>L7045</f>
        <v>1</v>
      </c>
      <c r="M7046" s="163" t="str">
        <f>CONCATENATE(H7046," ",F7046,"(потребность из расчета 4 контейнера для уборки территории весной и осенью на 1 учреждение)","*",I7046,"/",K7046,"чел.")</f>
        <v>147 контейнера(потребность из расчета 4 контейнера для уборки территории весной и осенью на 1 учреждение)*0,00185677/56чел.</v>
      </c>
      <c r="N7046" s="164">
        <f t="shared" si="1946"/>
        <v>6289.7226530612279</v>
      </c>
      <c r="O7046" s="165">
        <f t="shared" ref="O7046" si="1952">MROUND(G7046*N7046,0.000001)</f>
        <v>30.656241999999999</v>
      </c>
      <c r="P7046" s="166"/>
      <c r="Q7046" s="166">
        <f t="shared" si="1948"/>
        <v>1716.749552</v>
      </c>
      <c r="R7046" s="71"/>
    </row>
    <row r="7047" spans="1:18" s="61" customFormat="1" x14ac:dyDescent="0.25">
      <c r="A7047" s="358"/>
      <c r="B7047" s="361"/>
      <c r="C7047" s="218" t="s">
        <v>290</v>
      </c>
      <c r="D7047" s="226"/>
      <c r="E7047" s="226"/>
      <c r="F7047" s="226"/>
      <c r="G7047" s="227"/>
      <c r="H7047" s="228"/>
      <c r="I7047" s="206"/>
      <c r="J7047" s="228"/>
      <c r="K7047" s="207"/>
      <c r="L7047" s="257"/>
      <c r="M7047" s="209"/>
      <c r="N7047" s="210"/>
      <c r="O7047" s="198">
        <f>SUM(O7039:O7046)</f>
        <v>6239.9531099200012</v>
      </c>
      <c r="P7047" s="166"/>
      <c r="Q7047" s="166"/>
      <c r="R7047" s="71"/>
    </row>
    <row r="7048" spans="1:18" s="61" customFormat="1" x14ac:dyDescent="0.25">
      <c r="A7048" s="358"/>
      <c r="B7048" s="361"/>
      <c r="C7048" s="221"/>
      <c r="D7048" s="356" t="s">
        <v>14</v>
      </c>
      <c r="E7048" s="356"/>
      <c r="F7048" s="356"/>
      <c r="G7048" s="356"/>
      <c r="H7048" s="188"/>
      <c r="I7048" s="159"/>
      <c r="J7048" s="188"/>
      <c r="K7048" s="161"/>
      <c r="L7048" s="250"/>
      <c r="M7048" s="230"/>
      <c r="N7048" s="164"/>
      <c r="O7048" s="198">
        <f>O7056+O7057+O7052</f>
        <v>3316.0121762966596</v>
      </c>
      <c r="P7048" s="166"/>
      <c r="Q7048" s="166"/>
      <c r="R7048" s="71"/>
    </row>
    <row r="7049" spans="1:18" s="61" customFormat="1" x14ac:dyDescent="0.25">
      <c r="A7049" s="358"/>
      <c r="B7049" s="361"/>
      <c r="C7049" s="221" t="s">
        <v>379</v>
      </c>
      <c r="D7049" s="231" t="s">
        <v>49</v>
      </c>
      <c r="E7049" s="231" t="s">
        <v>22</v>
      </c>
      <c r="F7049" s="231" t="s">
        <v>22</v>
      </c>
      <c r="G7049" s="238">
        <f>MROUND(H7049*L7049*I7049/K7049,0.000000001)</f>
        <v>0</v>
      </c>
      <c r="H7049" s="160"/>
      <c r="I7049" s="159">
        <f>I7044</f>
        <v>1.85677E-3</v>
      </c>
      <c r="J7049" s="160"/>
      <c r="K7049" s="161">
        <f>K7044</f>
        <v>56</v>
      </c>
      <c r="L7049" s="250"/>
      <c r="M7049" s="163"/>
      <c r="N7049" s="164"/>
      <c r="O7049" s="165">
        <f>MROUND(G7049*N7049,0.00000001)</f>
        <v>0</v>
      </c>
      <c r="P7049" s="166"/>
      <c r="Q7049" s="166">
        <f t="shared" ref="Q7049:Q7051" si="1953">O7049*K7049</f>
        <v>0</v>
      </c>
      <c r="R7049" s="71"/>
    </row>
    <row r="7050" spans="1:18" s="61" customFormat="1" x14ac:dyDescent="0.25">
      <c r="A7050" s="358"/>
      <c r="B7050" s="361"/>
      <c r="C7050" s="221" t="s">
        <v>379</v>
      </c>
      <c r="D7050" s="231" t="s">
        <v>49</v>
      </c>
      <c r="E7050" s="231" t="s">
        <v>28</v>
      </c>
      <c r="F7050" s="231" t="s">
        <v>28</v>
      </c>
      <c r="G7050" s="238">
        <f>MROUND(H7050*L7050*I7050/K7050,0.0000000000001)</f>
        <v>0</v>
      </c>
      <c r="H7050" s="160"/>
      <c r="I7050" s="159">
        <f t="shared" si="1949"/>
        <v>1.85677E-3</v>
      </c>
      <c r="J7050" s="160"/>
      <c r="K7050" s="161">
        <f>K7049</f>
        <v>56</v>
      </c>
      <c r="L7050" s="250">
        <v>1</v>
      </c>
      <c r="M7050" s="163"/>
      <c r="N7050" s="164"/>
      <c r="O7050" s="165">
        <f>MROUND(G7050*N7050,0.00000001)</f>
        <v>0</v>
      </c>
      <c r="P7050" s="166"/>
      <c r="Q7050" s="166">
        <f t="shared" si="1953"/>
        <v>0</v>
      </c>
      <c r="R7050" s="71"/>
    </row>
    <row r="7051" spans="1:18" s="61" customFormat="1" x14ac:dyDescent="0.25">
      <c r="A7051" s="358"/>
      <c r="B7051" s="361"/>
      <c r="C7051" s="221" t="s">
        <v>379</v>
      </c>
      <c r="D7051" s="231" t="s">
        <v>49</v>
      </c>
      <c r="E7051" s="231" t="s">
        <v>101</v>
      </c>
      <c r="F7051" s="231" t="s">
        <v>101</v>
      </c>
      <c r="G7051" s="238">
        <f>MROUND(H7051*L7051*I7051/K7051,0.000000001)</f>
        <v>0</v>
      </c>
      <c r="H7051" s="160"/>
      <c r="I7051" s="159">
        <f t="shared" si="1949"/>
        <v>1.85677E-3</v>
      </c>
      <c r="J7051" s="160"/>
      <c r="K7051" s="161">
        <f>K7050</f>
        <v>56</v>
      </c>
      <c r="L7051" s="250"/>
      <c r="M7051" s="163"/>
      <c r="N7051" s="164"/>
      <c r="O7051" s="165">
        <f>MROUND(G7051*N7051,0.00000001)</f>
        <v>0</v>
      </c>
      <c r="P7051" s="166"/>
      <c r="Q7051" s="166">
        <f t="shared" si="1953"/>
        <v>0</v>
      </c>
      <c r="R7051" s="71"/>
    </row>
    <row r="7052" spans="1:18" s="61" customFormat="1" x14ac:dyDescent="0.25">
      <c r="A7052" s="358"/>
      <c r="B7052" s="361"/>
      <c r="C7052" s="218" t="s">
        <v>381</v>
      </c>
      <c r="D7052" s="232"/>
      <c r="E7052" s="232"/>
      <c r="F7052" s="232"/>
      <c r="G7052" s="227"/>
      <c r="H7052" s="228"/>
      <c r="I7052" s="206"/>
      <c r="J7052" s="228"/>
      <c r="K7052" s="207"/>
      <c r="L7052" s="257"/>
      <c r="M7052" s="209"/>
      <c r="N7052" s="210"/>
      <c r="O7052" s="198">
        <f>SUM(O7049:O7051)</f>
        <v>0</v>
      </c>
      <c r="P7052" s="166"/>
      <c r="Q7052" s="166"/>
      <c r="R7052" s="71"/>
    </row>
    <row r="7053" spans="1:18" s="61" customFormat="1" x14ac:dyDescent="0.25">
      <c r="A7053" s="358"/>
      <c r="B7053" s="361"/>
      <c r="C7053" s="221" t="s">
        <v>76</v>
      </c>
      <c r="D7053" s="231" t="s">
        <v>49</v>
      </c>
      <c r="E7053" s="231" t="s">
        <v>22</v>
      </c>
      <c r="F7053" s="231" t="s">
        <v>22</v>
      </c>
      <c r="G7053" s="238">
        <f>MROUND(H7053*L7053*I7053/K7053,0.000000000000001)</f>
        <v>0.85050012982142909</v>
      </c>
      <c r="H7053" s="160">
        <f>H6813</f>
        <v>25651</v>
      </c>
      <c r="I7053" s="159">
        <f>I7051</f>
        <v>1.85677E-3</v>
      </c>
      <c r="J7053" s="160"/>
      <c r="K7053" s="161">
        <f>K7051</f>
        <v>56</v>
      </c>
      <c r="L7053" s="250">
        <v>1</v>
      </c>
      <c r="M7053" s="163" t="str">
        <f>CONCATENATE(H7053," ",F7053,"*",I7053,"/",K7053,"чел.")</f>
        <v>25651 м2*0,00185677/56чел.</v>
      </c>
      <c r="N7053" s="164">
        <f>N6813</f>
        <v>2452.3410393356985</v>
      </c>
      <c r="O7053" s="165">
        <f>MROUND(G7053*N7053,0.00000000001)</f>
        <v>2085.7163723214298</v>
      </c>
      <c r="P7053" s="166"/>
      <c r="Q7053" s="166">
        <f t="shared" ref="Q7053:Q7055" si="1954">O7053*K7053</f>
        <v>116800.11685000008</v>
      </c>
      <c r="R7053" s="71"/>
    </row>
    <row r="7054" spans="1:18" s="61" customFormat="1" x14ac:dyDescent="0.25">
      <c r="A7054" s="358"/>
      <c r="B7054" s="361"/>
      <c r="C7054" s="221"/>
      <c r="D7054" s="231" t="s">
        <v>49</v>
      </c>
      <c r="E7054" s="231" t="s">
        <v>28</v>
      </c>
      <c r="F7054" s="231" t="s">
        <v>28</v>
      </c>
      <c r="G7054" s="238">
        <f>MROUND(H7054*L7054*I7054/K7054,0.000000000001)</f>
        <v>6.1903385536E-2</v>
      </c>
      <c r="H7054" s="160">
        <f>H6814</f>
        <v>1867</v>
      </c>
      <c r="I7054" s="159">
        <f t="shared" si="1949"/>
        <v>1.85677E-3</v>
      </c>
      <c r="J7054" s="160"/>
      <c r="K7054" s="161">
        <f>K7053</f>
        <v>56</v>
      </c>
      <c r="L7054" s="250">
        <v>1</v>
      </c>
      <c r="M7054" s="163" t="str">
        <f>CONCATENATE(H7054," ",F7054,"*",I7054,"/",K7054,"чел.")</f>
        <v>1867 шт*0,00185677/56чел.</v>
      </c>
      <c r="N7054" s="164">
        <f>N6814</f>
        <v>18299.732190680235</v>
      </c>
      <c r="O7054" s="165">
        <f>MROUND(G7054*N7054,0.00000000001)</f>
        <v>1132.8153770052299</v>
      </c>
      <c r="P7054" s="166"/>
      <c r="Q7054" s="166">
        <f t="shared" si="1954"/>
        <v>63437.661112292873</v>
      </c>
      <c r="R7054" s="71"/>
    </row>
    <row r="7055" spans="1:18" s="61" customFormat="1" x14ac:dyDescent="0.25">
      <c r="A7055" s="358"/>
      <c r="B7055" s="361"/>
      <c r="C7055" s="221"/>
      <c r="D7055" s="231" t="s">
        <v>49</v>
      </c>
      <c r="E7055" s="231" t="s">
        <v>101</v>
      </c>
      <c r="F7055" s="231" t="s">
        <v>101</v>
      </c>
      <c r="G7055" s="238">
        <f>MROUND(H7055*L7055*I7055/K7055,0.000000001)</f>
        <v>2.1220229E-2</v>
      </c>
      <c r="H7055" s="160">
        <f>H6815</f>
        <v>640</v>
      </c>
      <c r="I7055" s="159">
        <f t="shared" si="1949"/>
        <v>1.85677E-3</v>
      </c>
      <c r="J7055" s="160"/>
      <c r="K7055" s="161">
        <f>K7054</f>
        <v>56</v>
      </c>
      <c r="L7055" s="250">
        <v>1</v>
      </c>
      <c r="M7055" s="163" t="str">
        <f>CONCATENATE(H7055," ",F7055,"*",I7055,"/",K7055,"чел.")</f>
        <v>640 погон.м.*0,00185677/56чел.</v>
      </c>
      <c r="N7055" s="164">
        <f>N6815</f>
        <v>4593.75</v>
      </c>
      <c r="O7055" s="165">
        <f>MROUND(G7055*N7055,0.00000001)</f>
        <v>97.480426969999996</v>
      </c>
      <c r="P7055" s="166"/>
      <c r="Q7055" s="166">
        <f t="shared" si="1954"/>
        <v>5458.9039103199993</v>
      </c>
      <c r="R7055" s="71"/>
    </row>
    <row r="7056" spans="1:18" s="61" customFormat="1" x14ac:dyDescent="0.25">
      <c r="A7056" s="358"/>
      <c r="B7056" s="361"/>
      <c r="C7056" s="218" t="s">
        <v>302</v>
      </c>
      <c r="D7056" s="232"/>
      <c r="E7056" s="232"/>
      <c r="F7056" s="232"/>
      <c r="G7056" s="227"/>
      <c r="H7056" s="228"/>
      <c r="I7056" s="206"/>
      <c r="J7056" s="228"/>
      <c r="K7056" s="207"/>
      <c r="L7056" s="257"/>
      <c r="M7056" s="209"/>
      <c r="N7056" s="210"/>
      <c r="O7056" s="198">
        <f>SUM(O7053:O7055)</f>
        <v>3316.0121762966596</v>
      </c>
      <c r="P7056" s="166"/>
      <c r="Q7056" s="166"/>
      <c r="R7056" s="71"/>
    </row>
    <row r="7057" spans="1:41" s="61" customFormat="1" x14ac:dyDescent="0.25">
      <c r="A7057" s="358"/>
      <c r="B7057" s="361"/>
      <c r="C7057" s="221" t="s">
        <v>77</v>
      </c>
      <c r="D7057" s="231"/>
      <c r="E7057" s="231"/>
      <c r="F7057" s="231"/>
      <c r="G7057" s="238">
        <f>MROUND(H7057*L7057*I7057/K7057,0.00000000001)</f>
        <v>0</v>
      </c>
      <c r="H7057" s="160">
        <f>H6817</f>
        <v>0</v>
      </c>
      <c r="I7057" s="159">
        <f>I7055</f>
        <v>1.85677E-3</v>
      </c>
      <c r="J7057" s="160"/>
      <c r="K7057" s="161">
        <f>K7055</f>
        <v>56</v>
      </c>
      <c r="L7057" s="250"/>
      <c r="M7057" s="163"/>
      <c r="N7057" s="164">
        <f>N6817</f>
        <v>0</v>
      </c>
      <c r="O7057" s="165">
        <f>MROUND(G7057*N7057,0.000000001)</f>
        <v>0</v>
      </c>
      <c r="P7057" s="166"/>
      <c r="Q7057" s="166">
        <f t="shared" ref="Q7057" si="1955">O7057*K7057</f>
        <v>0</v>
      </c>
      <c r="R7057" s="71"/>
    </row>
    <row r="7058" spans="1:41" s="61" customFormat="1" x14ac:dyDescent="0.25">
      <c r="A7058" s="358"/>
      <c r="B7058" s="361"/>
      <c r="C7058" s="218" t="s">
        <v>304</v>
      </c>
      <c r="D7058" s="232"/>
      <c r="E7058" s="232"/>
      <c r="F7058" s="232"/>
      <c r="G7058" s="227"/>
      <c r="H7058" s="228"/>
      <c r="I7058" s="206"/>
      <c r="J7058" s="228"/>
      <c r="K7058" s="207"/>
      <c r="L7058" s="257"/>
      <c r="M7058" s="209"/>
      <c r="N7058" s="210"/>
      <c r="O7058" s="198">
        <f>O7057</f>
        <v>0</v>
      </c>
      <c r="P7058" s="166"/>
      <c r="Q7058" s="166"/>
      <c r="R7058" s="71"/>
    </row>
    <row r="7059" spans="1:41" s="61" customFormat="1" x14ac:dyDescent="0.25">
      <c r="A7059" s="358"/>
      <c r="B7059" s="361"/>
      <c r="C7059" s="221"/>
      <c r="D7059" s="350" t="s">
        <v>65</v>
      </c>
      <c r="E7059" s="350"/>
      <c r="F7059" s="350"/>
      <c r="G7059" s="350"/>
      <c r="H7059" s="195"/>
      <c r="I7059" s="159"/>
      <c r="J7059" s="195"/>
      <c r="K7059" s="161"/>
      <c r="L7059" s="196"/>
      <c r="M7059" s="230"/>
      <c r="N7059" s="164"/>
      <c r="O7059" s="165">
        <f t="shared" ref="O7059:O7060" si="1956">MROUND(G7059*N7059,0.000001)</f>
        <v>0</v>
      </c>
      <c r="P7059" s="166"/>
      <c r="Q7059" s="166"/>
      <c r="R7059" s="71"/>
    </row>
    <row r="7060" spans="1:41" s="61" customFormat="1" x14ac:dyDescent="0.25">
      <c r="A7060" s="358"/>
      <c r="B7060" s="361"/>
      <c r="C7060" s="221"/>
      <c r="D7060" s="194"/>
      <c r="E7060" s="194"/>
      <c r="F7060" s="194"/>
      <c r="G7060" s="217"/>
      <c r="H7060" s="195"/>
      <c r="I7060" s="159"/>
      <c r="J7060" s="195"/>
      <c r="K7060" s="161"/>
      <c r="L7060" s="196"/>
      <c r="M7060" s="230"/>
      <c r="N7060" s="164"/>
      <c r="O7060" s="165">
        <f t="shared" si="1956"/>
        <v>0</v>
      </c>
      <c r="P7060" s="166"/>
      <c r="Q7060" s="166"/>
      <c r="R7060" s="71"/>
    </row>
    <row r="7061" spans="1:41" s="61" customFormat="1" x14ac:dyDescent="0.25">
      <c r="A7061" s="358"/>
      <c r="B7061" s="361"/>
      <c r="C7061" s="221" t="s">
        <v>357</v>
      </c>
      <c r="D7061" s="368" t="s">
        <v>66</v>
      </c>
      <c r="E7061" s="368"/>
      <c r="F7061" s="368"/>
      <c r="G7061" s="368"/>
      <c r="H7061" s="195"/>
      <c r="I7061" s="159"/>
      <c r="J7061" s="195"/>
      <c r="K7061" s="161"/>
      <c r="L7061" s="234"/>
      <c r="M7061" s="230"/>
      <c r="N7061" s="164"/>
      <c r="O7061" s="198">
        <f>O7062</f>
        <v>19.462266</v>
      </c>
      <c r="P7061" s="166"/>
      <c r="Q7061" s="166"/>
      <c r="R7061" s="71"/>
    </row>
    <row r="7062" spans="1:41" s="61" customFormat="1" ht="47.25" x14ac:dyDescent="0.25">
      <c r="A7062" s="358"/>
      <c r="B7062" s="361"/>
      <c r="C7062" s="221"/>
      <c r="D7062" s="222" t="s">
        <v>374</v>
      </c>
      <c r="E7062" s="194" t="s">
        <v>28</v>
      </c>
      <c r="F7062" s="194" t="s">
        <v>28</v>
      </c>
      <c r="G7062" s="217">
        <f>MROUND(H7062*L7062*I7062/K7062,0.000000001)</f>
        <v>4.7745510000000001E-3</v>
      </c>
      <c r="H7062" s="201">
        <f>H6822</f>
        <v>36</v>
      </c>
      <c r="I7062" s="159">
        <f>I7057</f>
        <v>1.85677E-3</v>
      </c>
      <c r="J7062" s="195"/>
      <c r="K7062" s="161">
        <f>K7057</f>
        <v>56</v>
      </c>
      <c r="L7062" s="235">
        <f>L6822</f>
        <v>4</v>
      </c>
      <c r="M7062" s="163" t="str">
        <f>CONCATENATE(H7062," ",F7062,"*",I7062,"/",K7062,"чел.")</f>
        <v>36 шт*0,00185677/56чел.</v>
      </c>
      <c r="N7062" s="164">
        <f>N6822</f>
        <v>4076.2506250000024</v>
      </c>
      <c r="O7062" s="165">
        <f>MROUND(G7062*N7062,0.000001)</f>
        <v>19.462266</v>
      </c>
      <c r="P7062" s="166"/>
      <c r="Q7062" s="166">
        <f t="shared" ref="Q7062" si="1957">O7062*K7062</f>
        <v>1089.886896</v>
      </c>
      <c r="R7062" s="71"/>
    </row>
    <row r="7063" spans="1:41" s="61" customFormat="1" x14ac:dyDescent="0.25">
      <c r="A7063" s="358"/>
      <c r="B7063" s="361"/>
      <c r="C7063" s="221"/>
      <c r="D7063" s="368" t="s">
        <v>67</v>
      </c>
      <c r="E7063" s="368"/>
      <c r="F7063" s="368"/>
      <c r="G7063" s="368"/>
      <c r="H7063" s="195"/>
      <c r="I7063" s="159"/>
      <c r="J7063" s="195"/>
      <c r="K7063" s="161"/>
      <c r="L7063" s="196"/>
      <c r="M7063" s="230"/>
      <c r="N7063" s="164"/>
      <c r="O7063" s="165">
        <f t="shared" ref="O7063:O7066" si="1958">MROUND(G7063*N7063,0.000001)</f>
        <v>0</v>
      </c>
      <c r="P7063" s="166"/>
      <c r="Q7063" s="166"/>
      <c r="R7063" s="71"/>
    </row>
    <row r="7064" spans="1:41" s="61" customFormat="1" x14ac:dyDescent="0.25">
      <c r="A7064" s="358"/>
      <c r="B7064" s="361"/>
      <c r="C7064" s="221"/>
      <c r="D7064" s="194"/>
      <c r="E7064" s="194"/>
      <c r="F7064" s="194"/>
      <c r="G7064" s="217"/>
      <c r="H7064" s="195"/>
      <c r="I7064" s="159"/>
      <c r="J7064" s="195"/>
      <c r="K7064" s="161"/>
      <c r="L7064" s="196"/>
      <c r="M7064" s="230"/>
      <c r="N7064" s="164"/>
      <c r="O7064" s="165">
        <f t="shared" si="1958"/>
        <v>0</v>
      </c>
      <c r="P7064" s="166"/>
      <c r="Q7064" s="166"/>
      <c r="R7064" s="71"/>
    </row>
    <row r="7065" spans="1:41" s="61" customFormat="1" x14ac:dyDescent="0.25">
      <c r="A7065" s="358"/>
      <c r="B7065" s="361"/>
      <c r="C7065" s="221"/>
      <c r="D7065" s="350" t="s">
        <v>68</v>
      </c>
      <c r="E7065" s="350"/>
      <c r="F7065" s="350"/>
      <c r="G7065" s="350"/>
      <c r="H7065" s="195"/>
      <c r="I7065" s="159"/>
      <c r="J7065" s="195"/>
      <c r="K7065" s="161"/>
      <c r="L7065" s="196"/>
      <c r="M7065" s="230"/>
      <c r="N7065" s="164"/>
      <c r="O7065" s="165">
        <f t="shared" si="1958"/>
        <v>0</v>
      </c>
      <c r="P7065" s="166"/>
      <c r="Q7065" s="166"/>
      <c r="R7065" s="71"/>
    </row>
    <row r="7066" spans="1:41" s="61" customFormat="1" x14ac:dyDescent="0.25">
      <c r="A7066" s="358"/>
      <c r="B7066" s="361"/>
      <c r="C7066" s="221"/>
      <c r="D7066" s="156"/>
      <c r="E7066" s="156"/>
      <c r="F7066" s="156"/>
      <c r="G7066" s="236"/>
      <c r="H7066" s="195"/>
      <c r="I7066" s="159"/>
      <c r="J7066" s="195"/>
      <c r="K7066" s="161"/>
      <c r="L7066" s="196"/>
      <c r="M7066" s="230"/>
      <c r="N7066" s="164"/>
      <c r="O7066" s="165">
        <f t="shared" si="1958"/>
        <v>0</v>
      </c>
      <c r="P7066" s="166"/>
      <c r="Q7066" s="166"/>
      <c r="R7066" s="71"/>
    </row>
    <row r="7067" spans="1:41" s="61" customFormat="1" x14ac:dyDescent="0.25">
      <c r="A7067" s="358"/>
      <c r="B7067" s="361"/>
      <c r="C7067" s="221"/>
      <c r="D7067" s="368" t="s">
        <v>69</v>
      </c>
      <c r="E7067" s="368"/>
      <c r="F7067" s="368"/>
      <c r="G7067" s="368"/>
      <c r="H7067" s="187"/>
      <c r="I7067" s="159"/>
      <c r="J7067" s="187"/>
      <c r="K7067" s="161"/>
      <c r="L7067" s="276"/>
      <c r="M7067" s="230"/>
      <c r="N7067" s="164"/>
      <c r="O7067" s="198">
        <f>O7069+O7076+O7093+O7095+O7110+O7112+O7114+O7139+O7141+O7146+O7143</f>
        <v>749.20100989000002</v>
      </c>
      <c r="P7067" s="166"/>
      <c r="Q7067" s="166"/>
      <c r="R7067" s="71"/>
    </row>
    <row r="7068" spans="1:41" s="61" customFormat="1" x14ac:dyDescent="0.25">
      <c r="A7068" s="358"/>
      <c r="B7068" s="361"/>
      <c r="C7068" s="221">
        <v>224</v>
      </c>
      <c r="D7068" s="156" t="s">
        <v>21</v>
      </c>
      <c r="E7068" s="156" t="s">
        <v>22</v>
      </c>
      <c r="F7068" s="156" t="s">
        <v>22</v>
      </c>
      <c r="G7068" s="238">
        <f>MROUND(H7068*L7068*I7068/K7068,0.000000001)</f>
        <v>0</v>
      </c>
      <c r="H7068" s="158"/>
      <c r="I7068" s="159">
        <f>I7062</f>
        <v>1.85677E-3</v>
      </c>
      <c r="J7068" s="160"/>
      <c r="K7068" s="161">
        <f>K7062</f>
        <v>56</v>
      </c>
      <c r="L7068" s="250"/>
      <c r="M7068" s="163"/>
      <c r="N7068" s="164"/>
      <c r="O7068" s="165">
        <f>MROUND(G7068*N7068,0.000001)</f>
        <v>0</v>
      </c>
      <c r="P7068" s="166"/>
      <c r="Q7068" s="166">
        <f t="shared" ref="Q7068" si="1959">O7068*K7068</f>
        <v>0</v>
      </c>
      <c r="R7068" s="71"/>
    </row>
    <row r="7069" spans="1:41" s="61" customFormat="1" x14ac:dyDescent="0.25">
      <c r="A7069" s="358"/>
      <c r="B7069" s="361"/>
      <c r="C7069" s="218" t="s">
        <v>293</v>
      </c>
      <c r="D7069" s="240"/>
      <c r="E7069" s="240"/>
      <c r="F7069" s="240"/>
      <c r="G7069" s="227"/>
      <c r="H7069" s="241"/>
      <c r="I7069" s="206"/>
      <c r="J7069" s="228"/>
      <c r="K7069" s="207"/>
      <c r="L7069" s="257"/>
      <c r="M7069" s="209"/>
      <c r="N7069" s="210"/>
      <c r="O7069" s="198">
        <f>SUM(O7068)</f>
        <v>0</v>
      </c>
      <c r="P7069" s="166"/>
      <c r="Q7069" s="166"/>
      <c r="R7069" s="71"/>
    </row>
    <row r="7070" spans="1:41" s="61" customFormat="1" ht="31.5" x14ac:dyDescent="0.25">
      <c r="A7070" s="358"/>
      <c r="B7070" s="361"/>
      <c r="C7070" s="364" t="s">
        <v>78</v>
      </c>
      <c r="D7070" s="156" t="s">
        <v>26</v>
      </c>
      <c r="E7070" s="156" t="s">
        <v>22</v>
      </c>
      <c r="F7070" s="156" t="s">
        <v>22</v>
      </c>
      <c r="G7070" s="238">
        <f>MROUND(H7070*L7070*I7070/K7070,0.000001)</f>
        <v>10.281200999999999</v>
      </c>
      <c r="H7070" s="158">
        <f>H6830</f>
        <v>25840</v>
      </c>
      <c r="I7070" s="159">
        <f>I7068</f>
        <v>1.85677E-3</v>
      </c>
      <c r="J7070" s="160"/>
      <c r="K7070" s="161">
        <f>K7068</f>
        <v>56</v>
      </c>
      <c r="L7070" s="250">
        <v>12</v>
      </c>
      <c r="M7070" s="163" t="str">
        <f>CONCATENATE(H7070," ",F7070,"(обрабатываемая площадь в мес.)","*",L7070,"мес.","*",I7070,"/",K7070,"чел.")</f>
        <v>25840 м2(обрабатываемая площадь в мес.)*12мес.*0,00185677/56чел.</v>
      </c>
      <c r="N7070" s="164">
        <f>N6830</f>
        <v>1.2568903508771934</v>
      </c>
      <c r="O7070" s="165">
        <f t="shared" ref="O7070:O7075" si="1960">MROUND(G7070*N7070,0.000001)</f>
        <v>12.922341999999999</v>
      </c>
      <c r="P7070" s="166"/>
      <c r="Q7070" s="166">
        <f t="shared" ref="Q7070:Q7075" si="1961">O7070*K7070</f>
        <v>723.65115199999991</v>
      </c>
      <c r="R7070" s="71"/>
    </row>
    <row r="7071" spans="1:41" s="61" customFormat="1" ht="31.5" x14ac:dyDescent="0.25">
      <c r="A7071" s="358"/>
      <c r="B7071" s="361"/>
      <c r="C7071" s="364"/>
      <c r="D7071" s="156" t="s">
        <v>96</v>
      </c>
      <c r="E7071" s="156" t="s">
        <v>22</v>
      </c>
      <c r="F7071" s="156" t="s">
        <v>22</v>
      </c>
      <c r="G7071" s="238">
        <f>MROUND(H7071*L7071*I7071/K7071,0.000001)</f>
        <v>5.3216349999999997</v>
      </c>
      <c r="H7071" s="158">
        <f>H6831</f>
        <v>13375</v>
      </c>
      <c r="I7071" s="159">
        <f t="shared" si="1949"/>
        <v>1.85677E-3</v>
      </c>
      <c r="J7071" s="160"/>
      <c r="K7071" s="161">
        <f>K7070</f>
        <v>56</v>
      </c>
      <c r="L7071" s="250">
        <v>12</v>
      </c>
      <c r="M7071" s="163" t="str">
        <f>CONCATENATE(H7071," ",F7071,"(обрабатываемая площадь в мес.)","*",L7071,"мес.","*",I7071,"/",K7071,"чел.")</f>
        <v>13375 м2(обрабатываемая площадь в мес.)*12мес.*0,00185677/56чел.</v>
      </c>
      <c r="N7071" s="164">
        <f>N6831</f>
        <v>2.0157672274143299</v>
      </c>
      <c r="O7071" s="165">
        <f t="shared" si="1960"/>
        <v>10.727176999999999</v>
      </c>
      <c r="P7071" s="166"/>
      <c r="Q7071" s="166">
        <f t="shared" si="1961"/>
        <v>600.72191199999997</v>
      </c>
      <c r="R7071" s="71"/>
    </row>
    <row r="7072" spans="1:41" s="135" customFormat="1" ht="31.5" x14ac:dyDescent="0.25">
      <c r="A7072" s="358"/>
      <c r="B7072" s="361"/>
      <c r="C7072" s="364"/>
      <c r="D7072" s="156" t="s">
        <v>385</v>
      </c>
      <c r="E7072" s="156" t="s">
        <v>22</v>
      </c>
      <c r="F7072" s="156" t="s">
        <v>22</v>
      </c>
      <c r="G7072" s="238">
        <f>MROUND(H7072*L7072*I7072/K7072,0.000001)</f>
        <v>10.643271</v>
      </c>
      <c r="H7072" s="242">
        <f>$H$55</f>
        <v>13375</v>
      </c>
      <c r="I7072" s="159">
        <f t="shared" si="1949"/>
        <v>1.85677E-3</v>
      </c>
      <c r="J7072" s="160"/>
      <c r="K7072" s="161">
        <f>K7071</f>
        <v>56</v>
      </c>
      <c r="L7072" s="162">
        <v>24</v>
      </c>
      <c r="M7072" s="163" t="str">
        <f>CONCATENATE(H7072," ",F7072,"(обрабатываемая площадь в год)","*",L7072," раза в год.","*",I7072,"/",K7072,"чел.")</f>
        <v>13375 м2(обрабатываемая площадь в год)*24 раза в год.*0,00185677/56чел.</v>
      </c>
      <c r="N7072" s="164">
        <f>$N$6832</f>
        <v>2.4900656074766365</v>
      </c>
      <c r="O7072" s="165">
        <f t="shared" si="1960"/>
        <v>26.502443</v>
      </c>
      <c r="P7072" s="166"/>
      <c r="Q7072" s="166">
        <f t="shared" si="1961"/>
        <v>1484.136808</v>
      </c>
      <c r="R7072" s="71"/>
      <c r="S7072" s="61"/>
      <c r="T7072" s="61"/>
      <c r="U7072" s="61"/>
      <c r="V7072" s="61"/>
      <c r="W7072" s="61"/>
      <c r="X7072" s="61"/>
      <c r="Y7072" s="61"/>
      <c r="Z7072" s="61"/>
      <c r="AA7072" s="61"/>
      <c r="AB7072" s="61"/>
      <c r="AC7072" s="61"/>
      <c r="AD7072" s="61"/>
      <c r="AE7072" s="61"/>
      <c r="AF7072" s="61"/>
      <c r="AG7072" s="61"/>
      <c r="AH7072" s="61"/>
      <c r="AI7072" s="61"/>
      <c r="AJ7072" s="61"/>
      <c r="AK7072" s="61"/>
      <c r="AL7072" s="61"/>
      <c r="AM7072" s="61"/>
      <c r="AN7072" s="61"/>
      <c r="AO7072" s="61"/>
    </row>
    <row r="7073" spans="1:41" s="135" customFormat="1" ht="31.5" x14ac:dyDescent="0.25">
      <c r="A7073" s="358"/>
      <c r="B7073" s="361"/>
      <c r="C7073" s="364"/>
      <c r="D7073" s="156" t="s">
        <v>394</v>
      </c>
      <c r="E7073" s="156" t="s">
        <v>22</v>
      </c>
      <c r="F7073" s="156" t="s">
        <v>22</v>
      </c>
      <c r="G7073" s="238">
        <f>MROUND(H7073*L7073*I7073/K7073,0.000001)</f>
        <v>10.281200999999999</v>
      </c>
      <c r="H7073" s="243">
        <f>$H$56</f>
        <v>25840</v>
      </c>
      <c r="I7073" s="159">
        <f t="shared" si="1949"/>
        <v>1.85677E-3</v>
      </c>
      <c r="J7073" s="160"/>
      <c r="K7073" s="161">
        <f>K7072</f>
        <v>56</v>
      </c>
      <c r="L7073" s="162">
        <v>12</v>
      </c>
      <c r="M7073" s="163" t="str">
        <f>CONCATENATE(H7073," ",F7073,"(обрабатываемая площадь в мес.)","*",L7073,"мес.","*",I7073,"/",K7073,"чел.")</f>
        <v>25840 м2(обрабатываемая площадь в мес.)*12мес.*0,00185677/56чел.</v>
      </c>
      <c r="N7073" s="164">
        <f>$N$6833</f>
        <v>0.59287277476780176</v>
      </c>
      <c r="O7073" s="165">
        <f t="shared" si="1960"/>
        <v>6.0954439999999996</v>
      </c>
      <c r="P7073" s="166"/>
      <c r="Q7073" s="166">
        <f t="shared" si="1961"/>
        <v>341.34486399999997</v>
      </c>
      <c r="R7073" s="71"/>
      <c r="S7073" s="61"/>
      <c r="T7073" s="61"/>
      <c r="U7073" s="61"/>
      <c r="V7073" s="61"/>
      <c r="W7073" s="61"/>
      <c r="X7073" s="61"/>
      <c r="Y7073" s="61"/>
      <c r="Z7073" s="61"/>
      <c r="AA7073" s="61"/>
      <c r="AB7073" s="61"/>
      <c r="AC7073" s="61"/>
      <c r="AD7073" s="61"/>
      <c r="AE7073" s="61"/>
      <c r="AF7073" s="61"/>
      <c r="AG7073" s="61"/>
      <c r="AH7073" s="61"/>
      <c r="AI7073" s="61"/>
      <c r="AJ7073" s="61"/>
      <c r="AK7073" s="61"/>
      <c r="AL7073" s="61"/>
      <c r="AM7073" s="61"/>
      <c r="AN7073" s="61"/>
      <c r="AO7073" s="61"/>
    </row>
    <row r="7074" spans="1:41" s="135" customFormat="1" ht="31.5" x14ac:dyDescent="0.25">
      <c r="A7074" s="358"/>
      <c r="B7074" s="361"/>
      <c r="C7074" s="364"/>
      <c r="D7074" s="156" t="s">
        <v>395</v>
      </c>
      <c r="E7074" s="156" t="s">
        <v>98</v>
      </c>
      <c r="F7074" s="156" t="s">
        <v>98</v>
      </c>
      <c r="G7074" s="238">
        <f>MROUND(H7074*L7074*I7074/K7074,0.000000001)</f>
        <v>6.2798600000000008E-4</v>
      </c>
      <c r="H7074" s="242">
        <f>$H$57</f>
        <v>18.939999999999998</v>
      </c>
      <c r="I7074" s="159">
        <f t="shared" si="1949"/>
        <v>1.85677E-3</v>
      </c>
      <c r="J7074" s="160"/>
      <c r="K7074" s="161">
        <f>K7070</f>
        <v>56</v>
      </c>
      <c r="L7074" s="162">
        <v>1</v>
      </c>
      <c r="M7074" s="163" t="str">
        <f>CONCATENATE(H7074," ",F7074,"(обрабатываемая площадь в год)","*",L7074," раз в год","*",I7074,"/",K7074,"чел.")</f>
        <v>18,94 Га(обрабатываемая площадь в год)*1 раз в год*0,00185677/56чел.</v>
      </c>
      <c r="N7074" s="164">
        <f>$N$6834</f>
        <v>592.87803590285125</v>
      </c>
      <c r="O7074" s="165">
        <f t="shared" si="1960"/>
        <v>0.37231899999999996</v>
      </c>
      <c r="P7074" s="166"/>
      <c r="Q7074" s="166">
        <f t="shared" si="1961"/>
        <v>20.849863999999997</v>
      </c>
      <c r="R7074" s="71"/>
      <c r="S7074" s="61"/>
      <c r="T7074" s="61"/>
      <c r="U7074" s="61"/>
      <c r="V7074" s="61"/>
      <c r="W7074" s="61"/>
      <c r="X7074" s="61"/>
      <c r="Y7074" s="61"/>
      <c r="Z7074" s="61"/>
      <c r="AA7074" s="61"/>
      <c r="AB7074" s="61"/>
      <c r="AC7074" s="61"/>
      <c r="AD7074" s="61"/>
      <c r="AE7074" s="61"/>
      <c r="AF7074" s="61"/>
      <c r="AG7074" s="61"/>
      <c r="AH7074" s="61"/>
      <c r="AI7074" s="61"/>
      <c r="AJ7074" s="61"/>
      <c r="AK7074" s="61"/>
      <c r="AL7074" s="61"/>
      <c r="AM7074" s="61"/>
      <c r="AN7074" s="61"/>
      <c r="AO7074" s="61"/>
    </row>
    <row r="7075" spans="1:41" s="61" customFormat="1" ht="31.5" x14ac:dyDescent="0.25">
      <c r="A7075" s="358"/>
      <c r="B7075" s="361"/>
      <c r="C7075" s="364"/>
      <c r="D7075" s="156" t="s">
        <v>97</v>
      </c>
      <c r="E7075" s="156" t="s">
        <v>98</v>
      </c>
      <c r="F7075" s="156" t="s">
        <v>98</v>
      </c>
      <c r="G7075" s="238">
        <f>MROUND(H7075*L7075*I7075/K7075,0.0000000001)</f>
        <v>6.2798610000000001E-4</v>
      </c>
      <c r="H7075" s="242">
        <f>H6835</f>
        <v>18.939999999999998</v>
      </c>
      <c r="I7075" s="244">
        <f>I7071</f>
        <v>1.85677E-3</v>
      </c>
      <c r="J7075" s="160"/>
      <c r="K7075" s="161">
        <f>K7071</f>
        <v>56</v>
      </c>
      <c r="L7075" s="250">
        <v>1</v>
      </c>
      <c r="M7075" s="163" t="str">
        <f>CONCATENATE(H7075," ",F7075,"(обрабатываемая площадь в мес.)","*",L7075,"мес.","*",I7075,"/",K7075,"чел.")</f>
        <v>18,94 Га(обрабатываемая площадь в мес.)*1мес.*0,00185677/56чел.</v>
      </c>
      <c r="N7075" s="164">
        <f>N6835</f>
        <v>3226.5021119324188</v>
      </c>
      <c r="O7075" s="165">
        <f t="shared" si="1960"/>
        <v>2.0261979999999999</v>
      </c>
      <c r="P7075" s="166"/>
      <c r="Q7075" s="166">
        <f t="shared" si="1961"/>
        <v>113.46708799999999</v>
      </c>
      <c r="R7075" s="71"/>
    </row>
    <row r="7076" spans="1:41" s="61" customFormat="1" x14ac:dyDescent="0.25">
      <c r="A7076" s="358"/>
      <c r="B7076" s="361"/>
      <c r="C7076" s="245" t="s">
        <v>303</v>
      </c>
      <c r="D7076" s="240"/>
      <c r="E7076" s="240"/>
      <c r="F7076" s="240"/>
      <c r="G7076" s="227"/>
      <c r="H7076" s="241"/>
      <c r="I7076" s="206"/>
      <c r="J7076" s="228"/>
      <c r="K7076" s="207"/>
      <c r="L7076" s="257"/>
      <c r="M7076" s="209"/>
      <c r="N7076" s="210"/>
      <c r="O7076" s="198">
        <f>SUM(O7070:O7075)</f>
        <v>58.645922999999996</v>
      </c>
      <c r="P7076" s="166"/>
      <c r="Q7076" s="166"/>
      <c r="R7076" s="71"/>
    </row>
    <row r="7077" spans="1:41" s="61" customFormat="1" ht="63" x14ac:dyDescent="0.25">
      <c r="A7077" s="358"/>
      <c r="B7077" s="361"/>
      <c r="C7077" s="365" t="s">
        <v>77</v>
      </c>
      <c r="D7077" s="156" t="s">
        <v>29</v>
      </c>
      <c r="E7077" s="156" t="s">
        <v>58</v>
      </c>
      <c r="F7077" s="156" t="s">
        <v>218</v>
      </c>
      <c r="G7077" s="238">
        <f>MROUND(H7077*L7077*I7077/K7077,0.00000001)</f>
        <v>1.9894000000000001E-3</v>
      </c>
      <c r="H7077" s="158">
        <v>15</v>
      </c>
      <c r="I7077" s="159">
        <f>I7075</f>
        <v>1.85677E-3</v>
      </c>
      <c r="J7077" s="160"/>
      <c r="K7077" s="161">
        <f>K7075</f>
        <v>56</v>
      </c>
      <c r="L7077" s="162">
        <v>4</v>
      </c>
      <c r="M7077" s="163" t="str">
        <f>CONCATENATE(H7077," ",F7077,"*",L7077," раза в год","*",I7077,"/",K7077,"чел.")</f>
        <v>15 установок*4 раза в год*0,00185677/56чел.</v>
      </c>
      <c r="N7077" s="164">
        <f t="shared" ref="N7077:N7090" si="1962">N6837</f>
        <v>2355.4600000000005</v>
      </c>
      <c r="O7077" s="165">
        <f t="shared" ref="O7077:O7085" si="1963">MROUND(G7077*N7077,0.000001)</f>
        <v>4.6859519999999995</v>
      </c>
      <c r="P7077" s="166"/>
      <c r="Q7077" s="166">
        <f t="shared" ref="Q7077:Q7092" si="1964">O7077*K7077</f>
        <v>262.41331199999996</v>
      </c>
      <c r="R7077" s="71"/>
    </row>
    <row r="7078" spans="1:41" s="61" customFormat="1" ht="47.25" x14ac:dyDescent="0.25">
      <c r="A7078" s="358"/>
      <c r="B7078" s="361"/>
      <c r="C7078" s="366"/>
      <c r="D7078" s="156" t="s">
        <v>30</v>
      </c>
      <c r="E7078" s="156" t="s">
        <v>58</v>
      </c>
      <c r="F7078" s="156" t="s">
        <v>218</v>
      </c>
      <c r="G7078" s="238">
        <f>MROUND(H7078*L7078*I7078/K7078,0.00000001)</f>
        <v>9.9470000000000005E-4</v>
      </c>
      <c r="H7078" s="158">
        <v>15</v>
      </c>
      <c r="I7078" s="159">
        <f t="shared" si="1949"/>
        <v>1.85677E-3</v>
      </c>
      <c r="J7078" s="160"/>
      <c r="K7078" s="161">
        <f t="shared" ref="K7078:K7086" si="1965">K7077</f>
        <v>56</v>
      </c>
      <c r="L7078" s="250">
        <v>2</v>
      </c>
      <c r="M7078" s="163" t="str">
        <f>CONCATENATE(H7078," ",F7078,"*",L7078,"полуг.","*",I7078,"/",K7078,"чел.")</f>
        <v>15 установок*2полуг.*0,00185677/56чел.</v>
      </c>
      <c r="N7078" s="164">
        <f t="shared" si="1962"/>
        <v>4710.920000000001</v>
      </c>
      <c r="O7078" s="165">
        <f t="shared" si="1963"/>
        <v>4.6859519999999995</v>
      </c>
      <c r="P7078" s="166"/>
      <c r="Q7078" s="166">
        <f t="shared" si="1964"/>
        <v>262.41331199999996</v>
      </c>
      <c r="R7078" s="71"/>
    </row>
    <row r="7079" spans="1:41" s="61" customFormat="1" x14ac:dyDescent="0.25">
      <c r="A7079" s="358"/>
      <c r="B7079" s="361"/>
      <c r="C7079" s="366"/>
      <c r="D7079" s="156" t="s">
        <v>397</v>
      </c>
      <c r="E7079" s="156" t="s">
        <v>433</v>
      </c>
      <c r="F7079" s="156" t="s">
        <v>433</v>
      </c>
      <c r="G7079" s="238">
        <f>MROUND(H7079*L7079*I7079/K7079,0.000001)</f>
        <v>0</v>
      </c>
      <c r="H7079" s="158">
        <f>H6839</f>
        <v>0</v>
      </c>
      <c r="I7079" s="159">
        <f t="shared" si="1949"/>
        <v>1.85677E-3</v>
      </c>
      <c r="J7079" s="160"/>
      <c r="K7079" s="161">
        <f t="shared" si="1965"/>
        <v>56</v>
      </c>
      <c r="L7079" s="162">
        <v>1</v>
      </c>
      <c r="M7079" s="163"/>
      <c r="N7079" s="164">
        <f t="shared" si="1962"/>
        <v>0</v>
      </c>
      <c r="O7079" s="165">
        <f t="shared" si="1963"/>
        <v>0</v>
      </c>
      <c r="P7079" s="166"/>
      <c r="Q7079" s="166">
        <f t="shared" si="1964"/>
        <v>0</v>
      </c>
      <c r="R7079" s="71"/>
    </row>
    <row r="7080" spans="1:41" s="61" customFormat="1" ht="47.25" x14ac:dyDescent="0.25">
      <c r="A7080" s="358"/>
      <c r="B7080" s="361"/>
      <c r="C7080" s="366"/>
      <c r="D7080" s="156" t="s">
        <v>32</v>
      </c>
      <c r="E7080" s="156" t="s">
        <v>55</v>
      </c>
      <c r="F7080" s="156" t="s">
        <v>219</v>
      </c>
      <c r="G7080" s="238">
        <f>MROUND(H7080*L7080*I7080/K7080,0.000000001)</f>
        <v>4.7745510000000001E-3</v>
      </c>
      <c r="H7080" s="158">
        <f>H6840</f>
        <v>36</v>
      </c>
      <c r="I7080" s="159">
        <f t="shared" si="1949"/>
        <v>1.85677E-3</v>
      </c>
      <c r="J7080" s="160"/>
      <c r="K7080" s="161">
        <f t="shared" si="1965"/>
        <v>56</v>
      </c>
      <c r="L7080" s="250">
        <v>4</v>
      </c>
      <c r="M7080" s="163" t="str">
        <f>CONCATENATE(H7080," ",F7080,"*",L7080,"кв.","*",I7080,"/",K7080,"чел.")</f>
        <v>36 системы*4кв.*0,00185677/56чел.</v>
      </c>
      <c r="N7080" s="164">
        <f t="shared" si="1962"/>
        <v>7532.7785416666693</v>
      </c>
      <c r="O7080" s="165">
        <f t="shared" si="1963"/>
        <v>35.965634999999999</v>
      </c>
      <c r="P7080" s="166"/>
      <c r="Q7080" s="166">
        <f t="shared" si="1964"/>
        <v>2014.07556</v>
      </c>
      <c r="R7080" s="71"/>
    </row>
    <row r="7081" spans="1:41" s="61" customFormat="1" ht="63" x14ac:dyDescent="0.25">
      <c r="A7081" s="358"/>
      <c r="B7081" s="361"/>
      <c r="C7081" s="366"/>
      <c r="D7081" s="156" t="s">
        <v>33</v>
      </c>
      <c r="E7081" s="156" t="s">
        <v>56</v>
      </c>
      <c r="F7081" s="156" t="s">
        <v>220</v>
      </c>
      <c r="G7081" s="238">
        <f>MROUND(H7081*L7081*I7081/K7081,0.000000001)</f>
        <v>1.1936380000000001E-3</v>
      </c>
      <c r="H7081" s="158">
        <f>$H$64</f>
        <v>36</v>
      </c>
      <c r="I7081" s="159">
        <f>I7080</f>
        <v>1.85677E-3</v>
      </c>
      <c r="J7081" s="160"/>
      <c r="K7081" s="161">
        <f t="shared" si="1965"/>
        <v>56</v>
      </c>
      <c r="L7081" s="162">
        <v>1</v>
      </c>
      <c r="M7081" s="163" t="str">
        <f>CONCATENATE(H7081," ",F7081,"*",L7081," раз в год","*",I7081,"/",K7081,"чел.")</f>
        <v>36 дымоходов*1 раз в год*0,00185677/56чел.</v>
      </c>
      <c r="N7081" s="164">
        <f t="shared" si="1962"/>
        <v>7312.0941666666668</v>
      </c>
      <c r="O7081" s="165">
        <f t="shared" si="1963"/>
        <v>8.7279929999999997</v>
      </c>
      <c r="P7081" s="166"/>
      <c r="Q7081" s="166">
        <f t="shared" si="1964"/>
        <v>488.767608</v>
      </c>
      <c r="R7081" s="71"/>
    </row>
    <row r="7082" spans="1:41" s="61" customFormat="1" x14ac:dyDescent="0.25">
      <c r="A7082" s="358"/>
      <c r="B7082" s="361"/>
      <c r="C7082" s="366"/>
      <c r="D7082" s="194" t="s">
        <v>398</v>
      </c>
      <c r="E7082" s="156" t="s">
        <v>60</v>
      </c>
      <c r="F7082" s="156" t="s">
        <v>60</v>
      </c>
      <c r="G7082" s="238">
        <f>MROUND(H7082*L7082*I7082/K7082,0.000000001)</f>
        <v>1.1604810000000001E-3</v>
      </c>
      <c r="H7082" s="246">
        <f t="shared" ref="H7082:H7092" si="1966">H6842</f>
        <v>35</v>
      </c>
      <c r="I7082" s="159">
        <f t="shared" si="1949"/>
        <v>1.85677E-3</v>
      </c>
      <c r="J7082" s="160"/>
      <c r="K7082" s="161">
        <f t="shared" si="1965"/>
        <v>56</v>
      </c>
      <c r="L7082" s="250">
        <v>1</v>
      </c>
      <c r="M7082" s="163" t="str">
        <f>CONCATENATE(H7082," ",F7082,"*",I7082,"/",K7082,"чел.")</f>
        <v>35 шт.*0,00185677/56чел.</v>
      </c>
      <c r="N7082" s="164">
        <f t="shared" si="1962"/>
        <v>12660.374571428585</v>
      </c>
      <c r="O7082" s="165">
        <f t="shared" si="1963"/>
        <v>14.692124</v>
      </c>
      <c r="P7082" s="166"/>
      <c r="Q7082" s="166">
        <f t="shared" si="1964"/>
        <v>822.75894399999993</v>
      </c>
      <c r="R7082" s="71"/>
    </row>
    <row r="7083" spans="1:41" s="61" customFormat="1" ht="47.25" x14ac:dyDescent="0.25">
      <c r="A7083" s="358"/>
      <c r="B7083" s="361"/>
      <c r="C7083" s="366"/>
      <c r="D7083" s="156" t="s">
        <v>401</v>
      </c>
      <c r="E7083" s="156" t="s">
        <v>60</v>
      </c>
      <c r="F7083" s="156" t="s">
        <v>402</v>
      </c>
      <c r="G7083" s="238">
        <f>MROUND(H7083*L7083*I7083/K7083,0.000001)</f>
        <v>2.3209999999999997E-3</v>
      </c>
      <c r="H7083" s="246">
        <f t="shared" si="1966"/>
        <v>35</v>
      </c>
      <c r="I7083" s="159">
        <f t="shared" si="1949"/>
        <v>1.85677E-3</v>
      </c>
      <c r="J7083" s="160"/>
      <c r="K7083" s="161">
        <f t="shared" si="1965"/>
        <v>56</v>
      </c>
      <c r="L7083" s="162">
        <v>2</v>
      </c>
      <c r="M7083" s="163" t="str">
        <f>CONCATENATE(H7083," ",F7083,"*",L7083," раз в год","*",I7083,"/",K7083,"чел.")</f>
        <v>35 противопожарных водопроводов*2 раз в год*0,00185677/56чел.</v>
      </c>
      <c r="N7083" s="164">
        <f t="shared" si="1962"/>
        <v>5928.7300000000032</v>
      </c>
      <c r="O7083" s="165">
        <f t="shared" si="1963"/>
        <v>13.760581999999999</v>
      </c>
      <c r="P7083" s="166"/>
      <c r="Q7083" s="166">
        <f t="shared" si="1964"/>
        <v>770.59259199999997</v>
      </c>
      <c r="R7083" s="71"/>
    </row>
    <row r="7084" spans="1:41" s="61" customFormat="1" ht="31.5" x14ac:dyDescent="0.25">
      <c r="A7084" s="358"/>
      <c r="B7084" s="361"/>
      <c r="C7084" s="366"/>
      <c r="D7084" s="156" t="s">
        <v>221</v>
      </c>
      <c r="E7084" s="156" t="s">
        <v>60</v>
      </c>
      <c r="F7084" s="156" t="s">
        <v>60</v>
      </c>
      <c r="G7084" s="238">
        <f>MROUND(H7084*L7084*I7084/K7084,0.00000001)</f>
        <v>7.1618300000000001E-3</v>
      </c>
      <c r="H7084" s="158">
        <f t="shared" si="1966"/>
        <v>18</v>
      </c>
      <c r="I7084" s="159">
        <f t="shared" si="1949"/>
        <v>1.85677E-3</v>
      </c>
      <c r="J7084" s="160"/>
      <c r="K7084" s="161">
        <f t="shared" si="1965"/>
        <v>56</v>
      </c>
      <c r="L7084" s="250">
        <v>12</v>
      </c>
      <c r="M7084" s="163" t="str">
        <f>CONCATENATE(H7084," ",F7084,"*",L7084,"мес.","*",I7084,"/",K7084,"чел.")</f>
        <v>18 шт.*12мес.*0,00185677/56чел.</v>
      </c>
      <c r="N7084" s="164">
        <f t="shared" si="1962"/>
        <v>6840.4345833333346</v>
      </c>
      <c r="O7084" s="165">
        <f t="shared" si="1963"/>
        <v>48.990029999999997</v>
      </c>
      <c r="P7084" s="166"/>
      <c r="Q7084" s="166">
        <f t="shared" si="1964"/>
        <v>2743.4416799999999</v>
      </c>
      <c r="R7084" s="71"/>
    </row>
    <row r="7085" spans="1:41" s="61" customFormat="1" ht="47.25" x14ac:dyDescent="0.25">
      <c r="A7085" s="358"/>
      <c r="B7085" s="361"/>
      <c r="C7085" s="366"/>
      <c r="D7085" s="156" t="s">
        <v>34</v>
      </c>
      <c r="E7085" s="156" t="s">
        <v>59</v>
      </c>
      <c r="F7085" s="156" t="s">
        <v>28</v>
      </c>
      <c r="G7085" s="238">
        <f>MROUND(H7085*L7085*I7085/K7085,0.0000000001)</f>
        <v>6.6313200000000001E-5</v>
      </c>
      <c r="H7085" s="158">
        <f t="shared" si="1966"/>
        <v>2</v>
      </c>
      <c r="I7085" s="159">
        <f t="shared" si="1949"/>
        <v>1.85677E-3</v>
      </c>
      <c r="J7085" s="160"/>
      <c r="K7085" s="161">
        <f t="shared" si="1965"/>
        <v>56</v>
      </c>
      <c r="L7085" s="250">
        <v>1</v>
      </c>
      <c r="M7085" s="163" t="str">
        <f>CONCATENATE(H7085," ",F7085,"*",I7085,"/",K7085,"чел.")</f>
        <v>2 шт*0,00185677/56чел.</v>
      </c>
      <c r="N7085" s="164">
        <f t="shared" si="1962"/>
        <v>8158.8</v>
      </c>
      <c r="O7085" s="165">
        <f t="shared" si="1963"/>
        <v>0.54103599999999996</v>
      </c>
      <c r="P7085" s="166"/>
      <c r="Q7085" s="166">
        <f t="shared" si="1964"/>
        <v>30.298015999999997</v>
      </c>
      <c r="R7085" s="71"/>
    </row>
    <row r="7086" spans="1:41" s="61" customFormat="1" ht="47.25" x14ac:dyDescent="0.25">
      <c r="A7086" s="358"/>
      <c r="B7086" s="361"/>
      <c r="C7086" s="366"/>
      <c r="D7086" s="156" t="s">
        <v>222</v>
      </c>
      <c r="E7086" s="156" t="s">
        <v>60</v>
      </c>
      <c r="F7086" s="156" t="s">
        <v>60</v>
      </c>
      <c r="G7086" s="238">
        <f>MROUND(H7086*L7086*I7086/K7086,0.00000000001)</f>
        <v>1.6578304E-4</v>
      </c>
      <c r="H7086" s="248">
        <f t="shared" si="1966"/>
        <v>5</v>
      </c>
      <c r="I7086" s="159">
        <f t="shared" si="1949"/>
        <v>1.85677E-3</v>
      </c>
      <c r="J7086" s="160"/>
      <c r="K7086" s="161">
        <f t="shared" si="1965"/>
        <v>56</v>
      </c>
      <c r="L7086" s="250">
        <v>1</v>
      </c>
      <c r="M7086" s="163" t="str">
        <f>CONCATENATE(H7086," ",F7086,"*",I7086,"/",K7086,"чел.")</f>
        <v>5 шт.*0,00185677/56чел.</v>
      </c>
      <c r="N7086" s="164">
        <f t="shared" si="1962"/>
        <v>45611.39</v>
      </c>
      <c r="O7086" s="165">
        <f>MROUND(G7086*N7086,0.00000001)</f>
        <v>7.5615948900000003</v>
      </c>
      <c r="P7086" s="166"/>
      <c r="Q7086" s="166">
        <f t="shared" si="1964"/>
        <v>423.44931384</v>
      </c>
      <c r="R7086" s="71"/>
    </row>
    <row r="7087" spans="1:41" s="61" customFormat="1" ht="31.5" x14ac:dyDescent="0.25">
      <c r="A7087" s="358"/>
      <c r="B7087" s="361"/>
      <c r="C7087" s="366"/>
      <c r="D7087" s="156" t="s">
        <v>35</v>
      </c>
      <c r="E7087" s="156" t="s">
        <v>102</v>
      </c>
      <c r="F7087" s="156" t="s">
        <v>223</v>
      </c>
      <c r="G7087" s="238">
        <f>MROUND(H7087*L7087*I7087/K7087,0.00000001)</f>
        <v>1.16048E-3</v>
      </c>
      <c r="H7087" s="158">
        <f t="shared" si="1966"/>
        <v>35</v>
      </c>
      <c r="I7087" s="159">
        <f>I7085</f>
        <v>1.85677E-3</v>
      </c>
      <c r="J7087" s="160"/>
      <c r="K7087" s="161">
        <f>K7085</f>
        <v>56</v>
      </c>
      <c r="L7087" s="250">
        <v>1</v>
      </c>
      <c r="M7087" s="163" t="str">
        <f>CONCATENATE(H7087," ",F7087,"*",I7087,"/",K7087,"чел.")</f>
        <v>35 замеров*0,00185677/56чел.</v>
      </c>
      <c r="N7087" s="164">
        <f t="shared" si="1962"/>
        <v>26000</v>
      </c>
      <c r="O7087" s="165">
        <f t="shared" ref="O7087:O7092" si="1967">MROUND(G7087*N7087,0.000001)</f>
        <v>30.17248</v>
      </c>
      <c r="P7087" s="166"/>
      <c r="Q7087" s="166">
        <f t="shared" si="1964"/>
        <v>1689.65888</v>
      </c>
      <c r="R7087" s="71"/>
    </row>
    <row r="7088" spans="1:41" s="61" customFormat="1" ht="47.25" x14ac:dyDescent="0.25">
      <c r="A7088" s="358"/>
      <c r="B7088" s="361"/>
      <c r="C7088" s="366"/>
      <c r="D7088" s="156" t="s">
        <v>399</v>
      </c>
      <c r="E7088" s="156" t="s">
        <v>60</v>
      </c>
      <c r="F7088" s="156" t="s">
        <v>60</v>
      </c>
      <c r="G7088" s="238">
        <f>MROUND(H7088*L7088*I7088/K7088,0.000000001)</f>
        <v>1.1604813E-2</v>
      </c>
      <c r="H7088" s="158">
        <f t="shared" si="1966"/>
        <v>35</v>
      </c>
      <c r="I7088" s="159">
        <f t="shared" si="1949"/>
        <v>1.85677E-3</v>
      </c>
      <c r="J7088" s="160"/>
      <c r="K7088" s="161">
        <f>K7087</f>
        <v>56</v>
      </c>
      <c r="L7088" s="250">
        <v>10</v>
      </c>
      <c r="M7088" s="163" t="str">
        <f>CONCATENATE(H7088," ",F7088,"*",L7088,"мес.","*",I7088,"/",K7088,"чел.")</f>
        <v>35 шт.*10мес.*0,00185677/56чел.</v>
      </c>
      <c r="N7088" s="164">
        <f t="shared" si="1962"/>
        <v>3380.9014857142843</v>
      </c>
      <c r="O7088" s="165">
        <f t="shared" si="1967"/>
        <v>39.234729999999999</v>
      </c>
      <c r="P7088" s="166"/>
      <c r="Q7088" s="166">
        <f t="shared" si="1964"/>
        <v>2197.1448799999998</v>
      </c>
      <c r="R7088" s="71"/>
    </row>
    <row r="7089" spans="1:18" s="61" customFormat="1" ht="47.25" x14ac:dyDescent="0.25">
      <c r="A7089" s="358"/>
      <c r="B7089" s="361"/>
      <c r="C7089" s="366"/>
      <c r="D7089" s="156" t="s">
        <v>36</v>
      </c>
      <c r="E7089" s="156" t="s">
        <v>31</v>
      </c>
      <c r="F7089" s="156" t="s">
        <v>224</v>
      </c>
      <c r="G7089" s="238">
        <f>MROUND(H7089*L7089*I7089/K7089,0.00000001)</f>
        <v>1.432365E-2</v>
      </c>
      <c r="H7089" s="158">
        <f t="shared" si="1966"/>
        <v>36</v>
      </c>
      <c r="I7089" s="159">
        <f t="shared" si="1949"/>
        <v>1.85677E-3</v>
      </c>
      <c r="J7089" s="160"/>
      <c r="K7089" s="161">
        <f>K7088</f>
        <v>56</v>
      </c>
      <c r="L7089" s="250">
        <v>12</v>
      </c>
      <c r="M7089" s="163" t="str">
        <f>CONCATENATE(H7089," ",F7089,"*",L7089,"мес.","*",I7089,"/",K7089,"чел.")</f>
        <v>36 устройств*12мес.*0,00185677/56чел.</v>
      </c>
      <c r="N7089" s="164">
        <f t="shared" si="1962"/>
        <v>1269.5381481481488</v>
      </c>
      <c r="O7089" s="165">
        <f t="shared" si="1967"/>
        <v>18.184419999999999</v>
      </c>
      <c r="P7089" s="166"/>
      <c r="Q7089" s="166">
        <f t="shared" si="1964"/>
        <v>1018.3275199999999</v>
      </c>
      <c r="R7089" s="71"/>
    </row>
    <row r="7090" spans="1:18" s="61" customFormat="1" ht="31.5" x14ac:dyDescent="0.25">
      <c r="A7090" s="358"/>
      <c r="B7090" s="361"/>
      <c r="C7090" s="366"/>
      <c r="D7090" s="156" t="s">
        <v>99</v>
      </c>
      <c r="E7090" s="156" t="s">
        <v>103</v>
      </c>
      <c r="F7090" s="156" t="s">
        <v>225</v>
      </c>
      <c r="G7090" s="238">
        <f>MROUND(H7090*L7090*I7090/K7090,0.00000001)</f>
        <v>6.6644800000000004E-3</v>
      </c>
      <c r="H7090" s="158">
        <f t="shared" si="1966"/>
        <v>201</v>
      </c>
      <c r="I7090" s="159">
        <f t="shared" si="1949"/>
        <v>1.85677E-3</v>
      </c>
      <c r="J7090" s="160"/>
      <c r="K7090" s="161">
        <f>K7089</f>
        <v>56</v>
      </c>
      <c r="L7090" s="250">
        <v>1</v>
      </c>
      <c r="M7090" s="163" t="str">
        <f>CONCATENATE(H7090," ",F7090,"*",I7090,"/",K7090,"чел.")</f>
        <v>201 ед.*0,00185677/56чел.</v>
      </c>
      <c r="N7090" s="164">
        <f t="shared" si="1962"/>
        <v>15000</v>
      </c>
      <c r="O7090" s="165">
        <f t="shared" si="1967"/>
        <v>99.967199999999991</v>
      </c>
      <c r="P7090" s="166"/>
      <c r="Q7090" s="166">
        <f t="shared" si="1964"/>
        <v>5598.1631999999991</v>
      </c>
      <c r="R7090" s="71"/>
    </row>
    <row r="7091" spans="1:18" s="61" customFormat="1" x14ac:dyDescent="0.25">
      <c r="A7091" s="358"/>
      <c r="B7091" s="361"/>
      <c r="C7091" s="366"/>
      <c r="D7091" s="156" t="s">
        <v>27</v>
      </c>
      <c r="E7091" s="156" t="s">
        <v>28</v>
      </c>
      <c r="F7091" s="156" t="s">
        <v>28</v>
      </c>
      <c r="G7091" s="238">
        <f>MROUND(H7091*L7091*I7091/K7091,0.000000001)</f>
        <v>0.13892618400000001</v>
      </c>
      <c r="H7091" s="160">
        <f t="shared" si="1966"/>
        <v>4190</v>
      </c>
      <c r="I7091" s="159">
        <f t="shared" si="1949"/>
        <v>1.85677E-3</v>
      </c>
      <c r="J7091" s="160"/>
      <c r="K7091" s="161">
        <f>K7090</f>
        <v>56</v>
      </c>
      <c r="L7091" s="250">
        <v>1</v>
      </c>
      <c r="M7091" s="163" t="str">
        <f>CONCATENATE(H7091," ",F7091,"*",I7091,"/",K7091,"чел.")</f>
        <v>4190 шт*0,00185677/56чел.</v>
      </c>
      <c r="N7091" s="164">
        <f>N6971</f>
        <v>435.13600000000008</v>
      </c>
      <c r="O7091" s="165">
        <f t="shared" si="1967"/>
        <v>60.451783999999996</v>
      </c>
      <c r="P7091" s="166"/>
      <c r="Q7091" s="166">
        <f t="shared" si="1964"/>
        <v>3385.299904</v>
      </c>
      <c r="R7091" s="71"/>
    </row>
    <row r="7092" spans="1:18" s="61" customFormat="1" ht="31.5" x14ac:dyDescent="0.25">
      <c r="A7092" s="358"/>
      <c r="B7092" s="361"/>
      <c r="C7092" s="367"/>
      <c r="D7092" s="156" t="s">
        <v>104</v>
      </c>
      <c r="E7092" s="156" t="s">
        <v>105</v>
      </c>
      <c r="F7092" s="156" t="s">
        <v>226</v>
      </c>
      <c r="G7092" s="238">
        <f>MROUND(H7092*L7092*I7092/K7092,0.00000001)</f>
        <v>1.1936399999999999E-3</v>
      </c>
      <c r="H7092" s="160">
        <f t="shared" si="1966"/>
        <v>36</v>
      </c>
      <c r="I7092" s="159">
        <f t="shared" si="1949"/>
        <v>1.85677E-3</v>
      </c>
      <c r="J7092" s="160"/>
      <c r="K7092" s="161">
        <f>K7091</f>
        <v>56</v>
      </c>
      <c r="L7092" s="250">
        <v>1</v>
      </c>
      <c r="M7092" s="163" t="str">
        <f>CONCATENATE(H7092," ",F7092,"*",I7092,"/",K7092,"чел.")</f>
        <v>36 отключений*0,00185677/56чел.</v>
      </c>
      <c r="N7092" s="164">
        <f>N6852</f>
        <v>10671.710000000006</v>
      </c>
      <c r="O7092" s="165">
        <f t="shared" si="1967"/>
        <v>12.73818</v>
      </c>
      <c r="P7092" s="166"/>
      <c r="Q7092" s="166">
        <f t="shared" si="1964"/>
        <v>713.33807999999999</v>
      </c>
      <c r="R7092" s="71"/>
    </row>
    <row r="7093" spans="1:18" s="61" customFormat="1" x14ac:dyDescent="0.25">
      <c r="A7093" s="358"/>
      <c r="B7093" s="361"/>
      <c r="C7093" s="249" t="s">
        <v>304</v>
      </c>
      <c r="D7093" s="240"/>
      <c r="E7093" s="240"/>
      <c r="F7093" s="240"/>
      <c r="G7093" s="227"/>
      <c r="H7093" s="228"/>
      <c r="I7093" s="206"/>
      <c r="J7093" s="228"/>
      <c r="K7093" s="207"/>
      <c r="L7093" s="257"/>
      <c r="M7093" s="209"/>
      <c r="N7093" s="210"/>
      <c r="O7093" s="198">
        <f>SUM(O7077:O7092)</f>
        <v>400.35969288999996</v>
      </c>
      <c r="P7093" s="166"/>
      <c r="Q7093" s="166"/>
      <c r="R7093" s="71"/>
    </row>
    <row r="7094" spans="1:18" s="61" customFormat="1" ht="31.5" x14ac:dyDescent="0.25">
      <c r="A7094" s="358"/>
      <c r="B7094" s="361"/>
      <c r="C7094" s="221" t="s">
        <v>79</v>
      </c>
      <c r="D7094" s="156" t="s">
        <v>37</v>
      </c>
      <c r="E7094" s="156" t="s">
        <v>61</v>
      </c>
      <c r="F7094" s="156" t="s">
        <v>227</v>
      </c>
      <c r="G7094" s="238">
        <f>MROUND(H7094*L7094*I7094/K7094,0.000000001)</f>
        <v>1.32626E-4</v>
      </c>
      <c r="H7094" s="158">
        <f>H6854</f>
        <v>4</v>
      </c>
      <c r="I7094" s="159">
        <f>I7092</f>
        <v>1.85677E-3</v>
      </c>
      <c r="J7094" s="160"/>
      <c r="K7094" s="161">
        <f>K7092</f>
        <v>56</v>
      </c>
      <c r="L7094" s="250">
        <v>1</v>
      </c>
      <c r="M7094" s="163" t="str">
        <f>CONCATENATE(H7094," ",F7094,"*",I7094,"/",K7094,"чел.")</f>
        <v>4 автобуса*0,00185677/56чел.</v>
      </c>
      <c r="N7094" s="164">
        <f>N6854</f>
        <v>37900.35</v>
      </c>
      <c r="O7094" s="165">
        <f>MROUND(G7094*N7094,0.000001)</f>
        <v>5.0265719999999998</v>
      </c>
      <c r="P7094" s="166"/>
      <c r="Q7094" s="166">
        <f t="shared" ref="Q7094" si="1968">O7094*K7094</f>
        <v>281.48803199999998</v>
      </c>
      <c r="R7094" s="71"/>
    </row>
    <row r="7095" spans="1:18" s="61" customFormat="1" x14ac:dyDescent="0.25">
      <c r="A7095" s="358"/>
      <c r="B7095" s="361"/>
      <c r="C7095" s="218" t="s">
        <v>305</v>
      </c>
      <c r="D7095" s="240"/>
      <c r="E7095" s="240"/>
      <c r="F7095" s="240"/>
      <c r="G7095" s="227"/>
      <c r="H7095" s="241"/>
      <c r="I7095" s="206"/>
      <c r="J7095" s="228"/>
      <c r="K7095" s="207"/>
      <c r="L7095" s="257"/>
      <c r="M7095" s="209"/>
      <c r="N7095" s="210"/>
      <c r="O7095" s="198">
        <f>SUM(O7094)</f>
        <v>5.0265719999999998</v>
      </c>
      <c r="P7095" s="166"/>
      <c r="Q7095" s="166"/>
      <c r="R7095" s="71"/>
    </row>
    <row r="7096" spans="1:18" s="61" customFormat="1" x14ac:dyDescent="0.25">
      <c r="A7096" s="358"/>
      <c r="B7096" s="361"/>
      <c r="C7096" s="364" t="s">
        <v>80</v>
      </c>
      <c r="D7096" s="156" t="s">
        <v>38</v>
      </c>
      <c r="E7096" s="156" t="s">
        <v>57</v>
      </c>
      <c r="F7096" s="156" t="s">
        <v>228</v>
      </c>
      <c r="G7096" s="238">
        <f>MROUND(H7096*L7096*I7096/K7096,0.0000000001)</f>
        <v>1.43236543E-2</v>
      </c>
      <c r="H7096" s="158">
        <f t="shared" ref="H7096:H7107" si="1969">H6856</f>
        <v>36</v>
      </c>
      <c r="I7096" s="159">
        <f>I7094</f>
        <v>1.85677E-3</v>
      </c>
      <c r="J7096" s="160"/>
      <c r="K7096" s="161">
        <f>K7094</f>
        <v>56</v>
      </c>
      <c r="L7096" s="250">
        <v>12</v>
      </c>
      <c r="M7096" s="163" t="str">
        <f>CONCATENATE(H7096," ",F7096,"*",L7096,"мес.","*",I7096,"/",K7096,"чел.")</f>
        <v>36 зданий*12мес.*0,00185677/56чел.</v>
      </c>
      <c r="N7096" s="164">
        <f t="shared" ref="N7096:N7107" si="1970">N6856</f>
        <v>5106.1928935185206</v>
      </c>
      <c r="O7096" s="165">
        <f>MROUND(G7096*N7096,0.000001)</f>
        <v>73.139341999999999</v>
      </c>
      <c r="P7096" s="166"/>
      <c r="Q7096" s="166">
        <f t="shared" ref="Q7096:Q7109" si="1971">O7096*K7096</f>
        <v>4095.803152</v>
      </c>
      <c r="R7096" s="71"/>
    </row>
    <row r="7097" spans="1:18" s="61" customFormat="1" ht="47.25" x14ac:dyDescent="0.25">
      <c r="A7097" s="358"/>
      <c r="B7097" s="361"/>
      <c r="C7097" s="364"/>
      <c r="D7097" s="156" t="s">
        <v>229</v>
      </c>
      <c r="E7097" s="156" t="s">
        <v>60</v>
      </c>
      <c r="F7097" s="156" t="s">
        <v>60</v>
      </c>
      <c r="G7097" s="238">
        <f>MROUND(H7097*L7097*I7097/K7097,0.000001)</f>
        <v>7.9377000000000003E-2</v>
      </c>
      <c r="H7097" s="158">
        <f t="shared" si="1969"/>
        <v>2394</v>
      </c>
      <c r="I7097" s="159">
        <f t="shared" si="1949"/>
        <v>1.85677E-3</v>
      </c>
      <c r="J7097" s="160"/>
      <c r="K7097" s="161">
        <f>K7096</f>
        <v>56</v>
      </c>
      <c r="L7097" s="250">
        <v>1</v>
      </c>
      <c r="M7097" s="163" t="str">
        <f t="shared" ref="M7097:M7104" si="1972">CONCATENATE(H7097," ",F7097,"*",I7097,"/",K7097,"чел.")</f>
        <v>2394 шт.*0,00185677/56чел.</v>
      </c>
      <c r="N7097" s="164">
        <f t="shared" si="1970"/>
        <v>177.86185045948207</v>
      </c>
      <c r="O7097" s="165">
        <f>MROUND(G7097*N7097,0.000001)</f>
        <v>14.118139999999999</v>
      </c>
      <c r="P7097" s="166"/>
      <c r="Q7097" s="166">
        <f t="shared" si="1971"/>
        <v>790.61583999999993</v>
      </c>
      <c r="R7097" s="71"/>
    </row>
    <row r="7098" spans="1:18" s="61" customFormat="1" ht="47.25" x14ac:dyDescent="0.25">
      <c r="A7098" s="358"/>
      <c r="B7098" s="361"/>
      <c r="C7098" s="364"/>
      <c r="D7098" s="156" t="s">
        <v>405</v>
      </c>
      <c r="E7098" s="156" t="s">
        <v>60</v>
      </c>
      <c r="F7098" s="156" t="s">
        <v>406</v>
      </c>
      <c r="G7098" s="238">
        <f>MROUND(H7098*L7098*I7098/K7098,0.00000001)</f>
        <v>1.1936399999999999E-3</v>
      </c>
      <c r="H7098" s="158">
        <f t="shared" si="1969"/>
        <v>36</v>
      </c>
      <c r="I7098" s="159">
        <f t="shared" si="1949"/>
        <v>1.85677E-3</v>
      </c>
      <c r="J7098" s="160"/>
      <c r="K7098" s="161">
        <f>K7097</f>
        <v>56</v>
      </c>
      <c r="L7098" s="250">
        <v>1</v>
      </c>
      <c r="M7098" s="163" t="str">
        <f t="shared" si="1972"/>
        <v>36 лицензий*0,00185677/56чел.</v>
      </c>
      <c r="N7098" s="164">
        <f t="shared" si="1970"/>
        <v>13043.200000000006</v>
      </c>
      <c r="O7098" s="165">
        <f t="shared" ref="O7098:O7107" si="1973">MROUND(G7098*N7098,0.000001)</f>
        <v>15.568885</v>
      </c>
      <c r="P7098" s="166"/>
      <c r="Q7098" s="166">
        <f t="shared" si="1971"/>
        <v>871.85756000000003</v>
      </c>
      <c r="R7098" s="71"/>
    </row>
    <row r="7099" spans="1:18" s="61" customFormat="1" ht="63" x14ac:dyDescent="0.25">
      <c r="A7099" s="358"/>
      <c r="B7099" s="361"/>
      <c r="C7099" s="364"/>
      <c r="D7099" s="156" t="s">
        <v>39</v>
      </c>
      <c r="E7099" s="156" t="s">
        <v>20</v>
      </c>
      <c r="F7099" s="156" t="s">
        <v>234</v>
      </c>
      <c r="G7099" s="238">
        <f>MROUND(H7099*L7099*I7099/K7099,0.000000001)</f>
        <v>3.9124800000000003E-3</v>
      </c>
      <c r="H7099" s="158">
        <f t="shared" si="1969"/>
        <v>118</v>
      </c>
      <c r="I7099" s="159">
        <f>I7097</f>
        <v>1.85677E-3</v>
      </c>
      <c r="J7099" s="160"/>
      <c r="K7099" s="161">
        <f>K7097</f>
        <v>56</v>
      </c>
      <c r="L7099" s="250">
        <v>1</v>
      </c>
      <c r="M7099" s="163" t="str">
        <f t="shared" si="1972"/>
        <v>118 чел(заявленная потребность руководителями учреждений)*0,00185677/56чел.</v>
      </c>
      <c r="N7099" s="164">
        <f t="shared" si="1970"/>
        <v>830.02203389830515</v>
      </c>
      <c r="O7099" s="165">
        <f t="shared" si="1973"/>
        <v>3.2474449999999999</v>
      </c>
      <c r="P7099" s="166"/>
      <c r="Q7099" s="166">
        <f t="shared" si="1971"/>
        <v>181.85692</v>
      </c>
      <c r="R7099" s="71"/>
    </row>
    <row r="7100" spans="1:18" s="61" customFormat="1" ht="63" x14ac:dyDescent="0.25">
      <c r="A7100" s="358"/>
      <c r="B7100" s="361"/>
      <c r="C7100" s="364"/>
      <c r="D7100" s="156" t="s">
        <v>40</v>
      </c>
      <c r="E7100" s="156" t="s">
        <v>20</v>
      </c>
      <c r="F7100" s="156" t="s">
        <v>234</v>
      </c>
      <c r="G7100" s="238">
        <f>MROUND(H7100*L7100*I7100/K7100,0.000000001)</f>
        <v>3.1830340000000004E-3</v>
      </c>
      <c r="H7100" s="158">
        <f t="shared" si="1969"/>
        <v>96</v>
      </c>
      <c r="I7100" s="159">
        <f t="shared" si="1949"/>
        <v>1.85677E-3</v>
      </c>
      <c r="J7100" s="160"/>
      <c r="K7100" s="161">
        <f t="shared" ref="K7100:K7107" si="1974">K7099</f>
        <v>56</v>
      </c>
      <c r="L7100" s="250">
        <v>1</v>
      </c>
      <c r="M7100" s="163" t="str">
        <f t="shared" si="1972"/>
        <v>96 чел(заявленная потребность руководителями учреждений)*0,00185677/56чел.</v>
      </c>
      <c r="N7100" s="164">
        <f t="shared" si="1970"/>
        <v>1778.6189583333326</v>
      </c>
      <c r="O7100" s="165">
        <f t="shared" si="1973"/>
        <v>5.6614049999999994</v>
      </c>
      <c r="P7100" s="166"/>
      <c r="Q7100" s="166">
        <f t="shared" si="1971"/>
        <v>317.03867999999994</v>
      </c>
      <c r="R7100" s="71"/>
    </row>
    <row r="7101" spans="1:18" s="61" customFormat="1" ht="63" x14ac:dyDescent="0.25">
      <c r="A7101" s="358"/>
      <c r="B7101" s="361"/>
      <c r="C7101" s="364"/>
      <c r="D7101" s="156" t="s">
        <v>100</v>
      </c>
      <c r="E7101" s="156" t="s">
        <v>20</v>
      </c>
      <c r="F7101" s="156" t="s">
        <v>234</v>
      </c>
      <c r="G7101" s="238">
        <f>MROUND(H7101*L7101*I7101/K7101,0.000000001)</f>
        <v>2.6856850000000002E-3</v>
      </c>
      <c r="H7101" s="158">
        <f t="shared" si="1969"/>
        <v>81</v>
      </c>
      <c r="I7101" s="159">
        <f t="shared" si="1949"/>
        <v>1.85677E-3</v>
      </c>
      <c r="J7101" s="160"/>
      <c r="K7101" s="161">
        <f t="shared" si="1974"/>
        <v>56</v>
      </c>
      <c r="L7101" s="250">
        <v>1</v>
      </c>
      <c r="M7101" s="163" t="str">
        <f t="shared" si="1972"/>
        <v>81 чел(заявленная потребность руководителями учреждений)*0,00185677/56чел.</v>
      </c>
      <c r="N7101" s="164">
        <f t="shared" si="1970"/>
        <v>3794.386419753087</v>
      </c>
      <c r="O7101" s="165">
        <f t="shared" si="1973"/>
        <v>10.190526999999999</v>
      </c>
      <c r="P7101" s="166"/>
      <c r="Q7101" s="166">
        <f t="shared" si="1971"/>
        <v>570.66951199999994</v>
      </c>
      <c r="R7101" s="71"/>
    </row>
    <row r="7102" spans="1:18" s="61" customFormat="1" ht="110.25" x14ac:dyDescent="0.25">
      <c r="A7102" s="358"/>
      <c r="B7102" s="361"/>
      <c r="C7102" s="364"/>
      <c r="D7102" s="156" t="s">
        <v>235</v>
      </c>
      <c r="E7102" s="156" t="s">
        <v>50</v>
      </c>
      <c r="F7102" s="156" t="s">
        <v>230</v>
      </c>
      <c r="G7102" s="238">
        <f>MROUND(H7102*L7102*I7102/K7102,0.00000001)</f>
        <v>1.1936399999999999E-3</v>
      </c>
      <c r="H7102" s="158">
        <f t="shared" si="1969"/>
        <v>36</v>
      </c>
      <c r="I7102" s="159">
        <f t="shared" si="1949"/>
        <v>1.85677E-3</v>
      </c>
      <c r="J7102" s="160"/>
      <c r="K7102" s="161">
        <f t="shared" si="1974"/>
        <v>56</v>
      </c>
      <c r="L7102" s="250">
        <v>1</v>
      </c>
      <c r="M7102" s="163" t="str">
        <f t="shared" si="1972"/>
        <v>36 отчетов*0,00185677/56чел.</v>
      </c>
      <c r="N7102" s="164">
        <f t="shared" si="1970"/>
        <v>7114.47</v>
      </c>
      <c r="O7102" s="165">
        <f t="shared" si="1973"/>
        <v>8.4921159999999993</v>
      </c>
      <c r="P7102" s="166"/>
      <c r="Q7102" s="166">
        <f t="shared" si="1971"/>
        <v>475.55849599999999</v>
      </c>
      <c r="R7102" s="71"/>
    </row>
    <row r="7103" spans="1:18" s="61" customFormat="1" ht="63" x14ac:dyDescent="0.25">
      <c r="A7103" s="358"/>
      <c r="B7103" s="361"/>
      <c r="C7103" s="364"/>
      <c r="D7103" s="156" t="s">
        <v>42</v>
      </c>
      <c r="E7103" s="156" t="s">
        <v>51</v>
      </c>
      <c r="F7103" s="156" t="s">
        <v>407</v>
      </c>
      <c r="G7103" s="238">
        <f>MROUND(H7103*L7103*I7103/K7103,0.000001)</f>
        <v>6.764E-3</v>
      </c>
      <c r="H7103" s="158">
        <f t="shared" si="1969"/>
        <v>204</v>
      </c>
      <c r="I7103" s="159">
        <f t="shared" si="1949"/>
        <v>1.85677E-3</v>
      </c>
      <c r="J7103" s="160"/>
      <c r="K7103" s="161">
        <f t="shared" si="1974"/>
        <v>56</v>
      </c>
      <c r="L7103" s="250">
        <v>1</v>
      </c>
      <c r="M7103" s="163" t="str">
        <f t="shared" si="1972"/>
        <v>204 ед (заявленная потребность руководителями учреждений)*0,00185677/56чел.</v>
      </c>
      <c r="N7103" s="164">
        <f t="shared" si="1970"/>
        <v>1185.7454901960789</v>
      </c>
      <c r="O7103" s="165">
        <f t="shared" si="1973"/>
        <v>8.0203819999999997</v>
      </c>
      <c r="P7103" s="166"/>
      <c r="Q7103" s="166">
        <f t="shared" si="1971"/>
        <v>449.141392</v>
      </c>
      <c r="R7103" s="71"/>
    </row>
    <row r="7104" spans="1:18" s="61" customFormat="1" ht="31.5" x14ac:dyDescent="0.25">
      <c r="A7104" s="358"/>
      <c r="B7104" s="361"/>
      <c r="C7104" s="364"/>
      <c r="D7104" s="156" t="s">
        <v>43</v>
      </c>
      <c r="E7104" s="156" t="s">
        <v>52</v>
      </c>
      <c r="F7104" s="156" t="s">
        <v>231</v>
      </c>
      <c r="G7104" s="238">
        <f>MROUND(H7104*L7104*I7104/K7104,0.000000001)</f>
        <v>1.1936380000000001E-3</v>
      </c>
      <c r="H7104" s="158">
        <f t="shared" si="1969"/>
        <v>36</v>
      </c>
      <c r="I7104" s="159">
        <f t="shared" ref="I7104:I7107" si="1975">I7103</f>
        <v>1.85677E-3</v>
      </c>
      <c r="J7104" s="160"/>
      <c r="K7104" s="161">
        <f t="shared" si="1974"/>
        <v>56</v>
      </c>
      <c r="L7104" s="250">
        <v>1</v>
      </c>
      <c r="M7104" s="163" t="str">
        <f t="shared" si="1972"/>
        <v>36 ЭЦП*0,00185677/56чел.</v>
      </c>
      <c r="N7104" s="164">
        <f t="shared" si="1970"/>
        <v>8423.5400000000009</v>
      </c>
      <c r="O7104" s="165">
        <f t="shared" si="1973"/>
        <v>10.054656999999999</v>
      </c>
      <c r="P7104" s="166"/>
      <c r="Q7104" s="166">
        <f t="shared" si="1971"/>
        <v>563.06079199999999</v>
      </c>
      <c r="R7104" s="71"/>
    </row>
    <row r="7105" spans="1:18" s="61" customFormat="1" ht="47.25" x14ac:dyDescent="0.25">
      <c r="A7105" s="358"/>
      <c r="B7105" s="361"/>
      <c r="C7105" s="364"/>
      <c r="D7105" s="156" t="s">
        <v>44</v>
      </c>
      <c r="E7105" s="156" t="s">
        <v>85</v>
      </c>
      <c r="F7105" s="156" t="s">
        <v>232</v>
      </c>
      <c r="G7105" s="238">
        <f>MROUND(H7105*L7105*I7105/K7105,0.000001)</f>
        <v>4.0318E-2</v>
      </c>
      <c r="H7105" s="158">
        <f t="shared" si="1969"/>
        <v>1216</v>
      </c>
      <c r="I7105" s="159">
        <f t="shared" si="1975"/>
        <v>1.85677E-3</v>
      </c>
      <c r="J7105" s="160"/>
      <c r="K7105" s="161">
        <f t="shared" si="1974"/>
        <v>56</v>
      </c>
      <c r="L7105" s="250">
        <v>1</v>
      </c>
      <c r="M7105" s="163" t="str">
        <f>CONCATENATE(H7105," ",F7105,"*",L7105,"мес.","*",I7105,"/",K7105,"чел.")</f>
        <v>1216 мед.осмотров в мес.*1мес.*0,00185677/56чел.</v>
      </c>
      <c r="N7105" s="164">
        <f t="shared" si="1970"/>
        <v>61.65877467105264</v>
      </c>
      <c r="O7105" s="165">
        <f t="shared" si="1973"/>
        <v>2.4859579999999997</v>
      </c>
      <c r="P7105" s="166"/>
      <c r="Q7105" s="166">
        <f t="shared" si="1971"/>
        <v>139.21364799999998</v>
      </c>
      <c r="R7105" s="71"/>
    </row>
    <row r="7106" spans="1:18" s="61" customFormat="1" ht="63" x14ac:dyDescent="0.25">
      <c r="A7106" s="358"/>
      <c r="B7106" s="361"/>
      <c r="C7106" s="364"/>
      <c r="D7106" s="156" t="s">
        <v>45</v>
      </c>
      <c r="E7106" s="156" t="s">
        <v>53</v>
      </c>
      <c r="F7106" s="156" t="s">
        <v>233</v>
      </c>
      <c r="G7106" s="238">
        <f>MROUND(H7106*L7106*I7106/K7106,0.000000001)</f>
        <v>1.5915170000000002E-3</v>
      </c>
      <c r="H7106" s="158">
        <f t="shared" si="1969"/>
        <v>4</v>
      </c>
      <c r="I7106" s="159">
        <f t="shared" si="1975"/>
        <v>1.85677E-3</v>
      </c>
      <c r="J7106" s="160"/>
      <c r="K7106" s="161">
        <f t="shared" si="1974"/>
        <v>56</v>
      </c>
      <c r="L7106" s="250">
        <v>12</v>
      </c>
      <c r="M7106" s="163" t="str">
        <f>CONCATENATE(H7106," ",F7106,"*",L7106,"мес.","*",I7106,"/",K7106,"чел.")</f>
        <v>4  машины, оборудованных системой ГЛОНАСС*12мес.*0,00185677/56чел.</v>
      </c>
      <c r="N7106" s="164">
        <f t="shared" si="1970"/>
        <v>958.08249999999998</v>
      </c>
      <c r="O7106" s="165">
        <f t="shared" si="1973"/>
        <v>1.524805</v>
      </c>
      <c r="P7106" s="166"/>
      <c r="Q7106" s="166">
        <f t="shared" si="1971"/>
        <v>85.389079999999993</v>
      </c>
      <c r="R7106" s="71"/>
    </row>
    <row r="7107" spans="1:18" s="61" customFormat="1" ht="31.5" x14ac:dyDescent="0.25">
      <c r="A7107" s="358"/>
      <c r="B7107" s="361"/>
      <c r="C7107" s="364"/>
      <c r="D7107" s="156" t="s">
        <v>408</v>
      </c>
      <c r="E7107" s="156" t="s">
        <v>20</v>
      </c>
      <c r="F7107" s="156" t="s">
        <v>20</v>
      </c>
      <c r="G7107" s="238">
        <f>MROUND(H7107*L7107*I7107/K7107,0.000000001)</f>
        <v>5.6266762000000005E-2</v>
      </c>
      <c r="H7107" s="158">
        <f t="shared" si="1969"/>
        <v>1697</v>
      </c>
      <c r="I7107" s="159">
        <f t="shared" si="1975"/>
        <v>1.85677E-3</v>
      </c>
      <c r="J7107" s="160"/>
      <c r="K7107" s="161">
        <f t="shared" si="1974"/>
        <v>56</v>
      </c>
      <c r="L7107" s="250">
        <v>1</v>
      </c>
      <c r="M7107" s="163" t="str">
        <f>CONCATENATE(H7107," ",F7107,"*",L7107," раз в год","*",I7107,"/",K7107,"чел.")</f>
        <v>1697 чел.*1 раз в год*0,00185677/56чел.</v>
      </c>
      <c r="N7107" s="164">
        <f t="shared" si="1970"/>
        <v>592.87278137890405</v>
      </c>
      <c r="O7107" s="165">
        <f t="shared" si="1973"/>
        <v>33.359031999999999</v>
      </c>
      <c r="P7107" s="166"/>
      <c r="Q7107" s="166">
        <f t="shared" si="1971"/>
        <v>1868.1057919999998</v>
      </c>
      <c r="R7107" s="71"/>
    </row>
    <row r="7108" spans="1:18" s="61" customFormat="1" x14ac:dyDescent="0.25">
      <c r="A7108" s="358"/>
      <c r="B7108" s="361"/>
      <c r="C7108" s="364"/>
      <c r="D7108" s="156" t="s">
        <v>373</v>
      </c>
      <c r="E7108" s="156" t="s">
        <v>28</v>
      </c>
      <c r="F7108" s="156" t="s">
        <v>28</v>
      </c>
      <c r="G7108" s="157">
        <f>MROUND(H7108*L7108*I7108/K7108,0.000000001)</f>
        <v>1.1936380000000001E-3</v>
      </c>
      <c r="H7108" s="158">
        <f>H6869</f>
        <v>36</v>
      </c>
      <c r="I7108" s="159">
        <f>I7106</f>
        <v>1.85677E-3</v>
      </c>
      <c r="J7108" s="160"/>
      <c r="K7108" s="161">
        <f>K7106</f>
        <v>56</v>
      </c>
      <c r="L7108" s="162">
        <v>1</v>
      </c>
      <c r="M7108" s="163" t="str">
        <f>CONCATENATE(H7108," ",F7108,"*",L7108,"мес.","*",I7108,"/",K7108,"чел.")</f>
        <v>36 шт*1мес.*0,00185677/56чел.</v>
      </c>
      <c r="N7108" s="164">
        <f>N6869</f>
        <v>24000</v>
      </c>
      <c r="O7108" s="165">
        <f>MROUND(G7108*N7108,0.000000001)</f>
        <v>28.647312000000003</v>
      </c>
      <c r="P7108" s="166"/>
      <c r="Q7108" s="166">
        <f t="shared" si="1971"/>
        <v>1604.2494720000002</v>
      </c>
      <c r="R7108" s="71"/>
    </row>
    <row r="7109" spans="1:18" s="61" customFormat="1" ht="31.5" x14ac:dyDescent="0.25">
      <c r="A7109" s="358"/>
      <c r="B7109" s="361"/>
      <c r="C7109" s="376"/>
      <c r="D7109" s="156" t="s">
        <v>106</v>
      </c>
      <c r="E7109" s="156" t="s">
        <v>107</v>
      </c>
      <c r="F7109" s="156"/>
      <c r="G7109" s="238">
        <f>MROUND(H7109*L7109*I7109/K7109,0.000000001)</f>
        <v>0</v>
      </c>
      <c r="H7109" s="158">
        <f>H6868</f>
        <v>0</v>
      </c>
      <c r="I7109" s="159">
        <f>I7106</f>
        <v>1.85677E-3</v>
      </c>
      <c r="J7109" s="160"/>
      <c r="K7109" s="161">
        <f>K7106</f>
        <v>56</v>
      </c>
      <c r="L7109" s="250">
        <f>L6868</f>
        <v>0</v>
      </c>
      <c r="M7109" s="163"/>
      <c r="N7109" s="164">
        <f>N6868</f>
        <v>6.0000000000000002E-5</v>
      </c>
      <c r="O7109" s="165">
        <f>MROUND(G7109*N7109,0.000000001)</f>
        <v>0</v>
      </c>
      <c r="P7109" s="166"/>
      <c r="Q7109" s="166">
        <f t="shared" si="1971"/>
        <v>0</v>
      </c>
      <c r="R7109" s="71"/>
    </row>
    <row r="7110" spans="1:18" s="61" customFormat="1" x14ac:dyDescent="0.25">
      <c r="A7110" s="358"/>
      <c r="B7110" s="361"/>
      <c r="C7110" s="245" t="s">
        <v>296</v>
      </c>
      <c r="D7110" s="240"/>
      <c r="E7110" s="240"/>
      <c r="F7110" s="240"/>
      <c r="G7110" s="227"/>
      <c r="H7110" s="241"/>
      <c r="I7110" s="206"/>
      <c r="J7110" s="228"/>
      <c r="K7110" s="207"/>
      <c r="L7110" s="257"/>
      <c r="M7110" s="209"/>
      <c r="N7110" s="210"/>
      <c r="O7110" s="198">
        <f>SUM(O7096:O7109)</f>
        <v>214.51000599999998</v>
      </c>
      <c r="P7110" s="166"/>
      <c r="Q7110" s="166"/>
      <c r="R7110" s="71"/>
    </row>
    <row r="7111" spans="1:18" s="61" customFormat="1" ht="31.5" x14ac:dyDescent="0.25">
      <c r="A7111" s="358"/>
      <c r="B7111" s="361"/>
      <c r="C7111" s="252" t="s">
        <v>237</v>
      </c>
      <c r="D7111" s="156" t="s">
        <v>41</v>
      </c>
      <c r="E7111" s="156" t="s">
        <v>61</v>
      </c>
      <c r="F7111" s="156" t="s">
        <v>227</v>
      </c>
      <c r="G7111" s="238">
        <f>MROUND(H7111*L7111*I7111/K7111,0.000000001)</f>
        <v>1.32626E-4</v>
      </c>
      <c r="H7111" s="158">
        <f>H6871</f>
        <v>4</v>
      </c>
      <c r="I7111" s="159">
        <f>I7109</f>
        <v>1.85677E-3</v>
      </c>
      <c r="J7111" s="160"/>
      <c r="K7111" s="161">
        <f>K7109</f>
        <v>56</v>
      </c>
      <c r="L7111" s="250">
        <v>1</v>
      </c>
      <c r="M7111" s="163" t="str">
        <f>CONCATENATE(H7111," ",F7111,"*",I7111,"/",K7111,"чел.")</f>
        <v>4 автобуса*0,00185677/56чел.</v>
      </c>
      <c r="N7111" s="164">
        <f>N6871</f>
        <v>27983.595000000001</v>
      </c>
      <c r="O7111" s="165">
        <f>MROUND(G7111*N7111,0.000001)</f>
        <v>3.7113519999999998</v>
      </c>
      <c r="P7111" s="166"/>
      <c r="Q7111" s="166">
        <f t="shared" ref="Q7111" si="1976">O7111*K7111</f>
        <v>207.835712</v>
      </c>
      <c r="R7111" s="71"/>
    </row>
    <row r="7112" spans="1:18" s="61" customFormat="1" x14ac:dyDescent="0.25">
      <c r="A7112" s="358"/>
      <c r="B7112" s="361"/>
      <c r="C7112" s="245" t="s">
        <v>297</v>
      </c>
      <c r="D7112" s="240"/>
      <c r="E7112" s="240"/>
      <c r="F7112" s="240"/>
      <c r="G7112" s="227"/>
      <c r="H7112" s="241"/>
      <c r="I7112" s="206"/>
      <c r="J7112" s="228"/>
      <c r="K7112" s="207"/>
      <c r="L7112" s="257"/>
      <c r="M7112" s="209"/>
      <c r="N7112" s="210"/>
      <c r="O7112" s="198">
        <f>SUM(O7111)</f>
        <v>3.7113519999999998</v>
      </c>
      <c r="P7112" s="166"/>
      <c r="Q7112" s="166"/>
      <c r="R7112" s="71"/>
    </row>
    <row r="7113" spans="1:18" s="61" customFormat="1" ht="78.75" x14ac:dyDescent="0.25">
      <c r="A7113" s="358"/>
      <c r="B7113" s="361"/>
      <c r="C7113" s="221" t="s">
        <v>236</v>
      </c>
      <c r="D7113" s="156" t="s">
        <v>19</v>
      </c>
      <c r="E7113" s="181" t="s">
        <v>20</v>
      </c>
      <c r="F7113" s="181" t="s">
        <v>238</v>
      </c>
      <c r="G7113" s="238">
        <f>MROUND(H7113*L7113*I7113/K7113,0.000001)</f>
        <v>0</v>
      </c>
      <c r="H7113" s="158"/>
      <c r="I7113" s="159">
        <f>I7109</f>
        <v>1.85677E-3</v>
      </c>
      <c r="J7113" s="160"/>
      <c r="K7113" s="161">
        <f>K7109</f>
        <v>56</v>
      </c>
      <c r="L7113" s="250"/>
      <c r="M7113" s="163"/>
      <c r="N7113" s="164"/>
      <c r="O7113" s="165">
        <f>MROUND(G7113*N7113,0.000001)</f>
        <v>0</v>
      </c>
      <c r="P7113" s="166"/>
      <c r="Q7113" s="166">
        <f t="shared" ref="Q7113" si="1977">O7113*K7113</f>
        <v>0</v>
      </c>
      <c r="R7113" s="71"/>
    </row>
    <row r="7114" spans="1:18" s="61" customFormat="1" x14ac:dyDescent="0.25">
      <c r="A7114" s="358"/>
      <c r="B7114" s="361"/>
      <c r="C7114" s="245" t="s">
        <v>298</v>
      </c>
      <c r="D7114" s="240"/>
      <c r="E7114" s="253"/>
      <c r="F7114" s="253"/>
      <c r="G7114" s="227"/>
      <c r="H7114" s="241"/>
      <c r="I7114" s="206"/>
      <c r="J7114" s="228"/>
      <c r="K7114" s="207"/>
      <c r="L7114" s="257"/>
      <c r="M7114" s="209"/>
      <c r="N7114" s="210"/>
      <c r="O7114" s="198">
        <f>SUM(O7113)</f>
        <v>0</v>
      </c>
      <c r="P7114" s="166"/>
      <c r="Q7114" s="166"/>
      <c r="R7114" s="71"/>
    </row>
    <row r="7115" spans="1:18" s="61" customFormat="1" ht="30" x14ac:dyDescent="0.25">
      <c r="A7115" s="358"/>
      <c r="B7115" s="361"/>
      <c r="C7115" s="365" t="s">
        <v>81</v>
      </c>
      <c r="D7115" s="254" t="s">
        <v>410</v>
      </c>
      <c r="E7115" s="156" t="s">
        <v>28</v>
      </c>
      <c r="F7115" s="156" t="s">
        <v>28</v>
      </c>
      <c r="G7115" s="238">
        <f>MROUND(H7115*L7115*I7115/K7115,0.0000000001)</f>
        <v>0</v>
      </c>
      <c r="H7115" s="158"/>
      <c r="I7115" s="159">
        <f>I7109</f>
        <v>1.85677E-3</v>
      </c>
      <c r="J7115" s="160"/>
      <c r="K7115" s="161">
        <f>K7109</f>
        <v>56</v>
      </c>
      <c r="L7115" s="250">
        <v>1</v>
      </c>
      <c r="M7115" s="163"/>
      <c r="N7115" s="164"/>
      <c r="O7115" s="165">
        <f>MROUND(G7115*N7115,0.000001)</f>
        <v>0</v>
      </c>
      <c r="P7115" s="166"/>
      <c r="Q7115" s="166">
        <f t="shared" ref="Q7115:Q7138" si="1978">O7115*K7115</f>
        <v>0</v>
      </c>
      <c r="R7115" s="71"/>
    </row>
    <row r="7116" spans="1:18" s="61" customFormat="1" x14ac:dyDescent="0.25">
      <c r="A7116" s="358"/>
      <c r="B7116" s="361"/>
      <c r="C7116" s="366"/>
      <c r="D7116" s="254" t="s">
        <v>325</v>
      </c>
      <c r="E7116" s="156" t="s">
        <v>28</v>
      </c>
      <c r="F7116" s="156" t="s">
        <v>28</v>
      </c>
      <c r="G7116" s="157">
        <f>MROUND(H7116*L7116*I7116/K7116,0.0000000001)</f>
        <v>0</v>
      </c>
      <c r="H7116" s="158"/>
      <c r="I7116" s="159">
        <f>I7115</f>
        <v>1.85677E-3</v>
      </c>
      <c r="J7116" s="160"/>
      <c r="K7116" s="161">
        <f>K7115</f>
        <v>56</v>
      </c>
      <c r="L7116" s="250">
        <v>1</v>
      </c>
      <c r="M7116" s="163"/>
      <c r="N7116" s="164"/>
      <c r="O7116" s="165">
        <f>MROUND(G7116*N7116,0.000001)</f>
        <v>0</v>
      </c>
      <c r="P7116" s="166"/>
      <c r="Q7116" s="166">
        <f t="shared" si="1978"/>
        <v>0</v>
      </c>
      <c r="R7116" s="71"/>
    </row>
    <row r="7117" spans="1:18" s="61" customFormat="1" ht="30" x14ac:dyDescent="0.25">
      <c r="A7117" s="358"/>
      <c r="B7117" s="361"/>
      <c r="C7117" s="366"/>
      <c r="D7117" s="254" t="s">
        <v>411</v>
      </c>
      <c r="E7117" s="156" t="s">
        <v>28</v>
      </c>
      <c r="F7117" s="156" t="s">
        <v>28</v>
      </c>
      <c r="G7117" s="238">
        <f>MROUND(H7117*L7117*I7117/K7117,0.00000001)</f>
        <v>0</v>
      </c>
      <c r="H7117" s="158"/>
      <c r="I7117" s="159">
        <f>I7115</f>
        <v>1.85677E-3</v>
      </c>
      <c r="J7117" s="160"/>
      <c r="K7117" s="161">
        <f>K7115</f>
        <v>56</v>
      </c>
      <c r="L7117" s="250">
        <v>1</v>
      </c>
      <c r="M7117" s="163"/>
      <c r="N7117" s="164"/>
      <c r="O7117" s="165">
        <f t="shared" ref="O7117:O7138" si="1979">MROUND(G7117*N7117,0.000001)</f>
        <v>0</v>
      </c>
      <c r="P7117" s="166"/>
      <c r="Q7117" s="166">
        <f t="shared" si="1978"/>
        <v>0</v>
      </c>
      <c r="R7117" s="71"/>
    </row>
    <row r="7118" spans="1:18" s="61" customFormat="1" x14ac:dyDescent="0.25">
      <c r="A7118" s="358"/>
      <c r="B7118" s="361"/>
      <c r="C7118" s="366"/>
      <c r="D7118" s="255" t="s">
        <v>412</v>
      </c>
      <c r="E7118" s="156" t="s">
        <v>28</v>
      </c>
      <c r="F7118" s="156" t="s">
        <v>28</v>
      </c>
      <c r="G7118" s="238">
        <f>MROUND(H7118*L7118*I7118/K7118,0.00000001)</f>
        <v>0</v>
      </c>
      <c r="H7118" s="158"/>
      <c r="I7118" s="159">
        <f>I7117</f>
        <v>1.85677E-3</v>
      </c>
      <c r="J7118" s="160"/>
      <c r="K7118" s="161">
        <f>K7117</f>
        <v>56</v>
      </c>
      <c r="L7118" s="250">
        <v>1</v>
      </c>
      <c r="M7118" s="163"/>
      <c r="N7118" s="164"/>
      <c r="O7118" s="165">
        <f t="shared" si="1979"/>
        <v>0</v>
      </c>
      <c r="P7118" s="166"/>
      <c r="Q7118" s="166">
        <f t="shared" si="1978"/>
        <v>0</v>
      </c>
      <c r="R7118" s="71"/>
    </row>
    <row r="7119" spans="1:18" s="61" customFormat="1" ht="31.5" x14ac:dyDescent="0.25">
      <c r="A7119" s="358"/>
      <c r="B7119" s="361"/>
      <c r="C7119" s="366"/>
      <c r="D7119" s="255" t="s">
        <v>413</v>
      </c>
      <c r="E7119" s="156" t="s">
        <v>28</v>
      </c>
      <c r="F7119" s="156" t="s">
        <v>28</v>
      </c>
      <c r="G7119" s="238">
        <f>MROUND(H7119*L7119*I7119/K7119,0.0000000001)</f>
        <v>0</v>
      </c>
      <c r="H7119" s="158"/>
      <c r="I7119" s="159">
        <f>I7118</f>
        <v>1.85677E-3</v>
      </c>
      <c r="J7119" s="160"/>
      <c r="K7119" s="161">
        <f>K7118</f>
        <v>56</v>
      </c>
      <c r="L7119" s="250">
        <v>1</v>
      </c>
      <c r="M7119" s="163"/>
      <c r="N7119" s="164"/>
      <c r="O7119" s="165">
        <f t="shared" si="1979"/>
        <v>0</v>
      </c>
      <c r="P7119" s="166"/>
      <c r="Q7119" s="166">
        <f t="shared" si="1978"/>
        <v>0</v>
      </c>
      <c r="R7119" s="71"/>
    </row>
    <row r="7120" spans="1:18" s="61" customFormat="1" x14ac:dyDescent="0.25">
      <c r="A7120" s="358"/>
      <c r="B7120" s="361"/>
      <c r="C7120" s="366"/>
      <c r="D7120" s="254" t="s">
        <v>109</v>
      </c>
      <c r="E7120" s="156" t="s">
        <v>28</v>
      </c>
      <c r="F7120" s="156" t="s">
        <v>28</v>
      </c>
      <c r="G7120" s="238">
        <f>MROUND(H7120*L7120*I7120/K7120,0.0000000001)</f>
        <v>0</v>
      </c>
      <c r="H7120" s="158"/>
      <c r="I7120" s="159">
        <f>I7119</f>
        <v>1.85677E-3</v>
      </c>
      <c r="J7120" s="160"/>
      <c r="K7120" s="161">
        <f>K7119</f>
        <v>56</v>
      </c>
      <c r="L7120" s="250">
        <v>1</v>
      </c>
      <c r="M7120" s="163"/>
      <c r="N7120" s="164"/>
      <c r="O7120" s="165">
        <f t="shared" si="1979"/>
        <v>0</v>
      </c>
      <c r="P7120" s="166"/>
      <c r="Q7120" s="166">
        <f t="shared" si="1978"/>
        <v>0</v>
      </c>
      <c r="R7120" s="71"/>
    </row>
    <row r="7121" spans="1:18" s="61" customFormat="1" x14ac:dyDescent="0.25">
      <c r="A7121" s="358"/>
      <c r="B7121" s="361"/>
      <c r="C7121" s="366"/>
      <c r="D7121" s="254" t="s">
        <v>414</v>
      </c>
      <c r="E7121" s="156" t="s">
        <v>28</v>
      </c>
      <c r="F7121" s="156" t="s">
        <v>28</v>
      </c>
      <c r="G7121" s="238">
        <f>MROUND(H7121*L7121*I7121/K7121,0.0000000001)</f>
        <v>0</v>
      </c>
      <c r="H7121" s="158"/>
      <c r="I7121" s="159">
        <f>I7119</f>
        <v>1.85677E-3</v>
      </c>
      <c r="J7121" s="160"/>
      <c r="K7121" s="161">
        <f>K7119</f>
        <v>56</v>
      </c>
      <c r="L7121" s="250">
        <v>1</v>
      </c>
      <c r="M7121" s="163"/>
      <c r="N7121" s="164"/>
      <c r="O7121" s="165">
        <f t="shared" si="1979"/>
        <v>0</v>
      </c>
      <c r="P7121" s="166"/>
      <c r="Q7121" s="166">
        <f t="shared" si="1978"/>
        <v>0</v>
      </c>
      <c r="R7121" s="71"/>
    </row>
    <row r="7122" spans="1:18" s="61" customFormat="1" x14ac:dyDescent="0.25">
      <c r="A7122" s="358"/>
      <c r="B7122" s="361"/>
      <c r="C7122" s="366"/>
      <c r="D7122" s="254" t="s">
        <v>415</v>
      </c>
      <c r="E7122" s="156" t="s">
        <v>28</v>
      </c>
      <c r="F7122" s="156" t="s">
        <v>28</v>
      </c>
      <c r="G7122" s="238">
        <f>MROUND(H7122*L7122*I7122/K7122,0.00000001)</f>
        <v>0</v>
      </c>
      <c r="H7122" s="158"/>
      <c r="I7122" s="159">
        <f t="shared" ref="I7122:I7131" si="1980">I7120</f>
        <v>1.85677E-3</v>
      </c>
      <c r="J7122" s="160"/>
      <c r="K7122" s="161">
        <f t="shared" ref="K7122:K7131" si="1981">K7120</f>
        <v>56</v>
      </c>
      <c r="L7122" s="250">
        <v>1</v>
      </c>
      <c r="M7122" s="163"/>
      <c r="N7122" s="164"/>
      <c r="O7122" s="165">
        <f t="shared" si="1979"/>
        <v>0</v>
      </c>
      <c r="P7122" s="166"/>
      <c r="Q7122" s="166">
        <f t="shared" si="1978"/>
        <v>0</v>
      </c>
      <c r="R7122" s="71"/>
    </row>
    <row r="7123" spans="1:18" s="61" customFormat="1" x14ac:dyDescent="0.25">
      <c r="A7123" s="358"/>
      <c r="B7123" s="361"/>
      <c r="C7123" s="366"/>
      <c r="D7123" s="254" t="s">
        <v>416</v>
      </c>
      <c r="E7123" s="156" t="s">
        <v>28</v>
      </c>
      <c r="F7123" s="156" t="s">
        <v>28</v>
      </c>
      <c r="G7123" s="238">
        <f>MROUND(H7123*L7123*I7123/K7123,0.000000001)</f>
        <v>0</v>
      </c>
      <c r="H7123" s="246"/>
      <c r="I7123" s="159">
        <f t="shared" si="1980"/>
        <v>1.85677E-3</v>
      </c>
      <c r="J7123" s="160"/>
      <c r="K7123" s="161">
        <f t="shared" si="1981"/>
        <v>56</v>
      </c>
      <c r="L7123" s="250">
        <v>1</v>
      </c>
      <c r="M7123" s="163"/>
      <c r="N7123" s="164"/>
      <c r="O7123" s="165">
        <f t="shared" si="1979"/>
        <v>0</v>
      </c>
      <c r="P7123" s="166"/>
      <c r="Q7123" s="166">
        <f t="shared" si="1978"/>
        <v>0</v>
      </c>
      <c r="R7123" s="71"/>
    </row>
    <row r="7124" spans="1:18" s="61" customFormat="1" x14ac:dyDescent="0.25">
      <c r="A7124" s="358"/>
      <c r="B7124" s="361"/>
      <c r="C7124" s="366"/>
      <c r="D7124" s="254" t="s">
        <v>417</v>
      </c>
      <c r="E7124" s="156" t="s">
        <v>28</v>
      </c>
      <c r="F7124" s="156" t="s">
        <v>28</v>
      </c>
      <c r="G7124" s="238">
        <f>MROUND(H7124*L7124*I7124/K7124,0.00000001)</f>
        <v>0</v>
      </c>
      <c r="H7124" s="158"/>
      <c r="I7124" s="159">
        <f t="shared" si="1980"/>
        <v>1.85677E-3</v>
      </c>
      <c r="J7124" s="160"/>
      <c r="K7124" s="161">
        <f t="shared" si="1981"/>
        <v>56</v>
      </c>
      <c r="L7124" s="250">
        <v>1</v>
      </c>
      <c r="M7124" s="163"/>
      <c r="N7124" s="164"/>
      <c r="O7124" s="165">
        <f t="shared" si="1979"/>
        <v>0</v>
      </c>
      <c r="P7124" s="166"/>
      <c r="Q7124" s="166">
        <f t="shared" si="1978"/>
        <v>0</v>
      </c>
      <c r="R7124" s="71"/>
    </row>
    <row r="7125" spans="1:18" s="61" customFormat="1" ht="30" x14ac:dyDescent="0.25">
      <c r="A7125" s="358"/>
      <c r="B7125" s="361"/>
      <c r="C7125" s="366"/>
      <c r="D7125" s="254" t="s">
        <v>418</v>
      </c>
      <c r="E7125" s="156" t="s">
        <v>28</v>
      </c>
      <c r="F7125" s="156" t="s">
        <v>28</v>
      </c>
      <c r="G7125" s="238">
        <f>MROUND(H7125*L7125*I7125/K7125,0.00000001)</f>
        <v>0</v>
      </c>
      <c r="H7125" s="158"/>
      <c r="I7125" s="159">
        <f t="shared" si="1980"/>
        <v>1.85677E-3</v>
      </c>
      <c r="J7125" s="160"/>
      <c r="K7125" s="161">
        <f t="shared" si="1981"/>
        <v>56</v>
      </c>
      <c r="L7125" s="250">
        <v>1</v>
      </c>
      <c r="M7125" s="163"/>
      <c r="N7125" s="164"/>
      <c r="O7125" s="165">
        <f t="shared" si="1979"/>
        <v>0</v>
      </c>
      <c r="P7125" s="166"/>
      <c r="Q7125" s="166">
        <f t="shared" si="1978"/>
        <v>0</v>
      </c>
      <c r="R7125" s="71"/>
    </row>
    <row r="7126" spans="1:18" s="61" customFormat="1" x14ac:dyDescent="0.25">
      <c r="A7126" s="358"/>
      <c r="B7126" s="361"/>
      <c r="C7126" s="366"/>
      <c r="D7126" s="254" t="s">
        <v>324</v>
      </c>
      <c r="E7126" s="156" t="s">
        <v>28</v>
      </c>
      <c r="F7126" s="156" t="s">
        <v>28</v>
      </c>
      <c r="G7126" s="238">
        <f>MROUND(H7126*L7126*I7126/K7126,0.000000001)</f>
        <v>0</v>
      </c>
      <c r="H7126" s="158"/>
      <c r="I7126" s="159">
        <f t="shared" si="1980"/>
        <v>1.85677E-3</v>
      </c>
      <c r="J7126" s="160"/>
      <c r="K7126" s="161">
        <f t="shared" si="1981"/>
        <v>56</v>
      </c>
      <c r="L7126" s="250">
        <v>1</v>
      </c>
      <c r="M7126" s="163"/>
      <c r="N7126" s="164"/>
      <c r="O7126" s="165">
        <f t="shared" si="1979"/>
        <v>0</v>
      </c>
      <c r="P7126" s="166"/>
      <c r="Q7126" s="166">
        <f t="shared" si="1978"/>
        <v>0</v>
      </c>
      <c r="R7126" s="71"/>
    </row>
    <row r="7127" spans="1:18" s="61" customFormat="1" x14ac:dyDescent="0.25">
      <c r="A7127" s="358"/>
      <c r="B7127" s="361"/>
      <c r="C7127" s="366"/>
      <c r="D7127" s="254" t="s">
        <v>419</v>
      </c>
      <c r="E7127" s="156" t="s">
        <v>28</v>
      </c>
      <c r="F7127" s="156" t="s">
        <v>28</v>
      </c>
      <c r="G7127" s="238">
        <f>MROUND(H7127*L7127*I7127/K7127,0.000000001)</f>
        <v>0</v>
      </c>
      <c r="H7127" s="246"/>
      <c r="I7127" s="159">
        <f t="shared" si="1980"/>
        <v>1.85677E-3</v>
      </c>
      <c r="J7127" s="160"/>
      <c r="K7127" s="161">
        <f t="shared" si="1981"/>
        <v>56</v>
      </c>
      <c r="L7127" s="250">
        <v>1</v>
      </c>
      <c r="M7127" s="163"/>
      <c r="N7127" s="164"/>
      <c r="O7127" s="165">
        <f t="shared" si="1979"/>
        <v>0</v>
      </c>
      <c r="P7127" s="166"/>
      <c r="Q7127" s="166">
        <f t="shared" si="1978"/>
        <v>0</v>
      </c>
      <c r="R7127" s="71"/>
    </row>
    <row r="7128" spans="1:18" s="61" customFormat="1" x14ac:dyDescent="0.25">
      <c r="A7128" s="358"/>
      <c r="B7128" s="361"/>
      <c r="C7128" s="366"/>
      <c r="D7128" s="254" t="s">
        <v>420</v>
      </c>
      <c r="E7128" s="156" t="s">
        <v>28</v>
      </c>
      <c r="F7128" s="156" t="s">
        <v>28</v>
      </c>
      <c r="G7128" s="238">
        <f>MROUND(H7128*L7128*I7128/K7128,0.000000001)</f>
        <v>0</v>
      </c>
      <c r="H7128" s="158"/>
      <c r="I7128" s="159">
        <f t="shared" si="1980"/>
        <v>1.85677E-3</v>
      </c>
      <c r="J7128" s="160"/>
      <c r="K7128" s="161">
        <f t="shared" si="1981"/>
        <v>56</v>
      </c>
      <c r="L7128" s="250">
        <v>1</v>
      </c>
      <c r="M7128" s="163"/>
      <c r="N7128" s="164"/>
      <c r="O7128" s="165">
        <f t="shared" si="1979"/>
        <v>0</v>
      </c>
      <c r="P7128" s="166"/>
      <c r="Q7128" s="166">
        <f t="shared" si="1978"/>
        <v>0</v>
      </c>
      <c r="R7128" s="71"/>
    </row>
    <row r="7129" spans="1:18" s="61" customFormat="1" x14ac:dyDescent="0.25">
      <c r="A7129" s="358"/>
      <c r="B7129" s="361"/>
      <c r="C7129" s="366"/>
      <c r="D7129" s="254" t="s">
        <v>421</v>
      </c>
      <c r="E7129" s="156" t="s">
        <v>28</v>
      </c>
      <c r="F7129" s="156" t="s">
        <v>28</v>
      </c>
      <c r="G7129" s="238">
        <f>MROUND(H7129*L7129*I7129/K7129,0.00000001)</f>
        <v>0</v>
      </c>
      <c r="H7129" s="158"/>
      <c r="I7129" s="159">
        <f t="shared" si="1980"/>
        <v>1.85677E-3</v>
      </c>
      <c r="J7129" s="160"/>
      <c r="K7129" s="161">
        <f t="shared" si="1981"/>
        <v>56</v>
      </c>
      <c r="L7129" s="250">
        <v>1</v>
      </c>
      <c r="M7129" s="163"/>
      <c r="N7129" s="164"/>
      <c r="O7129" s="165">
        <f t="shared" si="1979"/>
        <v>0</v>
      </c>
      <c r="P7129" s="166"/>
      <c r="Q7129" s="166">
        <f t="shared" si="1978"/>
        <v>0</v>
      </c>
      <c r="R7129" s="71"/>
    </row>
    <row r="7130" spans="1:18" s="61" customFormat="1" ht="30" x14ac:dyDescent="0.25">
      <c r="A7130" s="358"/>
      <c r="B7130" s="361"/>
      <c r="C7130" s="366"/>
      <c r="D7130" s="254" t="s">
        <v>422</v>
      </c>
      <c r="E7130" s="156" t="s">
        <v>28</v>
      </c>
      <c r="F7130" s="156" t="s">
        <v>28</v>
      </c>
      <c r="G7130" s="266">
        <f>MROUND(H7130*L7130*I7130/K7130,0.00000001)</f>
        <v>0</v>
      </c>
      <c r="H7130" s="158"/>
      <c r="I7130" s="159">
        <f t="shared" si="1980"/>
        <v>1.85677E-3</v>
      </c>
      <c r="J7130" s="160"/>
      <c r="K7130" s="161">
        <f t="shared" si="1981"/>
        <v>56</v>
      </c>
      <c r="L7130" s="250">
        <v>1</v>
      </c>
      <c r="M7130" s="163"/>
      <c r="N7130" s="164"/>
      <c r="O7130" s="165">
        <f t="shared" si="1979"/>
        <v>0</v>
      </c>
      <c r="P7130" s="166"/>
      <c r="Q7130" s="166">
        <f t="shared" si="1978"/>
        <v>0</v>
      </c>
      <c r="R7130" s="71"/>
    </row>
    <row r="7131" spans="1:18" s="61" customFormat="1" x14ac:dyDescent="0.25">
      <c r="A7131" s="358"/>
      <c r="B7131" s="361"/>
      <c r="C7131" s="366"/>
      <c r="D7131" s="254" t="s">
        <v>423</v>
      </c>
      <c r="E7131" s="156" t="s">
        <v>28</v>
      </c>
      <c r="F7131" s="156" t="s">
        <v>28</v>
      </c>
      <c r="G7131" s="238">
        <f>MROUND(H7131*L7131*I7131/K7131,0.000000001)</f>
        <v>0</v>
      </c>
      <c r="H7131" s="158"/>
      <c r="I7131" s="159">
        <f t="shared" si="1980"/>
        <v>1.85677E-3</v>
      </c>
      <c r="J7131" s="160"/>
      <c r="K7131" s="161">
        <f t="shared" si="1981"/>
        <v>56</v>
      </c>
      <c r="L7131" s="250">
        <v>1</v>
      </c>
      <c r="M7131" s="163"/>
      <c r="N7131" s="164"/>
      <c r="O7131" s="165">
        <f t="shared" si="1979"/>
        <v>0</v>
      </c>
      <c r="P7131" s="166"/>
      <c r="Q7131" s="166">
        <f t="shared" si="1978"/>
        <v>0</v>
      </c>
      <c r="R7131" s="71"/>
    </row>
    <row r="7132" spans="1:18" s="61" customFormat="1" x14ac:dyDescent="0.25">
      <c r="A7132" s="358"/>
      <c r="B7132" s="361"/>
      <c r="C7132" s="366"/>
      <c r="D7132" s="254" t="s">
        <v>424</v>
      </c>
      <c r="E7132" s="156" t="s">
        <v>28</v>
      </c>
      <c r="F7132" s="156" t="s">
        <v>28</v>
      </c>
      <c r="G7132" s="238">
        <f t="shared" ref="G7132:G7138" si="1982">MROUND(H7132*L7132*I7132/K7132,0.00000001)</f>
        <v>0</v>
      </c>
      <c r="H7132" s="158"/>
      <c r="I7132" s="159">
        <f>I7121</f>
        <v>1.85677E-3</v>
      </c>
      <c r="J7132" s="160"/>
      <c r="K7132" s="161">
        <f>K7121</f>
        <v>56</v>
      </c>
      <c r="L7132" s="250">
        <v>1</v>
      </c>
      <c r="M7132" s="163"/>
      <c r="N7132" s="164"/>
      <c r="O7132" s="165">
        <f t="shared" si="1979"/>
        <v>0</v>
      </c>
      <c r="P7132" s="166"/>
      <c r="Q7132" s="166">
        <f t="shared" si="1978"/>
        <v>0</v>
      </c>
      <c r="R7132" s="71"/>
    </row>
    <row r="7133" spans="1:18" s="61" customFormat="1" x14ac:dyDescent="0.25">
      <c r="A7133" s="358"/>
      <c r="B7133" s="361"/>
      <c r="C7133" s="366"/>
      <c r="D7133" s="254" t="s">
        <v>425</v>
      </c>
      <c r="E7133" s="156" t="s">
        <v>28</v>
      </c>
      <c r="F7133" s="156" t="s">
        <v>28</v>
      </c>
      <c r="G7133" s="277">
        <f t="shared" si="1982"/>
        <v>0</v>
      </c>
      <c r="H7133" s="158"/>
      <c r="I7133" s="159">
        <f t="shared" ref="I7133:I7138" si="1983">I7132</f>
        <v>1.85677E-3</v>
      </c>
      <c r="J7133" s="160"/>
      <c r="K7133" s="161">
        <f t="shared" ref="K7133:K7138" si="1984">K7132</f>
        <v>56</v>
      </c>
      <c r="L7133" s="250">
        <v>1</v>
      </c>
      <c r="M7133" s="163"/>
      <c r="N7133" s="164"/>
      <c r="O7133" s="165">
        <f t="shared" si="1979"/>
        <v>0</v>
      </c>
      <c r="P7133" s="166"/>
      <c r="Q7133" s="166">
        <f t="shared" si="1978"/>
        <v>0</v>
      </c>
      <c r="R7133" s="71"/>
    </row>
    <row r="7134" spans="1:18" s="61" customFormat="1" x14ac:dyDescent="0.25">
      <c r="A7134" s="358"/>
      <c r="B7134" s="361"/>
      <c r="C7134" s="366"/>
      <c r="D7134" s="254" t="s">
        <v>108</v>
      </c>
      <c r="E7134" s="156" t="s">
        <v>28</v>
      </c>
      <c r="F7134" s="156" t="s">
        <v>28</v>
      </c>
      <c r="G7134" s="238">
        <f t="shared" si="1982"/>
        <v>0</v>
      </c>
      <c r="H7134" s="158"/>
      <c r="I7134" s="159">
        <f t="shared" si="1983"/>
        <v>1.85677E-3</v>
      </c>
      <c r="J7134" s="160"/>
      <c r="K7134" s="161">
        <f t="shared" si="1984"/>
        <v>56</v>
      </c>
      <c r="L7134" s="250">
        <v>1</v>
      </c>
      <c r="M7134" s="163"/>
      <c r="N7134" s="164"/>
      <c r="O7134" s="165">
        <f t="shared" si="1979"/>
        <v>0</v>
      </c>
      <c r="P7134" s="166"/>
      <c r="Q7134" s="166">
        <f t="shared" si="1978"/>
        <v>0</v>
      </c>
      <c r="R7134" s="71"/>
    </row>
    <row r="7135" spans="1:18" s="61" customFormat="1" x14ac:dyDescent="0.25">
      <c r="A7135" s="358"/>
      <c r="B7135" s="361"/>
      <c r="C7135" s="366"/>
      <c r="D7135" s="254" t="s">
        <v>426</v>
      </c>
      <c r="E7135" s="156" t="s">
        <v>28</v>
      </c>
      <c r="F7135" s="156" t="s">
        <v>28</v>
      </c>
      <c r="G7135" s="238">
        <f t="shared" si="1982"/>
        <v>0</v>
      </c>
      <c r="H7135" s="158"/>
      <c r="I7135" s="159">
        <f t="shared" si="1983"/>
        <v>1.85677E-3</v>
      </c>
      <c r="J7135" s="160"/>
      <c r="K7135" s="161">
        <f t="shared" si="1984"/>
        <v>56</v>
      </c>
      <c r="L7135" s="250">
        <v>1</v>
      </c>
      <c r="M7135" s="163"/>
      <c r="N7135" s="164"/>
      <c r="O7135" s="165">
        <f t="shared" si="1979"/>
        <v>0</v>
      </c>
      <c r="P7135" s="166"/>
      <c r="Q7135" s="166">
        <f t="shared" si="1978"/>
        <v>0</v>
      </c>
      <c r="R7135" s="71"/>
    </row>
    <row r="7136" spans="1:18" s="61" customFormat="1" x14ac:dyDescent="0.25">
      <c r="A7136" s="358"/>
      <c r="B7136" s="361"/>
      <c r="C7136" s="366"/>
      <c r="D7136" s="254" t="s">
        <v>427</v>
      </c>
      <c r="E7136" s="156" t="s">
        <v>28</v>
      </c>
      <c r="F7136" s="156" t="s">
        <v>28</v>
      </c>
      <c r="G7136" s="238">
        <f t="shared" si="1982"/>
        <v>0</v>
      </c>
      <c r="H7136" s="158"/>
      <c r="I7136" s="159">
        <f t="shared" si="1983"/>
        <v>1.85677E-3</v>
      </c>
      <c r="J7136" s="160"/>
      <c r="K7136" s="161">
        <f t="shared" si="1984"/>
        <v>56</v>
      </c>
      <c r="L7136" s="250">
        <v>1</v>
      </c>
      <c r="M7136" s="163"/>
      <c r="N7136" s="164"/>
      <c r="O7136" s="165">
        <f t="shared" si="1979"/>
        <v>0</v>
      </c>
      <c r="P7136" s="166"/>
      <c r="Q7136" s="166">
        <f t="shared" si="1978"/>
        <v>0</v>
      </c>
      <c r="R7136" s="71"/>
    </row>
    <row r="7137" spans="1:18" s="61" customFormat="1" x14ac:dyDescent="0.25">
      <c r="A7137" s="358"/>
      <c r="B7137" s="361"/>
      <c r="C7137" s="366"/>
      <c r="D7137" s="254" t="s">
        <v>428</v>
      </c>
      <c r="E7137" s="156" t="s">
        <v>28</v>
      </c>
      <c r="F7137" s="156" t="s">
        <v>28</v>
      </c>
      <c r="G7137" s="238">
        <f t="shared" si="1982"/>
        <v>0</v>
      </c>
      <c r="H7137" s="158"/>
      <c r="I7137" s="159">
        <f t="shared" si="1983"/>
        <v>1.85677E-3</v>
      </c>
      <c r="J7137" s="160"/>
      <c r="K7137" s="161">
        <f t="shared" si="1984"/>
        <v>56</v>
      </c>
      <c r="L7137" s="250">
        <v>1</v>
      </c>
      <c r="M7137" s="163"/>
      <c r="N7137" s="164"/>
      <c r="O7137" s="165">
        <f t="shared" si="1979"/>
        <v>0</v>
      </c>
      <c r="P7137" s="166"/>
      <c r="Q7137" s="166">
        <f t="shared" si="1978"/>
        <v>0</v>
      </c>
      <c r="R7137" s="71"/>
    </row>
    <row r="7138" spans="1:18" s="61" customFormat="1" x14ac:dyDescent="0.25">
      <c r="A7138" s="358"/>
      <c r="B7138" s="361"/>
      <c r="C7138" s="366"/>
      <c r="D7138" s="255" t="s">
        <v>429</v>
      </c>
      <c r="E7138" s="156" t="s">
        <v>28</v>
      </c>
      <c r="F7138" s="156" t="s">
        <v>28</v>
      </c>
      <c r="G7138" s="238">
        <f t="shared" si="1982"/>
        <v>0</v>
      </c>
      <c r="H7138" s="158"/>
      <c r="I7138" s="159">
        <f t="shared" si="1983"/>
        <v>1.85677E-3</v>
      </c>
      <c r="J7138" s="160"/>
      <c r="K7138" s="161">
        <f t="shared" si="1984"/>
        <v>56</v>
      </c>
      <c r="L7138" s="250">
        <v>1</v>
      </c>
      <c r="M7138" s="163"/>
      <c r="N7138" s="164"/>
      <c r="O7138" s="165">
        <f t="shared" si="1979"/>
        <v>0</v>
      </c>
      <c r="P7138" s="166"/>
      <c r="Q7138" s="166">
        <f t="shared" si="1978"/>
        <v>0</v>
      </c>
      <c r="R7138" s="71"/>
    </row>
    <row r="7139" spans="1:18" s="61" customFormat="1" x14ac:dyDescent="0.25">
      <c r="A7139" s="358"/>
      <c r="B7139" s="361"/>
      <c r="C7139" s="249" t="s">
        <v>311</v>
      </c>
      <c r="D7139" s="256"/>
      <c r="E7139" s="240"/>
      <c r="F7139" s="240"/>
      <c r="G7139" s="227"/>
      <c r="H7139" s="241"/>
      <c r="I7139" s="206"/>
      <c r="J7139" s="228"/>
      <c r="K7139" s="207"/>
      <c r="L7139" s="257"/>
      <c r="M7139" s="209"/>
      <c r="N7139" s="210"/>
      <c r="O7139" s="198">
        <f>SUM(O7115:O7138)</f>
        <v>0</v>
      </c>
      <c r="P7139" s="166"/>
      <c r="Q7139" s="166"/>
      <c r="R7139" s="71"/>
    </row>
    <row r="7140" spans="1:18" s="61" customFormat="1" ht="110.25" x14ac:dyDescent="0.25">
      <c r="A7140" s="358"/>
      <c r="B7140" s="361"/>
      <c r="C7140" s="221" t="s">
        <v>82</v>
      </c>
      <c r="D7140" s="156" t="s">
        <v>46</v>
      </c>
      <c r="E7140" s="156" t="s">
        <v>54</v>
      </c>
      <c r="F7140" s="156" t="s">
        <v>285</v>
      </c>
      <c r="G7140" s="238">
        <f>MROUND(H7140*L7140*I7140/K7140,0.000001)</f>
        <v>0.37500099999999997</v>
      </c>
      <c r="H7140" s="242">
        <f>H6900</f>
        <v>1028.1818077549303</v>
      </c>
      <c r="I7140" s="159">
        <f>I7138</f>
        <v>1.85677E-3</v>
      </c>
      <c r="J7140" s="160"/>
      <c r="K7140" s="161">
        <f>K7138</f>
        <v>56</v>
      </c>
      <c r="L7140" s="225">
        <f>L6900</f>
        <v>11</v>
      </c>
      <c r="M7140" s="163" t="str">
        <f>CONCATENATE(H7140," ",F7140,"*",L7140,"автобуса","*",I7140,"/",K7140,"чел.")</f>
        <v>1028,18180775493 л бензина АИ 92 (12,5л/день(зимой)*20дней*7мес+10л/день(летом)*20дней*4мес)*11автобуса*0,00185677/56чел.</v>
      </c>
      <c r="N7140" s="164">
        <f>N6900</f>
        <v>59.28728000000001</v>
      </c>
      <c r="O7140" s="165">
        <f>MROUND(G7140*N7140,0.000001)</f>
        <v>22.232789</v>
      </c>
      <c r="P7140" s="166"/>
      <c r="Q7140" s="166">
        <f t="shared" ref="Q7140" si="1985">O7140*K7140</f>
        <v>1245.036184</v>
      </c>
      <c r="R7140" s="71"/>
    </row>
    <row r="7141" spans="1:18" s="61" customFormat="1" x14ac:dyDescent="0.25">
      <c r="A7141" s="358"/>
      <c r="B7141" s="361"/>
      <c r="C7141" s="218" t="s">
        <v>309</v>
      </c>
      <c r="D7141" s="240"/>
      <c r="E7141" s="240"/>
      <c r="F7141" s="240"/>
      <c r="G7141" s="227"/>
      <c r="H7141" s="241"/>
      <c r="I7141" s="206"/>
      <c r="J7141" s="228"/>
      <c r="K7141" s="207"/>
      <c r="L7141" s="257"/>
      <c r="M7141" s="209"/>
      <c r="N7141" s="210"/>
      <c r="O7141" s="198">
        <f>SUM(O7140)</f>
        <v>22.232789</v>
      </c>
      <c r="P7141" s="166"/>
      <c r="Q7141" s="166"/>
      <c r="R7141" s="71"/>
    </row>
    <row r="7142" spans="1:18" s="61" customFormat="1" ht="47.25" x14ac:dyDescent="0.25">
      <c r="A7142" s="358"/>
      <c r="B7142" s="361"/>
      <c r="C7142" s="221" t="s">
        <v>434</v>
      </c>
      <c r="D7142" s="156" t="s">
        <v>436</v>
      </c>
      <c r="E7142" s="156" t="s">
        <v>28</v>
      </c>
      <c r="F7142" s="156" t="s">
        <v>437</v>
      </c>
      <c r="G7142" s="157">
        <f>MROUND(H7142*L7142*I7142/K7142,0.000001)</f>
        <v>9.6150000000000003E-3</v>
      </c>
      <c r="H7142" s="242">
        <f>$H$125</f>
        <v>290</v>
      </c>
      <c r="I7142" s="159">
        <f>I7140</f>
        <v>1.85677E-3</v>
      </c>
      <c r="J7142" s="160"/>
      <c r="K7142" s="161">
        <f>K7140</f>
        <v>56</v>
      </c>
      <c r="L7142" s="162">
        <v>1</v>
      </c>
      <c r="M7142" s="163" t="str">
        <f>CONCATENATE(H7142," ",F7142,"*",L7142,"автобуса","*",I7142,"/",K7142,"чел.")</f>
        <v>290 огнетушителей (потребность учреждений) *1автобуса*0,00185677/56чел.</v>
      </c>
      <c r="N7142" s="164">
        <f>$N$125</f>
        <v>2000</v>
      </c>
      <c r="O7142" s="165">
        <f>MROUND(G7142*N7142,0.000001)</f>
        <v>19.23</v>
      </c>
      <c r="P7142" s="166"/>
      <c r="Q7142" s="166">
        <f t="shared" ref="Q7142" si="1986">O7142*K7142</f>
        <v>1076.8800000000001</v>
      </c>
      <c r="R7142" s="71"/>
    </row>
    <row r="7143" spans="1:18" s="61" customFormat="1" x14ac:dyDescent="0.25">
      <c r="A7143" s="358"/>
      <c r="B7143" s="361"/>
      <c r="C7143" s="218" t="s">
        <v>435</v>
      </c>
      <c r="D7143" s="240"/>
      <c r="E7143" s="240"/>
      <c r="F7143" s="240"/>
      <c r="G7143" s="251"/>
      <c r="H7143" s="241"/>
      <c r="I7143" s="206"/>
      <c r="J7143" s="228"/>
      <c r="K7143" s="207"/>
      <c r="L7143" s="229"/>
      <c r="M7143" s="209"/>
      <c r="N7143" s="210"/>
      <c r="O7143" s="198">
        <f>SUM(O7142)</f>
        <v>19.23</v>
      </c>
      <c r="P7143" s="166"/>
      <c r="Q7143" s="166"/>
      <c r="R7143" s="71"/>
    </row>
    <row r="7144" spans="1:18" s="61" customFormat="1" ht="47.25" x14ac:dyDescent="0.25">
      <c r="A7144" s="358"/>
      <c r="B7144" s="361"/>
      <c r="C7144" s="364" t="s">
        <v>118</v>
      </c>
      <c r="D7144" s="156" t="s">
        <v>47</v>
      </c>
      <c r="E7144" s="156" t="s">
        <v>28</v>
      </c>
      <c r="F7144" s="156" t="s">
        <v>239</v>
      </c>
      <c r="G7144" s="238">
        <f>MROUND(H7144*L7144*I7144/K7144,0.00000001)</f>
        <v>4.6419299999999998E-3</v>
      </c>
      <c r="H7144" s="158">
        <f>H6904</f>
        <v>140</v>
      </c>
      <c r="I7144" s="159">
        <f>I7140</f>
        <v>1.85677E-3</v>
      </c>
      <c r="J7144" s="160"/>
      <c r="K7144" s="161">
        <f>K7140</f>
        <v>56</v>
      </c>
      <c r="L7144" s="250">
        <v>1</v>
      </c>
      <c r="M7144" s="163" t="str">
        <f>CONCATENATE(H7144," ",F7144,"*",I7144,"/",K7144,"чел.")</f>
        <v>140 манометров (потребность учреждений) *0,00185677/56чел.</v>
      </c>
      <c r="N7144" s="164">
        <f>N6904</f>
        <v>770.73500000000035</v>
      </c>
      <c r="O7144" s="165">
        <f>MROUND(G7144*N7144,0.000001)</f>
        <v>3.5776979999999998</v>
      </c>
      <c r="P7144" s="166"/>
      <c r="Q7144" s="166">
        <f t="shared" ref="Q7144:Q7145" si="1987">O7144*K7144</f>
        <v>200.351088</v>
      </c>
      <c r="R7144" s="71"/>
    </row>
    <row r="7145" spans="1:18" s="61" customFormat="1" ht="47.25" x14ac:dyDescent="0.25">
      <c r="A7145" s="358"/>
      <c r="B7145" s="361"/>
      <c r="C7145" s="364"/>
      <c r="D7145" s="255" t="s">
        <v>113</v>
      </c>
      <c r="E7145" s="156" t="s">
        <v>28</v>
      </c>
      <c r="F7145" s="156" t="s">
        <v>240</v>
      </c>
      <c r="G7145" s="238">
        <f>MROUND(H7145*L7145*I7145/K7145,0.00000001)</f>
        <v>0.18949001000000001</v>
      </c>
      <c r="H7145" s="158">
        <f>H6905</f>
        <v>5715</v>
      </c>
      <c r="I7145" s="159">
        <f>I7144</f>
        <v>1.85677E-3</v>
      </c>
      <c r="J7145" s="160"/>
      <c r="K7145" s="161">
        <f>K7144</f>
        <v>56</v>
      </c>
      <c r="L7145" s="250">
        <v>1</v>
      </c>
      <c r="M7145" s="163" t="str">
        <f>CONCATENATE(H7145," ",F7145,"*",I7145,"/",K7145,"чел.")</f>
        <v>5715 светильников (потребность учреждений)*0,00185677/56чел.</v>
      </c>
      <c r="N7145" s="164">
        <f>N6905</f>
        <v>115.61019597550306</v>
      </c>
      <c r="O7145" s="165">
        <f>MROUND(G7145*N7145,0.000001)</f>
        <v>21.906976999999998</v>
      </c>
      <c r="P7145" s="166"/>
      <c r="Q7145" s="166">
        <f t="shared" si="1987"/>
        <v>1226.790712</v>
      </c>
      <c r="R7145" s="71"/>
    </row>
    <row r="7146" spans="1:18" s="61" customFormat="1" x14ac:dyDescent="0.25">
      <c r="A7146" s="359"/>
      <c r="B7146" s="362"/>
      <c r="C7146" s="218" t="s">
        <v>310</v>
      </c>
      <c r="D7146" s="256"/>
      <c r="E7146" s="240"/>
      <c r="F7146" s="240"/>
      <c r="G7146" s="227"/>
      <c r="H7146" s="241"/>
      <c r="I7146" s="206"/>
      <c r="J7146" s="228"/>
      <c r="K7146" s="207"/>
      <c r="L7146" s="257"/>
      <c r="M7146" s="209"/>
      <c r="N7146" s="210"/>
      <c r="O7146" s="198">
        <f>SUM(O7144:O7145)</f>
        <v>25.484674999999996</v>
      </c>
      <c r="P7146" s="166"/>
      <c r="Q7146" s="166"/>
      <c r="R7146" s="71"/>
    </row>
    <row r="7147" spans="1:18" s="61" customFormat="1" x14ac:dyDescent="0.25">
      <c r="A7147" s="357" t="str">
        <f>CONCATENATE(школы!$B$9,", ",школы!$C$9,", ",школы!$D$9)</f>
        <v xml:space="preserve">Реализация основных общеобразовательных программ начального общего образования, , </v>
      </c>
      <c r="B7147" s="360" t="str">
        <f>школы!$A$9</f>
        <v>801012О.99.0.БА81АЭ92001</v>
      </c>
      <c r="C7147" s="194"/>
      <c r="D7147" s="363" t="s">
        <v>15</v>
      </c>
      <c r="E7147" s="363"/>
      <c r="F7147" s="363"/>
      <c r="G7147" s="363"/>
      <c r="H7147" s="195"/>
      <c r="I7147" s="195"/>
      <c r="J7147" s="195"/>
      <c r="K7147" s="195"/>
      <c r="L7147" s="196"/>
      <c r="M7147" s="197"/>
      <c r="N7147" s="164"/>
      <c r="O7147" s="198">
        <f>O7148+O7153+O7155</f>
        <v>6152.298676673</v>
      </c>
      <c r="P7147" s="166"/>
      <c r="Q7147" s="166"/>
      <c r="R7147" s="71"/>
    </row>
    <row r="7148" spans="1:18" s="61" customFormat="1" x14ac:dyDescent="0.25">
      <c r="A7148" s="358"/>
      <c r="B7148" s="361"/>
      <c r="C7148" s="194"/>
      <c r="D7148" s="350" t="s">
        <v>62</v>
      </c>
      <c r="E7148" s="350"/>
      <c r="F7148" s="350"/>
      <c r="G7148" s="350"/>
      <c r="H7148" s="195"/>
      <c r="I7148" s="195"/>
      <c r="J7148" s="195"/>
      <c r="K7148" s="195"/>
      <c r="L7148" s="196"/>
      <c r="M7148" s="197"/>
      <c r="N7148" s="164"/>
      <c r="O7148" s="165">
        <f>O7150+O7152</f>
        <v>6152.298676673</v>
      </c>
      <c r="P7148" s="166"/>
      <c r="Q7148" s="166"/>
      <c r="R7148" s="71"/>
    </row>
    <row r="7149" spans="1:18" s="61" customFormat="1" ht="31.5" x14ac:dyDescent="0.25">
      <c r="A7149" s="358"/>
      <c r="B7149" s="361"/>
      <c r="C7149" s="194">
        <v>211</v>
      </c>
      <c r="D7149" s="194" t="s">
        <v>86</v>
      </c>
      <c r="E7149" s="199" t="s">
        <v>95</v>
      </c>
      <c r="F7149" s="199" t="s">
        <v>95</v>
      </c>
      <c r="G7149" s="275">
        <f>MROUND(H7149*L7149*I7149/K7149,0.0000000001)</f>
        <v>0.36676551540000002</v>
      </c>
      <c r="H7149" s="201">
        <f>H6789</f>
        <v>921.8</v>
      </c>
      <c r="I7149" s="159">
        <f>школы!$K$9</f>
        <v>0.30039917999999999</v>
      </c>
      <c r="J7149" s="159"/>
      <c r="K7149" s="161">
        <f>школы!$G$9</f>
        <v>9060</v>
      </c>
      <c r="L7149" s="202">
        <v>12</v>
      </c>
      <c r="M7149" s="163" t="str">
        <f>CONCATENATE(H7149," ",F7149," ","в мес.","*",L7149,"мес.","*",I7149,"/",K7149,"чел.")</f>
        <v>921,8 шт.ед в мес.*12мес.*0,30039918/9060чел.</v>
      </c>
      <c r="N7149" s="164">
        <f>N6789</f>
        <v>12883.620739314385</v>
      </c>
      <c r="O7149" s="165">
        <f>MROUND(G7149*N7149,0.000000001)</f>
        <v>4725.2678006730002</v>
      </c>
      <c r="P7149" s="166"/>
      <c r="Q7149" s="166">
        <f t="shared" ref="Q7149" si="1988">O7149*K7149</f>
        <v>42810926.274097383</v>
      </c>
      <c r="R7149" s="71"/>
    </row>
    <row r="7150" spans="1:18" s="61" customFormat="1" x14ac:dyDescent="0.25">
      <c r="A7150" s="358"/>
      <c r="B7150" s="361"/>
      <c r="C7150" s="203" t="s">
        <v>288</v>
      </c>
      <c r="D7150" s="203"/>
      <c r="E7150" s="204"/>
      <c r="F7150" s="204"/>
      <c r="G7150" s="205"/>
      <c r="H7150" s="206"/>
      <c r="I7150" s="206"/>
      <c r="J7150" s="206"/>
      <c r="K7150" s="207"/>
      <c r="L7150" s="208"/>
      <c r="M7150" s="209"/>
      <c r="N7150" s="210">
        <f>N7149</f>
        <v>12883.620739314385</v>
      </c>
      <c r="O7150" s="198">
        <f>O7149</f>
        <v>4725.2678006730002</v>
      </c>
      <c r="P7150" s="166"/>
      <c r="Q7150" s="166"/>
      <c r="R7150" s="71"/>
    </row>
    <row r="7151" spans="1:18" s="61" customFormat="1" x14ac:dyDescent="0.25">
      <c r="A7151" s="358"/>
      <c r="B7151" s="361"/>
      <c r="C7151" s="194">
        <v>213</v>
      </c>
      <c r="D7151" s="194" t="s">
        <v>87</v>
      </c>
      <c r="E7151" s="194" t="s">
        <v>88</v>
      </c>
      <c r="F7151" s="194"/>
      <c r="G7151" s="211">
        <v>30.2</v>
      </c>
      <c r="H7151" s="159"/>
      <c r="I7151" s="159"/>
      <c r="J7151" s="159"/>
      <c r="K7151" s="161">
        <f>K7149</f>
        <v>9060</v>
      </c>
      <c r="L7151" s="202"/>
      <c r="M7151" s="212"/>
      <c r="N7151" s="164"/>
      <c r="O7151" s="165">
        <f>MROUND(O7149*0.302,0.000001)</f>
        <v>1427.030876</v>
      </c>
      <c r="P7151" s="166"/>
      <c r="Q7151" s="166">
        <f>O7151*K7151</f>
        <v>12928899.73656</v>
      </c>
      <c r="R7151" s="71"/>
    </row>
    <row r="7152" spans="1:18" s="61" customFormat="1" x14ac:dyDescent="0.25">
      <c r="A7152" s="358"/>
      <c r="B7152" s="361"/>
      <c r="C7152" s="203" t="s">
        <v>289</v>
      </c>
      <c r="D7152" s="203"/>
      <c r="E7152" s="203"/>
      <c r="F7152" s="203"/>
      <c r="G7152" s="213"/>
      <c r="H7152" s="214"/>
      <c r="I7152" s="206"/>
      <c r="J7152" s="214"/>
      <c r="K7152" s="207"/>
      <c r="L7152" s="215"/>
      <c r="M7152" s="216"/>
      <c r="N7152" s="210"/>
      <c r="O7152" s="198">
        <f>O7151</f>
        <v>1427.030876</v>
      </c>
      <c r="P7152" s="166"/>
      <c r="Q7152" s="166"/>
      <c r="R7152" s="71"/>
    </row>
    <row r="7153" spans="1:18" s="61" customFormat="1" x14ac:dyDescent="0.25">
      <c r="A7153" s="358"/>
      <c r="B7153" s="361"/>
      <c r="C7153" s="194"/>
      <c r="D7153" s="356" t="s">
        <v>63</v>
      </c>
      <c r="E7153" s="356"/>
      <c r="F7153" s="356"/>
      <c r="G7153" s="356"/>
      <c r="H7153" s="195"/>
      <c r="I7153" s="159"/>
      <c r="J7153" s="195"/>
      <c r="K7153" s="161"/>
      <c r="L7153" s="196"/>
      <c r="M7153" s="197"/>
      <c r="N7153" s="164"/>
      <c r="O7153" s="165"/>
      <c r="P7153" s="166"/>
      <c r="Q7153" s="166"/>
      <c r="R7153" s="71"/>
    </row>
    <row r="7154" spans="1:18" s="61" customFormat="1" x14ac:dyDescent="0.25">
      <c r="A7154" s="358"/>
      <c r="B7154" s="361"/>
      <c r="C7154" s="194"/>
      <c r="D7154" s="194"/>
      <c r="E7154" s="194"/>
      <c r="F7154" s="194"/>
      <c r="G7154" s="217"/>
      <c r="H7154" s="195"/>
      <c r="I7154" s="159"/>
      <c r="J7154" s="195"/>
      <c r="K7154" s="161"/>
      <c r="L7154" s="196"/>
      <c r="M7154" s="197"/>
      <c r="N7154" s="164"/>
      <c r="O7154" s="165"/>
      <c r="P7154" s="166"/>
      <c r="Q7154" s="166"/>
      <c r="R7154" s="71"/>
    </row>
    <row r="7155" spans="1:18" s="61" customFormat="1" x14ac:dyDescent="0.25">
      <c r="A7155" s="358"/>
      <c r="B7155" s="361"/>
      <c r="C7155" s="194"/>
      <c r="D7155" s="350" t="s">
        <v>64</v>
      </c>
      <c r="E7155" s="350"/>
      <c r="F7155" s="350"/>
      <c r="G7155" s="350"/>
      <c r="H7155" s="195"/>
      <c r="I7155" s="159"/>
      <c r="J7155" s="195"/>
      <c r="K7155" s="161"/>
      <c r="L7155" s="196"/>
      <c r="M7155" s="197"/>
      <c r="N7155" s="164"/>
      <c r="O7155" s="165"/>
      <c r="P7155" s="166"/>
      <c r="Q7155" s="166"/>
      <c r="R7155" s="71"/>
    </row>
    <row r="7156" spans="1:18" s="61" customFormat="1" x14ac:dyDescent="0.25">
      <c r="A7156" s="358"/>
      <c r="B7156" s="361"/>
      <c r="C7156" s="194"/>
      <c r="D7156" s="194"/>
      <c r="E7156" s="194"/>
      <c r="F7156" s="194"/>
      <c r="G7156" s="217"/>
      <c r="H7156" s="195"/>
      <c r="I7156" s="159"/>
      <c r="J7156" s="195"/>
      <c r="K7156" s="161"/>
      <c r="L7156" s="196"/>
      <c r="M7156" s="197"/>
      <c r="N7156" s="164"/>
      <c r="O7156" s="165"/>
      <c r="P7156" s="166"/>
      <c r="Q7156" s="166"/>
      <c r="R7156" s="71"/>
    </row>
    <row r="7157" spans="1:18" s="61" customFormat="1" x14ac:dyDescent="0.25">
      <c r="A7157" s="358"/>
      <c r="B7157" s="361"/>
      <c r="C7157" s="194"/>
      <c r="D7157" s="355" t="s">
        <v>5</v>
      </c>
      <c r="E7157" s="355"/>
      <c r="F7157" s="355"/>
      <c r="G7157" s="355"/>
      <c r="H7157" s="195"/>
      <c r="I7157" s="159"/>
      <c r="J7157" s="195"/>
      <c r="K7157" s="161"/>
      <c r="L7157" s="196"/>
      <c r="M7157" s="197"/>
      <c r="N7157" s="164"/>
      <c r="O7157" s="198">
        <f>O7158+O7168+O7179+O7181+O7183+O7185+O7187</f>
        <v>10324.639330378288</v>
      </c>
      <c r="P7157" s="166"/>
      <c r="Q7157" s="166"/>
      <c r="R7157" s="71"/>
    </row>
    <row r="7158" spans="1:18" s="61" customFormat="1" x14ac:dyDescent="0.25">
      <c r="A7158" s="358"/>
      <c r="B7158" s="361"/>
      <c r="C7158" s="218" t="s">
        <v>70</v>
      </c>
      <c r="D7158" s="355" t="s">
        <v>6</v>
      </c>
      <c r="E7158" s="355"/>
      <c r="F7158" s="355"/>
      <c r="G7158" s="355"/>
      <c r="H7158" s="189"/>
      <c r="I7158" s="159"/>
      <c r="J7158" s="189"/>
      <c r="K7158" s="161"/>
      <c r="L7158" s="190"/>
      <c r="M7158" s="197"/>
      <c r="N7158" s="210"/>
      <c r="O7158" s="198">
        <f>O7167</f>
        <v>6239.9597424899994</v>
      </c>
      <c r="P7158" s="166"/>
      <c r="Q7158" s="166"/>
      <c r="R7158" s="71"/>
    </row>
    <row r="7159" spans="1:18" s="61" customFormat="1" ht="31.5" x14ac:dyDescent="0.25">
      <c r="A7159" s="358"/>
      <c r="B7159" s="361"/>
      <c r="C7159" s="221" t="s">
        <v>72</v>
      </c>
      <c r="D7159" s="222" t="s">
        <v>7</v>
      </c>
      <c r="E7159" s="223" t="s">
        <v>8</v>
      </c>
      <c r="F7159" s="223" t="s">
        <v>8</v>
      </c>
      <c r="G7159" s="238">
        <f>MROUND(H7159*L7159*I7159/K7159,0.00000000001)</f>
        <v>109.85198231135</v>
      </c>
      <c r="H7159" s="160">
        <f t="shared" ref="H7159:H7166" si="1989">H6799</f>
        <v>3313121.4264326878</v>
      </c>
      <c r="I7159" s="159">
        <f>I7149</f>
        <v>0.30039917999999999</v>
      </c>
      <c r="J7159" s="160"/>
      <c r="K7159" s="161">
        <f>K7149</f>
        <v>9060</v>
      </c>
      <c r="L7159" s="250">
        <v>1</v>
      </c>
      <c r="M7159" s="163" t="str">
        <f t="shared" ref="M7159:M7164" si="1990">CONCATENATE(H7159," ",F7159,"(лимиты выделенные УЖКХ) ","*",I7159,"/",K7159,"чел.")</f>
        <v>3313121,42643269 кВт час.(лимиты выделенные УЖКХ) *0,30039918/9060чел.</v>
      </c>
      <c r="N7159" s="164">
        <f t="shared" ref="N7159:N7166" si="1991">N6799</f>
        <v>11.333602475424668</v>
      </c>
      <c r="O7159" s="165">
        <f t="shared" ref="O7159:O7162" si="1992">MROUND(G7159*N7159,0.000001)</f>
        <v>1245.018699</v>
      </c>
      <c r="P7159" s="166"/>
      <c r="Q7159" s="166">
        <f t="shared" ref="Q7159:Q7166" si="1993">O7159*K7159</f>
        <v>11279869.412939999</v>
      </c>
      <c r="R7159" s="71"/>
    </row>
    <row r="7160" spans="1:18" s="61" customFormat="1" ht="31.5" x14ac:dyDescent="0.25">
      <c r="A7160" s="358"/>
      <c r="B7160" s="361"/>
      <c r="C7160" s="221" t="s">
        <v>73</v>
      </c>
      <c r="D7160" s="222" t="s">
        <v>9</v>
      </c>
      <c r="E7160" s="223" t="s">
        <v>10</v>
      </c>
      <c r="F7160" s="223" t="s">
        <v>10</v>
      </c>
      <c r="G7160" s="238">
        <f>MROUND(H7160*L7160*I7160/K7160,0.00000000001)</f>
        <v>1.0576103532199999</v>
      </c>
      <c r="H7160" s="160">
        <f t="shared" si="1989"/>
        <v>31897.39</v>
      </c>
      <c r="I7160" s="159">
        <f t="shared" ref="I7160:I7223" si="1994">I7159</f>
        <v>0.30039917999999999</v>
      </c>
      <c r="J7160" s="160"/>
      <c r="K7160" s="161">
        <f t="shared" ref="K7160:K7166" si="1995">K7159</f>
        <v>9060</v>
      </c>
      <c r="L7160" s="250">
        <v>1</v>
      </c>
      <c r="M7160" s="163" t="str">
        <f t="shared" si="1990"/>
        <v>31897,39 Гкал(лимиты выделенные УЖКХ) *0,30039918/9060чел.</v>
      </c>
      <c r="N7160" s="164">
        <f t="shared" si="1991"/>
        <v>3095.3018623153812</v>
      </c>
      <c r="O7160" s="165">
        <f t="shared" si="1992"/>
        <v>3273.6232959999998</v>
      </c>
      <c r="P7160" s="166"/>
      <c r="Q7160" s="166">
        <f t="shared" si="1993"/>
        <v>29659027.061759997</v>
      </c>
      <c r="R7160" s="71"/>
    </row>
    <row r="7161" spans="1:18" s="61" customFormat="1" ht="31.5" x14ac:dyDescent="0.25">
      <c r="A7161" s="358"/>
      <c r="B7161" s="361"/>
      <c r="C7161" s="364" t="s">
        <v>74</v>
      </c>
      <c r="D7161" s="222" t="s">
        <v>12</v>
      </c>
      <c r="E7161" s="222" t="s">
        <v>11</v>
      </c>
      <c r="F7161" s="222" t="s">
        <v>11</v>
      </c>
      <c r="G7161" s="238">
        <f>MROUND(H7161*L7161*I7161/K7161,0.00000000001)</f>
        <v>6.1248664010299994</v>
      </c>
      <c r="H7161" s="224">
        <f t="shared" si="1989"/>
        <v>184725.17</v>
      </c>
      <c r="I7161" s="159">
        <f t="shared" si="1994"/>
        <v>0.30039917999999999</v>
      </c>
      <c r="J7161" s="160"/>
      <c r="K7161" s="161">
        <f t="shared" si="1995"/>
        <v>9060</v>
      </c>
      <c r="L7161" s="250">
        <v>1</v>
      </c>
      <c r="M7161" s="163" t="str">
        <f t="shared" si="1990"/>
        <v>184725,17 м3(лимиты выделенные УЖКХ) *0,30039918/9060чел.</v>
      </c>
      <c r="N7161" s="164">
        <f t="shared" si="1991"/>
        <v>56.382747245543193</v>
      </c>
      <c r="O7161" s="165">
        <f t="shared" si="1992"/>
        <v>345.336794</v>
      </c>
      <c r="P7161" s="166"/>
      <c r="Q7161" s="166">
        <f t="shared" si="1993"/>
        <v>3128751.3536399999</v>
      </c>
      <c r="R7161" s="71"/>
    </row>
    <row r="7162" spans="1:18" s="61" customFormat="1" ht="47.25" x14ac:dyDescent="0.25">
      <c r="A7162" s="358"/>
      <c r="B7162" s="361"/>
      <c r="C7162" s="364"/>
      <c r="D7162" s="222" t="s">
        <v>17</v>
      </c>
      <c r="E7162" s="222" t="s">
        <v>11</v>
      </c>
      <c r="F7162" s="222" t="s">
        <v>11</v>
      </c>
      <c r="G7162" s="238">
        <f>MROUND(H7162*L7162*I7162/K7162,0.00000000001)</f>
        <v>6.1248664010299994</v>
      </c>
      <c r="H7162" s="160">
        <f t="shared" si="1989"/>
        <v>184725.17</v>
      </c>
      <c r="I7162" s="159">
        <f t="shared" si="1994"/>
        <v>0.30039917999999999</v>
      </c>
      <c r="J7162" s="160"/>
      <c r="K7162" s="161">
        <f t="shared" si="1995"/>
        <v>9060</v>
      </c>
      <c r="L7162" s="162">
        <f>$L$6802</f>
        <v>1</v>
      </c>
      <c r="M7162" s="163" t="str">
        <f t="shared" si="1990"/>
        <v>184725,17 м3(лимиты выделенные УЖКХ) *0,30039918/9060чел.</v>
      </c>
      <c r="N7162" s="164">
        <f t="shared" si="1991"/>
        <v>85.679537612054773</v>
      </c>
      <c r="O7162" s="165">
        <f t="shared" si="1992"/>
        <v>524.77572099999998</v>
      </c>
      <c r="P7162" s="166"/>
      <c r="Q7162" s="166">
        <f t="shared" si="1993"/>
        <v>4754468.0322599998</v>
      </c>
      <c r="R7162" s="71"/>
    </row>
    <row r="7163" spans="1:18" s="61" customFormat="1" ht="31.5" x14ac:dyDescent="0.25">
      <c r="A7163" s="358"/>
      <c r="B7163" s="361"/>
      <c r="C7163" s="364"/>
      <c r="D7163" s="222" t="s">
        <v>13</v>
      </c>
      <c r="E7163" s="222" t="s">
        <v>11</v>
      </c>
      <c r="F7163" s="222" t="s">
        <v>11</v>
      </c>
      <c r="G7163" s="238">
        <f>MROUND(H7163*L7163*I7163/K7163,0.00000000001)</f>
        <v>6.1248664010299994</v>
      </c>
      <c r="H7163" s="160">
        <f t="shared" si="1989"/>
        <v>184725.17</v>
      </c>
      <c r="I7163" s="159">
        <f t="shared" si="1994"/>
        <v>0.30039917999999999</v>
      </c>
      <c r="J7163" s="160"/>
      <c r="K7163" s="161">
        <f t="shared" si="1995"/>
        <v>9060</v>
      </c>
      <c r="L7163" s="162">
        <v>1</v>
      </c>
      <c r="M7163" s="163" t="str">
        <f t="shared" si="1990"/>
        <v>184725,17 м3(лимиты выделенные УЖКХ) *0,30039918/9060чел.</v>
      </c>
      <c r="N7163" s="164">
        <f t="shared" si="1991"/>
        <v>116.85554734686012</v>
      </c>
      <c r="O7163" s="165">
        <f>MROUND(G7163*N7163,0.00000001)</f>
        <v>715.72461571999997</v>
      </c>
      <c r="P7163" s="166"/>
      <c r="Q7163" s="166">
        <f t="shared" si="1993"/>
        <v>6484465.0184231997</v>
      </c>
      <c r="R7163" s="71"/>
    </row>
    <row r="7164" spans="1:18" s="61" customFormat="1" ht="31.5" x14ac:dyDescent="0.25">
      <c r="A7164" s="358"/>
      <c r="B7164" s="361"/>
      <c r="C7164" s="221" t="s">
        <v>75</v>
      </c>
      <c r="D7164" s="222" t="s">
        <v>18</v>
      </c>
      <c r="E7164" s="222" t="s">
        <v>48</v>
      </c>
      <c r="F7164" s="222" t="s">
        <v>48</v>
      </c>
      <c r="G7164" s="238">
        <f>MROUND(H7164*L7164*I7164/K7164,0.0000000001)</f>
        <v>0.46046618680000001</v>
      </c>
      <c r="H7164" s="160">
        <f t="shared" si="1989"/>
        <v>13887.6</v>
      </c>
      <c r="I7164" s="159">
        <f t="shared" si="1994"/>
        <v>0.30039917999999999</v>
      </c>
      <c r="J7164" s="160"/>
      <c r="K7164" s="161">
        <f t="shared" si="1995"/>
        <v>9060</v>
      </c>
      <c r="L7164" s="250">
        <v>1</v>
      </c>
      <c r="M7164" s="163" t="str">
        <f t="shared" si="1990"/>
        <v>13887,6 тыс. м3(лимиты выделенные УЖКХ) *0,30039918/9060чел.</v>
      </c>
      <c r="N7164" s="164">
        <f t="shared" si="1991"/>
        <v>31.799284973645559</v>
      </c>
      <c r="O7164" s="165">
        <f t="shared" ref="O7164" si="1996">MROUND(G7164*N7164,0.000001)</f>
        <v>14.642494999999998</v>
      </c>
      <c r="P7164" s="166"/>
      <c r="Q7164" s="166">
        <f t="shared" si="1993"/>
        <v>132661.00469999999</v>
      </c>
      <c r="R7164" s="71"/>
    </row>
    <row r="7165" spans="1:18" s="61" customFormat="1" x14ac:dyDescent="0.25">
      <c r="A7165" s="358"/>
      <c r="B7165" s="361"/>
      <c r="C7165" s="364" t="s">
        <v>216</v>
      </c>
      <c r="D7165" s="222" t="s">
        <v>23</v>
      </c>
      <c r="E7165" s="222" t="s">
        <v>11</v>
      </c>
      <c r="F7165" s="222" t="s">
        <v>11</v>
      </c>
      <c r="G7165" s="238">
        <f>MROUND(H7165*L7165*I7165/K7165,0.000000000001)</f>
        <v>0.111692791801</v>
      </c>
      <c r="H7165" s="160">
        <f t="shared" si="1989"/>
        <v>3368.6400000000003</v>
      </c>
      <c r="I7165" s="159">
        <f t="shared" si="1994"/>
        <v>0.30039917999999999</v>
      </c>
      <c r="J7165" s="160"/>
      <c r="K7165" s="161">
        <f t="shared" si="1995"/>
        <v>9060</v>
      </c>
      <c r="L7165" s="162">
        <f>L7164</f>
        <v>1</v>
      </c>
      <c r="M7165" s="163" t="str">
        <f>CONCATENATE(H7165," ",F7165," ","*",I7165,"/",K7165,"чел.")</f>
        <v>3368,64 м3 *0,30039918/9060чел.</v>
      </c>
      <c r="N7165" s="164">
        <f t="shared" si="1991"/>
        <v>807.40973805452643</v>
      </c>
      <c r="O7165" s="165">
        <f>MROUND(G7165*N7165,0.00000001)</f>
        <v>90.181847770000005</v>
      </c>
      <c r="P7165" s="166"/>
      <c r="Q7165" s="166">
        <f t="shared" si="1993"/>
        <v>817047.54079620005</v>
      </c>
      <c r="R7165" s="71"/>
    </row>
    <row r="7166" spans="1:18" s="61" customFormat="1" ht="63" x14ac:dyDescent="0.25">
      <c r="A7166" s="358"/>
      <c r="B7166" s="361"/>
      <c r="C7166" s="364"/>
      <c r="D7166" s="222" t="s">
        <v>24</v>
      </c>
      <c r="E7166" s="222" t="s">
        <v>25</v>
      </c>
      <c r="F7166" s="222" t="s">
        <v>217</v>
      </c>
      <c r="G7166" s="238">
        <f>MROUND(H7166*L7166*I7166/K7166,0.000000000001)</f>
        <v>4.8740264300000001E-3</v>
      </c>
      <c r="H7166" s="160">
        <f t="shared" si="1989"/>
        <v>147</v>
      </c>
      <c r="I7166" s="159">
        <f t="shared" si="1994"/>
        <v>0.30039917999999999</v>
      </c>
      <c r="J7166" s="160"/>
      <c r="K7166" s="161">
        <f t="shared" si="1995"/>
        <v>9060</v>
      </c>
      <c r="L7166" s="250">
        <f>L7165</f>
        <v>1</v>
      </c>
      <c r="M7166" s="163" t="str">
        <f>CONCATENATE(H7166," ",F7166,"(потребность из расчета 4 контейнера для уборки территории весной и осенью на 1 учреждение)","*",I7166,"/",K7166,"чел.")</f>
        <v>147 контейнера(потребность из расчета 4 контейнера для уборки территории весной и осенью на 1 учреждение)*0,30039918/9060чел.</v>
      </c>
      <c r="N7166" s="164">
        <f t="shared" si="1991"/>
        <v>6289.7226530612279</v>
      </c>
      <c r="O7166" s="165">
        <f t="shared" ref="O7166" si="1997">MROUND(G7166*N7166,0.000001)</f>
        <v>30.656274</v>
      </c>
      <c r="P7166" s="166"/>
      <c r="Q7166" s="166">
        <f t="shared" si="1993"/>
        <v>277745.84243999998</v>
      </c>
      <c r="R7166" s="71"/>
    </row>
    <row r="7167" spans="1:18" s="61" customFormat="1" x14ac:dyDescent="0.25">
      <c r="A7167" s="358"/>
      <c r="B7167" s="361"/>
      <c r="C7167" s="218" t="s">
        <v>290</v>
      </c>
      <c r="D7167" s="226"/>
      <c r="E7167" s="226"/>
      <c r="F7167" s="226"/>
      <c r="G7167" s="227"/>
      <c r="H7167" s="228"/>
      <c r="I7167" s="206"/>
      <c r="J7167" s="228"/>
      <c r="K7167" s="207"/>
      <c r="L7167" s="257"/>
      <c r="M7167" s="209"/>
      <c r="N7167" s="210"/>
      <c r="O7167" s="198">
        <f>SUM(O7159:O7166)</f>
        <v>6239.9597424899994</v>
      </c>
      <c r="P7167" s="166"/>
      <c r="Q7167" s="166"/>
      <c r="R7167" s="71"/>
    </row>
    <row r="7168" spans="1:18" s="61" customFormat="1" x14ac:dyDescent="0.25">
      <c r="A7168" s="358"/>
      <c r="B7168" s="361"/>
      <c r="C7168" s="221"/>
      <c r="D7168" s="356" t="s">
        <v>14</v>
      </c>
      <c r="E7168" s="356"/>
      <c r="F7168" s="356"/>
      <c r="G7168" s="356"/>
      <c r="H7168" s="188"/>
      <c r="I7168" s="159"/>
      <c r="J7168" s="188"/>
      <c r="K7168" s="161"/>
      <c r="L7168" s="250"/>
      <c r="M7168" s="230"/>
      <c r="N7168" s="164"/>
      <c r="O7168" s="198">
        <f>O7176+O7177+O7172</f>
        <v>3316.01569823829</v>
      </c>
      <c r="P7168" s="166"/>
      <c r="Q7168" s="166"/>
      <c r="R7168" s="71"/>
    </row>
    <row r="7169" spans="1:18" s="61" customFormat="1" x14ac:dyDescent="0.25">
      <c r="A7169" s="358"/>
      <c r="B7169" s="361"/>
      <c r="C7169" s="221" t="s">
        <v>379</v>
      </c>
      <c r="D7169" s="231" t="s">
        <v>49</v>
      </c>
      <c r="E7169" s="231" t="s">
        <v>22</v>
      </c>
      <c r="F7169" s="231" t="s">
        <v>22</v>
      </c>
      <c r="G7169" s="238">
        <f>MROUND(H7169*L7169*I7169/K7169,0.000000001)</f>
        <v>0</v>
      </c>
      <c r="H7169" s="160"/>
      <c r="I7169" s="159">
        <f>I7164</f>
        <v>0.30039917999999999</v>
      </c>
      <c r="J7169" s="160"/>
      <c r="K7169" s="161">
        <f>K7164</f>
        <v>9060</v>
      </c>
      <c r="L7169" s="250"/>
      <c r="M7169" s="163"/>
      <c r="N7169" s="164"/>
      <c r="O7169" s="165">
        <f>MROUND(G7169*N7169,0.00000001)</f>
        <v>0</v>
      </c>
      <c r="P7169" s="166"/>
      <c r="Q7169" s="166">
        <f t="shared" ref="Q7169:Q7171" si="1998">O7169*K7169</f>
        <v>0</v>
      </c>
      <c r="R7169" s="71"/>
    </row>
    <row r="7170" spans="1:18" s="61" customFormat="1" x14ac:dyDescent="0.25">
      <c r="A7170" s="358"/>
      <c r="B7170" s="361"/>
      <c r="C7170" s="221" t="s">
        <v>379</v>
      </c>
      <c r="D7170" s="231" t="s">
        <v>49</v>
      </c>
      <c r="E7170" s="231" t="s">
        <v>28</v>
      </c>
      <c r="F7170" s="231" t="s">
        <v>28</v>
      </c>
      <c r="G7170" s="238">
        <f>MROUND(H7170*L7170*I7170/K7170,0.000000000000000001)</f>
        <v>0</v>
      </c>
      <c r="H7170" s="160"/>
      <c r="I7170" s="159">
        <f t="shared" si="1994"/>
        <v>0.30039917999999999</v>
      </c>
      <c r="J7170" s="160"/>
      <c r="K7170" s="161">
        <f>K7169</f>
        <v>9060</v>
      </c>
      <c r="L7170" s="250">
        <v>1</v>
      </c>
      <c r="M7170" s="163"/>
      <c r="N7170" s="164"/>
      <c r="O7170" s="165">
        <f>MROUND(G7170*N7170,0.00000001)</f>
        <v>0</v>
      </c>
      <c r="P7170" s="166"/>
      <c r="Q7170" s="166">
        <f t="shared" si="1998"/>
        <v>0</v>
      </c>
      <c r="R7170" s="71"/>
    </row>
    <row r="7171" spans="1:18" s="61" customFormat="1" x14ac:dyDescent="0.25">
      <c r="A7171" s="358"/>
      <c r="B7171" s="361"/>
      <c r="C7171" s="221" t="s">
        <v>379</v>
      </c>
      <c r="D7171" s="231" t="s">
        <v>49</v>
      </c>
      <c r="E7171" s="231" t="s">
        <v>101</v>
      </c>
      <c r="F7171" s="231" t="s">
        <v>101</v>
      </c>
      <c r="G7171" s="238">
        <f>MROUND(H7171*L7171*I7171/K7171,0.000000001)</f>
        <v>0</v>
      </c>
      <c r="H7171" s="160"/>
      <c r="I7171" s="159">
        <f t="shared" si="1994"/>
        <v>0.30039917999999999</v>
      </c>
      <c r="J7171" s="160"/>
      <c r="K7171" s="161">
        <f>K7170</f>
        <v>9060</v>
      </c>
      <c r="L7171" s="250"/>
      <c r="M7171" s="163"/>
      <c r="N7171" s="164"/>
      <c r="O7171" s="165">
        <f>MROUND(G7171*N7171,0.00000001)</f>
        <v>0</v>
      </c>
      <c r="P7171" s="166"/>
      <c r="Q7171" s="166">
        <f t="shared" si="1998"/>
        <v>0</v>
      </c>
      <c r="R7171" s="71"/>
    </row>
    <row r="7172" spans="1:18" s="61" customFormat="1" x14ac:dyDescent="0.25">
      <c r="A7172" s="358"/>
      <c r="B7172" s="361"/>
      <c r="C7172" s="218" t="s">
        <v>381</v>
      </c>
      <c r="D7172" s="232"/>
      <c r="E7172" s="232"/>
      <c r="F7172" s="232"/>
      <c r="G7172" s="227"/>
      <c r="H7172" s="228"/>
      <c r="I7172" s="206"/>
      <c r="J7172" s="228"/>
      <c r="K7172" s="207"/>
      <c r="L7172" s="257"/>
      <c r="M7172" s="209"/>
      <c r="N7172" s="210"/>
      <c r="O7172" s="198">
        <f>SUM(O7169:O7171)</f>
        <v>0</v>
      </c>
      <c r="P7172" s="166"/>
      <c r="Q7172" s="166"/>
      <c r="R7172" s="71"/>
    </row>
    <row r="7173" spans="1:18" s="61" customFormat="1" x14ac:dyDescent="0.25">
      <c r="A7173" s="358"/>
      <c r="B7173" s="361"/>
      <c r="C7173" s="221" t="s">
        <v>76</v>
      </c>
      <c r="D7173" s="231" t="s">
        <v>49</v>
      </c>
      <c r="E7173" s="231" t="s">
        <v>22</v>
      </c>
      <c r="F7173" s="231" t="s">
        <v>22</v>
      </c>
      <c r="G7173" s="238">
        <f>MROUND(H7173*L7173*I7173/K7173,0.00000000000001)</f>
        <v>0.85050103379469999</v>
      </c>
      <c r="H7173" s="160">
        <f>H6813</f>
        <v>25651</v>
      </c>
      <c r="I7173" s="159">
        <f>I7171</f>
        <v>0.30039917999999999</v>
      </c>
      <c r="J7173" s="160"/>
      <c r="K7173" s="161">
        <f>K7171</f>
        <v>9060</v>
      </c>
      <c r="L7173" s="250">
        <v>1</v>
      </c>
      <c r="M7173" s="163" t="str">
        <f>CONCATENATE(H7173," ",F7173,"*",I7173,"/",K7173,"чел.")</f>
        <v>25651 м2*0,30039918/9060чел.</v>
      </c>
      <c r="N7173" s="164">
        <f>N6813</f>
        <v>2452.3410393356985</v>
      </c>
      <c r="O7173" s="165">
        <f>MROUND(G7173*N7173,0.00000000001)</f>
        <v>2085.7185891721797</v>
      </c>
      <c r="P7173" s="166"/>
      <c r="Q7173" s="166">
        <f t="shared" ref="Q7173:Q7175" si="1999">O7173*K7173</f>
        <v>18896610.417899948</v>
      </c>
      <c r="R7173" s="71"/>
    </row>
    <row r="7174" spans="1:18" s="61" customFormat="1" x14ac:dyDescent="0.25">
      <c r="A7174" s="358"/>
      <c r="B7174" s="361"/>
      <c r="C7174" s="221"/>
      <c r="D7174" s="231" t="s">
        <v>49</v>
      </c>
      <c r="E7174" s="231" t="s">
        <v>28</v>
      </c>
      <c r="F7174" s="231" t="s">
        <v>28</v>
      </c>
      <c r="G7174" s="238">
        <f>MROUND(H7174*L7174*I7174/K7174,0.000000000001)</f>
        <v>6.1903451330999996E-2</v>
      </c>
      <c r="H7174" s="160">
        <f>H6814</f>
        <v>1867</v>
      </c>
      <c r="I7174" s="159">
        <f t="shared" si="1994"/>
        <v>0.30039917999999999</v>
      </c>
      <c r="J7174" s="160"/>
      <c r="K7174" s="161">
        <f>K7173</f>
        <v>9060</v>
      </c>
      <c r="L7174" s="250">
        <v>1</v>
      </c>
      <c r="M7174" s="163" t="str">
        <f>CONCATENATE(H7174," ",F7174,"*",I7174,"/",K7174,"чел.")</f>
        <v>1867 шт*0,30039918/9060чел.</v>
      </c>
      <c r="N7174" s="164">
        <f>N6814</f>
        <v>18299.732190680235</v>
      </c>
      <c r="O7174" s="165">
        <f>MROUND(G7174*N7174,0.00000000001)</f>
        <v>1132.8165810361099</v>
      </c>
      <c r="P7174" s="166"/>
      <c r="Q7174" s="166">
        <f t="shared" si="1999"/>
        <v>10263318.224187156</v>
      </c>
      <c r="R7174" s="71"/>
    </row>
    <row r="7175" spans="1:18" s="61" customFormat="1" x14ac:dyDescent="0.25">
      <c r="A7175" s="358"/>
      <c r="B7175" s="361"/>
      <c r="C7175" s="221"/>
      <c r="D7175" s="231" t="s">
        <v>49</v>
      </c>
      <c r="E7175" s="231" t="s">
        <v>101</v>
      </c>
      <c r="F7175" s="231" t="s">
        <v>101</v>
      </c>
      <c r="G7175" s="238">
        <f>MROUND(H7175*L7175*I7175/K7175,0.000000001)</f>
        <v>2.1220251000000002E-2</v>
      </c>
      <c r="H7175" s="160">
        <f>H6815</f>
        <v>640</v>
      </c>
      <c r="I7175" s="159">
        <f t="shared" si="1994"/>
        <v>0.30039917999999999</v>
      </c>
      <c r="J7175" s="160"/>
      <c r="K7175" s="161">
        <f>K7174</f>
        <v>9060</v>
      </c>
      <c r="L7175" s="250">
        <v>1</v>
      </c>
      <c r="M7175" s="163" t="str">
        <f>CONCATENATE(H7175," ",F7175,"*",I7175,"/",K7175,"чел.")</f>
        <v>640 погон.м.*0,30039918/9060чел.</v>
      </c>
      <c r="N7175" s="164">
        <f>N6815</f>
        <v>4593.75</v>
      </c>
      <c r="O7175" s="165">
        <f>MROUND(G7175*N7175,0.00000001)</f>
        <v>97.480528030000002</v>
      </c>
      <c r="P7175" s="166"/>
      <c r="Q7175" s="166">
        <f t="shared" si="1999"/>
        <v>883173.58395180001</v>
      </c>
      <c r="R7175" s="71"/>
    </row>
    <row r="7176" spans="1:18" s="61" customFormat="1" x14ac:dyDescent="0.25">
      <c r="A7176" s="358"/>
      <c r="B7176" s="361"/>
      <c r="C7176" s="218" t="s">
        <v>302</v>
      </c>
      <c r="D7176" s="232"/>
      <c r="E7176" s="232"/>
      <c r="F7176" s="232"/>
      <c r="G7176" s="227"/>
      <c r="H7176" s="228"/>
      <c r="I7176" s="206"/>
      <c r="J7176" s="228"/>
      <c r="K7176" s="207"/>
      <c r="L7176" s="257"/>
      <c r="M7176" s="209"/>
      <c r="N7176" s="210"/>
      <c r="O7176" s="198">
        <f>SUM(O7173:O7175)</f>
        <v>3316.01569823829</v>
      </c>
      <c r="P7176" s="166"/>
      <c r="Q7176" s="166"/>
      <c r="R7176" s="71"/>
    </row>
    <row r="7177" spans="1:18" s="61" customFormat="1" x14ac:dyDescent="0.25">
      <c r="A7177" s="358"/>
      <c r="B7177" s="361"/>
      <c r="C7177" s="221" t="s">
        <v>77</v>
      </c>
      <c r="D7177" s="231"/>
      <c r="E7177" s="231"/>
      <c r="F7177" s="231"/>
      <c r="G7177" s="238">
        <f>MROUND(H7177*L7177*I7177/K7177,0.00000000001)</f>
        <v>0</v>
      </c>
      <c r="H7177" s="160">
        <f>H6937</f>
        <v>0</v>
      </c>
      <c r="I7177" s="159">
        <f>I7175</f>
        <v>0.30039917999999999</v>
      </c>
      <c r="J7177" s="160"/>
      <c r="K7177" s="161">
        <f>K7175</f>
        <v>9060</v>
      </c>
      <c r="L7177" s="250"/>
      <c r="M7177" s="163"/>
      <c r="N7177" s="164">
        <f>N6937</f>
        <v>0</v>
      </c>
      <c r="O7177" s="165">
        <f>MROUND(G7177*N7177,0.000000001)</f>
        <v>0</v>
      </c>
      <c r="P7177" s="166"/>
      <c r="Q7177" s="166">
        <f t="shared" ref="Q7177" si="2000">O7177*K7177</f>
        <v>0</v>
      </c>
      <c r="R7177" s="71"/>
    </row>
    <row r="7178" spans="1:18" s="61" customFormat="1" x14ac:dyDescent="0.25">
      <c r="A7178" s="358"/>
      <c r="B7178" s="361"/>
      <c r="C7178" s="218" t="s">
        <v>304</v>
      </c>
      <c r="D7178" s="232"/>
      <c r="E7178" s="232"/>
      <c r="F7178" s="232"/>
      <c r="G7178" s="227"/>
      <c r="H7178" s="228"/>
      <c r="I7178" s="206"/>
      <c r="J7178" s="228"/>
      <c r="K7178" s="207"/>
      <c r="L7178" s="257"/>
      <c r="M7178" s="209"/>
      <c r="N7178" s="210"/>
      <c r="O7178" s="198">
        <f>O7177</f>
        <v>0</v>
      </c>
      <c r="P7178" s="166"/>
      <c r="Q7178" s="166"/>
      <c r="R7178" s="71"/>
    </row>
    <row r="7179" spans="1:18" s="61" customFormat="1" x14ac:dyDescent="0.25">
      <c r="A7179" s="358"/>
      <c r="B7179" s="361"/>
      <c r="C7179" s="221"/>
      <c r="D7179" s="350" t="s">
        <v>65</v>
      </c>
      <c r="E7179" s="350"/>
      <c r="F7179" s="350"/>
      <c r="G7179" s="350"/>
      <c r="H7179" s="195"/>
      <c r="I7179" s="159"/>
      <c r="J7179" s="195"/>
      <c r="K7179" s="161"/>
      <c r="L7179" s="196"/>
      <c r="M7179" s="230"/>
      <c r="N7179" s="164"/>
      <c r="O7179" s="165">
        <f t="shared" ref="O7179:O7180" si="2001">MROUND(G7179*N7179,0.000001)</f>
        <v>0</v>
      </c>
      <c r="P7179" s="166"/>
      <c r="Q7179" s="166"/>
      <c r="R7179" s="71"/>
    </row>
    <row r="7180" spans="1:18" s="61" customFormat="1" x14ac:dyDescent="0.25">
      <c r="A7180" s="358"/>
      <c r="B7180" s="361"/>
      <c r="C7180" s="221"/>
      <c r="D7180" s="194"/>
      <c r="E7180" s="194"/>
      <c r="F7180" s="194"/>
      <c r="G7180" s="217"/>
      <c r="H7180" s="195"/>
      <c r="I7180" s="159"/>
      <c r="J7180" s="195"/>
      <c r="K7180" s="161"/>
      <c r="L7180" s="196"/>
      <c r="M7180" s="230"/>
      <c r="N7180" s="164"/>
      <c r="O7180" s="165">
        <f t="shared" si="2001"/>
        <v>0</v>
      </c>
      <c r="P7180" s="166"/>
      <c r="Q7180" s="166"/>
      <c r="R7180" s="71"/>
    </row>
    <row r="7181" spans="1:18" s="61" customFormat="1" x14ac:dyDescent="0.25">
      <c r="A7181" s="358"/>
      <c r="B7181" s="361"/>
      <c r="C7181" s="221" t="s">
        <v>357</v>
      </c>
      <c r="D7181" s="368" t="s">
        <v>66</v>
      </c>
      <c r="E7181" s="368"/>
      <c r="F7181" s="368"/>
      <c r="G7181" s="368"/>
      <c r="H7181" s="195"/>
      <c r="I7181" s="159"/>
      <c r="J7181" s="195"/>
      <c r="K7181" s="161"/>
      <c r="L7181" s="234"/>
      <c r="M7181" s="230"/>
      <c r="N7181" s="164"/>
      <c r="O7181" s="198">
        <f>O7182</f>
        <v>19.462291</v>
      </c>
      <c r="P7181" s="166"/>
      <c r="Q7181" s="166"/>
      <c r="R7181" s="71"/>
    </row>
    <row r="7182" spans="1:18" s="61" customFormat="1" ht="47.25" x14ac:dyDescent="0.25">
      <c r="A7182" s="358"/>
      <c r="B7182" s="361"/>
      <c r="C7182" s="221"/>
      <c r="D7182" s="222" t="s">
        <v>374</v>
      </c>
      <c r="E7182" s="194" t="s">
        <v>28</v>
      </c>
      <c r="F7182" s="194" t="s">
        <v>28</v>
      </c>
      <c r="G7182" s="217">
        <f>MROUND(H7182*L7182*I7182/K7182,0.000000001)</f>
        <v>4.7745570000000005E-3</v>
      </c>
      <c r="H7182" s="201">
        <f>H6822</f>
        <v>36</v>
      </c>
      <c r="I7182" s="159">
        <f>I7177</f>
        <v>0.30039917999999999</v>
      </c>
      <c r="J7182" s="195"/>
      <c r="K7182" s="161">
        <f>K7177</f>
        <v>9060</v>
      </c>
      <c r="L7182" s="235">
        <f>L6822</f>
        <v>4</v>
      </c>
      <c r="M7182" s="163" t="str">
        <f>CONCATENATE(H7182," ",F7182,"*",I7182,"/",K7182,"чел.")</f>
        <v>36 шт*0,30039918/9060чел.</v>
      </c>
      <c r="N7182" s="164">
        <f>N6822</f>
        <v>4076.2506250000024</v>
      </c>
      <c r="O7182" s="165">
        <f>MROUND(G7182*N7182,0.000001)</f>
        <v>19.462291</v>
      </c>
      <c r="P7182" s="166"/>
      <c r="Q7182" s="166">
        <f t="shared" ref="Q7182" si="2002">O7182*K7182</f>
        <v>176328.35646000001</v>
      </c>
      <c r="R7182" s="71"/>
    </row>
    <row r="7183" spans="1:18" s="61" customFormat="1" x14ac:dyDescent="0.25">
      <c r="A7183" s="358"/>
      <c r="B7183" s="361"/>
      <c r="C7183" s="221"/>
      <c r="D7183" s="368" t="s">
        <v>67</v>
      </c>
      <c r="E7183" s="368"/>
      <c r="F7183" s="368"/>
      <c r="G7183" s="368"/>
      <c r="H7183" s="195"/>
      <c r="I7183" s="159"/>
      <c r="J7183" s="195"/>
      <c r="K7183" s="161"/>
      <c r="L7183" s="196"/>
      <c r="M7183" s="230"/>
      <c r="N7183" s="164"/>
      <c r="O7183" s="165">
        <f t="shared" ref="O7183:O7186" si="2003">MROUND(G7183*N7183,0.000001)</f>
        <v>0</v>
      </c>
      <c r="P7183" s="166"/>
      <c r="Q7183" s="166"/>
      <c r="R7183" s="71"/>
    </row>
    <row r="7184" spans="1:18" s="61" customFormat="1" x14ac:dyDescent="0.25">
      <c r="A7184" s="358"/>
      <c r="B7184" s="361"/>
      <c r="C7184" s="221"/>
      <c r="D7184" s="194"/>
      <c r="E7184" s="194"/>
      <c r="F7184" s="194"/>
      <c r="G7184" s="217"/>
      <c r="H7184" s="195"/>
      <c r="I7184" s="159"/>
      <c r="J7184" s="195"/>
      <c r="K7184" s="161"/>
      <c r="L7184" s="196"/>
      <c r="M7184" s="230"/>
      <c r="N7184" s="164"/>
      <c r="O7184" s="165">
        <f t="shared" si="2003"/>
        <v>0</v>
      </c>
      <c r="P7184" s="166"/>
      <c r="Q7184" s="166"/>
      <c r="R7184" s="71"/>
    </row>
    <row r="7185" spans="1:41" s="61" customFormat="1" x14ac:dyDescent="0.25">
      <c r="A7185" s="358"/>
      <c r="B7185" s="361"/>
      <c r="C7185" s="221"/>
      <c r="D7185" s="350" t="s">
        <v>68</v>
      </c>
      <c r="E7185" s="350"/>
      <c r="F7185" s="350"/>
      <c r="G7185" s="350"/>
      <c r="H7185" s="195"/>
      <c r="I7185" s="159"/>
      <c r="J7185" s="195"/>
      <c r="K7185" s="161"/>
      <c r="L7185" s="196"/>
      <c r="M7185" s="230"/>
      <c r="N7185" s="164"/>
      <c r="O7185" s="165">
        <f t="shared" si="2003"/>
        <v>0</v>
      </c>
      <c r="P7185" s="166"/>
      <c r="Q7185" s="166"/>
      <c r="R7185" s="71"/>
    </row>
    <row r="7186" spans="1:41" s="61" customFormat="1" x14ac:dyDescent="0.25">
      <c r="A7186" s="358"/>
      <c r="B7186" s="361"/>
      <c r="C7186" s="221"/>
      <c r="D7186" s="156"/>
      <c r="E7186" s="156"/>
      <c r="F7186" s="156"/>
      <c r="G7186" s="236"/>
      <c r="H7186" s="195"/>
      <c r="I7186" s="159"/>
      <c r="J7186" s="195"/>
      <c r="K7186" s="161"/>
      <c r="L7186" s="196"/>
      <c r="M7186" s="230"/>
      <c r="N7186" s="164"/>
      <c r="O7186" s="165">
        <f t="shared" si="2003"/>
        <v>0</v>
      </c>
      <c r="P7186" s="166"/>
      <c r="Q7186" s="166"/>
      <c r="R7186" s="71"/>
    </row>
    <row r="7187" spans="1:41" s="61" customFormat="1" x14ac:dyDescent="0.25">
      <c r="A7187" s="358"/>
      <c r="B7187" s="361"/>
      <c r="C7187" s="221"/>
      <c r="D7187" s="368" t="s">
        <v>69</v>
      </c>
      <c r="E7187" s="368"/>
      <c r="F7187" s="368"/>
      <c r="G7187" s="368"/>
      <c r="H7187" s="187"/>
      <c r="I7187" s="159"/>
      <c r="J7187" s="187"/>
      <c r="K7187" s="161"/>
      <c r="L7187" s="276"/>
      <c r="M7187" s="230"/>
      <c r="N7187" s="164"/>
      <c r="O7187" s="198">
        <f>O7189+O7196+O7213+O7215+O7230+O7232+O7234+O7259+O7261+O7266+O7263</f>
        <v>749.20159864999994</v>
      </c>
      <c r="P7187" s="166"/>
      <c r="Q7187" s="166"/>
      <c r="R7187" s="71"/>
    </row>
    <row r="7188" spans="1:41" s="61" customFormat="1" x14ac:dyDescent="0.25">
      <c r="A7188" s="358"/>
      <c r="B7188" s="361"/>
      <c r="C7188" s="221">
        <v>224</v>
      </c>
      <c r="D7188" s="156" t="s">
        <v>21</v>
      </c>
      <c r="E7188" s="156" t="s">
        <v>22</v>
      </c>
      <c r="F7188" s="156" t="s">
        <v>22</v>
      </c>
      <c r="G7188" s="238">
        <f>MROUND(H7188*L7188*I7188/K7188,0.000001)</f>
        <v>0</v>
      </c>
      <c r="H7188" s="158"/>
      <c r="I7188" s="159">
        <f>I7182</f>
        <v>0.30039917999999999</v>
      </c>
      <c r="J7188" s="160"/>
      <c r="K7188" s="161">
        <f>K7182</f>
        <v>9060</v>
      </c>
      <c r="L7188" s="250"/>
      <c r="M7188" s="163"/>
      <c r="N7188" s="164"/>
      <c r="O7188" s="165">
        <f>MROUND(G7188*N7188,0.000001)</f>
        <v>0</v>
      </c>
      <c r="P7188" s="166"/>
      <c r="Q7188" s="166">
        <f t="shared" ref="Q7188" si="2004">O7188*K7188</f>
        <v>0</v>
      </c>
      <c r="R7188" s="71"/>
    </row>
    <row r="7189" spans="1:41" s="61" customFormat="1" x14ac:dyDescent="0.25">
      <c r="A7189" s="358"/>
      <c r="B7189" s="361"/>
      <c r="C7189" s="218" t="s">
        <v>293</v>
      </c>
      <c r="D7189" s="240"/>
      <c r="E7189" s="240"/>
      <c r="F7189" s="240"/>
      <c r="G7189" s="227"/>
      <c r="H7189" s="241"/>
      <c r="I7189" s="206"/>
      <c r="J7189" s="228"/>
      <c r="K7189" s="207"/>
      <c r="L7189" s="257"/>
      <c r="M7189" s="209"/>
      <c r="N7189" s="210"/>
      <c r="O7189" s="198">
        <f>SUM(O7188)</f>
        <v>0</v>
      </c>
      <c r="P7189" s="166"/>
      <c r="Q7189" s="166"/>
      <c r="R7189" s="71"/>
    </row>
    <row r="7190" spans="1:41" s="61" customFormat="1" ht="31.5" x14ac:dyDescent="0.25">
      <c r="A7190" s="358"/>
      <c r="B7190" s="361"/>
      <c r="C7190" s="364" t="s">
        <v>78</v>
      </c>
      <c r="D7190" s="156" t="s">
        <v>26</v>
      </c>
      <c r="E7190" s="156" t="s">
        <v>22</v>
      </c>
      <c r="F7190" s="156" t="s">
        <v>22</v>
      </c>
      <c r="G7190" s="238">
        <f>MROUND(H7190*L7190*I7190/K7190,0.000001)</f>
        <v>10.281212</v>
      </c>
      <c r="H7190" s="158">
        <f>H6830</f>
        <v>25840</v>
      </c>
      <c r="I7190" s="159">
        <f>I7188</f>
        <v>0.30039917999999999</v>
      </c>
      <c r="J7190" s="160"/>
      <c r="K7190" s="161">
        <f>K7188</f>
        <v>9060</v>
      </c>
      <c r="L7190" s="250">
        <v>12</v>
      </c>
      <c r="M7190" s="163" t="str">
        <f>CONCATENATE(H7190," ",F7190,"(обрабатываемая площадь в мес.)","*",L7190,"мес.","*",I7190,"/",K7190,"чел.")</f>
        <v>25840 м2(обрабатываемая площадь в мес.)*12мес.*0,30039918/9060чел.</v>
      </c>
      <c r="N7190" s="164">
        <f>N6830</f>
        <v>1.2568903508771934</v>
      </c>
      <c r="O7190" s="165">
        <f t="shared" ref="O7190:O7195" si="2005">MROUND(G7190*N7190,0.000001)</f>
        <v>12.922355999999999</v>
      </c>
      <c r="P7190" s="166"/>
      <c r="Q7190" s="166">
        <f t="shared" ref="Q7190:Q7195" si="2006">O7190*K7190</f>
        <v>117076.54535999999</v>
      </c>
      <c r="R7190" s="71"/>
    </row>
    <row r="7191" spans="1:41" s="61" customFormat="1" ht="31.5" x14ac:dyDescent="0.25">
      <c r="A7191" s="358"/>
      <c r="B7191" s="361"/>
      <c r="C7191" s="364"/>
      <c r="D7191" s="156" t="s">
        <v>96</v>
      </c>
      <c r="E7191" s="156" t="s">
        <v>22</v>
      </c>
      <c r="F7191" s="156" t="s">
        <v>22</v>
      </c>
      <c r="G7191" s="238">
        <f>MROUND(H7191*L7191*I7191/K7191,0.000001)</f>
        <v>5.3216409999999996</v>
      </c>
      <c r="H7191" s="158">
        <f>H6831</f>
        <v>13375</v>
      </c>
      <c r="I7191" s="159">
        <f t="shared" si="1994"/>
        <v>0.30039917999999999</v>
      </c>
      <c r="J7191" s="160"/>
      <c r="K7191" s="161">
        <f>K7190</f>
        <v>9060</v>
      </c>
      <c r="L7191" s="250">
        <v>12</v>
      </c>
      <c r="M7191" s="163" t="str">
        <f>CONCATENATE(H7191," ",F7191,"(обрабатываемая площадь в мес.)","*",L7191,"мес.","*",I7191,"/",K7191,"чел.")</f>
        <v>13375 м2(обрабатываемая площадь в мес.)*12мес.*0,30039918/9060чел.</v>
      </c>
      <c r="N7191" s="164">
        <f>N6831</f>
        <v>2.0157672274143299</v>
      </c>
      <c r="O7191" s="165">
        <f t="shared" si="2005"/>
        <v>10.72719</v>
      </c>
      <c r="P7191" s="166"/>
      <c r="Q7191" s="166">
        <f t="shared" si="2006"/>
        <v>97188.341400000005</v>
      </c>
      <c r="R7191" s="71"/>
    </row>
    <row r="7192" spans="1:41" s="135" customFormat="1" ht="31.5" x14ac:dyDescent="0.25">
      <c r="A7192" s="358"/>
      <c r="B7192" s="361"/>
      <c r="C7192" s="364"/>
      <c r="D7192" s="156" t="s">
        <v>385</v>
      </c>
      <c r="E7192" s="156" t="s">
        <v>22</v>
      </c>
      <c r="F7192" s="156" t="s">
        <v>22</v>
      </c>
      <c r="G7192" s="238">
        <f>MROUND(H7192*L7192*I7192/K7192,0.000001)</f>
        <v>10.643281999999999</v>
      </c>
      <c r="H7192" s="242">
        <f>$H$55</f>
        <v>13375</v>
      </c>
      <c r="I7192" s="159">
        <f t="shared" si="1994"/>
        <v>0.30039917999999999</v>
      </c>
      <c r="J7192" s="160"/>
      <c r="K7192" s="161">
        <f>K7191</f>
        <v>9060</v>
      </c>
      <c r="L7192" s="162">
        <v>24</v>
      </c>
      <c r="M7192" s="163" t="str">
        <f>CONCATENATE(H7192," ",F7192,"(обрабатываемая площадь в год)","*",L7192," раза в год.","*",I7192,"/",K7192,"чел.")</f>
        <v>13375 м2(обрабатываемая площадь в год)*24 раза в год.*0,30039918/9060чел.</v>
      </c>
      <c r="N7192" s="164">
        <f>$N$6832</f>
        <v>2.4900656074766365</v>
      </c>
      <c r="O7192" s="165">
        <f t="shared" si="2005"/>
        <v>26.502469999999999</v>
      </c>
      <c r="P7192" s="166"/>
      <c r="Q7192" s="166">
        <f t="shared" si="2006"/>
        <v>240112.37819999998</v>
      </c>
      <c r="R7192" s="71"/>
      <c r="S7192" s="61"/>
      <c r="T7192" s="61"/>
      <c r="U7192" s="61"/>
      <c r="V7192" s="61"/>
      <c r="W7192" s="61"/>
      <c r="X7192" s="61"/>
      <c r="Y7192" s="61"/>
      <c r="Z7192" s="61"/>
      <c r="AA7192" s="61"/>
      <c r="AB7192" s="61"/>
      <c r="AC7192" s="61"/>
      <c r="AD7192" s="61"/>
      <c r="AE7192" s="61"/>
      <c r="AF7192" s="61"/>
      <c r="AG7192" s="61"/>
      <c r="AH7192" s="61"/>
      <c r="AI7192" s="61"/>
      <c r="AJ7192" s="61"/>
      <c r="AK7192" s="61"/>
      <c r="AL7192" s="61"/>
      <c r="AM7192" s="61"/>
      <c r="AN7192" s="61"/>
      <c r="AO7192" s="61"/>
    </row>
    <row r="7193" spans="1:41" s="135" customFormat="1" ht="31.5" x14ac:dyDescent="0.25">
      <c r="A7193" s="358"/>
      <c r="B7193" s="361"/>
      <c r="C7193" s="364"/>
      <c r="D7193" s="156" t="s">
        <v>394</v>
      </c>
      <c r="E7193" s="156" t="s">
        <v>22</v>
      </c>
      <c r="F7193" s="156" t="s">
        <v>22</v>
      </c>
      <c r="G7193" s="238">
        <f>MROUND(H7193*L7193*I7193/K7193,0.000001)</f>
        <v>10.281212</v>
      </c>
      <c r="H7193" s="243">
        <f>$H$56</f>
        <v>25840</v>
      </c>
      <c r="I7193" s="159">
        <f t="shared" si="1994"/>
        <v>0.30039917999999999</v>
      </c>
      <c r="J7193" s="160"/>
      <c r="K7193" s="161">
        <f>K7192</f>
        <v>9060</v>
      </c>
      <c r="L7193" s="162">
        <v>12</v>
      </c>
      <c r="M7193" s="163" t="str">
        <f>CONCATENATE(H7193," ",F7193,"(обрабатываемая площадь в мес.)","*",L7193,"мес.","*",I7193,"/",K7193,"чел.")</f>
        <v>25840 м2(обрабатываемая площадь в мес.)*12мес.*0,30039918/9060чел.</v>
      </c>
      <c r="N7193" s="164">
        <f>$N$6833</f>
        <v>0.59287277476780176</v>
      </c>
      <c r="O7193" s="165">
        <f t="shared" si="2005"/>
        <v>6.0954509999999997</v>
      </c>
      <c r="P7193" s="166"/>
      <c r="Q7193" s="166">
        <f t="shared" si="2006"/>
        <v>55224.786059999999</v>
      </c>
      <c r="R7193" s="71"/>
      <c r="S7193" s="61"/>
      <c r="T7193" s="61"/>
      <c r="U7193" s="61"/>
      <c r="V7193" s="61"/>
      <c r="W7193" s="61"/>
      <c r="X7193" s="61"/>
      <c r="Y7193" s="61"/>
      <c r="Z7193" s="61"/>
      <c r="AA7193" s="61"/>
      <c r="AB7193" s="61"/>
      <c r="AC7193" s="61"/>
      <c r="AD7193" s="61"/>
      <c r="AE7193" s="61"/>
      <c r="AF7193" s="61"/>
      <c r="AG7193" s="61"/>
      <c r="AH7193" s="61"/>
      <c r="AI7193" s="61"/>
      <c r="AJ7193" s="61"/>
      <c r="AK7193" s="61"/>
      <c r="AL7193" s="61"/>
      <c r="AM7193" s="61"/>
      <c r="AN7193" s="61"/>
      <c r="AO7193" s="61"/>
    </row>
    <row r="7194" spans="1:41" s="135" customFormat="1" ht="31.5" x14ac:dyDescent="0.25">
      <c r="A7194" s="358"/>
      <c r="B7194" s="361"/>
      <c r="C7194" s="364"/>
      <c r="D7194" s="156" t="s">
        <v>395</v>
      </c>
      <c r="E7194" s="156" t="s">
        <v>98</v>
      </c>
      <c r="F7194" s="156" t="s">
        <v>98</v>
      </c>
      <c r="G7194" s="238">
        <f>MROUND(H7194*L7194*I7194/K7194,0.000000001)</f>
        <v>6.2798699999999999E-4</v>
      </c>
      <c r="H7194" s="242">
        <f>$H$57</f>
        <v>18.939999999999998</v>
      </c>
      <c r="I7194" s="159">
        <f t="shared" si="1994"/>
        <v>0.30039917999999999</v>
      </c>
      <c r="J7194" s="160"/>
      <c r="K7194" s="161">
        <f>K7193</f>
        <v>9060</v>
      </c>
      <c r="L7194" s="162">
        <v>1</v>
      </c>
      <c r="M7194" s="163" t="str">
        <f>CONCATENATE(H7194," ",F7194,"(обрабатываемая площадь в год)","*",L7194," раз в год","*",I7194,"/",K7194,"чел.")</f>
        <v>18,94 Га(обрабатываемая площадь в год)*1 раз в год*0,30039918/9060чел.</v>
      </c>
      <c r="N7194" s="164">
        <f>$N$6834</f>
        <v>592.87803590285125</v>
      </c>
      <c r="O7194" s="165">
        <f t="shared" si="2005"/>
        <v>0.37231999999999998</v>
      </c>
      <c r="P7194" s="166"/>
      <c r="Q7194" s="166">
        <f t="shared" si="2006"/>
        <v>3373.2192</v>
      </c>
      <c r="R7194" s="71"/>
      <c r="S7194" s="61"/>
      <c r="T7194" s="61"/>
      <c r="U7194" s="61"/>
      <c r="V7194" s="61"/>
      <c r="W7194" s="61"/>
      <c r="X7194" s="61"/>
      <c r="Y7194" s="61"/>
      <c r="Z7194" s="61"/>
      <c r="AA7194" s="61"/>
      <c r="AB7194" s="61"/>
      <c r="AC7194" s="61"/>
      <c r="AD7194" s="61"/>
      <c r="AE7194" s="61"/>
      <c r="AF7194" s="61"/>
      <c r="AG7194" s="61"/>
      <c r="AH7194" s="61"/>
      <c r="AI7194" s="61"/>
      <c r="AJ7194" s="61"/>
      <c r="AK7194" s="61"/>
      <c r="AL7194" s="61"/>
      <c r="AM7194" s="61"/>
      <c r="AN7194" s="61"/>
      <c r="AO7194" s="61"/>
    </row>
    <row r="7195" spans="1:41" s="61" customFormat="1" ht="31.5" x14ac:dyDescent="0.25">
      <c r="A7195" s="358"/>
      <c r="B7195" s="361"/>
      <c r="C7195" s="364"/>
      <c r="D7195" s="156" t="s">
        <v>97</v>
      </c>
      <c r="E7195" s="156" t="s">
        <v>98</v>
      </c>
      <c r="F7195" s="156" t="s">
        <v>98</v>
      </c>
      <c r="G7195" s="238">
        <f>MROUND(H7195*L7195*I7195/K7195,0.000000001)</f>
        <v>6.2798699999999999E-4</v>
      </c>
      <c r="H7195" s="242">
        <f>H6835</f>
        <v>18.939999999999998</v>
      </c>
      <c r="I7195" s="244">
        <f>I7191</f>
        <v>0.30039917999999999</v>
      </c>
      <c r="J7195" s="160"/>
      <c r="K7195" s="161">
        <f>K7191</f>
        <v>9060</v>
      </c>
      <c r="L7195" s="250">
        <v>1</v>
      </c>
      <c r="M7195" s="163" t="str">
        <f>CONCATENATE(H7195," ",F7195,"(обрабатываемая площадь в мес.)","*",L7195,"мес.","*",I7195,"/",K7195,"чел.")</f>
        <v>18,94 Га(обрабатываемая площадь в мес.)*1мес.*0,30039918/9060чел.</v>
      </c>
      <c r="N7195" s="164">
        <f>N6835</f>
        <v>3226.5021119324188</v>
      </c>
      <c r="O7195" s="165">
        <f t="shared" si="2005"/>
        <v>2.0262009999999999</v>
      </c>
      <c r="P7195" s="166"/>
      <c r="Q7195" s="166">
        <f t="shared" si="2006"/>
        <v>18357.38106</v>
      </c>
      <c r="R7195" s="71"/>
    </row>
    <row r="7196" spans="1:41" s="61" customFormat="1" x14ac:dyDescent="0.25">
      <c r="A7196" s="358"/>
      <c r="B7196" s="361"/>
      <c r="C7196" s="245" t="s">
        <v>303</v>
      </c>
      <c r="D7196" s="240"/>
      <c r="E7196" s="240"/>
      <c r="F7196" s="240"/>
      <c r="G7196" s="227"/>
      <c r="H7196" s="241"/>
      <c r="I7196" s="206"/>
      <c r="J7196" s="228"/>
      <c r="K7196" s="207"/>
      <c r="L7196" s="257"/>
      <c r="M7196" s="209"/>
      <c r="N7196" s="210"/>
      <c r="O7196" s="198">
        <f>SUM(O7190:O7195)</f>
        <v>58.645988000000003</v>
      </c>
      <c r="P7196" s="166"/>
      <c r="Q7196" s="166"/>
      <c r="R7196" s="71"/>
    </row>
    <row r="7197" spans="1:41" s="61" customFormat="1" ht="63" x14ac:dyDescent="0.25">
      <c r="A7197" s="358"/>
      <c r="B7197" s="361"/>
      <c r="C7197" s="365" t="s">
        <v>77</v>
      </c>
      <c r="D7197" s="156" t="s">
        <v>29</v>
      </c>
      <c r="E7197" s="156" t="s">
        <v>58</v>
      </c>
      <c r="F7197" s="156" t="s">
        <v>218</v>
      </c>
      <c r="G7197" s="238">
        <f>MROUND(H7197*L7197*I7197/K7197,0.00000001)</f>
        <v>1.9894000000000001E-3</v>
      </c>
      <c r="H7197" s="158">
        <v>15</v>
      </c>
      <c r="I7197" s="159">
        <f>I7195</f>
        <v>0.30039917999999999</v>
      </c>
      <c r="J7197" s="160"/>
      <c r="K7197" s="161">
        <f>K7195</f>
        <v>9060</v>
      </c>
      <c r="L7197" s="162">
        <v>4</v>
      </c>
      <c r="M7197" s="163" t="str">
        <f>CONCATENATE(H7197," ",F7197,"*",L7197," раза в год","*",I7197,"/",K7197,"чел.")</f>
        <v>15 установок*4 раза в год*0,30039918/9060чел.</v>
      </c>
      <c r="N7197" s="164">
        <f t="shared" ref="N7197:N7210" si="2007">N6837</f>
        <v>2355.4600000000005</v>
      </c>
      <c r="O7197" s="165">
        <f t="shared" ref="O7197:O7205" si="2008">MROUND(G7197*N7197,0.000001)</f>
        <v>4.6859519999999995</v>
      </c>
      <c r="P7197" s="166"/>
      <c r="Q7197" s="166">
        <f t="shared" ref="Q7197:Q7212" si="2009">O7197*K7197</f>
        <v>42454.725119999996</v>
      </c>
      <c r="R7197" s="71"/>
    </row>
    <row r="7198" spans="1:41" s="61" customFormat="1" ht="47.25" x14ac:dyDescent="0.25">
      <c r="A7198" s="358"/>
      <c r="B7198" s="361"/>
      <c r="C7198" s="366"/>
      <c r="D7198" s="156" t="s">
        <v>30</v>
      </c>
      <c r="E7198" s="156" t="s">
        <v>58</v>
      </c>
      <c r="F7198" s="156" t="s">
        <v>218</v>
      </c>
      <c r="G7198" s="238">
        <f>MROUND(H7198*L7198*I7198/K7198,0.00000001)</f>
        <v>9.9470000000000005E-4</v>
      </c>
      <c r="H7198" s="158">
        <v>15</v>
      </c>
      <c r="I7198" s="159">
        <f t="shared" si="1994"/>
        <v>0.30039917999999999</v>
      </c>
      <c r="J7198" s="160"/>
      <c r="K7198" s="161">
        <f t="shared" ref="K7198:K7206" si="2010">K7197</f>
        <v>9060</v>
      </c>
      <c r="L7198" s="250">
        <v>2</v>
      </c>
      <c r="M7198" s="163" t="str">
        <f>CONCATENATE(H7198," ",F7198,"*",L7198,"полуг.","*",I7198,"/",K7198,"чел.")</f>
        <v>15 установок*2полуг.*0,30039918/9060чел.</v>
      </c>
      <c r="N7198" s="164">
        <f t="shared" si="2007"/>
        <v>4710.920000000001</v>
      </c>
      <c r="O7198" s="165">
        <f t="shared" si="2008"/>
        <v>4.6859519999999995</v>
      </c>
      <c r="P7198" s="166"/>
      <c r="Q7198" s="166">
        <f t="shared" si="2009"/>
        <v>42454.725119999996</v>
      </c>
      <c r="R7198" s="71"/>
    </row>
    <row r="7199" spans="1:41" s="61" customFormat="1" x14ac:dyDescent="0.25">
      <c r="A7199" s="358"/>
      <c r="B7199" s="361"/>
      <c r="C7199" s="366"/>
      <c r="D7199" s="156" t="s">
        <v>397</v>
      </c>
      <c r="E7199" s="156" t="s">
        <v>433</v>
      </c>
      <c r="F7199" s="156" t="s">
        <v>433</v>
      </c>
      <c r="G7199" s="238">
        <f>MROUND(H7199*L7199*I7199/K7199,0.000001)</f>
        <v>0</v>
      </c>
      <c r="H7199" s="158">
        <f>H6839</f>
        <v>0</v>
      </c>
      <c r="I7199" s="159">
        <f t="shared" si="1994"/>
        <v>0.30039917999999999</v>
      </c>
      <c r="J7199" s="160"/>
      <c r="K7199" s="161">
        <f t="shared" si="2010"/>
        <v>9060</v>
      </c>
      <c r="L7199" s="162">
        <v>1</v>
      </c>
      <c r="M7199" s="163"/>
      <c r="N7199" s="164">
        <f t="shared" si="2007"/>
        <v>0</v>
      </c>
      <c r="O7199" s="165">
        <f t="shared" si="2008"/>
        <v>0</v>
      </c>
      <c r="P7199" s="166"/>
      <c r="Q7199" s="166">
        <f t="shared" si="2009"/>
        <v>0</v>
      </c>
      <c r="R7199" s="71"/>
    </row>
    <row r="7200" spans="1:41" s="61" customFormat="1" ht="47.25" x14ac:dyDescent="0.25">
      <c r="A7200" s="358"/>
      <c r="B7200" s="361"/>
      <c r="C7200" s="366"/>
      <c r="D7200" s="156" t="s">
        <v>32</v>
      </c>
      <c r="E7200" s="156" t="s">
        <v>55</v>
      </c>
      <c r="F7200" s="156" t="s">
        <v>219</v>
      </c>
      <c r="G7200" s="238">
        <f>MROUND(H7200*L7200*I7200/K7200,0.000000001)</f>
        <v>4.7745570000000005E-3</v>
      </c>
      <c r="H7200" s="158">
        <f>H6840</f>
        <v>36</v>
      </c>
      <c r="I7200" s="159">
        <f>I7199</f>
        <v>0.30039917999999999</v>
      </c>
      <c r="J7200" s="160"/>
      <c r="K7200" s="161">
        <f t="shared" si="2010"/>
        <v>9060</v>
      </c>
      <c r="L7200" s="250">
        <v>4</v>
      </c>
      <c r="M7200" s="163" t="str">
        <f>CONCATENATE(H7200," ",F7200,"*",L7200,"кв.","*",I7200,"/",K7200,"чел.")</f>
        <v>36 системы*4кв.*0,30039918/9060чел.</v>
      </c>
      <c r="N7200" s="164">
        <f t="shared" si="2007"/>
        <v>7532.7785416666693</v>
      </c>
      <c r="O7200" s="165">
        <f t="shared" si="2008"/>
        <v>35.965680999999996</v>
      </c>
      <c r="P7200" s="166"/>
      <c r="Q7200" s="166">
        <f t="shared" si="2009"/>
        <v>325849.06985999999</v>
      </c>
      <c r="R7200" s="71"/>
    </row>
    <row r="7201" spans="1:18" s="61" customFormat="1" ht="63" x14ac:dyDescent="0.25">
      <c r="A7201" s="358"/>
      <c r="B7201" s="361"/>
      <c r="C7201" s="366"/>
      <c r="D7201" s="156" t="s">
        <v>33</v>
      </c>
      <c r="E7201" s="156" t="s">
        <v>56</v>
      </c>
      <c r="F7201" s="156" t="s">
        <v>220</v>
      </c>
      <c r="G7201" s="238">
        <f>MROUND(H7201*L7201*I7201/K7201,0.000000001)</f>
        <v>1.193639E-3</v>
      </c>
      <c r="H7201" s="158">
        <f>$H$64</f>
        <v>36</v>
      </c>
      <c r="I7201" s="159">
        <f>I7200</f>
        <v>0.30039917999999999</v>
      </c>
      <c r="J7201" s="160"/>
      <c r="K7201" s="161">
        <f t="shared" si="2010"/>
        <v>9060</v>
      </c>
      <c r="L7201" s="162">
        <v>1</v>
      </c>
      <c r="M7201" s="163" t="str">
        <f>CONCATENATE(H7201," ",F7201,"*",L7201," раз в год","*",I7201,"/",K7201,"чел.")</f>
        <v>36 дымоходов*1 раз в год*0,30039918/9060чел.</v>
      </c>
      <c r="N7201" s="164">
        <f t="shared" si="2007"/>
        <v>7312.0941666666668</v>
      </c>
      <c r="O7201" s="165">
        <f t="shared" si="2008"/>
        <v>8.728000999999999</v>
      </c>
      <c r="P7201" s="166"/>
      <c r="Q7201" s="166">
        <f t="shared" si="2009"/>
        <v>79075.68905999999</v>
      </c>
      <c r="R7201" s="71"/>
    </row>
    <row r="7202" spans="1:18" s="61" customFormat="1" x14ac:dyDescent="0.25">
      <c r="A7202" s="358"/>
      <c r="B7202" s="361"/>
      <c r="C7202" s="366"/>
      <c r="D7202" s="194" t="s">
        <v>398</v>
      </c>
      <c r="E7202" s="156" t="s">
        <v>60</v>
      </c>
      <c r="F7202" s="156" t="s">
        <v>60</v>
      </c>
      <c r="G7202" s="238">
        <f>MROUND(H7202*L7202*I7202/K7202,0.000000001)</f>
        <v>1.160482E-3</v>
      </c>
      <c r="H7202" s="246">
        <f t="shared" ref="H7202:H7212" si="2011">H6842</f>
        <v>35</v>
      </c>
      <c r="I7202" s="159">
        <f t="shared" si="1994"/>
        <v>0.30039917999999999</v>
      </c>
      <c r="J7202" s="160"/>
      <c r="K7202" s="161">
        <f t="shared" si="2010"/>
        <v>9060</v>
      </c>
      <c r="L7202" s="250">
        <v>1</v>
      </c>
      <c r="M7202" s="163" t="str">
        <f>CONCATENATE(H7202," ",F7202,"*",I7202,"/",K7202,"чел.")</f>
        <v>35 шт.*0,30039918/9060чел.</v>
      </c>
      <c r="N7202" s="164">
        <f t="shared" si="2007"/>
        <v>12660.374571428585</v>
      </c>
      <c r="O7202" s="165">
        <f t="shared" si="2008"/>
        <v>14.692136999999999</v>
      </c>
      <c r="P7202" s="166"/>
      <c r="Q7202" s="166">
        <f t="shared" si="2009"/>
        <v>133110.76121999999</v>
      </c>
      <c r="R7202" s="71"/>
    </row>
    <row r="7203" spans="1:18" s="61" customFormat="1" ht="47.25" x14ac:dyDescent="0.25">
      <c r="A7203" s="358"/>
      <c r="B7203" s="361"/>
      <c r="C7203" s="366"/>
      <c r="D7203" s="156" t="s">
        <v>401</v>
      </c>
      <c r="E7203" s="156" t="s">
        <v>60</v>
      </c>
      <c r="F7203" s="156" t="s">
        <v>402</v>
      </c>
      <c r="G7203" s="238">
        <f>MROUND(H7203*L7203*I7203/K7203,0.000001)</f>
        <v>2.3209999999999997E-3</v>
      </c>
      <c r="H7203" s="246">
        <f t="shared" si="2011"/>
        <v>35</v>
      </c>
      <c r="I7203" s="159">
        <f t="shared" si="1994"/>
        <v>0.30039917999999999</v>
      </c>
      <c r="J7203" s="160"/>
      <c r="K7203" s="161">
        <f t="shared" si="2010"/>
        <v>9060</v>
      </c>
      <c r="L7203" s="162">
        <v>2</v>
      </c>
      <c r="M7203" s="163" t="str">
        <f>CONCATENATE(H7203," ",F7203,"*",L7203," раз в год","*",I7203,"/",K7203,"чел.")</f>
        <v>35 противопожарных водопроводов*2 раз в год*0,30039918/9060чел.</v>
      </c>
      <c r="N7203" s="164">
        <f t="shared" si="2007"/>
        <v>5928.7300000000032</v>
      </c>
      <c r="O7203" s="165">
        <f t="shared" si="2008"/>
        <v>13.760581999999999</v>
      </c>
      <c r="P7203" s="166"/>
      <c r="Q7203" s="166">
        <f t="shared" si="2009"/>
        <v>124670.87291999999</v>
      </c>
      <c r="R7203" s="71"/>
    </row>
    <row r="7204" spans="1:18" s="61" customFormat="1" ht="31.5" x14ac:dyDescent="0.25">
      <c r="A7204" s="358"/>
      <c r="B7204" s="361"/>
      <c r="C7204" s="366"/>
      <c r="D7204" s="156" t="s">
        <v>221</v>
      </c>
      <c r="E7204" s="156" t="s">
        <v>60</v>
      </c>
      <c r="F7204" s="156" t="s">
        <v>60</v>
      </c>
      <c r="G7204" s="238">
        <f>MROUND(H7204*L7204*I7204/K7204,0.00000001)</f>
        <v>7.1618300000000001E-3</v>
      </c>
      <c r="H7204" s="158">
        <f t="shared" si="2011"/>
        <v>18</v>
      </c>
      <c r="I7204" s="159">
        <f t="shared" si="1994"/>
        <v>0.30039917999999999</v>
      </c>
      <c r="J7204" s="160"/>
      <c r="K7204" s="161">
        <f t="shared" si="2010"/>
        <v>9060</v>
      </c>
      <c r="L7204" s="250">
        <v>12</v>
      </c>
      <c r="M7204" s="163" t="str">
        <f>CONCATENATE(H7204," ",F7204,"*",L7204,"мес.","*",I7204,"/",K7204,"чел.")</f>
        <v>18 шт.*12мес.*0,30039918/9060чел.</v>
      </c>
      <c r="N7204" s="164">
        <f t="shared" si="2007"/>
        <v>6840.4345833333346</v>
      </c>
      <c r="O7204" s="165">
        <f t="shared" si="2008"/>
        <v>48.990029999999997</v>
      </c>
      <c r="P7204" s="166"/>
      <c r="Q7204" s="166">
        <f t="shared" si="2009"/>
        <v>443849.67179999995</v>
      </c>
      <c r="R7204" s="71"/>
    </row>
    <row r="7205" spans="1:18" s="61" customFormat="1" ht="47.25" x14ac:dyDescent="0.25">
      <c r="A7205" s="358"/>
      <c r="B7205" s="361"/>
      <c r="C7205" s="366"/>
      <c r="D7205" s="156" t="s">
        <v>34</v>
      </c>
      <c r="E7205" s="156" t="s">
        <v>59</v>
      </c>
      <c r="F7205" s="156" t="s">
        <v>28</v>
      </c>
      <c r="G7205" s="238">
        <f>MROUND(H7205*L7205*I7205/K7205,0.000000001)</f>
        <v>6.6313E-5</v>
      </c>
      <c r="H7205" s="158">
        <f t="shared" si="2011"/>
        <v>2</v>
      </c>
      <c r="I7205" s="159">
        <f t="shared" si="1994"/>
        <v>0.30039917999999999</v>
      </c>
      <c r="J7205" s="160"/>
      <c r="K7205" s="161">
        <f t="shared" si="2010"/>
        <v>9060</v>
      </c>
      <c r="L7205" s="250">
        <v>1</v>
      </c>
      <c r="M7205" s="163" t="str">
        <f>CONCATENATE(H7205," ",F7205,"*",I7205,"/",K7205,"чел.")</f>
        <v>2 шт*0,30039918/9060чел.</v>
      </c>
      <c r="N7205" s="164">
        <f t="shared" si="2007"/>
        <v>8158.8</v>
      </c>
      <c r="O7205" s="165">
        <f t="shared" si="2008"/>
        <v>0.54103499999999993</v>
      </c>
      <c r="P7205" s="166"/>
      <c r="Q7205" s="166">
        <f t="shared" si="2009"/>
        <v>4901.7770999999993</v>
      </c>
      <c r="R7205" s="71"/>
    </row>
    <row r="7206" spans="1:18" s="61" customFormat="1" ht="47.25" x14ac:dyDescent="0.25">
      <c r="A7206" s="358"/>
      <c r="B7206" s="361"/>
      <c r="C7206" s="366"/>
      <c r="D7206" s="156" t="s">
        <v>222</v>
      </c>
      <c r="E7206" s="156" t="s">
        <v>60</v>
      </c>
      <c r="F7206" s="156" t="s">
        <v>60</v>
      </c>
      <c r="G7206" s="238">
        <f>MROUND(H7206*L7206*I7206/K7206,0.00000000001)</f>
        <v>1.6578321E-4</v>
      </c>
      <c r="H7206" s="248">
        <f t="shared" si="2011"/>
        <v>5</v>
      </c>
      <c r="I7206" s="159">
        <f t="shared" si="1994"/>
        <v>0.30039917999999999</v>
      </c>
      <c r="J7206" s="160"/>
      <c r="K7206" s="161">
        <f t="shared" si="2010"/>
        <v>9060</v>
      </c>
      <c r="L7206" s="250">
        <v>1</v>
      </c>
      <c r="M7206" s="163" t="str">
        <f>CONCATENATE(H7206," ",F7206,"*",I7206,"/",K7206,"чел.")</f>
        <v>5 шт.*0,30039918/9060чел.</v>
      </c>
      <c r="N7206" s="164">
        <f t="shared" si="2007"/>
        <v>45611.39</v>
      </c>
      <c r="O7206" s="165">
        <f>MROUND(G7206*N7206,0.00000001)</f>
        <v>7.5616026500000002</v>
      </c>
      <c r="P7206" s="166"/>
      <c r="Q7206" s="166">
        <f t="shared" si="2009"/>
        <v>68508.120009000006</v>
      </c>
      <c r="R7206" s="71"/>
    </row>
    <row r="7207" spans="1:18" s="61" customFormat="1" ht="31.5" x14ac:dyDescent="0.25">
      <c r="A7207" s="358"/>
      <c r="B7207" s="361"/>
      <c r="C7207" s="366"/>
      <c r="D7207" s="156" t="s">
        <v>35</v>
      </c>
      <c r="E7207" s="156" t="s">
        <v>102</v>
      </c>
      <c r="F7207" s="156" t="s">
        <v>223</v>
      </c>
      <c r="G7207" s="238">
        <f>MROUND(H7207*L7207*I7207/K7207,0.00000001)</f>
        <v>1.16048E-3</v>
      </c>
      <c r="H7207" s="158">
        <f t="shared" si="2011"/>
        <v>35</v>
      </c>
      <c r="I7207" s="159">
        <f>I7205</f>
        <v>0.30039917999999999</v>
      </c>
      <c r="J7207" s="160"/>
      <c r="K7207" s="161">
        <f>K7205</f>
        <v>9060</v>
      </c>
      <c r="L7207" s="250">
        <v>1</v>
      </c>
      <c r="M7207" s="163" t="str">
        <f>CONCATENATE(H7207," ",F7207,"*",I7207,"/",K7207,"чел.")</f>
        <v>35 замеров*0,30039918/9060чел.</v>
      </c>
      <c r="N7207" s="164">
        <f t="shared" si="2007"/>
        <v>26000</v>
      </c>
      <c r="O7207" s="165">
        <f t="shared" ref="O7207:O7212" si="2012">MROUND(G7207*N7207,0.000001)</f>
        <v>30.17248</v>
      </c>
      <c r="P7207" s="166"/>
      <c r="Q7207" s="166">
        <f t="shared" si="2009"/>
        <v>273362.66879999998</v>
      </c>
      <c r="R7207" s="71"/>
    </row>
    <row r="7208" spans="1:18" s="61" customFormat="1" ht="47.25" x14ac:dyDescent="0.25">
      <c r="A7208" s="358"/>
      <c r="B7208" s="361"/>
      <c r="C7208" s="366"/>
      <c r="D7208" s="156" t="s">
        <v>399</v>
      </c>
      <c r="E7208" s="156" t="s">
        <v>60</v>
      </c>
      <c r="F7208" s="156" t="s">
        <v>60</v>
      </c>
      <c r="G7208" s="238">
        <f>MROUND(H7208*L7208*I7208/K7208,0.000000001)</f>
        <v>1.1604825000000001E-2</v>
      </c>
      <c r="H7208" s="158">
        <f t="shared" si="2011"/>
        <v>35</v>
      </c>
      <c r="I7208" s="159">
        <f t="shared" si="1994"/>
        <v>0.30039917999999999</v>
      </c>
      <c r="J7208" s="160"/>
      <c r="K7208" s="161">
        <f>K7207</f>
        <v>9060</v>
      </c>
      <c r="L7208" s="250">
        <v>10</v>
      </c>
      <c r="M7208" s="163" t="str">
        <f>CONCATENATE(H7208," ",F7208,"*",L7208,"мес.","*",I7208,"/",K7208,"чел.")</f>
        <v>35 шт.*10мес.*0,30039918/9060чел.</v>
      </c>
      <c r="N7208" s="164">
        <f t="shared" si="2007"/>
        <v>3380.9014857142843</v>
      </c>
      <c r="O7208" s="165">
        <f t="shared" si="2012"/>
        <v>39.234769999999997</v>
      </c>
      <c r="P7208" s="166"/>
      <c r="Q7208" s="166">
        <f t="shared" si="2009"/>
        <v>355467.01619999995</v>
      </c>
      <c r="R7208" s="71"/>
    </row>
    <row r="7209" spans="1:18" s="61" customFormat="1" ht="47.25" x14ac:dyDescent="0.25">
      <c r="A7209" s="358"/>
      <c r="B7209" s="361"/>
      <c r="C7209" s="366"/>
      <c r="D7209" s="156" t="s">
        <v>36</v>
      </c>
      <c r="E7209" s="156" t="s">
        <v>31</v>
      </c>
      <c r="F7209" s="156" t="s">
        <v>224</v>
      </c>
      <c r="G7209" s="238">
        <f>MROUND(H7209*L7209*I7209/K7209,0.00000001)</f>
        <v>1.432367E-2</v>
      </c>
      <c r="H7209" s="158">
        <f t="shared" si="2011"/>
        <v>36</v>
      </c>
      <c r="I7209" s="159">
        <f t="shared" si="1994"/>
        <v>0.30039917999999999</v>
      </c>
      <c r="J7209" s="160"/>
      <c r="K7209" s="161">
        <f>K7208</f>
        <v>9060</v>
      </c>
      <c r="L7209" s="250">
        <v>12</v>
      </c>
      <c r="M7209" s="163" t="str">
        <f>CONCATENATE(H7209," ",F7209,"*",L7209,"мес.","*",I7209,"/",K7209,"чел.")</f>
        <v>36 устройств*12мес.*0,30039918/9060чел.</v>
      </c>
      <c r="N7209" s="164">
        <f t="shared" si="2007"/>
        <v>1269.5381481481488</v>
      </c>
      <c r="O7209" s="165">
        <f t="shared" si="2012"/>
        <v>18.184445</v>
      </c>
      <c r="P7209" s="166"/>
      <c r="Q7209" s="166">
        <f t="shared" si="2009"/>
        <v>164751.0717</v>
      </c>
      <c r="R7209" s="71"/>
    </row>
    <row r="7210" spans="1:18" s="61" customFormat="1" ht="31.5" x14ac:dyDescent="0.25">
      <c r="A7210" s="358"/>
      <c r="B7210" s="361"/>
      <c r="C7210" s="366"/>
      <c r="D7210" s="156" t="s">
        <v>99</v>
      </c>
      <c r="E7210" s="156" t="s">
        <v>103</v>
      </c>
      <c r="F7210" s="156" t="s">
        <v>225</v>
      </c>
      <c r="G7210" s="238">
        <f>MROUND(H7210*L7210*I7210/K7210,0.00000001)</f>
        <v>6.6644900000000003E-3</v>
      </c>
      <c r="H7210" s="158">
        <f t="shared" si="2011"/>
        <v>201</v>
      </c>
      <c r="I7210" s="159">
        <f t="shared" si="1994"/>
        <v>0.30039917999999999</v>
      </c>
      <c r="J7210" s="160"/>
      <c r="K7210" s="161">
        <f>K7209</f>
        <v>9060</v>
      </c>
      <c r="L7210" s="250">
        <v>1</v>
      </c>
      <c r="M7210" s="163" t="str">
        <f>CONCATENATE(H7210," ",F7210,"*",I7210,"/",K7210,"чел.")</f>
        <v>201 ед.*0,30039918/9060чел.</v>
      </c>
      <c r="N7210" s="164">
        <f t="shared" si="2007"/>
        <v>15000</v>
      </c>
      <c r="O7210" s="165">
        <f t="shared" si="2012"/>
        <v>99.967349999999996</v>
      </c>
      <c r="P7210" s="166"/>
      <c r="Q7210" s="166">
        <f t="shared" si="2009"/>
        <v>905704.19099999999</v>
      </c>
      <c r="R7210" s="71"/>
    </row>
    <row r="7211" spans="1:18" s="61" customFormat="1" x14ac:dyDescent="0.25">
      <c r="A7211" s="358"/>
      <c r="B7211" s="361"/>
      <c r="C7211" s="366"/>
      <c r="D7211" s="156" t="s">
        <v>27</v>
      </c>
      <c r="E7211" s="156" t="s">
        <v>28</v>
      </c>
      <c r="F7211" s="156" t="s">
        <v>28</v>
      </c>
      <c r="G7211" s="238">
        <f>MROUND(H7211*L7211*I7211/K7211,0.000001)</f>
        <v>0.13892599999999999</v>
      </c>
      <c r="H7211" s="160">
        <f t="shared" si="2011"/>
        <v>4190</v>
      </c>
      <c r="I7211" s="159">
        <f t="shared" si="1994"/>
        <v>0.30039917999999999</v>
      </c>
      <c r="J7211" s="160"/>
      <c r="K7211" s="161">
        <f>K7210</f>
        <v>9060</v>
      </c>
      <c r="L7211" s="250">
        <v>1</v>
      </c>
      <c r="M7211" s="163" t="str">
        <f>CONCATENATE(H7211," ",F7211,"*",I7211,"/",K7211,"чел.")</f>
        <v>4190 шт*0,30039918/9060чел.</v>
      </c>
      <c r="N7211" s="164">
        <f>N6971</f>
        <v>435.13600000000008</v>
      </c>
      <c r="O7211" s="165">
        <f t="shared" si="2012"/>
        <v>60.451703999999999</v>
      </c>
      <c r="P7211" s="166"/>
      <c r="Q7211" s="166">
        <f t="shared" si="2009"/>
        <v>547692.43824000005</v>
      </c>
      <c r="R7211" s="71"/>
    </row>
    <row r="7212" spans="1:18" s="61" customFormat="1" ht="31.5" x14ac:dyDescent="0.25">
      <c r="A7212" s="358"/>
      <c r="B7212" s="361"/>
      <c r="C7212" s="367"/>
      <c r="D7212" s="156" t="s">
        <v>104</v>
      </c>
      <c r="E7212" s="156" t="s">
        <v>105</v>
      </c>
      <c r="F7212" s="156" t="s">
        <v>226</v>
      </c>
      <c r="G7212" s="238">
        <f>MROUND(H7212*L7212*I7212/K7212,0.00000001)</f>
        <v>1.1936399999999999E-3</v>
      </c>
      <c r="H7212" s="160">
        <f t="shared" si="2011"/>
        <v>36</v>
      </c>
      <c r="I7212" s="159">
        <f t="shared" si="1994"/>
        <v>0.30039917999999999</v>
      </c>
      <c r="J7212" s="160"/>
      <c r="K7212" s="161">
        <f>K7211</f>
        <v>9060</v>
      </c>
      <c r="L7212" s="250">
        <v>1</v>
      </c>
      <c r="M7212" s="163" t="str">
        <f>CONCATENATE(H7212," ",F7212,"*",I7212,"/",K7212,"чел.")</f>
        <v>36 отключений*0,30039918/9060чел.</v>
      </c>
      <c r="N7212" s="164">
        <f>N6852</f>
        <v>10671.710000000006</v>
      </c>
      <c r="O7212" s="165">
        <f t="shared" si="2012"/>
        <v>12.73818</v>
      </c>
      <c r="P7212" s="166"/>
      <c r="Q7212" s="166">
        <f t="shared" si="2009"/>
        <v>115407.9108</v>
      </c>
      <c r="R7212" s="71"/>
    </row>
    <row r="7213" spans="1:18" s="61" customFormat="1" x14ac:dyDescent="0.25">
      <c r="A7213" s="358"/>
      <c r="B7213" s="361"/>
      <c r="C7213" s="249" t="s">
        <v>304</v>
      </c>
      <c r="D7213" s="240"/>
      <c r="E7213" s="240"/>
      <c r="F7213" s="240"/>
      <c r="G7213" s="227"/>
      <c r="H7213" s="228"/>
      <c r="I7213" s="206"/>
      <c r="J7213" s="228"/>
      <c r="K7213" s="207"/>
      <c r="L7213" s="257"/>
      <c r="M7213" s="209"/>
      <c r="N7213" s="210"/>
      <c r="O7213" s="198">
        <f>SUM(O7197:O7212)</f>
        <v>400.35990164999998</v>
      </c>
      <c r="P7213" s="166"/>
      <c r="Q7213" s="166"/>
      <c r="R7213" s="71"/>
    </row>
    <row r="7214" spans="1:18" s="61" customFormat="1" ht="31.5" x14ac:dyDescent="0.25">
      <c r="A7214" s="358"/>
      <c r="B7214" s="361"/>
      <c r="C7214" s="221" t="s">
        <v>79</v>
      </c>
      <c r="D7214" s="156" t="s">
        <v>37</v>
      </c>
      <c r="E7214" s="156" t="s">
        <v>61</v>
      </c>
      <c r="F7214" s="156" t="s">
        <v>227</v>
      </c>
      <c r="G7214" s="238">
        <f>MROUND(H7214*L7214*I7214/K7214,0.000000001)</f>
        <v>1.3262700000000002E-4</v>
      </c>
      <c r="H7214" s="158">
        <f>H6854</f>
        <v>4</v>
      </c>
      <c r="I7214" s="159">
        <f>I7212</f>
        <v>0.30039917999999999</v>
      </c>
      <c r="J7214" s="160"/>
      <c r="K7214" s="161">
        <f>K7212</f>
        <v>9060</v>
      </c>
      <c r="L7214" s="250">
        <v>1</v>
      </c>
      <c r="M7214" s="163" t="str">
        <f>CONCATENATE(H7214," ",F7214,"*",I7214,"/",K7214,"чел.")</f>
        <v>4 автобуса*0,30039918/9060чел.</v>
      </c>
      <c r="N7214" s="164">
        <f>N6854</f>
        <v>37900.35</v>
      </c>
      <c r="O7214" s="165">
        <f>MROUND(G7214*N7214,0.000001)</f>
        <v>5.0266099999999998</v>
      </c>
      <c r="P7214" s="166"/>
      <c r="Q7214" s="166">
        <f t="shared" ref="Q7214" si="2013">O7214*K7214</f>
        <v>45541.086599999995</v>
      </c>
      <c r="R7214" s="71"/>
    </row>
    <row r="7215" spans="1:18" s="61" customFormat="1" x14ac:dyDescent="0.25">
      <c r="A7215" s="358"/>
      <c r="B7215" s="361"/>
      <c r="C7215" s="218" t="s">
        <v>305</v>
      </c>
      <c r="D7215" s="240"/>
      <c r="E7215" s="240"/>
      <c r="F7215" s="240"/>
      <c r="G7215" s="227"/>
      <c r="H7215" s="241"/>
      <c r="I7215" s="206"/>
      <c r="J7215" s="228"/>
      <c r="K7215" s="207"/>
      <c r="L7215" s="257"/>
      <c r="M7215" s="209"/>
      <c r="N7215" s="210"/>
      <c r="O7215" s="198">
        <f>SUM(O7214)</f>
        <v>5.0266099999999998</v>
      </c>
      <c r="P7215" s="166"/>
      <c r="Q7215" s="166"/>
      <c r="R7215" s="71"/>
    </row>
    <row r="7216" spans="1:18" s="61" customFormat="1" x14ac:dyDescent="0.25">
      <c r="A7216" s="358"/>
      <c r="B7216" s="361"/>
      <c r="C7216" s="364" t="s">
        <v>80</v>
      </c>
      <c r="D7216" s="156" t="s">
        <v>38</v>
      </c>
      <c r="E7216" s="156" t="s">
        <v>57</v>
      </c>
      <c r="F7216" s="156" t="s">
        <v>228</v>
      </c>
      <c r="G7216" s="238">
        <f>MROUND(H7216*L7216*I7216/K7216,0.0000000001)</f>
        <v>1.43236695E-2</v>
      </c>
      <c r="H7216" s="158">
        <f>H6856</f>
        <v>36</v>
      </c>
      <c r="I7216" s="159">
        <f>I7214</f>
        <v>0.30039917999999999</v>
      </c>
      <c r="J7216" s="160"/>
      <c r="K7216" s="161">
        <f>K7214</f>
        <v>9060</v>
      </c>
      <c r="L7216" s="250">
        <v>12</v>
      </c>
      <c r="M7216" s="163" t="str">
        <f>CONCATENATE(H7216," ",F7216,"*",L7216,"мес.","*",I7216,"/",K7216,"чел.")</f>
        <v>36 зданий*12мес.*0,30039918/9060чел.</v>
      </c>
      <c r="N7216" s="164">
        <f t="shared" ref="N7216:N7227" si="2014">N6856</f>
        <v>5106.1928935185206</v>
      </c>
      <c r="O7216" s="165">
        <f>MROUND(G7216*N7216,0.000001)</f>
        <v>73.139419000000004</v>
      </c>
      <c r="P7216" s="166"/>
      <c r="Q7216" s="166">
        <f t="shared" ref="Q7216:Q7229" si="2015">O7216*K7216</f>
        <v>662643.13614000008</v>
      </c>
      <c r="R7216" s="71"/>
    </row>
    <row r="7217" spans="1:18" s="61" customFormat="1" ht="47.25" x14ac:dyDescent="0.25">
      <c r="A7217" s="358"/>
      <c r="B7217" s="361"/>
      <c r="C7217" s="364"/>
      <c r="D7217" s="156" t="s">
        <v>229</v>
      </c>
      <c r="E7217" s="156" t="s">
        <v>60</v>
      </c>
      <c r="F7217" s="156" t="s">
        <v>60</v>
      </c>
      <c r="G7217" s="238">
        <f>MROUND(H7217*L7217*I7217/K7217,0.000001)</f>
        <v>7.9377000000000003E-2</v>
      </c>
      <c r="H7217" s="158">
        <f>H6857</f>
        <v>2394</v>
      </c>
      <c r="I7217" s="159">
        <f t="shared" si="1994"/>
        <v>0.30039917999999999</v>
      </c>
      <c r="J7217" s="160"/>
      <c r="K7217" s="161">
        <f>K7216</f>
        <v>9060</v>
      </c>
      <c r="L7217" s="250">
        <v>1</v>
      </c>
      <c r="M7217" s="163" t="str">
        <f t="shared" ref="M7217:M7224" si="2016">CONCATENATE(H7217," ",F7217,"*",I7217,"/",K7217,"чел.")</f>
        <v>2394 шт.*0,30039918/9060чел.</v>
      </c>
      <c r="N7217" s="164">
        <f t="shared" si="2014"/>
        <v>177.86185045948207</v>
      </c>
      <c r="O7217" s="165">
        <f>MROUND(G7217*N7217,0.000001)</f>
        <v>14.118139999999999</v>
      </c>
      <c r="P7217" s="166"/>
      <c r="Q7217" s="166">
        <f t="shared" si="2015"/>
        <v>127910.34839999999</v>
      </c>
      <c r="R7217" s="71"/>
    </row>
    <row r="7218" spans="1:18" s="61" customFormat="1" ht="47.25" x14ac:dyDescent="0.25">
      <c r="A7218" s="358"/>
      <c r="B7218" s="361"/>
      <c r="C7218" s="364"/>
      <c r="D7218" s="156" t="s">
        <v>405</v>
      </c>
      <c r="E7218" s="156" t="s">
        <v>60</v>
      </c>
      <c r="F7218" s="156" t="s">
        <v>406</v>
      </c>
      <c r="G7218" s="238">
        <f>MROUND(H7218*L7218*I7218/K7218,0.00000001)</f>
        <v>1.1936399999999999E-3</v>
      </c>
      <c r="H7218" s="158">
        <f>H7098</f>
        <v>36</v>
      </c>
      <c r="I7218" s="159">
        <f t="shared" si="1994"/>
        <v>0.30039917999999999</v>
      </c>
      <c r="J7218" s="160"/>
      <c r="K7218" s="161">
        <f>K7217</f>
        <v>9060</v>
      </c>
      <c r="L7218" s="250">
        <v>1</v>
      </c>
      <c r="M7218" s="163" t="str">
        <f t="shared" si="2016"/>
        <v>36 лицензий*0,30039918/9060чел.</v>
      </c>
      <c r="N7218" s="164">
        <f t="shared" si="2014"/>
        <v>13043.200000000006</v>
      </c>
      <c r="O7218" s="165">
        <f t="shared" ref="O7218:O7227" si="2017">MROUND(G7218*N7218,0.000001)</f>
        <v>15.568885</v>
      </c>
      <c r="P7218" s="166"/>
      <c r="Q7218" s="166">
        <f t="shared" si="2015"/>
        <v>141054.0981</v>
      </c>
      <c r="R7218" s="71"/>
    </row>
    <row r="7219" spans="1:18" s="61" customFormat="1" ht="63" x14ac:dyDescent="0.25">
      <c r="A7219" s="358"/>
      <c r="B7219" s="361"/>
      <c r="C7219" s="364"/>
      <c r="D7219" s="156" t="s">
        <v>39</v>
      </c>
      <c r="E7219" s="156" t="s">
        <v>20</v>
      </c>
      <c r="F7219" s="156" t="s">
        <v>234</v>
      </c>
      <c r="G7219" s="238">
        <f>MROUND(H7219*L7219*I7219/K7219,0.000000001)</f>
        <v>3.9124839999999999E-3</v>
      </c>
      <c r="H7219" s="158">
        <f>H6859</f>
        <v>118</v>
      </c>
      <c r="I7219" s="159">
        <f>I7217</f>
        <v>0.30039917999999999</v>
      </c>
      <c r="J7219" s="160"/>
      <c r="K7219" s="161">
        <f>K7217</f>
        <v>9060</v>
      </c>
      <c r="L7219" s="250">
        <v>1</v>
      </c>
      <c r="M7219" s="163" t="str">
        <f t="shared" si="2016"/>
        <v>118 чел(заявленная потребность руководителями учреждений)*0,30039918/9060чел.</v>
      </c>
      <c r="N7219" s="164">
        <f t="shared" si="2014"/>
        <v>830.02203389830515</v>
      </c>
      <c r="O7219" s="165">
        <f t="shared" si="2017"/>
        <v>3.2474479999999999</v>
      </c>
      <c r="P7219" s="166"/>
      <c r="Q7219" s="166">
        <f t="shared" si="2015"/>
        <v>29421.87888</v>
      </c>
      <c r="R7219" s="71"/>
    </row>
    <row r="7220" spans="1:18" s="61" customFormat="1" ht="63" x14ac:dyDescent="0.25">
      <c r="A7220" s="358"/>
      <c r="B7220" s="361"/>
      <c r="C7220" s="364"/>
      <c r="D7220" s="156" t="s">
        <v>40</v>
      </c>
      <c r="E7220" s="156" t="s">
        <v>20</v>
      </c>
      <c r="F7220" s="156" t="s">
        <v>234</v>
      </c>
      <c r="G7220" s="238">
        <f>MROUND(H7220*L7220*I7220/K7220,0.000000001)</f>
        <v>3.183038E-3</v>
      </c>
      <c r="H7220" s="158">
        <f>H6860</f>
        <v>96</v>
      </c>
      <c r="I7220" s="159">
        <f t="shared" si="1994"/>
        <v>0.30039917999999999</v>
      </c>
      <c r="J7220" s="160"/>
      <c r="K7220" s="161">
        <f t="shared" ref="K7220:K7227" si="2018">K7219</f>
        <v>9060</v>
      </c>
      <c r="L7220" s="250">
        <v>1</v>
      </c>
      <c r="M7220" s="163" t="str">
        <f t="shared" si="2016"/>
        <v>96 чел(заявленная потребность руководителями учреждений)*0,30039918/9060чел.</v>
      </c>
      <c r="N7220" s="164">
        <f t="shared" si="2014"/>
        <v>1778.6189583333326</v>
      </c>
      <c r="O7220" s="165">
        <f t="shared" si="2017"/>
        <v>5.6614119999999994</v>
      </c>
      <c r="P7220" s="166"/>
      <c r="Q7220" s="166">
        <f t="shared" si="2015"/>
        <v>51292.392719999996</v>
      </c>
      <c r="R7220" s="71"/>
    </row>
    <row r="7221" spans="1:18" s="61" customFormat="1" ht="63" x14ac:dyDescent="0.25">
      <c r="A7221" s="358"/>
      <c r="B7221" s="361"/>
      <c r="C7221" s="364"/>
      <c r="D7221" s="156" t="s">
        <v>100</v>
      </c>
      <c r="E7221" s="156" t="s">
        <v>20</v>
      </c>
      <c r="F7221" s="156" t="s">
        <v>234</v>
      </c>
      <c r="G7221" s="238">
        <f>MROUND(H7221*L7221*I7221/K7221,0.0000000001)</f>
        <v>2.6856880000000003E-3</v>
      </c>
      <c r="H7221" s="158">
        <f>H6861</f>
        <v>81</v>
      </c>
      <c r="I7221" s="159">
        <f t="shared" si="1994"/>
        <v>0.30039917999999999</v>
      </c>
      <c r="J7221" s="160"/>
      <c r="K7221" s="161">
        <f t="shared" si="2018"/>
        <v>9060</v>
      </c>
      <c r="L7221" s="250">
        <v>1</v>
      </c>
      <c r="M7221" s="163" t="str">
        <f t="shared" si="2016"/>
        <v>81 чел(заявленная потребность руководителями учреждений)*0,30039918/9060чел.</v>
      </c>
      <c r="N7221" s="164">
        <f t="shared" si="2014"/>
        <v>3794.386419753087</v>
      </c>
      <c r="O7221" s="165">
        <f t="shared" si="2017"/>
        <v>10.190538</v>
      </c>
      <c r="P7221" s="166"/>
      <c r="Q7221" s="166">
        <f t="shared" si="2015"/>
        <v>92326.274279999998</v>
      </c>
      <c r="R7221" s="71"/>
    </row>
    <row r="7222" spans="1:18" s="61" customFormat="1" ht="110.25" x14ac:dyDescent="0.25">
      <c r="A7222" s="358"/>
      <c r="B7222" s="361"/>
      <c r="C7222" s="364"/>
      <c r="D7222" s="156" t="s">
        <v>235</v>
      </c>
      <c r="E7222" s="156" t="s">
        <v>50</v>
      </c>
      <c r="F7222" s="156" t="s">
        <v>230</v>
      </c>
      <c r="G7222" s="238">
        <f>MROUND(H7222*L7222*I7222/K7222,0.00000001)</f>
        <v>1.1936399999999999E-3</v>
      </c>
      <c r="H7222" s="158">
        <f>H6982</f>
        <v>36</v>
      </c>
      <c r="I7222" s="159">
        <f t="shared" si="1994"/>
        <v>0.30039917999999999</v>
      </c>
      <c r="J7222" s="160"/>
      <c r="K7222" s="161">
        <f t="shared" si="2018"/>
        <v>9060</v>
      </c>
      <c r="L7222" s="250">
        <v>1</v>
      </c>
      <c r="M7222" s="163" t="str">
        <f t="shared" si="2016"/>
        <v>36 отчетов*0,30039918/9060чел.</v>
      </c>
      <c r="N7222" s="164">
        <f t="shared" si="2014"/>
        <v>7114.47</v>
      </c>
      <c r="O7222" s="165">
        <f t="shared" si="2017"/>
        <v>8.4921159999999993</v>
      </c>
      <c r="P7222" s="166"/>
      <c r="Q7222" s="166">
        <f t="shared" si="2015"/>
        <v>76938.570959999997</v>
      </c>
      <c r="R7222" s="71"/>
    </row>
    <row r="7223" spans="1:18" s="61" customFormat="1" ht="63" x14ac:dyDescent="0.25">
      <c r="A7223" s="358"/>
      <c r="B7223" s="361"/>
      <c r="C7223" s="364"/>
      <c r="D7223" s="156" t="s">
        <v>42</v>
      </c>
      <c r="E7223" s="156" t="s">
        <v>51</v>
      </c>
      <c r="F7223" s="156" t="s">
        <v>407</v>
      </c>
      <c r="G7223" s="238">
        <f>MROUND(H7223*L7223*I7223/K7223,0.000001)</f>
        <v>6.764E-3</v>
      </c>
      <c r="H7223" s="158">
        <f>H6863</f>
        <v>204</v>
      </c>
      <c r="I7223" s="159">
        <f t="shared" si="1994"/>
        <v>0.30039917999999999</v>
      </c>
      <c r="J7223" s="160"/>
      <c r="K7223" s="161">
        <f t="shared" si="2018"/>
        <v>9060</v>
      </c>
      <c r="L7223" s="250">
        <v>1</v>
      </c>
      <c r="M7223" s="163" t="str">
        <f t="shared" si="2016"/>
        <v>204 ед (заявленная потребность руководителями учреждений)*0,30039918/9060чел.</v>
      </c>
      <c r="N7223" s="164">
        <f t="shared" si="2014"/>
        <v>1185.7454901960789</v>
      </c>
      <c r="O7223" s="165">
        <f t="shared" si="2017"/>
        <v>8.0203819999999997</v>
      </c>
      <c r="P7223" s="166"/>
      <c r="Q7223" s="166">
        <f t="shared" si="2015"/>
        <v>72664.660919999995</v>
      </c>
      <c r="R7223" s="71"/>
    </row>
    <row r="7224" spans="1:18" s="61" customFormat="1" ht="31.5" x14ac:dyDescent="0.25">
      <c r="A7224" s="358"/>
      <c r="B7224" s="361"/>
      <c r="C7224" s="364"/>
      <c r="D7224" s="156" t="s">
        <v>43</v>
      </c>
      <c r="E7224" s="156" t="s">
        <v>52</v>
      </c>
      <c r="F7224" s="156" t="s">
        <v>231</v>
      </c>
      <c r="G7224" s="238">
        <f>MROUND(H7224*L7224*I7224/K7224,0.000000001)</f>
        <v>1.193639E-3</v>
      </c>
      <c r="H7224" s="158">
        <f>H6864</f>
        <v>36</v>
      </c>
      <c r="I7224" s="159">
        <f t="shared" ref="I7224:I7227" si="2019">I7223</f>
        <v>0.30039917999999999</v>
      </c>
      <c r="J7224" s="160"/>
      <c r="K7224" s="161">
        <f t="shared" si="2018"/>
        <v>9060</v>
      </c>
      <c r="L7224" s="250">
        <v>1</v>
      </c>
      <c r="M7224" s="163" t="str">
        <f t="shared" si="2016"/>
        <v>36 ЭЦП*0,30039918/9060чел.</v>
      </c>
      <c r="N7224" s="164">
        <f t="shared" si="2014"/>
        <v>8423.5400000000009</v>
      </c>
      <c r="O7224" s="165">
        <f t="shared" si="2017"/>
        <v>10.054665999999999</v>
      </c>
      <c r="P7224" s="166"/>
      <c r="Q7224" s="166">
        <f t="shared" si="2015"/>
        <v>91095.273959999991</v>
      </c>
      <c r="R7224" s="71"/>
    </row>
    <row r="7225" spans="1:18" s="61" customFormat="1" ht="47.25" x14ac:dyDescent="0.25">
      <c r="A7225" s="358"/>
      <c r="B7225" s="361"/>
      <c r="C7225" s="364"/>
      <c r="D7225" s="156" t="s">
        <v>44</v>
      </c>
      <c r="E7225" s="156" t="s">
        <v>85</v>
      </c>
      <c r="F7225" s="156" t="s">
        <v>232</v>
      </c>
      <c r="G7225" s="238">
        <f>MROUND(H7225*L7225*I7225/K7225,0.000001)</f>
        <v>4.0318E-2</v>
      </c>
      <c r="H7225" s="158">
        <f>H6865</f>
        <v>1216</v>
      </c>
      <c r="I7225" s="159">
        <f t="shared" si="2019"/>
        <v>0.30039917999999999</v>
      </c>
      <c r="J7225" s="160"/>
      <c r="K7225" s="161">
        <f t="shared" si="2018"/>
        <v>9060</v>
      </c>
      <c r="L7225" s="250">
        <v>1</v>
      </c>
      <c r="M7225" s="163" t="str">
        <f>CONCATENATE(H7225," ",F7225,"*",L7225,"мес.","*",I7225,"/",K7225,"чел.")</f>
        <v>1216 мед.осмотров в мес.*1мес.*0,30039918/9060чел.</v>
      </c>
      <c r="N7225" s="164">
        <f t="shared" si="2014"/>
        <v>61.65877467105264</v>
      </c>
      <c r="O7225" s="165">
        <f t="shared" si="2017"/>
        <v>2.4859579999999997</v>
      </c>
      <c r="P7225" s="166"/>
      <c r="Q7225" s="166">
        <f t="shared" si="2015"/>
        <v>22522.779479999997</v>
      </c>
      <c r="R7225" s="71"/>
    </row>
    <row r="7226" spans="1:18" s="61" customFormat="1" ht="63" x14ac:dyDescent="0.25">
      <c r="A7226" s="358"/>
      <c r="B7226" s="361"/>
      <c r="C7226" s="364"/>
      <c r="D7226" s="156" t="s">
        <v>45</v>
      </c>
      <c r="E7226" s="156" t="s">
        <v>53</v>
      </c>
      <c r="F7226" s="156" t="s">
        <v>233</v>
      </c>
      <c r="G7226" s="238">
        <f>MROUND(H7226*L7226*I7226/K7226,0.0000000001)</f>
        <v>1.5915188000000002E-3</v>
      </c>
      <c r="H7226" s="158">
        <f>H6866</f>
        <v>4</v>
      </c>
      <c r="I7226" s="159">
        <f t="shared" si="2019"/>
        <v>0.30039917999999999</v>
      </c>
      <c r="J7226" s="160"/>
      <c r="K7226" s="161">
        <f t="shared" si="2018"/>
        <v>9060</v>
      </c>
      <c r="L7226" s="250">
        <v>12</v>
      </c>
      <c r="M7226" s="163" t="str">
        <f>CONCATENATE(H7226," ",F7226,"*",L7226,"мес.","*",I7226,"/",K7226,"чел.")</f>
        <v>4  машины, оборудованных системой ГЛОНАСС*12мес.*0,30039918/9060чел.</v>
      </c>
      <c r="N7226" s="164">
        <f t="shared" si="2014"/>
        <v>958.08249999999998</v>
      </c>
      <c r="O7226" s="165">
        <f t="shared" si="2017"/>
        <v>1.5248059999999999</v>
      </c>
      <c r="P7226" s="166"/>
      <c r="Q7226" s="166">
        <f t="shared" si="2015"/>
        <v>13814.742359999998</v>
      </c>
      <c r="R7226" s="71"/>
    </row>
    <row r="7227" spans="1:18" s="61" customFormat="1" ht="31.5" x14ac:dyDescent="0.25">
      <c r="A7227" s="358"/>
      <c r="B7227" s="361"/>
      <c r="C7227" s="364"/>
      <c r="D7227" s="156" t="s">
        <v>408</v>
      </c>
      <c r="E7227" s="156" t="s">
        <v>20</v>
      </c>
      <c r="F7227" s="156" t="s">
        <v>20</v>
      </c>
      <c r="G7227" s="238">
        <f>MROUND(H7227*L7227*I7227/K7227,0.00000001)</f>
        <v>5.6266820000000002E-2</v>
      </c>
      <c r="H7227" s="158">
        <f>H6867</f>
        <v>1697</v>
      </c>
      <c r="I7227" s="159">
        <f t="shared" si="2019"/>
        <v>0.30039917999999999</v>
      </c>
      <c r="J7227" s="160"/>
      <c r="K7227" s="161">
        <f t="shared" si="2018"/>
        <v>9060</v>
      </c>
      <c r="L7227" s="250">
        <v>1</v>
      </c>
      <c r="M7227" s="163" t="str">
        <f>CONCATENATE(H7227," ",F7227,"*",L7227," раз в год","*",I7227,"/",K7227,"чел.")</f>
        <v>1697 чел.*1 раз в год*0,30039918/9060чел.</v>
      </c>
      <c r="N7227" s="164">
        <f t="shared" si="2014"/>
        <v>592.87278137890405</v>
      </c>
      <c r="O7227" s="165">
        <f t="shared" si="2017"/>
        <v>33.359065999999999</v>
      </c>
      <c r="P7227" s="166"/>
      <c r="Q7227" s="166">
        <f t="shared" si="2015"/>
        <v>302233.13795999996</v>
      </c>
      <c r="R7227" s="71"/>
    </row>
    <row r="7228" spans="1:18" s="61" customFormat="1" x14ac:dyDescent="0.25">
      <c r="A7228" s="358"/>
      <c r="B7228" s="361"/>
      <c r="C7228" s="364"/>
      <c r="D7228" s="156" t="s">
        <v>373</v>
      </c>
      <c r="E7228" s="156" t="s">
        <v>28</v>
      </c>
      <c r="F7228" s="156" t="s">
        <v>28</v>
      </c>
      <c r="G7228" s="157">
        <f>MROUND(H7228*L7228*I7228/K7228,0.000000001)</f>
        <v>1.193639E-3</v>
      </c>
      <c r="H7228" s="158">
        <f>H6869</f>
        <v>36</v>
      </c>
      <c r="I7228" s="159">
        <f>I7226</f>
        <v>0.30039917999999999</v>
      </c>
      <c r="J7228" s="160"/>
      <c r="K7228" s="161">
        <f>K7226</f>
        <v>9060</v>
      </c>
      <c r="L7228" s="162">
        <v>1</v>
      </c>
      <c r="M7228" s="163" t="str">
        <f>CONCATENATE(H7228," ",F7228,"*",L7228,"мес.","*",I7228,"/",K7228,"чел.")</f>
        <v>36 шт*1мес.*0,30039918/9060чел.</v>
      </c>
      <c r="N7228" s="164">
        <f>N6869</f>
        <v>24000</v>
      </c>
      <c r="O7228" s="165">
        <f>MROUND(G7228*N7228,0.000000001)</f>
        <v>28.647336000000003</v>
      </c>
      <c r="P7228" s="166"/>
      <c r="Q7228" s="166">
        <f t="shared" si="2015"/>
        <v>259544.86416000003</v>
      </c>
      <c r="R7228" s="71"/>
    </row>
    <row r="7229" spans="1:18" s="61" customFormat="1" ht="31.5" x14ac:dyDescent="0.25">
      <c r="A7229" s="358"/>
      <c r="B7229" s="361"/>
      <c r="C7229" s="364"/>
      <c r="D7229" s="156" t="s">
        <v>106</v>
      </c>
      <c r="E7229" s="156" t="s">
        <v>107</v>
      </c>
      <c r="F7229" s="156"/>
      <c r="G7229" s="238">
        <f>MROUND(H7229*L7229*I7229/K7229,0.000000001)</f>
        <v>0</v>
      </c>
      <c r="H7229" s="158">
        <f>H6868</f>
        <v>0</v>
      </c>
      <c r="I7229" s="159">
        <f>I7226</f>
        <v>0.30039917999999999</v>
      </c>
      <c r="J7229" s="160"/>
      <c r="K7229" s="161">
        <f>K7226</f>
        <v>9060</v>
      </c>
      <c r="L7229" s="250">
        <f>L6868</f>
        <v>0</v>
      </c>
      <c r="M7229" s="163"/>
      <c r="N7229" s="164">
        <f>N6868</f>
        <v>6.0000000000000002E-5</v>
      </c>
      <c r="O7229" s="165">
        <f>MROUND(G7229*N7229,0.000000001)</f>
        <v>0</v>
      </c>
      <c r="P7229" s="166"/>
      <c r="Q7229" s="166">
        <f t="shared" si="2015"/>
        <v>0</v>
      </c>
      <c r="R7229" s="71"/>
    </row>
    <row r="7230" spans="1:18" s="61" customFormat="1" x14ac:dyDescent="0.25">
      <c r="A7230" s="358"/>
      <c r="B7230" s="361"/>
      <c r="C7230" s="245" t="s">
        <v>296</v>
      </c>
      <c r="D7230" s="240"/>
      <c r="E7230" s="240"/>
      <c r="F7230" s="240"/>
      <c r="G7230" s="227"/>
      <c r="H7230" s="241"/>
      <c r="I7230" s="206"/>
      <c r="J7230" s="228"/>
      <c r="K7230" s="207"/>
      <c r="L7230" s="257"/>
      <c r="M7230" s="209"/>
      <c r="N7230" s="210"/>
      <c r="O7230" s="198">
        <f>SUM(O7216:O7229)</f>
        <v>214.51017200000001</v>
      </c>
      <c r="P7230" s="166"/>
      <c r="Q7230" s="166"/>
      <c r="R7230" s="71"/>
    </row>
    <row r="7231" spans="1:18" s="61" customFormat="1" ht="31.5" x14ac:dyDescent="0.25">
      <c r="A7231" s="358"/>
      <c r="B7231" s="361"/>
      <c r="C7231" s="252" t="s">
        <v>237</v>
      </c>
      <c r="D7231" s="156" t="s">
        <v>41</v>
      </c>
      <c r="E7231" s="156" t="s">
        <v>61</v>
      </c>
      <c r="F7231" s="156" t="s">
        <v>227</v>
      </c>
      <c r="G7231" s="238">
        <f>MROUND(H7231*L7231*I7231/K7231,0.000000001)</f>
        <v>1.3262700000000002E-4</v>
      </c>
      <c r="H7231" s="158">
        <f>H6871</f>
        <v>4</v>
      </c>
      <c r="I7231" s="159">
        <f>I7229</f>
        <v>0.30039917999999999</v>
      </c>
      <c r="J7231" s="160"/>
      <c r="K7231" s="161">
        <f>K7229</f>
        <v>9060</v>
      </c>
      <c r="L7231" s="250">
        <v>1</v>
      </c>
      <c r="M7231" s="163" t="str">
        <f>CONCATENATE(H7231," ",F7231,"*",I7231,"/",K7231,"чел.")</f>
        <v>4 автобуса*0,30039918/9060чел.</v>
      </c>
      <c r="N7231" s="164">
        <f>N6871</f>
        <v>27983.595000000001</v>
      </c>
      <c r="O7231" s="165">
        <f>MROUND(G7231*N7231,0.000001)</f>
        <v>3.7113799999999997</v>
      </c>
      <c r="P7231" s="166"/>
      <c r="Q7231" s="166">
        <f t="shared" ref="Q7231" si="2020">O7231*K7231</f>
        <v>33625.102800000001</v>
      </c>
      <c r="R7231" s="71"/>
    </row>
    <row r="7232" spans="1:18" s="61" customFormat="1" x14ac:dyDescent="0.25">
      <c r="A7232" s="358"/>
      <c r="B7232" s="361"/>
      <c r="C7232" s="245" t="s">
        <v>297</v>
      </c>
      <c r="D7232" s="240"/>
      <c r="E7232" s="240"/>
      <c r="F7232" s="240"/>
      <c r="G7232" s="227"/>
      <c r="H7232" s="241"/>
      <c r="I7232" s="206"/>
      <c r="J7232" s="228"/>
      <c r="K7232" s="207"/>
      <c r="L7232" s="257"/>
      <c r="M7232" s="209"/>
      <c r="N7232" s="210"/>
      <c r="O7232" s="198">
        <f>SUM(O7231)</f>
        <v>3.7113799999999997</v>
      </c>
      <c r="P7232" s="166"/>
      <c r="Q7232" s="166"/>
      <c r="R7232" s="71"/>
    </row>
    <row r="7233" spans="1:18" s="61" customFormat="1" ht="78.75" x14ac:dyDescent="0.25">
      <c r="A7233" s="358"/>
      <c r="B7233" s="361"/>
      <c r="C7233" s="221" t="s">
        <v>236</v>
      </c>
      <c r="D7233" s="156" t="s">
        <v>19</v>
      </c>
      <c r="E7233" s="181" t="s">
        <v>20</v>
      </c>
      <c r="F7233" s="181" t="s">
        <v>238</v>
      </c>
      <c r="G7233" s="238">
        <f>MROUND(H7233*L7233*I7233/K7233,0.000001)</f>
        <v>0</v>
      </c>
      <c r="H7233" s="158"/>
      <c r="I7233" s="159">
        <f>I7229</f>
        <v>0.30039917999999999</v>
      </c>
      <c r="J7233" s="160"/>
      <c r="K7233" s="161">
        <f>K7229</f>
        <v>9060</v>
      </c>
      <c r="L7233" s="250"/>
      <c r="M7233" s="163"/>
      <c r="N7233" s="164"/>
      <c r="O7233" s="165">
        <f>MROUND(G7233*N7233,0.000001)</f>
        <v>0</v>
      </c>
      <c r="P7233" s="166"/>
      <c r="Q7233" s="166">
        <f t="shared" ref="Q7233" si="2021">O7233*K7233</f>
        <v>0</v>
      </c>
      <c r="R7233" s="71"/>
    </row>
    <row r="7234" spans="1:18" s="61" customFormat="1" x14ac:dyDescent="0.25">
      <c r="A7234" s="358"/>
      <c r="B7234" s="361"/>
      <c r="C7234" s="245" t="s">
        <v>298</v>
      </c>
      <c r="D7234" s="240"/>
      <c r="E7234" s="253"/>
      <c r="F7234" s="253"/>
      <c r="G7234" s="227"/>
      <c r="H7234" s="241"/>
      <c r="I7234" s="206"/>
      <c r="J7234" s="228"/>
      <c r="K7234" s="207"/>
      <c r="L7234" s="257"/>
      <c r="M7234" s="209"/>
      <c r="N7234" s="210"/>
      <c r="O7234" s="198">
        <f>SUM(O7233)</f>
        <v>0</v>
      </c>
      <c r="P7234" s="166"/>
      <c r="Q7234" s="166"/>
      <c r="R7234" s="71"/>
    </row>
    <row r="7235" spans="1:18" s="61" customFormat="1" ht="30" x14ac:dyDescent="0.25">
      <c r="A7235" s="358"/>
      <c r="B7235" s="361"/>
      <c r="C7235" s="365" t="s">
        <v>81</v>
      </c>
      <c r="D7235" s="254" t="s">
        <v>410</v>
      </c>
      <c r="E7235" s="156" t="s">
        <v>28</v>
      </c>
      <c r="F7235" s="156" t="s">
        <v>28</v>
      </c>
      <c r="G7235" s="238">
        <f>MROUND(H7235*L7235*I7235/K7235,0.0000000001)</f>
        <v>0</v>
      </c>
      <c r="H7235" s="158"/>
      <c r="I7235" s="159">
        <f>I7229</f>
        <v>0.30039917999999999</v>
      </c>
      <c r="J7235" s="160"/>
      <c r="K7235" s="161">
        <f>K7229</f>
        <v>9060</v>
      </c>
      <c r="L7235" s="250">
        <v>1</v>
      </c>
      <c r="M7235" s="163"/>
      <c r="N7235" s="164"/>
      <c r="O7235" s="165">
        <f>MROUND(G7235*N7235,0.000001)</f>
        <v>0</v>
      </c>
      <c r="P7235" s="166"/>
      <c r="Q7235" s="166">
        <f t="shared" ref="Q7235:Q7258" si="2022">O7235*K7235</f>
        <v>0</v>
      </c>
      <c r="R7235" s="71"/>
    </row>
    <row r="7236" spans="1:18" s="61" customFormat="1" x14ac:dyDescent="0.25">
      <c r="A7236" s="358"/>
      <c r="B7236" s="361"/>
      <c r="C7236" s="366"/>
      <c r="D7236" s="254" t="s">
        <v>325</v>
      </c>
      <c r="E7236" s="156" t="s">
        <v>28</v>
      </c>
      <c r="F7236" s="156" t="s">
        <v>28</v>
      </c>
      <c r="G7236" s="157">
        <f>MROUND(H7236*L7236*I7236/K7236,0.0000000001)</f>
        <v>0</v>
      </c>
      <c r="H7236" s="158"/>
      <c r="I7236" s="159">
        <f>I7235</f>
        <v>0.30039917999999999</v>
      </c>
      <c r="J7236" s="160"/>
      <c r="K7236" s="161">
        <f>K7235</f>
        <v>9060</v>
      </c>
      <c r="L7236" s="250">
        <v>1</v>
      </c>
      <c r="M7236" s="163"/>
      <c r="N7236" s="164"/>
      <c r="O7236" s="165">
        <f>MROUND(G7236*N7236,0.000001)</f>
        <v>0</v>
      </c>
      <c r="P7236" s="166"/>
      <c r="Q7236" s="166">
        <f t="shared" si="2022"/>
        <v>0</v>
      </c>
      <c r="R7236" s="71"/>
    </row>
    <row r="7237" spans="1:18" s="61" customFormat="1" ht="30" x14ac:dyDescent="0.25">
      <c r="A7237" s="358"/>
      <c r="B7237" s="361"/>
      <c r="C7237" s="366"/>
      <c r="D7237" s="254" t="s">
        <v>411</v>
      </c>
      <c r="E7237" s="156" t="s">
        <v>28</v>
      </c>
      <c r="F7237" s="156" t="s">
        <v>28</v>
      </c>
      <c r="G7237" s="238">
        <f>MROUND(H7237*L7237*I7237/K7237,0.00000001)</f>
        <v>0</v>
      </c>
      <c r="H7237" s="158"/>
      <c r="I7237" s="159">
        <f>I7235</f>
        <v>0.30039917999999999</v>
      </c>
      <c r="J7237" s="160"/>
      <c r="K7237" s="161">
        <f>K7235</f>
        <v>9060</v>
      </c>
      <c r="L7237" s="250">
        <v>1</v>
      </c>
      <c r="M7237" s="163"/>
      <c r="N7237" s="164"/>
      <c r="O7237" s="165">
        <f t="shared" ref="O7237:O7258" si="2023">MROUND(G7237*N7237,0.000001)</f>
        <v>0</v>
      </c>
      <c r="P7237" s="166"/>
      <c r="Q7237" s="166">
        <f t="shared" si="2022"/>
        <v>0</v>
      </c>
      <c r="R7237" s="71"/>
    </row>
    <row r="7238" spans="1:18" s="61" customFormat="1" x14ac:dyDescent="0.25">
      <c r="A7238" s="358"/>
      <c r="B7238" s="361"/>
      <c r="C7238" s="366"/>
      <c r="D7238" s="255" t="s">
        <v>412</v>
      </c>
      <c r="E7238" s="156" t="s">
        <v>28</v>
      </c>
      <c r="F7238" s="156" t="s">
        <v>28</v>
      </c>
      <c r="G7238" s="238">
        <f>MROUND(H7238*L7238*I7238/K7238,0.00000001)</f>
        <v>0</v>
      </c>
      <c r="H7238" s="158"/>
      <c r="I7238" s="159">
        <f>I7237</f>
        <v>0.30039917999999999</v>
      </c>
      <c r="J7238" s="160"/>
      <c r="K7238" s="161">
        <f>K7237</f>
        <v>9060</v>
      </c>
      <c r="L7238" s="250">
        <v>1</v>
      </c>
      <c r="M7238" s="163"/>
      <c r="N7238" s="164"/>
      <c r="O7238" s="165">
        <f t="shared" si="2023"/>
        <v>0</v>
      </c>
      <c r="P7238" s="166"/>
      <c r="Q7238" s="166">
        <f t="shared" si="2022"/>
        <v>0</v>
      </c>
      <c r="R7238" s="71"/>
    </row>
    <row r="7239" spans="1:18" s="61" customFormat="1" ht="31.5" x14ac:dyDescent="0.25">
      <c r="A7239" s="358"/>
      <c r="B7239" s="361"/>
      <c r="C7239" s="366"/>
      <c r="D7239" s="255" t="s">
        <v>413</v>
      </c>
      <c r="E7239" s="156" t="s">
        <v>28</v>
      </c>
      <c r="F7239" s="156" t="s">
        <v>28</v>
      </c>
      <c r="G7239" s="238">
        <f>MROUND(H7239*L7239*I7239/K7239,0.0000000001)</f>
        <v>0</v>
      </c>
      <c r="H7239" s="158"/>
      <c r="I7239" s="159">
        <f>I7238</f>
        <v>0.30039917999999999</v>
      </c>
      <c r="J7239" s="160"/>
      <c r="K7239" s="161">
        <f>K7238</f>
        <v>9060</v>
      </c>
      <c r="L7239" s="250">
        <v>1</v>
      </c>
      <c r="M7239" s="163"/>
      <c r="N7239" s="164"/>
      <c r="O7239" s="165">
        <f t="shared" si="2023"/>
        <v>0</v>
      </c>
      <c r="P7239" s="166"/>
      <c r="Q7239" s="166">
        <f t="shared" si="2022"/>
        <v>0</v>
      </c>
      <c r="R7239" s="71"/>
    </row>
    <row r="7240" spans="1:18" s="61" customFormat="1" x14ac:dyDescent="0.25">
      <c r="A7240" s="358"/>
      <c r="B7240" s="361"/>
      <c r="C7240" s="366"/>
      <c r="D7240" s="254" t="s">
        <v>109</v>
      </c>
      <c r="E7240" s="156" t="s">
        <v>28</v>
      </c>
      <c r="F7240" s="156" t="s">
        <v>28</v>
      </c>
      <c r="G7240" s="238">
        <f>MROUND(H7240*L7240*I7240/K7240,0.0000000001)</f>
        <v>0</v>
      </c>
      <c r="H7240" s="158"/>
      <c r="I7240" s="159">
        <f>I7239</f>
        <v>0.30039917999999999</v>
      </c>
      <c r="J7240" s="160"/>
      <c r="K7240" s="161">
        <f>K7239</f>
        <v>9060</v>
      </c>
      <c r="L7240" s="250">
        <v>1</v>
      </c>
      <c r="M7240" s="163"/>
      <c r="N7240" s="164"/>
      <c r="O7240" s="165">
        <f t="shared" si="2023"/>
        <v>0</v>
      </c>
      <c r="P7240" s="166"/>
      <c r="Q7240" s="166">
        <f t="shared" si="2022"/>
        <v>0</v>
      </c>
      <c r="R7240" s="71"/>
    </row>
    <row r="7241" spans="1:18" s="61" customFormat="1" x14ac:dyDescent="0.25">
      <c r="A7241" s="358"/>
      <c r="B7241" s="361"/>
      <c r="C7241" s="366"/>
      <c r="D7241" s="254" t="s">
        <v>414</v>
      </c>
      <c r="E7241" s="156" t="s">
        <v>28</v>
      </c>
      <c r="F7241" s="156" t="s">
        <v>28</v>
      </c>
      <c r="G7241" s="238">
        <f>MROUND(H7241*L7241*I7241/K7241,0.0000000001)</f>
        <v>0</v>
      </c>
      <c r="H7241" s="158"/>
      <c r="I7241" s="159">
        <f>I7239</f>
        <v>0.30039917999999999</v>
      </c>
      <c r="J7241" s="160"/>
      <c r="K7241" s="161">
        <f>K7239</f>
        <v>9060</v>
      </c>
      <c r="L7241" s="250">
        <v>1</v>
      </c>
      <c r="M7241" s="163"/>
      <c r="N7241" s="164"/>
      <c r="O7241" s="165">
        <f t="shared" si="2023"/>
        <v>0</v>
      </c>
      <c r="P7241" s="166"/>
      <c r="Q7241" s="166">
        <f t="shared" si="2022"/>
        <v>0</v>
      </c>
      <c r="R7241" s="71"/>
    </row>
    <row r="7242" spans="1:18" s="61" customFormat="1" x14ac:dyDescent="0.25">
      <c r="A7242" s="358"/>
      <c r="B7242" s="361"/>
      <c r="C7242" s="366"/>
      <c r="D7242" s="254" t="s">
        <v>415</v>
      </c>
      <c r="E7242" s="156" t="s">
        <v>28</v>
      </c>
      <c r="F7242" s="156" t="s">
        <v>28</v>
      </c>
      <c r="G7242" s="238">
        <f>MROUND(H7242*L7242*I7242/K7242,0.00000001)</f>
        <v>0</v>
      </c>
      <c r="H7242" s="158"/>
      <c r="I7242" s="159">
        <f t="shared" ref="I7242:I7251" si="2024">I7240</f>
        <v>0.30039917999999999</v>
      </c>
      <c r="J7242" s="160"/>
      <c r="K7242" s="161">
        <f t="shared" ref="K7242:K7251" si="2025">K7240</f>
        <v>9060</v>
      </c>
      <c r="L7242" s="250">
        <v>1</v>
      </c>
      <c r="M7242" s="163"/>
      <c r="N7242" s="164"/>
      <c r="O7242" s="165">
        <f t="shared" si="2023"/>
        <v>0</v>
      </c>
      <c r="P7242" s="166"/>
      <c r="Q7242" s="166">
        <f t="shared" si="2022"/>
        <v>0</v>
      </c>
      <c r="R7242" s="71"/>
    </row>
    <row r="7243" spans="1:18" s="61" customFormat="1" x14ac:dyDescent="0.25">
      <c r="A7243" s="358"/>
      <c r="B7243" s="361"/>
      <c r="C7243" s="366"/>
      <c r="D7243" s="254" t="s">
        <v>416</v>
      </c>
      <c r="E7243" s="156" t="s">
        <v>28</v>
      </c>
      <c r="F7243" s="156" t="s">
        <v>28</v>
      </c>
      <c r="G7243" s="238">
        <f>MROUND(H7243*L7243*I7243/K7243,0.000000001)</f>
        <v>0</v>
      </c>
      <c r="H7243" s="246"/>
      <c r="I7243" s="159">
        <f t="shared" si="2024"/>
        <v>0.30039917999999999</v>
      </c>
      <c r="J7243" s="160"/>
      <c r="K7243" s="161">
        <f t="shared" si="2025"/>
        <v>9060</v>
      </c>
      <c r="L7243" s="250">
        <v>1</v>
      </c>
      <c r="M7243" s="163"/>
      <c r="N7243" s="164"/>
      <c r="O7243" s="165">
        <f t="shared" si="2023"/>
        <v>0</v>
      </c>
      <c r="P7243" s="166"/>
      <c r="Q7243" s="166">
        <f t="shared" si="2022"/>
        <v>0</v>
      </c>
      <c r="R7243" s="71"/>
    </row>
    <row r="7244" spans="1:18" s="61" customFormat="1" x14ac:dyDescent="0.25">
      <c r="A7244" s="358"/>
      <c r="B7244" s="361"/>
      <c r="C7244" s="366"/>
      <c r="D7244" s="254" t="s">
        <v>417</v>
      </c>
      <c r="E7244" s="156" t="s">
        <v>28</v>
      </c>
      <c r="F7244" s="156" t="s">
        <v>28</v>
      </c>
      <c r="G7244" s="238">
        <f>MROUND(H7244*L7244*I7244/K7244,0.00000001)</f>
        <v>0</v>
      </c>
      <c r="H7244" s="158"/>
      <c r="I7244" s="159">
        <f t="shared" si="2024"/>
        <v>0.30039917999999999</v>
      </c>
      <c r="J7244" s="160"/>
      <c r="K7244" s="161">
        <f t="shared" si="2025"/>
        <v>9060</v>
      </c>
      <c r="L7244" s="250">
        <v>1</v>
      </c>
      <c r="M7244" s="163"/>
      <c r="N7244" s="164"/>
      <c r="O7244" s="165">
        <f t="shared" si="2023"/>
        <v>0</v>
      </c>
      <c r="P7244" s="166"/>
      <c r="Q7244" s="166">
        <f t="shared" si="2022"/>
        <v>0</v>
      </c>
      <c r="R7244" s="71"/>
    </row>
    <row r="7245" spans="1:18" s="61" customFormat="1" ht="30" x14ac:dyDescent="0.25">
      <c r="A7245" s="358"/>
      <c r="B7245" s="361"/>
      <c r="C7245" s="366"/>
      <c r="D7245" s="254" t="s">
        <v>418</v>
      </c>
      <c r="E7245" s="156" t="s">
        <v>28</v>
      </c>
      <c r="F7245" s="156" t="s">
        <v>28</v>
      </c>
      <c r="G7245" s="238">
        <f>MROUND(H7245*L7245*I7245/K7245,0.00000001)</f>
        <v>0</v>
      </c>
      <c r="H7245" s="158"/>
      <c r="I7245" s="159">
        <f t="shared" si="2024"/>
        <v>0.30039917999999999</v>
      </c>
      <c r="J7245" s="160"/>
      <c r="K7245" s="161">
        <f t="shared" si="2025"/>
        <v>9060</v>
      </c>
      <c r="L7245" s="250">
        <v>1</v>
      </c>
      <c r="M7245" s="163"/>
      <c r="N7245" s="164"/>
      <c r="O7245" s="165">
        <f t="shared" si="2023"/>
        <v>0</v>
      </c>
      <c r="P7245" s="166"/>
      <c r="Q7245" s="166">
        <f t="shared" si="2022"/>
        <v>0</v>
      </c>
      <c r="R7245" s="71"/>
    </row>
    <row r="7246" spans="1:18" s="61" customFormat="1" x14ac:dyDescent="0.25">
      <c r="A7246" s="358"/>
      <c r="B7246" s="361"/>
      <c r="C7246" s="366"/>
      <c r="D7246" s="254" t="s">
        <v>324</v>
      </c>
      <c r="E7246" s="156" t="s">
        <v>28</v>
      </c>
      <c r="F7246" s="156" t="s">
        <v>28</v>
      </c>
      <c r="G7246" s="238">
        <f>MROUND(H7246*L7246*I7246/K7246,0.000000001)</f>
        <v>0</v>
      </c>
      <c r="H7246" s="158"/>
      <c r="I7246" s="159">
        <f t="shared" si="2024"/>
        <v>0.30039917999999999</v>
      </c>
      <c r="J7246" s="160"/>
      <c r="K7246" s="161">
        <f t="shared" si="2025"/>
        <v>9060</v>
      </c>
      <c r="L7246" s="250">
        <v>1</v>
      </c>
      <c r="M7246" s="163"/>
      <c r="N7246" s="164"/>
      <c r="O7246" s="165">
        <f t="shared" si="2023"/>
        <v>0</v>
      </c>
      <c r="P7246" s="166"/>
      <c r="Q7246" s="166">
        <f t="shared" si="2022"/>
        <v>0</v>
      </c>
      <c r="R7246" s="71"/>
    </row>
    <row r="7247" spans="1:18" s="61" customFormat="1" x14ac:dyDescent="0.25">
      <c r="A7247" s="358"/>
      <c r="B7247" s="361"/>
      <c r="C7247" s="366"/>
      <c r="D7247" s="254" t="s">
        <v>419</v>
      </c>
      <c r="E7247" s="156" t="s">
        <v>28</v>
      </c>
      <c r="F7247" s="156" t="s">
        <v>28</v>
      </c>
      <c r="G7247" s="238">
        <f>MROUND(H7247*L7247*I7247/K7247,0.000000001)</f>
        <v>0</v>
      </c>
      <c r="H7247" s="246"/>
      <c r="I7247" s="159">
        <f t="shared" si="2024"/>
        <v>0.30039917999999999</v>
      </c>
      <c r="J7247" s="160"/>
      <c r="K7247" s="161">
        <f t="shared" si="2025"/>
        <v>9060</v>
      </c>
      <c r="L7247" s="250">
        <v>1</v>
      </c>
      <c r="M7247" s="163"/>
      <c r="N7247" s="164"/>
      <c r="O7247" s="165">
        <f t="shared" si="2023"/>
        <v>0</v>
      </c>
      <c r="P7247" s="166"/>
      <c r="Q7247" s="166">
        <f t="shared" si="2022"/>
        <v>0</v>
      </c>
      <c r="R7247" s="71"/>
    </row>
    <row r="7248" spans="1:18" s="61" customFormat="1" x14ac:dyDescent="0.25">
      <c r="A7248" s="358"/>
      <c r="B7248" s="361"/>
      <c r="C7248" s="366"/>
      <c r="D7248" s="254" t="s">
        <v>420</v>
      </c>
      <c r="E7248" s="156" t="s">
        <v>28</v>
      </c>
      <c r="F7248" s="156" t="s">
        <v>28</v>
      </c>
      <c r="G7248" s="238">
        <f>MROUND(H7248*L7248*I7248/K7248,0.000000001)</f>
        <v>0</v>
      </c>
      <c r="H7248" s="158"/>
      <c r="I7248" s="159">
        <f t="shared" si="2024"/>
        <v>0.30039917999999999</v>
      </c>
      <c r="J7248" s="160"/>
      <c r="K7248" s="161">
        <f t="shared" si="2025"/>
        <v>9060</v>
      </c>
      <c r="L7248" s="250">
        <v>1</v>
      </c>
      <c r="M7248" s="163"/>
      <c r="N7248" s="164"/>
      <c r="O7248" s="165">
        <f t="shared" si="2023"/>
        <v>0</v>
      </c>
      <c r="P7248" s="166"/>
      <c r="Q7248" s="166">
        <f t="shared" si="2022"/>
        <v>0</v>
      </c>
      <c r="R7248" s="71"/>
    </row>
    <row r="7249" spans="1:18" s="61" customFormat="1" x14ac:dyDescent="0.25">
      <c r="A7249" s="358"/>
      <c r="B7249" s="361"/>
      <c r="C7249" s="366"/>
      <c r="D7249" s="254" t="s">
        <v>421</v>
      </c>
      <c r="E7249" s="156" t="s">
        <v>28</v>
      </c>
      <c r="F7249" s="156" t="s">
        <v>28</v>
      </c>
      <c r="G7249" s="238">
        <f>MROUND(H7249*L7249*I7249/K7249,0.00000001)</f>
        <v>0</v>
      </c>
      <c r="H7249" s="158"/>
      <c r="I7249" s="159">
        <f t="shared" si="2024"/>
        <v>0.30039917999999999</v>
      </c>
      <c r="J7249" s="160"/>
      <c r="K7249" s="161">
        <f t="shared" si="2025"/>
        <v>9060</v>
      </c>
      <c r="L7249" s="250">
        <v>1</v>
      </c>
      <c r="M7249" s="163"/>
      <c r="N7249" s="164"/>
      <c r="O7249" s="165">
        <f t="shared" si="2023"/>
        <v>0</v>
      </c>
      <c r="P7249" s="166"/>
      <c r="Q7249" s="166">
        <f t="shared" si="2022"/>
        <v>0</v>
      </c>
      <c r="R7249" s="71"/>
    </row>
    <row r="7250" spans="1:18" s="61" customFormat="1" ht="30" x14ac:dyDescent="0.25">
      <c r="A7250" s="358"/>
      <c r="B7250" s="361"/>
      <c r="C7250" s="366"/>
      <c r="D7250" s="254" t="s">
        <v>422</v>
      </c>
      <c r="E7250" s="156" t="s">
        <v>28</v>
      </c>
      <c r="F7250" s="156" t="s">
        <v>28</v>
      </c>
      <c r="G7250" s="266">
        <f>MROUND(H7250*L7250*I7250/K7250,0.00000001)</f>
        <v>0</v>
      </c>
      <c r="H7250" s="158"/>
      <c r="I7250" s="159">
        <f t="shared" si="2024"/>
        <v>0.30039917999999999</v>
      </c>
      <c r="J7250" s="160"/>
      <c r="K7250" s="161">
        <f t="shared" si="2025"/>
        <v>9060</v>
      </c>
      <c r="L7250" s="250">
        <v>1</v>
      </c>
      <c r="M7250" s="163"/>
      <c r="N7250" s="164"/>
      <c r="O7250" s="165">
        <f t="shared" si="2023"/>
        <v>0</v>
      </c>
      <c r="P7250" s="166"/>
      <c r="Q7250" s="166">
        <f t="shared" si="2022"/>
        <v>0</v>
      </c>
      <c r="R7250" s="71"/>
    </row>
    <row r="7251" spans="1:18" s="61" customFormat="1" x14ac:dyDescent="0.25">
      <c r="A7251" s="358"/>
      <c r="B7251" s="361"/>
      <c r="C7251" s="366"/>
      <c r="D7251" s="254" t="s">
        <v>423</v>
      </c>
      <c r="E7251" s="156" t="s">
        <v>28</v>
      </c>
      <c r="F7251" s="156" t="s">
        <v>28</v>
      </c>
      <c r="G7251" s="238">
        <f>MROUND(H7251*L7251*I7251/K7251,0.000000001)</f>
        <v>0</v>
      </c>
      <c r="H7251" s="158"/>
      <c r="I7251" s="159">
        <f t="shared" si="2024"/>
        <v>0.30039917999999999</v>
      </c>
      <c r="J7251" s="160"/>
      <c r="K7251" s="161">
        <f t="shared" si="2025"/>
        <v>9060</v>
      </c>
      <c r="L7251" s="250">
        <v>1</v>
      </c>
      <c r="M7251" s="163"/>
      <c r="N7251" s="164"/>
      <c r="O7251" s="165">
        <f t="shared" si="2023"/>
        <v>0</v>
      </c>
      <c r="P7251" s="166"/>
      <c r="Q7251" s="166">
        <f t="shared" si="2022"/>
        <v>0</v>
      </c>
      <c r="R7251" s="71"/>
    </row>
    <row r="7252" spans="1:18" s="61" customFormat="1" x14ac:dyDescent="0.25">
      <c r="A7252" s="358"/>
      <c r="B7252" s="361"/>
      <c r="C7252" s="366"/>
      <c r="D7252" s="254" t="s">
        <v>424</v>
      </c>
      <c r="E7252" s="156" t="s">
        <v>28</v>
      </c>
      <c r="F7252" s="156" t="s">
        <v>28</v>
      </c>
      <c r="G7252" s="238">
        <f t="shared" ref="G7252:G7258" si="2026">MROUND(H7252*L7252*I7252/K7252,0.00000001)</f>
        <v>0</v>
      </c>
      <c r="H7252" s="158"/>
      <c r="I7252" s="159">
        <f>I7241</f>
        <v>0.30039917999999999</v>
      </c>
      <c r="J7252" s="160"/>
      <c r="K7252" s="161">
        <f>K7241</f>
        <v>9060</v>
      </c>
      <c r="L7252" s="250">
        <v>1</v>
      </c>
      <c r="M7252" s="163"/>
      <c r="N7252" s="164"/>
      <c r="O7252" s="165">
        <f t="shared" si="2023"/>
        <v>0</v>
      </c>
      <c r="P7252" s="166"/>
      <c r="Q7252" s="166">
        <f t="shared" si="2022"/>
        <v>0</v>
      </c>
      <c r="R7252" s="71"/>
    </row>
    <row r="7253" spans="1:18" s="61" customFormat="1" x14ac:dyDescent="0.25">
      <c r="A7253" s="358"/>
      <c r="B7253" s="361"/>
      <c r="C7253" s="366"/>
      <c r="D7253" s="254" t="s">
        <v>425</v>
      </c>
      <c r="E7253" s="156" t="s">
        <v>28</v>
      </c>
      <c r="F7253" s="156" t="s">
        <v>28</v>
      </c>
      <c r="G7253" s="277">
        <f t="shared" si="2026"/>
        <v>0</v>
      </c>
      <c r="H7253" s="158"/>
      <c r="I7253" s="159">
        <f t="shared" ref="I7253:I7258" si="2027">I7252</f>
        <v>0.30039917999999999</v>
      </c>
      <c r="J7253" s="160"/>
      <c r="K7253" s="161">
        <f t="shared" ref="K7253:K7258" si="2028">K7252</f>
        <v>9060</v>
      </c>
      <c r="L7253" s="250">
        <v>1</v>
      </c>
      <c r="M7253" s="163"/>
      <c r="N7253" s="164"/>
      <c r="O7253" s="165">
        <f t="shared" si="2023"/>
        <v>0</v>
      </c>
      <c r="P7253" s="166"/>
      <c r="Q7253" s="166">
        <f t="shared" si="2022"/>
        <v>0</v>
      </c>
      <c r="R7253" s="71"/>
    </row>
    <row r="7254" spans="1:18" s="61" customFormat="1" x14ac:dyDescent="0.25">
      <c r="A7254" s="358"/>
      <c r="B7254" s="361"/>
      <c r="C7254" s="366"/>
      <c r="D7254" s="254" t="s">
        <v>108</v>
      </c>
      <c r="E7254" s="156" t="s">
        <v>28</v>
      </c>
      <c r="F7254" s="156" t="s">
        <v>28</v>
      </c>
      <c r="G7254" s="238">
        <f t="shared" si="2026"/>
        <v>0</v>
      </c>
      <c r="H7254" s="158"/>
      <c r="I7254" s="159">
        <f t="shared" si="2027"/>
        <v>0.30039917999999999</v>
      </c>
      <c r="J7254" s="160"/>
      <c r="K7254" s="161">
        <f t="shared" si="2028"/>
        <v>9060</v>
      </c>
      <c r="L7254" s="250">
        <v>1</v>
      </c>
      <c r="M7254" s="163"/>
      <c r="N7254" s="164"/>
      <c r="O7254" s="165">
        <f t="shared" si="2023"/>
        <v>0</v>
      </c>
      <c r="P7254" s="166"/>
      <c r="Q7254" s="166">
        <f t="shared" si="2022"/>
        <v>0</v>
      </c>
      <c r="R7254" s="71"/>
    </row>
    <row r="7255" spans="1:18" s="61" customFormat="1" x14ac:dyDescent="0.25">
      <c r="A7255" s="358"/>
      <c r="B7255" s="361"/>
      <c r="C7255" s="366"/>
      <c r="D7255" s="254" t="s">
        <v>426</v>
      </c>
      <c r="E7255" s="156" t="s">
        <v>28</v>
      </c>
      <c r="F7255" s="156" t="s">
        <v>28</v>
      </c>
      <c r="G7255" s="238">
        <f t="shared" si="2026"/>
        <v>0</v>
      </c>
      <c r="H7255" s="158"/>
      <c r="I7255" s="159">
        <f t="shared" si="2027"/>
        <v>0.30039917999999999</v>
      </c>
      <c r="J7255" s="160"/>
      <c r="K7255" s="161">
        <f t="shared" si="2028"/>
        <v>9060</v>
      </c>
      <c r="L7255" s="250">
        <v>1</v>
      </c>
      <c r="M7255" s="163"/>
      <c r="N7255" s="164"/>
      <c r="O7255" s="165">
        <f t="shared" si="2023"/>
        <v>0</v>
      </c>
      <c r="P7255" s="166"/>
      <c r="Q7255" s="166">
        <f t="shared" si="2022"/>
        <v>0</v>
      </c>
      <c r="R7255" s="71"/>
    </row>
    <row r="7256" spans="1:18" s="61" customFormat="1" x14ac:dyDescent="0.25">
      <c r="A7256" s="358"/>
      <c r="B7256" s="361"/>
      <c r="C7256" s="366"/>
      <c r="D7256" s="254" t="s">
        <v>427</v>
      </c>
      <c r="E7256" s="156" t="s">
        <v>28</v>
      </c>
      <c r="F7256" s="156" t="s">
        <v>28</v>
      </c>
      <c r="G7256" s="238">
        <f t="shared" si="2026"/>
        <v>0</v>
      </c>
      <c r="H7256" s="158"/>
      <c r="I7256" s="159">
        <f t="shared" si="2027"/>
        <v>0.30039917999999999</v>
      </c>
      <c r="J7256" s="160"/>
      <c r="K7256" s="161">
        <f t="shared" si="2028"/>
        <v>9060</v>
      </c>
      <c r="L7256" s="250">
        <v>1</v>
      </c>
      <c r="M7256" s="163"/>
      <c r="N7256" s="164"/>
      <c r="O7256" s="165">
        <f t="shared" si="2023"/>
        <v>0</v>
      </c>
      <c r="P7256" s="166"/>
      <c r="Q7256" s="166">
        <f t="shared" si="2022"/>
        <v>0</v>
      </c>
      <c r="R7256" s="71"/>
    </row>
    <row r="7257" spans="1:18" s="61" customFormat="1" x14ac:dyDescent="0.25">
      <c r="A7257" s="358"/>
      <c r="B7257" s="361"/>
      <c r="C7257" s="366"/>
      <c r="D7257" s="254" t="s">
        <v>428</v>
      </c>
      <c r="E7257" s="156" t="s">
        <v>28</v>
      </c>
      <c r="F7257" s="156" t="s">
        <v>28</v>
      </c>
      <c r="G7257" s="238">
        <f t="shared" si="2026"/>
        <v>0</v>
      </c>
      <c r="H7257" s="158"/>
      <c r="I7257" s="159">
        <f t="shared" si="2027"/>
        <v>0.30039917999999999</v>
      </c>
      <c r="J7257" s="160"/>
      <c r="K7257" s="161">
        <f t="shared" si="2028"/>
        <v>9060</v>
      </c>
      <c r="L7257" s="250">
        <v>1</v>
      </c>
      <c r="M7257" s="163"/>
      <c r="N7257" s="164"/>
      <c r="O7257" s="165">
        <f t="shared" si="2023"/>
        <v>0</v>
      </c>
      <c r="P7257" s="166"/>
      <c r="Q7257" s="166">
        <f t="shared" si="2022"/>
        <v>0</v>
      </c>
      <c r="R7257" s="71"/>
    </row>
    <row r="7258" spans="1:18" s="61" customFormat="1" x14ac:dyDescent="0.25">
      <c r="A7258" s="358"/>
      <c r="B7258" s="361"/>
      <c r="C7258" s="366"/>
      <c r="D7258" s="255" t="s">
        <v>429</v>
      </c>
      <c r="E7258" s="156" t="s">
        <v>28</v>
      </c>
      <c r="F7258" s="156" t="s">
        <v>28</v>
      </c>
      <c r="G7258" s="238">
        <f t="shared" si="2026"/>
        <v>0</v>
      </c>
      <c r="H7258" s="158"/>
      <c r="I7258" s="159">
        <f t="shared" si="2027"/>
        <v>0.30039917999999999</v>
      </c>
      <c r="J7258" s="160"/>
      <c r="K7258" s="161">
        <f t="shared" si="2028"/>
        <v>9060</v>
      </c>
      <c r="L7258" s="250">
        <v>1</v>
      </c>
      <c r="M7258" s="163"/>
      <c r="N7258" s="164"/>
      <c r="O7258" s="165">
        <f t="shared" si="2023"/>
        <v>0</v>
      </c>
      <c r="P7258" s="166"/>
      <c r="Q7258" s="166">
        <f t="shared" si="2022"/>
        <v>0</v>
      </c>
      <c r="R7258" s="71"/>
    </row>
    <row r="7259" spans="1:18" s="61" customFormat="1" x14ac:dyDescent="0.25">
      <c r="A7259" s="358"/>
      <c r="B7259" s="361"/>
      <c r="C7259" s="249" t="s">
        <v>311</v>
      </c>
      <c r="D7259" s="256"/>
      <c r="E7259" s="240"/>
      <c r="F7259" s="240"/>
      <c r="G7259" s="227"/>
      <c r="H7259" s="241"/>
      <c r="I7259" s="206"/>
      <c r="J7259" s="228"/>
      <c r="K7259" s="207"/>
      <c r="L7259" s="257"/>
      <c r="M7259" s="209"/>
      <c r="N7259" s="210"/>
      <c r="O7259" s="198">
        <f>SUM(O7235:O7258)</f>
        <v>0</v>
      </c>
      <c r="P7259" s="166"/>
      <c r="Q7259" s="166"/>
      <c r="R7259" s="71"/>
    </row>
    <row r="7260" spans="1:18" s="61" customFormat="1" ht="110.25" x14ac:dyDescent="0.25">
      <c r="A7260" s="358"/>
      <c r="B7260" s="361"/>
      <c r="C7260" s="221" t="s">
        <v>82</v>
      </c>
      <c r="D7260" s="156" t="s">
        <v>46</v>
      </c>
      <c r="E7260" s="156" t="s">
        <v>54</v>
      </c>
      <c r="F7260" s="156" t="s">
        <v>285</v>
      </c>
      <c r="G7260" s="238">
        <f>MROUND(H7260*L7260*I7260/K7260,0.000001)</f>
        <v>0.375002</v>
      </c>
      <c r="H7260" s="242">
        <f>H6900</f>
        <v>1028.1818077549303</v>
      </c>
      <c r="I7260" s="159">
        <f>I7258</f>
        <v>0.30039917999999999</v>
      </c>
      <c r="J7260" s="160"/>
      <c r="K7260" s="161">
        <f>K7258</f>
        <v>9060</v>
      </c>
      <c r="L7260" s="225">
        <f>L6900</f>
        <v>11</v>
      </c>
      <c r="M7260" s="163" t="str">
        <f>CONCATENATE(H7260," ",F7260,"*",L7260,"автобуса","*",I7260,"/",K7260,"чел.")</f>
        <v>1028,18180775493 л бензина АИ 92 (12,5л/день(зимой)*20дней*7мес+10л/день(летом)*20дней*4мес)*11автобуса*0,30039918/9060чел.</v>
      </c>
      <c r="N7260" s="164">
        <f>N6900</f>
        <v>59.28728000000001</v>
      </c>
      <c r="O7260" s="165">
        <f>MROUND(G7260*N7260,0.000001)</f>
        <v>22.232848999999998</v>
      </c>
      <c r="P7260" s="166"/>
      <c r="Q7260" s="166">
        <f t="shared" ref="Q7260" si="2029">O7260*K7260</f>
        <v>201429.61193999997</v>
      </c>
      <c r="R7260" s="71"/>
    </row>
    <row r="7261" spans="1:18" s="61" customFormat="1" x14ac:dyDescent="0.25">
      <c r="A7261" s="358"/>
      <c r="B7261" s="361"/>
      <c r="C7261" s="218" t="s">
        <v>309</v>
      </c>
      <c r="D7261" s="240"/>
      <c r="E7261" s="240"/>
      <c r="F7261" s="240"/>
      <c r="G7261" s="227"/>
      <c r="H7261" s="241"/>
      <c r="I7261" s="206"/>
      <c r="J7261" s="228"/>
      <c r="K7261" s="207"/>
      <c r="L7261" s="257"/>
      <c r="M7261" s="209"/>
      <c r="N7261" s="210"/>
      <c r="O7261" s="198">
        <f>SUM(O7260)</f>
        <v>22.232848999999998</v>
      </c>
      <c r="P7261" s="166"/>
      <c r="Q7261" s="166"/>
      <c r="R7261" s="71"/>
    </row>
    <row r="7262" spans="1:18" s="61" customFormat="1" ht="47.25" x14ac:dyDescent="0.25">
      <c r="A7262" s="358"/>
      <c r="B7262" s="361"/>
      <c r="C7262" s="221" t="s">
        <v>434</v>
      </c>
      <c r="D7262" s="156" t="s">
        <v>436</v>
      </c>
      <c r="E7262" s="156" t="s">
        <v>28</v>
      </c>
      <c r="F7262" s="156" t="s">
        <v>437</v>
      </c>
      <c r="G7262" s="157">
        <f>MROUND(H7262*L7262*I7262/K7262,0.000001)</f>
        <v>9.6150000000000003E-3</v>
      </c>
      <c r="H7262" s="242">
        <f>$H$125</f>
        <v>290</v>
      </c>
      <c r="I7262" s="159">
        <f>I7260</f>
        <v>0.30039917999999999</v>
      </c>
      <c r="J7262" s="160"/>
      <c r="K7262" s="161">
        <f>K7260</f>
        <v>9060</v>
      </c>
      <c r="L7262" s="162">
        <v>1</v>
      </c>
      <c r="M7262" s="163" t="str">
        <f>CONCATENATE(H7262," ",F7262,"*",L7262,"автобуса","*",I7262,"/",K7262,"чел.")</f>
        <v>290 огнетушителей (потребность учреждений) *1автобуса*0,30039918/9060чел.</v>
      </c>
      <c r="N7262" s="164">
        <f>$N$125</f>
        <v>2000</v>
      </c>
      <c r="O7262" s="165">
        <f>MROUND(G7262*N7262,0.000001)</f>
        <v>19.23</v>
      </c>
      <c r="P7262" s="166"/>
      <c r="Q7262" s="166">
        <f t="shared" ref="Q7262" si="2030">O7262*K7262</f>
        <v>174223.80000000002</v>
      </c>
      <c r="R7262" s="71"/>
    </row>
    <row r="7263" spans="1:18" s="61" customFormat="1" x14ac:dyDescent="0.25">
      <c r="A7263" s="358"/>
      <c r="B7263" s="361"/>
      <c r="C7263" s="218" t="s">
        <v>435</v>
      </c>
      <c r="D7263" s="240"/>
      <c r="E7263" s="240"/>
      <c r="F7263" s="240"/>
      <c r="G7263" s="251"/>
      <c r="H7263" s="241"/>
      <c r="I7263" s="206"/>
      <c r="J7263" s="228"/>
      <c r="K7263" s="207"/>
      <c r="L7263" s="229"/>
      <c r="M7263" s="209"/>
      <c r="N7263" s="210"/>
      <c r="O7263" s="198">
        <f>SUM(O7262)</f>
        <v>19.23</v>
      </c>
      <c r="P7263" s="166"/>
      <c r="Q7263" s="166"/>
      <c r="R7263" s="71"/>
    </row>
    <row r="7264" spans="1:18" s="61" customFormat="1" ht="47.25" x14ac:dyDescent="0.25">
      <c r="A7264" s="358"/>
      <c r="B7264" s="361"/>
      <c r="C7264" s="364" t="s">
        <v>118</v>
      </c>
      <c r="D7264" s="156" t="s">
        <v>47</v>
      </c>
      <c r="E7264" s="156" t="s">
        <v>28</v>
      </c>
      <c r="F7264" s="156" t="s">
        <v>239</v>
      </c>
      <c r="G7264" s="238">
        <f>MROUND(H7264*L7264*I7264/K7264,0.00000001)</f>
        <v>4.6419299999999998E-3</v>
      </c>
      <c r="H7264" s="158">
        <f>H6904</f>
        <v>140</v>
      </c>
      <c r="I7264" s="159">
        <f>I7260</f>
        <v>0.30039917999999999</v>
      </c>
      <c r="J7264" s="160"/>
      <c r="K7264" s="161">
        <f>K7260</f>
        <v>9060</v>
      </c>
      <c r="L7264" s="250">
        <v>1</v>
      </c>
      <c r="M7264" s="163" t="str">
        <f>CONCATENATE(H7264," ",F7264,"*",I7264,"/",K7264,"чел.")</f>
        <v>140 манометров (потребность учреждений) *0,30039918/9060чел.</v>
      </c>
      <c r="N7264" s="164">
        <f>N6904</f>
        <v>770.73500000000035</v>
      </c>
      <c r="O7264" s="165">
        <f>MROUND(G7264*N7264,0.000001)</f>
        <v>3.5776979999999998</v>
      </c>
      <c r="P7264" s="166"/>
      <c r="Q7264" s="166">
        <f t="shared" ref="Q7264:Q7265" si="2031">O7264*K7264</f>
        <v>32413.943879999999</v>
      </c>
      <c r="R7264" s="71"/>
    </row>
    <row r="7265" spans="1:18" s="61" customFormat="1" ht="47.25" x14ac:dyDescent="0.25">
      <c r="A7265" s="358"/>
      <c r="B7265" s="361"/>
      <c r="C7265" s="364"/>
      <c r="D7265" s="255" t="s">
        <v>113</v>
      </c>
      <c r="E7265" s="156" t="s">
        <v>28</v>
      </c>
      <c r="F7265" s="156" t="s">
        <v>240</v>
      </c>
      <c r="G7265" s="238">
        <f>MROUND(H7265*L7265*I7265/K7265,0.00000001)</f>
        <v>0.18949020999999999</v>
      </c>
      <c r="H7265" s="158">
        <f>H6905</f>
        <v>5715</v>
      </c>
      <c r="I7265" s="159">
        <f>I7264</f>
        <v>0.30039917999999999</v>
      </c>
      <c r="J7265" s="160"/>
      <c r="K7265" s="161">
        <f>K7264</f>
        <v>9060</v>
      </c>
      <c r="L7265" s="250">
        <v>1</v>
      </c>
      <c r="M7265" s="163" t="str">
        <f>CONCATENATE(H7265," ",F7265,"*",I7265,"/",K7265,"чел.")</f>
        <v>5715 светильников (потребность учреждений)*0,30039918/9060чел.</v>
      </c>
      <c r="N7265" s="164">
        <f>N6905</f>
        <v>115.61019597550306</v>
      </c>
      <c r="O7265" s="165">
        <f>MROUND(G7265*N7265,0.000001)</f>
        <v>21.907</v>
      </c>
      <c r="P7265" s="166"/>
      <c r="Q7265" s="166">
        <f t="shared" si="2031"/>
        <v>198477.42</v>
      </c>
      <c r="R7265" s="71"/>
    </row>
    <row r="7266" spans="1:18" s="61" customFormat="1" x14ac:dyDescent="0.25">
      <c r="A7266" s="359"/>
      <c r="B7266" s="362"/>
      <c r="C7266" s="218" t="s">
        <v>310</v>
      </c>
      <c r="D7266" s="256"/>
      <c r="E7266" s="240"/>
      <c r="F7266" s="240"/>
      <c r="G7266" s="227"/>
      <c r="H7266" s="241"/>
      <c r="I7266" s="206"/>
      <c r="J7266" s="228"/>
      <c r="K7266" s="207"/>
      <c r="L7266" s="257"/>
      <c r="M7266" s="209"/>
      <c r="N7266" s="210"/>
      <c r="O7266" s="198">
        <f>SUM(O7264:O7265)</f>
        <v>25.484698000000002</v>
      </c>
      <c r="P7266" s="166"/>
      <c r="Q7266" s="166"/>
      <c r="R7266" s="71"/>
    </row>
    <row r="7267" spans="1:18" s="61" customFormat="1" x14ac:dyDescent="0.25">
      <c r="A7267" s="357" t="str">
        <f>CONCATENATE(школы!$B$10,", ",школы!$C$10,", ",школы!$D$10)</f>
        <v>Реализация основных общеобразовательных программ начального общего образования, образовательная программа, обеспечивающая углубленное изучение отдельных учебных предметов, предметных областей (профильное обучение), дети-инвалиды</v>
      </c>
      <c r="B7267" s="360" t="str">
        <f>школы!$A$10</f>
        <v>801012О.99.0.БА81АН96001</v>
      </c>
      <c r="C7267" s="194"/>
      <c r="D7267" s="363" t="s">
        <v>15</v>
      </c>
      <c r="E7267" s="363"/>
      <c r="F7267" s="363"/>
      <c r="G7267" s="363"/>
      <c r="H7267" s="195"/>
      <c r="I7267" s="195"/>
      <c r="J7267" s="195"/>
      <c r="K7267" s="195"/>
      <c r="L7267" s="196"/>
      <c r="M7267" s="197"/>
      <c r="N7267" s="164"/>
      <c r="O7267" s="198">
        <f>O7268+O7273+O7275</f>
        <v>9897.3716211280007</v>
      </c>
      <c r="P7267" s="166"/>
      <c r="Q7267" s="166"/>
      <c r="R7267" s="71"/>
    </row>
    <row r="7268" spans="1:18" s="61" customFormat="1" x14ac:dyDescent="0.25">
      <c r="A7268" s="358"/>
      <c r="B7268" s="361"/>
      <c r="C7268" s="194"/>
      <c r="D7268" s="350" t="s">
        <v>62</v>
      </c>
      <c r="E7268" s="350"/>
      <c r="F7268" s="350"/>
      <c r="G7268" s="350"/>
      <c r="H7268" s="195"/>
      <c r="I7268" s="195"/>
      <c r="J7268" s="195"/>
      <c r="K7268" s="195"/>
      <c r="L7268" s="196"/>
      <c r="M7268" s="197"/>
      <c r="N7268" s="164"/>
      <c r="O7268" s="165">
        <f>O7270+O7272</f>
        <v>9897.3716211280007</v>
      </c>
      <c r="P7268" s="166"/>
      <c r="Q7268" s="166"/>
      <c r="R7268" s="71"/>
    </row>
    <row r="7269" spans="1:18" s="61" customFormat="1" x14ac:dyDescent="0.25">
      <c r="A7269" s="358"/>
      <c r="B7269" s="361"/>
      <c r="C7269" s="194">
        <v>211</v>
      </c>
      <c r="D7269" s="194" t="s">
        <v>86</v>
      </c>
      <c r="E7269" s="199" t="s">
        <v>95</v>
      </c>
      <c r="F7269" s="199" t="s">
        <v>95</v>
      </c>
      <c r="G7269" s="275">
        <f>MROUND(H7269*L7269*I7269/K7269,0.0000000001)</f>
        <v>0.59002574400000007</v>
      </c>
      <c r="H7269" s="201">
        <f>H6789</f>
        <v>921.8</v>
      </c>
      <c r="I7269" s="159">
        <f>школы!$K$10</f>
        <v>1.6002E-4</v>
      </c>
      <c r="J7269" s="159"/>
      <c r="K7269" s="161">
        <f>школы!$G$10</f>
        <v>3</v>
      </c>
      <c r="L7269" s="202">
        <v>12</v>
      </c>
      <c r="M7269" s="163" t="str">
        <f>CONCATENATE(H7269," ",F7269," ","в мес.","*",L7269,"мес.","*",I7269,"/",K7269,"чел.")</f>
        <v>921,8 шт.ед в мес.*12мес.*0,00016002/3чел.</v>
      </c>
      <c r="N7269" s="164">
        <f>N6789</f>
        <v>12883.620739314385</v>
      </c>
      <c r="O7269" s="165">
        <f>MROUND(G7269*N7269,0.000000001)</f>
        <v>7601.6679121280004</v>
      </c>
      <c r="P7269" s="166"/>
      <c r="Q7269" s="166">
        <f t="shared" ref="Q7269" si="2032">O7269*K7269</f>
        <v>22805.003736384002</v>
      </c>
      <c r="R7269" s="71"/>
    </row>
    <row r="7270" spans="1:18" s="61" customFormat="1" x14ac:dyDescent="0.25">
      <c r="A7270" s="358"/>
      <c r="B7270" s="361"/>
      <c r="C7270" s="203" t="s">
        <v>288</v>
      </c>
      <c r="D7270" s="203"/>
      <c r="E7270" s="204"/>
      <c r="F7270" s="204"/>
      <c r="G7270" s="205"/>
      <c r="H7270" s="206"/>
      <c r="I7270" s="206"/>
      <c r="J7270" s="206"/>
      <c r="K7270" s="207"/>
      <c r="L7270" s="208"/>
      <c r="M7270" s="209"/>
      <c r="N7270" s="210">
        <f>N7269</f>
        <v>12883.620739314385</v>
      </c>
      <c r="O7270" s="198">
        <f>O7269</f>
        <v>7601.6679121280004</v>
      </c>
      <c r="P7270" s="166"/>
      <c r="Q7270" s="166"/>
      <c r="R7270" s="71"/>
    </row>
    <row r="7271" spans="1:18" s="61" customFormat="1" x14ac:dyDescent="0.25">
      <c r="A7271" s="358"/>
      <c r="B7271" s="361"/>
      <c r="C7271" s="194">
        <v>213</v>
      </c>
      <c r="D7271" s="194" t="s">
        <v>87</v>
      </c>
      <c r="E7271" s="194" t="s">
        <v>88</v>
      </c>
      <c r="F7271" s="194"/>
      <c r="G7271" s="211">
        <v>30.2</v>
      </c>
      <c r="H7271" s="159"/>
      <c r="I7271" s="159"/>
      <c r="J7271" s="159"/>
      <c r="K7271" s="161">
        <f>K7269</f>
        <v>3</v>
      </c>
      <c r="L7271" s="202"/>
      <c r="M7271" s="212"/>
      <c r="N7271" s="164"/>
      <c r="O7271" s="165">
        <f>MROUND(O7269*0.302,0.000001)</f>
        <v>2295.7037089999999</v>
      </c>
      <c r="P7271" s="166"/>
      <c r="Q7271" s="166">
        <f>O7271*K7271</f>
        <v>6887.1111270000001</v>
      </c>
      <c r="R7271" s="71"/>
    </row>
    <row r="7272" spans="1:18" s="61" customFormat="1" x14ac:dyDescent="0.25">
      <c r="A7272" s="358"/>
      <c r="B7272" s="361"/>
      <c r="C7272" s="203" t="s">
        <v>289</v>
      </c>
      <c r="D7272" s="203"/>
      <c r="E7272" s="203"/>
      <c r="F7272" s="203"/>
      <c r="G7272" s="213"/>
      <c r="H7272" s="214"/>
      <c r="I7272" s="206"/>
      <c r="J7272" s="214"/>
      <c r="K7272" s="207"/>
      <c r="L7272" s="215"/>
      <c r="M7272" s="216"/>
      <c r="N7272" s="210"/>
      <c r="O7272" s="198">
        <f>O7271</f>
        <v>2295.7037089999999</v>
      </c>
      <c r="P7272" s="166"/>
      <c r="Q7272" s="166"/>
      <c r="R7272" s="71"/>
    </row>
    <row r="7273" spans="1:18" s="61" customFormat="1" x14ac:dyDescent="0.25">
      <c r="A7273" s="358"/>
      <c r="B7273" s="361"/>
      <c r="C7273" s="194"/>
      <c r="D7273" s="356" t="s">
        <v>63</v>
      </c>
      <c r="E7273" s="356"/>
      <c r="F7273" s="356"/>
      <c r="G7273" s="356"/>
      <c r="H7273" s="195"/>
      <c r="I7273" s="159"/>
      <c r="J7273" s="195"/>
      <c r="K7273" s="161"/>
      <c r="L7273" s="196"/>
      <c r="M7273" s="197"/>
      <c r="N7273" s="164"/>
      <c r="O7273" s="165"/>
      <c r="P7273" s="166"/>
      <c r="Q7273" s="166"/>
      <c r="R7273" s="71"/>
    </row>
    <row r="7274" spans="1:18" s="61" customFormat="1" x14ac:dyDescent="0.25">
      <c r="A7274" s="358"/>
      <c r="B7274" s="361"/>
      <c r="C7274" s="194"/>
      <c r="D7274" s="194"/>
      <c r="E7274" s="194"/>
      <c r="F7274" s="194"/>
      <c r="G7274" s="217"/>
      <c r="H7274" s="195"/>
      <c r="I7274" s="159"/>
      <c r="J7274" s="195"/>
      <c r="K7274" s="161"/>
      <c r="L7274" s="196"/>
      <c r="M7274" s="197"/>
      <c r="N7274" s="164"/>
      <c r="O7274" s="165"/>
      <c r="P7274" s="166"/>
      <c r="Q7274" s="166"/>
      <c r="R7274" s="71"/>
    </row>
    <row r="7275" spans="1:18" s="61" customFormat="1" x14ac:dyDescent="0.25">
      <c r="A7275" s="358"/>
      <c r="B7275" s="361"/>
      <c r="C7275" s="194"/>
      <c r="D7275" s="350" t="s">
        <v>64</v>
      </c>
      <c r="E7275" s="350"/>
      <c r="F7275" s="350"/>
      <c r="G7275" s="350"/>
      <c r="H7275" s="195"/>
      <c r="I7275" s="159"/>
      <c r="J7275" s="195"/>
      <c r="K7275" s="161"/>
      <c r="L7275" s="196"/>
      <c r="M7275" s="197"/>
      <c r="N7275" s="164"/>
      <c r="O7275" s="165"/>
      <c r="P7275" s="166"/>
      <c r="Q7275" s="166"/>
      <c r="R7275" s="71"/>
    </row>
    <row r="7276" spans="1:18" s="61" customFormat="1" x14ac:dyDescent="0.25">
      <c r="A7276" s="358"/>
      <c r="B7276" s="361"/>
      <c r="C7276" s="194"/>
      <c r="D7276" s="194"/>
      <c r="E7276" s="194"/>
      <c r="F7276" s="194"/>
      <c r="G7276" s="217"/>
      <c r="H7276" s="195"/>
      <c r="I7276" s="159"/>
      <c r="J7276" s="195"/>
      <c r="K7276" s="161"/>
      <c r="L7276" s="196"/>
      <c r="M7276" s="197"/>
      <c r="N7276" s="164"/>
      <c r="O7276" s="165"/>
      <c r="P7276" s="166"/>
      <c r="Q7276" s="166"/>
      <c r="R7276" s="71"/>
    </row>
    <row r="7277" spans="1:18" s="61" customFormat="1" x14ac:dyDescent="0.25">
      <c r="A7277" s="358"/>
      <c r="B7277" s="361"/>
      <c r="C7277" s="194"/>
      <c r="D7277" s="355" t="s">
        <v>5</v>
      </c>
      <c r="E7277" s="355"/>
      <c r="F7277" s="355"/>
      <c r="G7277" s="355"/>
      <c r="H7277" s="195"/>
      <c r="I7277" s="159"/>
      <c r="J7277" s="195"/>
      <c r="K7277" s="161"/>
      <c r="L7277" s="196"/>
      <c r="M7277" s="197"/>
      <c r="N7277" s="164"/>
      <c r="O7277" s="198">
        <f>O7278+O7288+O7299+O7301+O7303+O7305+O7307</f>
        <v>16609.533131349999</v>
      </c>
      <c r="P7277" s="166"/>
      <c r="Q7277" s="166"/>
      <c r="R7277" s="71"/>
    </row>
    <row r="7278" spans="1:18" s="61" customFormat="1" x14ac:dyDescent="0.25">
      <c r="A7278" s="358"/>
      <c r="B7278" s="361"/>
      <c r="C7278" s="218" t="s">
        <v>70</v>
      </c>
      <c r="D7278" s="355" t="s">
        <v>6</v>
      </c>
      <c r="E7278" s="355"/>
      <c r="F7278" s="355"/>
      <c r="G7278" s="355"/>
      <c r="H7278" s="189"/>
      <c r="I7278" s="159"/>
      <c r="J7278" s="189"/>
      <c r="K7278" s="161"/>
      <c r="L7278" s="190"/>
      <c r="M7278" s="197"/>
      <c r="N7278" s="210"/>
      <c r="O7278" s="198">
        <f>O7287</f>
        <v>10038.394384640002</v>
      </c>
      <c r="P7278" s="166"/>
      <c r="Q7278" s="166"/>
      <c r="R7278" s="71"/>
    </row>
    <row r="7279" spans="1:18" s="61" customFormat="1" ht="31.5" x14ac:dyDescent="0.25">
      <c r="A7279" s="358"/>
      <c r="B7279" s="361"/>
      <c r="C7279" s="221" t="s">
        <v>72</v>
      </c>
      <c r="D7279" s="222" t="s">
        <v>7</v>
      </c>
      <c r="E7279" s="223" t="s">
        <v>8</v>
      </c>
      <c r="F7279" s="223" t="s">
        <v>8</v>
      </c>
      <c r="G7279" s="238">
        <f>MROUND(H7279*L7279*I7279/K7279,0.00000000001)</f>
        <v>176.72189688591999</v>
      </c>
      <c r="H7279" s="160">
        <f t="shared" ref="H7279:H7286" si="2033">H6799</f>
        <v>3313121.4264326878</v>
      </c>
      <c r="I7279" s="159">
        <f>I7269</f>
        <v>1.6002E-4</v>
      </c>
      <c r="J7279" s="160"/>
      <c r="K7279" s="161">
        <f>K7269</f>
        <v>3</v>
      </c>
      <c r="L7279" s="250">
        <v>1</v>
      </c>
      <c r="M7279" s="163" t="str">
        <f t="shared" ref="M7279:M7284" si="2034">CONCATENATE(H7279," ",F7279,"(лимиты выделенные УЖКХ) ","*",I7279,"/",K7279,"чел.")</f>
        <v>3313121,42643269 кВт час.(лимиты выделенные УЖКХ) *0,00016002/3чел.</v>
      </c>
      <c r="N7279" s="164">
        <f t="shared" ref="N7279:N7286" si="2035">N6799</f>
        <v>11.333602475424668</v>
      </c>
      <c r="O7279" s="165">
        <f t="shared" ref="O7279:O7282" si="2036">MROUND(G7279*N7279,0.000001)</f>
        <v>2002.895728</v>
      </c>
      <c r="P7279" s="166"/>
      <c r="Q7279" s="166">
        <f t="shared" ref="Q7279:Q7286" si="2037">O7279*K7279</f>
        <v>6008.6871840000003</v>
      </c>
      <c r="R7279" s="71"/>
    </row>
    <row r="7280" spans="1:18" s="61" customFormat="1" ht="31.5" x14ac:dyDescent="0.25">
      <c r="A7280" s="358"/>
      <c r="B7280" s="361"/>
      <c r="C7280" s="221" t="s">
        <v>73</v>
      </c>
      <c r="D7280" s="222" t="s">
        <v>9</v>
      </c>
      <c r="E7280" s="223" t="s">
        <v>10</v>
      </c>
      <c r="F7280" s="223" t="s">
        <v>10</v>
      </c>
      <c r="G7280" s="238">
        <f>MROUND(H7280*L7280*I7280/K7280,0.00000000001)</f>
        <v>1.7014067825999999</v>
      </c>
      <c r="H7280" s="160">
        <f t="shared" si="2033"/>
        <v>31897.39</v>
      </c>
      <c r="I7280" s="159">
        <f t="shared" ref="I7280:I7343" si="2038">I7279</f>
        <v>1.6002E-4</v>
      </c>
      <c r="J7280" s="160"/>
      <c r="K7280" s="161">
        <f t="shared" ref="K7280:K7286" si="2039">K7279</f>
        <v>3</v>
      </c>
      <c r="L7280" s="250">
        <v>1</v>
      </c>
      <c r="M7280" s="163" t="str">
        <f t="shared" si="2034"/>
        <v>31897,39 Гкал(лимиты выделенные УЖКХ) *0,00016002/3чел.</v>
      </c>
      <c r="N7280" s="164">
        <f t="shared" si="2035"/>
        <v>3095.3018623153812</v>
      </c>
      <c r="O7280" s="165">
        <f t="shared" si="2036"/>
        <v>5266.3675830000002</v>
      </c>
      <c r="P7280" s="166"/>
      <c r="Q7280" s="166">
        <f t="shared" si="2037"/>
        <v>15799.102749000001</v>
      </c>
      <c r="R7280" s="71"/>
    </row>
    <row r="7281" spans="1:18" s="61" customFormat="1" ht="31.5" x14ac:dyDescent="0.25">
      <c r="A7281" s="358"/>
      <c r="B7281" s="361"/>
      <c r="C7281" s="364" t="s">
        <v>74</v>
      </c>
      <c r="D7281" s="222" t="s">
        <v>12</v>
      </c>
      <c r="E7281" s="222" t="s">
        <v>11</v>
      </c>
      <c r="F7281" s="222" t="s">
        <v>11</v>
      </c>
      <c r="G7281" s="238">
        <f>MROUND(H7281*L7281*I7281/K7281,0.00000000001)</f>
        <v>9.8532405677999986</v>
      </c>
      <c r="H7281" s="224">
        <f t="shared" si="2033"/>
        <v>184725.17</v>
      </c>
      <c r="I7281" s="159">
        <f t="shared" si="2038"/>
        <v>1.6002E-4</v>
      </c>
      <c r="J7281" s="160"/>
      <c r="K7281" s="161">
        <f t="shared" si="2039"/>
        <v>3</v>
      </c>
      <c r="L7281" s="250">
        <v>1</v>
      </c>
      <c r="M7281" s="163" t="str">
        <f t="shared" si="2034"/>
        <v>184725,17 м3(лимиты выделенные УЖКХ) *0,00016002/3чел.</v>
      </c>
      <c r="N7281" s="164">
        <f t="shared" si="2035"/>
        <v>56.382747245543193</v>
      </c>
      <c r="O7281" s="165">
        <f t="shared" si="2036"/>
        <v>555.552772</v>
      </c>
      <c r="P7281" s="166"/>
      <c r="Q7281" s="166">
        <f t="shared" si="2037"/>
        <v>1666.658316</v>
      </c>
      <c r="R7281" s="71"/>
    </row>
    <row r="7282" spans="1:18" s="61" customFormat="1" ht="47.25" x14ac:dyDescent="0.25">
      <c r="A7282" s="358"/>
      <c r="B7282" s="361"/>
      <c r="C7282" s="364"/>
      <c r="D7282" s="222" t="s">
        <v>17</v>
      </c>
      <c r="E7282" s="222" t="s">
        <v>11</v>
      </c>
      <c r="F7282" s="222" t="s">
        <v>11</v>
      </c>
      <c r="G7282" s="238">
        <f>MROUND(H7282*L7282*I7282/K7282,0.00000000001)</f>
        <v>9.8532405677999986</v>
      </c>
      <c r="H7282" s="160">
        <f t="shared" si="2033"/>
        <v>184725.17</v>
      </c>
      <c r="I7282" s="159">
        <f t="shared" si="2038"/>
        <v>1.6002E-4</v>
      </c>
      <c r="J7282" s="160"/>
      <c r="K7282" s="161">
        <f t="shared" si="2039"/>
        <v>3</v>
      </c>
      <c r="L7282" s="162">
        <f>$L$6802</f>
        <v>1</v>
      </c>
      <c r="M7282" s="163" t="str">
        <f t="shared" si="2034"/>
        <v>184725,17 м3(лимиты выделенные УЖКХ) *0,00016002/3чел.</v>
      </c>
      <c r="N7282" s="164">
        <f t="shared" si="2035"/>
        <v>85.679537612054773</v>
      </c>
      <c r="O7282" s="165">
        <f t="shared" si="2036"/>
        <v>844.22109599999999</v>
      </c>
      <c r="P7282" s="166"/>
      <c r="Q7282" s="166">
        <f t="shared" si="2037"/>
        <v>2532.6632879999997</v>
      </c>
      <c r="R7282" s="71"/>
    </row>
    <row r="7283" spans="1:18" s="61" customFormat="1" ht="31.5" x14ac:dyDescent="0.25">
      <c r="A7283" s="358"/>
      <c r="B7283" s="361"/>
      <c r="C7283" s="364"/>
      <c r="D7283" s="222" t="s">
        <v>13</v>
      </c>
      <c r="E7283" s="222" t="s">
        <v>11</v>
      </c>
      <c r="F7283" s="222" t="s">
        <v>11</v>
      </c>
      <c r="G7283" s="238">
        <f>MROUND(H7283*L7283*I7283/K7283,0.00000000001)</f>
        <v>9.8532405677999986</v>
      </c>
      <c r="H7283" s="160">
        <f t="shared" si="2033"/>
        <v>184725.17</v>
      </c>
      <c r="I7283" s="159">
        <f t="shared" si="2038"/>
        <v>1.6002E-4</v>
      </c>
      <c r="J7283" s="160"/>
      <c r="K7283" s="161">
        <f t="shared" si="2039"/>
        <v>3</v>
      </c>
      <c r="L7283" s="162">
        <v>1</v>
      </c>
      <c r="M7283" s="163" t="str">
        <f t="shared" si="2034"/>
        <v>184725,17 м3(лимиты выделенные УЖКХ) *0,00016002/3чел.</v>
      </c>
      <c r="N7283" s="164">
        <f t="shared" si="2035"/>
        <v>116.85554734686012</v>
      </c>
      <c r="O7283" s="165">
        <f>MROUND(G7283*N7283,0.00000001)</f>
        <v>1151.40581969</v>
      </c>
      <c r="P7283" s="166"/>
      <c r="Q7283" s="166">
        <f t="shared" si="2037"/>
        <v>3454.2174590700001</v>
      </c>
      <c r="R7283" s="71"/>
    </row>
    <row r="7284" spans="1:18" s="61" customFormat="1" ht="31.5" x14ac:dyDescent="0.25">
      <c r="A7284" s="358"/>
      <c r="B7284" s="361"/>
      <c r="C7284" s="221" t="s">
        <v>75</v>
      </c>
      <c r="D7284" s="222" t="s">
        <v>18</v>
      </c>
      <c r="E7284" s="222" t="s">
        <v>48</v>
      </c>
      <c r="F7284" s="222" t="s">
        <v>48</v>
      </c>
      <c r="G7284" s="238">
        <f>MROUND(H7284*L7284*I7284/K7284,0.0000000001)</f>
        <v>0.740764584</v>
      </c>
      <c r="H7284" s="160">
        <f t="shared" si="2033"/>
        <v>13887.6</v>
      </c>
      <c r="I7284" s="159">
        <f>I7283</f>
        <v>1.6002E-4</v>
      </c>
      <c r="J7284" s="160"/>
      <c r="K7284" s="161">
        <f t="shared" si="2039"/>
        <v>3</v>
      </c>
      <c r="L7284" s="250">
        <v>1</v>
      </c>
      <c r="M7284" s="163" t="str">
        <f t="shared" si="2034"/>
        <v>13887,6 тыс. м3(лимиты выделенные УЖКХ) *0,00016002/3чел.</v>
      </c>
      <c r="N7284" s="164">
        <f t="shared" si="2035"/>
        <v>31.799284973645559</v>
      </c>
      <c r="O7284" s="165">
        <f t="shared" ref="O7284" si="2040">MROUND(G7284*N7284,0.000001)</f>
        <v>23.555783999999999</v>
      </c>
      <c r="P7284" s="166"/>
      <c r="Q7284" s="166">
        <f t="shared" si="2037"/>
        <v>70.667351999999994</v>
      </c>
      <c r="R7284" s="71"/>
    </row>
    <row r="7285" spans="1:18" s="61" customFormat="1" x14ac:dyDescent="0.25">
      <c r="A7285" s="358"/>
      <c r="B7285" s="361"/>
      <c r="C7285" s="364" t="s">
        <v>216</v>
      </c>
      <c r="D7285" s="222" t="s">
        <v>23</v>
      </c>
      <c r="E7285" s="222" t="s">
        <v>11</v>
      </c>
      <c r="F7285" s="222" t="s">
        <v>11</v>
      </c>
      <c r="G7285" s="238">
        <f>MROUND(H7285*L7285*I7285/K7285,0.000000000001)</f>
        <v>0.17968325760000001</v>
      </c>
      <c r="H7285" s="160">
        <f t="shared" si="2033"/>
        <v>3368.6400000000003</v>
      </c>
      <c r="I7285" s="159">
        <f t="shared" si="2038"/>
        <v>1.6002E-4</v>
      </c>
      <c r="J7285" s="160"/>
      <c r="K7285" s="161">
        <f t="shared" si="2039"/>
        <v>3</v>
      </c>
      <c r="L7285" s="162">
        <f>L7284</f>
        <v>1</v>
      </c>
      <c r="M7285" s="163" t="str">
        <f>CONCATENATE(H7285," ",F7285," ","*",I7285,"/",K7285,"чел.")</f>
        <v>3368,64 м3 *0,00016002/3чел.</v>
      </c>
      <c r="N7285" s="164">
        <f t="shared" si="2035"/>
        <v>807.40973805452643</v>
      </c>
      <c r="O7285" s="165">
        <f>MROUND(G7285*N7285,0.00000001)</f>
        <v>145.07801194999999</v>
      </c>
      <c r="P7285" s="166"/>
      <c r="Q7285" s="166">
        <f t="shared" si="2037"/>
        <v>435.23403584999994</v>
      </c>
      <c r="R7285" s="71"/>
    </row>
    <row r="7286" spans="1:18" s="61" customFormat="1" ht="47.25" x14ac:dyDescent="0.25">
      <c r="A7286" s="358"/>
      <c r="B7286" s="361"/>
      <c r="C7286" s="364"/>
      <c r="D7286" s="222" t="s">
        <v>24</v>
      </c>
      <c r="E7286" s="222" t="s">
        <v>25</v>
      </c>
      <c r="F7286" s="222" t="s">
        <v>217</v>
      </c>
      <c r="G7286" s="238">
        <f>MROUND(H7286*L7286*I7286/K7286,0.000000000001)</f>
        <v>7.8409799999999991E-3</v>
      </c>
      <c r="H7286" s="160">
        <f t="shared" si="2033"/>
        <v>147</v>
      </c>
      <c r="I7286" s="159">
        <f t="shared" si="2038"/>
        <v>1.6002E-4</v>
      </c>
      <c r="J7286" s="160"/>
      <c r="K7286" s="161">
        <f t="shared" si="2039"/>
        <v>3</v>
      </c>
      <c r="L7286" s="250">
        <f>L7285</f>
        <v>1</v>
      </c>
      <c r="M7286" s="163" t="str">
        <f>CONCATENATE(H7286," ",F7286,"(потребность из расчета 4 контейнера для уборки территории весной и осенью на 1 учреждение)","*",I7286,"/",K7286,"чел.")</f>
        <v>147 контейнера(потребность из расчета 4 контейнера для уборки территории весной и осенью на 1 учреждение)*0,00016002/3чел.</v>
      </c>
      <c r="N7286" s="164">
        <f t="shared" si="2035"/>
        <v>6289.7226530612279</v>
      </c>
      <c r="O7286" s="165">
        <f t="shared" ref="O7286" si="2041">MROUND(G7286*N7286,0.000001)</f>
        <v>49.317589999999996</v>
      </c>
      <c r="P7286" s="166"/>
      <c r="Q7286" s="166">
        <f t="shared" si="2037"/>
        <v>147.95276999999999</v>
      </c>
      <c r="R7286" s="71"/>
    </row>
    <row r="7287" spans="1:18" s="61" customFormat="1" x14ac:dyDescent="0.25">
      <c r="A7287" s="358"/>
      <c r="B7287" s="361"/>
      <c r="C7287" s="218" t="s">
        <v>290</v>
      </c>
      <c r="D7287" s="226"/>
      <c r="E7287" s="226"/>
      <c r="F7287" s="226"/>
      <c r="G7287" s="227"/>
      <c r="H7287" s="228"/>
      <c r="I7287" s="206"/>
      <c r="J7287" s="228"/>
      <c r="K7287" s="207"/>
      <c r="L7287" s="257"/>
      <c r="M7287" s="209"/>
      <c r="N7287" s="210"/>
      <c r="O7287" s="198">
        <f>SUM(O7279:O7286)</f>
        <v>10038.394384640002</v>
      </c>
      <c r="P7287" s="166"/>
      <c r="Q7287" s="166"/>
      <c r="R7287" s="71"/>
    </row>
    <row r="7288" spans="1:18" s="61" customFormat="1" x14ac:dyDescent="0.25">
      <c r="A7288" s="358"/>
      <c r="B7288" s="361"/>
      <c r="C7288" s="221"/>
      <c r="D7288" s="356" t="s">
        <v>14</v>
      </c>
      <c r="E7288" s="356"/>
      <c r="F7288" s="356"/>
      <c r="G7288" s="356"/>
      <c r="H7288" s="188"/>
      <c r="I7288" s="159"/>
      <c r="J7288" s="188"/>
      <c r="K7288" s="161"/>
      <c r="L7288" s="250"/>
      <c r="M7288" s="230"/>
      <c r="N7288" s="164"/>
      <c r="O7288" s="198">
        <f>O7296+O7297+O7292</f>
        <v>5334.5654039999999</v>
      </c>
      <c r="P7288" s="166"/>
      <c r="Q7288" s="166"/>
      <c r="R7288" s="71"/>
    </row>
    <row r="7289" spans="1:18" s="61" customFormat="1" x14ac:dyDescent="0.25">
      <c r="A7289" s="358"/>
      <c r="B7289" s="361"/>
      <c r="C7289" s="221" t="s">
        <v>379</v>
      </c>
      <c r="D7289" s="231" t="s">
        <v>49</v>
      </c>
      <c r="E7289" s="231" t="s">
        <v>22</v>
      </c>
      <c r="F7289" s="231" t="s">
        <v>22</v>
      </c>
      <c r="G7289" s="238">
        <f>MROUND(H7289*L7289*I7289/K7289,0.000000001)</f>
        <v>0</v>
      </c>
      <c r="H7289" s="160"/>
      <c r="I7289" s="159">
        <f>I7284</f>
        <v>1.6002E-4</v>
      </c>
      <c r="J7289" s="160"/>
      <c r="K7289" s="161">
        <f>K7284</f>
        <v>3</v>
      </c>
      <c r="L7289" s="250"/>
      <c r="M7289" s="163"/>
      <c r="N7289" s="164"/>
      <c r="O7289" s="165">
        <f>MROUND(G7289*N7289,0.00000001)</f>
        <v>0</v>
      </c>
      <c r="P7289" s="166"/>
      <c r="Q7289" s="166">
        <f t="shared" ref="Q7289:Q7291" si="2042">O7289*K7289</f>
        <v>0</v>
      </c>
      <c r="R7289" s="71"/>
    </row>
    <row r="7290" spans="1:18" s="61" customFormat="1" x14ac:dyDescent="0.25">
      <c r="A7290" s="358"/>
      <c r="B7290" s="361"/>
      <c r="C7290" s="221" t="s">
        <v>379</v>
      </c>
      <c r="D7290" s="231" t="s">
        <v>49</v>
      </c>
      <c r="E7290" s="231" t="s">
        <v>28</v>
      </c>
      <c r="F7290" s="231" t="s">
        <v>28</v>
      </c>
      <c r="G7290" s="238">
        <f>MROUND(H7290*L7290*I7290/K7290,0.00000000000001)</f>
        <v>0</v>
      </c>
      <c r="H7290" s="160"/>
      <c r="I7290" s="159">
        <f t="shared" si="2038"/>
        <v>1.6002E-4</v>
      </c>
      <c r="J7290" s="160"/>
      <c r="K7290" s="161">
        <f>K7289</f>
        <v>3</v>
      </c>
      <c r="L7290" s="250">
        <v>1</v>
      </c>
      <c r="M7290" s="163"/>
      <c r="N7290" s="164"/>
      <c r="O7290" s="165">
        <f>MROUND(G7290*N7290,0.00000001)</f>
        <v>0</v>
      </c>
      <c r="P7290" s="166"/>
      <c r="Q7290" s="166">
        <f t="shared" si="2042"/>
        <v>0</v>
      </c>
      <c r="R7290" s="71"/>
    </row>
    <row r="7291" spans="1:18" s="61" customFormat="1" x14ac:dyDescent="0.25">
      <c r="A7291" s="358"/>
      <c r="B7291" s="361"/>
      <c r="C7291" s="221" t="s">
        <v>379</v>
      </c>
      <c r="D7291" s="231" t="s">
        <v>49</v>
      </c>
      <c r="E7291" s="231" t="s">
        <v>101</v>
      </c>
      <c r="F7291" s="231" t="s">
        <v>101</v>
      </c>
      <c r="G7291" s="238">
        <f>MROUND(H7291*L7291*I7291/K7291,0.000000001)</f>
        <v>0</v>
      </c>
      <c r="H7291" s="160"/>
      <c r="I7291" s="159">
        <f t="shared" si="2038"/>
        <v>1.6002E-4</v>
      </c>
      <c r="J7291" s="160"/>
      <c r="K7291" s="161">
        <f>K7290</f>
        <v>3</v>
      </c>
      <c r="L7291" s="250"/>
      <c r="M7291" s="163"/>
      <c r="N7291" s="164"/>
      <c r="O7291" s="165">
        <f>MROUND(G7291*N7291,0.00000001)</f>
        <v>0</v>
      </c>
      <c r="P7291" s="166"/>
      <c r="Q7291" s="166">
        <f t="shared" si="2042"/>
        <v>0</v>
      </c>
      <c r="R7291" s="71"/>
    </row>
    <row r="7292" spans="1:18" s="61" customFormat="1" x14ac:dyDescent="0.25">
      <c r="A7292" s="358"/>
      <c r="B7292" s="361"/>
      <c r="C7292" s="218" t="s">
        <v>381</v>
      </c>
      <c r="D7292" s="232"/>
      <c r="E7292" s="232"/>
      <c r="F7292" s="232"/>
      <c r="G7292" s="227"/>
      <c r="H7292" s="228"/>
      <c r="I7292" s="206"/>
      <c r="J7292" s="228"/>
      <c r="K7292" s="207"/>
      <c r="L7292" s="257"/>
      <c r="M7292" s="209"/>
      <c r="N7292" s="210"/>
      <c r="O7292" s="198">
        <f>SUM(O7289:O7291)</f>
        <v>0</v>
      </c>
      <c r="P7292" s="166"/>
      <c r="Q7292" s="166"/>
      <c r="R7292" s="71"/>
    </row>
    <row r="7293" spans="1:18" s="61" customFormat="1" x14ac:dyDescent="0.25">
      <c r="A7293" s="358"/>
      <c r="B7293" s="361"/>
      <c r="C7293" s="221" t="s">
        <v>76</v>
      </c>
      <c r="D7293" s="231" t="s">
        <v>49</v>
      </c>
      <c r="E7293" s="231" t="s">
        <v>22</v>
      </c>
      <c r="F7293" s="231" t="s">
        <v>22</v>
      </c>
      <c r="G7293" s="238">
        <f>MROUND(H7293*L7293*I7293/K7293,0.0000000000001)</f>
        <v>1.36822434</v>
      </c>
      <c r="H7293" s="160">
        <f>H6813</f>
        <v>25651</v>
      </c>
      <c r="I7293" s="159">
        <f>I7291</f>
        <v>1.6002E-4</v>
      </c>
      <c r="J7293" s="160"/>
      <c r="K7293" s="161">
        <f>K7291</f>
        <v>3</v>
      </c>
      <c r="L7293" s="250">
        <v>1</v>
      </c>
      <c r="M7293" s="163" t="str">
        <f>CONCATENATE(H7293," ",F7293,"*",I7293,"/",K7293,"чел.")</f>
        <v>25651 м2*0,00016002/3чел.</v>
      </c>
      <c r="N7293" s="164">
        <f>N6813</f>
        <v>2452.3410393356985</v>
      </c>
      <c r="O7293" s="165">
        <f>MROUND(G7293*N7293,0.00000000001)</f>
        <v>3355.3526999999999</v>
      </c>
      <c r="P7293" s="166"/>
      <c r="Q7293" s="166">
        <f t="shared" ref="Q7293:Q7295" si="2043">O7293*K7293</f>
        <v>10066.0581</v>
      </c>
      <c r="R7293" s="71"/>
    </row>
    <row r="7294" spans="1:18" s="61" customFormat="1" x14ac:dyDescent="0.25">
      <c r="A7294" s="358"/>
      <c r="B7294" s="361"/>
      <c r="C7294" s="221"/>
      <c r="D7294" s="231" t="s">
        <v>49</v>
      </c>
      <c r="E7294" s="231" t="s">
        <v>28</v>
      </c>
      <c r="F7294" s="231" t="s">
        <v>28</v>
      </c>
      <c r="G7294" s="238">
        <f>MROUND(H7294*L7294*I7294/K7294,0.0000000000001)</f>
        <v>9.9585779999999999E-2</v>
      </c>
      <c r="H7294" s="160">
        <f>H6814</f>
        <v>1867</v>
      </c>
      <c r="I7294" s="159">
        <f t="shared" si="2038"/>
        <v>1.6002E-4</v>
      </c>
      <c r="J7294" s="160"/>
      <c r="K7294" s="161">
        <f>K7293</f>
        <v>3</v>
      </c>
      <c r="L7294" s="250">
        <v>1</v>
      </c>
      <c r="M7294" s="163" t="str">
        <f>CONCATENATE(H7294," ",F7294,"*",I7294,"/",K7294,"чел.")</f>
        <v>1867 шт*0,00016002/3чел.</v>
      </c>
      <c r="N7294" s="164">
        <f>N6814</f>
        <v>18299.732190680235</v>
      </c>
      <c r="O7294" s="165">
        <f>MROUND(G7294*N7294,0.00000000001)</f>
        <v>1822.393104</v>
      </c>
      <c r="P7294" s="166"/>
      <c r="Q7294" s="166">
        <f t="shared" si="2043"/>
        <v>5467.1793120000002</v>
      </c>
      <c r="R7294" s="71"/>
    </row>
    <row r="7295" spans="1:18" s="61" customFormat="1" x14ac:dyDescent="0.25">
      <c r="A7295" s="358"/>
      <c r="B7295" s="361"/>
      <c r="C7295" s="221"/>
      <c r="D7295" s="231" t="s">
        <v>49</v>
      </c>
      <c r="E7295" s="231" t="s">
        <v>101</v>
      </c>
      <c r="F7295" s="231" t="s">
        <v>101</v>
      </c>
      <c r="G7295" s="238">
        <f>MROUND(H7295*L7295*I7295/K7295,0.000000001)</f>
        <v>3.4137600000000004E-2</v>
      </c>
      <c r="H7295" s="160">
        <f>H6815</f>
        <v>640</v>
      </c>
      <c r="I7295" s="159">
        <f t="shared" si="2038"/>
        <v>1.6002E-4</v>
      </c>
      <c r="J7295" s="160"/>
      <c r="K7295" s="161">
        <f>K7294</f>
        <v>3</v>
      </c>
      <c r="L7295" s="250">
        <v>1</v>
      </c>
      <c r="M7295" s="163" t="str">
        <f>CONCATENATE(H7295," ",F7295,"*",I7295,"/",K7295,"чел.")</f>
        <v>640 погон.м.*0,00016002/3чел.</v>
      </c>
      <c r="N7295" s="164">
        <f>N6815</f>
        <v>4593.75</v>
      </c>
      <c r="O7295" s="165">
        <f>MROUND(G7295*N7295,0.00000001)</f>
        <v>156.81960000000001</v>
      </c>
      <c r="P7295" s="166"/>
      <c r="Q7295" s="166">
        <f t="shared" si="2043"/>
        <v>470.4588</v>
      </c>
      <c r="R7295" s="71"/>
    </row>
    <row r="7296" spans="1:18" s="61" customFormat="1" x14ac:dyDescent="0.25">
      <c r="A7296" s="358"/>
      <c r="B7296" s="361"/>
      <c r="C7296" s="218" t="s">
        <v>302</v>
      </c>
      <c r="D7296" s="232"/>
      <c r="E7296" s="232"/>
      <c r="F7296" s="232"/>
      <c r="G7296" s="227"/>
      <c r="H7296" s="228"/>
      <c r="I7296" s="206"/>
      <c r="J7296" s="228"/>
      <c r="K7296" s="207"/>
      <c r="L7296" s="257"/>
      <c r="M7296" s="209"/>
      <c r="N7296" s="210"/>
      <c r="O7296" s="198">
        <f>SUM(O7293:O7295)</f>
        <v>5334.5654039999999</v>
      </c>
      <c r="P7296" s="166"/>
      <c r="Q7296" s="166"/>
      <c r="R7296" s="71"/>
    </row>
    <row r="7297" spans="1:41" s="61" customFormat="1" x14ac:dyDescent="0.25">
      <c r="A7297" s="358"/>
      <c r="B7297" s="361"/>
      <c r="C7297" s="221" t="s">
        <v>77</v>
      </c>
      <c r="D7297" s="231"/>
      <c r="E7297" s="231"/>
      <c r="F7297" s="231"/>
      <c r="G7297" s="238">
        <f>MROUND(H7297*L7297*I7297/K7297,0.00000000001)</f>
        <v>0</v>
      </c>
      <c r="H7297" s="160">
        <f>H7057</f>
        <v>0</v>
      </c>
      <c r="I7297" s="159">
        <f>I7295</f>
        <v>1.6002E-4</v>
      </c>
      <c r="J7297" s="160"/>
      <c r="K7297" s="161">
        <f>K7295</f>
        <v>3</v>
      </c>
      <c r="L7297" s="250"/>
      <c r="M7297" s="163"/>
      <c r="N7297" s="164">
        <f>N7057</f>
        <v>0</v>
      </c>
      <c r="O7297" s="165">
        <f>MROUND(G7297*N7297,0.000000001)</f>
        <v>0</v>
      </c>
      <c r="P7297" s="166"/>
      <c r="Q7297" s="166">
        <f t="shared" ref="Q7297" si="2044">O7297*K7297</f>
        <v>0</v>
      </c>
      <c r="R7297" s="71"/>
    </row>
    <row r="7298" spans="1:41" s="61" customFormat="1" x14ac:dyDescent="0.25">
      <c r="A7298" s="358"/>
      <c r="B7298" s="361"/>
      <c r="C7298" s="218" t="s">
        <v>304</v>
      </c>
      <c r="D7298" s="232"/>
      <c r="E7298" s="232"/>
      <c r="F7298" s="232"/>
      <c r="G7298" s="227"/>
      <c r="H7298" s="228"/>
      <c r="I7298" s="206"/>
      <c r="J7298" s="228"/>
      <c r="K7298" s="207"/>
      <c r="L7298" s="257"/>
      <c r="M7298" s="209"/>
      <c r="N7298" s="210"/>
      <c r="O7298" s="198">
        <f>O7297</f>
        <v>0</v>
      </c>
      <c r="P7298" s="166"/>
      <c r="Q7298" s="166"/>
      <c r="R7298" s="71"/>
    </row>
    <row r="7299" spans="1:41" s="61" customFormat="1" x14ac:dyDescent="0.25">
      <c r="A7299" s="358"/>
      <c r="B7299" s="361"/>
      <c r="C7299" s="221"/>
      <c r="D7299" s="350" t="s">
        <v>65</v>
      </c>
      <c r="E7299" s="350"/>
      <c r="F7299" s="350"/>
      <c r="G7299" s="350"/>
      <c r="H7299" s="195"/>
      <c r="I7299" s="159"/>
      <c r="J7299" s="195"/>
      <c r="K7299" s="161"/>
      <c r="L7299" s="196"/>
      <c r="M7299" s="230"/>
      <c r="N7299" s="164"/>
      <c r="O7299" s="165">
        <f t="shared" ref="O7299:O7300" si="2045">MROUND(G7299*N7299,0.000001)</f>
        <v>0</v>
      </c>
      <c r="P7299" s="166"/>
      <c r="Q7299" s="166"/>
      <c r="R7299" s="71"/>
    </row>
    <row r="7300" spans="1:41" s="61" customFormat="1" x14ac:dyDescent="0.25">
      <c r="A7300" s="358"/>
      <c r="B7300" s="361"/>
      <c r="C7300" s="221"/>
      <c r="D7300" s="194"/>
      <c r="E7300" s="194"/>
      <c r="F7300" s="194"/>
      <c r="G7300" s="217"/>
      <c r="H7300" s="195"/>
      <c r="I7300" s="159"/>
      <c r="J7300" s="195"/>
      <c r="K7300" s="161"/>
      <c r="L7300" s="196"/>
      <c r="M7300" s="230"/>
      <c r="N7300" s="164"/>
      <c r="O7300" s="165">
        <f t="shared" si="2045"/>
        <v>0</v>
      </c>
      <c r="P7300" s="166"/>
      <c r="Q7300" s="166"/>
      <c r="R7300" s="71"/>
    </row>
    <row r="7301" spans="1:41" s="61" customFormat="1" x14ac:dyDescent="0.25">
      <c r="A7301" s="358"/>
      <c r="B7301" s="361"/>
      <c r="C7301" s="221" t="s">
        <v>357</v>
      </c>
      <c r="D7301" s="368" t="s">
        <v>66</v>
      </c>
      <c r="E7301" s="368"/>
      <c r="F7301" s="368"/>
      <c r="G7301" s="368"/>
      <c r="H7301" s="195"/>
      <c r="I7301" s="159"/>
      <c r="J7301" s="195"/>
      <c r="K7301" s="161"/>
      <c r="L7301" s="234"/>
      <c r="M7301" s="230"/>
      <c r="N7301" s="164"/>
      <c r="O7301" s="198">
        <f>O7302</f>
        <v>31.309517999999997</v>
      </c>
      <c r="P7301" s="166"/>
      <c r="Q7301" s="166"/>
      <c r="R7301" s="71"/>
    </row>
    <row r="7302" spans="1:41" s="61" customFormat="1" ht="47.25" x14ac:dyDescent="0.25">
      <c r="A7302" s="358"/>
      <c r="B7302" s="361"/>
      <c r="C7302" s="221"/>
      <c r="D7302" s="222" t="s">
        <v>374</v>
      </c>
      <c r="E7302" s="194" t="s">
        <v>28</v>
      </c>
      <c r="F7302" s="194" t="s">
        <v>28</v>
      </c>
      <c r="G7302" s="217">
        <f>MROUND(H7302*L7302*I7302/K7302,0.000000001)</f>
        <v>7.6809600000000006E-3</v>
      </c>
      <c r="H7302" s="201">
        <f>H6822</f>
        <v>36</v>
      </c>
      <c r="I7302" s="159">
        <f>I7297</f>
        <v>1.6002E-4</v>
      </c>
      <c r="J7302" s="195"/>
      <c r="K7302" s="161">
        <f>K7297</f>
        <v>3</v>
      </c>
      <c r="L7302" s="235">
        <f>L6822</f>
        <v>4</v>
      </c>
      <c r="M7302" s="163" t="str">
        <f>CONCATENATE(H7302," ",F7302,"*",I7302,"/",K7302,"чел.")</f>
        <v>36 шт*0,00016002/3чел.</v>
      </c>
      <c r="N7302" s="164">
        <f>N6822</f>
        <v>4076.2506250000024</v>
      </c>
      <c r="O7302" s="165">
        <f>MROUND(G7302*N7302,0.000001)</f>
        <v>31.309517999999997</v>
      </c>
      <c r="P7302" s="166"/>
      <c r="Q7302" s="166">
        <f t="shared" ref="Q7302" si="2046">O7302*K7302</f>
        <v>93.928553999999991</v>
      </c>
      <c r="R7302" s="71"/>
    </row>
    <row r="7303" spans="1:41" s="61" customFormat="1" x14ac:dyDescent="0.25">
      <c r="A7303" s="358"/>
      <c r="B7303" s="361"/>
      <c r="C7303" s="221"/>
      <c r="D7303" s="368" t="s">
        <v>67</v>
      </c>
      <c r="E7303" s="368"/>
      <c r="F7303" s="368"/>
      <c r="G7303" s="368"/>
      <c r="H7303" s="195"/>
      <c r="I7303" s="159"/>
      <c r="J7303" s="195"/>
      <c r="K7303" s="161"/>
      <c r="L7303" s="196"/>
      <c r="M7303" s="230"/>
      <c r="N7303" s="164"/>
      <c r="O7303" s="165">
        <f t="shared" ref="O7303:O7306" si="2047">MROUND(G7303*N7303,0.000001)</f>
        <v>0</v>
      </c>
      <c r="P7303" s="166"/>
      <c r="Q7303" s="166"/>
      <c r="R7303" s="71"/>
    </row>
    <row r="7304" spans="1:41" s="61" customFormat="1" x14ac:dyDescent="0.25">
      <c r="A7304" s="358"/>
      <c r="B7304" s="361"/>
      <c r="C7304" s="221"/>
      <c r="D7304" s="194"/>
      <c r="E7304" s="194"/>
      <c r="F7304" s="194"/>
      <c r="G7304" s="217"/>
      <c r="H7304" s="195"/>
      <c r="I7304" s="159"/>
      <c r="J7304" s="195"/>
      <c r="K7304" s="161"/>
      <c r="L7304" s="196"/>
      <c r="M7304" s="230"/>
      <c r="N7304" s="164"/>
      <c r="O7304" s="165">
        <f t="shared" si="2047"/>
        <v>0</v>
      </c>
      <c r="P7304" s="166"/>
      <c r="Q7304" s="166"/>
      <c r="R7304" s="71"/>
    </row>
    <row r="7305" spans="1:41" s="61" customFormat="1" x14ac:dyDescent="0.25">
      <c r="A7305" s="358"/>
      <c r="B7305" s="361"/>
      <c r="C7305" s="221"/>
      <c r="D7305" s="350" t="s">
        <v>68</v>
      </c>
      <c r="E7305" s="350"/>
      <c r="F7305" s="350"/>
      <c r="G7305" s="350"/>
      <c r="H7305" s="195"/>
      <c r="I7305" s="159"/>
      <c r="J7305" s="195"/>
      <c r="K7305" s="161"/>
      <c r="L7305" s="196"/>
      <c r="M7305" s="230"/>
      <c r="N7305" s="164"/>
      <c r="O7305" s="165">
        <f t="shared" si="2047"/>
        <v>0</v>
      </c>
      <c r="P7305" s="166"/>
      <c r="Q7305" s="166"/>
      <c r="R7305" s="71"/>
    </row>
    <row r="7306" spans="1:41" s="61" customFormat="1" x14ac:dyDescent="0.25">
      <c r="A7306" s="358"/>
      <c r="B7306" s="361"/>
      <c r="C7306" s="221"/>
      <c r="D7306" s="156"/>
      <c r="E7306" s="156"/>
      <c r="F7306" s="156"/>
      <c r="G7306" s="236"/>
      <c r="H7306" s="195"/>
      <c r="I7306" s="159"/>
      <c r="J7306" s="195"/>
      <c r="K7306" s="161"/>
      <c r="L7306" s="196"/>
      <c r="M7306" s="230"/>
      <c r="N7306" s="164"/>
      <c r="O7306" s="165">
        <f t="shared" si="2047"/>
        <v>0</v>
      </c>
      <c r="P7306" s="166"/>
      <c r="Q7306" s="166"/>
      <c r="R7306" s="71"/>
    </row>
    <row r="7307" spans="1:41" s="61" customFormat="1" x14ac:dyDescent="0.25">
      <c r="A7307" s="358"/>
      <c r="B7307" s="361"/>
      <c r="C7307" s="221"/>
      <c r="D7307" s="368" t="s">
        <v>69</v>
      </c>
      <c r="E7307" s="368"/>
      <c r="F7307" s="368"/>
      <c r="G7307" s="368"/>
      <c r="H7307" s="187"/>
      <c r="I7307" s="159"/>
      <c r="J7307" s="187"/>
      <c r="K7307" s="161"/>
      <c r="L7307" s="276"/>
      <c r="M7307" s="230"/>
      <c r="N7307" s="164"/>
      <c r="O7307" s="198">
        <f>O7309+O7316+O7333+O7335+O7350+O7352+O7354+O7379+O7381+O7386+O7383</f>
        <v>1205.2638247100001</v>
      </c>
      <c r="P7307" s="166"/>
      <c r="Q7307" s="166"/>
      <c r="R7307" s="71"/>
    </row>
    <row r="7308" spans="1:41" s="61" customFormat="1" x14ac:dyDescent="0.25">
      <c r="A7308" s="358"/>
      <c r="B7308" s="361"/>
      <c r="C7308" s="221">
        <v>224</v>
      </c>
      <c r="D7308" s="156" t="s">
        <v>21</v>
      </c>
      <c r="E7308" s="156" t="s">
        <v>22</v>
      </c>
      <c r="F7308" s="156" t="s">
        <v>22</v>
      </c>
      <c r="G7308" s="238">
        <f>MROUND(H7308*L7308*I7308/K7308,0.000001)</f>
        <v>0</v>
      </c>
      <c r="H7308" s="158"/>
      <c r="I7308" s="159">
        <f>I7302</f>
        <v>1.6002E-4</v>
      </c>
      <c r="J7308" s="160"/>
      <c r="K7308" s="161">
        <f>K7302</f>
        <v>3</v>
      </c>
      <c r="L7308" s="250"/>
      <c r="M7308" s="163"/>
      <c r="N7308" s="164"/>
      <c r="O7308" s="165">
        <f>MROUND(G7308*N7308,0.000001)</f>
        <v>0</v>
      </c>
      <c r="P7308" s="166"/>
      <c r="Q7308" s="166">
        <f t="shared" ref="Q7308" si="2048">O7308*K7308</f>
        <v>0</v>
      </c>
      <c r="R7308" s="71"/>
    </row>
    <row r="7309" spans="1:41" s="62" customFormat="1" x14ac:dyDescent="0.25">
      <c r="A7309" s="358"/>
      <c r="B7309" s="361"/>
      <c r="C7309" s="218" t="s">
        <v>293</v>
      </c>
      <c r="D7309" s="240"/>
      <c r="E7309" s="240"/>
      <c r="F7309" s="240"/>
      <c r="G7309" s="227"/>
      <c r="H7309" s="241"/>
      <c r="I7309" s="206"/>
      <c r="J7309" s="228"/>
      <c r="K7309" s="207"/>
      <c r="L7309" s="257"/>
      <c r="M7309" s="209"/>
      <c r="N7309" s="210"/>
      <c r="O7309" s="198">
        <f>SUM(O7308)</f>
        <v>0</v>
      </c>
      <c r="P7309" s="267"/>
      <c r="Q7309" s="166"/>
      <c r="R7309" s="71"/>
    </row>
    <row r="7310" spans="1:41" s="61" customFormat="1" ht="31.5" x14ac:dyDescent="0.25">
      <c r="A7310" s="358"/>
      <c r="B7310" s="361"/>
      <c r="C7310" s="364" t="s">
        <v>78</v>
      </c>
      <c r="D7310" s="156" t="s">
        <v>26</v>
      </c>
      <c r="E7310" s="156" t="s">
        <v>22</v>
      </c>
      <c r="F7310" s="156" t="s">
        <v>22</v>
      </c>
      <c r="G7310" s="238">
        <f>MROUND(H7310*L7310*I7310/K7310,0.000001)</f>
        <v>16.539666999999998</v>
      </c>
      <c r="H7310" s="158">
        <f>H6830</f>
        <v>25840</v>
      </c>
      <c r="I7310" s="159">
        <f>I7308</f>
        <v>1.6002E-4</v>
      </c>
      <c r="J7310" s="160"/>
      <c r="K7310" s="161">
        <f>K7308</f>
        <v>3</v>
      </c>
      <c r="L7310" s="250">
        <v>12</v>
      </c>
      <c r="M7310" s="163" t="str">
        <f>CONCATENATE(H7310," ",F7310,"(обрабатываемая площадь в мес.)","*",L7310,"мес.","*",I7310,"/",K7310,"чел.")</f>
        <v>25840 м2(обрабатываемая площадь в мес.)*12мес.*0,00016002/3чел.</v>
      </c>
      <c r="N7310" s="164">
        <f>N6830</f>
        <v>1.2568903508771934</v>
      </c>
      <c r="O7310" s="165">
        <f t="shared" ref="O7310:O7315" si="2049">MROUND(G7310*N7310,0.000001)</f>
        <v>20.788547999999999</v>
      </c>
      <c r="P7310" s="166"/>
      <c r="Q7310" s="166">
        <f t="shared" ref="Q7310:Q7315" si="2050">O7310*K7310</f>
        <v>62.365643999999996</v>
      </c>
      <c r="R7310" s="71"/>
    </row>
    <row r="7311" spans="1:41" s="61" customFormat="1" ht="31.5" x14ac:dyDescent="0.25">
      <c r="A7311" s="358"/>
      <c r="B7311" s="361"/>
      <c r="C7311" s="364"/>
      <c r="D7311" s="156" t="s">
        <v>96</v>
      </c>
      <c r="E7311" s="156" t="s">
        <v>22</v>
      </c>
      <c r="F7311" s="156" t="s">
        <v>22</v>
      </c>
      <c r="G7311" s="238">
        <f>MROUND(H7311*L7311*I7311/K7311,0.000001)</f>
        <v>8.5610699999999991</v>
      </c>
      <c r="H7311" s="158">
        <f>H6831</f>
        <v>13375</v>
      </c>
      <c r="I7311" s="159">
        <f t="shared" si="2038"/>
        <v>1.6002E-4</v>
      </c>
      <c r="J7311" s="160"/>
      <c r="K7311" s="161">
        <f>K7310</f>
        <v>3</v>
      </c>
      <c r="L7311" s="250">
        <v>12</v>
      </c>
      <c r="M7311" s="163" t="str">
        <f>CONCATENATE(H7311," ",F7311,"(обрабатываемая площадь в мес.)","*",L7311,"мес.","*",I7311,"/",K7311,"чел.")</f>
        <v>13375 м2(обрабатываемая площадь в мес.)*12мес.*0,00016002/3чел.</v>
      </c>
      <c r="N7311" s="164">
        <f>N6831</f>
        <v>2.0157672274143299</v>
      </c>
      <c r="O7311" s="165">
        <f t="shared" si="2049"/>
        <v>17.257123999999997</v>
      </c>
      <c r="P7311" s="166"/>
      <c r="Q7311" s="166">
        <f t="shared" si="2050"/>
        <v>51.771371999999992</v>
      </c>
      <c r="R7311" s="71"/>
    </row>
    <row r="7312" spans="1:41" s="135" customFormat="1" ht="31.5" x14ac:dyDescent="0.25">
      <c r="A7312" s="358"/>
      <c r="B7312" s="361"/>
      <c r="C7312" s="364"/>
      <c r="D7312" s="156" t="s">
        <v>385</v>
      </c>
      <c r="E7312" s="156" t="s">
        <v>22</v>
      </c>
      <c r="F7312" s="156" t="s">
        <v>22</v>
      </c>
      <c r="G7312" s="238">
        <f>MROUND(H7312*L7312*I7312/K7312,0.000001)</f>
        <v>17.122139999999998</v>
      </c>
      <c r="H7312" s="242">
        <f>$H$55</f>
        <v>13375</v>
      </c>
      <c r="I7312" s="159">
        <f t="shared" si="2038"/>
        <v>1.6002E-4</v>
      </c>
      <c r="J7312" s="160"/>
      <c r="K7312" s="161">
        <f>K7311</f>
        <v>3</v>
      </c>
      <c r="L7312" s="162">
        <v>24</v>
      </c>
      <c r="M7312" s="163" t="str">
        <f>CONCATENATE(H7312," ",F7312,"(обрабатываемая площадь в год)","*",L7312," раза в год.","*",I7312,"/",K7312,"чел.")</f>
        <v>13375 м2(обрабатываемая площадь в год)*24 раза в год.*0,00016002/3чел.</v>
      </c>
      <c r="N7312" s="164">
        <f>$N$6832</f>
        <v>2.4900656074766365</v>
      </c>
      <c r="O7312" s="165">
        <f t="shared" si="2049"/>
        <v>42.635252000000001</v>
      </c>
      <c r="P7312" s="166"/>
      <c r="Q7312" s="166">
        <f t="shared" si="2050"/>
        <v>127.905756</v>
      </c>
      <c r="R7312" s="71"/>
      <c r="S7312" s="61"/>
      <c r="T7312" s="61"/>
      <c r="U7312" s="61"/>
      <c r="V7312" s="61"/>
      <c r="W7312" s="61"/>
      <c r="X7312" s="61"/>
      <c r="Y7312" s="61"/>
      <c r="Z7312" s="61"/>
      <c r="AA7312" s="61"/>
      <c r="AB7312" s="61"/>
      <c r="AC7312" s="61"/>
      <c r="AD7312" s="61"/>
      <c r="AE7312" s="61"/>
      <c r="AF7312" s="61"/>
      <c r="AG7312" s="61"/>
      <c r="AH7312" s="61"/>
      <c r="AI7312" s="61"/>
      <c r="AJ7312" s="61"/>
      <c r="AK7312" s="61"/>
      <c r="AL7312" s="61"/>
      <c r="AM7312" s="61"/>
      <c r="AN7312" s="61"/>
      <c r="AO7312" s="61"/>
    </row>
    <row r="7313" spans="1:41" s="135" customFormat="1" ht="31.5" x14ac:dyDescent="0.25">
      <c r="A7313" s="358"/>
      <c r="B7313" s="361"/>
      <c r="C7313" s="364"/>
      <c r="D7313" s="156" t="s">
        <v>394</v>
      </c>
      <c r="E7313" s="156" t="s">
        <v>22</v>
      </c>
      <c r="F7313" s="156" t="s">
        <v>22</v>
      </c>
      <c r="G7313" s="238">
        <f>MROUND(H7313*L7313*I7313/K7313,0.000001)</f>
        <v>16.539666999999998</v>
      </c>
      <c r="H7313" s="243">
        <f>$H$56</f>
        <v>25840</v>
      </c>
      <c r="I7313" s="159">
        <f t="shared" si="2038"/>
        <v>1.6002E-4</v>
      </c>
      <c r="J7313" s="160"/>
      <c r="K7313" s="161">
        <f>K7312</f>
        <v>3</v>
      </c>
      <c r="L7313" s="162">
        <v>12</v>
      </c>
      <c r="M7313" s="163" t="str">
        <f>CONCATENATE(H7313," ",F7313,"(обрабатываемая площадь в мес.)","*",L7313,"мес.","*",I7313,"/",K7313,"чел.")</f>
        <v>25840 м2(обрабатываемая площадь в мес.)*12мес.*0,00016002/3чел.</v>
      </c>
      <c r="N7313" s="164">
        <f>$N$6833</f>
        <v>0.59287277476780176</v>
      </c>
      <c r="O7313" s="165">
        <f t="shared" si="2049"/>
        <v>9.8059180000000001</v>
      </c>
      <c r="P7313" s="166"/>
      <c r="Q7313" s="166">
        <f t="shared" si="2050"/>
        <v>29.417754000000002</v>
      </c>
      <c r="R7313" s="71"/>
      <c r="S7313" s="61"/>
      <c r="T7313" s="61"/>
      <c r="U7313" s="61"/>
      <c r="V7313" s="61"/>
      <c r="W7313" s="61"/>
      <c r="X7313" s="61"/>
      <c r="Y7313" s="61"/>
      <c r="Z7313" s="61"/>
      <c r="AA7313" s="61"/>
      <c r="AB7313" s="61"/>
      <c r="AC7313" s="61"/>
      <c r="AD7313" s="61"/>
      <c r="AE7313" s="61"/>
      <c r="AF7313" s="61"/>
      <c r="AG7313" s="61"/>
      <c r="AH7313" s="61"/>
      <c r="AI7313" s="61"/>
      <c r="AJ7313" s="61"/>
      <c r="AK7313" s="61"/>
      <c r="AL7313" s="61"/>
      <c r="AM7313" s="61"/>
      <c r="AN7313" s="61"/>
      <c r="AO7313" s="61"/>
    </row>
    <row r="7314" spans="1:41" s="135" customFormat="1" ht="31.5" x14ac:dyDescent="0.25">
      <c r="A7314" s="358"/>
      <c r="B7314" s="361"/>
      <c r="C7314" s="364"/>
      <c r="D7314" s="156" t="s">
        <v>395</v>
      </c>
      <c r="E7314" s="156" t="s">
        <v>98</v>
      </c>
      <c r="F7314" s="156" t="s">
        <v>98</v>
      </c>
      <c r="G7314" s="238">
        <f>MROUND(H7314*L7314*I7314/K7314,0.0000000001)</f>
        <v>1.0102596000000001E-3</v>
      </c>
      <c r="H7314" s="242">
        <f>$H$57</f>
        <v>18.939999999999998</v>
      </c>
      <c r="I7314" s="159">
        <f t="shared" si="2038"/>
        <v>1.6002E-4</v>
      </c>
      <c r="J7314" s="160"/>
      <c r="K7314" s="161">
        <f>K7313</f>
        <v>3</v>
      </c>
      <c r="L7314" s="162">
        <v>1</v>
      </c>
      <c r="M7314" s="163" t="str">
        <f>CONCATENATE(H7314," ",F7314,"(обрабатываемая площадь в год)","*",L7314," раз в год","*",I7314,"/",K7314,"чел.")</f>
        <v>18,94 Га(обрабатываемая площадь в год)*1 раз в год*0,00016002/3чел.</v>
      </c>
      <c r="N7314" s="164">
        <f>$N$6834</f>
        <v>592.87803590285125</v>
      </c>
      <c r="O7314" s="165">
        <f t="shared" si="2049"/>
        <v>0.59896099999999997</v>
      </c>
      <c r="P7314" s="166"/>
      <c r="Q7314" s="166">
        <f t="shared" si="2050"/>
        <v>1.7968829999999998</v>
      </c>
      <c r="R7314" s="71"/>
      <c r="S7314" s="61"/>
      <c r="T7314" s="61"/>
      <c r="U7314" s="61"/>
      <c r="V7314" s="61"/>
      <c r="W7314" s="61"/>
      <c r="X7314" s="61"/>
      <c r="Y7314" s="61"/>
      <c r="Z7314" s="61"/>
      <c r="AA7314" s="61"/>
      <c r="AB7314" s="61"/>
      <c r="AC7314" s="61"/>
      <c r="AD7314" s="61"/>
      <c r="AE7314" s="61"/>
      <c r="AF7314" s="61"/>
      <c r="AG7314" s="61"/>
      <c r="AH7314" s="61"/>
      <c r="AI7314" s="61"/>
      <c r="AJ7314" s="61"/>
      <c r="AK7314" s="61"/>
      <c r="AL7314" s="61"/>
      <c r="AM7314" s="61"/>
      <c r="AN7314" s="61"/>
      <c r="AO7314" s="61"/>
    </row>
    <row r="7315" spans="1:41" s="61" customFormat="1" ht="31.5" x14ac:dyDescent="0.25">
      <c r="A7315" s="358"/>
      <c r="B7315" s="361"/>
      <c r="C7315" s="364"/>
      <c r="D7315" s="156" t="s">
        <v>97</v>
      </c>
      <c r="E7315" s="156" t="s">
        <v>98</v>
      </c>
      <c r="F7315" s="156" t="s">
        <v>98</v>
      </c>
      <c r="G7315" s="238">
        <f>MROUND(H7315*L7315*I7315/K7315,0.0000000001)</f>
        <v>1.0102596000000001E-3</v>
      </c>
      <c r="H7315" s="242">
        <f>H6835</f>
        <v>18.939999999999998</v>
      </c>
      <c r="I7315" s="244">
        <f>I7311</f>
        <v>1.6002E-4</v>
      </c>
      <c r="J7315" s="160"/>
      <c r="K7315" s="161">
        <f>K7311</f>
        <v>3</v>
      </c>
      <c r="L7315" s="250">
        <v>1</v>
      </c>
      <c r="M7315" s="163" t="str">
        <f>CONCATENATE(H7315," ",F7315,"(обрабатываемая площадь в мес.)","*",L7315,"мес.","*",I7315,"/",K7315,"чел.")</f>
        <v>18,94 Га(обрабатываемая площадь в мес.)*1мес.*0,00016002/3чел.</v>
      </c>
      <c r="N7315" s="164">
        <f>N6835</f>
        <v>3226.5021119324188</v>
      </c>
      <c r="O7315" s="165">
        <f t="shared" si="2049"/>
        <v>3.2596049999999996</v>
      </c>
      <c r="P7315" s="166"/>
      <c r="Q7315" s="166">
        <f t="shared" si="2050"/>
        <v>9.778814999999998</v>
      </c>
      <c r="R7315" s="71"/>
    </row>
    <row r="7316" spans="1:41" s="61" customFormat="1" x14ac:dyDescent="0.25">
      <c r="A7316" s="358"/>
      <c r="B7316" s="361"/>
      <c r="C7316" s="245" t="s">
        <v>303</v>
      </c>
      <c r="D7316" s="240"/>
      <c r="E7316" s="240"/>
      <c r="F7316" s="240"/>
      <c r="G7316" s="227"/>
      <c r="H7316" s="241"/>
      <c r="I7316" s="206"/>
      <c r="J7316" s="228"/>
      <c r="K7316" s="207"/>
      <c r="L7316" s="257"/>
      <c r="M7316" s="209"/>
      <c r="N7316" s="210"/>
      <c r="O7316" s="198">
        <f>SUM(O7310:O7315)</f>
        <v>94.345408000000006</v>
      </c>
      <c r="P7316" s="166"/>
      <c r="Q7316" s="166"/>
      <c r="R7316" s="71"/>
    </row>
    <row r="7317" spans="1:41" s="61" customFormat="1" ht="63" x14ac:dyDescent="0.25">
      <c r="A7317" s="358"/>
      <c r="B7317" s="361"/>
      <c r="C7317" s="365" t="s">
        <v>77</v>
      </c>
      <c r="D7317" s="156" t="s">
        <v>29</v>
      </c>
      <c r="E7317" s="156" t="s">
        <v>58</v>
      </c>
      <c r="F7317" s="156" t="s">
        <v>218</v>
      </c>
      <c r="G7317" s="238">
        <f>MROUND(H7317*L7317*I7317/K7317,0.00000001)</f>
        <v>3.2003999999999999E-3</v>
      </c>
      <c r="H7317" s="158">
        <v>15</v>
      </c>
      <c r="I7317" s="159">
        <f>I7315</f>
        <v>1.6002E-4</v>
      </c>
      <c r="J7317" s="160"/>
      <c r="K7317" s="161">
        <f>K7315</f>
        <v>3</v>
      </c>
      <c r="L7317" s="162">
        <v>4</v>
      </c>
      <c r="M7317" s="163" t="str">
        <f>CONCATENATE(H7317," ",F7317,"*",L7317," раза в год","*",I7317,"/",K7317,"чел.")</f>
        <v>15 установок*4 раза в год*0,00016002/3чел.</v>
      </c>
      <c r="N7317" s="164">
        <f t="shared" ref="N7317:N7330" si="2051">N6837</f>
        <v>2355.4600000000005</v>
      </c>
      <c r="O7317" s="165">
        <f t="shared" ref="O7317:O7325" si="2052">MROUND(G7317*N7317,0.000001)</f>
        <v>7.5384139999999995</v>
      </c>
      <c r="P7317" s="166"/>
      <c r="Q7317" s="166">
        <f t="shared" ref="Q7317:Q7332" si="2053">O7317*K7317</f>
        <v>22.615241999999999</v>
      </c>
      <c r="R7317" s="71"/>
    </row>
    <row r="7318" spans="1:41" s="61" customFormat="1" ht="47.25" x14ac:dyDescent="0.25">
      <c r="A7318" s="358"/>
      <c r="B7318" s="361"/>
      <c r="C7318" s="366"/>
      <c r="D7318" s="156" t="s">
        <v>30</v>
      </c>
      <c r="E7318" s="156" t="s">
        <v>58</v>
      </c>
      <c r="F7318" s="156" t="s">
        <v>218</v>
      </c>
      <c r="G7318" s="238">
        <f>MROUND(H7318*L7318*I7318/K7318,0.00000001)</f>
        <v>1.6002E-3</v>
      </c>
      <c r="H7318" s="158">
        <v>15</v>
      </c>
      <c r="I7318" s="159">
        <f t="shared" si="2038"/>
        <v>1.6002E-4</v>
      </c>
      <c r="J7318" s="160"/>
      <c r="K7318" s="161">
        <f t="shared" ref="K7318:K7326" si="2054">K7317</f>
        <v>3</v>
      </c>
      <c r="L7318" s="250">
        <v>2</v>
      </c>
      <c r="M7318" s="163" t="str">
        <f>CONCATENATE(H7318," ",F7318,"*",L7318,"полуг.","*",I7318,"/",K7318,"чел.")</f>
        <v>15 установок*2полуг.*0,00016002/3чел.</v>
      </c>
      <c r="N7318" s="164">
        <f t="shared" si="2051"/>
        <v>4710.920000000001</v>
      </c>
      <c r="O7318" s="165">
        <f t="shared" si="2052"/>
        <v>7.5384139999999995</v>
      </c>
      <c r="P7318" s="166"/>
      <c r="Q7318" s="166">
        <f t="shared" si="2053"/>
        <v>22.615241999999999</v>
      </c>
      <c r="R7318" s="71"/>
    </row>
    <row r="7319" spans="1:41" s="61" customFormat="1" x14ac:dyDescent="0.25">
      <c r="A7319" s="358"/>
      <c r="B7319" s="361"/>
      <c r="C7319" s="366"/>
      <c r="D7319" s="156" t="s">
        <v>397</v>
      </c>
      <c r="E7319" s="156" t="s">
        <v>433</v>
      </c>
      <c r="F7319" s="156" t="s">
        <v>433</v>
      </c>
      <c r="G7319" s="238">
        <f>MROUND(H7319*L7319*I7319/K7319,0.000001)</f>
        <v>0</v>
      </c>
      <c r="H7319" s="158">
        <f>H6839</f>
        <v>0</v>
      </c>
      <c r="I7319" s="159">
        <f t="shared" si="2038"/>
        <v>1.6002E-4</v>
      </c>
      <c r="J7319" s="160"/>
      <c r="K7319" s="161">
        <f t="shared" si="2054"/>
        <v>3</v>
      </c>
      <c r="L7319" s="162">
        <v>1</v>
      </c>
      <c r="M7319" s="163"/>
      <c r="N7319" s="164">
        <f t="shared" si="2051"/>
        <v>0</v>
      </c>
      <c r="O7319" s="165">
        <f t="shared" si="2052"/>
        <v>0</v>
      </c>
      <c r="P7319" s="166"/>
      <c r="Q7319" s="166">
        <f t="shared" si="2053"/>
        <v>0</v>
      </c>
      <c r="R7319" s="71"/>
    </row>
    <row r="7320" spans="1:41" s="61" customFormat="1" ht="47.25" x14ac:dyDescent="0.25">
      <c r="A7320" s="358"/>
      <c r="B7320" s="361"/>
      <c r="C7320" s="366"/>
      <c r="D7320" s="156" t="s">
        <v>32</v>
      </c>
      <c r="E7320" s="156" t="s">
        <v>55</v>
      </c>
      <c r="F7320" s="156" t="s">
        <v>219</v>
      </c>
      <c r="G7320" s="238">
        <f>MROUND(H7320*L7320*I7320/K7320,0.000000001)</f>
        <v>7.6809600000000006E-3</v>
      </c>
      <c r="H7320" s="158">
        <f>H6840</f>
        <v>36</v>
      </c>
      <c r="I7320" s="159">
        <f>I7319</f>
        <v>1.6002E-4</v>
      </c>
      <c r="J7320" s="160"/>
      <c r="K7320" s="161">
        <f t="shared" si="2054"/>
        <v>3</v>
      </c>
      <c r="L7320" s="250">
        <v>4</v>
      </c>
      <c r="M7320" s="163" t="str">
        <f>CONCATENATE(H7320," ",F7320,"*",L7320,"кв.","*",I7320,"/",K7320,"чел.")</f>
        <v>36 системы*4кв.*0,00016002/3чел.</v>
      </c>
      <c r="N7320" s="164">
        <f t="shared" si="2051"/>
        <v>7532.7785416666693</v>
      </c>
      <c r="O7320" s="165">
        <f t="shared" si="2052"/>
        <v>57.858970999999997</v>
      </c>
      <c r="P7320" s="166"/>
      <c r="Q7320" s="166">
        <f t="shared" si="2053"/>
        <v>173.57691299999999</v>
      </c>
      <c r="R7320" s="71"/>
    </row>
    <row r="7321" spans="1:41" s="61" customFormat="1" ht="63" x14ac:dyDescent="0.25">
      <c r="A7321" s="358"/>
      <c r="B7321" s="361"/>
      <c r="C7321" s="366"/>
      <c r="D7321" s="156" t="s">
        <v>33</v>
      </c>
      <c r="E7321" s="156" t="s">
        <v>56</v>
      </c>
      <c r="F7321" s="156" t="s">
        <v>220</v>
      </c>
      <c r="G7321" s="238">
        <f>MROUND(H7321*L7321*I7321/K7321,0.000000001)</f>
        <v>1.9202400000000001E-3</v>
      </c>
      <c r="H7321" s="158">
        <f>$H$64</f>
        <v>36</v>
      </c>
      <c r="I7321" s="159">
        <f>I7320</f>
        <v>1.6002E-4</v>
      </c>
      <c r="J7321" s="160"/>
      <c r="K7321" s="161">
        <f t="shared" si="2054"/>
        <v>3</v>
      </c>
      <c r="L7321" s="162">
        <v>1</v>
      </c>
      <c r="M7321" s="163" t="str">
        <f>CONCATENATE(H7321," ",F7321,"*",L7321," раз в год","*",I7321,"/",K7321,"чел.")</f>
        <v>36 дымоходов*1 раз в год*0,00016002/3чел.</v>
      </c>
      <c r="N7321" s="164">
        <f t="shared" si="2051"/>
        <v>7312.0941666666668</v>
      </c>
      <c r="O7321" s="165">
        <f t="shared" si="2052"/>
        <v>14.040975999999999</v>
      </c>
      <c r="P7321" s="166"/>
      <c r="Q7321" s="166">
        <f t="shared" si="2053"/>
        <v>42.122927999999995</v>
      </c>
      <c r="R7321" s="71"/>
    </row>
    <row r="7322" spans="1:41" s="61" customFormat="1" x14ac:dyDescent="0.25">
      <c r="A7322" s="358"/>
      <c r="B7322" s="361"/>
      <c r="C7322" s="366"/>
      <c r="D7322" s="194" t="s">
        <v>398</v>
      </c>
      <c r="E7322" s="156" t="s">
        <v>60</v>
      </c>
      <c r="F7322" s="156" t="s">
        <v>60</v>
      </c>
      <c r="G7322" s="238">
        <f>MROUND(H7322*L7322*I7322/K7322,0.000000001)</f>
        <v>1.8669000000000001E-3</v>
      </c>
      <c r="H7322" s="246">
        <f t="shared" ref="H7322:H7332" si="2055">H6842</f>
        <v>35</v>
      </c>
      <c r="I7322" s="159">
        <f t="shared" si="2038"/>
        <v>1.6002E-4</v>
      </c>
      <c r="J7322" s="160"/>
      <c r="K7322" s="161">
        <f t="shared" si="2054"/>
        <v>3</v>
      </c>
      <c r="L7322" s="250">
        <v>1</v>
      </c>
      <c r="M7322" s="163" t="str">
        <f>CONCATENATE(H7322," ",F7322,"*",I7322,"/",K7322,"чел.")</f>
        <v>35 шт.*0,00016002/3чел.</v>
      </c>
      <c r="N7322" s="164">
        <f t="shared" si="2051"/>
        <v>12660.374571428585</v>
      </c>
      <c r="O7322" s="165">
        <f t="shared" si="2052"/>
        <v>23.635652999999998</v>
      </c>
      <c r="P7322" s="166"/>
      <c r="Q7322" s="166">
        <f t="shared" si="2053"/>
        <v>70.906959000000001</v>
      </c>
      <c r="R7322" s="71"/>
    </row>
    <row r="7323" spans="1:41" s="61" customFormat="1" ht="47.25" x14ac:dyDescent="0.25">
      <c r="A7323" s="358"/>
      <c r="B7323" s="361"/>
      <c r="C7323" s="366"/>
      <c r="D7323" s="156" t="s">
        <v>401</v>
      </c>
      <c r="E7323" s="156" t="s">
        <v>60</v>
      </c>
      <c r="F7323" s="156" t="s">
        <v>402</v>
      </c>
      <c r="G7323" s="238">
        <f>MROUND(H7323*L7323*I7323/K7323,0.000001)</f>
        <v>3.7339999999999999E-3</v>
      </c>
      <c r="H7323" s="246">
        <f t="shared" si="2055"/>
        <v>35</v>
      </c>
      <c r="I7323" s="159">
        <f t="shared" si="2038"/>
        <v>1.6002E-4</v>
      </c>
      <c r="J7323" s="160"/>
      <c r="K7323" s="161">
        <f t="shared" si="2054"/>
        <v>3</v>
      </c>
      <c r="L7323" s="162">
        <v>2</v>
      </c>
      <c r="M7323" s="163" t="str">
        <f>CONCATENATE(H7323," ",F7323,"*",L7323," раз в год","*",I7323,"/",K7323,"чел.")</f>
        <v>35 противопожарных водопроводов*2 раз в год*0,00016002/3чел.</v>
      </c>
      <c r="N7323" s="164">
        <f t="shared" si="2051"/>
        <v>5928.7300000000032</v>
      </c>
      <c r="O7323" s="165">
        <f t="shared" si="2052"/>
        <v>22.137878000000001</v>
      </c>
      <c r="P7323" s="166"/>
      <c r="Q7323" s="166">
        <f t="shared" si="2053"/>
        <v>66.413634000000002</v>
      </c>
      <c r="R7323" s="71"/>
    </row>
    <row r="7324" spans="1:41" s="61" customFormat="1" ht="31.5" x14ac:dyDescent="0.25">
      <c r="A7324" s="358"/>
      <c r="B7324" s="361"/>
      <c r="C7324" s="366"/>
      <c r="D7324" s="156" t="s">
        <v>221</v>
      </c>
      <c r="E7324" s="156" t="s">
        <v>60</v>
      </c>
      <c r="F7324" s="156" t="s">
        <v>60</v>
      </c>
      <c r="G7324" s="238">
        <f>MROUND(H7324*L7324*I7324/K7324,0.00000001)</f>
        <v>1.1521440000000001E-2</v>
      </c>
      <c r="H7324" s="158">
        <f t="shared" si="2055"/>
        <v>18</v>
      </c>
      <c r="I7324" s="159">
        <f t="shared" si="2038"/>
        <v>1.6002E-4</v>
      </c>
      <c r="J7324" s="160"/>
      <c r="K7324" s="161">
        <f t="shared" si="2054"/>
        <v>3</v>
      </c>
      <c r="L7324" s="250">
        <v>12</v>
      </c>
      <c r="M7324" s="163" t="str">
        <f>CONCATENATE(H7324," ",F7324,"*",L7324,"мес.","*",I7324,"/",K7324,"чел.")</f>
        <v>18 шт.*12мес.*0,00016002/3чел.</v>
      </c>
      <c r="N7324" s="164">
        <f t="shared" si="2051"/>
        <v>6840.4345833333346</v>
      </c>
      <c r="O7324" s="165">
        <f t="shared" si="2052"/>
        <v>78.811656999999997</v>
      </c>
      <c r="P7324" s="166"/>
      <c r="Q7324" s="166">
        <f t="shared" si="2053"/>
        <v>236.43497099999999</v>
      </c>
      <c r="R7324" s="71"/>
    </row>
    <row r="7325" spans="1:41" s="61" customFormat="1" ht="47.25" x14ac:dyDescent="0.25">
      <c r="A7325" s="358"/>
      <c r="B7325" s="361"/>
      <c r="C7325" s="366"/>
      <c r="D7325" s="156" t="s">
        <v>34</v>
      </c>
      <c r="E7325" s="156" t="s">
        <v>59</v>
      </c>
      <c r="F7325" s="156" t="s">
        <v>28</v>
      </c>
      <c r="G7325" s="238">
        <f>MROUND(H7325*L7325*I7325/K7325,0.0000000001)</f>
        <v>1.0668E-4</v>
      </c>
      <c r="H7325" s="158">
        <f t="shared" si="2055"/>
        <v>2</v>
      </c>
      <c r="I7325" s="159">
        <f t="shared" si="2038"/>
        <v>1.6002E-4</v>
      </c>
      <c r="J7325" s="160"/>
      <c r="K7325" s="161">
        <f t="shared" si="2054"/>
        <v>3</v>
      </c>
      <c r="L7325" s="250">
        <v>1</v>
      </c>
      <c r="M7325" s="163" t="str">
        <f>CONCATENATE(H7325," ",F7325,"*",I7325,"/",K7325,"чел.")</f>
        <v>2 шт*0,00016002/3чел.</v>
      </c>
      <c r="N7325" s="164">
        <f t="shared" si="2051"/>
        <v>8158.8</v>
      </c>
      <c r="O7325" s="165">
        <f t="shared" si="2052"/>
        <v>0.87038099999999996</v>
      </c>
      <c r="P7325" s="166"/>
      <c r="Q7325" s="166">
        <f t="shared" si="2053"/>
        <v>2.6111429999999998</v>
      </c>
      <c r="R7325" s="71"/>
    </row>
    <row r="7326" spans="1:41" s="61" customFormat="1" ht="47.25" x14ac:dyDescent="0.25">
      <c r="A7326" s="358"/>
      <c r="B7326" s="361"/>
      <c r="C7326" s="366"/>
      <c r="D7326" s="156" t="s">
        <v>222</v>
      </c>
      <c r="E7326" s="156" t="s">
        <v>60</v>
      </c>
      <c r="F7326" s="156" t="s">
        <v>60</v>
      </c>
      <c r="G7326" s="238">
        <f>MROUND(H7326*L7326*I7326/K7326,0.00000000001)</f>
        <v>2.6669999999999998E-4</v>
      </c>
      <c r="H7326" s="248">
        <f t="shared" si="2055"/>
        <v>5</v>
      </c>
      <c r="I7326" s="159">
        <f t="shared" si="2038"/>
        <v>1.6002E-4</v>
      </c>
      <c r="J7326" s="160"/>
      <c r="K7326" s="161">
        <f t="shared" si="2054"/>
        <v>3</v>
      </c>
      <c r="L7326" s="250">
        <v>1</v>
      </c>
      <c r="M7326" s="163" t="str">
        <f>CONCATENATE(H7326," ",F7326,"*",I7326,"/",K7326,"чел.")</f>
        <v>5 шт.*0,00016002/3чел.</v>
      </c>
      <c r="N7326" s="164">
        <f t="shared" si="2051"/>
        <v>45611.39</v>
      </c>
      <c r="O7326" s="165">
        <f>MROUND(G7326*N7326,0.00000001)</f>
        <v>12.16455771</v>
      </c>
      <c r="P7326" s="166"/>
      <c r="Q7326" s="166">
        <f t="shared" si="2053"/>
        <v>36.493673130000005</v>
      </c>
      <c r="R7326" s="71"/>
    </row>
    <row r="7327" spans="1:41" s="61" customFormat="1" ht="31.5" x14ac:dyDescent="0.25">
      <c r="A7327" s="358"/>
      <c r="B7327" s="361"/>
      <c r="C7327" s="366"/>
      <c r="D7327" s="156" t="s">
        <v>35</v>
      </c>
      <c r="E7327" s="156" t="s">
        <v>102</v>
      </c>
      <c r="F7327" s="156" t="s">
        <v>223</v>
      </c>
      <c r="G7327" s="238">
        <f>MROUND(H7327*L7327*I7327/K7327,0.00000001)</f>
        <v>1.8669000000000001E-3</v>
      </c>
      <c r="H7327" s="158">
        <f t="shared" si="2055"/>
        <v>35</v>
      </c>
      <c r="I7327" s="159">
        <f>I7325</f>
        <v>1.6002E-4</v>
      </c>
      <c r="J7327" s="160"/>
      <c r="K7327" s="161">
        <f>K7325</f>
        <v>3</v>
      </c>
      <c r="L7327" s="250">
        <v>1</v>
      </c>
      <c r="M7327" s="163" t="str">
        <f>CONCATENATE(H7327," ",F7327,"*",I7327,"/",K7327,"чел.")</f>
        <v>35 замеров*0,00016002/3чел.</v>
      </c>
      <c r="N7327" s="164">
        <f t="shared" si="2051"/>
        <v>26000</v>
      </c>
      <c r="O7327" s="165">
        <f t="shared" ref="O7327:O7332" si="2056">MROUND(G7327*N7327,0.000001)</f>
        <v>48.539400000000001</v>
      </c>
      <c r="P7327" s="166"/>
      <c r="Q7327" s="166">
        <f t="shared" si="2053"/>
        <v>145.6182</v>
      </c>
      <c r="R7327" s="71"/>
    </row>
    <row r="7328" spans="1:41" s="61" customFormat="1" ht="47.25" x14ac:dyDescent="0.25">
      <c r="A7328" s="358"/>
      <c r="B7328" s="361"/>
      <c r="C7328" s="366"/>
      <c r="D7328" s="156" t="s">
        <v>399</v>
      </c>
      <c r="E7328" s="156" t="s">
        <v>60</v>
      </c>
      <c r="F7328" s="156" t="s">
        <v>60</v>
      </c>
      <c r="G7328" s="238">
        <f>MROUND(H7328*L7328*I7328/K7328,0.000000001)</f>
        <v>1.8669000000000002E-2</v>
      </c>
      <c r="H7328" s="158">
        <f t="shared" si="2055"/>
        <v>35</v>
      </c>
      <c r="I7328" s="159">
        <f t="shared" si="2038"/>
        <v>1.6002E-4</v>
      </c>
      <c r="J7328" s="160"/>
      <c r="K7328" s="161">
        <f>K7327</f>
        <v>3</v>
      </c>
      <c r="L7328" s="250">
        <v>10</v>
      </c>
      <c r="M7328" s="163" t="str">
        <f>CONCATENATE(H7328," ",F7328,"*",L7328,"мес.","*",I7328,"/",K7328,"чел.")</f>
        <v>35 шт.*10мес.*0,00016002/3чел.</v>
      </c>
      <c r="N7328" s="164">
        <f t="shared" si="2051"/>
        <v>3380.9014857142843</v>
      </c>
      <c r="O7328" s="165">
        <f t="shared" si="2056"/>
        <v>63.118049999999997</v>
      </c>
      <c r="P7328" s="166"/>
      <c r="Q7328" s="166">
        <f t="shared" si="2053"/>
        <v>189.35415</v>
      </c>
      <c r="R7328" s="71"/>
    </row>
    <row r="7329" spans="1:18" s="61" customFormat="1" ht="47.25" x14ac:dyDescent="0.25">
      <c r="A7329" s="358"/>
      <c r="B7329" s="361"/>
      <c r="C7329" s="366"/>
      <c r="D7329" s="156" t="s">
        <v>36</v>
      </c>
      <c r="E7329" s="156" t="s">
        <v>31</v>
      </c>
      <c r="F7329" s="156" t="s">
        <v>224</v>
      </c>
      <c r="G7329" s="238">
        <f>MROUND(H7329*L7329*I7329/K7329,0.00000001)</f>
        <v>2.3042880000000002E-2</v>
      </c>
      <c r="H7329" s="158">
        <f t="shared" si="2055"/>
        <v>36</v>
      </c>
      <c r="I7329" s="159">
        <f t="shared" si="2038"/>
        <v>1.6002E-4</v>
      </c>
      <c r="J7329" s="160"/>
      <c r="K7329" s="161">
        <f>K7328</f>
        <v>3</v>
      </c>
      <c r="L7329" s="250">
        <v>12</v>
      </c>
      <c r="M7329" s="163" t="str">
        <f>CONCATENATE(H7329," ",F7329,"*",L7329,"мес.","*",I7329,"/",K7329,"чел.")</f>
        <v>36 устройств*12мес.*0,00016002/3чел.</v>
      </c>
      <c r="N7329" s="164">
        <f t="shared" si="2051"/>
        <v>1269.5381481481488</v>
      </c>
      <c r="O7329" s="165">
        <f t="shared" si="2056"/>
        <v>29.253814999999999</v>
      </c>
      <c r="P7329" s="166"/>
      <c r="Q7329" s="166">
        <f t="shared" si="2053"/>
        <v>87.761444999999995</v>
      </c>
      <c r="R7329" s="71"/>
    </row>
    <row r="7330" spans="1:18" s="61" customFormat="1" ht="31.5" x14ac:dyDescent="0.25">
      <c r="A7330" s="358"/>
      <c r="B7330" s="361"/>
      <c r="C7330" s="366"/>
      <c r="D7330" s="156" t="s">
        <v>99</v>
      </c>
      <c r="E7330" s="156" t="s">
        <v>103</v>
      </c>
      <c r="F7330" s="156" t="s">
        <v>225</v>
      </c>
      <c r="G7330" s="238">
        <f>MROUND(H7330*L7330*I7330/K7330,0.00000001)</f>
        <v>1.0721340000000001E-2</v>
      </c>
      <c r="H7330" s="158">
        <f t="shared" si="2055"/>
        <v>201</v>
      </c>
      <c r="I7330" s="159">
        <f t="shared" si="2038"/>
        <v>1.6002E-4</v>
      </c>
      <c r="J7330" s="160"/>
      <c r="K7330" s="161">
        <f>K7329</f>
        <v>3</v>
      </c>
      <c r="L7330" s="250">
        <v>1</v>
      </c>
      <c r="M7330" s="163" t="str">
        <f>CONCATENATE(H7330," ",F7330,"*",I7330,"/",K7330,"чел.")</f>
        <v>201 ед.*0,00016002/3чел.</v>
      </c>
      <c r="N7330" s="164">
        <f t="shared" si="2051"/>
        <v>15000</v>
      </c>
      <c r="O7330" s="165">
        <f t="shared" si="2056"/>
        <v>160.8201</v>
      </c>
      <c r="P7330" s="166"/>
      <c r="Q7330" s="166">
        <f t="shared" si="2053"/>
        <v>482.46029999999996</v>
      </c>
      <c r="R7330" s="71"/>
    </row>
    <row r="7331" spans="1:18" s="61" customFormat="1" x14ac:dyDescent="0.25">
      <c r="A7331" s="358"/>
      <c r="B7331" s="361"/>
      <c r="C7331" s="366"/>
      <c r="D7331" s="156" t="s">
        <v>27</v>
      </c>
      <c r="E7331" s="156" t="s">
        <v>28</v>
      </c>
      <c r="F7331" s="156" t="s">
        <v>28</v>
      </c>
      <c r="G7331" s="238">
        <f>MROUND(H7331*L7331*I7331/K7331,0.000000001)</f>
        <v>0.22349460000000002</v>
      </c>
      <c r="H7331" s="160">
        <f t="shared" si="2055"/>
        <v>4190</v>
      </c>
      <c r="I7331" s="159">
        <f t="shared" si="2038"/>
        <v>1.6002E-4</v>
      </c>
      <c r="J7331" s="160"/>
      <c r="K7331" s="161">
        <f>K7330</f>
        <v>3</v>
      </c>
      <c r="L7331" s="250">
        <v>1</v>
      </c>
      <c r="M7331" s="163" t="str">
        <f>CONCATENATE(H7331," ",F7331,"*",I7331,"/",K7331,"чел.")</f>
        <v>4190 шт*0,00016002/3чел.</v>
      </c>
      <c r="N7331" s="164">
        <f>N6971</f>
        <v>435.13600000000008</v>
      </c>
      <c r="O7331" s="165">
        <f t="shared" si="2056"/>
        <v>97.250546</v>
      </c>
      <c r="P7331" s="166"/>
      <c r="Q7331" s="166">
        <f t="shared" si="2053"/>
        <v>291.75163800000001</v>
      </c>
      <c r="R7331" s="71"/>
    </row>
    <row r="7332" spans="1:18" s="61" customFormat="1" ht="31.5" x14ac:dyDescent="0.25">
      <c r="A7332" s="358"/>
      <c r="B7332" s="361"/>
      <c r="C7332" s="367"/>
      <c r="D7332" s="156" t="s">
        <v>104</v>
      </c>
      <c r="E7332" s="156" t="s">
        <v>105</v>
      </c>
      <c r="F7332" s="156" t="s">
        <v>226</v>
      </c>
      <c r="G7332" s="238">
        <f>MROUND(H7332*L7332*I7332/K7332,0.00000001)</f>
        <v>1.9202400000000001E-3</v>
      </c>
      <c r="H7332" s="160">
        <f t="shared" si="2055"/>
        <v>36</v>
      </c>
      <c r="I7332" s="159">
        <f t="shared" si="2038"/>
        <v>1.6002E-4</v>
      </c>
      <c r="J7332" s="160"/>
      <c r="K7332" s="161">
        <f>K7331</f>
        <v>3</v>
      </c>
      <c r="L7332" s="250">
        <v>1</v>
      </c>
      <c r="M7332" s="163" t="str">
        <f>CONCATENATE(H7332," ",F7332,"*",I7332,"/",K7332,"чел.")</f>
        <v>36 отключений*0,00016002/3чел.</v>
      </c>
      <c r="N7332" s="164">
        <f>N6852</f>
        <v>10671.710000000006</v>
      </c>
      <c r="O7332" s="165">
        <f t="shared" si="2056"/>
        <v>20.492243999999999</v>
      </c>
      <c r="P7332" s="166"/>
      <c r="Q7332" s="166">
        <f t="shared" si="2053"/>
        <v>61.476731999999998</v>
      </c>
      <c r="R7332" s="71"/>
    </row>
    <row r="7333" spans="1:18" s="61" customFormat="1" x14ac:dyDescent="0.25">
      <c r="A7333" s="358"/>
      <c r="B7333" s="361"/>
      <c r="C7333" s="249" t="s">
        <v>304</v>
      </c>
      <c r="D7333" s="240"/>
      <c r="E7333" s="240"/>
      <c r="F7333" s="240"/>
      <c r="G7333" s="227"/>
      <c r="H7333" s="228"/>
      <c r="I7333" s="206"/>
      <c r="J7333" s="228"/>
      <c r="K7333" s="207"/>
      <c r="L7333" s="257"/>
      <c r="M7333" s="209"/>
      <c r="N7333" s="210"/>
      <c r="O7333" s="198">
        <f>SUM(O7317:O7332)</f>
        <v>644.07105670999999</v>
      </c>
      <c r="P7333" s="166"/>
      <c r="Q7333" s="166"/>
      <c r="R7333" s="71"/>
    </row>
    <row r="7334" spans="1:18" s="61" customFormat="1" ht="31.5" x14ac:dyDescent="0.25">
      <c r="A7334" s="358"/>
      <c r="B7334" s="361"/>
      <c r="C7334" s="221" t="s">
        <v>79</v>
      </c>
      <c r="D7334" s="156" t="s">
        <v>37</v>
      </c>
      <c r="E7334" s="156" t="s">
        <v>61</v>
      </c>
      <c r="F7334" s="156" t="s">
        <v>227</v>
      </c>
      <c r="G7334" s="238">
        <f>MROUND(H7334*L7334*I7334/K7334,0.000000001)</f>
        <v>2.1336E-4</v>
      </c>
      <c r="H7334" s="158">
        <f>H6854</f>
        <v>4</v>
      </c>
      <c r="I7334" s="159">
        <f>I7332</f>
        <v>1.6002E-4</v>
      </c>
      <c r="J7334" s="160"/>
      <c r="K7334" s="161">
        <f>K7332</f>
        <v>3</v>
      </c>
      <c r="L7334" s="250">
        <v>1</v>
      </c>
      <c r="M7334" s="163" t="str">
        <f>CONCATENATE(H7334," ",F7334,"*",I7334,"/",K7334,"чел.")</f>
        <v>4 автобуса*0,00016002/3чел.</v>
      </c>
      <c r="N7334" s="164">
        <f>N6854</f>
        <v>37900.35</v>
      </c>
      <c r="O7334" s="165">
        <f>MROUND(G7334*N7334,0.000001)</f>
        <v>8.0864189999999994</v>
      </c>
      <c r="P7334" s="166"/>
      <c r="Q7334" s="166">
        <f t="shared" ref="Q7334" si="2057">O7334*K7334</f>
        <v>24.259256999999998</v>
      </c>
      <c r="R7334" s="71"/>
    </row>
    <row r="7335" spans="1:18" s="61" customFormat="1" x14ac:dyDescent="0.25">
      <c r="A7335" s="358"/>
      <c r="B7335" s="361"/>
      <c r="C7335" s="218" t="s">
        <v>305</v>
      </c>
      <c r="D7335" s="240"/>
      <c r="E7335" s="240"/>
      <c r="F7335" s="240"/>
      <c r="G7335" s="227"/>
      <c r="H7335" s="241"/>
      <c r="I7335" s="206"/>
      <c r="J7335" s="228"/>
      <c r="K7335" s="207"/>
      <c r="L7335" s="257"/>
      <c r="M7335" s="209"/>
      <c r="N7335" s="210"/>
      <c r="O7335" s="198">
        <f>SUM(O7334)</f>
        <v>8.0864189999999994</v>
      </c>
      <c r="P7335" s="166"/>
      <c r="Q7335" s="166"/>
      <c r="R7335" s="71"/>
    </row>
    <row r="7336" spans="1:18" s="61" customFormat="1" x14ac:dyDescent="0.25">
      <c r="A7336" s="358"/>
      <c r="B7336" s="361"/>
      <c r="C7336" s="364" t="s">
        <v>80</v>
      </c>
      <c r="D7336" s="156" t="s">
        <v>38</v>
      </c>
      <c r="E7336" s="156" t="s">
        <v>57</v>
      </c>
      <c r="F7336" s="156" t="s">
        <v>228</v>
      </c>
      <c r="G7336" s="238">
        <f>MROUND(H7336*L7336*I7336/K7336,0.000000001)</f>
        <v>2.3042880000000002E-2</v>
      </c>
      <c r="H7336" s="158">
        <f>H6856</f>
        <v>36</v>
      </c>
      <c r="I7336" s="159">
        <f>I7334</f>
        <v>1.6002E-4</v>
      </c>
      <c r="J7336" s="160"/>
      <c r="K7336" s="161">
        <f>K7334</f>
        <v>3</v>
      </c>
      <c r="L7336" s="250">
        <v>12</v>
      </c>
      <c r="M7336" s="163" t="str">
        <f>CONCATENATE(H7336," ",F7336,"*",L7336,"мес.","*",I7336,"/",K7336,"чел.")</f>
        <v>36 зданий*12мес.*0,00016002/3чел.</v>
      </c>
      <c r="N7336" s="164">
        <f t="shared" ref="N7336:N7347" si="2058">N6856</f>
        <v>5106.1928935185206</v>
      </c>
      <c r="O7336" s="165">
        <f>MROUND(G7336*N7336,0.000001)</f>
        <v>117.66139</v>
      </c>
      <c r="P7336" s="166"/>
      <c r="Q7336" s="166">
        <f t="shared" ref="Q7336:Q7349" si="2059">O7336*K7336</f>
        <v>352.98417000000001</v>
      </c>
      <c r="R7336" s="71"/>
    </row>
    <row r="7337" spans="1:18" s="61" customFormat="1" ht="47.25" x14ac:dyDescent="0.25">
      <c r="A7337" s="358"/>
      <c r="B7337" s="361"/>
      <c r="C7337" s="364"/>
      <c r="D7337" s="156" t="s">
        <v>229</v>
      </c>
      <c r="E7337" s="156" t="s">
        <v>60</v>
      </c>
      <c r="F7337" s="156" t="s">
        <v>60</v>
      </c>
      <c r="G7337" s="238">
        <f>MROUND(H7337*L7337*I7337/K7337,0.000001)</f>
        <v>0.127696</v>
      </c>
      <c r="H7337" s="158">
        <f>H6857</f>
        <v>2394</v>
      </c>
      <c r="I7337" s="159">
        <f t="shared" si="2038"/>
        <v>1.6002E-4</v>
      </c>
      <c r="J7337" s="160"/>
      <c r="K7337" s="161">
        <f>K7336</f>
        <v>3</v>
      </c>
      <c r="L7337" s="250">
        <v>1</v>
      </c>
      <c r="M7337" s="163" t="str">
        <f t="shared" ref="M7337:M7344" si="2060">CONCATENATE(H7337," ",F7337,"*",I7337,"/",K7337,"чел.")</f>
        <v>2394 шт.*0,00016002/3чел.</v>
      </c>
      <c r="N7337" s="164">
        <f t="shared" si="2058"/>
        <v>177.86185045948207</v>
      </c>
      <c r="O7337" s="165">
        <f>MROUND(G7337*N7337,0.000001)</f>
        <v>22.712246999999998</v>
      </c>
      <c r="P7337" s="166"/>
      <c r="Q7337" s="166">
        <f t="shared" si="2059"/>
        <v>68.136741000000001</v>
      </c>
      <c r="R7337" s="71"/>
    </row>
    <row r="7338" spans="1:18" s="61" customFormat="1" ht="47.25" x14ac:dyDescent="0.25">
      <c r="A7338" s="358"/>
      <c r="B7338" s="361"/>
      <c r="C7338" s="364"/>
      <c r="D7338" s="156" t="s">
        <v>405</v>
      </c>
      <c r="E7338" s="156" t="s">
        <v>60</v>
      </c>
      <c r="F7338" s="156" t="s">
        <v>406</v>
      </c>
      <c r="G7338" s="238">
        <f>MROUND(H7338*L7338*I7338/K7338,0.00000001)</f>
        <v>1.9202400000000001E-3</v>
      </c>
      <c r="H7338" s="158">
        <f>H7098</f>
        <v>36</v>
      </c>
      <c r="I7338" s="159">
        <f t="shared" si="2038"/>
        <v>1.6002E-4</v>
      </c>
      <c r="J7338" s="160"/>
      <c r="K7338" s="161">
        <f>K7337</f>
        <v>3</v>
      </c>
      <c r="L7338" s="250">
        <v>1</v>
      </c>
      <c r="M7338" s="163" t="str">
        <f t="shared" si="2060"/>
        <v>36 лицензий*0,00016002/3чел.</v>
      </c>
      <c r="N7338" s="164">
        <f t="shared" si="2058"/>
        <v>13043.200000000006</v>
      </c>
      <c r="O7338" s="165">
        <f t="shared" ref="O7338:O7347" si="2061">MROUND(G7338*N7338,0.000001)</f>
        <v>25.046073999999997</v>
      </c>
      <c r="P7338" s="166"/>
      <c r="Q7338" s="166">
        <f t="shared" si="2059"/>
        <v>75.138221999999985</v>
      </c>
      <c r="R7338" s="71"/>
    </row>
    <row r="7339" spans="1:18" s="61" customFormat="1" ht="63" x14ac:dyDescent="0.25">
      <c r="A7339" s="358"/>
      <c r="B7339" s="361"/>
      <c r="C7339" s="364"/>
      <c r="D7339" s="156" t="s">
        <v>39</v>
      </c>
      <c r="E7339" s="156" t="s">
        <v>20</v>
      </c>
      <c r="F7339" s="156" t="s">
        <v>234</v>
      </c>
      <c r="G7339" s="238">
        <f>MROUND(H7339*L7339*I7339/K7339,0.000000001)</f>
        <v>6.2941200000000003E-3</v>
      </c>
      <c r="H7339" s="158">
        <f>H6859</f>
        <v>118</v>
      </c>
      <c r="I7339" s="159">
        <f>I7337</f>
        <v>1.6002E-4</v>
      </c>
      <c r="J7339" s="160"/>
      <c r="K7339" s="161">
        <f>K7337</f>
        <v>3</v>
      </c>
      <c r="L7339" s="250">
        <v>1</v>
      </c>
      <c r="M7339" s="163" t="str">
        <f t="shared" si="2060"/>
        <v>118 чел(заявленная потребность руководителями учреждений)*0,00016002/3чел.</v>
      </c>
      <c r="N7339" s="164">
        <f t="shared" si="2058"/>
        <v>830.02203389830515</v>
      </c>
      <c r="O7339" s="165">
        <f t="shared" si="2061"/>
        <v>5.2242579999999998</v>
      </c>
      <c r="P7339" s="166"/>
      <c r="Q7339" s="166">
        <f t="shared" si="2059"/>
        <v>15.672774</v>
      </c>
      <c r="R7339" s="71"/>
    </row>
    <row r="7340" spans="1:18" s="61" customFormat="1" ht="63" x14ac:dyDescent="0.25">
      <c r="A7340" s="358"/>
      <c r="B7340" s="361"/>
      <c r="C7340" s="364"/>
      <c r="D7340" s="156" t="s">
        <v>40</v>
      </c>
      <c r="E7340" s="156" t="s">
        <v>20</v>
      </c>
      <c r="F7340" s="156" t="s">
        <v>234</v>
      </c>
      <c r="G7340" s="238">
        <f>MROUND(H7340*L7340*I7340/K7340,0.000000001)</f>
        <v>5.1206400000000001E-3</v>
      </c>
      <c r="H7340" s="158">
        <f>H6860</f>
        <v>96</v>
      </c>
      <c r="I7340" s="159">
        <f t="shared" si="2038"/>
        <v>1.6002E-4</v>
      </c>
      <c r="J7340" s="160"/>
      <c r="K7340" s="161">
        <f t="shared" ref="K7340:K7347" si="2062">K7339</f>
        <v>3</v>
      </c>
      <c r="L7340" s="250">
        <v>1</v>
      </c>
      <c r="M7340" s="163" t="str">
        <f t="shared" si="2060"/>
        <v>96 чел(заявленная потребность руководителями учреждений)*0,00016002/3чел.</v>
      </c>
      <c r="N7340" s="164">
        <f t="shared" si="2058"/>
        <v>1778.6189583333326</v>
      </c>
      <c r="O7340" s="165">
        <f t="shared" si="2061"/>
        <v>9.1076669999999993</v>
      </c>
      <c r="P7340" s="166"/>
      <c r="Q7340" s="166">
        <f t="shared" si="2059"/>
        <v>27.323000999999998</v>
      </c>
      <c r="R7340" s="71"/>
    </row>
    <row r="7341" spans="1:18" s="61" customFormat="1" ht="63" x14ac:dyDescent="0.25">
      <c r="A7341" s="358"/>
      <c r="B7341" s="361"/>
      <c r="C7341" s="364"/>
      <c r="D7341" s="156" t="s">
        <v>100</v>
      </c>
      <c r="E7341" s="156" t="s">
        <v>20</v>
      </c>
      <c r="F7341" s="156" t="s">
        <v>234</v>
      </c>
      <c r="G7341" s="238">
        <f>MROUND(H7341*L7341*I7341/K7341,0.0000000001)</f>
        <v>4.3205400000000003E-3</v>
      </c>
      <c r="H7341" s="158">
        <f>H6861</f>
        <v>81</v>
      </c>
      <c r="I7341" s="159">
        <f t="shared" si="2038"/>
        <v>1.6002E-4</v>
      </c>
      <c r="J7341" s="160"/>
      <c r="K7341" s="161">
        <f t="shared" si="2062"/>
        <v>3</v>
      </c>
      <c r="L7341" s="250">
        <v>1</v>
      </c>
      <c r="M7341" s="163" t="str">
        <f t="shared" si="2060"/>
        <v>81 чел(заявленная потребность руководителями учреждений)*0,00016002/3чел.</v>
      </c>
      <c r="N7341" s="164">
        <f t="shared" si="2058"/>
        <v>3794.386419753087</v>
      </c>
      <c r="O7341" s="165">
        <f t="shared" si="2061"/>
        <v>16.393798</v>
      </c>
      <c r="P7341" s="166"/>
      <c r="Q7341" s="166">
        <f t="shared" si="2059"/>
        <v>49.181393999999997</v>
      </c>
      <c r="R7341" s="71"/>
    </row>
    <row r="7342" spans="1:18" s="61" customFormat="1" ht="110.25" x14ac:dyDescent="0.25">
      <c r="A7342" s="358"/>
      <c r="B7342" s="361"/>
      <c r="C7342" s="364"/>
      <c r="D7342" s="156" t="s">
        <v>235</v>
      </c>
      <c r="E7342" s="156" t="s">
        <v>50</v>
      </c>
      <c r="F7342" s="156" t="s">
        <v>230</v>
      </c>
      <c r="G7342" s="238">
        <f>MROUND(H7342*L7342*I7342/K7342,0.00000001)</f>
        <v>1.9202400000000001E-3</v>
      </c>
      <c r="H7342" s="158">
        <f>H7102</f>
        <v>36</v>
      </c>
      <c r="I7342" s="159">
        <f t="shared" si="2038"/>
        <v>1.6002E-4</v>
      </c>
      <c r="J7342" s="160"/>
      <c r="K7342" s="161">
        <f t="shared" si="2062"/>
        <v>3</v>
      </c>
      <c r="L7342" s="250">
        <v>1</v>
      </c>
      <c r="M7342" s="163" t="str">
        <f t="shared" si="2060"/>
        <v>36 отчетов*0,00016002/3чел.</v>
      </c>
      <c r="N7342" s="164">
        <f t="shared" si="2058"/>
        <v>7114.47</v>
      </c>
      <c r="O7342" s="165">
        <f t="shared" si="2061"/>
        <v>13.661489999999999</v>
      </c>
      <c r="P7342" s="166"/>
      <c r="Q7342" s="166">
        <f t="shared" si="2059"/>
        <v>40.984469999999995</v>
      </c>
      <c r="R7342" s="71"/>
    </row>
    <row r="7343" spans="1:18" s="61" customFormat="1" ht="63" x14ac:dyDescent="0.25">
      <c r="A7343" s="358"/>
      <c r="B7343" s="361"/>
      <c r="C7343" s="364"/>
      <c r="D7343" s="156" t="s">
        <v>42</v>
      </c>
      <c r="E7343" s="156" t="s">
        <v>51</v>
      </c>
      <c r="F7343" s="156" t="s">
        <v>407</v>
      </c>
      <c r="G7343" s="238">
        <f>MROUND(H7343*L7343*I7343/K7343,0.000001)</f>
        <v>1.0881E-2</v>
      </c>
      <c r="H7343" s="158">
        <f>H6863</f>
        <v>204</v>
      </c>
      <c r="I7343" s="159">
        <f t="shared" si="2038"/>
        <v>1.6002E-4</v>
      </c>
      <c r="J7343" s="160"/>
      <c r="K7343" s="161">
        <f t="shared" si="2062"/>
        <v>3</v>
      </c>
      <c r="L7343" s="250">
        <v>1</v>
      </c>
      <c r="M7343" s="163" t="str">
        <f t="shared" si="2060"/>
        <v>204 ед (заявленная потребность руководителями учреждений)*0,00016002/3чел.</v>
      </c>
      <c r="N7343" s="164">
        <f t="shared" si="2058"/>
        <v>1185.7454901960789</v>
      </c>
      <c r="O7343" s="165">
        <f t="shared" si="2061"/>
        <v>12.902096999999999</v>
      </c>
      <c r="P7343" s="166"/>
      <c r="Q7343" s="166">
        <f t="shared" si="2059"/>
        <v>38.706291</v>
      </c>
      <c r="R7343" s="71"/>
    </row>
    <row r="7344" spans="1:18" s="61" customFormat="1" ht="31.5" x14ac:dyDescent="0.25">
      <c r="A7344" s="358"/>
      <c r="B7344" s="361"/>
      <c r="C7344" s="364"/>
      <c r="D7344" s="156" t="s">
        <v>43</v>
      </c>
      <c r="E7344" s="156" t="s">
        <v>52</v>
      </c>
      <c r="F7344" s="156" t="s">
        <v>231</v>
      </c>
      <c r="G7344" s="238">
        <f>MROUND(H7344*L7344*I7344/K7344,0.000000001)</f>
        <v>1.9202400000000001E-3</v>
      </c>
      <c r="H7344" s="158">
        <f>H6864</f>
        <v>36</v>
      </c>
      <c r="I7344" s="159">
        <f t="shared" ref="I7344:I7347" si="2063">I7343</f>
        <v>1.6002E-4</v>
      </c>
      <c r="J7344" s="160"/>
      <c r="K7344" s="161">
        <f t="shared" si="2062"/>
        <v>3</v>
      </c>
      <c r="L7344" s="250">
        <v>1</v>
      </c>
      <c r="M7344" s="163" t="str">
        <f t="shared" si="2060"/>
        <v>36 ЭЦП*0,00016002/3чел.</v>
      </c>
      <c r="N7344" s="164">
        <f t="shared" si="2058"/>
        <v>8423.5400000000009</v>
      </c>
      <c r="O7344" s="165">
        <f t="shared" si="2061"/>
        <v>16.175218000000001</v>
      </c>
      <c r="P7344" s="166"/>
      <c r="Q7344" s="166">
        <f t="shared" si="2059"/>
        <v>48.525654000000003</v>
      </c>
      <c r="R7344" s="71"/>
    </row>
    <row r="7345" spans="1:18" s="61" customFormat="1" ht="47.25" x14ac:dyDescent="0.25">
      <c r="A7345" s="358"/>
      <c r="B7345" s="361"/>
      <c r="C7345" s="364"/>
      <c r="D7345" s="156" t="s">
        <v>44</v>
      </c>
      <c r="E7345" s="156" t="s">
        <v>85</v>
      </c>
      <c r="F7345" s="156" t="s">
        <v>232</v>
      </c>
      <c r="G7345" s="238">
        <f>MROUND(H7345*L7345*I7345/K7345,0.000001)</f>
        <v>6.4861000000000002E-2</v>
      </c>
      <c r="H7345" s="158">
        <f>H6865</f>
        <v>1216</v>
      </c>
      <c r="I7345" s="159">
        <f t="shared" si="2063"/>
        <v>1.6002E-4</v>
      </c>
      <c r="J7345" s="160"/>
      <c r="K7345" s="161">
        <f t="shared" si="2062"/>
        <v>3</v>
      </c>
      <c r="L7345" s="250">
        <v>1</v>
      </c>
      <c r="M7345" s="163" t="str">
        <f>CONCATENATE(H7345," ",F7345,"*",L7345,"мес.","*",I7345,"/",K7345,"чел.")</f>
        <v>1216 мед.осмотров в мес.*1мес.*0,00016002/3чел.</v>
      </c>
      <c r="N7345" s="164">
        <f t="shared" si="2058"/>
        <v>61.65877467105264</v>
      </c>
      <c r="O7345" s="165">
        <f t="shared" si="2061"/>
        <v>3.99925</v>
      </c>
      <c r="P7345" s="166"/>
      <c r="Q7345" s="166">
        <f t="shared" si="2059"/>
        <v>11.99775</v>
      </c>
      <c r="R7345" s="71"/>
    </row>
    <row r="7346" spans="1:18" s="61" customFormat="1" ht="63" x14ac:dyDescent="0.25">
      <c r="A7346" s="358"/>
      <c r="B7346" s="361"/>
      <c r="C7346" s="364"/>
      <c r="D7346" s="156" t="s">
        <v>45</v>
      </c>
      <c r="E7346" s="156" t="s">
        <v>53</v>
      </c>
      <c r="F7346" s="156" t="s">
        <v>233</v>
      </c>
      <c r="G7346" s="238">
        <f>MROUND(H7346*L7346*I7346/K7346,0.000000001)</f>
        <v>2.56032E-3</v>
      </c>
      <c r="H7346" s="158">
        <f>H6866</f>
        <v>4</v>
      </c>
      <c r="I7346" s="159">
        <f t="shared" si="2063"/>
        <v>1.6002E-4</v>
      </c>
      <c r="J7346" s="160"/>
      <c r="K7346" s="161">
        <f t="shared" si="2062"/>
        <v>3</v>
      </c>
      <c r="L7346" s="250">
        <v>12</v>
      </c>
      <c r="M7346" s="163" t="str">
        <f>CONCATENATE(H7346," ",F7346,"*",L7346,"мес.","*",I7346,"/",K7346,"чел.")</f>
        <v>4  машины, оборудованных системой ГЛОНАСС*12мес.*0,00016002/3чел.</v>
      </c>
      <c r="N7346" s="164">
        <f t="shared" si="2058"/>
        <v>958.08249999999998</v>
      </c>
      <c r="O7346" s="165">
        <f t="shared" si="2061"/>
        <v>2.452998</v>
      </c>
      <c r="P7346" s="166"/>
      <c r="Q7346" s="166">
        <f t="shared" si="2059"/>
        <v>7.358994</v>
      </c>
      <c r="R7346" s="71"/>
    </row>
    <row r="7347" spans="1:18" s="61" customFormat="1" ht="31.5" x14ac:dyDescent="0.25">
      <c r="A7347" s="358"/>
      <c r="B7347" s="361"/>
      <c r="C7347" s="364"/>
      <c r="D7347" s="156" t="s">
        <v>408</v>
      </c>
      <c r="E7347" s="156" t="s">
        <v>20</v>
      </c>
      <c r="F7347" s="156" t="s">
        <v>20</v>
      </c>
      <c r="G7347" s="238">
        <f>MROUND(H7347*L7347*I7347/K7347,0.000000001)</f>
        <v>9.0517980000000012E-2</v>
      </c>
      <c r="H7347" s="158">
        <f>H6867</f>
        <v>1697</v>
      </c>
      <c r="I7347" s="159">
        <f t="shared" si="2063"/>
        <v>1.6002E-4</v>
      </c>
      <c r="J7347" s="160"/>
      <c r="K7347" s="161">
        <f t="shared" si="2062"/>
        <v>3</v>
      </c>
      <c r="L7347" s="250">
        <v>1</v>
      </c>
      <c r="M7347" s="163" t="str">
        <f>CONCATENATE(H7347," ",F7347,"*",L7347," раз в год","*",I7347,"/",K7347,"чел.")</f>
        <v>1697 чел.*1 раз в год*0,00016002/3чел.</v>
      </c>
      <c r="N7347" s="164">
        <f t="shared" si="2058"/>
        <v>592.87278137890405</v>
      </c>
      <c r="O7347" s="165">
        <f t="shared" si="2061"/>
        <v>53.665647</v>
      </c>
      <c r="P7347" s="166"/>
      <c r="Q7347" s="166">
        <f t="shared" si="2059"/>
        <v>160.99694099999999</v>
      </c>
      <c r="R7347" s="71"/>
    </row>
    <row r="7348" spans="1:18" s="61" customFormat="1" x14ac:dyDescent="0.25">
      <c r="A7348" s="358"/>
      <c r="B7348" s="361"/>
      <c r="C7348" s="364"/>
      <c r="D7348" s="156" t="s">
        <v>373</v>
      </c>
      <c r="E7348" s="156" t="s">
        <v>28</v>
      </c>
      <c r="F7348" s="156" t="s">
        <v>28</v>
      </c>
      <c r="G7348" s="157">
        <f>MROUND(H7348*L7348*I7348/K7348,0.000000001)</f>
        <v>1.9202400000000001E-3</v>
      </c>
      <c r="H7348" s="158">
        <f>H6869</f>
        <v>36</v>
      </c>
      <c r="I7348" s="159">
        <f>I7346</f>
        <v>1.6002E-4</v>
      </c>
      <c r="J7348" s="160"/>
      <c r="K7348" s="161">
        <f>K7346</f>
        <v>3</v>
      </c>
      <c r="L7348" s="162">
        <v>1</v>
      </c>
      <c r="M7348" s="163" t="str">
        <f>CONCATENATE(H7348," ",F7348,"*",L7348,"мес.","*",I7348,"/",K7348,"чел.")</f>
        <v>36 шт*1мес.*0,00016002/3чел.</v>
      </c>
      <c r="N7348" s="164">
        <f>N6869</f>
        <v>24000</v>
      </c>
      <c r="O7348" s="165">
        <f>MROUND(G7348*N7348,0.000000001)</f>
        <v>46.085760000000001</v>
      </c>
      <c r="P7348" s="166"/>
      <c r="Q7348" s="166">
        <f t="shared" si="2059"/>
        <v>138.25728000000001</v>
      </c>
      <c r="R7348" s="71"/>
    </row>
    <row r="7349" spans="1:18" s="61" customFormat="1" ht="31.5" x14ac:dyDescent="0.25">
      <c r="A7349" s="358"/>
      <c r="B7349" s="361"/>
      <c r="C7349" s="364"/>
      <c r="D7349" s="156" t="s">
        <v>106</v>
      </c>
      <c r="E7349" s="156" t="s">
        <v>107</v>
      </c>
      <c r="F7349" s="156"/>
      <c r="G7349" s="238">
        <f>MROUND(H7349*L7349*I7349/K7349,0.000000001)</f>
        <v>0</v>
      </c>
      <c r="H7349" s="158">
        <f>H6868</f>
        <v>0</v>
      </c>
      <c r="I7349" s="159">
        <f>I7346</f>
        <v>1.6002E-4</v>
      </c>
      <c r="J7349" s="160"/>
      <c r="K7349" s="161">
        <f>K7346</f>
        <v>3</v>
      </c>
      <c r="L7349" s="250">
        <f>L6868</f>
        <v>0</v>
      </c>
      <c r="M7349" s="163"/>
      <c r="N7349" s="164">
        <f>N6868</f>
        <v>6.0000000000000002E-5</v>
      </c>
      <c r="O7349" s="165">
        <f>MROUND(G7349*N7349,0.000000001)</f>
        <v>0</v>
      </c>
      <c r="P7349" s="166"/>
      <c r="Q7349" s="166">
        <f t="shared" si="2059"/>
        <v>0</v>
      </c>
      <c r="R7349" s="71"/>
    </row>
    <row r="7350" spans="1:18" s="61" customFormat="1" x14ac:dyDescent="0.25">
      <c r="A7350" s="358"/>
      <c r="B7350" s="361"/>
      <c r="C7350" s="245" t="s">
        <v>296</v>
      </c>
      <c r="D7350" s="240"/>
      <c r="E7350" s="240"/>
      <c r="F7350" s="240"/>
      <c r="G7350" s="227"/>
      <c r="H7350" s="241"/>
      <c r="I7350" s="206"/>
      <c r="J7350" s="228"/>
      <c r="K7350" s="207"/>
      <c r="L7350" s="257"/>
      <c r="M7350" s="209"/>
      <c r="N7350" s="210"/>
      <c r="O7350" s="198">
        <f>SUM(O7336:O7349)</f>
        <v>345.08789399999995</v>
      </c>
      <c r="P7350" s="166"/>
      <c r="Q7350" s="166"/>
      <c r="R7350" s="71"/>
    </row>
    <row r="7351" spans="1:18" s="61" customFormat="1" ht="31.5" x14ac:dyDescent="0.25">
      <c r="A7351" s="358"/>
      <c r="B7351" s="361"/>
      <c r="C7351" s="252" t="s">
        <v>237</v>
      </c>
      <c r="D7351" s="156" t="s">
        <v>41</v>
      </c>
      <c r="E7351" s="156" t="s">
        <v>61</v>
      </c>
      <c r="F7351" s="156" t="s">
        <v>227</v>
      </c>
      <c r="G7351" s="238">
        <f>MROUND(H7351*L7351*I7351/K7351,0.000000001)</f>
        <v>2.1336E-4</v>
      </c>
      <c r="H7351" s="158">
        <f>H6871</f>
        <v>4</v>
      </c>
      <c r="I7351" s="159">
        <f>I7349</f>
        <v>1.6002E-4</v>
      </c>
      <c r="J7351" s="160"/>
      <c r="K7351" s="161">
        <f>K7349</f>
        <v>3</v>
      </c>
      <c r="L7351" s="250">
        <v>1</v>
      </c>
      <c r="M7351" s="163" t="str">
        <f>CONCATENATE(H7351," ",F7351,"*",I7351,"/",K7351,"чел.")</f>
        <v>4 автобуса*0,00016002/3чел.</v>
      </c>
      <c r="N7351" s="164">
        <f>N6871</f>
        <v>27983.595000000001</v>
      </c>
      <c r="O7351" s="165">
        <f>MROUND(G7351*N7351,0.000001)</f>
        <v>5.97058</v>
      </c>
      <c r="P7351" s="166"/>
      <c r="Q7351" s="166">
        <f t="shared" ref="Q7351" si="2064">O7351*K7351</f>
        <v>17.911740000000002</v>
      </c>
      <c r="R7351" s="71"/>
    </row>
    <row r="7352" spans="1:18" s="61" customFormat="1" x14ac:dyDescent="0.25">
      <c r="A7352" s="358"/>
      <c r="B7352" s="361"/>
      <c r="C7352" s="245" t="s">
        <v>297</v>
      </c>
      <c r="D7352" s="240"/>
      <c r="E7352" s="240"/>
      <c r="F7352" s="240"/>
      <c r="G7352" s="227"/>
      <c r="H7352" s="241"/>
      <c r="I7352" s="206"/>
      <c r="J7352" s="228"/>
      <c r="K7352" s="207"/>
      <c r="L7352" s="257"/>
      <c r="M7352" s="209"/>
      <c r="N7352" s="210"/>
      <c r="O7352" s="198">
        <f>SUM(O7351)</f>
        <v>5.97058</v>
      </c>
      <c r="P7352" s="166"/>
      <c r="Q7352" s="166"/>
      <c r="R7352" s="71"/>
    </row>
    <row r="7353" spans="1:18" s="61" customFormat="1" ht="78.75" x14ac:dyDescent="0.25">
      <c r="A7353" s="358"/>
      <c r="B7353" s="361"/>
      <c r="C7353" s="221" t="s">
        <v>236</v>
      </c>
      <c r="D7353" s="156" t="s">
        <v>19</v>
      </c>
      <c r="E7353" s="181" t="s">
        <v>20</v>
      </c>
      <c r="F7353" s="181" t="s">
        <v>238</v>
      </c>
      <c r="G7353" s="238">
        <f>MROUND(H7353*L7353*I7353/K7353,0.000001)</f>
        <v>0</v>
      </c>
      <c r="H7353" s="158"/>
      <c r="I7353" s="159">
        <f>I7349</f>
        <v>1.6002E-4</v>
      </c>
      <c r="J7353" s="160"/>
      <c r="K7353" s="161">
        <f>K7349</f>
        <v>3</v>
      </c>
      <c r="L7353" s="250"/>
      <c r="M7353" s="163"/>
      <c r="N7353" s="164"/>
      <c r="O7353" s="165">
        <f>MROUND(G7353*N7353,0.000001)</f>
        <v>0</v>
      </c>
      <c r="P7353" s="166"/>
      <c r="Q7353" s="166">
        <f t="shared" ref="Q7353" si="2065">O7353*K7353</f>
        <v>0</v>
      </c>
      <c r="R7353" s="71"/>
    </row>
    <row r="7354" spans="1:18" s="62" customFormat="1" x14ac:dyDescent="0.25">
      <c r="A7354" s="358"/>
      <c r="B7354" s="361"/>
      <c r="C7354" s="245" t="s">
        <v>298</v>
      </c>
      <c r="D7354" s="240"/>
      <c r="E7354" s="253"/>
      <c r="F7354" s="253"/>
      <c r="G7354" s="227"/>
      <c r="H7354" s="241"/>
      <c r="I7354" s="206"/>
      <c r="J7354" s="228"/>
      <c r="K7354" s="207"/>
      <c r="L7354" s="257"/>
      <c r="M7354" s="209"/>
      <c r="N7354" s="210"/>
      <c r="O7354" s="198">
        <f>SUM(O7353)</f>
        <v>0</v>
      </c>
      <c r="P7354" s="267"/>
      <c r="Q7354" s="166"/>
      <c r="R7354" s="71"/>
    </row>
    <row r="7355" spans="1:18" s="61" customFormat="1" ht="30" x14ac:dyDescent="0.25">
      <c r="A7355" s="358"/>
      <c r="B7355" s="361"/>
      <c r="C7355" s="365" t="s">
        <v>81</v>
      </c>
      <c r="D7355" s="254" t="s">
        <v>410</v>
      </c>
      <c r="E7355" s="156" t="s">
        <v>28</v>
      </c>
      <c r="F7355" s="156" t="s">
        <v>28</v>
      </c>
      <c r="G7355" s="238">
        <f>MROUND(H7355*L7355*I7355/K7355,0.0000000001)</f>
        <v>0</v>
      </c>
      <c r="H7355" s="158"/>
      <c r="I7355" s="159">
        <f>I7349</f>
        <v>1.6002E-4</v>
      </c>
      <c r="J7355" s="160"/>
      <c r="K7355" s="161">
        <f>K7349</f>
        <v>3</v>
      </c>
      <c r="L7355" s="250">
        <v>1</v>
      </c>
      <c r="M7355" s="163"/>
      <c r="N7355" s="164"/>
      <c r="O7355" s="165">
        <f>MROUND(G7355*N7355,0.000001)</f>
        <v>0</v>
      </c>
      <c r="P7355" s="166"/>
      <c r="Q7355" s="166">
        <f t="shared" ref="Q7355:Q7378" si="2066">O7355*K7355</f>
        <v>0</v>
      </c>
      <c r="R7355" s="71"/>
    </row>
    <row r="7356" spans="1:18" s="61" customFormat="1" x14ac:dyDescent="0.25">
      <c r="A7356" s="358"/>
      <c r="B7356" s="361"/>
      <c r="C7356" s="366"/>
      <c r="D7356" s="254" t="s">
        <v>325</v>
      </c>
      <c r="E7356" s="156" t="s">
        <v>28</v>
      </c>
      <c r="F7356" s="156" t="s">
        <v>28</v>
      </c>
      <c r="G7356" s="157">
        <f>MROUND(H7356*L7356*I7356/K7356,0.0000000001)</f>
        <v>0</v>
      </c>
      <c r="H7356" s="158"/>
      <c r="I7356" s="159">
        <f>I7355</f>
        <v>1.6002E-4</v>
      </c>
      <c r="J7356" s="160"/>
      <c r="K7356" s="161">
        <f>K7355</f>
        <v>3</v>
      </c>
      <c r="L7356" s="250">
        <v>1</v>
      </c>
      <c r="M7356" s="163"/>
      <c r="N7356" s="164"/>
      <c r="O7356" s="165">
        <f>MROUND(G7356*N7356,0.000001)</f>
        <v>0</v>
      </c>
      <c r="P7356" s="166"/>
      <c r="Q7356" s="166">
        <f t="shared" si="2066"/>
        <v>0</v>
      </c>
      <c r="R7356" s="71"/>
    </row>
    <row r="7357" spans="1:18" s="61" customFormat="1" ht="30" x14ac:dyDescent="0.25">
      <c r="A7357" s="358"/>
      <c r="B7357" s="361"/>
      <c r="C7357" s="366"/>
      <c r="D7357" s="254" t="s">
        <v>411</v>
      </c>
      <c r="E7357" s="156" t="s">
        <v>28</v>
      </c>
      <c r="F7357" s="156" t="s">
        <v>28</v>
      </c>
      <c r="G7357" s="238">
        <f>MROUND(H7357*L7357*I7357/K7357,0.00000001)</f>
        <v>0</v>
      </c>
      <c r="H7357" s="158"/>
      <c r="I7357" s="159">
        <f>I7355</f>
        <v>1.6002E-4</v>
      </c>
      <c r="J7357" s="160"/>
      <c r="K7357" s="161">
        <f>K7355</f>
        <v>3</v>
      </c>
      <c r="L7357" s="250">
        <v>1</v>
      </c>
      <c r="M7357" s="163"/>
      <c r="N7357" s="164"/>
      <c r="O7357" s="165">
        <f t="shared" ref="O7357:O7378" si="2067">MROUND(G7357*N7357,0.000001)</f>
        <v>0</v>
      </c>
      <c r="P7357" s="166"/>
      <c r="Q7357" s="166">
        <f t="shared" si="2066"/>
        <v>0</v>
      </c>
      <c r="R7357" s="71"/>
    </row>
    <row r="7358" spans="1:18" s="61" customFormat="1" x14ac:dyDescent="0.25">
      <c r="A7358" s="358"/>
      <c r="B7358" s="361"/>
      <c r="C7358" s="366"/>
      <c r="D7358" s="255" t="s">
        <v>412</v>
      </c>
      <c r="E7358" s="156" t="s">
        <v>28</v>
      </c>
      <c r="F7358" s="156" t="s">
        <v>28</v>
      </c>
      <c r="G7358" s="238">
        <f>MROUND(H7358*L7358*I7358/K7358,0.00000001)</f>
        <v>0</v>
      </c>
      <c r="H7358" s="158"/>
      <c r="I7358" s="159">
        <f>I7357</f>
        <v>1.6002E-4</v>
      </c>
      <c r="J7358" s="160"/>
      <c r="K7358" s="161">
        <f>K7357</f>
        <v>3</v>
      </c>
      <c r="L7358" s="250">
        <v>1</v>
      </c>
      <c r="M7358" s="163"/>
      <c r="N7358" s="164"/>
      <c r="O7358" s="165">
        <f t="shared" si="2067"/>
        <v>0</v>
      </c>
      <c r="P7358" s="166"/>
      <c r="Q7358" s="166">
        <f t="shared" si="2066"/>
        <v>0</v>
      </c>
      <c r="R7358" s="71"/>
    </row>
    <row r="7359" spans="1:18" s="61" customFormat="1" ht="31.5" x14ac:dyDescent="0.25">
      <c r="A7359" s="358"/>
      <c r="B7359" s="361"/>
      <c r="C7359" s="366"/>
      <c r="D7359" s="255" t="s">
        <v>413</v>
      </c>
      <c r="E7359" s="156" t="s">
        <v>28</v>
      </c>
      <c r="F7359" s="156" t="s">
        <v>28</v>
      </c>
      <c r="G7359" s="238">
        <f>MROUND(H7359*L7359*I7359/K7359,0.0000000001)</f>
        <v>0</v>
      </c>
      <c r="H7359" s="158"/>
      <c r="I7359" s="159">
        <f>I7358</f>
        <v>1.6002E-4</v>
      </c>
      <c r="J7359" s="160"/>
      <c r="K7359" s="161">
        <f>K7358</f>
        <v>3</v>
      </c>
      <c r="L7359" s="250">
        <v>1</v>
      </c>
      <c r="M7359" s="163"/>
      <c r="N7359" s="164"/>
      <c r="O7359" s="165">
        <f t="shared" si="2067"/>
        <v>0</v>
      </c>
      <c r="P7359" s="166"/>
      <c r="Q7359" s="166">
        <f t="shared" si="2066"/>
        <v>0</v>
      </c>
      <c r="R7359" s="71"/>
    </row>
    <row r="7360" spans="1:18" s="61" customFormat="1" x14ac:dyDescent="0.25">
      <c r="A7360" s="358"/>
      <c r="B7360" s="361"/>
      <c r="C7360" s="366"/>
      <c r="D7360" s="254" t="s">
        <v>109</v>
      </c>
      <c r="E7360" s="156" t="s">
        <v>28</v>
      </c>
      <c r="F7360" s="156" t="s">
        <v>28</v>
      </c>
      <c r="G7360" s="238">
        <f>MROUND(H7360*L7360*I7360/K7360,0.0000000001)</f>
        <v>0</v>
      </c>
      <c r="H7360" s="158"/>
      <c r="I7360" s="159">
        <f>I7359</f>
        <v>1.6002E-4</v>
      </c>
      <c r="J7360" s="160"/>
      <c r="K7360" s="161">
        <f>K7359</f>
        <v>3</v>
      </c>
      <c r="L7360" s="250">
        <v>1</v>
      </c>
      <c r="M7360" s="163"/>
      <c r="N7360" s="164"/>
      <c r="O7360" s="165">
        <f t="shared" si="2067"/>
        <v>0</v>
      </c>
      <c r="P7360" s="166"/>
      <c r="Q7360" s="166">
        <f t="shared" si="2066"/>
        <v>0</v>
      </c>
      <c r="R7360" s="71"/>
    </row>
    <row r="7361" spans="1:18" s="61" customFormat="1" x14ac:dyDescent="0.25">
      <c r="A7361" s="358"/>
      <c r="B7361" s="361"/>
      <c r="C7361" s="366"/>
      <c r="D7361" s="254" t="s">
        <v>414</v>
      </c>
      <c r="E7361" s="156" t="s">
        <v>28</v>
      </c>
      <c r="F7361" s="156" t="s">
        <v>28</v>
      </c>
      <c r="G7361" s="238">
        <f>MROUND(H7361*L7361*I7361/K7361,0.0000000001)</f>
        <v>0</v>
      </c>
      <c r="H7361" s="158"/>
      <c r="I7361" s="159">
        <f>I7359</f>
        <v>1.6002E-4</v>
      </c>
      <c r="J7361" s="160"/>
      <c r="K7361" s="161">
        <f>K7359</f>
        <v>3</v>
      </c>
      <c r="L7361" s="250">
        <v>1</v>
      </c>
      <c r="M7361" s="163"/>
      <c r="N7361" s="164"/>
      <c r="O7361" s="165">
        <f t="shared" si="2067"/>
        <v>0</v>
      </c>
      <c r="P7361" s="166"/>
      <c r="Q7361" s="166">
        <f t="shared" si="2066"/>
        <v>0</v>
      </c>
      <c r="R7361" s="71"/>
    </row>
    <row r="7362" spans="1:18" s="61" customFormat="1" x14ac:dyDescent="0.25">
      <c r="A7362" s="358"/>
      <c r="B7362" s="361"/>
      <c r="C7362" s="366"/>
      <c r="D7362" s="254" t="s">
        <v>415</v>
      </c>
      <c r="E7362" s="156" t="s">
        <v>28</v>
      </c>
      <c r="F7362" s="156" t="s">
        <v>28</v>
      </c>
      <c r="G7362" s="238">
        <f>MROUND(H7362*L7362*I7362/K7362,0.00000001)</f>
        <v>0</v>
      </c>
      <c r="H7362" s="158"/>
      <c r="I7362" s="159">
        <f t="shared" ref="I7362:I7371" si="2068">I7360</f>
        <v>1.6002E-4</v>
      </c>
      <c r="J7362" s="160"/>
      <c r="K7362" s="161">
        <f t="shared" ref="K7362:K7371" si="2069">K7360</f>
        <v>3</v>
      </c>
      <c r="L7362" s="250">
        <v>1</v>
      </c>
      <c r="M7362" s="163"/>
      <c r="N7362" s="164"/>
      <c r="O7362" s="165">
        <f t="shared" si="2067"/>
        <v>0</v>
      </c>
      <c r="P7362" s="166"/>
      <c r="Q7362" s="166">
        <f t="shared" si="2066"/>
        <v>0</v>
      </c>
      <c r="R7362" s="71"/>
    </row>
    <row r="7363" spans="1:18" s="61" customFormat="1" x14ac:dyDescent="0.25">
      <c r="A7363" s="358"/>
      <c r="B7363" s="361"/>
      <c r="C7363" s="366"/>
      <c r="D7363" s="254" t="s">
        <v>416</v>
      </c>
      <c r="E7363" s="156" t="s">
        <v>28</v>
      </c>
      <c r="F7363" s="156" t="s">
        <v>28</v>
      </c>
      <c r="G7363" s="238">
        <f>MROUND(H7363*L7363*I7363/K7363,0.000000001)</f>
        <v>0</v>
      </c>
      <c r="H7363" s="246"/>
      <c r="I7363" s="159">
        <f t="shared" si="2068"/>
        <v>1.6002E-4</v>
      </c>
      <c r="J7363" s="160"/>
      <c r="K7363" s="161">
        <f t="shared" si="2069"/>
        <v>3</v>
      </c>
      <c r="L7363" s="250">
        <v>1</v>
      </c>
      <c r="M7363" s="163"/>
      <c r="N7363" s="164"/>
      <c r="O7363" s="165">
        <f t="shared" si="2067"/>
        <v>0</v>
      </c>
      <c r="P7363" s="166"/>
      <c r="Q7363" s="166">
        <f t="shared" si="2066"/>
        <v>0</v>
      </c>
      <c r="R7363" s="71"/>
    </row>
    <row r="7364" spans="1:18" s="61" customFormat="1" x14ac:dyDescent="0.25">
      <c r="A7364" s="358"/>
      <c r="B7364" s="361"/>
      <c r="C7364" s="366"/>
      <c r="D7364" s="254" t="s">
        <v>417</v>
      </c>
      <c r="E7364" s="156" t="s">
        <v>28</v>
      </c>
      <c r="F7364" s="156" t="s">
        <v>28</v>
      </c>
      <c r="G7364" s="238">
        <f>MROUND(H7364*L7364*I7364/K7364,0.00000001)</f>
        <v>0</v>
      </c>
      <c r="H7364" s="158"/>
      <c r="I7364" s="159">
        <f t="shared" si="2068"/>
        <v>1.6002E-4</v>
      </c>
      <c r="J7364" s="160"/>
      <c r="K7364" s="161">
        <f t="shared" si="2069"/>
        <v>3</v>
      </c>
      <c r="L7364" s="250">
        <v>1</v>
      </c>
      <c r="M7364" s="163"/>
      <c r="N7364" s="164"/>
      <c r="O7364" s="165">
        <f t="shared" si="2067"/>
        <v>0</v>
      </c>
      <c r="P7364" s="166"/>
      <c r="Q7364" s="166">
        <f t="shared" si="2066"/>
        <v>0</v>
      </c>
      <c r="R7364" s="71"/>
    </row>
    <row r="7365" spans="1:18" s="61" customFormat="1" ht="30" x14ac:dyDescent="0.25">
      <c r="A7365" s="358"/>
      <c r="B7365" s="361"/>
      <c r="C7365" s="366"/>
      <c r="D7365" s="254" t="s">
        <v>418</v>
      </c>
      <c r="E7365" s="156" t="s">
        <v>28</v>
      </c>
      <c r="F7365" s="156" t="s">
        <v>28</v>
      </c>
      <c r="G7365" s="238">
        <f>MROUND(H7365*L7365*I7365/K7365,0.00000001)</f>
        <v>0</v>
      </c>
      <c r="H7365" s="158"/>
      <c r="I7365" s="159">
        <f t="shared" si="2068"/>
        <v>1.6002E-4</v>
      </c>
      <c r="J7365" s="160"/>
      <c r="K7365" s="161">
        <f t="shared" si="2069"/>
        <v>3</v>
      </c>
      <c r="L7365" s="250">
        <v>1</v>
      </c>
      <c r="M7365" s="163"/>
      <c r="N7365" s="164"/>
      <c r="O7365" s="165">
        <f t="shared" si="2067"/>
        <v>0</v>
      </c>
      <c r="P7365" s="166"/>
      <c r="Q7365" s="166">
        <f t="shared" si="2066"/>
        <v>0</v>
      </c>
      <c r="R7365" s="71"/>
    </row>
    <row r="7366" spans="1:18" s="61" customFormat="1" x14ac:dyDescent="0.25">
      <c r="A7366" s="358"/>
      <c r="B7366" s="361"/>
      <c r="C7366" s="366"/>
      <c r="D7366" s="254" t="s">
        <v>324</v>
      </c>
      <c r="E7366" s="156" t="s">
        <v>28</v>
      </c>
      <c r="F7366" s="156" t="s">
        <v>28</v>
      </c>
      <c r="G7366" s="238">
        <f>MROUND(H7366*L7366*I7366/K7366,0.000000001)</f>
        <v>0</v>
      </c>
      <c r="H7366" s="158"/>
      <c r="I7366" s="159">
        <f t="shared" si="2068"/>
        <v>1.6002E-4</v>
      </c>
      <c r="J7366" s="160"/>
      <c r="K7366" s="161">
        <f t="shared" si="2069"/>
        <v>3</v>
      </c>
      <c r="L7366" s="250">
        <v>1</v>
      </c>
      <c r="M7366" s="163"/>
      <c r="N7366" s="164"/>
      <c r="O7366" s="165">
        <f t="shared" si="2067"/>
        <v>0</v>
      </c>
      <c r="P7366" s="166"/>
      <c r="Q7366" s="166">
        <f t="shared" si="2066"/>
        <v>0</v>
      </c>
      <c r="R7366" s="71"/>
    </row>
    <row r="7367" spans="1:18" s="61" customFormat="1" x14ac:dyDescent="0.25">
      <c r="A7367" s="358"/>
      <c r="B7367" s="361"/>
      <c r="C7367" s="366"/>
      <c r="D7367" s="254" t="s">
        <v>419</v>
      </c>
      <c r="E7367" s="156" t="s">
        <v>28</v>
      </c>
      <c r="F7367" s="156" t="s">
        <v>28</v>
      </c>
      <c r="G7367" s="238">
        <f>MROUND(H7367*L7367*I7367/K7367,0.000000001)</f>
        <v>0</v>
      </c>
      <c r="H7367" s="246"/>
      <c r="I7367" s="159">
        <f t="shared" si="2068"/>
        <v>1.6002E-4</v>
      </c>
      <c r="J7367" s="160"/>
      <c r="K7367" s="161">
        <f t="shared" si="2069"/>
        <v>3</v>
      </c>
      <c r="L7367" s="250">
        <v>1</v>
      </c>
      <c r="M7367" s="163"/>
      <c r="N7367" s="164"/>
      <c r="O7367" s="165">
        <f t="shared" si="2067"/>
        <v>0</v>
      </c>
      <c r="P7367" s="166"/>
      <c r="Q7367" s="166">
        <f t="shared" si="2066"/>
        <v>0</v>
      </c>
      <c r="R7367" s="71"/>
    </row>
    <row r="7368" spans="1:18" s="61" customFormat="1" x14ac:dyDescent="0.25">
      <c r="A7368" s="358"/>
      <c r="B7368" s="361"/>
      <c r="C7368" s="366"/>
      <c r="D7368" s="254" t="s">
        <v>420</v>
      </c>
      <c r="E7368" s="156" t="s">
        <v>28</v>
      </c>
      <c r="F7368" s="156" t="s">
        <v>28</v>
      </c>
      <c r="G7368" s="238">
        <f>MROUND(H7368*L7368*I7368/K7368,0.000000001)</f>
        <v>0</v>
      </c>
      <c r="H7368" s="158"/>
      <c r="I7368" s="159">
        <f t="shared" si="2068"/>
        <v>1.6002E-4</v>
      </c>
      <c r="J7368" s="160"/>
      <c r="K7368" s="161">
        <f t="shared" si="2069"/>
        <v>3</v>
      </c>
      <c r="L7368" s="250">
        <v>1</v>
      </c>
      <c r="M7368" s="163"/>
      <c r="N7368" s="164"/>
      <c r="O7368" s="165">
        <f t="shared" si="2067"/>
        <v>0</v>
      </c>
      <c r="P7368" s="166"/>
      <c r="Q7368" s="166">
        <f t="shared" si="2066"/>
        <v>0</v>
      </c>
      <c r="R7368" s="71"/>
    </row>
    <row r="7369" spans="1:18" s="61" customFormat="1" x14ac:dyDescent="0.25">
      <c r="A7369" s="358"/>
      <c r="B7369" s="361"/>
      <c r="C7369" s="366"/>
      <c r="D7369" s="254" t="s">
        <v>421</v>
      </c>
      <c r="E7369" s="156" t="s">
        <v>28</v>
      </c>
      <c r="F7369" s="156" t="s">
        <v>28</v>
      </c>
      <c r="G7369" s="238">
        <f>MROUND(H7369*L7369*I7369/K7369,0.00000001)</f>
        <v>0</v>
      </c>
      <c r="H7369" s="158"/>
      <c r="I7369" s="159">
        <f t="shared" si="2068"/>
        <v>1.6002E-4</v>
      </c>
      <c r="J7369" s="160"/>
      <c r="K7369" s="161">
        <f t="shared" si="2069"/>
        <v>3</v>
      </c>
      <c r="L7369" s="250">
        <v>1</v>
      </c>
      <c r="M7369" s="163"/>
      <c r="N7369" s="164"/>
      <c r="O7369" s="165">
        <f t="shared" si="2067"/>
        <v>0</v>
      </c>
      <c r="P7369" s="166"/>
      <c r="Q7369" s="166">
        <f t="shared" si="2066"/>
        <v>0</v>
      </c>
      <c r="R7369" s="71"/>
    </row>
    <row r="7370" spans="1:18" s="61" customFormat="1" ht="30" x14ac:dyDescent="0.25">
      <c r="A7370" s="358"/>
      <c r="B7370" s="361"/>
      <c r="C7370" s="366"/>
      <c r="D7370" s="254" t="s">
        <v>422</v>
      </c>
      <c r="E7370" s="156" t="s">
        <v>28</v>
      </c>
      <c r="F7370" s="156" t="s">
        <v>28</v>
      </c>
      <c r="G7370" s="266">
        <f>MROUND(H7370*L7370*I7370/K7370,0.00000001)</f>
        <v>0</v>
      </c>
      <c r="H7370" s="158"/>
      <c r="I7370" s="159">
        <f t="shared" si="2068"/>
        <v>1.6002E-4</v>
      </c>
      <c r="J7370" s="160"/>
      <c r="K7370" s="161">
        <f t="shared" si="2069"/>
        <v>3</v>
      </c>
      <c r="L7370" s="250">
        <v>1</v>
      </c>
      <c r="M7370" s="163"/>
      <c r="N7370" s="164"/>
      <c r="O7370" s="165">
        <f t="shared" si="2067"/>
        <v>0</v>
      </c>
      <c r="P7370" s="166"/>
      <c r="Q7370" s="166">
        <f t="shared" si="2066"/>
        <v>0</v>
      </c>
      <c r="R7370" s="71"/>
    </row>
    <row r="7371" spans="1:18" s="61" customFormat="1" x14ac:dyDescent="0.25">
      <c r="A7371" s="358"/>
      <c r="B7371" s="361"/>
      <c r="C7371" s="366"/>
      <c r="D7371" s="254" t="s">
        <v>423</v>
      </c>
      <c r="E7371" s="156" t="s">
        <v>28</v>
      </c>
      <c r="F7371" s="156" t="s">
        <v>28</v>
      </c>
      <c r="G7371" s="238">
        <f>MROUND(H7371*L7371*I7371/K7371,0.000000001)</f>
        <v>0</v>
      </c>
      <c r="H7371" s="158"/>
      <c r="I7371" s="159">
        <f t="shared" si="2068"/>
        <v>1.6002E-4</v>
      </c>
      <c r="J7371" s="160"/>
      <c r="K7371" s="161">
        <f t="shared" si="2069"/>
        <v>3</v>
      </c>
      <c r="L7371" s="250">
        <v>1</v>
      </c>
      <c r="M7371" s="163"/>
      <c r="N7371" s="164"/>
      <c r="O7371" s="165">
        <f t="shared" si="2067"/>
        <v>0</v>
      </c>
      <c r="P7371" s="166"/>
      <c r="Q7371" s="166">
        <f t="shared" si="2066"/>
        <v>0</v>
      </c>
      <c r="R7371" s="71"/>
    </row>
    <row r="7372" spans="1:18" s="61" customFormat="1" x14ac:dyDescent="0.25">
      <c r="A7372" s="358"/>
      <c r="B7372" s="361"/>
      <c r="C7372" s="366"/>
      <c r="D7372" s="254" t="s">
        <v>424</v>
      </c>
      <c r="E7372" s="156" t="s">
        <v>28</v>
      </c>
      <c r="F7372" s="156" t="s">
        <v>28</v>
      </c>
      <c r="G7372" s="238">
        <f t="shared" ref="G7372:G7378" si="2070">MROUND(H7372*L7372*I7372/K7372,0.00000001)</f>
        <v>0</v>
      </c>
      <c r="H7372" s="158"/>
      <c r="I7372" s="159">
        <f>I7361</f>
        <v>1.6002E-4</v>
      </c>
      <c r="J7372" s="160"/>
      <c r="K7372" s="161">
        <f>K7361</f>
        <v>3</v>
      </c>
      <c r="L7372" s="250">
        <v>1</v>
      </c>
      <c r="M7372" s="163"/>
      <c r="N7372" s="164"/>
      <c r="O7372" s="165">
        <f t="shared" si="2067"/>
        <v>0</v>
      </c>
      <c r="P7372" s="166"/>
      <c r="Q7372" s="166">
        <f t="shared" si="2066"/>
        <v>0</v>
      </c>
      <c r="R7372" s="71"/>
    </row>
    <row r="7373" spans="1:18" s="61" customFormat="1" x14ac:dyDescent="0.25">
      <c r="A7373" s="358"/>
      <c r="B7373" s="361"/>
      <c r="C7373" s="366"/>
      <c r="D7373" s="254" t="s">
        <v>425</v>
      </c>
      <c r="E7373" s="156" t="s">
        <v>28</v>
      </c>
      <c r="F7373" s="156" t="s">
        <v>28</v>
      </c>
      <c r="G7373" s="277">
        <f t="shared" si="2070"/>
        <v>0</v>
      </c>
      <c r="H7373" s="158"/>
      <c r="I7373" s="159">
        <f t="shared" ref="I7373:I7378" si="2071">I7372</f>
        <v>1.6002E-4</v>
      </c>
      <c r="J7373" s="160"/>
      <c r="K7373" s="161">
        <f t="shared" ref="K7373:K7378" si="2072">K7372</f>
        <v>3</v>
      </c>
      <c r="L7373" s="250">
        <v>1</v>
      </c>
      <c r="M7373" s="163"/>
      <c r="N7373" s="164"/>
      <c r="O7373" s="165">
        <f t="shared" si="2067"/>
        <v>0</v>
      </c>
      <c r="P7373" s="166"/>
      <c r="Q7373" s="166">
        <f t="shared" si="2066"/>
        <v>0</v>
      </c>
      <c r="R7373" s="71"/>
    </row>
    <row r="7374" spans="1:18" s="61" customFormat="1" x14ac:dyDescent="0.25">
      <c r="A7374" s="358"/>
      <c r="B7374" s="361"/>
      <c r="C7374" s="366"/>
      <c r="D7374" s="254" t="s">
        <v>108</v>
      </c>
      <c r="E7374" s="156" t="s">
        <v>28</v>
      </c>
      <c r="F7374" s="156" t="s">
        <v>28</v>
      </c>
      <c r="G7374" s="238">
        <f t="shared" si="2070"/>
        <v>0</v>
      </c>
      <c r="H7374" s="158"/>
      <c r="I7374" s="159">
        <f t="shared" si="2071"/>
        <v>1.6002E-4</v>
      </c>
      <c r="J7374" s="160"/>
      <c r="K7374" s="161">
        <f t="shared" si="2072"/>
        <v>3</v>
      </c>
      <c r="L7374" s="250">
        <v>1</v>
      </c>
      <c r="M7374" s="163"/>
      <c r="N7374" s="164"/>
      <c r="O7374" s="165">
        <f t="shared" si="2067"/>
        <v>0</v>
      </c>
      <c r="P7374" s="166"/>
      <c r="Q7374" s="166">
        <f t="shared" si="2066"/>
        <v>0</v>
      </c>
      <c r="R7374" s="71"/>
    </row>
    <row r="7375" spans="1:18" s="61" customFormat="1" x14ac:dyDescent="0.25">
      <c r="A7375" s="358"/>
      <c r="B7375" s="361"/>
      <c r="C7375" s="366"/>
      <c r="D7375" s="254" t="s">
        <v>426</v>
      </c>
      <c r="E7375" s="156" t="s">
        <v>28</v>
      </c>
      <c r="F7375" s="156" t="s">
        <v>28</v>
      </c>
      <c r="G7375" s="238">
        <f t="shared" si="2070"/>
        <v>0</v>
      </c>
      <c r="H7375" s="158"/>
      <c r="I7375" s="159">
        <f t="shared" si="2071"/>
        <v>1.6002E-4</v>
      </c>
      <c r="J7375" s="160"/>
      <c r="K7375" s="161">
        <f t="shared" si="2072"/>
        <v>3</v>
      </c>
      <c r="L7375" s="250">
        <v>1</v>
      </c>
      <c r="M7375" s="163"/>
      <c r="N7375" s="164"/>
      <c r="O7375" s="165">
        <f t="shared" si="2067"/>
        <v>0</v>
      </c>
      <c r="P7375" s="166"/>
      <c r="Q7375" s="166">
        <f t="shared" si="2066"/>
        <v>0</v>
      </c>
      <c r="R7375" s="71"/>
    </row>
    <row r="7376" spans="1:18" s="61" customFormat="1" x14ac:dyDescent="0.25">
      <c r="A7376" s="358"/>
      <c r="B7376" s="361"/>
      <c r="C7376" s="366"/>
      <c r="D7376" s="254" t="s">
        <v>427</v>
      </c>
      <c r="E7376" s="156" t="s">
        <v>28</v>
      </c>
      <c r="F7376" s="156" t="s">
        <v>28</v>
      </c>
      <c r="G7376" s="238">
        <f t="shared" si="2070"/>
        <v>0</v>
      </c>
      <c r="H7376" s="158"/>
      <c r="I7376" s="159">
        <f t="shared" si="2071"/>
        <v>1.6002E-4</v>
      </c>
      <c r="J7376" s="160"/>
      <c r="K7376" s="161">
        <f t="shared" si="2072"/>
        <v>3</v>
      </c>
      <c r="L7376" s="250">
        <v>1</v>
      </c>
      <c r="M7376" s="163"/>
      <c r="N7376" s="164"/>
      <c r="O7376" s="165">
        <f t="shared" si="2067"/>
        <v>0</v>
      </c>
      <c r="P7376" s="166"/>
      <c r="Q7376" s="166">
        <f t="shared" si="2066"/>
        <v>0</v>
      </c>
      <c r="R7376" s="71"/>
    </row>
    <row r="7377" spans="1:18" s="61" customFormat="1" x14ac:dyDescent="0.25">
      <c r="A7377" s="358"/>
      <c r="B7377" s="361"/>
      <c r="C7377" s="366"/>
      <c r="D7377" s="254" t="s">
        <v>428</v>
      </c>
      <c r="E7377" s="156" t="s">
        <v>28</v>
      </c>
      <c r="F7377" s="156" t="s">
        <v>28</v>
      </c>
      <c r="G7377" s="238">
        <f t="shared" si="2070"/>
        <v>0</v>
      </c>
      <c r="H7377" s="158"/>
      <c r="I7377" s="159">
        <f t="shared" si="2071"/>
        <v>1.6002E-4</v>
      </c>
      <c r="J7377" s="160"/>
      <c r="K7377" s="161">
        <f t="shared" si="2072"/>
        <v>3</v>
      </c>
      <c r="L7377" s="250">
        <v>1</v>
      </c>
      <c r="M7377" s="163"/>
      <c r="N7377" s="164"/>
      <c r="O7377" s="165">
        <f t="shared" si="2067"/>
        <v>0</v>
      </c>
      <c r="P7377" s="166"/>
      <c r="Q7377" s="166">
        <f t="shared" si="2066"/>
        <v>0</v>
      </c>
      <c r="R7377" s="71"/>
    </row>
    <row r="7378" spans="1:18" s="61" customFormat="1" x14ac:dyDescent="0.25">
      <c r="A7378" s="358"/>
      <c r="B7378" s="361"/>
      <c r="C7378" s="366"/>
      <c r="D7378" s="255" t="s">
        <v>429</v>
      </c>
      <c r="E7378" s="156" t="s">
        <v>28</v>
      </c>
      <c r="F7378" s="156" t="s">
        <v>28</v>
      </c>
      <c r="G7378" s="238">
        <f t="shared" si="2070"/>
        <v>0</v>
      </c>
      <c r="H7378" s="158"/>
      <c r="I7378" s="159">
        <f t="shared" si="2071"/>
        <v>1.6002E-4</v>
      </c>
      <c r="J7378" s="160"/>
      <c r="K7378" s="161">
        <f t="shared" si="2072"/>
        <v>3</v>
      </c>
      <c r="L7378" s="250">
        <v>1</v>
      </c>
      <c r="M7378" s="163"/>
      <c r="N7378" s="164"/>
      <c r="O7378" s="165">
        <f t="shared" si="2067"/>
        <v>0</v>
      </c>
      <c r="P7378" s="166"/>
      <c r="Q7378" s="166">
        <f t="shared" si="2066"/>
        <v>0</v>
      </c>
      <c r="R7378" s="71"/>
    </row>
    <row r="7379" spans="1:18" s="62" customFormat="1" x14ac:dyDescent="0.25">
      <c r="A7379" s="358"/>
      <c r="B7379" s="361"/>
      <c r="C7379" s="249" t="s">
        <v>311</v>
      </c>
      <c r="D7379" s="256"/>
      <c r="E7379" s="240"/>
      <c r="F7379" s="240"/>
      <c r="G7379" s="227"/>
      <c r="H7379" s="241"/>
      <c r="I7379" s="206"/>
      <c r="J7379" s="228"/>
      <c r="K7379" s="207"/>
      <c r="L7379" s="257"/>
      <c r="M7379" s="209"/>
      <c r="N7379" s="210"/>
      <c r="O7379" s="198">
        <f>SUM(O7355:O7378)</f>
        <v>0</v>
      </c>
      <c r="P7379" s="267"/>
      <c r="Q7379" s="166"/>
      <c r="R7379" s="71"/>
    </row>
    <row r="7380" spans="1:18" s="61" customFormat="1" ht="110.25" x14ac:dyDescent="0.25">
      <c r="A7380" s="358"/>
      <c r="B7380" s="361"/>
      <c r="C7380" s="221" t="s">
        <v>82</v>
      </c>
      <c r="D7380" s="156" t="s">
        <v>46</v>
      </c>
      <c r="E7380" s="156" t="s">
        <v>54</v>
      </c>
      <c r="F7380" s="156" t="s">
        <v>285</v>
      </c>
      <c r="G7380" s="238">
        <f>MROUND(H7380*L7380*I7380/K7380,0.000001)</f>
        <v>0.60327500000000001</v>
      </c>
      <c r="H7380" s="242">
        <f>H6900</f>
        <v>1028.1818077549303</v>
      </c>
      <c r="I7380" s="159">
        <f>I7378</f>
        <v>1.6002E-4</v>
      </c>
      <c r="J7380" s="160"/>
      <c r="K7380" s="161">
        <f>K7378</f>
        <v>3</v>
      </c>
      <c r="L7380" s="225">
        <f>L7020</f>
        <v>11</v>
      </c>
      <c r="M7380" s="163" t="str">
        <f>CONCATENATE(H7380," ",F7380,"*",L7380,"автобуса","*",I7380,"/",K7380,"чел.")</f>
        <v>1028,18180775493 л бензина АИ 92 (12,5л/день(зимой)*20дней*7мес+10л/день(летом)*20дней*4мес)*11автобуса*0,00016002/3чел.</v>
      </c>
      <c r="N7380" s="164">
        <f>N6900</f>
        <v>59.28728000000001</v>
      </c>
      <c r="O7380" s="165">
        <f>MROUND(G7380*N7380,0.000001)</f>
        <v>35.766534</v>
      </c>
      <c r="P7380" s="166"/>
      <c r="Q7380" s="166">
        <f t="shared" ref="Q7380" si="2073">O7380*K7380</f>
        <v>107.29960199999999</v>
      </c>
      <c r="R7380" s="71"/>
    </row>
    <row r="7381" spans="1:18" s="62" customFormat="1" x14ac:dyDescent="0.25">
      <c r="A7381" s="358"/>
      <c r="B7381" s="361"/>
      <c r="C7381" s="218" t="s">
        <v>309</v>
      </c>
      <c r="D7381" s="240"/>
      <c r="E7381" s="240"/>
      <c r="F7381" s="240"/>
      <c r="G7381" s="227"/>
      <c r="H7381" s="241"/>
      <c r="I7381" s="206"/>
      <c r="J7381" s="228"/>
      <c r="K7381" s="207"/>
      <c r="L7381" s="257"/>
      <c r="M7381" s="209"/>
      <c r="N7381" s="210"/>
      <c r="O7381" s="198">
        <f>SUM(O7380)</f>
        <v>35.766534</v>
      </c>
      <c r="P7381" s="267"/>
      <c r="Q7381" s="166"/>
      <c r="R7381" s="71"/>
    </row>
    <row r="7382" spans="1:18" s="61" customFormat="1" ht="47.25" x14ac:dyDescent="0.25">
      <c r="A7382" s="358"/>
      <c r="B7382" s="361"/>
      <c r="C7382" s="221" t="s">
        <v>434</v>
      </c>
      <c r="D7382" s="156" t="s">
        <v>436</v>
      </c>
      <c r="E7382" s="156" t="s">
        <v>28</v>
      </c>
      <c r="F7382" s="156" t="s">
        <v>437</v>
      </c>
      <c r="G7382" s="157">
        <f>MROUND(H7382*L7382*I7382/K7382,0.000001)</f>
        <v>1.5469E-2</v>
      </c>
      <c r="H7382" s="242">
        <f>$H$125</f>
        <v>290</v>
      </c>
      <c r="I7382" s="159">
        <f>I7380</f>
        <v>1.6002E-4</v>
      </c>
      <c r="J7382" s="160"/>
      <c r="K7382" s="161">
        <f>K7380</f>
        <v>3</v>
      </c>
      <c r="L7382" s="162">
        <v>1</v>
      </c>
      <c r="M7382" s="163" t="str">
        <f>CONCATENATE(H7382," ",F7382,"*",L7382,"автобуса","*",I7382,"/",K7382,"чел.")</f>
        <v>290 огнетушителей (потребность учреждений) *1автобуса*0,00016002/3чел.</v>
      </c>
      <c r="N7382" s="164">
        <f>$N$125</f>
        <v>2000</v>
      </c>
      <c r="O7382" s="165">
        <f>MROUND(G7382*N7382,0.000001)</f>
        <v>30.937999999999999</v>
      </c>
      <c r="P7382" s="166"/>
      <c r="Q7382" s="166">
        <f t="shared" ref="Q7382" si="2074">O7382*K7382</f>
        <v>92.813999999999993</v>
      </c>
      <c r="R7382" s="71"/>
    </row>
    <row r="7383" spans="1:18" s="61" customFormat="1" x14ac:dyDescent="0.25">
      <c r="A7383" s="358"/>
      <c r="B7383" s="361"/>
      <c r="C7383" s="218" t="s">
        <v>435</v>
      </c>
      <c r="D7383" s="240"/>
      <c r="E7383" s="240"/>
      <c r="F7383" s="240"/>
      <c r="G7383" s="251"/>
      <c r="H7383" s="241"/>
      <c r="I7383" s="206"/>
      <c r="J7383" s="228"/>
      <c r="K7383" s="207"/>
      <c r="L7383" s="229"/>
      <c r="M7383" s="209"/>
      <c r="N7383" s="210"/>
      <c r="O7383" s="198">
        <f>SUM(O7382)</f>
        <v>30.937999999999999</v>
      </c>
      <c r="P7383" s="166"/>
      <c r="Q7383" s="166"/>
      <c r="R7383" s="71"/>
    </row>
    <row r="7384" spans="1:18" s="61" customFormat="1" ht="47.25" x14ac:dyDescent="0.25">
      <c r="A7384" s="358"/>
      <c r="B7384" s="361"/>
      <c r="C7384" s="364" t="s">
        <v>118</v>
      </c>
      <c r="D7384" s="156" t="s">
        <v>47</v>
      </c>
      <c r="E7384" s="156" t="s">
        <v>28</v>
      </c>
      <c r="F7384" s="156" t="s">
        <v>239</v>
      </c>
      <c r="G7384" s="238">
        <f>MROUND(H7384*L7384*I7384/K7384,0.00000001)</f>
        <v>7.4676000000000005E-3</v>
      </c>
      <c r="H7384" s="158">
        <f>H6904</f>
        <v>140</v>
      </c>
      <c r="I7384" s="159">
        <f>I7380</f>
        <v>1.6002E-4</v>
      </c>
      <c r="J7384" s="160"/>
      <c r="K7384" s="161">
        <f>K7380</f>
        <v>3</v>
      </c>
      <c r="L7384" s="250">
        <v>1</v>
      </c>
      <c r="M7384" s="163" t="str">
        <f>CONCATENATE(H7384," ",F7384,"*",I7384,"/",K7384,"чел.")</f>
        <v>140 манометров (потребность учреждений) *0,00016002/3чел.</v>
      </c>
      <c r="N7384" s="164">
        <f>N6904</f>
        <v>770.73500000000035</v>
      </c>
      <c r="O7384" s="165">
        <f>MROUND(G7384*N7384,0.000001)</f>
        <v>5.755541</v>
      </c>
      <c r="P7384" s="166"/>
      <c r="Q7384" s="166">
        <f t="shared" ref="Q7384:Q7385" si="2075">O7384*K7384</f>
        <v>17.266622999999999</v>
      </c>
      <c r="R7384" s="71"/>
    </row>
    <row r="7385" spans="1:18" s="61" customFormat="1" ht="47.25" x14ac:dyDescent="0.25">
      <c r="A7385" s="358"/>
      <c r="B7385" s="361"/>
      <c r="C7385" s="364"/>
      <c r="D7385" s="255" t="s">
        <v>113</v>
      </c>
      <c r="E7385" s="156" t="s">
        <v>28</v>
      </c>
      <c r="F7385" s="156" t="s">
        <v>240</v>
      </c>
      <c r="G7385" s="238">
        <f>MROUND(H7385*L7385*I7385/K7385,0.00000001)</f>
        <v>0.3048381</v>
      </c>
      <c r="H7385" s="158">
        <f>H6905</f>
        <v>5715</v>
      </c>
      <c r="I7385" s="159">
        <f>I7384</f>
        <v>1.6002E-4</v>
      </c>
      <c r="J7385" s="160"/>
      <c r="K7385" s="161">
        <f>K7384</f>
        <v>3</v>
      </c>
      <c r="L7385" s="250">
        <v>1</v>
      </c>
      <c r="M7385" s="163" t="str">
        <f>CONCATENATE(H7385," ",F7385,"*",I7385,"/",K7385,"чел.")</f>
        <v>5715 светильников (потребность учреждений)*0,00016002/3чел.</v>
      </c>
      <c r="N7385" s="164">
        <f>N6905</f>
        <v>115.61019597550306</v>
      </c>
      <c r="O7385" s="165">
        <f>MROUND(G7385*N7385,0.000001)</f>
        <v>35.242391999999995</v>
      </c>
      <c r="P7385" s="166"/>
      <c r="Q7385" s="166">
        <f t="shared" si="2075"/>
        <v>105.72717599999999</v>
      </c>
      <c r="R7385" s="71"/>
    </row>
    <row r="7386" spans="1:18" s="62" customFormat="1" x14ac:dyDescent="0.25">
      <c r="A7386" s="359"/>
      <c r="B7386" s="362"/>
      <c r="C7386" s="218" t="s">
        <v>310</v>
      </c>
      <c r="D7386" s="256"/>
      <c r="E7386" s="240"/>
      <c r="F7386" s="240"/>
      <c r="G7386" s="227"/>
      <c r="H7386" s="241"/>
      <c r="I7386" s="206"/>
      <c r="J7386" s="228"/>
      <c r="K7386" s="207"/>
      <c r="L7386" s="257"/>
      <c r="M7386" s="209"/>
      <c r="N7386" s="210"/>
      <c r="O7386" s="198">
        <f>SUM(O7384:O7385)</f>
        <v>40.997932999999996</v>
      </c>
      <c r="P7386" s="267"/>
      <c r="Q7386" s="166"/>
      <c r="R7386" s="71"/>
    </row>
    <row r="7387" spans="1:18" s="61" customFormat="1" x14ac:dyDescent="0.25">
      <c r="A7387" s="357" t="str">
        <f>CONCATENATE(школы!$B$11,", ",школы!$C$11,", ",школы!$D$11)</f>
        <v xml:space="preserve">Реализация основных общеобразовательных программ начального общего образования, образовательная программа, обеспечивающая углубленное изучение отдельных учебных предметов, предметных областей (профильное обучение), </v>
      </c>
      <c r="B7387" s="360" t="str">
        <f>школы!$A$11</f>
        <v>801012О.99.0.БА81АП40001</v>
      </c>
      <c r="C7387" s="194"/>
      <c r="D7387" s="363" t="s">
        <v>15</v>
      </c>
      <c r="E7387" s="363"/>
      <c r="F7387" s="363"/>
      <c r="G7387" s="363"/>
      <c r="H7387" s="195"/>
      <c r="I7387" s="195"/>
      <c r="J7387" s="195"/>
      <c r="K7387" s="195"/>
      <c r="L7387" s="196"/>
      <c r="M7387" s="197"/>
      <c r="N7387" s="164"/>
      <c r="O7387" s="198">
        <f>O7388+O7393+O7395</f>
        <v>9897.1760746070013</v>
      </c>
      <c r="P7387" s="166"/>
      <c r="Q7387" s="166"/>
      <c r="R7387" s="71"/>
    </row>
    <row r="7388" spans="1:18" s="61" customFormat="1" x14ac:dyDescent="0.25">
      <c r="A7388" s="358"/>
      <c r="B7388" s="361"/>
      <c r="C7388" s="194"/>
      <c r="D7388" s="350" t="s">
        <v>62</v>
      </c>
      <c r="E7388" s="350"/>
      <c r="F7388" s="350"/>
      <c r="G7388" s="350"/>
      <c r="H7388" s="195"/>
      <c r="I7388" s="195"/>
      <c r="J7388" s="195"/>
      <c r="K7388" s="195"/>
      <c r="L7388" s="196"/>
      <c r="M7388" s="197"/>
      <c r="N7388" s="164"/>
      <c r="O7388" s="165">
        <f>O7390+O7392</f>
        <v>9897.1760746070013</v>
      </c>
      <c r="P7388" s="166"/>
      <c r="Q7388" s="166"/>
      <c r="R7388" s="71"/>
    </row>
    <row r="7389" spans="1:18" s="61" customFormat="1" x14ac:dyDescent="0.25">
      <c r="A7389" s="358"/>
      <c r="B7389" s="361"/>
      <c r="C7389" s="194">
        <v>211</v>
      </c>
      <c r="D7389" s="194" t="s">
        <v>86</v>
      </c>
      <c r="E7389" s="199" t="s">
        <v>95</v>
      </c>
      <c r="F7389" s="199" t="s">
        <v>95</v>
      </c>
      <c r="G7389" s="275">
        <f>MROUND(H7389*L7389*I7389/K7389,0.0000000001)</f>
        <v>0.59001408659999999</v>
      </c>
      <c r="H7389" s="201">
        <f>H6789</f>
        <v>921.8</v>
      </c>
      <c r="I7389" s="159">
        <f>школы!$K$11</f>
        <v>2.2775730000000001E-2</v>
      </c>
      <c r="J7389" s="159"/>
      <c r="K7389" s="161">
        <f>школы!$G$11</f>
        <v>427</v>
      </c>
      <c r="L7389" s="202">
        <v>12</v>
      </c>
      <c r="M7389" s="163" t="str">
        <f>CONCATENATE(H7389," ",F7389," ","в мес.","*",L7389,"мес.","*",I7389,"/",K7389,"чел.")</f>
        <v>921,8 шт.ед в мес.*12мес.*0,02277573/427чел.</v>
      </c>
      <c r="N7389" s="164">
        <f>N6789</f>
        <v>12883.620739314385</v>
      </c>
      <c r="O7389" s="165">
        <f>MROUND(G7389*N7389,0.000000001)</f>
        <v>7601.5177226070009</v>
      </c>
      <c r="P7389" s="166"/>
      <c r="Q7389" s="166">
        <f t="shared" ref="Q7389" si="2076">O7389*K7389</f>
        <v>3245848.0675531896</v>
      </c>
      <c r="R7389" s="71"/>
    </row>
    <row r="7390" spans="1:18" s="62" customFormat="1" x14ac:dyDescent="0.25">
      <c r="A7390" s="358"/>
      <c r="B7390" s="361"/>
      <c r="C7390" s="203" t="s">
        <v>288</v>
      </c>
      <c r="D7390" s="203"/>
      <c r="E7390" s="204"/>
      <c r="F7390" s="204"/>
      <c r="G7390" s="205"/>
      <c r="H7390" s="206"/>
      <c r="I7390" s="206"/>
      <c r="J7390" s="206"/>
      <c r="K7390" s="207"/>
      <c r="L7390" s="208"/>
      <c r="M7390" s="209"/>
      <c r="N7390" s="210">
        <f>N7389</f>
        <v>12883.620739314385</v>
      </c>
      <c r="O7390" s="198">
        <f>O7389</f>
        <v>7601.5177226070009</v>
      </c>
      <c r="P7390" s="267"/>
      <c r="Q7390" s="166"/>
      <c r="R7390" s="71"/>
    </row>
    <row r="7391" spans="1:18" s="61" customFormat="1" x14ac:dyDescent="0.25">
      <c r="A7391" s="358"/>
      <c r="B7391" s="361"/>
      <c r="C7391" s="194">
        <v>213</v>
      </c>
      <c r="D7391" s="194" t="s">
        <v>87</v>
      </c>
      <c r="E7391" s="194" t="s">
        <v>88</v>
      </c>
      <c r="F7391" s="194"/>
      <c r="G7391" s="211">
        <v>30.2</v>
      </c>
      <c r="H7391" s="159"/>
      <c r="I7391" s="159"/>
      <c r="J7391" s="159"/>
      <c r="K7391" s="161">
        <f>K7389</f>
        <v>427</v>
      </c>
      <c r="L7391" s="202"/>
      <c r="M7391" s="212"/>
      <c r="N7391" s="164"/>
      <c r="O7391" s="165">
        <f>MROUND(O7389*0.302,0.000001)</f>
        <v>2295.6583519999999</v>
      </c>
      <c r="P7391" s="166"/>
      <c r="Q7391" s="166">
        <f>O7391*K7391</f>
        <v>980246.11630400002</v>
      </c>
      <c r="R7391" s="71"/>
    </row>
    <row r="7392" spans="1:18" s="62" customFormat="1" x14ac:dyDescent="0.25">
      <c r="A7392" s="358"/>
      <c r="B7392" s="361"/>
      <c r="C7392" s="203" t="s">
        <v>289</v>
      </c>
      <c r="D7392" s="203"/>
      <c r="E7392" s="203"/>
      <c r="F7392" s="203"/>
      <c r="G7392" s="213"/>
      <c r="H7392" s="214"/>
      <c r="I7392" s="206"/>
      <c r="J7392" s="214"/>
      <c r="K7392" s="207"/>
      <c r="L7392" s="215"/>
      <c r="M7392" s="216"/>
      <c r="N7392" s="210"/>
      <c r="O7392" s="198">
        <f>O7391</f>
        <v>2295.6583519999999</v>
      </c>
      <c r="P7392" s="267"/>
      <c r="Q7392" s="166"/>
      <c r="R7392" s="71"/>
    </row>
    <row r="7393" spans="1:18" s="61" customFormat="1" x14ac:dyDescent="0.25">
      <c r="A7393" s="358"/>
      <c r="B7393" s="361"/>
      <c r="C7393" s="194"/>
      <c r="D7393" s="356" t="s">
        <v>63</v>
      </c>
      <c r="E7393" s="356"/>
      <c r="F7393" s="356"/>
      <c r="G7393" s="356"/>
      <c r="H7393" s="195"/>
      <c r="I7393" s="159"/>
      <c r="J7393" s="195"/>
      <c r="K7393" s="161"/>
      <c r="L7393" s="196"/>
      <c r="M7393" s="197"/>
      <c r="N7393" s="164"/>
      <c r="O7393" s="165"/>
      <c r="P7393" s="166"/>
      <c r="Q7393" s="166"/>
      <c r="R7393" s="71"/>
    </row>
    <row r="7394" spans="1:18" s="61" customFormat="1" x14ac:dyDescent="0.25">
      <c r="A7394" s="358"/>
      <c r="B7394" s="361"/>
      <c r="C7394" s="194"/>
      <c r="D7394" s="194"/>
      <c r="E7394" s="194"/>
      <c r="F7394" s="194"/>
      <c r="G7394" s="217"/>
      <c r="H7394" s="195"/>
      <c r="I7394" s="159"/>
      <c r="J7394" s="195"/>
      <c r="K7394" s="161"/>
      <c r="L7394" s="196"/>
      <c r="M7394" s="197"/>
      <c r="N7394" s="164"/>
      <c r="O7394" s="165"/>
      <c r="P7394" s="166"/>
      <c r="Q7394" s="166"/>
      <c r="R7394" s="71"/>
    </row>
    <row r="7395" spans="1:18" s="61" customFormat="1" x14ac:dyDescent="0.25">
      <c r="A7395" s="358"/>
      <c r="B7395" s="361"/>
      <c r="C7395" s="194"/>
      <c r="D7395" s="350" t="s">
        <v>64</v>
      </c>
      <c r="E7395" s="350"/>
      <c r="F7395" s="350"/>
      <c r="G7395" s="350"/>
      <c r="H7395" s="195"/>
      <c r="I7395" s="159"/>
      <c r="J7395" s="195"/>
      <c r="K7395" s="161"/>
      <c r="L7395" s="196"/>
      <c r="M7395" s="197"/>
      <c r="N7395" s="164"/>
      <c r="O7395" s="165"/>
      <c r="P7395" s="166"/>
      <c r="Q7395" s="166"/>
      <c r="R7395" s="71"/>
    </row>
    <row r="7396" spans="1:18" s="61" customFormat="1" x14ac:dyDescent="0.25">
      <c r="A7396" s="358"/>
      <c r="B7396" s="361"/>
      <c r="C7396" s="194"/>
      <c r="D7396" s="194"/>
      <c r="E7396" s="194"/>
      <c r="F7396" s="194"/>
      <c r="G7396" s="217"/>
      <c r="H7396" s="195"/>
      <c r="I7396" s="159"/>
      <c r="J7396" s="195"/>
      <c r="K7396" s="161"/>
      <c r="L7396" s="196"/>
      <c r="M7396" s="197"/>
      <c r="N7396" s="164"/>
      <c r="O7396" s="165"/>
      <c r="P7396" s="166"/>
      <c r="Q7396" s="166"/>
      <c r="R7396" s="71"/>
    </row>
    <row r="7397" spans="1:18" s="61" customFormat="1" x14ac:dyDescent="0.25">
      <c r="A7397" s="358"/>
      <c r="B7397" s="361"/>
      <c r="C7397" s="194"/>
      <c r="D7397" s="355" t="s">
        <v>5</v>
      </c>
      <c r="E7397" s="355"/>
      <c r="F7397" s="355"/>
      <c r="G7397" s="355"/>
      <c r="H7397" s="195"/>
      <c r="I7397" s="159"/>
      <c r="J7397" s="195"/>
      <c r="K7397" s="161"/>
      <c r="L7397" s="196"/>
      <c r="M7397" s="197"/>
      <c r="N7397" s="164"/>
      <c r="O7397" s="198">
        <f>O7398+O7408+O7419+O7421+O7423+O7425+O7427</f>
        <v>16609.204105320165</v>
      </c>
      <c r="P7397" s="166"/>
      <c r="Q7397" s="166"/>
      <c r="R7397" s="71"/>
    </row>
    <row r="7398" spans="1:18" s="61" customFormat="1" x14ac:dyDescent="0.25">
      <c r="A7398" s="358"/>
      <c r="B7398" s="361"/>
      <c r="C7398" s="221" t="s">
        <v>70</v>
      </c>
      <c r="D7398" s="355" t="s">
        <v>6</v>
      </c>
      <c r="E7398" s="355"/>
      <c r="F7398" s="355"/>
      <c r="G7398" s="355"/>
      <c r="H7398" s="189"/>
      <c r="I7398" s="159"/>
      <c r="J7398" s="189"/>
      <c r="K7398" s="161"/>
      <c r="L7398" s="190"/>
      <c r="M7398" s="197"/>
      <c r="N7398" s="210"/>
      <c r="O7398" s="198">
        <f>O7407</f>
        <v>10038.196051389998</v>
      </c>
      <c r="P7398" s="166"/>
      <c r="Q7398" s="166"/>
      <c r="R7398" s="71"/>
    </row>
    <row r="7399" spans="1:18" s="61" customFormat="1" ht="31.5" x14ac:dyDescent="0.25">
      <c r="A7399" s="358"/>
      <c r="B7399" s="361"/>
      <c r="C7399" s="221" t="s">
        <v>72</v>
      </c>
      <c r="D7399" s="222" t="s">
        <v>7</v>
      </c>
      <c r="E7399" s="223" t="s">
        <v>8</v>
      </c>
      <c r="F7399" s="223" t="s">
        <v>8</v>
      </c>
      <c r="G7399" s="238">
        <f>MROUND(H7399*L7399*I7399/K7399,0.00000000001)</f>
        <v>176.71840530595998</v>
      </c>
      <c r="H7399" s="160">
        <f t="shared" ref="H7399:H7406" si="2077">H6799</f>
        <v>3313121.4264326878</v>
      </c>
      <c r="I7399" s="159">
        <f>I7389</f>
        <v>2.2775730000000001E-2</v>
      </c>
      <c r="J7399" s="160"/>
      <c r="K7399" s="161">
        <f>K7389</f>
        <v>427</v>
      </c>
      <c r="L7399" s="250">
        <v>1</v>
      </c>
      <c r="M7399" s="163" t="str">
        <f t="shared" ref="M7399:M7404" si="2078">CONCATENATE(H7399," ",F7399,"(лимиты выделенные УЖКХ) ","*",I7399,"/",K7399,"чел.")</f>
        <v>3313121,42643269 кВт час.(лимиты выделенные УЖКХ) *0,02277573/427чел.</v>
      </c>
      <c r="N7399" s="164">
        <f t="shared" ref="N7399:N7406" si="2079">N6799</f>
        <v>11.333602475424668</v>
      </c>
      <c r="O7399" s="165">
        <f t="shared" ref="O7399:O7402" si="2080">MROUND(G7399*N7399,0.000001)</f>
        <v>2002.8561559999998</v>
      </c>
      <c r="P7399" s="166"/>
      <c r="Q7399" s="166">
        <f t="shared" ref="Q7399:Q7406" si="2081">O7399*K7399</f>
        <v>855219.57861199998</v>
      </c>
      <c r="R7399" s="71"/>
    </row>
    <row r="7400" spans="1:18" s="61" customFormat="1" ht="31.5" x14ac:dyDescent="0.25">
      <c r="A7400" s="358"/>
      <c r="B7400" s="361"/>
      <c r="C7400" s="221" t="s">
        <v>73</v>
      </c>
      <c r="D7400" s="222" t="s">
        <v>9</v>
      </c>
      <c r="E7400" s="223" t="s">
        <v>10</v>
      </c>
      <c r="F7400" s="223" t="s">
        <v>10</v>
      </c>
      <c r="G7400" s="238">
        <f>MROUND(H7400*L7400*I7400/K7400,0.00000000001)</f>
        <v>1.7013731670799999</v>
      </c>
      <c r="H7400" s="160">
        <f t="shared" si="2077"/>
        <v>31897.39</v>
      </c>
      <c r="I7400" s="159">
        <f t="shared" ref="I7400:I7463" si="2082">I7399</f>
        <v>2.2775730000000001E-2</v>
      </c>
      <c r="J7400" s="160"/>
      <c r="K7400" s="161">
        <f t="shared" ref="K7400:K7406" si="2083">K7399</f>
        <v>427</v>
      </c>
      <c r="L7400" s="250">
        <v>1</v>
      </c>
      <c r="M7400" s="163" t="str">
        <f t="shared" si="2078"/>
        <v>31897,39 Гкал(лимиты выделенные УЖКХ) *0,02277573/427чел.</v>
      </c>
      <c r="N7400" s="164">
        <f t="shared" si="2079"/>
        <v>3095.3018623153812</v>
      </c>
      <c r="O7400" s="165">
        <f t="shared" si="2080"/>
        <v>5266.2635329999994</v>
      </c>
      <c r="P7400" s="166"/>
      <c r="Q7400" s="166">
        <f t="shared" si="2081"/>
        <v>2248694.5285909995</v>
      </c>
      <c r="R7400" s="71"/>
    </row>
    <row r="7401" spans="1:18" s="61" customFormat="1" ht="31.5" x14ac:dyDescent="0.25">
      <c r="A7401" s="358"/>
      <c r="B7401" s="361"/>
      <c r="C7401" s="364" t="s">
        <v>74</v>
      </c>
      <c r="D7401" s="222" t="s">
        <v>12</v>
      </c>
      <c r="E7401" s="222" t="s">
        <v>11</v>
      </c>
      <c r="F7401" s="222" t="s">
        <v>11</v>
      </c>
      <c r="G7401" s="238">
        <f>MROUND(H7401*L7401*I7401/K7401,0.00000000001)</f>
        <v>9.8530458925599991</v>
      </c>
      <c r="H7401" s="224">
        <f t="shared" si="2077"/>
        <v>184725.17</v>
      </c>
      <c r="I7401" s="159">
        <f t="shared" si="2082"/>
        <v>2.2775730000000001E-2</v>
      </c>
      <c r="J7401" s="160"/>
      <c r="K7401" s="161">
        <f t="shared" si="2083"/>
        <v>427</v>
      </c>
      <c r="L7401" s="250">
        <v>1</v>
      </c>
      <c r="M7401" s="163" t="str">
        <f t="shared" si="2078"/>
        <v>184725,17 м3(лимиты выделенные УЖКХ) *0,02277573/427чел.</v>
      </c>
      <c r="N7401" s="164">
        <f t="shared" si="2079"/>
        <v>56.382747245543193</v>
      </c>
      <c r="O7401" s="165">
        <f t="shared" si="2080"/>
        <v>555.54179599999998</v>
      </c>
      <c r="P7401" s="166"/>
      <c r="Q7401" s="166">
        <f t="shared" si="2081"/>
        <v>237216.346892</v>
      </c>
      <c r="R7401" s="71"/>
    </row>
    <row r="7402" spans="1:18" s="61" customFormat="1" ht="47.25" x14ac:dyDescent="0.25">
      <c r="A7402" s="358"/>
      <c r="B7402" s="361"/>
      <c r="C7402" s="364"/>
      <c r="D7402" s="222" t="s">
        <v>17</v>
      </c>
      <c r="E7402" s="222" t="s">
        <v>11</v>
      </c>
      <c r="F7402" s="222" t="s">
        <v>11</v>
      </c>
      <c r="G7402" s="238">
        <f>MROUND(H7402*L7402*I7402/K7402,0.00000000001)</f>
        <v>9.8530458925599991</v>
      </c>
      <c r="H7402" s="160">
        <f t="shared" si="2077"/>
        <v>184725.17</v>
      </c>
      <c r="I7402" s="159">
        <f t="shared" si="2082"/>
        <v>2.2775730000000001E-2</v>
      </c>
      <c r="J7402" s="160"/>
      <c r="K7402" s="161">
        <f t="shared" si="2083"/>
        <v>427</v>
      </c>
      <c r="L7402" s="162">
        <f>$L$6802</f>
        <v>1</v>
      </c>
      <c r="M7402" s="163" t="str">
        <f t="shared" si="2078"/>
        <v>184725,17 м3(лимиты выделенные УЖКХ) *0,02277573/427чел.</v>
      </c>
      <c r="N7402" s="164">
        <f t="shared" si="2079"/>
        <v>85.679537612054773</v>
      </c>
      <c r="O7402" s="165">
        <f t="shared" si="2080"/>
        <v>844.20441599999992</v>
      </c>
      <c r="P7402" s="166"/>
      <c r="Q7402" s="166">
        <f t="shared" si="2081"/>
        <v>360475.28563199996</v>
      </c>
      <c r="R7402" s="71"/>
    </row>
    <row r="7403" spans="1:18" s="61" customFormat="1" ht="31.5" x14ac:dyDescent="0.25">
      <c r="A7403" s="358"/>
      <c r="B7403" s="361"/>
      <c r="C7403" s="364"/>
      <c r="D7403" s="222" t="s">
        <v>13</v>
      </c>
      <c r="E7403" s="222" t="s">
        <v>11</v>
      </c>
      <c r="F7403" s="222" t="s">
        <v>11</v>
      </c>
      <c r="G7403" s="238">
        <f>MROUND(H7403*L7403*I7403/K7403,0.00000000001)</f>
        <v>9.8530458925599991</v>
      </c>
      <c r="H7403" s="160">
        <f t="shared" si="2077"/>
        <v>184725.17</v>
      </c>
      <c r="I7403" s="159">
        <f t="shared" si="2082"/>
        <v>2.2775730000000001E-2</v>
      </c>
      <c r="J7403" s="160"/>
      <c r="K7403" s="161">
        <f t="shared" si="2083"/>
        <v>427</v>
      </c>
      <c r="L7403" s="162">
        <v>1</v>
      </c>
      <c r="M7403" s="163" t="str">
        <f t="shared" si="2078"/>
        <v>184725,17 м3(лимиты выделенные УЖКХ) *0,02277573/427чел.</v>
      </c>
      <c r="N7403" s="164">
        <f t="shared" si="2079"/>
        <v>116.85554734686012</v>
      </c>
      <c r="O7403" s="165">
        <f>MROUND(G7403*N7403,0.00000001)</f>
        <v>1151.3830708099999</v>
      </c>
      <c r="P7403" s="166"/>
      <c r="Q7403" s="166">
        <f t="shared" si="2081"/>
        <v>491640.57123586995</v>
      </c>
      <c r="R7403" s="71"/>
    </row>
    <row r="7404" spans="1:18" s="61" customFormat="1" ht="31.5" x14ac:dyDescent="0.25">
      <c r="A7404" s="358"/>
      <c r="B7404" s="361"/>
      <c r="C7404" s="221" t="s">
        <v>75</v>
      </c>
      <c r="D7404" s="222" t="s">
        <v>18</v>
      </c>
      <c r="E7404" s="222" t="s">
        <v>48</v>
      </c>
      <c r="F7404" s="222" t="s">
        <v>48</v>
      </c>
      <c r="G7404" s="238">
        <f>MROUND(H7404*L7404*I7404/K7404,0.0000000001)</f>
        <v>0.74074994840000008</v>
      </c>
      <c r="H7404" s="160">
        <f t="shared" si="2077"/>
        <v>13887.6</v>
      </c>
      <c r="I7404" s="159">
        <f t="shared" si="2082"/>
        <v>2.2775730000000001E-2</v>
      </c>
      <c r="J7404" s="160"/>
      <c r="K7404" s="161">
        <f t="shared" si="2083"/>
        <v>427</v>
      </c>
      <c r="L7404" s="250">
        <v>1</v>
      </c>
      <c r="M7404" s="163" t="str">
        <f t="shared" si="2078"/>
        <v>13887,6 тыс. м3(лимиты выделенные УЖКХ) *0,02277573/427чел.</v>
      </c>
      <c r="N7404" s="164">
        <f t="shared" si="2079"/>
        <v>31.799284973645559</v>
      </c>
      <c r="O7404" s="165">
        <f t="shared" ref="O7404" si="2084">MROUND(G7404*N7404,0.000001)</f>
        <v>23.555318999999997</v>
      </c>
      <c r="P7404" s="166"/>
      <c r="Q7404" s="166">
        <f t="shared" si="2081"/>
        <v>10058.121212999999</v>
      </c>
      <c r="R7404" s="71"/>
    </row>
    <row r="7405" spans="1:18" s="61" customFormat="1" x14ac:dyDescent="0.25">
      <c r="A7405" s="358"/>
      <c r="B7405" s="361"/>
      <c r="C7405" s="364" t="s">
        <v>216</v>
      </c>
      <c r="D7405" s="222" t="s">
        <v>23</v>
      </c>
      <c r="E7405" s="222" t="s">
        <v>11</v>
      </c>
      <c r="F7405" s="222" t="s">
        <v>11</v>
      </c>
      <c r="G7405" s="238">
        <f>MROUND(H7405*L7405*I7405/K7405,0.000000000001)</f>
        <v>0.17967970751099999</v>
      </c>
      <c r="H7405" s="160">
        <f t="shared" si="2077"/>
        <v>3368.6400000000003</v>
      </c>
      <c r="I7405" s="159">
        <f t="shared" si="2082"/>
        <v>2.2775730000000001E-2</v>
      </c>
      <c r="J7405" s="160"/>
      <c r="K7405" s="161">
        <f t="shared" si="2083"/>
        <v>427</v>
      </c>
      <c r="L7405" s="162">
        <f>L7404</f>
        <v>1</v>
      </c>
      <c r="M7405" s="163" t="str">
        <f>CONCATENATE(H7405," ",F7405," ","*",I7405,"/",K7405,"чел.")</f>
        <v>3368,64 м3 *0,02277573/427чел.</v>
      </c>
      <c r="N7405" s="164">
        <f t="shared" si="2079"/>
        <v>807.40973805452643</v>
      </c>
      <c r="O7405" s="165">
        <f>MROUND(G7405*N7405,0.00000001)</f>
        <v>145.07514558</v>
      </c>
      <c r="P7405" s="166"/>
      <c r="Q7405" s="166">
        <f t="shared" si="2081"/>
        <v>61947.087162659998</v>
      </c>
      <c r="R7405" s="71"/>
    </row>
    <row r="7406" spans="1:18" s="61" customFormat="1" ht="47.25" x14ac:dyDescent="0.25">
      <c r="A7406" s="358"/>
      <c r="B7406" s="361"/>
      <c r="C7406" s="364"/>
      <c r="D7406" s="222" t="s">
        <v>24</v>
      </c>
      <c r="E7406" s="222" t="s">
        <v>25</v>
      </c>
      <c r="F7406" s="222" t="s">
        <v>217</v>
      </c>
      <c r="G7406" s="238">
        <f>MROUND(H7406*L7406*I7406/K7406,0.000000000001)</f>
        <v>7.8408250819999997E-3</v>
      </c>
      <c r="H7406" s="160">
        <f t="shared" si="2077"/>
        <v>147</v>
      </c>
      <c r="I7406" s="159">
        <f t="shared" si="2082"/>
        <v>2.2775730000000001E-2</v>
      </c>
      <c r="J7406" s="160"/>
      <c r="K7406" s="161">
        <f t="shared" si="2083"/>
        <v>427</v>
      </c>
      <c r="L7406" s="250">
        <f>L7405</f>
        <v>1</v>
      </c>
      <c r="M7406" s="163" t="str">
        <f>CONCATENATE(H7406," ",F7406,"(потребность из расчета 4 контейнера для уборки территории весной и осенью на 1 учреждение)","*",I7406,"/",K7406,"чел.")</f>
        <v>147 контейнера(потребность из расчета 4 контейнера для уборки территории весной и осенью на 1 учреждение)*0,02277573/427чел.</v>
      </c>
      <c r="N7406" s="164">
        <f t="shared" si="2079"/>
        <v>6289.7226530612279</v>
      </c>
      <c r="O7406" s="165">
        <f t="shared" ref="O7406" si="2085">MROUND(G7406*N7406,0.000001)</f>
        <v>49.316614999999999</v>
      </c>
      <c r="P7406" s="166"/>
      <c r="Q7406" s="166">
        <f t="shared" si="2081"/>
        <v>21058.194605000001</v>
      </c>
      <c r="R7406" s="71"/>
    </row>
    <row r="7407" spans="1:18" s="62" customFormat="1" x14ac:dyDescent="0.25">
      <c r="A7407" s="358"/>
      <c r="B7407" s="361"/>
      <c r="C7407" s="218" t="s">
        <v>290</v>
      </c>
      <c r="D7407" s="226"/>
      <c r="E7407" s="226"/>
      <c r="F7407" s="226"/>
      <c r="G7407" s="227"/>
      <c r="H7407" s="228"/>
      <c r="I7407" s="206"/>
      <c r="J7407" s="228"/>
      <c r="K7407" s="207"/>
      <c r="L7407" s="257"/>
      <c r="M7407" s="209"/>
      <c r="N7407" s="210"/>
      <c r="O7407" s="198">
        <f>SUM(O7399:O7406)</f>
        <v>10038.196051389998</v>
      </c>
      <c r="P7407" s="267"/>
      <c r="Q7407" s="166"/>
      <c r="R7407" s="71"/>
    </row>
    <row r="7408" spans="1:18" s="61" customFormat="1" x14ac:dyDescent="0.25">
      <c r="A7408" s="358"/>
      <c r="B7408" s="361"/>
      <c r="C7408" s="221"/>
      <c r="D7408" s="356" t="s">
        <v>14</v>
      </c>
      <c r="E7408" s="356"/>
      <c r="F7408" s="356"/>
      <c r="G7408" s="356"/>
      <c r="H7408" s="188"/>
      <c r="I7408" s="159"/>
      <c r="J7408" s="188"/>
      <c r="K7408" s="161"/>
      <c r="L7408" s="250"/>
      <c r="M7408" s="230"/>
      <c r="N7408" s="164"/>
      <c r="O7408" s="198">
        <f>O7416+O7417+O7412</f>
        <v>5334.4600085901693</v>
      </c>
      <c r="P7408" s="166"/>
      <c r="Q7408" s="166"/>
      <c r="R7408" s="71"/>
    </row>
    <row r="7409" spans="1:18" s="61" customFormat="1" x14ac:dyDescent="0.25">
      <c r="A7409" s="358"/>
      <c r="B7409" s="361"/>
      <c r="C7409" s="221" t="s">
        <v>379</v>
      </c>
      <c r="D7409" s="231" t="s">
        <v>49</v>
      </c>
      <c r="E7409" s="231" t="s">
        <v>22</v>
      </c>
      <c r="F7409" s="231" t="s">
        <v>22</v>
      </c>
      <c r="G7409" s="238">
        <f>MROUND(H7409*L7409*I7409/K7409,0.000000001)</f>
        <v>0</v>
      </c>
      <c r="H7409" s="160"/>
      <c r="I7409" s="159">
        <f>I7404</f>
        <v>2.2775730000000001E-2</v>
      </c>
      <c r="J7409" s="160"/>
      <c r="K7409" s="161">
        <f>K7404</f>
        <v>427</v>
      </c>
      <c r="L7409" s="250"/>
      <c r="M7409" s="163"/>
      <c r="N7409" s="164"/>
      <c r="O7409" s="165">
        <f>MROUND(G7409*N7409,0.00000001)</f>
        <v>0</v>
      </c>
      <c r="P7409" s="166"/>
      <c r="Q7409" s="166">
        <f t="shared" ref="Q7409:Q7411" si="2086">O7409*K7409</f>
        <v>0</v>
      </c>
      <c r="R7409" s="71"/>
    </row>
    <row r="7410" spans="1:18" s="61" customFormat="1" x14ac:dyDescent="0.25">
      <c r="A7410" s="358"/>
      <c r="B7410" s="361"/>
      <c r="C7410" s="221" t="s">
        <v>379</v>
      </c>
      <c r="D7410" s="231" t="s">
        <v>49</v>
      </c>
      <c r="E7410" s="231" t="s">
        <v>28</v>
      </c>
      <c r="F7410" s="231" t="s">
        <v>28</v>
      </c>
      <c r="G7410" s="238">
        <f>MROUND(H7410*L7410*I7410/K7410,0.00000000000001)</f>
        <v>0</v>
      </c>
      <c r="H7410" s="160"/>
      <c r="I7410" s="159">
        <f t="shared" si="2082"/>
        <v>2.2775730000000001E-2</v>
      </c>
      <c r="J7410" s="160"/>
      <c r="K7410" s="161">
        <f>K7409</f>
        <v>427</v>
      </c>
      <c r="L7410" s="250">
        <v>1</v>
      </c>
      <c r="M7410" s="163"/>
      <c r="N7410" s="164"/>
      <c r="O7410" s="165">
        <f>MROUND(G7410*N7410,0.00000001)</f>
        <v>0</v>
      </c>
      <c r="P7410" s="166"/>
      <c r="Q7410" s="166">
        <f t="shared" si="2086"/>
        <v>0</v>
      </c>
      <c r="R7410" s="71"/>
    </row>
    <row r="7411" spans="1:18" s="61" customFormat="1" x14ac:dyDescent="0.25">
      <c r="A7411" s="358"/>
      <c r="B7411" s="361"/>
      <c r="C7411" s="221" t="s">
        <v>379</v>
      </c>
      <c r="D7411" s="231" t="s">
        <v>49</v>
      </c>
      <c r="E7411" s="231" t="s">
        <v>101</v>
      </c>
      <c r="F7411" s="231" t="s">
        <v>101</v>
      </c>
      <c r="G7411" s="238">
        <f>MROUND(H7411*L7411*I7411/K7411,0.000000001)</f>
        <v>0</v>
      </c>
      <c r="H7411" s="160"/>
      <c r="I7411" s="159">
        <f t="shared" si="2082"/>
        <v>2.2775730000000001E-2</v>
      </c>
      <c r="J7411" s="160"/>
      <c r="K7411" s="161">
        <f>K7410</f>
        <v>427</v>
      </c>
      <c r="L7411" s="250"/>
      <c r="M7411" s="163"/>
      <c r="N7411" s="164"/>
      <c r="O7411" s="165">
        <f>MROUND(G7411*N7411,0.00000001)</f>
        <v>0</v>
      </c>
      <c r="P7411" s="166"/>
      <c r="Q7411" s="166">
        <f t="shared" si="2086"/>
        <v>0</v>
      </c>
      <c r="R7411" s="71"/>
    </row>
    <row r="7412" spans="1:18" s="62" customFormat="1" x14ac:dyDescent="0.25">
      <c r="A7412" s="358"/>
      <c r="B7412" s="361"/>
      <c r="C7412" s="218" t="s">
        <v>381</v>
      </c>
      <c r="D7412" s="232"/>
      <c r="E7412" s="232"/>
      <c r="F7412" s="232"/>
      <c r="G7412" s="227"/>
      <c r="H7412" s="228"/>
      <c r="I7412" s="206"/>
      <c r="J7412" s="228"/>
      <c r="K7412" s="207"/>
      <c r="L7412" s="257"/>
      <c r="M7412" s="209"/>
      <c r="N7412" s="210"/>
      <c r="O7412" s="198">
        <f>SUM(O7409:O7411)</f>
        <v>0</v>
      </c>
      <c r="P7412" s="267"/>
      <c r="Q7412" s="166"/>
      <c r="R7412" s="71"/>
    </row>
    <row r="7413" spans="1:18" s="61" customFormat="1" x14ac:dyDescent="0.25">
      <c r="A7413" s="358"/>
      <c r="B7413" s="361"/>
      <c r="C7413" s="221" t="s">
        <v>76</v>
      </c>
      <c r="D7413" s="231" t="s">
        <v>49</v>
      </c>
      <c r="E7413" s="231" t="s">
        <v>22</v>
      </c>
      <c r="F7413" s="231" t="s">
        <v>22</v>
      </c>
      <c r="G7413" s="238">
        <f>MROUND(H7413*L7413*I7413/K7413,0.000000000000001)</f>
        <v>1.3681973073302112</v>
      </c>
      <c r="H7413" s="160">
        <f>H6813</f>
        <v>25651</v>
      </c>
      <c r="I7413" s="159">
        <f>I7411</f>
        <v>2.2775730000000001E-2</v>
      </c>
      <c r="J7413" s="160"/>
      <c r="K7413" s="161">
        <f>K7411</f>
        <v>427</v>
      </c>
      <c r="L7413" s="250">
        <v>1</v>
      </c>
      <c r="M7413" s="163" t="str">
        <f>CONCATENATE(H7413," ",F7413,"*",I7413,"/",K7413,"чел.")</f>
        <v>25651 м2*0,02277573/427чел.</v>
      </c>
      <c r="N7413" s="164">
        <f>N6813</f>
        <v>2452.3410393356985</v>
      </c>
      <c r="O7413" s="165">
        <f>MROUND(G7413*N7413,0.00000000001)</f>
        <v>3355.2864066744696</v>
      </c>
      <c r="P7413" s="166"/>
      <c r="Q7413" s="166">
        <f t="shared" ref="Q7413:Q7415" si="2087">O7413*K7413</f>
        <v>1432707.2956499986</v>
      </c>
      <c r="R7413" s="71"/>
    </row>
    <row r="7414" spans="1:18" s="61" customFormat="1" x14ac:dyDescent="0.25">
      <c r="A7414" s="358"/>
      <c r="B7414" s="361"/>
      <c r="C7414" s="221"/>
      <c r="D7414" s="231" t="s">
        <v>49</v>
      </c>
      <c r="E7414" s="231" t="s">
        <v>28</v>
      </c>
      <c r="F7414" s="231" t="s">
        <v>28</v>
      </c>
      <c r="G7414" s="238">
        <f>MROUND(H7414*L7414*I7414/K7414,0.000000000001)</f>
        <v>9.9583812435999994E-2</v>
      </c>
      <c r="H7414" s="160">
        <f>H6814</f>
        <v>1867</v>
      </c>
      <c r="I7414" s="159">
        <f t="shared" si="2082"/>
        <v>2.2775730000000001E-2</v>
      </c>
      <c r="J7414" s="160"/>
      <c r="K7414" s="161">
        <f>K7413</f>
        <v>427</v>
      </c>
      <c r="L7414" s="250">
        <v>1</v>
      </c>
      <c r="M7414" s="163" t="str">
        <f>CONCATENATE(H7414," ",F7414,"*",I7414,"/",K7414,"чел.")</f>
        <v>1867 шт*0,02277573/427чел.</v>
      </c>
      <c r="N7414" s="164">
        <f>N6814</f>
        <v>18299.732190680235</v>
      </c>
      <c r="O7414" s="165">
        <f>MROUND(G7414*N7414,0.0000000001)</f>
        <v>1822.3570981057001</v>
      </c>
      <c r="P7414" s="166"/>
      <c r="Q7414" s="166">
        <f t="shared" si="2087"/>
        <v>778146.48089113389</v>
      </c>
      <c r="R7414" s="71"/>
    </row>
    <row r="7415" spans="1:18" s="61" customFormat="1" x14ac:dyDescent="0.25">
      <c r="A7415" s="358"/>
      <c r="B7415" s="361"/>
      <c r="C7415" s="221"/>
      <c r="D7415" s="231" t="s">
        <v>49</v>
      </c>
      <c r="E7415" s="231" t="s">
        <v>101</v>
      </c>
      <c r="F7415" s="231" t="s">
        <v>101</v>
      </c>
      <c r="G7415" s="238">
        <f>MROUND(H7415*L7415*I7415/K7415,0.000000001)</f>
        <v>3.4136926000000005E-2</v>
      </c>
      <c r="H7415" s="160">
        <f>H6815</f>
        <v>640</v>
      </c>
      <c r="I7415" s="159">
        <f t="shared" si="2082"/>
        <v>2.2775730000000001E-2</v>
      </c>
      <c r="J7415" s="160"/>
      <c r="K7415" s="161">
        <f>K7414</f>
        <v>427</v>
      </c>
      <c r="L7415" s="250">
        <v>1</v>
      </c>
      <c r="M7415" s="163" t="str">
        <f>CONCATENATE(H7415," ",F7415,"*",I7415,"/",K7415,"чел.")</f>
        <v>640 погон.м.*0,02277573/427чел.</v>
      </c>
      <c r="N7415" s="164">
        <f>N6815</f>
        <v>4593.75</v>
      </c>
      <c r="O7415" s="165">
        <f>MROUND(G7415*N7415,0.00000001)</f>
        <v>156.81650381</v>
      </c>
      <c r="P7415" s="166"/>
      <c r="Q7415" s="166">
        <f t="shared" si="2087"/>
        <v>66960.647126869997</v>
      </c>
      <c r="R7415" s="71"/>
    </row>
    <row r="7416" spans="1:18" s="62" customFormat="1" x14ac:dyDescent="0.25">
      <c r="A7416" s="358"/>
      <c r="B7416" s="361"/>
      <c r="C7416" s="218" t="s">
        <v>302</v>
      </c>
      <c r="D7416" s="232"/>
      <c r="E7416" s="232"/>
      <c r="F7416" s="232"/>
      <c r="G7416" s="227"/>
      <c r="H7416" s="228"/>
      <c r="I7416" s="206"/>
      <c r="J7416" s="228"/>
      <c r="K7416" s="207"/>
      <c r="L7416" s="257"/>
      <c r="M7416" s="209"/>
      <c r="N7416" s="210"/>
      <c r="O7416" s="198">
        <f>SUM(O7413:O7415)</f>
        <v>5334.4600085901693</v>
      </c>
      <c r="P7416" s="267"/>
      <c r="Q7416" s="166"/>
      <c r="R7416" s="71"/>
    </row>
    <row r="7417" spans="1:18" s="61" customFormat="1" x14ac:dyDescent="0.25">
      <c r="A7417" s="358"/>
      <c r="B7417" s="361"/>
      <c r="C7417" s="221" t="s">
        <v>77</v>
      </c>
      <c r="D7417" s="231"/>
      <c r="E7417" s="231"/>
      <c r="F7417" s="231"/>
      <c r="G7417" s="238">
        <f>MROUND(H7417*L7417*I7417/K7417,0.00000000001)</f>
        <v>0</v>
      </c>
      <c r="H7417" s="160">
        <f>H7177</f>
        <v>0</v>
      </c>
      <c r="I7417" s="159">
        <f>I7415</f>
        <v>2.2775730000000001E-2</v>
      </c>
      <c r="J7417" s="160"/>
      <c r="K7417" s="161">
        <f>K7415</f>
        <v>427</v>
      </c>
      <c r="L7417" s="250"/>
      <c r="M7417" s="163"/>
      <c r="N7417" s="164">
        <f>N7177</f>
        <v>0</v>
      </c>
      <c r="O7417" s="165">
        <f>MROUND(G7417*N7417,0.000000001)</f>
        <v>0</v>
      </c>
      <c r="P7417" s="166"/>
      <c r="Q7417" s="166">
        <f t="shared" ref="Q7417" si="2088">O7417*K7417</f>
        <v>0</v>
      </c>
      <c r="R7417" s="71"/>
    </row>
    <row r="7418" spans="1:18" s="62" customFormat="1" x14ac:dyDescent="0.25">
      <c r="A7418" s="358"/>
      <c r="B7418" s="361"/>
      <c r="C7418" s="218" t="s">
        <v>304</v>
      </c>
      <c r="D7418" s="232"/>
      <c r="E7418" s="232"/>
      <c r="F7418" s="232"/>
      <c r="G7418" s="227"/>
      <c r="H7418" s="228"/>
      <c r="I7418" s="206"/>
      <c r="J7418" s="228"/>
      <c r="K7418" s="207"/>
      <c r="L7418" s="257"/>
      <c r="M7418" s="209"/>
      <c r="N7418" s="210"/>
      <c r="O7418" s="198">
        <f>O7417</f>
        <v>0</v>
      </c>
      <c r="P7418" s="267"/>
      <c r="Q7418" s="166"/>
      <c r="R7418" s="71"/>
    </row>
    <row r="7419" spans="1:18" s="61" customFormat="1" x14ac:dyDescent="0.25">
      <c r="A7419" s="358"/>
      <c r="B7419" s="361"/>
      <c r="C7419" s="221"/>
      <c r="D7419" s="350" t="s">
        <v>65</v>
      </c>
      <c r="E7419" s="350"/>
      <c r="F7419" s="350"/>
      <c r="G7419" s="350"/>
      <c r="H7419" s="195"/>
      <c r="I7419" s="159"/>
      <c r="J7419" s="195"/>
      <c r="K7419" s="161"/>
      <c r="L7419" s="196"/>
      <c r="M7419" s="230"/>
      <c r="N7419" s="164"/>
      <c r="O7419" s="165">
        <f t="shared" ref="O7419:O7420" si="2089">MROUND(G7419*N7419,0.000001)</f>
        <v>0</v>
      </c>
      <c r="P7419" s="166"/>
      <c r="Q7419" s="166"/>
      <c r="R7419" s="71"/>
    </row>
    <row r="7420" spans="1:18" s="61" customFormat="1" x14ac:dyDescent="0.25">
      <c r="A7420" s="358"/>
      <c r="B7420" s="361"/>
      <c r="C7420" s="221"/>
      <c r="D7420" s="194"/>
      <c r="E7420" s="194"/>
      <c r="F7420" s="194"/>
      <c r="G7420" s="217"/>
      <c r="H7420" s="195"/>
      <c r="I7420" s="159"/>
      <c r="J7420" s="195"/>
      <c r="K7420" s="161"/>
      <c r="L7420" s="196"/>
      <c r="M7420" s="230"/>
      <c r="N7420" s="164"/>
      <c r="O7420" s="165">
        <f t="shared" si="2089"/>
        <v>0</v>
      </c>
      <c r="P7420" s="166"/>
      <c r="Q7420" s="166"/>
      <c r="R7420" s="71"/>
    </row>
    <row r="7421" spans="1:18" s="61" customFormat="1" x14ac:dyDescent="0.25">
      <c r="A7421" s="358"/>
      <c r="B7421" s="361"/>
      <c r="C7421" s="221" t="s">
        <v>357</v>
      </c>
      <c r="D7421" s="368" t="s">
        <v>66</v>
      </c>
      <c r="E7421" s="368"/>
      <c r="F7421" s="368"/>
      <c r="G7421" s="368"/>
      <c r="H7421" s="195"/>
      <c r="I7421" s="159"/>
      <c r="J7421" s="195"/>
      <c r="K7421" s="161"/>
      <c r="L7421" s="234"/>
      <c r="M7421" s="230"/>
      <c r="N7421" s="164"/>
      <c r="O7421" s="198">
        <f>O7422</f>
        <v>31.308897999999999</v>
      </c>
      <c r="P7421" s="166"/>
      <c r="Q7421" s="166"/>
      <c r="R7421" s="71"/>
    </row>
    <row r="7422" spans="1:18" s="61" customFormat="1" ht="47.25" x14ac:dyDescent="0.25">
      <c r="A7422" s="358"/>
      <c r="B7422" s="361"/>
      <c r="C7422" s="221"/>
      <c r="D7422" s="222" t="s">
        <v>374</v>
      </c>
      <c r="E7422" s="194" t="s">
        <v>28</v>
      </c>
      <c r="F7422" s="194" t="s">
        <v>28</v>
      </c>
      <c r="G7422" s="217">
        <f>MROUND(H7422*L7422*I7422/K7422,0.000000001)</f>
        <v>7.6808080000000008E-3</v>
      </c>
      <c r="H7422" s="201">
        <f>H6822</f>
        <v>36</v>
      </c>
      <c r="I7422" s="159">
        <f>I7417</f>
        <v>2.2775730000000001E-2</v>
      </c>
      <c r="J7422" s="195"/>
      <c r="K7422" s="161">
        <f>K7417</f>
        <v>427</v>
      </c>
      <c r="L7422" s="235">
        <f>L6822</f>
        <v>4</v>
      </c>
      <c r="M7422" s="163" t="str">
        <f>CONCATENATE(H7422," ",F7422,"*",I7422,"/",K7422,"чел.")</f>
        <v>36 шт*0,02277573/427чел.</v>
      </c>
      <c r="N7422" s="164">
        <f>N6822</f>
        <v>4076.2506250000024</v>
      </c>
      <c r="O7422" s="165">
        <f>MROUND(G7422*N7422,0.000001)</f>
        <v>31.308897999999999</v>
      </c>
      <c r="P7422" s="166"/>
      <c r="Q7422" s="166">
        <f t="shared" ref="Q7422" si="2090">O7422*K7422</f>
        <v>13368.899445999999</v>
      </c>
      <c r="R7422" s="71"/>
    </row>
    <row r="7423" spans="1:18" s="61" customFormat="1" x14ac:dyDescent="0.25">
      <c r="A7423" s="358"/>
      <c r="B7423" s="361"/>
      <c r="C7423" s="221"/>
      <c r="D7423" s="368" t="s">
        <v>67</v>
      </c>
      <c r="E7423" s="368"/>
      <c r="F7423" s="368"/>
      <c r="G7423" s="368"/>
      <c r="H7423" s="195"/>
      <c r="I7423" s="159"/>
      <c r="J7423" s="195"/>
      <c r="K7423" s="161"/>
      <c r="L7423" s="196"/>
      <c r="M7423" s="230"/>
      <c r="N7423" s="164"/>
      <c r="O7423" s="165">
        <f t="shared" ref="O7423:O7426" si="2091">MROUND(G7423*N7423,0.000001)</f>
        <v>0</v>
      </c>
      <c r="P7423" s="166"/>
      <c r="Q7423" s="166"/>
      <c r="R7423" s="71"/>
    </row>
    <row r="7424" spans="1:18" s="61" customFormat="1" x14ac:dyDescent="0.25">
      <c r="A7424" s="358"/>
      <c r="B7424" s="361"/>
      <c r="C7424" s="221"/>
      <c r="D7424" s="194"/>
      <c r="E7424" s="194"/>
      <c r="F7424" s="194"/>
      <c r="G7424" s="217"/>
      <c r="H7424" s="195"/>
      <c r="I7424" s="159"/>
      <c r="J7424" s="195"/>
      <c r="K7424" s="161"/>
      <c r="L7424" s="196"/>
      <c r="M7424" s="230"/>
      <c r="N7424" s="164"/>
      <c r="O7424" s="165">
        <f t="shared" si="2091"/>
        <v>0</v>
      </c>
      <c r="P7424" s="166"/>
      <c r="Q7424" s="166"/>
      <c r="R7424" s="71"/>
    </row>
    <row r="7425" spans="1:41" s="61" customFormat="1" x14ac:dyDescent="0.25">
      <c r="A7425" s="358"/>
      <c r="B7425" s="361"/>
      <c r="C7425" s="221"/>
      <c r="D7425" s="350" t="s">
        <v>68</v>
      </c>
      <c r="E7425" s="350"/>
      <c r="F7425" s="350"/>
      <c r="G7425" s="350"/>
      <c r="H7425" s="195"/>
      <c r="I7425" s="159"/>
      <c r="J7425" s="195"/>
      <c r="K7425" s="161"/>
      <c r="L7425" s="196"/>
      <c r="M7425" s="230"/>
      <c r="N7425" s="164"/>
      <c r="O7425" s="165">
        <f t="shared" si="2091"/>
        <v>0</v>
      </c>
      <c r="P7425" s="166"/>
      <c r="Q7425" s="166"/>
      <c r="R7425" s="71"/>
    </row>
    <row r="7426" spans="1:41" s="61" customFormat="1" x14ac:dyDescent="0.25">
      <c r="A7426" s="358"/>
      <c r="B7426" s="361"/>
      <c r="C7426" s="221"/>
      <c r="D7426" s="156"/>
      <c r="E7426" s="156"/>
      <c r="F7426" s="156"/>
      <c r="G7426" s="236"/>
      <c r="H7426" s="195"/>
      <c r="I7426" s="159"/>
      <c r="J7426" s="195"/>
      <c r="K7426" s="161"/>
      <c r="L7426" s="196"/>
      <c r="M7426" s="230"/>
      <c r="N7426" s="164"/>
      <c r="O7426" s="165">
        <f t="shared" si="2091"/>
        <v>0</v>
      </c>
      <c r="P7426" s="166"/>
      <c r="Q7426" s="166"/>
      <c r="R7426" s="71"/>
    </row>
    <row r="7427" spans="1:41" s="61" customFormat="1" x14ac:dyDescent="0.25">
      <c r="A7427" s="358"/>
      <c r="B7427" s="361"/>
      <c r="C7427" s="221"/>
      <c r="D7427" s="368" t="s">
        <v>69</v>
      </c>
      <c r="E7427" s="368"/>
      <c r="F7427" s="368"/>
      <c r="G7427" s="368"/>
      <c r="H7427" s="187"/>
      <c r="I7427" s="159"/>
      <c r="J7427" s="187"/>
      <c r="K7427" s="161"/>
      <c r="L7427" s="276"/>
      <c r="M7427" s="230"/>
      <c r="N7427" s="164"/>
      <c r="O7427" s="198">
        <f>O7429+O7436+O7453+O7455+O7470+O7472+O7474+O7499+O7501+O7506+O7503</f>
        <v>1205.2391473399998</v>
      </c>
      <c r="P7427" s="166"/>
      <c r="Q7427" s="166"/>
      <c r="R7427" s="71"/>
    </row>
    <row r="7428" spans="1:41" s="61" customFormat="1" x14ac:dyDescent="0.25">
      <c r="A7428" s="358"/>
      <c r="B7428" s="361"/>
      <c r="C7428" s="221">
        <v>224</v>
      </c>
      <c r="D7428" s="156" t="s">
        <v>21</v>
      </c>
      <c r="E7428" s="156" t="s">
        <v>22</v>
      </c>
      <c r="F7428" s="156" t="s">
        <v>22</v>
      </c>
      <c r="G7428" s="238">
        <f>MROUND(H7428*L7428*I7428/K7428,0.000000001)</f>
        <v>0</v>
      </c>
      <c r="H7428" s="158"/>
      <c r="I7428" s="159">
        <f>I7422</f>
        <v>2.2775730000000001E-2</v>
      </c>
      <c r="J7428" s="160"/>
      <c r="K7428" s="161">
        <f>K7422</f>
        <v>427</v>
      </c>
      <c r="L7428" s="250"/>
      <c r="M7428" s="163"/>
      <c r="N7428" s="164"/>
      <c r="O7428" s="165">
        <f>MROUND(G7428*N7428,0.000001)</f>
        <v>0</v>
      </c>
      <c r="P7428" s="166"/>
      <c r="Q7428" s="166">
        <f t="shared" ref="Q7428" si="2092">O7428*K7428</f>
        <v>0</v>
      </c>
      <c r="R7428" s="71"/>
    </row>
    <row r="7429" spans="1:41" s="62" customFormat="1" x14ac:dyDescent="0.25">
      <c r="A7429" s="358"/>
      <c r="B7429" s="361"/>
      <c r="C7429" s="218" t="s">
        <v>293</v>
      </c>
      <c r="D7429" s="240"/>
      <c r="E7429" s="240"/>
      <c r="F7429" s="240"/>
      <c r="G7429" s="227"/>
      <c r="H7429" s="241"/>
      <c r="I7429" s="206"/>
      <c r="J7429" s="228"/>
      <c r="K7429" s="207"/>
      <c r="L7429" s="257"/>
      <c r="M7429" s="209"/>
      <c r="N7429" s="210"/>
      <c r="O7429" s="198">
        <f>SUM(O7428)</f>
        <v>0</v>
      </c>
      <c r="P7429" s="267"/>
      <c r="Q7429" s="166"/>
      <c r="R7429" s="71"/>
    </row>
    <row r="7430" spans="1:41" s="61" customFormat="1" ht="31.5" x14ac:dyDescent="0.25">
      <c r="A7430" s="358"/>
      <c r="B7430" s="361"/>
      <c r="C7430" s="364" t="s">
        <v>78</v>
      </c>
      <c r="D7430" s="156" t="s">
        <v>26</v>
      </c>
      <c r="E7430" s="156" t="s">
        <v>22</v>
      </c>
      <c r="F7430" s="156" t="s">
        <v>22</v>
      </c>
      <c r="G7430" s="238">
        <f>MROUND(H7430*L7430*I7430/K7430,0.000001)</f>
        <v>16.539339999999999</v>
      </c>
      <c r="H7430" s="158">
        <f>H6830</f>
        <v>25840</v>
      </c>
      <c r="I7430" s="159">
        <f>I7428</f>
        <v>2.2775730000000001E-2</v>
      </c>
      <c r="J7430" s="160"/>
      <c r="K7430" s="161">
        <f>K7428</f>
        <v>427</v>
      </c>
      <c r="L7430" s="250">
        <v>12</v>
      </c>
      <c r="M7430" s="163" t="str">
        <f>CONCATENATE(H7430," ",F7430,"(обрабатываемая площадь в мес.)","*",L7430,"мес.","*",I7430,"/",K7430,"чел.")</f>
        <v>25840 м2(обрабатываемая площадь в мес.)*12мес.*0,02277573/427чел.</v>
      </c>
      <c r="N7430" s="164">
        <f>N6830</f>
        <v>1.2568903508771934</v>
      </c>
      <c r="O7430" s="165">
        <f t="shared" ref="O7430:O7435" si="2093">MROUND(G7430*N7430,0.000001)</f>
        <v>20.788136999999999</v>
      </c>
      <c r="P7430" s="166"/>
      <c r="Q7430" s="166">
        <f t="shared" ref="Q7430:Q7435" si="2094">O7430*K7430</f>
        <v>8876.5344989999994</v>
      </c>
      <c r="R7430" s="71"/>
    </row>
    <row r="7431" spans="1:41" s="61" customFormat="1" ht="31.5" x14ac:dyDescent="0.25">
      <c r="A7431" s="358"/>
      <c r="B7431" s="361"/>
      <c r="C7431" s="364"/>
      <c r="D7431" s="156" t="s">
        <v>96</v>
      </c>
      <c r="E7431" s="156" t="s">
        <v>22</v>
      </c>
      <c r="F7431" s="156" t="s">
        <v>22</v>
      </c>
      <c r="G7431" s="238">
        <f>MROUND(H7431*L7431*I7431/K7431,0.000001)</f>
        <v>8.5609009999999994</v>
      </c>
      <c r="H7431" s="158">
        <f>H6831</f>
        <v>13375</v>
      </c>
      <c r="I7431" s="159">
        <f t="shared" si="2082"/>
        <v>2.2775730000000001E-2</v>
      </c>
      <c r="J7431" s="160"/>
      <c r="K7431" s="161">
        <f>K7430</f>
        <v>427</v>
      </c>
      <c r="L7431" s="250">
        <v>12</v>
      </c>
      <c r="M7431" s="163" t="str">
        <f>CONCATENATE(H7431," ",F7431,"(обрабатываемая площадь в мес.)","*",L7431,"мес.","*",I7431,"/",K7431,"чел.")</f>
        <v>13375 м2(обрабатываемая площадь в мес.)*12мес.*0,02277573/427чел.</v>
      </c>
      <c r="N7431" s="164">
        <f>N6831</f>
        <v>2.0157672274143299</v>
      </c>
      <c r="O7431" s="165">
        <f t="shared" si="2093"/>
        <v>17.256784</v>
      </c>
      <c r="P7431" s="166"/>
      <c r="Q7431" s="166">
        <f t="shared" si="2094"/>
        <v>7368.6467679999996</v>
      </c>
      <c r="R7431" s="71"/>
    </row>
    <row r="7432" spans="1:41" s="135" customFormat="1" ht="31.5" x14ac:dyDescent="0.25">
      <c r="A7432" s="358"/>
      <c r="B7432" s="361"/>
      <c r="C7432" s="364"/>
      <c r="D7432" s="156" t="s">
        <v>385</v>
      </c>
      <c r="E7432" s="156" t="s">
        <v>22</v>
      </c>
      <c r="F7432" s="156" t="s">
        <v>22</v>
      </c>
      <c r="G7432" s="238">
        <f>MROUND(H7432*L7432*I7432/K7432,0.000001)</f>
        <v>17.121801999999999</v>
      </c>
      <c r="H7432" s="242">
        <f>$H$55</f>
        <v>13375</v>
      </c>
      <c r="I7432" s="159">
        <f t="shared" si="2082"/>
        <v>2.2775730000000001E-2</v>
      </c>
      <c r="J7432" s="160"/>
      <c r="K7432" s="161">
        <f>K7431</f>
        <v>427</v>
      </c>
      <c r="L7432" s="162">
        <v>24</v>
      </c>
      <c r="M7432" s="163" t="str">
        <f>CONCATENATE(H7432," ",F7432,"(обрабатываемая площадь в год)","*",L7432," раза в год.","*",I7432,"/",K7432,"чел.")</f>
        <v>13375 м2(обрабатываемая площадь в год)*24 раза в год.*0,02277573/427чел.</v>
      </c>
      <c r="N7432" s="164">
        <f>$N$6832</f>
        <v>2.4900656074766365</v>
      </c>
      <c r="O7432" s="165">
        <f t="shared" si="2093"/>
        <v>42.634409999999995</v>
      </c>
      <c r="P7432" s="166"/>
      <c r="Q7432" s="166">
        <f t="shared" si="2094"/>
        <v>18204.893069999998</v>
      </c>
      <c r="R7432" s="71"/>
      <c r="S7432" s="61"/>
      <c r="T7432" s="61"/>
      <c r="U7432" s="61"/>
      <c r="V7432" s="61"/>
      <c r="W7432" s="61"/>
      <c r="X7432" s="61"/>
      <c r="Y7432" s="61"/>
      <c r="Z7432" s="61"/>
      <c r="AA7432" s="61"/>
      <c r="AB7432" s="61"/>
      <c r="AC7432" s="61"/>
      <c r="AD7432" s="61"/>
      <c r="AE7432" s="61"/>
      <c r="AF7432" s="61"/>
      <c r="AG7432" s="61"/>
      <c r="AH7432" s="61"/>
      <c r="AI7432" s="61"/>
      <c r="AJ7432" s="61"/>
      <c r="AK7432" s="61"/>
      <c r="AL7432" s="61"/>
      <c r="AM7432" s="61"/>
      <c r="AN7432" s="61"/>
      <c r="AO7432" s="61"/>
    </row>
    <row r="7433" spans="1:41" s="135" customFormat="1" ht="31.5" x14ac:dyDescent="0.25">
      <c r="A7433" s="358"/>
      <c r="B7433" s="361"/>
      <c r="C7433" s="364"/>
      <c r="D7433" s="156" t="s">
        <v>394</v>
      </c>
      <c r="E7433" s="156" t="s">
        <v>22</v>
      </c>
      <c r="F7433" s="156" t="s">
        <v>22</v>
      </c>
      <c r="G7433" s="238">
        <f>MROUND(H7433*L7433*I7433/K7433,0.000001)</f>
        <v>16.539339999999999</v>
      </c>
      <c r="H7433" s="243">
        <f>$H$56</f>
        <v>25840</v>
      </c>
      <c r="I7433" s="159">
        <f t="shared" si="2082"/>
        <v>2.2775730000000001E-2</v>
      </c>
      <c r="J7433" s="160"/>
      <c r="K7433" s="161">
        <f>K7432</f>
        <v>427</v>
      </c>
      <c r="L7433" s="162">
        <v>12</v>
      </c>
      <c r="M7433" s="163" t="str">
        <f>CONCATENATE(H7433," ",F7433,"(обрабатываемая площадь в мес.)","*",L7433,"мес.","*",I7433,"/",K7433,"чел.")</f>
        <v>25840 м2(обрабатываемая площадь в мес.)*12мес.*0,02277573/427чел.</v>
      </c>
      <c r="N7433" s="164">
        <f>$N$6833</f>
        <v>0.59287277476780176</v>
      </c>
      <c r="O7433" s="165">
        <f t="shared" si="2093"/>
        <v>9.8057239999999997</v>
      </c>
      <c r="P7433" s="166"/>
      <c r="Q7433" s="166">
        <f t="shared" si="2094"/>
        <v>4187.044148</v>
      </c>
      <c r="R7433" s="71"/>
      <c r="S7433" s="61"/>
      <c r="T7433" s="61"/>
      <c r="U7433" s="61"/>
      <c r="V7433" s="61"/>
      <c r="W7433" s="61"/>
      <c r="X7433" s="61"/>
      <c r="Y7433" s="61"/>
      <c r="Z7433" s="61"/>
      <c r="AA7433" s="61"/>
      <c r="AB7433" s="61"/>
      <c r="AC7433" s="61"/>
      <c r="AD7433" s="61"/>
      <c r="AE7433" s="61"/>
      <c r="AF7433" s="61"/>
      <c r="AG7433" s="61"/>
      <c r="AH7433" s="61"/>
      <c r="AI7433" s="61"/>
      <c r="AJ7433" s="61"/>
      <c r="AK7433" s="61"/>
      <c r="AL7433" s="61"/>
      <c r="AM7433" s="61"/>
      <c r="AN7433" s="61"/>
      <c r="AO7433" s="61"/>
    </row>
    <row r="7434" spans="1:41" s="135" customFormat="1" ht="31.5" x14ac:dyDescent="0.25">
      <c r="A7434" s="358"/>
      <c r="B7434" s="361"/>
      <c r="C7434" s="364"/>
      <c r="D7434" s="156" t="s">
        <v>395</v>
      </c>
      <c r="E7434" s="156" t="s">
        <v>98</v>
      </c>
      <c r="F7434" s="156" t="s">
        <v>98</v>
      </c>
      <c r="G7434" s="238">
        <f>MROUND(H7434*L7434*I7434/K7434,0.0000000001)</f>
        <v>1.0102396E-3</v>
      </c>
      <c r="H7434" s="242">
        <f>$H$57</f>
        <v>18.939999999999998</v>
      </c>
      <c r="I7434" s="159">
        <f t="shared" si="2082"/>
        <v>2.2775730000000001E-2</v>
      </c>
      <c r="J7434" s="160"/>
      <c r="K7434" s="161">
        <f>K7430</f>
        <v>427</v>
      </c>
      <c r="L7434" s="162">
        <v>1</v>
      </c>
      <c r="M7434" s="163" t="str">
        <f>CONCATENATE(H7434," ",F7434,"(обрабатываемая площадь в год)","*",L7434," раз в год","*",I7434,"/",K7434,"чел.")</f>
        <v>18,94 Га(обрабатываемая площадь в год)*1 раз в год*0,02277573/427чел.</v>
      </c>
      <c r="N7434" s="164">
        <f>$N$6834</f>
        <v>592.87803590285125</v>
      </c>
      <c r="O7434" s="165">
        <f t="shared" si="2093"/>
        <v>0.59894899999999995</v>
      </c>
      <c r="P7434" s="166"/>
      <c r="Q7434" s="166">
        <f t="shared" si="2094"/>
        <v>255.75122299999998</v>
      </c>
      <c r="R7434" s="71"/>
      <c r="S7434" s="61"/>
      <c r="T7434" s="61"/>
      <c r="U7434" s="61"/>
      <c r="V7434" s="61"/>
      <c r="W7434" s="61"/>
      <c r="X7434" s="61"/>
      <c r="Y7434" s="61"/>
      <c r="Z7434" s="61"/>
      <c r="AA7434" s="61"/>
      <c r="AB7434" s="61"/>
      <c r="AC7434" s="61"/>
      <c r="AD7434" s="61"/>
      <c r="AE7434" s="61"/>
      <c r="AF7434" s="61"/>
      <c r="AG7434" s="61"/>
      <c r="AH7434" s="61"/>
      <c r="AI7434" s="61"/>
      <c r="AJ7434" s="61"/>
      <c r="AK7434" s="61"/>
      <c r="AL7434" s="61"/>
      <c r="AM7434" s="61"/>
      <c r="AN7434" s="61"/>
      <c r="AO7434" s="61"/>
    </row>
    <row r="7435" spans="1:41" s="61" customFormat="1" ht="31.5" x14ac:dyDescent="0.25">
      <c r="A7435" s="358"/>
      <c r="B7435" s="361"/>
      <c r="C7435" s="364"/>
      <c r="D7435" s="156" t="s">
        <v>97</v>
      </c>
      <c r="E7435" s="156" t="s">
        <v>98</v>
      </c>
      <c r="F7435" s="156" t="s">
        <v>98</v>
      </c>
      <c r="G7435" s="238">
        <f>MROUND(H7435*L7435*I7435/K7435,0.000000001)</f>
        <v>1.0102400000000001E-3</v>
      </c>
      <c r="H7435" s="242">
        <f>H6835</f>
        <v>18.939999999999998</v>
      </c>
      <c r="I7435" s="244">
        <f>I7431</f>
        <v>2.2775730000000001E-2</v>
      </c>
      <c r="J7435" s="160"/>
      <c r="K7435" s="161">
        <f>K7431</f>
        <v>427</v>
      </c>
      <c r="L7435" s="250">
        <v>1</v>
      </c>
      <c r="M7435" s="163" t="str">
        <f>CONCATENATE(H7435," ",F7435,"(обрабатываемая площадь в мес.)","*",L7435,"мес.","*",I7435,"/",K7435,"чел.")</f>
        <v>18,94 Га(обрабатываемая площадь в мес.)*1мес.*0,02277573/427чел.</v>
      </c>
      <c r="N7435" s="164">
        <f>N6835</f>
        <v>3226.5021119324188</v>
      </c>
      <c r="O7435" s="165">
        <f t="shared" si="2093"/>
        <v>3.259541</v>
      </c>
      <c r="P7435" s="166"/>
      <c r="Q7435" s="166">
        <f t="shared" si="2094"/>
        <v>1391.8240069999999</v>
      </c>
      <c r="R7435" s="71"/>
    </row>
    <row r="7436" spans="1:41" s="62" customFormat="1" x14ac:dyDescent="0.25">
      <c r="A7436" s="358"/>
      <c r="B7436" s="361"/>
      <c r="C7436" s="245" t="s">
        <v>303</v>
      </c>
      <c r="D7436" s="240"/>
      <c r="E7436" s="240"/>
      <c r="F7436" s="240"/>
      <c r="G7436" s="227"/>
      <c r="H7436" s="241"/>
      <c r="I7436" s="206"/>
      <c r="J7436" s="228"/>
      <c r="K7436" s="207"/>
      <c r="L7436" s="257"/>
      <c r="M7436" s="209"/>
      <c r="N7436" s="210"/>
      <c r="O7436" s="198">
        <f>SUM(O7430:O7435)</f>
        <v>94.343544999999992</v>
      </c>
      <c r="P7436" s="267"/>
      <c r="Q7436" s="166"/>
      <c r="R7436" s="71"/>
    </row>
    <row r="7437" spans="1:41" s="61" customFormat="1" ht="63" x14ac:dyDescent="0.25">
      <c r="A7437" s="358"/>
      <c r="B7437" s="361"/>
      <c r="C7437" s="365" t="s">
        <v>77</v>
      </c>
      <c r="D7437" s="156" t="s">
        <v>29</v>
      </c>
      <c r="E7437" s="156" t="s">
        <v>58</v>
      </c>
      <c r="F7437" s="156" t="s">
        <v>218</v>
      </c>
      <c r="G7437" s="238">
        <f>MROUND(H7437*L7437*I7437/K7437,0.00000001)</f>
        <v>3.2003399999999999E-3</v>
      </c>
      <c r="H7437" s="158">
        <v>15</v>
      </c>
      <c r="I7437" s="159">
        <f>I7435</f>
        <v>2.2775730000000001E-2</v>
      </c>
      <c r="J7437" s="160"/>
      <c r="K7437" s="161">
        <f>K7435</f>
        <v>427</v>
      </c>
      <c r="L7437" s="162">
        <v>4</v>
      </c>
      <c r="M7437" s="163" t="str">
        <f>CONCATENATE(H7437," ",F7437,"*",L7437," раза в год","*",I7437,"/",K7437,"чел.")</f>
        <v>15 установок*4 раза в год*0,02277573/427чел.</v>
      </c>
      <c r="N7437" s="164">
        <f t="shared" ref="N7437:N7450" si="2095">N6837</f>
        <v>2355.4600000000005</v>
      </c>
      <c r="O7437" s="165">
        <f t="shared" ref="O7437:O7445" si="2096">MROUND(G7437*N7437,0.000001)</f>
        <v>7.5382729999999993</v>
      </c>
      <c r="P7437" s="166"/>
      <c r="Q7437" s="166">
        <f t="shared" ref="Q7437:Q7452" si="2097">O7437*K7437</f>
        <v>3218.8425709999997</v>
      </c>
      <c r="R7437" s="71"/>
    </row>
    <row r="7438" spans="1:41" s="61" customFormat="1" ht="47.25" x14ac:dyDescent="0.25">
      <c r="A7438" s="358"/>
      <c r="B7438" s="361"/>
      <c r="C7438" s="366"/>
      <c r="D7438" s="156" t="s">
        <v>30</v>
      </c>
      <c r="E7438" s="156" t="s">
        <v>58</v>
      </c>
      <c r="F7438" s="156" t="s">
        <v>218</v>
      </c>
      <c r="G7438" s="238">
        <f>MROUND(H7438*L7438*I7438/K7438,0.00000001)</f>
        <v>1.6001699999999999E-3</v>
      </c>
      <c r="H7438" s="158">
        <v>15</v>
      </c>
      <c r="I7438" s="159">
        <f t="shared" si="2082"/>
        <v>2.2775730000000001E-2</v>
      </c>
      <c r="J7438" s="160"/>
      <c r="K7438" s="161">
        <f>K7437</f>
        <v>427</v>
      </c>
      <c r="L7438" s="250">
        <v>2</v>
      </c>
      <c r="M7438" s="163" t="str">
        <f>CONCATENATE(H7438," ",F7438,"*",L7438,"полуг.","*",I7438,"/",K7438,"чел.")</f>
        <v>15 установок*2полуг.*0,02277573/427чел.</v>
      </c>
      <c r="N7438" s="164">
        <f t="shared" si="2095"/>
        <v>4710.920000000001</v>
      </c>
      <c r="O7438" s="165">
        <f t="shared" si="2096"/>
        <v>7.5382729999999993</v>
      </c>
      <c r="P7438" s="166"/>
      <c r="Q7438" s="166">
        <f t="shared" si="2097"/>
        <v>3218.8425709999997</v>
      </c>
      <c r="R7438" s="71"/>
    </row>
    <row r="7439" spans="1:41" s="61" customFormat="1" x14ac:dyDescent="0.25">
      <c r="A7439" s="358"/>
      <c r="B7439" s="361"/>
      <c r="C7439" s="366"/>
      <c r="D7439" s="156" t="s">
        <v>397</v>
      </c>
      <c r="E7439" s="156" t="s">
        <v>433</v>
      </c>
      <c r="F7439" s="156" t="s">
        <v>433</v>
      </c>
      <c r="G7439" s="238">
        <f>MROUND(H7439*L7439*I7439/K7439,0.000001)</f>
        <v>0</v>
      </c>
      <c r="H7439" s="158">
        <f>H6839</f>
        <v>0</v>
      </c>
      <c r="I7439" s="159">
        <f t="shared" si="2082"/>
        <v>2.2775730000000001E-2</v>
      </c>
      <c r="J7439" s="160"/>
      <c r="K7439" s="161">
        <f>K7438</f>
        <v>427</v>
      </c>
      <c r="L7439" s="162">
        <v>1</v>
      </c>
      <c r="M7439" s="163"/>
      <c r="N7439" s="164">
        <f t="shared" si="2095"/>
        <v>0</v>
      </c>
      <c r="O7439" s="165">
        <f t="shared" si="2096"/>
        <v>0</v>
      </c>
      <c r="P7439" s="166"/>
      <c r="Q7439" s="166">
        <f t="shared" si="2097"/>
        <v>0</v>
      </c>
      <c r="R7439" s="71"/>
    </row>
    <row r="7440" spans="1:41" s="61" customFormat="1" ht="47.25" x14ac:dyDescent="0.25">
      <c r="A7440" s="358"/>
      <c r="B7440" s="361"/>
      <c r="C7440" s="366"/>
      <c r="D7440" s="156" t="s">
        <v>32</v>
      </c>
      <c r="E7440" s="156" t="s">
        <v>55</v>
      </c>
      <c r="F7440" s="156" t="s">
        <v>219</v>
      </c>
      <c r="G7440" s="238">
        <f>MROUND(H7440*L7440*I7440/K7440,0.000000001)</f>
        <v>7.6808080000000008E-3</v>
      </c>
      <c r="H7440" s="158">
        <f>H6840</f>
        <v>36</v>
      </c>
      <c r="I7440" s="159">
        <f>I7439</f>
        <v>2.2775730000000001E-2</v>
      </c>
      <c r="J7440" s="160"/>
      <c r="K7440" s="161">
        <f>K7439</f>
        <v>427</v>
      </c>
      <c r="L7440" s="250">
        <v>4</v>
      </c>
      <c r="M7440" s="163" t="str">
        <f>CONCATENATE(H7440," ",F7440,"*",L7440,"кв.","*",I7440,"/",K7440,"чел.")</f>
        <v>36 системы*4кв.*0,02277573/427чел.</v>
      </c>
      <c r="N7440" s="164">
        <f t="shared" si="2095"/>
        <v>7532.7785416666693</v>
      </c>
      <c r="O7440" s="165">
        <f t="shared" si="2096"/>
        <v>57.857825999999996</v>
      </c>
      <c r="P7440" s="166"/>
      <c r="Q7440" s="166">
        <f t="shared" si="2097"/>
        <v>24705.291701999999</v>
      </c>
      <c r="R7440" s="71"/>
    </row>
    <row r="7441" spans="1:18" s="61" customFormat="1" ht="63" x14ac:dyDescent="0.25">
      <c r="A7441" s="358"/>
      <c r="B7441" s="361"/>
      <c r="C7441" s="366"/>
      <c r="D7441" s="156" t="s">
        <v>33</v>
      </c>
      <c r="E7441" s="156" t="s">
        <v>56</v>
      </c>
      <c r="F7441" s="156" t="s">
        <v>220</v>
      </c>
      <c r="G7441" s="238">
        <f>MROUND(H7441*L7441*I7441/K7441,0.000000001)</f>
        <v>1.9202020000000002E-3</v>
      </c>
      <c r="H7441" s="158">
        <f>$H$64</f>
        <v>36</v>
      </c>
      <c r="I7441" s="159">
        <f>I7439</f>
        <v>2.2775730000000001E-2</v>
      </c>
      <c r="J7441" s="160"/>
      <c r="K7441" s="161">
        <f>K7439</f>
        <v>427</v>
      </c>
      <c r="L7441" s="162">
        <v>1</v>
      </c>
      <c r="M7441" s="163" t="str">
        <f>CONCATENATE(H7441," ",F7441,"*",L7441," раз в год","*",I7441,"/",K7441,"чел.")</f>
        <v>36 дымоходов*1 раз в год*0,02277573/427чел.</v>
      </c>
      <c r="N7441" s="164">
        <f t="shared" si="2095"/>
        <v>7312.0941666666668</v>
      </c>
      <c r="O7441" s="165">
        <f t="shared" si="2096"/>
        <v>14.040697999999999</v>
      </c>
      <c r="P7441" s="166"/>
      <c r="Q7441" s="166">
        <f t="shared" si="2097"/>
        <v>5995.3780459999998</v>
      </c>
      <c r="R7441" s="71"/>
    </row>
    <row r="7442" spans="1:18" s="61" customFormat="1" x14ac:dyDescent="0.25">
      <c r="A7442" s="358"/>
      <c r="B7442" s="361"/>
      <c r="C7442" s="366"/>
      <c r="D7442" s="194" t="s">
        <v>398</v>
      </c>
      <c r="E7442" s="156" t="s">
        <v>60</v>
      </c>
      <c r="F7442" s="156" t="s">
        <v>60</v>
      </c>
      <c r="G7442" s="238">
        <f>MROUND(H7442*L7442*I7442/K7442,0.000000001)</f>
        <v>1.8668630000000001E-3</v>
      </c>
      <c r="H7442" s="246">
        <f t="shared" ref="H7442:H7452" si="2098">H6842</f>
        <v>35</v>
      </c>
      <c r="I7442" s="159">
        <f t="shared" si="2082"/>
        <v>2.2775730000000001E-2</v>
      </c>
      <c r="J7442" s="160"/>
      <c r="K7442" s="161">
        <f>K7441</f>
        <v>427</v>
      </c>
      <c r="L7442" s="250">
        <v>1</v>
      </c>
      <c r="M7442" s="163" t="str">
        <f>CONCATENATE(H7442," ",F7442,"*",I7442,"/",K7442,"чел.")</f>
        <v>35 шт.*0,02277573/427чел.</v>
      </c>
      <c r="N7442" s="164">
        <f t="shared" si="2095"/>
        <v>12660.374571428585</v>
      </c>
      <c r="O7442" s="165">
        <f t="shared" si="2096"/>
        <v>23.635185</v>
      </c>
      <c r="P7442" s="166"/>
      <c r="Q7442" s="166">
        <f t="shared" si="2097"/>
        <v>10092.223995</v>
      </c>
      <c r="R7442" s="71"/>
    </row>
    <row r="7443" spans="1:18" s="61" customFormat="1" ht="47.25" x14ac:dyDescent="0.25">
      <c r="A7443" s="358"/>
      <c r="B7443" s="361"/>
      <c r="C7443" s="366"/>
      <c r="D7443" s="156" t="s">
        <v>401</v>
      </c>
      <c r="E7443" s="156" t="s">
        <v>60</v>
      </c>
      <c r="F7443" s="156" t="s">
        <v>402</v>
      </c>
      <c r="G7443" s="238">
        <f>MROUND(H7443*L7443*I7443/K7443,0.000001)</f>
        <v>3.7339999999999999E-3</v>
      </c>
      <c r="H7443" s="246">
        <f t="shared" si="2098"/>
        <v>35</v>
      </c>
      <c r="I7443" s="159">
        <f t="shared" si="2082"/>
        <v>2.2775730000000001E-2</v>
      </c>
      <c r="J7443" s="160"/>
      <c r="K7443" s="161">
        <f>K7442</f>
        <v>427</v>
      </c>
      <c r="L7443" s="162">
        <v>2</v>
      </c>
      <c r="M7443" s="163" t="str">
        <f>CONCATENATE(H7443," ",F7443,"*",L7443," раз в год","*",I7443,"/",K7443,"чел.")</f>
        <v>35 противопожарных водопроводов*2 раз в год*0,02277573/427чел.</v>
      </c>
      <c r="N7443" s="164">
        <f t="shared" si="2095"/>
        <v>5928.7300000000032</v>
      </c>
      <c r="O7443" s="165">
        <f t="shared" si="2096"/>
        <v>22.137878000000001</v>
      </c>
      <c r="P7443" s="166"/>
      <c r="Q7443" s="166">
        <f t="shared" si="2097"/>
        <v>9452.8739060000007</v>
      </c>
      <c r="R7443" s="71"/>
    </row>
    <row r="7444" spans="1:18" s="61" customFormat="1" ht="31.5" x14ac:dyDescent="0.25">
      <c r="A7444" s="358"/>
      <c r="B7444" s="361"/>
      <c r="C7444" s="366"/>
      <c r="D7444" s="156" t="s">
        <v>221</v>
      </c>
      <c r="E7444" s="156" t="s">
        <v>60</v>
      </c>
      <c r="F7444" s="156" t="s">
        <v>60</v>
      </c>
      <c r="G7444" s="238">
        <f>MROUND(H7444*L7444*I7444/K7444,0.000000001)</f>
        <v>1.1521212000000001E-2</v>
      </c>
      <c r="H7444" s="158">
        <f t="shared" si="2098"/>
        <v>18</v>
      </c>
      <c r="I7444" s="159">
        <f t="shared" si="2082"/>
        <v>2.2775730000000001E-2</v>
      </c>
      <c r="J7444" s="160"/>
      <c r="K7444" s="161">
        <f>K7443</f>
        <v>427</v>
      </c>
      <c r="L7444" s="250">
        <v>12</v>
      </c>
      <c r="M7444" s="163" t="str">
        <f>CONCATENATE(H7444," ",F7444,"*",L7444,"мес.","*",I7444,"/",K7444,"чел.")</f>
        <v>18 шт.*12мес.*0,02277573/427чел.</v>
      </c>
      <c r="N7444" s="164">
        <f t="shared" si="2095"/>
        <v>6840.4345833333346</v>
      </c>
      <c r="O7444" s="165">
        <f t="shared" si="2096"/>
        <v>78.810096999999999</v>
      </c>
      <c r="P7444" s="166"/>
      <c r="Q7444" s="166">
        <f t="shared" si="2097"/>
        <v>33651.911418999996</v>
      </c>
      <c r="R7444" s="71"/>
    </row>
    <row r="7445" spans="1:18" s="61" customFormat="1" ht="47.25" x14ac:dyDescent="0.25">
      <c r="A7445" s="358"/>
      <c r="B7445" s="361"/>
      <c r="C7445" s="366"/>
      <c r="D7445" s="156" t="s">
        <v>34</v>
      </c>
      <c r="E7445" s="156" t="s">
        <v>59</v>
      </c>
      <c r="F7445" s="156" t="s">
        <v>28</v>
      </c>
      <c r="G7445" s="238">
        <f>MROUND(H7445*L7445*I7445/K7445,0.0000000001)</f>
        <v>1.066779E-4</v>
      </c>
      <c r="H7445" s="158">
        <f t="shared" si="2098"/>
        <v>2</v>
      </c>
      <c r="I7445" s="159">
        <f t="shared" si="2082"/>
        <v>2.2775730000000001E-2</v>
      </c>
      <c r="J7445" s="160"/>
      <c r="K7445" s="161">
        <f>K7444</f>
        <v>427</v>
      </c>
      <c r="L7445" s="250">
        <v>1</v>
      </c>
      <c r="M7445" s="163" t="str">
        <f>CONCATENATE(H7445," ",F7445,"*",I7445,"/",K7445,"чел.")</f>
        <v>2 шт*0,02277573/427чел.</v>
      </c>
      <c r="N7445" s="164">
        <f t="shared" si="2095"/>
        <v>8158.8</v>
      </c>
      <c r="O7445" s="165">
        <f t="shared" si="2096"/>
        <v>0.87036399999999992</v>
      </c>
      <c r="P7445" s="166"/>
      <c r="Q7445" s="166">
        <f t="shared" si="2097"/>
        <v>371.64542799999998</v>
      </c>
      <c r="R7445" s="71"/>
    </row>
    <row r="7446" spans="1:18" s="61" customFormat="1" ht="47.25" x14ac:dyDescent="0.25">
      <c r="A7446" s="358"/>
      <c r="B7446" s="361"/>
      <c r="C7446" s="366"/>
      <c r="D7446" s="156" t="s">
        <v>222</v>
      </c>
      <c r="E7446" s="156" t="s">
        <v>60</v>
      </c>
      <c r="F7446" s="156" t="s">
        <v>60</v>
      </c>
      <c r="G7446" s="238">
        <f>MROUND(H7446*L7446*I7446/K7446,0.00000000001)</f>
        <v>2.6669473E-4</v>
      </c>
      <c r="H7446" s="248">
        <f t="shared" si="2098"/>
        <v>5</v>
      </c>
      <c r="I7446" s="159">
        <f t="shared" si="2082"/>
        <v>2.2775730000000001E-2</v>
      </c>
      <c r="J7446" s="160"/>
      <c r="K7446" s="161">
        <f>K7445</f>
        <v>427</v>
      </c>
      <c r="L7446" s="250">
        <v>1</v>
      </c>
      <c r="M7446" s="163" t="str">
        <f>CONCATENATE(H7446," ",F7446,"*",I7446,"/",K7446,"чел.")</f>
        <v>5 шт.*0,02277573/427чел.</v>
      </c>
      <c r="N7446" s="164">
        <f t="shared" si="2095"/>
        <v>45611.39</v>
      </c>
      <c r="O7446" s="165">
        <f>MROUND(G7446*N7446,0.00000001)</f>
        <v>12.16431734</v>
      </c>
      <c r="P7446" s="166"/>
      <c r="Q7446" s="166">
        <f t="shared" si="2097"/>
        <v>5194.16350418</v>
      </c>
      <c r="R7446" s="71"/>
    </row>
    <row r="7447" spans="1:18" s="61" customFormat="1" ht="31.5" x14ac:dyDescent="0.25">
      <c r="A7447" s="358"/>
      <c r="B7447" s="361"/>
      <c r="C7447" s="366"/>
      <c r="D7447" s="156" t="s">
        <v>35</v>
      </c>
      <c r="E7447" s="156" t="s">
        <v>102</v>
      </c>
      <c r="F7447" s="156" t="s">
        <v>223</v>
      </c>
      <c r="G7447" s="238">
        <f>MROUND(H7447*L7447*I7447/K7447,0.00000001)</f>
        <v>1.8668600000000001E-3</v>
      </c>
      <c r="H7447" s="158">
        <f t="shared" si="2098"/>
        <v>35</v>
      </c>
      <c r="I7447" s="159">
        <f>I7445</f>
        <v>2.2775730000000001E-2</v>
      </c>
      <c r="J7447" s="160"/>
      <c r="K7447" s="161">
        <f>K7445</f>
        <v>427</v>
      </c>
      <c r="L7447" s="250">
        <v>1</v>
      </c>
      <c r="M7447" s="163" t="str">
        <f>CONCATENATE(H7447," ",F7447,"*",I7447,"/",K7447,"чел.")</f>
        <v>35 замеров*0,02277573/427чел.</v>
      </c>
      <c r="N7447" s="164">
        <f t="shared" si="2095"/>
        <v>26000</v>
      </c>
      <c r="O7447" s="165">
        <f t="shared" ref="O7447:O7452" si="2099">MROUND(G7447*N7447,0.000001)</f>
        <v>48.538359999999997</v>
      </c>
      <c r="P7447" s="166"/>
      <c r="Q7447" s="166">
        <f t="shared" si="2097"/>
        <v>20725.879719999997</v>
      </c>
      <c r="R7447" s="71"/>
    </row>
    <row r="7448" spans="1:18" s="61" customFormat="1" ht="47.25" x14ac:dyDescent="0.25">
      <c r="A7448" s="358"/>
      <c r="B7448" s="361"/>
      <c r="C7448" s="366"/>
      <c r="D7448" s="156" t="s">
        <v>399</v>
      </c>
      <c r="E7448" s="156" t="s">
        <v>60</v>
      </c>
      <c r="F7448" s="156" t="s">
        <v>60</v>
      </c>
      <c r="G7448" s="238">
        <f>MROUND(H7448*L7448*I7448/K7448,0.000000001)</f>
        <v>1.8668631000000002E-2</v>
      </c>
      <c r="H7448" s="158">
        <f t="shared" si="2098"/>
        <v>35</v>
      </c>
      <c r="I7448" s="159">
        <f t="shared" si="2082"/>
        <v>2.2775730000000001E-2</v>
      </c>
      <c r="J7448" s="160"/>
      <c r="K7448" s="161">
        <f>K7447</f>
        <v>427</v>
      </c>
      <c r="L7448" s="250">
        <v>10</v>
      </c>
      <c r="M7448" s="163" t="str">
        <f>CONCATENATE(H7448," ",F7448,"*",L7448,"мес.","*",I7448,"/",K7448,"чел.")</f>
        <v>35 шт.*10мес.*0,02277573/427чел.</v>
      </c>
      <c r="N7448" s="164">
        <f t="shared" si="2095"/>
        <v>3380.9014857142843</v>
      </c>
      <c r="O7448" s="165">
        <f t="shared" si="2099"/>
        <v>63.116802</v>
      </c>
      <c r="P7448" s="166"/>
      <c r="Q7448" s="166">
        <f t="shared" si="2097"/>
        <v>26950.874454000001</v>
      </c>
      <c r="R7448" s="71"/>
    </row>
    <row r="7449" spans="1:18" s="61" customFormat="1" ht="47.25" x14ac:dyDescent="0.25">
      <c r="A7449" s="358"/>
      <c r="B7449" s="361"/>
      <c r="C7449" s="366"/>
      <c r="D7449" s="156" t="s">
        <v>36</v>
      </c>
      <c r="E7449" s="156" t="s">
        <v>31</v>
      </c>
      <c r="F7449" s="156" t="s">
        <v>224</v>
      </c>
      <c r="G7449" s="238">
        <f>MROUND(H7449*L7449*I7449/K7449,0.00000001)</f>
        <v>2.3042420000000001E-2</v>
      </c>
      <c r="H7449" s="158">
        <f t="shared" si="2098"/>
        <v>36</v>
      </c>
      <c r="I7449" s="159">
        <f t="shared" si="2082"/>
        <v>2.2775730000000001E-2</v>
      </c>
      <c r="J7449" s="160"/>
      <c r="K7449" s="161">
        <f>K7448</f>
        <v>427</v>
      </c>
      <c r="L7449" s="250">
        <v>12</v>
      </c>
      <c r="M7449" s="163" t="str">
        <f>CONCATENATE(H7449," ",F7449,"*",L7449,"мес.","*",I7449,"/",K7449,"чел.")</f>
        <v>36 устройств*12мес.*0,02277573/427чел.</v>
      </c>
      <c r="N7449" s="164">
        <f t="shared" si="2095"/>
        <v>1269.5381481481488</v>
      </c>
      <c r="O7449" s="165">
        <f t="shared" si="2099"/>
        <v>29.253231</v>
      </c>
      <c r="P7449" s="166"/>
      <c r="Q7449" s="166">
        <f t="shared" si="2097"/>
        <v>12491.129637</v>
      </c>
      <c r="R7449" s="71"/>
    </row>
    <row r="7450" spans="1:18" s="61" customFormat="1" ht="31.5" x14ac:dyDescent="0.25">
      <c r="A7450" s="358"/>
      <c r="B7450" s="361"/>
      <c r="C7450" s="366"/>
      <c r="D7450" s="156" t="s">
        <v>99</v>
      </c>
      <c r="E7450" s="156" t="s">
        <v>103</v>
      </c>
      <c r="F7450" s="156" t="s">
        <v>225</v>
      </c>
      <c r="G7450" s="238">
        <f>MROUND(H7450*L7450*I7450/K7450,0.00000001)</f>
        <v>1.0721130000000001E-2</v>
      </c>
      <c r="H7450" s="158">
        <f t="shared" si="2098"/>
        <v>201</v>
      </c>
      <c r="I7450" s="159">
        <f t="shared" si="2082"/>
        <v>2.2775730000000001E-2</v>
      </c>
      <c r="J7450" s="160"/>
      <c r="K7450" s="161">
        <f>K7449</f>
        <v>427</v>
      </c>
      <c r="L7450" s="250">
        <v>1</v>
      </c>
      <c r="M7450" s="163" t="str">
        <f>CONCATENATE(H7450," ",F7450,"*",I7450,"/",K7450,"чел.")</f>
        <v>201 ед.*0,02277573/427чел.</v>
      </c>
      <c r="N7450" s="164">
        <f t="shared" si="2095"/>
        <v>15000</v>
      </c>
      <c r="O7450" s="165">
        <f t="shared" si="2099"/>
        <v>160.81694999999999</v>
      </c>
      <c r="P7450" s="166"/>
      <c r="Q7450" s="166">
        <f t="shared" si="2097"/>
        <v>68668.837650000001</v>
      </c>
      <c r="R7450" s="71"/>
    </row>
    <row r="7451" spans="1:18" s="61" customFormat="1" x14ac:dyDescent="0.25">
      <c r="A7451" s="358"/>
      <c r="B7451" s="361"/>
      <c r="C7451" s="366"/>
      <c r="D7451" s="156" t="s">
        <v>27</v>
      </c>
      <c r="E7451" s="156" t="s">
        <v>28</v>
      </c>
      <c r="F7451" s="156" t="s">
        <v>28</v>
      </c>
      <c r="G7451" s="238">
        <f>MROUND(H7451*L7451*I7451/K7451,0.000000001)</f>
        <v>0.22349018400000001</v>
      </c>
      <c r="H7451" s="160">
        <f t="shared" si="2098"/>
        <v>4190</v>
      </c>
      <c r="I7451" s="159">
        <f t="shared" si="2082"/>
        <v>2.2775730000000001E-2</v>
      </c>
      <c r="J7451" s="160"/>
      <c r="K7451" s="161">
        <f>K7450</f>
        <v>427</v>
      </c>
      <c r="L7451" s="250">
        <v>1</v>
      </c>
      <c r="M7451" s="163" t="str">
        <f>CONCATENATE(H7451," ",F7451,"*",I7451,"/",K7451,"чел.")</f>
        <v>4190 шт*0,02277573/427чел.</v>
      </c>
      <c r="N7451" s="164">
        <f>N6971</f>
        <v>435.13600000000008</v>
      </c>
      <c r="O7451" s="165">
        <f t="shared" si="2099"/>
        <v>97.24862499999999</v>
      </c>
      <c r="P7451" s="166"/>
      <c r="Q7451" s="166">
        <f t="shared" si="2097"/>
        <v>41525.162874999995</v>
      </c>
      <c r="R7451" s="71"/>
    </row>
    <row r="7452" spans="1:18" s="61" customFormat="1" ht="31.5" x14ac:dyDescent="0.25">
      <c r="A7452" s="358"/>
      <c r="B7452" s="361"/>
      <c r="C7452" s="367"/>
      <c r="D7452" s="156" t="s">
        <v>104</v>
      </c>
      <c r="E7452" s="156" t="s">
        <v>105</v>
      </c>
      <c r="F7452" s="156" t="s">
        <v>226</v>
      </c>
      <c r="G7452" s="238">
        <f>MROUND(H7452*L7452*I7452/K7452,0.00000001)</f>
        <v>1.9201999999999999E-3</v>
      </c>
      <c r="H7452" s="160">
        <f t="shared" si="2098"/>
        <v>36</v>
      </c>
      <c r="I7452" s="159">
        <f t="shared" si="2082"/>
        <v>2.2775730000000001E-2</v>
      </c>
      <c r="J7452" s="160"/>
      <c r="K7452" s="161">
        <f>K7451</f>
        <v>427</v>
      </c>
      <c r="L7452" s="250">
        <v>1</v>
      </c>
      <c r="M7452" s="163" t="str">
        <f>CONCATENATE(H7452," ",F7452,"*",I7452,"/",K7452,"чел.")</f>
        <v>36 отключений*0,02277573/427чел.</v>
      </c>
      <c r="N7452" s="164">
        <f>N6852</f>
        <v>10671.710000000006</v>
      </c>
      <c r="O7452" s="165">
        <f t="shared" si="2099"/>
        <v>20.491817999999999</v>
      </c>
      <c r="P7452" s="166"/>
      <c r="Q7452" s="166">
        <f t="shared" si="2097"/>
        <v>8750.0062859999998</v>
      </c>
      <c r="R7452" s="71"/>
    </row>
    <row r="7453" spans="1:18" s="62" customFormat="1" x14ac:dyDescent="0.25">
      <c r="A7453" s="358"/>
      <c r="B7453" s="361"/>
      <c r="C7453" s="249" t="s">
        <v>304</v>
      </c>
      <c r="D7453" s="240"/>
      <c r="E7453" s="240"/>
      <c r="F7453" s="240"/>
      <c r="G7453" s="227"/>
      <c r="H7453" s="228"/>
      <c r="I7453" s="206"/>
      <c r="J7453" s="228"/>
      <c r="K7453" s="207"/>
      <c r="L7453" s="257"/>
      <c r="M7453" s="209"/>
      <c r="N7453" s="210"/>
      <c r="O7453" s="198">
        <f>SUM(O7437:O7452)</f>
        <v>644.05869733999987</v>
      </c>
      <c r="P7453" s="267"/>
      <c r="Q7453" s="166"/>
      <c r="R7453" s="71"/>
    </row>
    <row r="7454" spans="1:18" s="61" customFormat="1" ht="31.5" x14ac:dyDescent="0.25">
      <c r="A7454" s="358"/>
      <c r="B7454" s="361"/>
      <c r="C7454" s="221" t="s">
        <v>79</v>
      </c>
      <c r="D7454" s="156" t="s">
        <v>37</v>
      </c>
      <c r="E7454" s="156" t="s">
        <v>61</v>
      </c>
      <c r="F7454" s="156" t="s">
        <v>227</v>
      </c>
      <c r="G7454" s="238">
        <f>MROUND(H7454*L7454*I7454/K7454,0.000000001)</f>
        <v>2.1335600000000002E-4</v>
      </c>
      <c r="H7454" s="158">
        <f>H6854</f>
        <v>4</v>
      </c>
      <c r="I7454" s="159">
        <f>I7452</f>
        <v>2.2775730000000001E-2</v>
      </c>
      <c r="J7454" s="160"/>
      <c r="K7454" s="161">
        <f>K7452</f>
        <v>427</v>
      </c>
      <c r="L7454" s="250">
        <v>1</v>
      </c>
      <c r="M7454" s="163" t="str">
        <f>CONCATENATE(H7454," ",F7454,"*",I7454,"/",K7454,"чел.")</f>
        <v>4 автобуса*0,02277573/427чел.</v>
      </c>
      <c r="N7454" s="164">
        <f>N6854</f>
        <v>37900.35</v>
      </c>
      <c r="O7454" s="165">
        <f>MROUND(G7454*N7454,0.000001)</f>
        <v>8.0862669999999994</v>
      </c>
      <c r="P7454" s="166"/>
      <c r="Q7454" s="166">
        <f t="shared" ref="Q7454" si="2100">O7454*K7454</f>
        <v>3452.8360089999996</v>
      </c>
      <c r="R7454" s="71"/>
    </row>
    <row r="7455" spans="1:18" s="62" customFormat="1" x14ac:dyDescent="0.25">
      <c r="A7455" s="358"/>
      <c r="B7455" s="361"/>
      <c r="C7455" s="218" t="s">
        <v>305</v>
      </c>
      <c r="D7455" s="240"/>
      <c r="E7455" s="240"/>
      <c r="F7455" s="240"/>
      <c r="G7455" s="227"/>
      <c r="H7455" s="241"/>
      <c r="I7455" s="206"/>
      <c r="J7455" s="228"/>
      <c r="K7455" s="207"/>
      <c r="L7455" s="257"/>
      <c r="M7455" s="209"/>
      <c r="N7455" s="210"/>
      <c r="O7455" s="198">
        <f>SUM(O7454)</f>
        <v>8.0862669999999994</v>
      </c>
      <c r="P7455" s="267"/>
      <c r="Q7455" s="166"/>
      <c r="R7455" s="71"/>
    </row>
    <row r="7456" spans="1:18" s="61" customFormat="1" x14ac:dyDescent="0.25">
      <c r="A7456" s="358"/>
      <c r="B7456" s="361"/>
      <c r="C7456" s="364" t="s">
        <v>80</v>
      </c>
      <c r="D7456" s="156" t="s">
        <v>38</v>
      </c>
      <c r="E7456" s="156" t="s">
        <v>57</v>
      </c>
      <c r="F7456" s="156" t="s">
        <v>228</v>
      </c>
      <c r="G7456" s="238">
        <f>MROUND(H7456*L7456*I7456/K7456,0.000000001)</f>
        <v>2.3042425000000002E-2</v>
      </c>
      <c r="H7456" s="158">
        <f>H6856</f>
        <v>36</v>
      </c>
      <c r="I7456" s="159">
        <f>I7454</f>
        <v>2.2775730000000001E-2</v>
      </c>
      <c r="J7456" s="160"/>
      <c r="K7456" s="161">
        <f>K7454</f>
        <v>427</v>
      </c>
      <c r="L7456" s="250">
        <v>12</v>
      </c>
      <c r="M7456" s="163" t="str">
        <f>CONCATENATE(H7456," ",F7456,"*",L7456,"мес.","*",I7456,"/",K7456,"чел.")</f>
        <v>36 зданий*12мес.*0,02277573/427чел.</v>
      </c>
      <c r="N7456" s="164">
        <f t="shared" ref="N7456:N7467" si="2101">N6856</f>
        <v>5106.1928935185206</v>
      </c>
      <c r="O7456" s="165">
        <f>MROUND(G7456*N7456,0.000001)</f>
        <v>117.65906699999999</v>
      </c>
      <c r="P7456" s="166"/>
      <c r="Q7456" s="166">
        <f t="shared" ref="Q7456:Q7469" si="2102">O7456*K7456</f>
        <v>50240.421608999997</v>
      </c>
      <c r="R7456" s="71"/>
    </row>
    <row r="7457" spans="1:18" s="61" customFormat="1" ht="47.25" x14ac:dyDescent="0.25">
      <c r="A7457" s="358"/>
      <c r="B7457" s="361"/>
      <c r="C7457" s="364"/>
      <c r="D7457" s="156" t="s">
        <v>229</v>
      </c>
      <c r="E7457" s="156" t="s">
        <v>60</v>
      </c>
      <c r="F7457" s="156" t="s">
        <v>60</v>
      </c>
      <c r="G7457" s="238">
        <f>MROUND(H7457*L7457*I7457/K7457,0.000001)</f>
        <v>0.127693</v>
      </c>
      <c r="H7457" s="158">
        <f>H6857</f>
        <v>2394</v>
      </c>
      <c r="I7457" s="159">
        <f t="shared" si="2082"/>
        <v>2.2775730000000001E-2</v>
      </c>
      <c r="J7457" s="160"/>
      <c r="K7457" s="161">
        <f>K7456</f>
        <v>427</v>
      </c>
      <c r="L7457" s="250">
        <v>1</v>
      </c>
      <c r="M7457" s="163" t="str">
        <f t="shared" ref="M7457:M7464" si="2103">CONCATENATE(H7457," ",F7457,"*",I7457,"/",K7457,"чел.")</f>
        <v>2394 шт.*0,02277573/427чел.</v>
      </c>
      <c r="N7457" s="164">
        <f t="shared" si="2101"/>
        <v>177.86185045948207</v>
      </c>
      <c r="O7457" s="165">
        <f>MROUND(G7457*N7457,0.000001)</f>
        <v>22.711713</v>
      </c>
      <c r="P7457" s="166"/>
      <c r="Q7457" s="166">
        <f t="shared" si="2102"/>
        <v>9697.9014509999997</v>
      </c>
      <c r="R7457" s="71"/>
    </row>
    <row r="7458" spans="1:18" s="61" customFormat="1" ht="47.25" x14ac:dyDescent="0.25">
      <c r="A7458" s="358"/>
      <c r="B7458" s="361"/>
      <c r="C7458" s="364"/>
      <c r="D7458" s="156" t="s">
        <v>405</v>
      </c>
      <c r="E7458" s="156" t="s">
        <v>60</v>
      </c>
      <c r="F7458" s="156" t="s">
        <v>406</v>
      </c>
      <c r="G7458" s="238">
        <f>MROUND(H7458*L7458*I7458/K7458,0.00000001)</f>
        <v>1.9201999999999999E-3</v>
      </c>
      <c r="H7458" s="158">
        <f>H7098</f>
        <v>36</v>
      </c>
      <c r="I7458" s="159">
        <f t="shared" si="2082"/>
        <v>2.2775730000000001E-2</v>
      </c>
      <c r="J7458" s="160"/>
      <c r="K7458" s="161">
        <f>K7457</f>
        <v>427</v>
      </c>
      <c r="L7458" s="250">
        <v>1</v>
      </c>
      <c r="M7458" s="163" t="str">
        <f t="shared" si="2103"/>
        <v>36 лицензий*0,02277573/427чел.</v>
      </c>
      <c r="N7458" s="164">
        <f t="shared" si="2101"/>
        <v>13043.200000000006</v>
      </c>
      <c r="O7458" s="165">
        <f t="shared" ref="O7458:O7467" si="2104">MROUND(G7458*N7458,0.000001)</f>
        <v>25.045552999999998</v>
      </c>
      <c r="P7458" s="166"/>
      <c r="Q7458" s="166">
        <f t="shared" si="2102"/>
        <v>10694.451131</v>
      </c>
      <c r="R7458" s="71"/>
    </row>
    <row r="7459" spans="1:18" s="61" customFormat="1" ht="63" x14ac:dyDescent="0.25">
      <c r="A7459" s="358"/>
      <c r="B7459" s="361"/>
      <c r="C7459" s="364"/>
      <c r="D7459" s="156" t="s">
        <v>39</v>
      </c>
      <c r="E7459" s="156" t="s">
        <v>20</v>
      </c>
      <c r="F7459" s="156" t="s">
        <v>234</v>
      </c>
      <c r="G7459" s="238">
        <f>MROUND(H7459*L7459*I7459/K7459,0.00000001)</f>
        <v>6.2940000000000001E-3</v>
      </c>
      <c r="H7459" s="158">
        <f>H6979</f>
        <v>118</v>
      </c>
      <c r="I7459" s="159">
        <f>I7457</f>
        <v>2.2775730000000001E-2</v>
      </c>
      <c r="J7459" s="160"/>
      <c r="K7459" s="161">
        <f>K7457</f>
        <v>427</v>
      </c>
      <c r="L7459" s="250">
        <v>1</v>
      </c>
      <c r="M7459" s="163" t="str">
        <f t="shared" si="2103"/>
        <v>118 чел(заявленная потребность руководителями учреждений)*0,02277573/427чел.</v>
      </c>
      <c r="N7459" s="164">
        <f t="shared" si="2101"/>
        <v>830.02203389830515</v>
      </c>
      <c r="O7459" s="165">
        <f t="shared" si="2104"/>
        <v>5.2241589999999993</v>
      </c>
      <c r="P7459" s="166"/>
      <c r="Q7459" s="166">
        <f t="shared" si="2102"/>
        <v>2230.7158929999996</v>
      </c>
      <c r="R7459" s="71"/>
    </row>
    <row r="7460" spans="1:18" s="61" customFormat="1" ht="63" x14ac:dyDescent="0.25">
      <c r="A7460" s="358"/>
      <c r="B7460" s="361"/>
      <c r="C7460" s="364"/>
      <c r="D7460" s="156" t="s">
        <v>40</v>
      </c>
      <c r="E7460" s="156" t="s">
        <v>20</v>
      </c>
      <c r="F7460" s="156" t="s">
        <v>234</v>
      </c>
      <c r="G7460" s="238">
        <f>MROUND(H7460*L7460*I7460/K7460,0.000000001)</f>
        <v>5.1205390000000003E-3</v>
      </c>
      <c r="H7460" s="158">
        <f>H6980</f>
        <v>96</v>
      </c>
      <c r="I7460" s="159">
        <f t="shared" si="2082"/>
        <v>2.2775730000000001E-2</v>
      </c>
      <c r="J7460" s="160"/>
      <c r="K7460" s="161">
        <f t="shared" ref="K7460:K7467" si="2105">K7459</f>
        <v>427</v>
      </c>
      <c r="L7460" s="250">
        <v>1</v>
      </c>
      <c r="M7460" s="163" t="str">
        <f t="shared" si="2103"/>
        <v>96 чел(заявленная потребность руководителями учреждений)*0,02277573/427чел.</v>
      </c>
      <c r="N7460" s="164">
        <f t="shared" si="2101"/>
        <v>1778.6189583333326</v>
      </c>
      <c r="O7460" s="165">
        <f t="shared" si="2104"/>
        <v>9.107488</v>
      </c>
      <c r="P7460" s="166"/>
      <c r="Q7460" s="166">
        <f t="shared" si="2102"/>
        <v>3888.8973759999999</v>
      </c>
      <c r="R7460" s="71"/>
    </row>
    <row r="7461" spans="1:18" s="61" customFormat="1" ht="63" x14ac:dyDescent="0.25">
      <c r="A7461" s="358"/>
      <c r="B7461" s="361"/>
      <c r="C7461" s="364"/>
      <c r="D7461" s="156" t="s">
        <v>100</v>
      </c>
      <c r="E7461" s="156" t="s">
        <v>20</v>
      </c>
      <c r="F7461" s="156" t="s">
        <v>234</v>
      </c>
      <c r="G7461" s="238">
        <f>MROUND(H7461*L7461*I7461/K7461,0.0000000001)</f>
        <v>4.3204545999999998E-3</v>
      </c>
      <c r="H7461" s="158">
        <f>H6981</f>
        <v>81</v>
      </c>
      <c r="I7461" s="159">
        <f t="shared" si="2082"/>
        <v>2.2775730000000001E-2</v>
      </c>
      <c r="J7461" s="160"/>
      <c r="K7461" s="161">
        <f t="shared" si="2105"/>
        <v>427</v>
      </c>
      <c r="L7461" s="250">
        <v>1</v>
      </c>
      <c r="M7461" s="163" t="str">
        <f t="shared" si="2103"/>
        <v>81 чел(заявленная потребность руководителями учреждений)*0,02277573/427чел.</v>
      </c>
      <c r="N7461" s="164">
        <f t="shared" si="2101"/>
        <v>3794.386419753087</v>
      </c>
      <c r="O7461" s="165">
        <f t="shared" si="2104"/>
        <v>16.393473999999998</v>
      </c>
      <c r="P7461" s="166"/>
      <c r="Q7461" s="166">
        <f t="shared" si="2102"/>
        <v>7000.0133979999991</v>
      </c>
      <c r="R7461" s="71"/>
    </row>
    <row r="7462" spans="1:18" s="61" customFormat="1" ht="110.25" x14ac:dyDescent="0.25">
      <c r="A7462" s="358"/>
      <c r="B7462" s="361"/>
      <c r="C7462" s="364"/>
      <c r="D7462" s="156" t="s">
        <v>235</v>
      </c>
      <c r="E7462" s="156" t="s">
        <v>50</v>
      </c>
      <c r="F7462" s="156" t="s">
        <v>230</v>
      </c>
      <c r="G7462" s="238">
        <f>MROUND(H7462*L7462*I7462/K7462,0.00000001)</f>
        <v>1.9201999999999999E-3</v>
      </c>
      <c r="H7462" s="158">
        <f>H7222</f>
        <v>36</v>
      </c>
      <c r="I7462" s="159">
        <f t="shared" si="2082"/>
        <v>2.2775730000000001E-2</v>
      </c>
      <c r="J7462" s="160"/>
      <c r="K7462" s="161">
        <f t="shared" si="2105"/>
        <v>427</v>
      </c>
      <c r="L7462" s="250">
        <v>1</v>
      </c>
      <c r="M7462" s="163" t="str">
        <f t="shared" si="2103"/>
        <v>36 отчетов*0,02277573/427чел.</v>
      </c>
      <c r="N7462" s="164">
        <f t="shared" si="2101"/>
        <v>7114.47</v>
      </c>
      <c r="O7462" s="165">
        <f t="shared" si="2104"/>
        <v>13.661204999999999</v>
      </c>
      <c r="P7462" s="166"/>
      <c r="Q7462" s="166">
        <f t="shared" si="2102"/>
        <v>5833.334535</v>
      </c>
      <c r="R7462" s="71"/>
    </row>
    <row r="7463" spans="1:18" s="61" customFormat="1" ht="63" x14ac:dyDescent="0.25">
      <c r="A7463" s="358"/>
      <c r="B7463" s="361"/>
      <c r="C7463" s="364"/>
      <c r="D7463" s="156" t="s">
        <v>42</v>
      </c>
      <c r="E7463" s="156" t="s">
        <v>51</v>
      </c>
      <c r="F7463" s="156" t="s">
        <v>407</v>
      </c>
      <c r="G7463" s="238">
        <f>MROUND(H7463*L7463*I7463/K7463,0.000001)</f>
        <v>1.0881E-2</v>
      </c>
      <c r="H7463" s="158">
        <f>H6983</f>
        <v>204</v>
      </c>
      <c r="I7463" s="159">
        <f t="shared" si="2082"/>
        <v>2.2775730000000001E-2</v>
      </c>
      <c r="J7463" s="160"/>
      <c r="K7463" s="161">
        <f t="shared" si="2105"/>
        <v>427</v>
      </c>
      <c r="L7463" s="250">
        <v>1</v>
      </c>
      <c r="M7463" s="163" t="str">
        <f t="shared" si="2103"/>
        <v>204 ед (заявленная потребность руководителями учреждений)*0,02277573/427чел.</v>
      </c>
      <c r="N7463" s="164">
        <f t="shared" si="2101"/>
        <v>1185.7454901960789</v>
      </c>
      <c r="O7463" s="165">
        <f t="shared" si="2104"/>
        <v>12.902096999999999</v>
      </c>
      <c r="P7463" s="166"/>
      <c r="Q7463" s="166">
        <f t="shared" si="2102"/>
        <v>5509.1954189999997</v>
      </c>
      <c r="R7463" s="71"/>
    </row>
    <row r="7464" spans="1:18" s="61" customFormat="1" ht="31.5" x14ac:dyDescent="0.25">
      <c r="A7464" s="358"/>
      <c r="B7464" s="361"/>
      <c r="C7464" s="364"/>
      <c r="D7464" s="156" t="s">
        <v>43</v>
      </c>
      <c r="E7464" s="156" t="s">
        <v>52</v>
      </c>
      <c r="F7464" s="156" t="s">
        <v>231</v>
      </c>
      <c r="G7464" s="238">
        <f>MROUND(H7464*L7464*I7464/K7464,0.000000001)</f>
        <v>1.9202020000000002E-3</v>
      </c>
      <c r="H7464" s="158">
        <f>H6864</f>
        <v>36</v>
      </c>
      <c r="I7464" s="159">
        <f t="shared" ref="I7464:I7467" si="2106">I7463</f>
        <v>2.2775730000000001E-2</v>
      </c>
      <c r="J7464" s="160"/>
      <c r="K7464" s="161">
        <f t="shared" si="2105"/>
        <v>427</v>
      </c>
      <c r="L7464" s="250">
        <v>1</v>
      </c>
      <c r="M7464" s="163" t="str">
        <f t="shared" si="2103"/>
        <v>36 ЭЦП*0,02277573/427чел.</v>
      </c>
      <c r="N7464" s="164">
        <f t="shared" si="2101"/>
        <v>8423.5400000000009</v>
      </c>
      <c r="O7464" s="165">
        <f t="shared" si="2104"/>
        <v>16.174897999999999</v>
      </c>
      <c r="P7464" s="166"/>
      <c r="Q7464" s="166">
        <f t="shared" si="2102"/>
        <v>6906.6814459999996</v>
      </c>
      <c r="R7464" s="71"/>
    </row>
    <row r="7465" spans="1:18" s="61" customFormat="1" ht="47.25" x14ac:dyDescent="0.25">
      <c r="A7465" s="358"/>
      <c r="B7465" s="361"/>
      <c r="C7465" s="364"/>
      <c r="D7465" s="156" t="s">
        <v>44</v>
      </c>
      <c r="E7465" s="156" t="s">
        <v>85</v>
      </c>
      <c r="F7465" s="156" t="s">
        <v>232</v>
      </c>
      <c r="G7465" s="238">
        <f>MROUND(H7465*L7465*I7465/K7465,0.000001)</f>
        <v>6.4860000000000001E-2</v>
      </c>
      <c r="H7465" s="158">
        <f>H6865</f>
        <v>1216</v>
      </c>
      <c r="I7465" s="159">
        <f t="shared" si="2106"/>
        <v>2.2775730000000001E-2</v>
      </c>
      <c r="J7465" s="160"/>
      <c r="K7465" s="161">
        <f t="shared" si="2105"/>
        <v>427</v>
      </c>
      <c r="L7465" s="250">
        <v>1</v>
      </c>
      <c r="M7465" s="163" t="str">
        <f>CONCATENATE(H7465," ",F7465,"*",L7465,"мес.","*",I7465,"/",K7465,"чел.")</f>
        <v>1216 мед.осмотров в мес.*1мес.*0,02277573/427чел.</v>
      </c>
      <c r="N7465" s="164">
        <f t="shared" si="2101"/>
        <v>61.65877467105264</v>
      </c>
      <c r="O7465" s="165">
        <f t="shared" si="2104"/>
        <v>3.9991879999999997</v>
      </c>
      <c r="P7465" s="166"/>
      <c r="Q7465" s="166">
        <f t="shared" si="2102"/>
        <v>1707.6532759999998</v>
      </c>
      <c r="R7465" s="71"/>
    </row>
    <row r="7466" spans="1:18" s="61" customFormat="1" ht="63" x14ac:dyDescent="0.25">
      <c r="A7466" s="358"/>
      <c r="B7466" s="361"/>
      <c r="C7466" s="364"/>
      <c r="D7466" s="156" t="s">
        <v>45</v>
      </c>
      <c r="E7466" s="156" t="s">
        <v>53</v>
      </c>
      <c r="F7466" s="156" t="s">
        <v>233</v>
      </c>
      <c r="G7466" s="238">
        <f>MROUND(H7466*L7466*I7466/K7466,0.000000001)</f>
        <v>2.560269E-3</v>
      </c>
      <c r="H7466" s="158">
        <f>H6986</f>
        <v>4</v>
      </c>
      <c r="I7466" s="159">
        <f t="shared" si="2106"/>
        <v>2.2775730000000001E-2</v>
      </c>
      <c r="J7466" s="160"/>
      <c r="K7466" s="161">
        <f t="shared" si="2105"/>
        <v>427</v>
      </c>
      <c r="L7466" s="250">
        <v>12</v>
      </c>
      <c r="M7466" s="163" t="str">
        <f>CONCATENATE(H7466," ",F7466,"*",L7466,"мес.","*",I7466,"/",K7466,"чел.")</f>
        <v>4  машины, оборудованных системой ГЛОНАСС*12мес.*0,02277573/427чел.</v>
      </c>
      <c r="N7466" s="164">
        <f t="shared" si="2101"/>
        <v>958.08249999999998</v>
      </c>
      <c r="O7466" s="165">
        <f t="shared" si="2104"/>
        <v>2.4529489999999998</v>
      </c>
      <c r="P7466" s="166"/>
      <c r="Q7466" s="166">
        <f t="shared" si="2102"/>
        <v>1047.4092229999999</v>
      </c>
      <c r="R7466" s="71"/>
    </row>
    <row r="7467" spans="1:18" s="61" customFormat="1" ht="31.5" x14ac:dyDescent="0.25">
      <c r="A7467" s="358"/>
      <c r="B7467" s="361"/>
      <c r="C7467" s="364"/>
      <c r="D7467" s="156" t="s">
        <v>408</v>
      </c>
      <c r="E7467" s="156" t="s">
        <v>20</v>
      </c>
      <c r="F7467" s="156" t="s">
        <v>20</v>
      </c>
      <c r="G7467" s="238">
        <f>MROUND(H7467*L7467*I7467/K7467,0.000000001)</f>
        <v>9.0516192000000009E-2</v>
      </c>
      <c r="H7467" s="158">
        <f>H6867</f>
        <v>1697</v>
      </c>
      <c r="I7467" s="159">
        <f t="shared" si="2106"/>
        <v>2.2775730000000001E-2</v>
      </c>
      <c r="J7467" s="160"/>
      <c r="K7467" s="161">
        <f t="shared" si="2105"/>
        <v>427</v>
      </c>
      <c r="L7467" s="250">
        <v>1</v>
      </c>
      <c r="M7467" s="163" t="str">
        <f>CONCATENATE(H7467," ",F7467,"*",L7467," раз в год","*",I7467,"/",K7467,"чел.")</f>
        <v>1697 чел.*1 раз в год*0,02277573/427чел.</v>
      </c>
      <c r="N7467" s="164">
        <f t="shared" si="2101"/>
        <v>592.87278137890405</v>
      </c>
      <c r="O7467" s="165">
        <f t="shared" si="2104"/>
        <v>53.664586999999997</v>
      </c>
      <c r="P7467" s="166"/>
      <c r="Q7467" s="166">
        <f t="shared" si="2102"/>
        <v>22914.778649</v>
      </c>
      <c r="R7467" s="71"/>
    </row>
    <row r="7468" spans="1:18" s="61" customFormat="1" x14ac:dyDescent="0.25">
      <c r="A7468" s="358"/>
      <c r="B7468" s="361"/>
      <c r="C7468" s="364"/>
      <c r="D7468" s="156" t="s">
        <v>373</v>
      </c>
      <c r="E7468" s="156" t="s">
        <v>28</v>
      </c>
      <c r="F7468" s="156" t="s">
        <v>28</v>
      </c>
      <c r="G7468" s="157">
        <f>MROUND(H7468*L7468*I7468/K7468,0.000000001)</f>
        <v>1.9202020000000002E-3</v>
      </c>
      <c r="H7468" s="158">
        <f>H6869</f>
        <v>36</v>
      </c>
      <c r="I7468" s="159">
        <f>I7466</f>
        <v>2.2775730000000001E-2</v>
      </c>
      <c r="J7468" s="160"/>
      <c r="K7468" s="161">
        <f>K7466</f>
        <v>427</v>
      </c>
      <c r="L7468" s="162">
        <v>1</v>
      </c>
      <c r="M7468" s="163" t="str">
        <f>CONCATENATE(H7468," ",F7468,"*",L7468,"мес.","*",I7468,"/",K7468,"чел.")</f>
        <v>36 шт*1мес.*0,02277573/427чел.</v>
      </c>
      <c r="N7468" s="164">
        <f>N6869</f>
        <v>24000</v>
      </c>
      <c r="O7468" s="165">
        <f>MROUND(G7468*N7468,0.000000001)</f>
        <v>46.084848000000001</v>
      </c>
      <c r="P7468" s="166"/>
      <c r="Q7468" s="166">
        <f t="shared" si="2102"/>
        <v>19678.230095999999</v>
      </c>
      <c r="R7468" s="71"/>
    </row>
    <row r="7469" spans="1:18" s="61" customFormat="1" ht="31.5" x14ac:dyDescent="0.25">
      <c r="A7469" s="358"/>
      <c r="B7469" s="361"/>
      <c r="C7469" s="364"/>
      <c r="D7469" s="156" t="s">
        <v>106</v>
      </c>
      <c r="E7469" s="156" t="s">
        <v>107</v>
      </c>
      <c r="F7469" s="156"/>
      <c r="G7469" s="238">
        <f>MROUND(H7469*L7469*I7469/K7469,0.000000001)</f>
        <v>0</v>
      </c>
      <c r="H7469" s="158">
        <f>H6868</f>
        <v>0</v>
      </c>
      <c r="I7469" s="159">
        <f>I7466</f>
        <v>2.2775730000000001E-2</v>
      </c>
      <c r="J7469" s="160"/>
      <c r="K7469" s="161">
        <f>K7466</f>
        <v>427</v>
      </c>
      <c r="L7469" s="250">
        <f>L6868</f>
        <v>0</v>
      </c>
      <c r="M7469" s="163"/>
      <c r="N7469" s="164">
        <f>N6868</f>
        <v>6.0000000000000002E-5</v>
      </c>
      <c r="O7469" s="165">
        <f>MROUND(G7469*N7469,0.000000001)</f>
        <v>0</v>
      </c>
      <c r="P7469" s="166"/>
      <c r="Q7469" s="166">
        <f t="shared" si="2102"/>
        <v>0</v>
      </c>
      <c r="R7469" s="71"/>
    </row>
    <row r="7470" spans="1:18" s="62" customFormat="1" x14ac:dyDescent="0.25">
      <c r="A7470" s="358"/>
      <c r="B7470" s="361"/>
      <c r="C7470" s="245" t="s">
        <v>296</v>
      </c>
      <c r="D7470" s="240"/>
      <c r="E7470" s="240"/>
      <c r="F7470" s="240"/>
      <c r="G7470" s="227"/>
      <c r="H7470" s="241"/>
      <c r="I7470" s="206"/>
      <c r="J7470" s="228"/>
      <c r="K7470" s="207"/>
      <c r="L7470" s="257"/>
      <c r="M7470" s="209"/>
      <c r="N7470" s="210"/>
      <c r="O7470" s="198">
        <f>SUM(O7456:O7469)</f>
        <v>345.08122599999996</v>
      </c>
      <c r="P7470" s="267"/>
      <c r="Q7470" s="166"/>
      <c r="R7470" s="71"/>
    </row>
    <row r="7471" spans="1:18" s="61" customFormat="1" ht="31.5" x14ac:dyDescent="0.25">
      <c r="A7471" s="358"/>
      <c r="B7471" s="361"/>
      <c r="C7471" s="252" t="s">
        <v>237</v>
      </c>
      <c r="D7471" s="156" t="s">
        <v>41</v>
      </c>
      <c r="E7471" s="156" t="s">
        <v>61</v>
      </c>
      <c r="F7471" s="156" t="s">
        <v>227</v>
      </c>
      <c r="G7471" s="238">
        <f>MROUND(H7471*L7471*I7471/K7471,0.000000001)</f>
        <v>2.1335600000000002E-4</v>
      </c>
      <c r="H7471" s="158">
        <f>H6871</f>
        <v>4</v>
      </c>
      <c r="I7471" s="159">
        <f>I7469</f>
        <v>2.2775730000000001E-2</v>
      </c>
      <c r="J7471" s="160"/>
      <c r="K7471" s="161">
        <f>K7469</f>
        <v>427</v>
      </c>
      <c r="L7471" s="250">
        <v>1</v>
      </c>
      <c r="M7471" s="163" t="str">
        <f>CONCATENATE(H7471," ",F7471,"*",I7471,"/",K7471,"чел.")</f>
        <v>4 автобуса*0,02277573/427чел.</v>
      </c>
      <c r="N7471" s="164">
        <f>N6871</f>
        <v>27983.595000000001</v>
      </c>
      <c r="O7471" s="165">
        <f>MROUND(G7471*N7471,0.000001)</f>
        <v>5.9704679999999994</v>
      </c>
      <c r="P7471" s="166"/>
      <c r="Q7471" s="166">
        <f t="shared" ref="Q7471" si="2107">O7471*K7471</f>
        <v>2549.3898359999998</v>
      </c>
      <c r="R7471" s="71"/>
    </row>
    <row r="7472" spans="1:18" s="62" customFormat="1" x14ac:dyDescent="0.25">
      <c r="A7472" s="358"/>
      <c r="B7472" s="361"/>
      <c r="C7472" s="245" t="s">
        <v>297</v>
      </c>
      <c r="D7472" s="240"/>
      <c r="E7472" s="240"/>
      <c r="F7472" s="240"/>
      <c r="G7472" s="227"/>
      <c r="H7472" s="241"/>
      <c r="I7472" s="206"/>
      <c r="J7472" s="228"/>
      <c r="K7472" s="207"/>
      <c r="L7472" s="257"/>
      <c r="M7472" s="209"/>
      <c r="N7472" s="210"/>
      <c r="O7472" s="198">
        <f>SUM(O7471)</f>
        <v>5.9704679999999994</v>
      </c>
      <c r="P7472" s="267"/>
      <c r="Q7472" s="166"/>
      <c r="R7472" s="71"/>
    </row>
    <row r="7473" spans="1:18" s="61" customFormat="1" ht="78.75" x14ac:dyDescent="0.25">
      <c r="A7473" s="358"/>
      <c r="B7473" s="361"/>
      <c r="C7473" s="221" t="s">
        <v>236</v>
      </c>
      <c r="D7473" s="156" t="s">
        <v>19</v>
      </c>
      <c r="E7473" s="181" t="s">
        <v>20</v>
      </c>
      <c r="F7473" s="181" t="s">
        <v>238</v>
      </c>
      <c r="G7473" s="238">
        <f>MROUND(H7473*L7473*I7473/K7473,0.000001)</f>
        <v>0</v>
      </c>
      <c r="H7473" s="158"/>
      <c r="I7473" s="159">
        <f>I7469</f>
        <v>2.2775730000000001E-2</v>
      </c>
      <c r="J7473" s="160"/>
      <c r="K7473" s="161">
        <f>K7469</f>
        <v>427</v>
      </c>
      <c r="L7473" s="250"/>
      <c r="M7473" s="163"/>
      <c r="N7473" s="164"/>
      <c r="O7473" s="165">
        <f>MROUND(G7473*N7473,0.000001)</f>
        <v>0</v>
      </c>
      <c r="P7473" s="166"/>
      <c r="Q7473" s="166">
        <f t="shared" ref="Q7473" si="2108">O7473*K7473</f>
        <v>0</v>
      </c>
      <c r="R7473" s="71"/>
    </row>
    <row r="7474" spans="1:18" s="62" customFormat="1" x14ac:dyDescent="0.25">
      <c r="A7474" s="358"/>
      <c r="B7474" s="361"/>
      <c r="C7474" s="245" t="s">
        <v>298</v>
      </c>
      <c r="D7474" s="240"/>
      <c r="E7474" s="253"/>
      <c r="F7474" s="253"/>
      <c r="G7474" s="227"/>
      <c r="H7474" s="241"/>
      <c r="I7474" s="206"/>
      <c r="J7474" s="228"/>
      <c r="K7474" s="207"/>
      <c r="L7474" s="257"/>
      <c r="M7474" s="209"/>
      <c r="N7474" s="210"/>
      <c r="O7474" s="198">
        <f>SUM(O7473)</f>
        <v>0</v>
      </c>
      <c r="P7474" s="267"/>
      <c r="Q7474" s="166"/>
      <c r="R7474" s="71"/>
    </row>
    <row r="7475" spans="1:18" s="61" customFormat="1" ht="30" x14ac:dyDescent="0.25">
      <c r="A7475" s="358"/>
      <c r="B7475" s="361"/>
      <c r="C7475" s="365" t="s">
        <v>81</v>
      </c>
      <c r="D7475" s="254" t="s">
        <v>410</v>
      </c>
      <c r="E7475" s="156" t="s">
        <v>28</v>
      </c>
      <c r="F7475" s="156" t="s">
        <v>28</v>
      </c>
      <c r="G7475" s="238">
        <f>MROUND(H7475*L7475*I7475/K7475,0.0000000001)</f>
        <v>0</v>
      </c>
      <c r="H7475" s="158"/>
      <c r="I7475" s="159">
        <f>I7469</f>
        <v>2.2775730000000001E-2</v>
      </c>
      <c r="J7475" s="160"/>
      <c r="K7475" s="161">
        <f>K7469</f>
        <v>427</v>
      </c>
      <c r="L7475" s="250">
        <v>1</v>
      </c>
      <c r="M7475" s="163"/>
      <c r="N7475" s="164"/>
      <c r="O7475" s="165">
        <f>MROUND(G7475*N7475,0.000001)</f>
        <v>0</v>
      </c>
      <c r="P7475" s="166"/>
      <c r="Q7475" s="166">
        <f t="shared" ref="Q7475:Q7498" si="2109">O7475*K7475</f>
        <v>0</v>
      </c>
      <c r="R7475" s="71"/>
    </row>
    <row r="7476" spans="1:18" s="61" customFormat="1" x14ac:dyDescent="0.25">
      <c r="A7476" s="358"/>
      <c r="B7476" s="361"/>
      <c r="C7476" s="366"/>
      <c r="D7476" s="254" t="s">
        <v>325</v>
      </c>
      <c r="E7476" s="156" t="s">
        <v>28</v>
      </c>
      <c r="F7476" s="156" t="s">
        <v>28</v>
      </c>
      <c r="G7476" s="157">
        <f>MROUND(H7476*L7476*I7476/K7476,0.0000000001)</f>
        <v>0</v>
      </c>
      <c r="H7476" s="158"/>
      <c r="I7476" s="159">
        <f>I7475</f>
        <v>2.2775730000000001E-2</v>
      </c>
      <c r="J7476" s="160"/>
      <c r="K7476" s="161">
        <f>K7475</f>
        <v>427</v>
      </c>
      <c r="L7476" s="250">
        <v>1</v>
      </c>
      <c r="M7476" s="163"/>
      <c r="N7476" s="164"/>
      <c r="O7476" s="165">
        <f>MROUND(G7476*N7476,0.000001)</f>
        <v>0</v>
      </c>
      <c r="P7476" s="166"/>
      <c r="Q7476" s="166">
        <f t="shared" si="2109"/>
        <v>0</v>
      </c>
      <c r="R7476" s="71"/>
    </row>
    <row r="7477" spans="1:18" s="61" customFormat="1" ht="30" x14ac:dyDescent="0.25">
      <c r="A7477" s="358"/>
      <c r="B7477" s="361"/>
      <c r="C7477" s="366"/>
      <c r="D7477" s="254" t="s">
        <v>411</v>
      </c>
      <c r="E7477" s="156" t="s">
        <v>28</v>
      </c>
      <c r="F7477" s="156" t="s">
        <v>28</v>
      </c>
      <c r="G7477" s="238">
        <f>MROUND(H7477*L7477*I7477/K7477,0.00000001)</f>
        <v>0</v>
      </c>
      <c r="H7477" s="158"/>
      <c r="I7477" s="159">
        <f>I7475</f>
        <v>2.2775730000000001E-2</v>
      </c>
      <c r="J7477" s="160"/>
      <c r="K7477" s="161">
        <f>K7475</f>
        <v>427</v>
      </c>
      <c r="L7477" s="250">
        <v>1</v>
      </c>
      <c r="M7477" s="163"/>
      <c r="N7477" s="164"/>
      <c r="O7477" s="165">
        <f t="shared" ref="O7477:O7498" si="2110">MROUND(G7477*N7477,0.000001)</f>
        <v>0</v>
      </c>
      <c r="P7477" s="166"/>
      <c r="Q7477" s="166">
        <f t="shared" si="2109"/>
        <v>0</v>
      </c>
      <c r="R7477" s="71"/>
    </row>
    <row r="7478" spans="1:18" s="61" customFormat="1" x14ac:dyDescent="0.25">
      <c r="A7478" s="358"/>
      <c r="B7478" s="361"/>
      <c r="C7478" s="366"/>
      <c r="D7478" s="255" t="s">
        <v>412</v>
      </c>
      <c r="E7478" s="156" t="s">
        <v>28</v>
      </c>
      <c r="F7478" s="156" t="s">
        <v>28</v>
      </c>
      <c r="G7478" s="238">
        <f>MROUND(H7478*L7478*I7478/K7478,0.00000001)</f>
        <v>0</v>
      </c>
      <c r="H7478" s="158"/>
      <c r="I7478" s="159">
        <f>I7477</f>
        <v>2.2775730000000001E-2</v>
      </c>
      <c r="J7478" s="160"/>
      <c r="K7478" s="161">
        <f>K7477</f>
        <v>427</v>
      </c>
      <c r="L7478" s="250">
        <v>1</v>
      </c>
      <c r="M7478" s="163"/>
      <c r="N7478" s="164"/>
      <c r="O7478" s="165">
        <f t="shared" si="2110"/>
        <v>0</v>
      </c>
      <c r="P7478" s="166"/>
      <c r="Q7478" s="166">
        <f t="shared" si="2109"/>
        <v>0</v>
      </c>
      <c r="R7478" s="71"/>
    </row>
    <row r="7479" spans="1:18" s="61" customFormat="1" ht="31.5" x14ac:dyDescent="0.25">
      <c r="A7479" s="358"/>
      <c r="B7479" s="361"/>
      <c r="C7479" s="366"/>
      <c r="D7479" s="255" t="s">
        <v>413</v>
      </c>
      <c r="E7479" s="156" t="s">
        <v>28</v>
      </c>
      <c r="F7479" s="156" t="s">
        <v>28</v>
      </c>
      <c r="G7479" s="238">
        <f>MROUND(H7479*L7479*I7479/K7479,0.0000000001)</f>
        <v>0</v>
      </c>
      <c r="H7479" s="158"/>
      <c r="I7479" s="159">
        <f>I7478</f>
        <v>2.2775730000000001E-2</v>
      </c>
      <c r="J7479" s="160"/>
      <c r="K7479" s="161">
        <f>K7478</f>
        <v>427</v>
      </c>
      <c r="L7479" s="250">
        <v>1</v>
      </c>
      <c r="M7479" s="163"/>
      <c r="N7479" s="164"/>
      <c r="O7479" s="165">
        <f t="shared" si="2110"/>
        <v>0</v>
      </c>
      <c r="P7479" s="166"/>
      <c r="Q7479" s="166">
        <f t="shared" si="2109"/>
        <v>0</v>
      </c>
      <c r="R7479" s="71"/>
    </row>
    <row r="7480" spans="1:18" s="61" customFormat="1" x14ac:dyDescent="0.25">
      <c r="A7480" s="358"/>
      <c r="B7480" s="361"/>
      <c r="C7480" s="366"/>
      <c r="D7480" s="254" t="s">
        <v>109</v>
      </c>
      <c r="E7480" s="156" t="s">
        <v>28</v>
      </c>
      <c r="F7480" s="156" t="s">
        <v>28</v>
      </c>
      <c r="G7480" s="238">
        <f>MROUND(H7480*L7480*I7480/K7480,0.0000000001)</f>
        <v>0</v>
      </c>
      <c r="H7480" s="158"/>
      <c r="I7480" s="159">
        <f>I7479</f>
        <v>2.2775730000000001E-2</v>
      </c>
      <c r="J7480" s="160"/>
      <c r="K7480" s="161">
        <f>K7479</f>
        <v>427</v>
      </c>
      <c r="L7480" s="250">
        <v>1</v>
      </c>
      <c r="M7480" s="163"/>
      <c r="N7480" s="164"/>
      <c r="O7480" s="165">
        <f t="shared" si="2110"/>
        <v>0</v>
      </c>
      <c r="P7480" s="166"/>
      <c r="Q7480" s="166">
        <f t="shared" si="2109"/>
        <v>0</v>
      </c>
      <c r="R7480" s="71"/>
    </row>
    <row r="7481" spans="1:18" s="61" customFormat="1" x14ac:dyDescent="0.25">
      <c r="A7481" s="358"/>
      <c r="B7481" s="361"/>
      <c r="C7481" s="366"/>
      <c r="D7481" s="254" t="s">
        <v>414</v>
      </c>
      <c r="E7481" s="156" t="s">
        <v>28</v>
      </c>
      <c r="F7481" s="156" t="s">
        <v>28</v>
      </c>
      <c r="G7481" s="238">
        <f>MROUND(H7481*L7481*I7481/K7481,0.0000000001)</f>
        <v>0</v>
      </c>
      <c r="H7481" s="158"/>
      <c r="I7481" s="159">
        <f>I7479</f>
        <v>2.2775730000000001E-2</v>
      </c>
      <c r="J7481" s="160"/>
      <c r="K7481" s="161">
        <f>K7479</f>
        <v>427</v>
      </c>
      <c r="L7481" s="250">
        <v>1</v>
      </c>
      <c r="M7481" s="163"/>
      <c r="N7481" s="164"/>
      <c r="O7481" s="165">
        <f t="shared" si="2110"/>
        <v>0</v>
      </c>
      <c r="P7481" s="166"/>
      <c r="Q7481" s="166">
        <f t="shared" si="2109"/>
        <v>0</v>
      </c>
      <c r="R7481" s="71"/>
    </row>
    <row r="7482" spans="1:18" s="61" customFormat="1" x14ac:dyDescent="0.25">
      <c r="A7482" s="358"/>
      <c r="B7482" s="361"/>
      <c r="C7482" s="366"/>
      <c r="D7482" s="254" t="s">
        <v>415</v>
      </c>
      <c r="E7482" s="156" t="s">
        <v>28</v>
      </c>
      <c r="F7482" s="156" t="s">
        <v>28</v>
      </c>
      <c r="G7482" s="238">
        <f>MROUND(H7482*L7482*I7482/K7482,0.00000001)</f>
        <v>0</v>
      </c>
      <c r="H7482" s="158"/>
      <c r="I7482" s="159">
        <f t="shared" ref="I7482:I7491" si="2111">I7480</f>
        <v>2.2775730000000001E-2</v>
      </c>
      <c r="J7482" s="160"/>
      <c r="K7482" s="161">
        <f t="shared" ref="K7482:K7491" si="2112">K7480</f>
        <v>427</v>
      </c>
      <c r="L7482" s="250">
        <v>1</v>
      </c>
      <c r="M7482" s="163"/>
      <c r="N7482" s="164"/>
      <c r="O7482" s="165">
        <f t="shared" si="2110"/>
        <v>0</v>
      </c>
      <c r="P7482" s="166"/>
      <c r="Q7482" s="166">
        <f t="shared" si="2109"/>
        <v>0</v>
      </c>
      <c r="R7482" s="71"/>
    </row>
    <row r="7483" spans="1:18" s="61" customFormat="1" x14ac:dyDescent="0.25">
      <c r="A7483" s="358"/>
      <c r="B7483" s="361"/>
      <c r="C7483" s="366"/>
      <c r="D7483" s="254" t="s">
        <v>416</v>
      </c>
      <c r="E7483" s="156" t="s">
        <v>28</v>
      </c>
      <c r="F7483" s="156" t="s">
        <v>28</v>
      </c>
      <c r="G7483" s="238">
        <f>MROUND(H7483*L7483*I7483/K7483,0.000000001)</f>
        <v>0</v>
      </c>
      <c r="H7483" s="246"/>
      <c r="I7483" s="159">
        <f t="shared" si="2111"/>
        <v>2.2775730000000001E-2</v>
      </c>
      <c r="J7483" s="160"/>
      <c r="K7483" s="161">
        <f t="shared" si="2112"/>
        <v>427</v>
      </c>
      <c r="L7483" s="250">
        <v>1</v>
      </c>
      <c r="M7483" s="163"/>
      <c r="N7483" s="164"/>
      <c r="O7483" s="165">
        <f t="shared" si="2110"/>
        <v>0</v>
      </c>
      <c r="P7483" s="166"/>
      <c r="Q7483" s="166">
        <f t="shared" si="2109"/>
        <v>0</v>
      </c>
      <c r="R7483" s="71"/>
    </row>
    <row r="7484" spans="1:18" s="61" customFormat="1" x14ac:dyDescent="0.25">
      <c r="A7484" s="358"/>
      <c r="B7484" s="361"/>
      <c r="C7484" s="366"/>
      <c r="D7484" s="254" t="s">
        <v>417</v>
      </c>
      <c r="E7484" s="156" t="s">
        <v>28</v>
      </c>
      <c r="F7484" s="156" t="s">
        <v>28</v>
      </c>
      <c r="G7484" s="238">
        <f>MROUND(H7484*L7484*I7484/K7484,0.00000001)</f>
        <v>0</v>
      </c>
      <c r="H7484" s="158"/>
      <c r="I7484" s="159">
        <f t="shared" si="2111"/>
        <v>2.2775730000000001E-2</v>
      </c>
      <c r="J7484" s="160"/>
      <c r="K7484" s="161">
        <f t="shared" si="2112"/>
        <v>427</v>
      </c>
      <c r="L7484" s="250">
        <v>1</v>
      </c>
      <c r="M7484" s="163"/>
      <c r="N7484" s="164"/>
      <c r="O7484" s="165">
        <f t="shared" si="2110"/>
        <v>0</v>
      </c>
      <c r="P7484" s="166"/>
      <c r="Q7484" s="166">
        <f t="shared" si="2109"/>
        <v>0</v>
      </c>
      <c r="R7484" s="71"/>
    </row>
    <row r="7485" spans="1:18" s="61" customFormat="1" ht="30" x14ac:dyDescent="0.25">
      <c r="A7485" s="358"/>
      <c r="B7485" s="361"/>
      <c r="C7485" s="366"/>
      <c r="D7485" s="254" t="s">
        <v>418</v>
      </c>
      <c r="E7485" s="156" t="s">
        <v>28</v>
      </c>
      <c r="F7485" s="156" t="s">
        <v>28</v>
      </c>
      <c r="G7485" s="238">
        <f>MROUND(H7485*L7485*I7485/K7485,0.00000001)</f>
        <v>0</v>
      </c>
      <c r="H7485" s="158"/>
      <c r="I7485" s="159">
        <f t="shared" si="2111"/>
        <v>2.2775730000000001E-2</v>
      </c>
      <c r="J7485" s="160"/>
      <c r="K7485" s="161">
        <f t="shared" si="2112"/>
        <v>427</v>
      </c>
      <c r="L7485" s="250">
        <v>1</v>
      </c>
      <c r="M7485" s="163"/>
      <c r="N7485" s="164"/>
      <c r="O7485" s="165">
        <f t="shared" si="2110"/>
        <v>0</v>
      </c>
      <c r="P7485" s="166"/>
      <c r="Q7485" s="166">
        <f t="shared" si="2109"/>
        <v>0</v>
      </c>
      <c r="R7485" s="71"/>
    </row>
    <row r="7486" spans="1:18" s="61" customFormat="1" x14ac:dyDescent="0.25">
      <c r="A7486" s="358"/>
      <c r="B7486" s="361"/>
      <c r="C7486" s="366"/>
      <c r="D7486" s="254" t="s">
        <v>324</v>
      </c>
      <c r="E7486" s="156" t="s">
        <v>28</v>
      </c>
      <c r="F7486" s="156" t="s">
        <v>28</v>
      </c>
      <c r="G7486" s="238">
        <f>MROUND(H7486*L7486*I7486/K7486,0.000000001)</f>
        <v>0</v>
      </c>
      <c r="H7486" s="158"/>
      <c r="I7486" s="159">
        <f t="shared" si="2111"/>
        <v>2.2775730000000001E-2</v>
      </c>
      <c r="J7486" s="160"/>
      <c r="K7486" s="161">
        <f t="shared" si="2112"/>
        <v>427</v>
      </c>
      <c r="L7486" s="250">
        <v>1</v>
      </c>
      <c r="M7486" s="163"/>
      <c r="N7486" s="164"/>
      <c r="O7486" s="165">
        <f t="shared" si="2110"/>
        <v>0</v>
      </c>
      <c r="P7486" s="166"/>
      <c r="Q7486" s="166">
        <f t="shared" si="2109"/>
        <v>0</v>
      </c>
      <c r="R7486" s="71"/>
    </row>
    <row r="7487" spans="1:18" s="61" customFormat="1" x14ac:dyDescent="0.25">
      <c r="A7487" s="358"/>
      <c r="B7487" s="361"/>
      <c r="C7487" s="366"/>
      <c r="D7487" s="254" t="s">
        <v>419</v>
      </c>
      <c r="E7487" s="156" t="s">
        <v>28</v>
      </c>
      <c r="F7487" s="156" t="s">
        <v>28</v>
      </c>
      <c r="G7487" s="238">
        <f>MROUND(H7487*L7487*I7487/K7487,0.000000001)</f>
        <v>0</v>
      </c>
      <c r="H7487" s="246"/>
      <c r="I7487" s="159">
        <f t="shared" si="2111"/>
        <v>2.2775730000000001E-2</v>
      </c>
      <c r="J7487" s="160"/>
      <c r="K7487" s="161">
        <f t="shared" si="2112"/>
        <v>427</v>
      </c>
      <c r="L7487" s="250">
        <v>1</v>
      </c>
      <c r="M7487" s="163"/>
      <c r="N7487" s="164"/>
      <c r="O7487" s="165">
        <f t="shared" si="2110"/>
        <v>0</v>
      </c>
      <c r="P7487" s="166"/>
      <c r="Q7487" s="166">
        <f t="shared" si="2109"/>
        <v>0</v>
      </c>
      <c r="R7487" s="71"/>
    </row>
    <row r="7488" spans="1:18" s="61" customFormat="1" x14ac:dyDescent="0.25">
      <c r="A7488" s="358"/>
      <c r="B7488" s="361"/>
      <c r="C7488" s="366"/>
      <c r="D7488" s="254" t="s">
        <v>420</v>
      </c>
      <c r="E7488" s="156" t="s">
        <v>28</v>
      </c>
      <c r="F7488" s="156" t="s">
        <v>28</v>
      </c>
      <c r="G7488" s="238">
        <f>MROUND(H7488*L7488*I7488/K7488,0.000000001)</f>
        <v>0</v>
      </c>
      <c r="H7488" s="158"/>
      <c r="I7488" s="159">
        <f t="shared" si="2111"/>
        <v>2.2775730000000001E-2</v>
      </c>
      <c r="J7488" s="160"/>
      <c r="K7488" s="161">
        <f t="shared" si="2112"/>
        <v>427</v>
      </c>
      <c r="L7488" s="250">
        <v>1</v>
      </c>
      <c r="M7488" s="163"/>
      <c r="N7488" s="164"/>
      <c r="O7488" s="165">
        <f t="shared" si="2110"/>
        <v>0</v>
      </c>
      <c r="P7488" s="166"/>
      <c r="Q7488" s="166">
        <f t="shared" si="2109"/>
        <v>0</v>
      </c>
      <c r="R7488" s="71"/>
    </row>
    <row r="7489" spans="1:18" s="61" customFormat="1" x14ac:dyDescent="0.25">
      <c r="A7489" s="358"/>
      <c r="B7489" s="361"/>
      <c r="C7489" s="366"/>
      <c r="D7489" s="254" t="s">
        <v>421</v>
      </c>
      <c r="E7489" s="156" t="s">
        <v>28</v>
      </c>
      <c r="F7489" s="156" t="s">
        <v>28</v>
      </c>
      <c r="G7489" s="238">
        <f>MROUND(H7489*L7489*I7489/K7489,0.00000001)</f>
        <v>0</v>
      </c>
      <c r="H7489" s="158"/>
      <c r="I7489" s="159">
        <f t="shared" si="2111"/>
        <v>2.2775730000000001E-2</v>
      </c>
      <c r="J7489" s="160"/>
      <c r="K7489" s="161">
        <f t="shared" si="2112"/>
        <v>427</v>
      </c>
      <c r="L7489" s="250">
        <v>1</v>
      </c>
      <c r="M7489" s="163"/>
      <c r="N7489" s="164"/>
      <c r="O7489" s="165">
        <f t="shared" si="2110"/>
        <v>0</v>
      </c>
      <c r="P7489" s="166"/>
      <c r="Q7489" s="166">
        <f t="shared" si="2109"/>
        <v>0</v>
      </c>
      <c r="R7489" s="71"/>
    </row>
    <row r="7490" spans="1:18" s="61" customFormat="1" ht="30" x14ac:dyDescent="0.25">
      <c r="A7490" s="358"/>
      <c r="B7490" s="361"/>
      <c r="C7490" s="366"/>
      <c r="D7490" s="254" t="s">
        <v>422</v>
      </c>
      <c r="E7490" s="156" t="s">
        <v>28</v>
      </c>
      <c r="F7490" s="156" t="s">
        <v>28</v>
      </c>
      <c r="G7490" s="266">
        <f>MROUND(H7490*L7490*I7490/K7490,0.00000001)</f>
        <v>0</v>
      </c>
      <c r="H7490" s="158"/>
      <c r="I7490" s="159">
        <f t="shared" si="2111"/>
        <v>2.2775730000000001E-2</v>
      </c>
      <c r="J7490" s="160"/>
      <c r="K7490" s="161">
        <f t="shared" si="2112"/>
        <v>427</v>
      </c>
      <c r="L7490" s="250">
        <v>1</v>
      </c>
      <c r="M7490" s="163"/>
      <c r="N7490" s="164"/>
      <c r="O7490" s="165">
        <f t="shared" si="2110"/>
        <v>0</v>
      </c>
      <c r="P7490" s="166"/>
      <c r="Q7490" s="166">
        <f t="shared" si="2109"/>
        <v>0</v>
      </c>
      <c r="R7490" s="71"/>
    </row>
    <row r="7491" spans="1:18" s="61" customFormat="1" x14ac:dyDescent="0.25">
      <c r="A7491" s="358"/>
      <c r="B7491" s="361"/>
      <c r="C7491" s="366"/>
      <c r="D7491" s="254" t="s">
        <v>423</v>
      </c>
      <c r="E7491" s="156" t="s">
        <v>28</v>
      </c>
      <c r="F7491" s="156" t="s">
        <v>28</v>
      </c>
      <c r="G7491" s="238">
        <f>MROUND(H7491*L7491*I7491/K7491,0.000000001)</f>
        <v>0</v>
      </c>
      <c r="H7491" s="158"/>
      <c r="I7491" s="159">
        <f t="shared" si="2111"/>
        <v>2.2775730000000001E-2</v>
      </c>
      <c r="J7491" s="160"/>
      <c r="K7491" s="161">
        <f t="shared" si="2112"/>
        <v>427</v>
      </c>
      <c r="L7491" s="250">
        <v>1</v>
      </c>
      <c r="M7491" s="163"/>
      <c r="N7491" s="164"/>
      <c r="O7491" s="165">
        <f t="shared" si="2110"/>
        <v>0</v>
      </c>
      <c r="P7491" s="166"/>
      <c r="Q7491" s="166">
        <f t="shared" si="2109"/>
        <v>0</v>
      </c>
      <c r="R7491" s="71"/>
    </row>
    <row r="7492" spans="1:18" s="61" customFormat="1" x14ac:dyDescent="0.25">
      <c r="A7492" s="358"/>
      <c r="B7492" s="361"/>
      <c r="C7492" s="366"/>
      <c r="D7492" s="254" t="s">
        <v>424</v>
      </c>
      <c r="E7492" s="156" t="s">
        <v>28</v>
      </c>
      <c r="F7492" s="156" t="s">
        <v>28</v>
      </c>
      <c r="G7492" s="238">
        <f t="shared" ref="G7492:G7498" si="2113">MROUND(H7492*L7492*I7492/K7492,0.00000001)</f>
        <v>0</v>
      </c>
      <c r="H7492" s="158"/>
      <c r="I7492" s="159">
        <f>I7481</f>
        <v>2.2775730000000001E-2</v>
      </c>
      <c r="J7492" s="160"/>
      <c r="K7492" s="161">
        <f>K7481</f>
        <v>427</v>
      </c>
      <c r="L7492" s="250">
        <v>1</v>
      </c>
      <c r="M7492" s="163"/>
      <c r="N7492" s="164"/>
      <c r="O7492" s="165">
        <f t="shared" si="2110"/>
        <v>0</v>
      </c>
      <c r="P7492" s="166"/>
      <c r="Q7492" s="166">
        <f t="shared" si="2109"/>
        <v>0</v>
      </c>
      <c r="R7492" s="71"/>
    </row>
    <row r="7493" spans="1:18" s="61" customFormat="1" x14ac:dyDescent="0.25">
      <c r="A7493" s="358"/>
      <c r="B7493" s="361"/>
      <c r="C7493" s="366"/>
      <c r="D7493" s="254" t="s">
        <v>425</v>
      </c>
      <c r="E7493" s="156" t="s">
        <v>28</v>
      </c>
      <c r="F7493" s="156" t="s">
        <v>28</v>
      </c>
      <c r="G7493" s="277">
        <f t="shared" si="2113"/>
        <v>0</v>
      </c>
      <c r="H7493" s="158"/>
      <c r="I7493" s="159">
        <f t="shared" ref="I7493:I7498" si="2114">I7492</f>
        <v>2.2775730000000001E-2</v>
      </c>
      <c r="J7493" s="160"/>
      <c r="K7493" s="161">
        <f t="shared" ref="K7493:K7498" si="2115">K7492</f>
        <v>427</v>
      </c>
      <c r="L7493" s="250">
        <v>1</v>
      </c>
      <c r="M7493" s="163"/>
      <c r="N7493" s="164"/>
      <c r="O7493" s="165">
        <f t="shared" si="2110"/>
        <v>0</v>
      </c>
      <c r="P7493" s="166"/>
      <c r="Q7493" s="166">
        <f t="shared" si="2109"/>
        <v>0</v>
      </c>
      <c r="R7493" s="71"/>
    </row>
    <row r="7494" spans="1:18" s="61" customFormat="1" x14ac:dyDescent="0.25">
      <c r="A7494" s="358"/>
      <c r="B7494" s="361"/>
      <c r="C7494" s="366"/>
      <c r="D7494" s="254" t="s">
        <v>108</v>
      </c>
      <c r="E7494" s="156" t="s">
        <v>28</v>
      </c>
      <c r="F7494" s="156" t="s">
        <v>28</v>
      </c>
      <c r="G7494" s="238">
        <f t="shared" si="2113"/>
        <v>0</v>
      </c>
      <c r="H7494" s="158"/>
      <c r="I7494" s="159">
        <f t="shared" si="2114"/>
        <v>2.2775730000000001E-2</v>
      </c>
      <c r="J7494" s="160"/>
      <c r="K7494" s="161">
        <f t="shared" si="2115"/>
        <v>427</v>
      </c>
      <c r="L7494" s="250">
        <v>1</v>
      </c>
      <c r="M7494" s="163"/>
      <c r="N7494" s="164"/>
      <c r="O7494" s="165">
        <f t="shared" si="2110"/>
        <v>0</v>
      </c>
      <c r="P7494" s="166"/>
      <c r="Q7494" s="166">
        <f t="shared" si="2109"/>
        <v>0</v>
      </c>
      <c r="R7494" s="71"/>
    </row>
    <row r="7495" spans="1:18" s="61" customFormat="1" x14ac:dyDescent="0.25">
      <c r="A7495" s="358"/>
      <c r="B7495" s="361"/>
      <c r="C7495" s="366"/>
      <c r="D7495" s="254" t="s">
        <v>426</v>
      </c>
      <c r="E7495" s="156" t="s">
        <v>28</v>
      </c>
      <c r="F7495" s="156" t="s">
        <v>28</v>
      </c>
      <c r="G7495" s="238">
        <f t="shared" si="2113"/>
        <v>0</v>
      </c>
      <c r="H7495" s="158"/>
      <c r="I7495" s="159">
        <f t="shared" si="2114"/>
        <v>2.2775730000000001E-2</v>
      </c>
      <c r="J7495" s="160"/>
      <c r="K7495" s="161">
        <f t="shared" si="2115"/>
        <v>427</v>
      </c>
      <c r="L7495" s="250">
        <v>1</v>
      </c>
      <c r="M7495" s="163"/>
      <c r="N7495" s="164"/>
      <c r="O7495" s="165">
        <f t="shared" si="2110"/>
        <v>0</v>
      </c>
      <c r="P7495" s="166"/>
      <c r="Q7495" s="166">
        <f t="shared" si="2109"/>
        <v>0</v>
      </c>
      <c r="R7495" s="71"/>
    </row>
    <row r="7496" spans="1:18" s="61" customFormat="1" x14ac:dyDescent="0.25">
      <c r="A7496" s="358"/>
      <c r="B7496" s="361"/>
      <c r="C7496" s="366"/>
      <c r="D7496" s="254" t="s">
        <v>427</v>
      </c>
      <c r="E7496" s="156" t="s">
        <v>28</v>
      </c>
      <c r="F7496" s="156" t="s">
        <v>28</v>
      </c>
      <c r="G7496" s="238">
        <f t="shared" si="2113"/>
        <v>0</v>
      </c>
      <c r="H7496" s="158"/>
      <c r="I7496" s="159">
        <f t="shared" si="2114"/>
        <v>2.2775730000000001E-2</v>
      </c>
      <c r="J7496" s="160"/>
      <c r="K7496" s="161">
        <f t="shared" si="2115"/>
        <v>427</v>
      </c>
      <c r="L7496" s="250">
        <v>1</v>
      </c>
      <c r="M7496" s="163"/>
      <c r="N7496" s="164"/>
      <c r="O7496" s="165">
        <f t="shared" si="2110"/>
        <v>0</v>
      </c>
      <c r="P7496" s="166"/>
      <c r="Q7496" s="166">
        <f t="shared" si="2109"/>
        <v>0</v>
      </c>
      <c r="R7496" s="71"/>
    </row>
    <row r="7497" spans="1:18" s="61" customFormat="1" x14ac:dyDescent="0.25">
      <c r="A7497" s="358"/>
      <c r="B7497" s="361"/>
      <c r="C7497" s="366"/>
      <c r="D7497" s="254" t="s">
        <v>428</v>
      </c>
      <c r="E7497" s="156" t="s">
        <v>28</v>
      </c>
      <c r="F7497" s="156" t="s">
        <v>28</v>
      </c>
      <c r="G7497" s="238">
        <f t="shared" si="2113"/>
        <v>0</v>
      </c>
      <c r="H7497" s="158"/>
      <c r="I7497" s="159">
        <f t="shared" si="2114"/>
        <v>2.2775730000000001E-2</v>
      </c>
      <c r="J7497" s="160"/>
      <c r="K7497" s="161">
        <f t="shared" si="2115"/>
        <v>427</v>
      </c>
      <c r="L7497" s="250">
        <v>1</v>
      </c>
      <c r="M7497" s="163"/>
      <c r="N7497" s="164"/>
      <c r="O7497" s="165">
        <f t="shared" si="2110"/>
        <v>0</v>
      </c>
      <c r="P7497" s="166"/>
      <c r="Q7497" s="166">
        <f t="shared" si="2109"/>
        <v>0</v>
      </c>
      <c r="R7497" s="71"/>
    </row>
    <row r="7498" spans="1:18" s="61" customFormat="1" x14ac:dyDescent="0.25">
      <c r="A7498" s="358"/>
      <c r="B7498" s="361"/>
      <c r="C7498" s="366"/>
      <c r="D7498" s="255" t="s">
        <v>429</v>
      </c>
      <c r="E7498" s="156" t="s">
        <v>28</v>
      </c>
      <c r="F7498" s="156" t="s">
        <v>28</v>
      </c>
      <c r="G7498" s="238">
        <f t="shared" si="2113"/>
        <v>0</v>
      </c>
      <c r="H7498" s="158"/>
      <c r="I7498" s="159">
        <f t="shared" si="2114"/>
        <v>2.2775730000000001E-2</v>
      </c>
      <c r="J7498" s="160"/>
      <c r="K7498" s="161">
        <f t="shared" si="2115"/>
        <v>427</v>
      </c>
      <c r="L7498" s="250">
        <v>1</v>
      </c>
      <c r="M7498" s="163"/>
      <c r="N7498" s="164"/>
      <c r="O7498" s="165">
        <f t="shared" si="2110"/>
        <v>0</v>
      </c>
      <c r="P7498" s="166"/>
      <c r="Q7498" s="166">
        <f t="shared" si="2109"/>
        <v>0</v>
      </c>
      <c r="R7498" s="71"/>
    </row>
    <row r="7499" spans="1:18" s="62" customFormat="1" x14ac:dyDescent="0.25">
      <c r="A7499" s="358"/>
      <c r="B7499" s="361"/>
      <c r="C7499" s="249" t="s">
        <v>311</v>
      </c>
      <c r="D7499" s="256"/>
      <c r="E7499" s="240"/>
      <c r="F7499" s="240"/>
      <c r="G7499" s="227"/>
      <c r="H7499" s="241"/>
      <c r="I7499" s="206"/>
      <c r="J7499" s="228"/>
      <c r="K7499" s="207"/>
      <c r="L7499" s="257"/>
      <c r="M7499" s="209"/>
      <c r="N7499" s="210"/>
      <c r="O7499" s="198">
        <f>SUM(O7475:O7498)</f>
        <v>0</v>
      </c>
      <c r="P7499" s="267"/>
      <c r="Q7499" s="166"/>
      <c r="R7499" s="71"/>
    </row>
    <row r="7500" spans="1:18" s="61" customFormat="1" ht="110.25" x14ac:dyDescent="0.25">
      <c r="A7500" s="358"/>
      <c r="B7500" s="361"/>
      <c r="C7500" s="221" t="s">
        <v>82</v>
      </c>
      <c r="D7500" s="156" t="s">
        <v>46</v>
      </c>
      <c r="E7500" s="156" t="s">
        <v>54</v>
      </c>
      <c r="F7500" s="156" t="s">
        <v>285</v>
      </c>
      <c r="G7500" s="238">
        <f>MROUND(H7500*L7500*I7500/K7500,0.000001)</f>
        <v>0.60326299999999999</v>
      </c>
      <c r="H7500" s="242">
        <f>H6900</f>
        <v>1028.1818077549303</v>
      </c>
      <c r="I7500" s="159">
        <f>I7498</f>
        <v>2.2775730000000001E-2</v>
      </c>
      <c r="J7500" s="160"/>
      <c r="K7500" s="161">
        <f>K7498</f>
        <v>427</v>
      </c>
      <c r="L7500" s="225">
        <f>L7140</f>
        <v>11</v>
      </c>
      <c r="M7500" s="163" t="str">
        <f>CONCATENATE(H7500," ",F7500,"*",L7500,"автобуса","*",I7500,"/",K7500,"чел.")</f>
        <v>1028,18180775493 л бензина АИ 92 (12,5л/день(зимой)*20дней*7мес+10л/день(летом)*20дней*4мес)*11автобуса*0,02277573/427чел.</v>
      </c>
      <c r="N7500" s="164">
        <f>N6900</f>
        <v>59.28728000000001</v>
      </c>
      <c r="O7500" s="165">
        <f>MROUND(G7500*N7500,0.000001)</f>
        <v>35.765822</v>
      </c>
      <c r="P7500" s="166"/>
      <c r="Q7500" s="166">
        <f t="shared" ref="Q7500" si="2116">O7500*K7500</f>
        <v>15272.005993999999</v>
      </c>
      <c r="R7500" s="71"/>
    </row>
    <row r="7501" spans="1:18" s="62" customFormat="1" x14ac:dyDescent="0.25">
      <c r="A7501" s="358"/>
      <c r="B7501" s="361"/>
      <c r="C7501" s="218" t="s">
        <v>309</v>
      </c>
      <c r="D7501" s="240"/>
      <c r="E7501" s="240"/>
      <c r="F7501" s="240"/>
      <c r="G7501" s="227"/>
      <c r="H7501" s="241"/>
      <c r="I7501" s="206"/>
      <c r="J7501" s="228"/>
      <c r="K7501" s="207"/>
      <c r="L7501" s="257"/>
      <c r="M7501" s="209"/>
      <c r="N7501" s="210"/>
      <c r="O7501" s="198">
        <f>SUM(O7500)</f>
        <v>35.765822</v>
      </c>
      <c r="P7501" s="267"/>
      <c r="Q7501" s="166"/>
      <c r="R7501" s="71"/>
    </row>
    <row r="7502" spans="1:18" s="61" customFormat="1" ht="47.25" x14ac:dyDescent="0.25">
      <c r="A7502" s="358"/>
      <c r="B7502" s="361"/>
      <c r="C7502" s="221" t="s">
        <v>434</v>
      </c>
      <c r="D7502" s="156" t="s">
        <v>436</v>
      </c>
      <c r="E7502" s="156" t="s">
        <v>28</v>
      </c>
      <c r="F7502" s="156" t="s">
        <v>437</v>
      </c>
      <c r="G7502" s="157">
        <f>MROUND(H7502*L7502*I7502/K7502,0.000001)</f>
        <v>1.5467999999999999E-2</v>
      </c>
      <c r="H7502" s="242">
        <f>$H$125</f>
        <v>290</v>
      </c>
      <c r="I7502" s="159">
        <f>I7500</f>
        <v>2.2775730000000001E-2</v>
      </c>
      <c r="J7502" s="160"/>
      <c r="K7502" s="161">
        <f>K7500</f>
        <v>427</v>
      </c>
      <c r="L7502" s="162">
        <v>1</v>
      </c>
      <c r="M7502" s="163" t="str">
        <f>CONCATENATE(H7502," ",F7502,"*",L7502,"автобуса","*",I7502,"/",K7502,"чел.")</f>
        <v>290 огнетушителей (потребность учреждений) *1автобуса*0,02277573/427чел.</v>
      </c>
      <c r="N7502" s="164">
        <f>$N$125</f>
        <v>2000</v>
      </c>
      <c r="O7502" s="165">
        <f>MROUND(G7502*N7502,0.000001)</f>
        <v>30.936</v>
      </c>
      <c r="P7502" s="166"/>
      <c r="Q7502" s="166">
        <f t="shared" ref="Q7502" si="2117">O7502*K7502</f>
        <v>13209.672</v>
      </c>
      <c r="R7502" s="71"/>
    </row>
    <row r="7503" spans="1:18" s="61" customFormat="1" x14ac:dyDescent="0.25">
      <c r="A7503" s="358"/>
      <c r="B7503" s="361"/>
      <c r="C7503" s="218" t="s">
        <v>435</v>
      </c>
      <c r="D7503" s="240"/>
      <c r="E7503" s="240"/>
      <c r="F7503" s="240"/>
      <c r="G7503" s="251"/>
      <c r="H7503" s="241"/>
      <c r="I7503" s="206"/>
      <c r="J7503" s="228"/>
      <c r="K7503" s="207"/>
      <c r="L7503" s="229"/>
      <c r="M7503" s="209"/>
      <c r="N7503" s="210"/>
      <c r="O7503" s="198">
        <f>SUM(O7502)</f>
        <v>30.936</v>
      </c>
      <c r="P7503" s="166"/>
      <c r="Q7503" s="166"/>
      <c r="R7503" s="71"/>
    </row>
    <row r="7504" spans="1:18" s="61" customFormat="1" ht="47.25" x14ac:dyDescent="0.25">
      <c r="A7504" s="358"/>
      <c r="B7504" s="361"/>
      <c r="C7504" s="364" t="s">
        <v>118</v>
      </c>
      <c r="D7504" s="156" t="s">
        <v>47</v>
      </c>
      <c r="E7504" s="156" t="s">
        <v>28</v>
      </c>
      <c r="F7504" s="156" t="s">
        <v>239</v>
      </c>
      <c r="G7504" s="238">
        <f>MROUND(H7504*L7504*I7504/K7504,0.00000001)</f>
        <v>7.4674500000000005E-3</v>
      </c>
      <c r="H7504" s="158">
        <f>H6904</f>
        <v>140</v>
      </c>
      <c r="I7504" s="159">
        <f>I7500</f>
        <v>2.2775730000000001E-2</v>
      </c>
      <c r="J7504" s="160"/>
      <c r="K7504" s="161">
        <f>K7500</f>
        <v>427</v>
      </c>
      <c r="L7504" s="250">
        <v>1</v>
      </c>
      <c r="M7504" s="163" t="str">
        <f>CONCATENATE(H7504," ",F7504,"*",I7504,"/",K7504,"чел.")</f>
        <v>140 манометров (потребность учреждений) *0,02277573/427чел.</v>
      </c>
      <c r="N7504" s="164">
        <f>N6904</f>
        <v>770.73500000000035</v>
      </c>
      <c r="O7504" s="165">
        <f>MROUND(G7504*N7504,0.000001)</f>
        <v>5.7554249999999998</v>
      </c>
      <c r="P7504" s="166"/>
      <c r="Q7504" s="166">
        <f t="shared" ref="Q7504:Q7505" si="2118">O7504*K7504</f>
        <v>2457.5664750000001</v>
      </c>
      <c r="R7504" s="71"/>
    </row>
    <row r="7505" spans="1:18" s="61" customFormat="1" ht="47.25" x14ac:dyDescent="0.25">
      <c r="A7505" s="358"/>
      <c r="B7505" s="361"/>
      <c r="C7505" s="364"/>
      <c r="D7505" s="255" t="s">
        <v>113</v>
      </c>
      <c r="E7505" s="156" t="s">
        <v>28</v>
      </c>
      <c r="F7505" s="156" t="s">
        <v>240</v>
      </c>
      <c r="G7505" s="238">
        <f>MROUND(H7505*L7505*I7505/K7505,0.00000001)</f>
        <v>0.30483208000000001</v>
      </c>
      <c r="H7505" s="158">
        <f>H6905</f>
        <v>5715</v>
      </c>
      <c r="I7505" s="159">
        <f>I7504</f>
        <v>2.2775730000000001E-2</v>
      </c>
      <c r="J7505" s="160"/>
      <c r="K7505" s="161">
        <f>K7504</f>
        <v>427</v>
      </c>
      <c r="L7505" s="250">
        <v>1</v>
      </c>
      <c r="M7505" s="163" t="str">
        <f>CONCATENATE(H7505," ",F7505,"*",I7505,"/",K7505,"чел.")</f>
        <v>5715 светильников (потребность учреждений)*0,02277573/427чел.</v>
      </c>
      <c r="N7505" s="164">
        <f>N6905</f>
        <v>115.61019597550306</v>
      </c>
      <c r="O7505" s="165">
        <f>MROUND(G7505*N7505,0.000001)</f>
        <v>35.241696999999995</v>
      </c>
      <c r="P7505" s="166"/>
      <c r="Q7505" s="166">
        <f t="shared" si="2118"/>
        <v>15048.204618999998</v>
      </c>
      <c r="R7505" s="71"/>
    </row>
    <row r="7506" spans="1:18" s="62" customFormat="1" x14ac:dyDescent="0.25">
      <c r="A7506" s="359"/>
      <c r="B7506" s="362"/>
      <c r="C7506" s="218" t="s">
        <v>310</v>
      </c>
      <c r="D7506" s="256"/>
      <c r="E7506" s="240"/>
      <c r="F7506" s="240"/>
      <c r="G7506" s="227"/>
      <c r="H7506" s="241"/>
      <c r="I7506" s="206"/>
      <c r="J7506" s="228"/>
      <c r="K7506" s="207"/>
      <c r="L7506" s="257"/>
      <c r="M7506" s="209"/>
      <c r="N7506" s="210"/>
      <c r="O7506" s="198">
        <f>SUM(O7504:O7505)</f>
        <v>40.997121999999997</v>
      </c>
      <c r="P7506" s="267"/>
      <c r="Q7506" s="166"/>
      <c r="R7506" s="71"/>
    </row>
    <row r="7507" spans="1:18" s="61" customFormat="1" x14ac:dyDescent="0.25">
      <c r="A7507" s="357" t="str">
        <f>CONCATENATE(школы!$B$12,", ",школы!$C$12,", ",школы!$D$12)</f>
        <v>Реализация основных общеобразовательных программ основного общего образования, адаптированная образовательная программа, дети-инвалиды</v>
      </c>
      <c r="B7507" s="360" t="str">
        <f>школы!$A$12</f>
        <v>11791000100500101006101</v>
      </c>
      <c r="C7507" s="194"/>
      <c r="D7507" s="363" t="s">
        <v>15</v>
      </c>
      <c r="E7507" s="363"/>
      <c r="F7507" s="363"/>
      <c r="G7507" s="363"/>
      <c r="H7507" s="195"/>
      <c r="I7507" s="195"/>
      <c r="J7507" s="195"/>
      <c r="K7507" s="195"/>
      <c r="L7507" s="196"/>
      <c r="M7507" s="197"/>
      <c r="N7507" s="164"/>
      <c r="O7507" s="198">
        <f>O7508+O7513+O7515</f>
        <v>7757.5228232879999</v>
      </c>
      <c r="P7507" s="166"/>
      <c r="Q7507" s="166"/>
      <c r="R7507" s="71"/>
    </row>
    <row r="7508" spans="1:18" s="61" customFormat="1" x14ac:dyDescent="0.25">
      <c r="A7508" s="358"/>
      <c r="B7508" s="361"/>
      <c r="C7508" s="194"/>
      <c r="D7508" s="350" t="s">
        <v>62</v>
      </c>
      <c r="E7508" s="350"/>
      <c r="F7508" s="350"/>
      <c r="G7508" s="350"/>
      <c r="H7508" s="195"/>
      <c r="I7508" s="195"/>
      <c r="J7508" s="195"/>
      <c r="K7508" s="195"/>
      <c r="L7508" s="196"/>
      <c r="M7508" s="197"/>
      <c r="N7508" s="164"/>
      <c r="O7508" s="165">
        <f>O7510+O7512</f>
        <v>7757.5228232879999</v>
      </c>
      <c r="P7508" s="166"/>
      <c r="Q7508" s="166"/>
      <c r="R7508" s="71"/>
    </row>
    <row r="7509" spans="1:18" s="61" customFormat="1" x14ac:dyDescent="0.25">
      <c r="A7509" s="358"/>
      <c r="B7509" s="361"/>
      <c r="C7509" s="194">
        <v>211</v>
      </c>
      <c r="D7509" s="194" t="s">
        <v>86</v>
      </c>
      <c r="E7509" s="199" t="s">
        <v>95</v>
      </c>
      <c r="F7509" s="199" t="s">
        <v>95</v>
      </c>
      <c r="G7509" s="275">
        <f>MROUND(H7509*L7509*I7509/K7509,0.0000000001)</f>
        <v>0.46245996920000004</v>
      </c>
      <c r="H7509" s="201">
        <f>H6789</f>
        <v>921.8</v>
      </c>
      <c r="I7509" s="159">
        <f>школы!$K$12</f>
        <v>3.261E-3</v>
      </c>
      <c r="J7509" s="159"/>
      <c r="K7509" s="161">
        <f>школы!$G$12</f>
        <v>78</v>
      </c>
      <c r="L7509" s="202">
        <v>12</v>
      </c>
      <c r="M7509" s="163" t="str">
        <f>CONCATENATE(H7509," ",F7509," ","в мес.","*",L7509,"мес.","*",I7509,"/",K7509,"чел.")</f>
        <v>921,8 шт.ед в мес.*12мес.*0,003261/78чел.</v>
      </c>
      <c r="N7509" s="164">
        <f>N6789</f>
        <v>12883.620739314385</v>
      </c>
      <c r="O7509" s="165">
        <f>MROUND(G7509*N7509,0.000000001)</f>
        <v>5958.1588502880004</v>
      </c>
      <c r="P7509" s="166"/>
      <c r="Q7509" s="166">
        <f t="shared" ref="Q7509" si="2119">O7509*K7509</f>
        <v>464736.39032246405</v>
      </c>
      <c r="R7509" s="71"/>
    </row>
    <row r="7510" spans="1:18" s="62" customFormat="1" x14ac:dyDescent="0.25">
      <c r="A7510" s="358"/>
      <c r="B7510" s="361"/>
      <c r="C7510" s="203" t="s">
        <v>288</v>
      </c>
      <c r="D7510" s="203"/>
      <c r="E7510" s="204"/>
      <c r="F7510" s="204"/>
      <c r="G7510" s="205"/>
      <c r="H7510" s="206"/>
      <c r="I7510" s="206"/>
      <c r="J7510" s="206"/>
      <c r="K7510" s="207"/>
      <c r="L7510" s="208"/>
      <c r="M7510" s="209"/>
      <c r="N7510" s="210">
        <f>N7509</f>
        <v>12883.620739314385</v>
      </c>
      <c r="O7510" s="198">
        <f>O7509</f>
        <v>5958.1588502880004</v>
      </c>
      <c r="P7510" s="267"/>
      <c r="Q7510" s="166"/>
      <c r="R7510" s="71"/>
    </row>
    <row r="7511" spans="1:18" s="61" customFormat="1" x14ac:dyDescent="0.25">
      <c r="A7511" s="358"/>
      <c r="B7511" s="361"/>
      <c r="C7511" s="194">
        <v>213</v>
      </c>
      <c r="D7511" s="194" t="s">
        <v>87</v>
      </c>
      <c r="E7511" s="194" t="s">
        <v>88</v>
      </c>
      <c r="F7511" s="194"/>
      <c r="G7511" s="211">
        <v>30.2</v>
      </c>
      <c r="H7511" s="159"/>
      <c r="I7511" s="159"/>
      <c r="J7511" s="159"/>
      <c r="K7511" s="161">
        <f>K7509</f>
        <v>78</v>
      </c>
      <c r="L7511" s="202"/>
      <c r="M7511" s="212"/>
      <c r="N7511" s="164"/>
      <c r="O7511" s="165">
        <f>MROUND(O7509*0.302,0.000001)</f>
        <v>1799.363973</v>
      </c>
      <c r="P7511" s="166"/>
      <c r="Q7511" s="166">
        <f>O7511*K7511</f>
        <v>140350.38989399999</v>
      </c>
      <c r="R7511" s="71"/>
    </row>
    <row r="7512" spans="1:18" s="61" customFormat="1" x14ac:dyDescent="0.25">
      <c r="A7512" s="358"/>
      <c r="B7512" s="361"/>
      <c r="C7512" s="203" t="s">
        <v>289</v>
      </c>
      <c r="D7512" s="194"/>
      <c r="E7512" s="194"/>
      <c r="F7512" s="194"/>
      <c r="G7512" s="217"/>
      <c r="H7512" s="195"/>
      <c r="I7512" s="159"/>
      <c r="J7512" s="195"/>
      <c r="K7512" s="161"/>
      <c r="L7512" s="196"/>
      <c r="M7512" s="197"/>
      <c r="N7512" s="210"/>
      <c r="O7512" s="198">
        <f>O7511</f>
        <v>1799.363973</v>
      </c>
      <c r="P7512" s="166"/>
      <c r="Q7512" s="166"/>
      <c r="R7512" s="71"/>
    </row>
    <row r="7513" spans="1:18" s="61" customFormat="1" x14ac:dyDescent="0.25">
      <c r="A7513" s="358"/>
      <c r="B7513" s="361"/>
      <c r="C7513" s="194"/>
      <c r="D7513" s="356" t="s">
        <v>63</v>
      </c>
      <c r="E7513" s="356"/>
      <c r="F7513" s="356"/>
      <c r="G7513" s="356"/>
      <c r="H7513" s="195"/>
      <c r="I7513" s="159"/>
      <c r="J7513" s="195"/>
      <c r="K7513" s="161"/>
      <c r="L7513" s="196"/>
      <c r="M7513" s="197"/>
      <c r="N7513" s="164"/>
      <c r="O7513" s="165"/>
      <c r="P7513" s="166"/>
      <c r="Q7513" s="166"/>
      <c r="R7513" s="71"/>
    </row>
    <row r="7514" spans="1:18" s="61" customFormat="1" x14ac:dyDescent="0.25">
      <c r="A7514" s="358"/>
      <c r="B7514" s="361"/>
      <c r="C7514" s="194"/>
      <c r="D7514" s="194"/>
      <c r="E7514" s="194"/>
      <c r="F7514" s="194"/>
      <c r="G7514" s="217"/>
      <c r="H7514" s="195"/>
      <c r="I7514" s="159"/>
      <c r="J7514" s="195"/>
      <c r="K7514" s="161"/>
      <c r="L7514" s="196"/>
      <c r="M7514" s="197"/>
      <c r="N7514" s="164"/>
      <c r="O7514" s="165"/>
      <c r="P7514" s="166"/>
      <c r="Q7514" s="166"/>
      <c r="R7514" s="71"/>
    </row>
    <row r="7515" spans="1:18" s="61" customFormat="1" x14ac:dyDescent="0.25">
      <c r="A7515" s="358"/>
      <c r="B7515" s="361"/>
      <c r="C7515" s="194"/>
      <c r="D7515" s="350" t="s">
        <v>64</v>
      </c>
      <c r="E7515" s="350"/>
      <c r="F7515" s="350"/>
      <c r="G7515" s="350"/>
      <c r="H7515" s="195"/>
      <c r="I7515" s="159"/>
      <c r="J7515" s="195"/>
      <c r="K7515" s="161"/>
      <c r="L7515" s="196"/>
      <c r="M7515" s="197"/>
      <c r="N7515" s="164"/>
      <c r="O7515" s="165"/>
      <c r="P7515" s="166"/>
      <c r="Q7515" s="166"/>
      <c r="R7515" s="71"/>
    </row>
    <row r="7516" spans="1:18" s="61" customFormat="1" x14ac:dyDescent="0.25">
      <c r="A7516" s="358"/>
      <c r="B7516" s="361"/>
      <c r="C7516" s="194"/>
      <c r="D7516" s="194"/>
      <c r="E7516" s="194"/>
      <c r="F7516" s="194"/>
      <c r="G7516" s="217"/>
      <c r="H7516" s="195"/>
      <c r="I7516" s="159"/>
      <c r="J7516" s="195"/>
      <c r="K7516" s="161"/>
      <c r="L7516" s="196"/>
      <c r="M7516" s="197"/>
      <c r="N7516" s="164"/>
      <c r="O7516" s="165"/>
      <c r="P7516" s="166"/>
      <c r="Q7516" s="166"/>
      <c r="R7516" s="71"/>
    </row>
    <row r="7517" spans="1:18" s="61" customFormat="1" x14ac:dyDescent="0.25">
      <c r="A7517" s="358"/>
      <c r="B7517" s="361"/>
      <c r="C7517" s="194"/>
      <c r="D7517" s="355" t="s">
        <v>5</v>
      </c>
      <c r="E7517" s="355"/>
      <c r="F7517" s="355"/>
      <c r="G7517" s="355"/>
      <c r="H7517" s="195"/>
      <c r="I7517" s="159"/>
      <c r="J7517" s="195"/>
      <c r="K7517" s="161"/>
      <c r="L7517" s="196"/>
      <c r="M7517" s="197"/>
      <c r="N7517" s="164"/>
      <c r="O7517" s="198">
        <f>O7518+O7528+O7539+O7541+O7543+O7545+O7547</f>
        <v>13018.49148217463</v>
      </c>
      <c r="P7517" s="166"/>
      <c r="Q7517" s="166"/>
      <c r="R7517" s="71"/>
    </row>
    <row r="7518" spans="1:18" s="61" customFormat="1" x14ac:dyDescent="0.25">
      <c r="A7518" s="358"/>
      <c r="B7518" s="361"/>
      <c r="C7518" s="218" t="s">
        <v>70</v>
      </c>
      <c r="D7518" s="355" t="s">
        <v>6</v>
      </c>
      <c r="E7518" s="355"/>
      <c r="F7518" s="355"/>
      <c r="G7518" s="355"/>
      <c r="H7518" s="189"/>
      <c r="I7518" s="159"/>
      <c r="J7518" s="189"/>
      <c r="K7518" s="161"/>
      <c r="L7518" s="190"/>
      <c r="M7518" s="197"/>
      <c r="N7518" s="210"/>
      <c r="O7518" s="198">
        <f>O7527</f>
        <v>7868.0559355099995</v>
      </c>
      <c r="P7518" s="166"/>
      <c r="Q7518" s="166"/>
      <c r="R7518" s="71"/>
    </row>
    <row r="7519" spans="1:18" s="61" customFormat="1" ht="31.5" x14ac:dyDescent="0.25">
      <c r="A7519" s="358"/>
      <c r="B7519" s="361"/>
      <c r="C7519" s="221" t="s">
        <v>72</v>
      </c>
      <c r="D7519" s="222" t="s">
        <v>7</v>
      </c>
      <c r="E7519" s="223" t="s">
        <v>8</v>
      </c>
      <c r="F7519" s="223" t="s">
        <v>8</v>
      </c>
      <c r="G7519" s="238">
        <f>MROUND(H7519*L7519*I7519/K7519,0.00000000001)</f>
        <v>138.51396117432</v>
      </c>
      <c r="H7519" s="160">
        <f t="shared" ref="H7519:H7526" si="2120">H6799</f>
        <v>3313121.4264326878</v>
      </c>
      <c r="I7519" s="159">
        <f>I7509</f>
        <v>3.261E-3</v>
      </c>
      <c r="J7519" s="160"/>
      <c r="K7519" s="161">
        <f>K7509</f>
        <v>78</v>
      </c>
      <c r="L7519" s="250">
        <v>1</v>
      </c>
      <c r="M7519" s="163" t="str">
        <f t="shared" ref="M7519:M7524" si="2121">CONCATENATE(H7519," ",F7519,"(лимиты выделенные УЖКХ) ","*",I7519,"/",K7519,"чел.")</f>
        <v>3313121,42643269 кВт час.(лимиты выделенные УЖКХ) *0,003261/78чел.</v>
      </c>
      <c r="N7519" s="164">
        <f t="shared" ref="N7519:N7526" si="2122">N6799</f>
        <v>11.333602475424668</v>
      </c>
      <c r="O7519" s="165">
        <f t="shared" ref="O7519:O7522" si="2123">MROUND(G7519*N7519,0.000001)</f>
        <v>1569.862173</v>
      </c>
      <c r="P7519" s="166"/>
      <c r="Q7519" s="166">
        <f t="shared" ref="Q7519:Q7526" si="2124">O7519*K7519</f>
        <v>122449.249494</v>
      </c>
      <c r="R7519" s="71"/>
    </row>
    <row r="7520" spans="1:18" s="61" customFormat="1" ht="31.5" x14ac:dyDescent="0.25">
      <c r="A7520" s="358"/>
      <c r="B7520" s="361"/>
      <c r="C7520" s="221" t="s">
        <v>73</v>
      </c>
      <c r="D7520" s="222" t="s">
        <v>9</v>
      </c>
      <c r="E7520" s="223" t="s">
        <v>10</v>
      </c>
      <c r="F7520" s="223" t="s">
        <v>10</v>
      </c>
      <c r="G7520" s="238">
        <f>MROUND(H7520*L7520*I7520/K7520,0.00000000001)</f>
        <v>1.3335562665399998</v>
      </c>
      <c r="H7520" s="160">
        <f t="shared" si="2120"/>
        <v>31897.39</v>
      </c>
      <c r="I7520" s="159">
        <f t="shared" ref="I7520:I7583" si="2125">I7519</f>
        <v>3.261E-3</v>
      </c>
      <c r="J7520" s="160"/>
      <c r="K7520" s="161">
        <f t="shared" ref="K7520:K7526" si="2126">K7519</f>
        <v>78</v>
      </c>
      <c r="L7520" s="250">
        <v>1</v>
      </c>
      <c r="M7520" s="163" t="str">
        <f t="shared" si="2121"/>
        <v>31897,39 Гкал(лимиты выделенные УЖКХ) *0,003261/78чел.</v>
      </c>
      <c r="N7520" s="164">
        <f t="shared" si="2122"/>
        <v>3095.3018623153812</v>
      </c>
      <c r="O7520" s="165">
        <f t="shared" si="2123"/>
        <v>4127.7591949999996</v>
      </c>
      <c r="P7520" s="166"/>
      <c r="Q7520" s="166">
        <f t="shared" si="2124"/>
        <v>321965.21720999997</v>
      </c>
      <c r="R7520" s="71"/>
    </row>
    <row r="7521" spans="1:18" s="61" customFormat="1" ht="31.5" x14ac:dyDescent="0.25">
      <c r="A7521" s="358"/>
      <c r="B7521" s="361"/>
      <c r="C7521" s="364" t="s">
        <v>74</v>
      </c>
      <c r="D7521" s="222" t="s">
        <v>12</v>
      </c>
      <c r="E7521" s="222" t="s">
        <v>11</v>
      </c>
      <c r="F7521" s="222" t="s">
        <v>11</v>
      </c>
      <c r="G7521" s="238">
        <f>MROUND(H7521*L7521*I7521/K7521,0.00000000001)</f>
        <v>7.7229330688499997</v>
      </c>
      <c r="H7521" s="224">
        <f t="shared" si="2120"/>
        <v>184725.17</v>
      </c>
      <c r="I7521" s="159">
        <f t="shared" si="2125"/>
        <v>3.261E-3</v>
      </c>
      <c r="J7521" s="160"/>
      <c r="K7521" s="161">
        <f t="shared" si="2126"/>
        <v>78</v>
      </c>
      <c r="L7521" s="250">
        <v>1</v>
      </c>
      <c r="M7521" s="163" t="str">
        <f t="shared" si="2121"/>
        <v>184725,17 м3(лимиты выделенные УЖКХ) *0,003261/78чел.</v>
      </c>
      <c r="N7521" s="164">
        <f t="shared" si="2122"/>
        <v>56.382747245543193</v>
      </c>
      <c r="O7521" s="165">
        <f t="shared" si="2123"/>
        <v>435.44018299999999</v>
      </c>
      <c r="P7521" s="166"/>
      <c r="Q7521" s="166">
        <f t="shared" si="2124"/>
        <v>33964.334274000001</v>
      </c>
      <c r="R7521" s="71"/>
    </row>
    <row r="7522" spans="1:18" s="61" customFormat="1" ht="47.25" x14ac:dyDescent="0.25">
      <c r="A7522" s="358"/>
      <c r="B7522" s="361"/>
      <c r="C7522" s="364"/>
      <c r="D7522" s="222" t="s">
        <v>17</v>
      </c>
      <c r="E7522" s="222" t="s">
        <v>11</v>
      </c>
      <c r="F7522" s="222" t="s">
        <v>11</v>
      </c>
      <c r="G7522" s="238">
        <f>MROUND(H7522*L7522*I7522/K7522,0.00000000001)</f>
        <v>7.7229330688499997</v>
      </c>
      <c r="H7522" s="160">
        <f t="shared" si="2120"/>
        <v>184725.17</v>
      </c>
      <c r="I7522" s="159">
        <f t="shared" si="2125"/>
        <v>3.261E-3</v>
      </c>
      <c r="J7522" s="160"/>
      <c r="K7522" s="161">
        <f t="shared" si="2126"/>
        <v>78</v>
      </c>
      <c r="L7522" s="162">
        <f>$L$6802</f>
        <v>1</v>
      </c>
      <c r="M7522" s="163" t="str">
        <f t="shared" si="2121"/>
        <v>184725,17 м3(лимиты выделенные УЖКХ) *0,003261/78чел.</v>
      </c>
      <c r="N7522" s="164">
        <f t="shared" si="2122"/>
        <v>85.679537612054773</v>
      </c>
      <c r="O7522" s="165">
        <f t="shared" si="2123"/>
        <v>661.69733399999996</v>
      </c>
      <c r="P7522" s="166"/>
      <c r="Q7522" s="166">
        <f t="shared" si="2124"/>
        <v>51612.392051999996</v>
      </c>
      <c r="R7522" s="71"/>
    </row>
    <row r="7523" spans="1:18" s="61" customFormat="1" ht="31.5" x14ac:dyDescent="0.25">
      <c r="A7523" s="358"/>
      <c r="B7523" s="361"/>
      <c r="C7523" s="364"/>
      <c r="D7523" s="222" t="s">
        <v>13</v>
      </c>
      <c r="E7523" s="222" t="s">
        <v>11</v>
      </c>
      <c r="F7523" s="222" t="s">
        <v>11</v>
      </c>
      <c r="G7523" s="238">
        <f>MROUND(H7523*L7523*I7523/K7523,0.00000000001)</f>
        <v>7.7229330688499997</v>
      </c>
      <c r="H7523" s="160">
        <f t="shared" si="2120"/>
        <v>184725.17</v>
      </c>
      <c r="I7523" s="159">
        <f t="shared" si="2125"/>
        <v>3.261E-3</v>
      </c>
      <c r="J7523" s="160"/>
      <c r="K7523" s="161">
        <f t="shared" si="2126"/>
        <v>78</v>
      </c>
      <c r="L7523" s="162">
        <v>1</v>
      </c>
      <c r="M7523" s="163" t="str">
        <f t="shared" si="2121"/>
        <v>184725,17 м3(лимиты выделенные УЖКХ) *0,003261/78чел.</v>
      </c>
      <c r="N7523" s="164">
        <f t="shared" si="2122"/>
        <v>116.85554734686012</v>
      </c>
      <c r="O7523" s="165">
        <f>MROUND(G7523*N7523,0.00000001)</f>
        <v>902.46757088000004</v>
      </c>
      <c r="P7523" s="166"/>
      <c r="Q7523" s="166">
        <f t="shared" si="2124"/>
        <v>70392.470528639999</v>
      </c>
      <c r="R7523" s="71"/>
    </row>
    <row r="7524" spans="1:18" s="61" customFormat="1" ht="31.5" x14ac:dyDescent="0.25">
      <c r="A7524" s="358"/>
      <c r="B7524" s="361"/>
      <c r="C7524" s="221" t="s">
        <v>75</v>
      </c>
      <c r="D7524" s="222" t="s">
        <v>18</v>
      </c>
      <c r="E7524" s="222" t="s">
        <v>48</v>
      </c>
      <c r="F7524" s="222" t="s">
        <v>48</v>
      </c>
      <c r="G7524" s="238">
        <f>MROUND(H7524*L7524*I7524/K7524,0.0000000001)</f>
        <v>0.58060850770000005</v>
      </c>
      <c r="H7524" s="160">
        <f t="shared" si="2120"/>
        <v>13887.6</v>
      </c>
      <c r="I7524" s="159">
        <f t="shared" si="2125"/>
        <v>3.261E-3</v>
      </c>
      <c r="J7524" s="160"/>
      <c r="K7524" s="161">
        <f t="shared" si="2126"/>
        <v>78</v>
      </c>
      <c r="L7524" s="250">
        <v>1</v>
      </c>
      <c r="M7524" s="163" t="str">
        <f t="shared" si="2121"/>
        <v>13887,6 тыс. м3(лимиты выделенные УЖКХ) *0,003261/78чел.</v>
      </c>
      <c r="N7524" s="164">
        <f t="shared" si="2122"/>
        <v>31.799284973645559</v>
      </c>
      <c r="O7524" s="165">
        <f t="shared" ref="O7524" si="2127">MROUND(G7524*N7524,0.000001)</f>
        <v>18.462934999999998</v>
      </c>
      <c r="P7524" s="166"/>
      <c r="Q7524" s="166">
        <f t="shared" si="2124"/>
        <v>1440.1089299999999</v>
      </c>
      <c r="R7524" s="71"/>
    </row>
    <row r="7525" spans="1:18" s="61" customFormat="1" x14ac:dyDescent="0.25">
      <c r="A7525" s="358"/>
      <c r="B7525" s="361"/>
      <c r="C7525" s="364" t="s">
        <v>216</v>
      </c>
      <c r="D7525" s="222" t="s">
        <v>23</v>
      </c>
      <c r="E7525" s="222" t="s">
        <v>11</v>
      </c>
      <c r="F7525" s="222" t="s">
        <v>11</v>
      </c>
      <c r="G7525" s="238">
        <f>MROUND(H7525*L7525*I7525/K7525,0.000000000001)</f>
        <v>0.14083506461500001</v>
      </c>
      <c r="H7525" s="160">
        <f t="shared" si="2120"/>
        <v>3368.6400000000003</v>
      </c>
      <c r="I7525" s="159">
        <f t="shared" si="2125"/>
        <v>3.261E-3</v>
      </c>
      <c r="J7525" s="160"/>
      <c r="K7525" s="161">
        <f t="shared" si="2126"/>
        <v>78</v>
      </c>
      <c r="L7525" s="162">
        <f>L7524</f>
        <v>1</v>
      </c>
      <c r="M7525" s="163" t="str">
        <f>CONCATENATE(H7525," ",F7525," ","*",I7525,"/",K7525,"чел.")</f>
        <v>3368,64 м3 *0,003261/78чел.</v>
      </c>
      <c r="N7525" s="164">
        <f t="shared" si="2122"/>
        <v>807.40973805452643</v>
      </c>
      <c r="O7525" s="165">
        <f>MROUND(G7525*N7525,0.00000001)</f>
        <v>113.71160263</v>
      </c>
      <c r="P7525" s="166"/>
      <c r="Q7525" s="166">
        <f t="shared" si="2124"/>
        <v>8869.5050051399994</v>
      </c>
      <c r="R7525" s="71"/>
    </row>
    <row r="7526" spans="1:18" s="61" customFormat="1" ht="47.25" x14ac:dyDescent="0.25">
      <c r="A7526" s="358"/>
      <c r="B7526" s="361"/>
      <c r="C7526" s="364"/>
      <c r="D7526" s="222" t="s">
        <v>24</v>
      </c>
      <c r="E7526" s="222" t="s">
        <v>25</v>
      </c>
      <c r="F7526" s="222" t="s">
        <v>217</v>
      </c>
      <c r="G7526" s="238">
        <f>MROUND(H7526*L7526*I7526/K7526,0.000000000001)</f>
        <v>6.1457307690000003E-3</v>
      </c>
      <c r="H7526" s="160">
        <f t="shared" si="2120"/>
        <v>147</v>
      </c>
      <c r="I7526" s="159">
        <f t="shared" si="2125"/>
        <v>3.261E-3</v>
      </c>
      <c r="J7526" s="160"/>
      <c r="K7526" s="161">
        <f t="shared" si="2126"/>
        <v>78</v>
      </c>
      <c r="L7526" s="250">
        <f>L7525</f>
        <v>1</v>
      </c>
      <c r="M7526" s="163" t="str">
        <f>CONCATENATE(H7526," ",F7526,"(потребность из расчета 4 контейнера для уборки территории весной и осенью на 1 учреждение)","*",I7526,"/",K7526,"чел.")</f>
        <v>147 контейнера(потребность из расчета 4 контейнера для уборки территории весной и осенью на 1 учреждение)*0,003261/78чел.</v>
      </c>
      <c r="N7526" s="164">
        <f t="shared" si="2122"/>
        <v>6289.7226530612279</v>
      </c>
      <c r="O7526" s="165">
        <f t="shared" ref="O7526" si="2128">MROUND(G7526*N7526,0.000001)</f>
        <v>38.654941999999998</v>
      </c>
      <c r="P7526" s="166"/>
      <c r="Q7526" s="166">
        <f t="shared" si="2124"/>
        <v>3015.0854759999997</v>
      </c>
      <c r="R7526" s="71"/>
    </row>
    <row r="7527" spans="1:18" s="62" customFormat="1" x14ac:dyDescent="0.25">
      <c r="A7527" s="358"/>
      <c r="B7527" s="361"/>
      <c r="C7527" s="218" t="s">
        <v>290</v>
      </c>
      <c r="D7527" s="226"/>
      <c r="E7527" s="226"/>
      <c r="F7527" s="226"/>
      <c r="G7527" s="227"/>
      <c r="H7527" s="228"/>
      <c r="I7527" s="206"/>
      <c r="J7527" s="228"/>
      <c r="K7527" s="207"/>
      <c r="L7527" s="257"/>
      <c r="M7527" s="209"/>
      <c r="N7527" s="210"/>
      <c r="O7527" s="198">
        <f>SUM(O7519:O7526)</f>
        <v>7868.0559355099995</v>
      </c>
      <c r="P7527" s="267"/>
      <c r="Q7527" s="166"/>
      <c r="R7527" s="71"/>
    </row>
    <row r="7528" spans="1:18" s="61" customFormat="1" x14ac:dyDescent="0.25">
      <c r="A7528" s="358"/>
      <c r="B7528" s="361"/>
      <c r="C7528" s="221"/>
      <c r="D7528" s="356" t="s">
        <v>14</v>
      </c>
      <c r="E7528" s="356"/>
      <c r="F7528" s="356"/>
      <c r="G7528" s="356"/>
      <c r="H7528" s="188"/>
      <c r="I7528" s="159"/>
      <c r="J7528" s="188"/>
      <c r="K7528" s="161"/>
      <c r="L7528" s="250"/>
      <c r="M7528" s="230"/>
      <c r="N7528" s="164"/>
      <c r="O7528" s="198">
        <f>O7536+O7537+O7532</f>
        <v>4181.2123919446303</v>
      </c>
      <c r="P7528" s="166"/>
      <c r="Q7528" s="166"/>
      <c r="R7528" s="71"/>
    </row>
    <row r="7529" spans="1:18" s="61" customFormat="1" x14ac:dyDescent="0.25">
      <c r="A7529" s="358"/>
      <c r="B7529" s="361"/>
      <c r="C7529" s="221" t="s">
        <v>379</v>
      </c>
      <c r="D7529" s="231" t="s">
        <v>49</v>
      </c>
      <c r="E7529" s="231" t="s">
        <v>22</v>
      </c>
      <c r="F7529" s="231" t="s">
        <v>22</v>
      </c>
      <c r="G7529" s="238">
        <f>MROUND(H7529*L7529*I7529/K7529,0.000000001)</f>
        <v>0</v>
      </c>
      <c r="H7529" s="160"/>
      <c r="I7529" s="159">
        <f>I7524</f>
        <v>3.261E-3</v>
      </c>
      <c r="J7529" s="160"/>
      <c r="K7529" s="161">
        <f>K7524</f>
        <v>78</v>
      </c>
      <c r="L7529" s="250"/>
      <c r="M7529" s="163"/>
      <c r="N7529" s="164"/>
      <c r="O7529" s="165">
        <f>MROUND(G7529*N7529,0.00000001)</f>
        <v>0</v>
      </c>
      <c r="P7529" s="166"/>
      <c r="Q7529" s="166">
        <f t="shared" ref="Q7529:Q7531" si="2129">O7529*K7529</f>
        <v>0</v>
      </c>
      <c r="R7529" s="71"/>
    </row>
    <row r="7530" spans="1:18" s="61" customFormat="1" x14ac:dyDescent="0.25">
      <c r="A7530" s="358"/>
      <c r="B7530" s="361"/>
      <c r="C7530" s="221" t="s">
        <v>379</v>
      </c>
      <c r="D7530" s="231" t="s">
        <v>49</v>
      </c>
      <c r="E7530" s="231" t="s">
        <v>28</v>
      </c>
      <c r="F7530" s="231" t="s">
        <v>28</v>
      </c>
      <c r="G7530" s="238">
        <f>MROUND(H7530*L7530*I7530/K7530,0.00000000000000001)</f>
        <v>0</v>
      </c>
      <c r="H7530" s="160"/>
      <c r="I7530" s="159">
        <f t="shared" si="2125"/>
        <v>3.261E-3</v>
      </c>
      <c r="J7530" s="160"/>
      <c r="K7530" s="161">
        <f>K7529</f>
        <v>78</v>
      </c>
      <c r="L7530" s="250">
        <v>1</v>
      </c>
      <c r="M7530" s="163"/>
      <c r="N7530" s="164"/>
      <c r="O7530" s="165">
        <f>MROUND(G7530*N7530,0.00000001)</f>
        <v>0</v>
      </c>
      <c r="P7530" s="166"/>
      <c r="Q7530" s="166">
        <f t="shared" si="2129"/>
        <v>0</v>
      </c>
      <c r="R7530" s="71"/>
    </row>
    <row r="7531" spans="1:18" s="61" customFormat="1" x14ac:dyDescent="0.25">
      <c r="A7531" s="358"/>
      <c r="B7531" s="361"/>
      <c r="C7531" s="221" t="s">
        <v>379</v>
      </c>
      <c r="D7531" s="231" t="s">
        <v>49</v>
      </c>
      <c r="E7531" s="231" t="s">
        <v>101</v>
      </c>
      <c r="F7531" s="231" t="s">
        <v>101</v>
      </c>
      <c r="G7531" s="238">
        <f>MROUND(H7531*L7531*I7531/K7531,0.000000001)</f>
        <v>0</v>
      </c>
      <c r="H7531" s="160"/>
      <c r="I7531" s="159">
        <f t="shared" si="2125"/>
        <v>3.261E-3</v>
      </c>
      <c r="J7531" s="160"/>
      <c r="K7531" s="161">
        <f>K7530</f>
        <v>78</v>
      </c>
      <c r="L7531" s="250"/>
      <c r="M7531" s="163"/>
      <c r="N7531" s="164"/>
      <c r="O7531" s="165">
        <f>MROUND(G7531*N7531,0.00000001)</f>
        <v>0</v>
      </c>
      <c r="P7531" s="166"/>
      <c r="Q7531" s="166">
        <f t="shared" si="2129"/>
        <v>0</v>
      </c>
      <c r="R7531" s="71"/>
    </row>
    <row r="7532" spans="1:18" s="62" customFormat="1" x14ac:dyDescent="0.25">
      <c r="A7532" s="358"/>
      <c r="B7532" s="361"/>
      <c r="C7532" s="218" t="s">
        <v>380</v>
      </c>
      <c r="D7532" s="232"/>
      <c r="E7532" s="232"/>
      <c r="F7532" s="232"/>
      <c r="G7532" s="227"/>
      <c r="H7532" s="228"/>
      <c r="I7532" s="206"/>
      <c r="J7532" s="228"/>
      <c r="K7532" s="207"/>
      <c r="L7532" s="257"/>
      <c r="M7532" s="209"/>
      <c r="N7532" s="210"/>
      <c r="O7532" s="198">
        <f>SUM(O7529:O7531)</f>
        <v>0</v>
      </c>
      <c r="P7532" s="267"/>
      <c r="Q7532" s="166"/>
      <c r="R7532" s="71"/>
    </row>
    <row r="7533" spans="1:18" s="61" customFormat="1" x14ac:dyDescent="0.25">
      <c r="A7533" s="358"/>
      <c r="B7533" s="361"/>
      <c r="C7533" s="221" t="s">
        <v>76</v>
      </c>
      <c r="D7533" s="231" t="s">
        <v>49</v>
      </c>
      <c r="E7533" s="231" t="s">
        <v>22</v>
      </c>
      <c r="F7533" s="231" t="s">
        <v>22</v>
      </c>
      <c r="G7533" s="238">
        <f>MROUND(H7533*L7533*I7533/K7533,0.000000000000001)</f>
        <v>1.0724091153846151</v>
      </c>
      <c r="H7533" s="160">
        <f>H6813</f>
        <v>25651</v>
      </c>
      <c r="I7533" s="159">
        <f>I7529</f>
        <v>3.261E-3</v>
      </c>
      <c r="J7533" s="160"/>
      <c r="K7533" s="161">
        <f>K7531</f>
        <v>78</v>
      </c>
      <c r="L7533" s="250">
        <v>1</v>
      </c>
      <c r="M7533" s="163" t="str">
        <f>CONCATENATE(H7533," ",F7533,"*",I7533,"/",K7533,"чел.")</f>
        <v>25651 м2*0,003261/78чел.</v>
      </c>
      <c r="N7533" s="164">
        <f>N6813</f>
        <v>2452.3410393356985</v>
      </c>
      <c r="O7533" s="165">
        <f>MROUND(G7533*N7533,0.00000000001)</f>
        <v>2629.9128846153799</v>
      </c>
      <c r="P7533" s="166"/>
      <c r="Q7533" s="166">
        <f t="shared" ref="Q7533:Q7535" si="2130">O7533*K7533</f>
        <v>205133.20499999964</v>
      </c>
      <c r="R7533" s="71"/>
    </row>
    <row r="7534" spans="1:18" s="61" customFormat="1" x14ac:dyDescent="0.25">
      <c r="A7534" s="358"/>
      <c r="B7534" s="361"/>
      <c r="C7534" s="221"/>
      <c r="D7534" s="231" t="s">
        <v>49</v>
      </c>
      <c r="E7534" s="231" t="s">
        <v>28</v>
      </c>
      <c r="F7534" s="231" t="s">
        <v>28</v>
      </c>
      <c r="G7534" s="238">
        <f>MROUND(H7534*L7534*I7534/K7534,0.000000000001)</f>
        <v>7.8054961537999998E-2</v>
      </c>
      <c r="H7534" s="160">
        <f>H6814</f>
        <v>1867</v>
      </c>
      <c r="I7534" s="159">
        <f t="shared" si="2125"/>
        <v>3.261E-3</v>
      </c>
      <c r="J7534" s="160"/>
      <c r="K7534" s="161">
        <f>K7533</f>
        <v>78</v>
      </c>
      <c r="L7534" s="250">
        <v>1</v>
      </c>
      <c r="M7534" s="163" t="str">
        <f>CONCATENATE(H7534," ",F7534,"*",I7534,"/",K7534,"чел.")</f>
        <v>1867 шт*0,003261/78чел.</v>
      </c>
      <c r="N7534" s="164">
        <f>N6814</f>
        <v>18299.732190680235</v>
      </c>
      <c r="O7534" s="165">
        <f>MROUND(G7534*N7534,0.00000000001)</f>
        <v>1428.3848922992499</v>
      </c>
      <c r="P7534" s="166"/>
      <c r="Q7534" s="166">
        <f t="shared" si="2130"/>
        <v>111414.02159934149</v>
      </c>
      <c r="R7534" s="71"/>
    </row>
    <row r="7535" spans="1:18" s="61" customFormat="1" x14ac:dyDescent="0.25">
      <c r="A7535" s="358"/>
      <c r="B7535" s="361"/>
      <c r="C7535" s="221"/>
      <c r="D7535" s="231" t="s">
        <v>49</v>
      </c>
      <c r="E7535" s="231" t="s">
        <v>101</v>
      </c>
      <c r="F7535" s="231" t="s">
        <v>101</v>
      </c>
      <c r="G7535" s="238">
        <f>MROUND(H7535*L7535*I7535/K7535,0.000000001)</f>
        <v>2.6756923000000002E-2</v>
      </c>
      <c r="H7535" s="160">
        <f>H6815</f>
        <v>640</v>
      </c>
      <c r="I7535" s="159">
        <f t="shared" si="2125"/>
        <v>3.261E-3</v>
      </c>
      <c r="J7535" s="160"/>
      <c r="K7535" s="161">
        <f>K7534</f>
        <v>78</v>
      </c>
      <c r="L7535" s="250">
        <v>1</v>
      </c>
      <c r="M7535" s="163" t="str">
        <f>CONCATENATE(H7535," ",F7535,"*",I7535,"/",K7535,"чел.")</f>
        <v>640 погон.м.*0,003261/78чел.</v>
      </c>
      <c r="N7535" s="164">
        <f>N6815</f>
        <v>4593.75</v>
      </c>
      <c r="O7535" s="165">
        <f>MROUND(G7535*N7535,0.00000001)</f>
        <v>122.91461503000001</v>
      </c>
      <c r="P7535" s="166"/>
      <c r="Q7535" s="166">
        <f t="shared" si="2130"/>
        <v>9587.3399723399998</v>
      </c>
      <c r="R7535" s="71"/>
    </row>
    <row r="7536" spans="1:18" s="62" customFormat="1" x14ac:dyDescent="0.25">
      <c r="A7536" s="358"/>
      <c r="B7536" s="361"/>
      <c r="C7536" s="218" t="s">
        <v>291</v>
      </c>
      <c r="D7536" s="232"/>
      <c r="E7536" s="232"/>
      <c r="F7536" s="232"/>
      <c r="G7536" s="227"/>
      <c r="H7536" s="228"/>
      <c r="I7536" s="206"/>
      <c r="J7536" s="228"/>
      <c r="K7536" s="207"/>
      <c r="L7536" s="257"/>
      <c r="M7536" s="209"/>
      <c r="N7536" s="210"/>
      <c r="O7536" s="198">
        <f>SUM(O7533:O7535)</f>
        <v>4181.2123919446303</v>
      </c>
      <c r="P7536" s="267"/>
      <c r="Q7536" s="166"/>
      <c r="R7536" s="71"/>
    </row>
    <row r="7537" spans="1:41" s="61" customFormat="1" x14ac:dyDescent="0.25">
      <c r="A7537" s="358"/>
      <c r="B7537" s="361"/>
      <c r="C7537" s="221" t="s">
        <v>77</v>
      </c>
      <c r="D7537" s="231"/>
      <c r="E7537" s="231"/>
      <c r="F7537" s="231"/>
      <c r="G7537" s="238">
        <f>MROUND(H7537*L7537*I7537/K7537,0.00000000001)</f>
        <v>0</v>
      </c>
      <c r="H7537" s="160">
        <f>H7297</f>
        <v>0</v>
      </c>
      <c r="I7537" s="159">
        <f>I7535</f>
        <v>3.261E-3</v>
      </c>
      <c r="J7537" s="160"/>
      <c r="K7537" s="161">
        <f>K7535</f>
        <v>78</v>
      </c>
      <c r="L7537" s="250"/>
      <c r="M7537" s="163"/>
      <c r="N7537" s="164">
        <f>N7297</f>
        <v>0</v>
      </c>
      <c r="O7537" s="165">
        <f>MROUND(G7537*N7537,0.000000001)</f>
        <v>0</v>
      </c>
      <c r="P7537" s="166"/>
      <c r="Q7537" s="166">
        <f t="shared" ref="Q7537" si="2131">O7537*K7537</f>
        <v>0</v>
      </c>
      <c r="R7537" s="71"/>
    </row>
    <row r="7538" spans="1:41" s="61" customFormat="1" x14ac:dyDescent="0.25">
      <c r="A7538" s="358"/>
      <c r="B7538" s="361"/>
      <c r="C7538" s="218" t="s">
        <v>292</v>
      </c>
      <c r="D7538" s="232"/>
      <c r="E7538" s="232"/>
      <c r="F7538" s="232"/>
      <c r="G7538" s="227"/>
      <c r="H7538" s="228"/>
      <c r="I7538" s="206"/>
      <c r="J7538" s="228"/>
      <c r="K7538" s="207"/>
      <c r="L7538" s="257"/>
      <c r="M7538" s="209"/>
      <c r="N7538" s="210"/>
      <c r="O7538" s="198">
        <f>O7537</f>
        <v>0</v>
      </c>
      <c r="P7538" s="166"/>
      <c r="Q7538" s="166"/>
      <c r="R7538" s="71"/>
    </row>
    <row r="7539" spans="1:41" s="61" customFormat="1" x14ac:dyDescent="0.25">
      <c r="A7539" s="358"/>
      <c r="B7539" s="361"/>
      <c r="C7539" s="221"/>
      <c r="D7539" s="350" t="s">
        <v>65</v>
      </c>
      <c r="E7539" s="350"/>
      <c r="F7539" s="350"/>
      <c r="G7539" s="350"/>
      <c r="H7539" s="195"/>
      <c r="I7539" s="159"/>
      <c r="J7539" s="195"/>
      <c r="K7539" s="161"/>
      <c r="L7539" s="196"/>
      <c r="M7539" s="230"/>
      <c r="N7539" s="164"/>
      <c r="O7539" s="165">
        <f t="shared" ref="O7539:O7540" si="2132">MROUND(G7539*N7539,0.000001)</f>
        <v>0</v>
      </c>
      <c r="P7539" s="166"/>
      <c r="Q7539" s="166"/>
      <c r="R7539" s="71"/>
    </row>
    <row r="7540" spans="1:41" s="61" customFormat="1" x14ac:dyDescent="0.25">
      <c r="A7540" s="358"/>
      <c r="B7540" s="361"/>
      <c r="C7540" s="221"/>
      <c r="D7540" s="194"/>
      <c r="E7540" s="194"/>
      <c r="F7540" s="194"/>
      <c r="G7540" s="217"/>
      <c r="H7540" s="195"/>
      <c r="I7540" s="159"/>
      <c r="J7540" s="195"/>
      <c r="K7540" s="161"/>
      <c r="L7540" s="196"/>
      <c r="M7540" s="230"/>
      <c r="N7540" s="164"/>
      <c r="O7540" s="165">
        <f t="shared" si="2132"/>
        <v>0</v>
      </c>
      <c r="P7540" s="166"/>
      <c r="Q7540" s="166"/>
      <c r="R7540" s="71"/>
    </row>
    <row r="7541" spans="1:41" s="61" customFormat="1" x14ac:dyDescent="0.25">
      <c r="A7541" s="358"/>
      <c r="B7541" s="361"/>
      <c r="C7541" s="221" t="s">
        <v>357</v>
      </c>
      <c r="D7541" s="368" t="s">
        <v>66</v>
      </c>
      <c r="E7541" s="368"/>
      <c r="F7541" s="368"/>
      <c r="G7541" s="368"/>
      <c r="H7541" s="195"/>
      <c r="I7541" s="159"/>
      <c r="J7541" s="195"/>
      <c r="K7541" s="161"/>
      <c r="L7541" s="234"/>
      <c r="M7541" s="230"/>
      <c r="N7541" s="164"/>
      <c r="O7541" s="198">
        <f>O7542</f>
        <v>24.540284</v>
      </c>
      <c r="P7541" s="166"/>
      <c r="Q7541" s="166"/>
      <c r="R7541" s="71"/>
    </row>
    <row r="7542" spans="1:41" s="61" customFormat="1" ht="47.25" x14ac:dyDescent="0.25">
      <c r="A7542" s="358"/>
      <c r="B7542" s="361"/>
      <c r="C7542" s="221"/>
      <c r="D7542" s="222" t="s">
        <v>374</v>
      </c>
      <c r="E7542" s="194" t="s">
        <v>28</v>
      </c>
      <c r="F7542" s="194" t="s">
        <v>28</v>
      </c>
      <c r="G7542" s="217">
        <f>MROUND(H7542*L7542*I7542/K7542,0.000000001)</f>
        <v>6.0203080000000003E-3</v>
      </c>
      <c r="H7542" s="201">
        <f>H6942</f>
        <v>36</v>
      </c>
      <c r="I7542" s="159">
        <f>I7537</f>
        <v>3.261E-3</v>
      </c>
      <c r="J7542" s="195"/>
      <c r="K7542" s="161">
        <f>K7537</f>
        <v>78</v>
      </c>
      <c r="L7542" s="235">
        <f>L6942</f>
        <v>4</v>
      </c>
      <c r="M7542" s="163" t="str">
        <f>CONCATENATE(H7542," ",F7542,"*",I7542,"/",K7542,"чел.")</f>
        <v>36 шт*0,003261/78чел.</v>
      </c>
      <c r="N7542" s="164">
        <f>N6942</f>
        <v>4076.2506250000024</v>
      </c>
      <c r="O7542" s="165">
        <f>MROUND(G7542*N7542,0.000001)</f>
        <v>24.540284</v>
      </c>
      <c r="P7542" s="166"/>
      <c r="Q7542" s="166">
        <f t="shared" ref="Q7542" si="2133">O7542*K7542</f>
        <v>1914.1421519999999</v>
      </c>
      <c r="R7542" s="71"/>
    </row>
    <row r="7543" spans="1:41" s="61" customFormat="1" x14ac:dyDescent="0.25">
      <c r="A7543" s="358"/>
      <c r="B7543" s="361"/>
      <c r="C7543" s="221"/>
      <c r="D7543" s="368" t="s">
        <v>67</v>
      </c>
      <c r="E7543" s="368"/>
      <c r="F7543" s="368"/>
      <c r="G7543" s="368"/>
      <c r="H7543" s="195"/>
      <c r="I7543" s="159"/>
      <c r="J7543" s="195"/>
      <c r="K7543" s="161"/>
      <c r="L7543" s="196"/>
      <c r="M7543" s="230"/>
      <c r="N7543" s="164"/>
      <c r="O7543" s="165">
        <f t="shared" ref="O7543:O7546" si="2134">MROUND(G7543*N7543,0.000001)</f>
        <v>0</v>
      </c>
      <c r="P7543" s="166"/>
      <c r="Q7543" s="166"/>
      <c r="R7543" s="71"/>
    </row>
    <row r="7544" spans="1:41" s="61" customFormat="1" x14ac:dyDescent="0.25">
      <c r="A7544" s="358"/>
      <c r="B7544" s="361"/>
      <c r="C7544" s="221"/>
      <c r="D7544" s="194"/>
      <c r="E7544" s="194"/>
      <c r="F7544" s="194"/>
      <c r="G7544" s="217"/>
      <c r="H7544" s="195"/>
      <c r="I7544" s="159"/>
      <c r="J7544" s="195"/>
      <c r="K7544" s="161"/>
      <c r="L7544" s="196"/>
      <c r="M7544" s="230"/>
      <c r="N7544" s="164"/>
      <c r="O7544" s="165">
        <f t="shared" si="2134"/>
        <v>0</v>
      </c>
      <c r="P7544" s="166"/>
      <c r="Q7544" s="166"/>
      <c r="R7544" s="71"/>
    </row>
    <row r="7545" spans="1:41" s="61" customFormat="1" x14ac:dyDescent="0.25">
      <c r="A7545" s="358"/>
      <c r="B7545" s="361"/>
      <c r="C7545" s="221"/>
      <c r="D7545" s="350" t="s">
        <v>68</v>
      </c>
      <c r="E7545" s="350"/>
      <c r="F7545" s="350"/>
      <c r="G7545" s="350"/>
      <c r="H7545" s="195"/>
      <c r="I7545" s="159"/>
      <c r="J7545" s="195"/>
      <c r="K7545" s="161"/>
      <c r="L7545" s="196"/>
      <c r="M7545" s="230"/>
      <c r="N7545" s="164"/>
      <c r="O7545" s="165">
        <f t="shared" si="2134"/>
        <v>0</v>
      </c>
      <c r="P7545" s="166"/>
      <c r="Q7545" s="166"/>
      <c r="R7545" s="71"/>
    </row>
    <row r="7546" spans="1:41" s="61" customFormat="1" x14ac:dyDescent="0.25">
      <c r="A7546" s="358"/>
      <c r="B7546" s="361"/>
      <c r="C7546" s="221"/>
      <c r="D7546" s="156"/>
      <c r="E7546" s="156"/>
      <c r="F7546" s="156"/>
      <c r="G7546" s="236"/>
      <c r="H7546" s="195"/>
      <c r="I7546" s="159"/>
      <c r="J7546" s="195"/>
      <c r="K7546" s="161"/>
      <c r="L7546" s="196"/>
      <c r="M7546" s="230"/>
      <c r="N7546" s="164"/>
      <c r="O7546" s="165">
        <f t="shared" si="2134"/>
        <v>0</v>
      </c>
      <c r="P7546" s="166"/>
      <c r="Q7546" s="166"/>
      <c r="R7546" s="71"/>
    </row>
    <row r="7547" spans="1:41" s="61" customFormat="1" x14ac:dyDescent="0.25">
      <c r="A7547" s="358"/>
      <c r="B7547" s="361"/>
      <c r="C7547" s="221"/>
      <c r="D7547" s="368" t="s">
        <v>69</v>
      </c>
      <c r="E7547" s="368"/>
      <c r="F7547" s="368"/>
      <c r="G7547" s="368"/>
      <c r="H7547" s="187"/>
      <c r="I7547" s="159"/>
      <c r="J7547" s="187"/>
      <c r="K7547" s="161"/>
      <c r="L7547" s="276"/>
      <c r="M7547" s="230"/>
      <c r="N7547" s="164"/>
      <c r="O7547" s="198">
        <f>O7549+O7556+O7573+O7575+O7590+O7592+O7594+O7619+O7621+O7626+O7623</f>
        <v>944.68287071999998</v>
      </c>
      <c r="P7547" s="166"/>
      <c r="Q7547" s="166"/>
      <c r="R7547" s="71"/>
    </row>
    <row r="7548" spans="1:41" s="61" customFormat="1" x14ac:dyDescent="0.25">
      <c r="A7548" s="358"/>
      <c r="B7548" s="361"/>
      <c r="C7548" s="221">
        <v>224</v>
      </c>
      <c r="D7548" s="156" t="s">
        <v>21</v>
      </c>
      <c r="E7548" s="156" t="s">
        <v>22</v>
      </c>
      <c r="F7548" s="156" t="s">
        <v>22</v>
      </c>
      <c r="G7548" s="238">
        <f>MROUND(H7548*L7548*I7548/K7548,0.000001)</f>
        <v>0</v>
      </c>
      <c r="H7548" s="158"/>
      <c r="I7548" s="159">
        <f>I7542</f>
        <v>3.261E-3</v>
      </c>
      <c r="J7548" s="160"/>
      <c r="K7548" s="161">
        <f>K7542</f>
        <v>78</v>
      </c>
      <c r="L7548" s="250"/>
      <c r="M7548" s="163"/>
      <c r="N7548" s="164"/>
      <c r="O7548" s="165">
        <f>MROUND(G7548*N7548,0.000001)</f>
        <v>0</v>
      </c>
      <c r="P7548" s="166"/>
      <c r="Q7548" s="166">
        <f t="shared" ref="Q7548" si="2135">O7548*K7548</f>
        <v>0</v>
      </c>
      <c r="R7548" s="71"/>
    </row>
    <row r="7549" spans="1:41" s="62" customFormat="1" x14ac:dyDescent="0.25">
      <c r="A7549" s="358"/>
      <c r="B7549" s="361"/>
      <c r="C7549" s="218" t="s">
        <v>293</v>
      </c>
      <c r="D7549" s="240"/>
      <c r="E7549" s="240"/>
      <c r="F7549" s="240"/>
      <c r="G7549" s="227"/>
      <c r="H7549" s="241"/>
      <c r="I7549" s="206"/>
      <c r="J7549" s="228"/>
      <c r="K7549" s="207"/>
      <c r="L7549" s="257"/>
      <c r="M7549" s="209"/>
      <c r="N7549" s="210"/>
      <c r="O7549" s="198">
        <f>SUM(O7548)</f>
        <v>0</v>
      </c>
      <c r="P7549" s="267"/>
      <c r="Q7549" s="166"/>
      <c r="R7549" s="71"/>
    </row>
    <row r="7550" spans="1:41" s="61" customFormat="1" ht="31.5" x14ac:dyDescent="0.25">
      <c r="A7550" s="358"/>
      <c r="B7550" s="361"/>
      <c r="C7550" s="364" t="s">
        <v>78</v>
      </c>
      <c r="D7550" s="156" t="s">
        <v>26</v>
      </c>
      <c r="E7550" s="156" t="s">
        <v>22</v>
      </c>
      <c r="F7550" s="156" t="s">
        <v>22</v>
      </c>
      <c r="G7550" s="238">
        <f>MROUND(H7550*L7550*I7550/K7550,0.000001)</f>
        <v>12.963728999999999</v>
      </c>
      <c r="H7550" s="158">
        <f>H6830</f>
        <v>25840</v>
      </c>
      <c r="I7550" s="159">
        <f>I7548</f>
        <v>3.261E-3</v>
      </c>
      <c r="J7550" s="160"/>
      <c r="K7550" s="161">
        <f>K7548</f>
        <v>78</v>
      </c>
      <c r="L7550" s="250">
        <v>12</v>
      </c>
      <c r="M7550" s="163" t="str">
        <f>CONCATENATE(H7550," ",F7550,"(обрабатываемая площадь в мес.)","*",L7550,"мес.","*",I7550,"/",K7550,"чел.")</f>
        <v>25840 м2(обрабатываемая площадь в мес.)*12мес.*0,003261/78чел.</v>
      </c>
      <c r="N7550" s="164">
        <f>N6830</f>
        <v>1.2568903508771934</v>
      </c>
      <c r="O7550" s="165">
        <f t="shared" ref="O7550:O7555" si="2136">MROUND(G7550*N7550,0.000001)</f>
        <v>16.293986</v>
      </c>
      <c r="P7550" s="166"/>
      <c r="Q7550" s="166">
        <f t="shared" ref="Q7550:Q7555" si="2137">O7550*K7550</f>
        <v>1270.930908</v>
      </c>
      <c r="R7550" s="71"/>
    </row>
    <row r="7551" spans="1:41" s="61" customFormat="1" ht="31.5" x14ac:dyDescent="0.25">
      <c r="A7551" s="358"/>
      <c r="B7551" s="361"/>
      <c r="C7551" s="364"/>
      <c r="D7551" s="156" t="s">
        <v>96</v>
      </c>
      <c r="E7551" s="156" t="s">
        <v>22</v>
      </c>
      <c r="F7551" s="156" t="s">
        <v>22</v>
      </c>
      <c r="G7551" s="238">
        <f>MROUND(H7551*L7551*I7551/K7551,0.000001)</f>
        <v>6.7101349999999993</v>
      </c>
      <c r="H7551" s="158">
        <f>H6831</f>
        <v>13375</v>
      </c>
      <c r="I7551" s="159">
        <f t="shared" si="2125"/>
        <v>3.261E-3</v>
      </c>
      <c r="J7551" s="160"/>
      <c r="K7551" s="161">
        <f>K7550</f>
        <v>78</v>
      </c>
      <c r="L7551" s="250">
        <v>12</v>
      </c>
      <c r="M7551" s="163" t="str">
        <f>CONCATENATE(H7551," ",F7551,"(обрабатываемая площадь в мес.)","*",L7551,"мес.","*",I7551,"/",K7551,"чел.")</f>
        <v>13375 м2(обрабатываемая площадь в мес.)*12мес.*0,003261/78чел.</v>
      </c>
      <c r="N7551" s="164">
        <f>N6831</f>
        <v>2.0157672274143299</v>
      </c>
      <c r="O7551" s="165">
        <f t="shared" si="2136"/>
        <v>13.526069999999999</v>
      </c>
      <c r="P7551" s="166"/>
      <c r="Q7551" s="166">
        <f t="shared" si="2137"/>
        <v>1055.0334599999999</v>
      </c>
      <c r="R7551" s="71"/>
    </row>
    <row r="7552" spans="1:41" s="135" customFormat="1" ht="31.5" x14ac:dyDescent="0.25">
      <c r="A7552" s="358"/>
      <c r="B7552" s="361"/>
      <c r="C7552" s="364"/>
      <c r="D7552" s="156" t="s">
        <v>385</v>
      </c>
      <c r="E7552" s="156" t="s">
        <v>22</v>
      </c>
      <c r="F7552" s="156" t="s">
        <v>22</v>
      </c>
      <c r="G7552" s="238">
        <f>MROUND(H7552*L7552*I7552/K7552,0.000001)</f>
        <v>13.420268999999999</v>
      </c>
      <c r="H7552" s="242">
        <f>$H$55</f>
        <v>13375</v>
      </c>
      <c r="I7552" s="159">
        <f t="shared" si="2125"/>
        <v>3.261E-3</v>
      </c>
      <c r="J7552" s="160"/>
      <c r="K7552" s="161">
        <f>K7551</f>
        <v>78</v>
      </c>
      <c r="L7552" s="162">
        <v>24</v>
      </c>
      <c r="M7552" s="163" t="str">
        <f>CONCATENATE(H7552," ",F7552,"(обрабатываемая площадь в год)","*",L7552," раза в год.","*",I7552,"/",K7552,"чел.")</f>
        <v>13375 м2(обрабатываемая площадь в год)*24 раза в год.*0,003261/78чел.</v>
      </c>
      <c r="N7552" s="164">
        <f>$N$6832</f>
        <v>2.4900656074766365</v>
      </c>
      <c r="O7552" s="165">
        <f t="shared" si="2136"/>
        <v>33.417349999999999</v>
      </c>
      <c r="P7552" s="166"/>
      <c r="Q7552" s="166">
        <f t="shared" si="2137"/>
        <v>2606.5533</v>
      </c>
      <c r="R7552" s="71"/>
      <c r="S7552" s="61"/>
      <c r="T7552" s="61"/>
      <c r="U7552" s="61"/>
      <c r="V7552" s="61"/>
      <c r="W7552" s="61"/>
      <c r="X7552" s="61"/>
      <c r="Y7552" s="61"/>
      <c r="Z7552" s="61"/>
      <c r="AA7552" s="61"/>
      <c r="AB7552" s="61"/>
      <c r="AC7552" s="61"/>
      <c r="AD7552" s="61"/>
      <c r="AE7552" s="61"/>
      <c r="AF7552" s="61"/>
      <c r="AG7552" s="61"/>
      <c r="AH7552" s="61"/>
      <c r="AI7552" s="61"/>
      <c r="AJ7552" s="61"/>
      <c r="AK7552" s="61"/>
      <c r="AL7552" s="61"/>
      <c r="AM7552" s="61"/>
      <c r="AN7552" s="61"/>
      <c r="AO7552" s="61"/>
    </row>
    <row r="7553" spans="1:41" s="135" customFormat="1" ht="31.5" x14ac:dyDescent="0.25">
      <c r="A7553" s="358"/>
      <c r="B7553" s="361"/>
      <c r="C7553" s="364"/>
      <c r="D7553" s="156" t="s">
        <v>394</v>
      </c>
      <c r="E7553" s="156" t="s">
        <v>22</v>
      </c>
      <c r="F7553" s="156" t="s">
        <v>22</v>
      </c>
      <c r="G7553" s="238">
        <f>MROUND(H7553*L7553*I7553/K7553,0.000001)</f>
        <v>12.963728999999999</v>
      </c>
      <c r="H7553" s="243">
        <f>$H$56</f>
        <v>25840</v>
      </c>
      <c r="I7553" s="159">
        <f t="shared" si="2125"/>
        <v>3.261E-3</v>
      </c>
      <c r="J7553" s="160"/>
      <c r="K7553" s="161">
        <f>K7552</f>
        <v>78</v>
      </c>
      <c r="L7553" s="162">
        <v>12</v>
      </c>
      <c r="M7553" s="163" t="str">
        <f>CONCATENATE(H7553," ",F7553,"(обрабатываемая площадь в мес.)","*",L7553,"мес.","*",I7553,"/",K7553,"чел.")</f>
        <v>25840 м2(обрабатываемая площадь в мес.)*12мес.*0,003261/78чел.</v>
      </c>
      <c r="N7553" s="164">
        <f>$N$6833</f>
        <v>0.59287277476780176</v>
      </c>
      <c r="O7553" s="165">
        <f t="shared" si="2136"/>
        <v>7.6858420000000001</v>
      </c>
      <c r="P7553" s="166"/>
      <c r="Q7553" s="166">
        <f t="shared" si="2137"/>
        <v>599.495676</v>
      </c>
      <c r="R7553" s="71"/>
      <c r="S7553" s="61"/>
      <c r="T7553" s="61"/>
      <c r="U7553" s="61"/>
      <c r="V7553" s="61"/>
      <c r="W7553" s="61"/>
      <c r="X7553" s="61"/>
      <c r="Y7553" s="61"/>
      <c r="Z7553" s="61"/>
      <c r="AA7553" s="61"/>
      <c r="AB7553" s="61"/>
      <c r="AC7553" s="61"/>
      <c r="AD7553" s="61"/>
      <c r="AE7553" s="61"/>
      <c r="AF7553" s="61"/>
      <c r="AG7553" s="61"/>
      <c r="AH7553" s="61"/>
      <c r="AI7553" s="61"/>
      <c r="AJ7553" s="61"/>
      <c r="AK7553" s="61"/>
      <c r="AL7553" s="61"/>
      <c r="AM7553" s="61"/>
      <c r="AN7553" s="61"/>
      <c r="AO7553" s="61"/>
    </row>
    <row r="7554" spans="1:41" s="135" customFormat="1" ht="31.5" x14ac:dyDescent="0.25">
      <c r="A7554" s="358"/>
      <c r="B7554" s="361"/>
      <c r="C7554" s="364"/>
      <c r="D7554" s="156" t="s">
        <v>395</v>
      </c>
      <c r="E7554" s="156" t="s">
        <v>98</v>
      </c>
      <c r="F7554" s="156" t="s">
        <v>98</v>
      </c>
      <c r="G7554" s="238">
        <f>MROUND(H7554*L7554*I7554/K7554,0.000000001)</f>
        <v>7.91838E-4</v>
      </c>
      <c r="H7554" s="242">
        <f>$H$57</f>
        <v>18.939999999999998</v>
      </c>
      <c r="I7554" s="159">
        <f t="shared" si="2125"/>
        <v>3.261E-3</v>
      </c>
      <c r="J7554" s="160"/>
      <c r="K7554" s="161">
        <f>K7553</f>
        <v>78</v>
      </c>
      <c r="L7554" s="162">
        <v>1</v>
      </c>
      <c r="M7554" s="163" t="str">
        <f>CONCATENATE(H7554," ",F7554,"(обрабатываемая площадь в год)","*",L7554," раз в год","*",I7554,"/",K7554,"чел.")</f>
        <v>18,94 Га(обрабатываемая площадь в год)*1 раз в год*0,003261/78чел.</v>
      </c>
      <c r="N7554" s="164">
        <f>$N$6834</f>
        <v>592.87803590285125</v>
      </c>
      <c r="O7554" s="165">
        <f t="shared" si="2136"/>
        <v>0.46946299999999996</v>
      </c>
      <c r="P7554" s="166"/>
      <c r="Q7554" s="166">
        <f t="shared" si="2137"/>
        <v>36.618113999999998</v>
      </c>
      <c r="R7554" s="71"/>
      <c r="S7554" s="61"/>
      <c r="T7554" s="61"/>
      <c r="U7554" s="61"/>
      <c r="V7554" s="61"/>
      <c r="W7554" s="61"/>
      <c r="X7554" s="61"/>
      <c r="Y7554" s="61"/>
      <c r="Z7554" s="61"/>
      <c r="AA7554" s="61"/>
      <c r="AB7554" s="61"/>
      <c r="AC7554" s="61"/>
      <c r="AD7554" s="61"/>
      <c r="AE7554" s="61"/>
      <c r="AF7554" s="61"/>
      <c r="AG7554" s="61"/>
      <c r="AH7554" s="61"/>
      <c r="AI7554" s="61"/>
      <c r="AJ7554" s="61"/>
      <c r="AK7554" s="61"/>
      <c r="AL7554" s="61"/>
      <c r="AM7554" s="61"/>
      <c r="AN7554" s="61"/>
      <c r="AO7554" s="61"/>
    </row>
    <row r="7555" spans="1:41" s="61" customFormat="1" ht="31.5" x14ac:dyDescent="0.25">
      <c r="A7555" s="358"/>
      <c r="B7555" s="361"/>
      <c r="C7555" s="364"/>
      <c r="D7555" s="156" t="s">
        <v>97</v>
      </c>
      <c r="E7555" s="156" t="s">
        <v>98</v>
      </c>
      <c r="F7555" s="156" t="s">
        <v>98</v>
      </c>
      <c r="G7555" s="238">
        <f>MROUND(H7555*L7555*I7555/K7555,0.0000000001)</f>
        <v>7.9183770000000001E-4</v>
      </c>
      <c r="H7555" s="242">
        <f>H6835</f>
        <v>18.939999999999998</v>
      </c>
      <c r="I7555" s="244">
        <f>I7551</f>
        <v>3.261E-3</v>
      </c>
      <c r="J7555" s="160"/>
      <c r="K7555" s="161">
        <f>K7551</f>
        <v>78</v>
      </c>
      <c r="L7555" s="250">
        <v>1</v>
      </c>
      <c r="M7555" s="163" t="str">
        <f>CONCATENATE(H7555," ",F7555,"(обрабатываемая площадь в мес.)","*",L7555,"мес.","*",I7555,"/",K7555,"чел.")</f>
        <v>18,94 Га(обрабатываемая площадь в мес.)*1мес.*0,003261/78чел.</v>
      </c>
      <c r="N7555" s="164">
        <f>N6835</f>
        <v>3226.5021119324188</v>
      </c>
      <c r="O7555" s="165">
        <f t="shared" si="2136"/>
        <v>2.5548660000000001</v>
      </c>
      <c r="P7555" s="166"/>
      <c r="Q7555" s="166">
        <f t="shared" si="2137"/>
        <v>199.27954800000001</v>
      </c>
      <c r="R7555" s="71"/>
    </row>
    <row r="7556" spans="1:41" s="61" customFormat="1" x14ac:dyDescent="0.25">
      <c r="A7556" s="358"/>
      <c r="B7556" s="361"/>
      <c r="C7556" s="245" t="s">
        <v>294</v>
      </c>
      <c r="D7556" s="240"/>
      <c r="E7556" s="240"/>
      <c r="F7556" s="240"/>
      <c r="G7556" s="227"/>
      <c r="H7556" s="241"/>
      <c r="I7556" s="206"/>
      <c r="J7556" s="228"/>
      <c r="K7556" s="207"/>
      <c r="L7556" s="257"/>
      <c r="M7556" s="209"/>
      <c r="N7556" s="210"/>
      <c r="O7556" s="198">
        <f>SUM(O7550:O7555)</f>
        <v>73.94757700000001</v>
      </c>
      <c r="P7556" s="166"/>
      <c r="Q7556" s="166"/>
      <c r="R7556" s="71"/>
    </row>
    <row r="7557" spans="1:41" s="61" customFormat="1" ht="63" x14ac:dyDescent="0.25">
      <c r="A7557" s="358"/>
      <c r="B7557" s="361"/>
      <c r="C7557" s="365" t="s">
        <v>77</v>
      </c>
      <c r="D7557" s="156" t="s">
        <v>29</v>
      </c>
      <c r="E7557" s="156" t="s">
        <v>58</v>
      </c>
      <c r="F7557" s="156" t="s">
        <v>218</v>
      </c>
      <c r="G7557" s="238">
        <f>MROUND(H7557*L7557*I7557/K7557,0.00000001)</f>
        <v>2.5084600000000001E-3</v>
      </c>
      <c r="H7557" s="158">
        <v>15</v>
      </c>
      <c r="I7557" s="159">
        <f>I7555</f>
        <v>3.261E-3</v>
      </c>
      <c r="J7557" s="160"/>
      <c r="K7557" s="161">
        <f>K7555</f>
        <v>78</v>
      </c>
      <c r="L7557" s="162">
        <v>4</v>
      </c>
      <c r="M7557" s="163" t="str">
        <f>CONCATENATE(H7557," ",F7557,"*",L7557," раза в год","*",I7557,"/",K7557,"чел.")</f>
        <v>15 установок*4 раза в год*0,003261/78чел.</v>
      </c>
      <c r="N7557" s="164">
        <f t="shared" ref="N7557:N7567" si="2138">N6837</f>
        <v>2355.4600000000005</v>
      </c>
      <c r="O7557" s="165">
        <f t="shared" ref="O7557:O7565" si="2139">MROUND(G7557*N7557,0.000001)</f>
        <v>5.9085769999999993</v>
      </c>
      <c r="P7557" s="166"/>
      <c r="Q7557" s="166">
        <f t="shared" ref="Q7557:Q7572" si="2140">O7557*K7557</f>
        <v>460.86900599999996</v>
      </c>
      <c r="R7557" s="71"/>
    </row>
    <row r="7558" spans="1:41" s="61" customFormat="1" ht="47.25" x14ac:dyDescent="0.25">
      <c r="A7558" s="358"/>
      <c r="B7558" s="361"/>
      <c r="C7558" s="366"/>
      <c r="D7558" s="156" t="s">
        <v>30</v>
      </c>
      <c r="E7558" s="156" t="s">
        <v>58</v>
      </c>
      <c r="F7558" s="156" t="s">
        <v>218</v>
      </c>
      <c r="G7558" s="238">
        <f>MROUND(H7558*L7558*I7558/K7558,0.00000001)</f>
        <v>1.2542300000000001E-3</v>
      </c>
      <c r="H7558" s="158">
        <v>15</v>
      </c>
      <c r="I7558" s="159">
        <f t="shared" si="2125"/>
        <v>3.261E-3</v>
      </c>
      <c r="J7558" s="160"/>
      <c r="K7558" s="161">
        <f t="shared" ref="K7558:K7566" si="2141">K7557</f>
        <v>78</v>
      </c>
      <c r="L7558" s="250">
        <v>2</v>
      </c>
      <c r="M7558" s="163" t="str">
        <f>CONCATENATE(H7558," ",F7558,"*",L7558,"полуг.","*",I7558,"/",K7558,"чел.")</f>
        <v>15 установок*2полуг.*0,003261/78чел.</v>
      </c>
      <c r="N7558" s="164">
        <f t="shared" si="2138"/>
        <v>4710.920000000001</v>
      </c>
      <c r="O7558" s="165">
        <f t="shared" si="2139"/>
        <v>5.9085769999999993</v>
      </c>
      <c r="P7558" s="166"/>
      <c r="Q7558" s="166">
        <f t="shared" si="2140"/>
        <v>460.86900599999996</v>
      </c>
      <c r="R7558" s="71"/>
    </row>
    <row r="7559" spans="1:41" s="61" customFormat="1" x14ac:dyDescent="0.25">
      <c r="A7559" s="358"/>
      <c r="B7559" s="361"/>
      <c r="C7559" s="366"/>
      <c r="D7559" s="156" t="s">
        <v>397</v>
      </c>
      <c r="E7559" s="156" t="s">
        <v>433</v>
      </c>
      <c r="F7559" s="156" t="s">
        <v>433</v>
      </c>
      <c r="G7559" s="238">
        <f>MROUND(H7559*L7559*I7559/K7559,0.000001)</f>
        <v>0</v>
      </c>
      <c r="H7559" s="158">
        <f>H6839</f>
        <v>0</v>
      </c>
      <c r="I7559" s="159">
        <f t="shared" si="2125"/>
        <v>3.261E-3</v>
      </c>
      <c r="J7559" s="160"/>
      <c r="K7559" s="161">
        <f t="shared" si="2141"/>
        <v>78</v>
      </c>
      <c r="L7559" s="162">
        <v>1</v>
      </c>
      <c r="M7559" s="163"/>
      <c r="N7559" s="164">
        <f t="shared" si="2138"/>
        <v>0</v>
      </c>
      <c r="O7559" s="165">
        <f t="shared" si="2139"/>
        <v>0</v>
      </c>
      <c r="P7559" s="166"/>
      <c r="Q7559" s="166">
        <f t="shared" si="2140"/>
        <v>0</v>
      </c>
      <c r="R7559" s="71"/>
    </row>
    <row r="7560" spans="1:41" s="61" customFormat="1" ht="47.25" x14ac:dyDescent="0.25">
      <c r="A7560" s="358"/>
      <c r="B7560" s="361"/>
      <c r="C7560" s="366"/>
      <c r="D7560" s="156" t="s">
        <v>32</v>
      </c>
      <c r="E7560" s="156" t="s">
        <v>55</v>
      </c>
      <c r="F7560" s="156" t="s">
        <v>219</v>
      </c>
      <c r="G7560" s="238">
        <f>MROUND(H7560*L7560*I7560/K7560,0.000000001)</f>
        <v>6.0203080000000003E-3</v>
      </c>
      <c r="H7560" s="158">
        <f>H6840</f>
        <v>36</v>
      </c>
      <c r="I7560" s="159">
        <f>I7559</f>
        <v>3.261E-3</v>
      </c>
      <c r="J7560" s="160"/>
      <c r="K7560" s="161">
        <f t="shared" si="2141"/>
        <v>78</v>
      </c>
      <c r="L7560" s="250">
        <v>4</v>
      </c>
      <c r="M7560" s="163" t="str">
        <f>CONCATENATE(H7560," ",F7560,"*",L7560,"кв.","*",I7560,"/",K7560,"чел.")</f>
        <v>36 системы*4кв.*0,003261/78чел.</v>
      </c>
      <c r="N7560" s="164">
        <f t="shared" si="2138"/>
        <v>7532.7785416666693</v>
      </c>
      <c r="O7560" s="165">
        <f t="shared" si="2139"/>
        <v>45.349646999999997</v>
      </c>
      <c r="P7560" s="166"/>
      <c r="Q7560" s="166">
        <f t="shared" si="2140"/>
        <v>3537.2724659999999</v>
      </c>
      <c r="R7560" s="71"/>
    </row>
    <row r="7561" spans="1:41" s="61" customFormat="1" ht="63" x14ac:dyDescent="0.25">
      <c r="A7561" s="358"/>
      <c r="B7561" s="361"/>
      <c r="C7561" s="366"/>
      <c r="D7561" s="156" t="s">
        <v>33</v>
      </c>
      <c r="E7561" s="156" t="s">
        <v>56</v>
      </c>
      <c r="F7561" s="156" t="s">
        <v>220</v>
      </c>
      <c r="G7561" s="238">
        <f>MROUND(H7561*L7561*I7561/K7561,0.000000001)</f>
        <v>1.5050770000000001E-3</v>
      </c>
      <c r="H7561" s="158">
        <f>$H$64</f>
        <v>36</v>
      </c>
      <c r="I7561" s="159">
        <f>I7560</f>
        <v>3.261E-3</v>
      </c>
      <c r="J7561" s="160"/>
      <c r="K7561" s="161">
        <f t="shared" si="2141"/>
        <v>78</v>
      </c>
      <c r="L7561" s="162">
        <v>1</v>
      </c>
      <c r="M7561" s="163" t="str">
        <f>CONCATENATE(H7561," ",F7561,"*",L7561," раз в год","*",I7561,"/",K7561,"чел.")</f>
        <v>36 дымоходов*1 раз в год*0,003261/78чел.</v>
      </c>
      <c r="N7561" s="164">
        <f t="shared" si="2138"/>
        <v>7312.0941666666668</v>
      </c>
      <c r="O7561" s="165">
        <f t="shared" si="2139"/>
        <v>11.005265</v>
      </c>
      <c r="P7561" s="166"/>
      <c r="Q7561" s="166">
        <f t="shared" si="2140"/>
        <v>858.41066999999998</v>
      </c>
      <c r="R7561" s="71"/>
    </row>
    <row r="7562" spans="1:41" s="61" customFormat="1" x14ac:dyDescent="0.25">
      <c r="A7562" s="358"/>
      <c r="B7562" s="361"/>
      <c r="C7562" s="366"/>
      <c r="D7562" s="194" t="s">
        <v>398</v>
      </c>
      <c r="E7562" s="156" t="s">
        <v>60</v>
      </c>
      <c r="F7562" s="156" t="s">
        <v>60</v>
      </c>
      <c r="G7562" s="238">
        <f>MROUND(H7562*L7562*I7562/K7562,0.000000001)</f>
        <v>1.4632690000000001E-3</v>
      </c>
      <c r="H7562" s="246">
        <f t="shared" ref="H7562:H7567" si="2142">H6842</f>
        <v>35</v>
      </c>
      <c r="I7562" s="159">
        <f t="shared" si="2125"/>
        <v>3.261E-3</v>
      </c>
      <c r="J7562" s="160"/>
      <c r="K7562" s="161">
        <f t="shared" si="2141"/>
        <v>78</v>
      </c>
      <c r="L7562" s="250">
        <v>1</v>
      </c>
      <c r="M7562" s="163" t="str">
        <f>CONCATENATE(H7562," ",F7562,"*",I7562,"/",K7562,"чел.")</f>
        <v>35 шт.*0,003261/78чел.</v>
      </c>
      <c r="N7562" s="164">
        <f t="shared" si="2138"/>
        <v>12660.374571428585</v>
      </c>
      <c r="O7562" s="165">
        <f t="shared" si="2139"/>
        <v>18.525534</v>
      </c>
      <c r="P7562" s="166"/>
      <c r="Q7562" s="166">
        <f t="shared" si="2140"/>
        <v>1444.9916519999999</v>
      </c>
      <c r="R7562" s="71"/>
    </row>
    <row r="7563" spans="1:41" s="61" customFormat="1" ht="47.25" x14ac:dyDescent="0.25">
      <c r="A7563" s="358"/>
      <c r="B7563" s="361"/>
      <c r="C7563" s="366"/>
      <c r="D7563" s="156" t="s">
        <v>401</v>
      </c>
      <c r="E7563" s="156" t="s">
        <v>60</v>
      </c>
      <c r="F7563" s="156" t="s">
        <v>402</v>
      </c>
      <c r="G7563" s="238">
        <f>MROUND(H7563*L7563*I7563/K7563,0.000001)</f>
        <v>2.9269999999999999E-3</v>
      </c>
      <c r="H7563" s="246">
        <f t="shared" si="2142"/>
        <v>35</v>
      </c>
      <c r="I7563" s="159">
        <f t="shared" si="2125"/>
        <v>3.261E-3</v>
      </c>
      <c r="J7563" s="160"/>
      <c r="K7563" s="161">
        <f t="shared" si="2141"/>
        <v>78</v>
      </c>
      <c r="L7563" s="162">
        <v>2</v>
      </c>
      <c r="M7563" s="163" t="str">
        <f>CONCATENATE(H7563," ",F7563,"*",L7563," раз в год","*",I7563,"/",K7563,"чел.")</f>
        <v>35 противопожарных водопроводов*2 раз в год*0,003261/78чел.</v>
      </c>
      <c r="N7563" s="164">
        <f t="shared" si="2138"/>
        <v>5928.7300000000032</v>
      </c>
      <c r="O7563" s="165">
        <f t="shared" si="2139"/>
        <v>17.353393000000001</v>
      </c>
      <c r="P7563" s="166"/>
      <c r="Q7563" s="166">
        <f t="shared" si="2140"/>
        <v>1353.564654</v>
      </c>
      <c r="R7563" s="71"/>
    </row>
    <row r="7564" spans="1:41" s="61" customFormat="1" ht="31.5" x14ac:dyDescent="0.25">
      <c r="A7564" s="358"/>
      <c r="B7564" s="361"/>
      <c r="C7564" s="366"/>
      <c r="D7564" s="156" t="s">
        <v>221</v>
      </c>
      <c r="E7564" s="156" t="s">
        <v>60</v>
      </c>
      <c r="F7564" s="156" t="s">
        <v>60</v>
      </c>
      <c r="G7564" s="238">
        <f>MROUND(H7564*L7564*I7564/K7564,0.000000001)</f>
        <v>9.0304620000000013E-3</v>
      </c>
      <c r="H7564" s="158">
        <f t="shared" si="2142"/>
        <v>18</v>
      </c>
      <c r="I7564" s="159">
        <f t="shared" si="2125"/>
        <v>3.261E-3</v>
      </c>
      <c r="J7564" s="160"/>
      <c r="K7564" s="161">
        <f t="shared" si="2141"/>
        <v>78</v>
      </c>
      <c r="L7564" s="250">
        <v>12</v>
      </c>
      <c r="M7564" s="163" t="str">
        <f>CONCATENATE(H7564," ",F7564,"*",L7564,"мес.","*",I7564,"/",K7564,"чел.")</f>
        <v>18 шт.*12мес.*0,003261/78чел.</v>
      </c>
      <c r="N7564" s="164">
        <f t="shared" si="2138"/>
        <v>6840.4345833333346</v>
      </c>
      <c r="O7564" s="165">
        <f t="shared" si="2139"/>
        <v>61.772284999999997</v>
      </c>
      <c r="P7564" s="166"/>
      <c r="Q7564" s="166">
        <f t="shared" si="2140"/>
        <v>4818.2382299999999</v>
      </c>
      <c r="R7564" s="71"/>
    </row>
    <row r="7565" spans="1:41" s="61" customFormat="1" ht="47.25" x14ac:dyDescent="0.25">
      <c r="A7565" s="358"/>
      <c r="B7565" s="361"/>
      <c r="C7565" s="366"/>
      <c r="D7565" s="156" t="s">
        <v>34</v>
      </c>
      <c r="E7565" s="156" t="s">
        <v>59</v>
      </c>
      <c r="F7565" s="156" t="s">
        <v>28</v>
      </c>
      <c r="G7565" s="238">
        <f>MROUND(H7565*L7565*I7565/K7565,0.000000001)</f>
        <v>8.3615000000000005E-5</v>
      </c>
      <c r="H7565" s="158">
        <f t="shared" si="2142"/>
        <v>2</v>
      </c>
      <c r="I7565" s="159">
        <f t="shared" si="2125"/>
        <v>3.261E-3</v>
      </c>
      <c r="J7565" s="160"/>
      <c r="K7565" s="161">
        <f t="shared" si="2141"/>
        <v>78</v>
      </c>
      <c r="L7565" s="250">
        <v>1</v>
      </c>
      <c r="M7565" s="163" t="str">
        <f>CONCATENATE(H7565," ",F7565,"*",I7565,"/",K7565,"чел.")</f>
        <v>2 шт*0,003261/78чел.</v>
      </c>
      <c r="N7565" s="164">
        <f t="shared" si="2138"/>
        <v>8158.8</v>
      </c>
      <c r="O7565" s="165">
        <f t="shared" si="2139"/>
        <v>0.68219799999999997</v>
      </c>
      <c r="P7565" s="166"/>
      <c r="Q7565" s="166">
        <f t="shared" si="2140"/>
        <v>53.211444</v>
      </c>
      <c r="R7565" s="71"/>
    </row>
    <row r="7566" spans="1:41" s="61" customFormat="1" ht="47.25" x14ac:dyDescent="0.25">
      <c r="A7566" s="358"/>
      <c r="B7566" s="361"/>
      <c r="C7566" s="366"/>
      <c r="D7566" s="156" t="s">
        <v>222</v>
      </c>
      <c r="E7566" s="156" t="s">
        <v>60</v>
      </c>
      <c r="F7566" s="156" t="s">
        <v>60</v>
      </c>
      <c r="G7566" s="238">
        <f>MROUND(H7566*L7566*I7566/K7566,0.00000000001)</f>
        <v>2.0903845999999999E-4</v>
      </c>
      <c r="H7566" s="248">
        <f t="shared" si="2142"/>
        <v>5</v>
      </c>
      <c r="I7566" s="159">
        <f t="shared" si="2125"/>
        <v>3.261E-3</v>
      </c>
      <c r="J7566" s="160"/>
      <c r="K7566" s="161">
        <f t="shared" si="2141"/>
        <v>78</v>
      </c>
      <c r="L7566" s="250">
        <v>1</v>
      </c>
      <c r="M7566" s="163" t="str">
        <f>CONCATENATE(H7566," ",F7566,"*",I7566,"/",K7566,"чел.")</f>
        <v>5 шт.*0,003261/78чел.</v>
      </c>
      <c r="N7566" s="164">
        <f t="shared" si="2138"/>
        <v>45611.39</v>
      </c>
      <c r="O7566" s="165">
        <f>MROUND(G7566*N7566,0.00000001)</f>
        <v>9.5345347199999999</v>
      </c>
      <c r="P7566" s="166"/>
      <c r="Q7566" s="166">
        <f t="shared" si="2140"/>
        <v>743.69370816000003</v>
      </c>
      <c r="R7566" s="71"/>
    </row>
    <row r="7567" spans="1:41" s="61" customFormat="1" ht="31.5" x14ac:dyDescent="0.25">
      <c r="A7567" s="358"/>
      <c r="B7567" s="361"/>
      <c r="C7567" s="366"/>
      <c r="D7567" s="156" t="s">
        <v>35</v>
      </c>
      <c r="E7567" s="156" t="s">
        <v>102</v>
      </c>
      <c r="F7567" s="156" t="s">
        <v>223</v>
      </c>
      <c r="G7567" s="238">
        <f>MROUND(H7567*L7567*I7567/K7567,0.00000001)</f>
        <v>1.46327E-3</v>
      </c>
      <c r="H7567" s="158">
        <f t="shared" si="2142"/>
        <v>35</v>
      </c>
      <c r="I7567" s="159">
        <f>I7565</f>
        <v>3.261E-3</v>
      </c>
      <c r="J7567" s="160"/>
      <c r="K7567" s="161">
        <f>K7565</f>
        <v>78</v>
      </c>
      <c r="L7567" s="250">
        <v>1</v>
      </c>
      <c r="M7567" s="163" t="str">
        <f>CONCATENATE(H7567," ",F7567,"*",I7567,"/",K7567,"чел.")</f>
        <v>35 замеров*0,003261/78чел.</v>
      </c>
      <c r="N7567" s="164">
        <f t="shared" si="2138"/>
        <v>26000</v>
      </c>
      <c r="O7567" s="165">
        <f t="shared" ref="O7567:O7572" si="2143">MROUND(G7567*N7567,0.000001)</f>
        <v>38.045020000000001</v>
      </c>
      <c r="P7567" s="166"/>
      <c r="Q7567" s="166">
        <f t="shared" si="2140"/>
        <v>2967.5115599999999</v>
      </c>
      <c r="R7567" s="71"/>
    </row>
    <row r="7568" spans="1:41" s="61" customFormat="1" ht="47.25" x14ac:dyDescent="0.25">
      <c r="A7568" s="358"/>
      <c r="B7568" s="361"/>
      <c r="C7568" s="366"/>
      <c r="D7568" s="156" t="s">
        <v>399</v>
      </c>
      <c r="E7568" s="156" t="s">
        <v>60</v>
      </c>
      <c r="F7568" s="156" t="s">
        <v>60</v>
      </c>
      <c r="G7568" s="238">
        <f>MROUND(H7568*L7568*I7568/K7568,0.000000001)</f>
        <v>1.4632692000000001E-2</v>
      </c>
      <c r="H7568" s="158">
        <f>H6968</f>
        <v>35</v>
      </c>
      <c r="I7568" s="159">
        <f t="shared" si="2125"/>
        <v>3.261E-3</v>
      </c>
      <c r="J7568" s="160"/>
      <c r="K7568" s="161">
        <f>K7567</f>
        <v>78</v>
      </c>
      <c r="L7568" s="250">
        <v>10</v>
      </c>
      <c r="M7568" s="163" t="str">
        <f>CONCATENATE(H7568," ",F7568,"*",L7568,"мес.","*",I7568,"/",K7568,"чел.")</f>
        <v>35 шт.*10мес.*0,003261/78чел.</v>
      </c>
      <c r="N7568" s="164">
        <f>N6968</f>
        <v>3380.9014857142843</v>
      </c>
      <c r="O7568" s="165">
        <f t="shared" si="2143"/>
        <v>49.471689999999995</v>
      </c>
      <c r="P7568" s="166"/>
      <c r="Q7568" s="166">
        <f t="shared" si="2140"/>
        <v>3858.7918199999995</v>
      </c>
      <c r="R7568" s="71"/>
    </row>
    <row r="7569" spans="1:18" s="61" customFormat="1" ht="47.25" x14ac:dyDescent="0.25">
      <c r="A7569" s="358"/>
      <c r="B7569" s="361"/>
      <c r="C7569" s="366"/>
      <c r="D7569" s="156" t="s">
        <v>36</v>
      </c>
      <c r="E7569" s="156" t="s">
        <v>31</v>
      </c>
      <c r="F7569" s="156" t="s">
        <v>224</v>
      </c>
      <c r="G7569" s="238">
        <f>MROUND(H7569*L7569*I7569/K7569,0.00000001)</f>
        <v>1.8060920000000001E-2</v>
      </c>
      <c r="H7569" s="158">
        <f>H6849</f>
        <v>36</v>
      </c>
      <c r="I7569" s="159">
        <f t="shared" si="2125"/>
        <v>3.261E-3</v>
      </c>
      <c r="J7569" s="160"/>
      <c r="K7569" s="161">
        <f>K7568</f>
        <v>78</v>
      </c>
      <c r="L7569" s="250">
        <v>12</v>
      </c>
      <c r="M7569" s="163" t="str">
        <f>CONCATENATE(H7569," ",F7569,"*",L7569,"мес.","*",I7569,"/",K7569,"чел.")</f>
        <v>36 устройств*12мес.*0,003261/78чел.</v>
      </c>
      <c r="N7569" s="164">
        <f>N6849</f>
        <v>1269.5381481481488</v>
      </c>
      <c r="O7569" s="165">
        <f t="shared" si="2143"/>
        <v>22.929026999999998</v>
      </c>
      <c r="P7569" s="166"/>
      <c r="Q7569" s="166">
        <f t="shared" si="2140"/>
        <v>1788.4641059999999</v>
      </c>
      <c r="R7569" s="71"/>
    </row>
    <row r="7570" spans="1:18" s="61" customFormat="1" ht="31.5" x14ac:dyDescent="0.25">
      <c r="A7570" s="358"/>
      <c r="B7570" s="361"/>
      <c r="C7570" s="366"/>
      <c r="D7570" s="156" t="s">
        <v>99</v>
      </c>
      <c r="E7570" s="156" t="s">
        <v>103</v>
      </c>
      <c r="F7570" s="156" t="s">
        <v>225</v>
      </c>
      <c r="G7570" s="238">
        <f>MROUND(H7570*L7570*I7570/K7570,0.00000001)</f>
        <v>8.4033500000000004E-3</v>
      </c>
      <c r="H7570" s="158">
        <f>H6850</f>
        <v>201</v>
      </c>
      <c r="I7570" s="159">
        <f t="shared" si="2125"/>
        <v>3.261E-3</v>
      </c>
      <c r="J7570" s="160"/>
      <c r="K7570" s="161">
        <f>K7569</f>
        <v>78</v>
      </c>
      <c r="L7570" s="250">
        <v>1</v>
      </c>
      <c r="M7570" s="163" t="str">
        <f>CONCATENATE(H7570," ",F7570,"*",I7570,"/",K7570,"чел.")</f>
        <v>201 ед.*0,003261/78чел.</v>
      </c>
      <c r="N7570" s="164">
        <f>N6850</f>
        <v>15000</v>
      </c>
      <c r="O7570" s="165">
        <f t="shared" si="2143"/>
        <v>126.05024999999999</v>
      </c>
      <c r="P7570" s="166"/>
      <c r="Q7570" s="166">
        <f t="shared" si="2140"/>
        <v>9831.9195</v>
      </c>
      <c r="R7570" s="71"/>
    </row>
    <row r="7571" spans="1:18" s="61" customFormat="1" x14ac:dyDescent="0.25">
      <c r="A7571" s="358"/>
      <c r="B7571" s="361"/>
      <c r="C7571" s="366"/>
      <c r="D7571" s="156" t="s">
        <v>27</v>
      </c>
      <c r="E7571" s="156" t="s">
        <v>28</v>
      </c>
      <c r="F7571" s="156" t="s">
        <v>28</v>
      </c>
      <c r="G7571" s="238">
        <f>MROUND(H7571*L7571*I7571/K7571,0.0000000001)</f>
        <v>0.1751742308</v>
      </c>
      <c r="H7571" s="160">
        <f>H6851</f>
        <v>4190</v>
      </c>
      <c r="I7571" s="159">
        <f t="shared" si="2125"/>
        <v>3.261E-3</v>
      </c>
      <c r="J7571" s="160"/>
      <c r="K7571" s="161">
        <f>K7570</f>
        <v>78</v>
      </c>
      <c r="L7571" s="250">
        <v>1</v>
      </c>
      <c r="M7571" s="163" t="str">
        <f>CONCATENATE(H7571," ",F7571,"*",I7571,"/",K7571,"чел.")</f>
        <v>4190 шт*0,003261/78чел.</v>
      </c>
      <c r="N7571" s="164">
        <f>N6971</f>
        <v>435.13600000000008</v>
      </c>
      <c r="O7571" s="165">
        <f t="shared" si="2143"/>
        <v>76.224614000000003</v>
      </c>
      <c r="P7571" s="166"/>
      <c r="Q7571" s="166">
        <f t="shared" si="2140"/>
        <v>5945.5198920000003</v>
      </c>
      <c r="R7571" s="71"/>
    </row>
    <row r="7572" spans="1:18" s="61" customFormat="1" ht="31.5" x14ac:dyDescent="0.25">
      <c r="A7572" s="358"/>
      <c r="B7572" s="361"/>
      <c r="C7572" s="367"/>
      <c r="D7572" s="156" t="s">
        <v>104</v>
      </c>
      <c r="E7572" s="156" t="s">
        <v>105</v>
      </c>
      <c r="F7572" s="156" t="s">
        <v>226</v>
      </c>
      <c r="G7572" s="238">
        <f>MROUND(H7572*L7572*I7572/K7572,0.00000001)</f>
        <v>1.50508E-3</v>
      </c>
      <c r="H7572" s="160">
        <f>H6852</f>
        <v>36</v>
      </c>
      <c r="I7572" s="159">
        <f t="shared" si="2125"/>
        <v>3.261E-3</v>
      </c>
      <c r="J7572" s="160"/>
      <c r="K7572" s="161">
        <f>K7571</f>
        <v>78</v>
      </c>
      <c r="L7572" s="250">
        <v>1</v>
      </c>
      <c r="M7572" s="163" t="str">
        <f>CONCATENATE(H7572," ",F7572,"*",I7572,"/",K7572,"чел.")</f>
        <v>36 отключений*0,003261/78чел.</v>
      </c>
      <c r="N7572" s="164">
        <f>N6852</f>
        <v>10671.710000000006</v>
      </c>
      <c r="O7572" s="165">
        <f t="shared" si="2143"/>
        <v>16.061776999999999</v>
      </c>
      <c r="P7572" s="166"/>
      <c r="Q7572" s="166">
        <f t="shared" si="2140"/>
        <v>1252.818606</v>
      </c>
      <c r="R7572" s="71"/>
    </row>
    <row r="7573" spans="1:18" s="61" customFormat="1" x14ac:dyDescent="0.25">
      <c r="A7573" s="358"/>
      <c r="B7573" s="361"/>
      <c r="C7573" s="249" t="s">
        <v>292</v>
      </c>
      <c r="D7573" s="240"/>
      <c r="E7573" s="240"/>
      <c r="F7573" s="240"/>
      <c r="G7573" s="227"/>
      <c r="H7573" s="228"/>
      <c r="I7573" s="206"/>
      <c r="J7573" s="228"/>
      <c r="K7573" s="207"/>
      <c r="L7573" s="257"/>
      <c r="M7573" s="209"/>
      <c r="N7573" s="210"/>
      <c r="O7573" s="198">
        <f>SUM(O7557:O7572)</f>
        <v>504.82238872000005</v>
      </c>
      <c r="P7573" s="166"/>
      <c r="Q7573" s="166"/>
      <c r="R7573" s="71"/>
    </row>
    <row r="7574" spans="1:18" s="61" customFormat="1" ht="31.5" x14ac:dyDescent="0.25">
      <c r="A7574" s="358"/>
      <c r="B7574" s="361"/>
      <c r="C7574" s="221" t="s">
        <v>79</v>
      </c>
      <c r="D7574" s="156" t="s">
        <v>37</v>
      </c>
      <c r="E7574" s="156" t="s">
        <v>61</v>
      </c>
      <c r="F7574" s="156" t="s">
        <v>227</v>
      </c>
      <c r="G7574" s="238">
        <f>MROUND(H7574*L7574*I7574/K7574,0.000000001)</f>
        <v>1.67231E-4</v>
      </c>
      <c r="H7574" s="158">
        <f>H6854</f>
        <v>4</v>
      </c>
      <c r="I7574" s="159">
        <f>I7572</f>
        <v>3.261E-3</v>
      </c>
      <c r="J7574" s="160"/>
      <c r="K7574" s="161">
        <f>K7572</f>
        <v>78</v>
      </c>
      <c r="L7574" s="250">
        <v>1</v>
      </c>
      <c r="M7574" s="163" t="str">
        <f>CONCATENATE(H7574," ",F7574,"*",I7574,"/",K7574,"чел.")</f>
        <v>4 автобуса*0,003261/78чел.</v>
      </c>
      <c r="N7574" s="164">
        <f>N6854</f>
        <v>37900.35</v>
      </c>
      <c r="O7574" s="165">
        <f>MROUND(G7574*N7574,0.000001)</f>
        <v>6.3381129999999999</v>
      </c>
      <c r="P7574" s="166"/>
      <c r="Q7574" s="166">
        <f t="shared" ref="Q7574" si="2144">O7574*K7574</f>
        <v>494.37281400000001</v>
      </c>
      <c r="R7574" s="71"/>
    </row>
    <row r="7575" spans="1:18" s="62" customFormat="1" x14ac:dyDescent="0.25">
      <c r="A7575" s="358"/>
      <c r="B7575" s="361"/>
      <c r="C7575" s="218" t="s">
        <v>295</v>
      </c>
      <c r="D7575" s="240"/>
      <c r="E7575" s="240"/>
      <c r="F7575" s="240"/>
      <c r="G7575" s="227"/>
      <c r="H7575" s="241"/>
      <c r="I7575" s="206"/>
      <c r="J7575" s="228"/>
      <c r="K7575" s="207"/>
      <c r="L7575" s="257"/>
      <c r="M7575" s="209"/>
      <c r="N7575" s="210"/>
      <c r="O7575" s="198">
        <f>SUM(O7574)</f>
        <v>6.3381129999999999</v>
      </c>
      <c r="P7575" s="267"/>
      <c r="Q7575" s="166"/>
      <c r="R7575" s="71"/>
    </row>
    <row r="7576" spans="1:18" s="61" customFormat="1" x14ac:dyDescent="0.25">
      <c r="A7576" s="358"/>
      <c r="B7576" s="361"/>
      <c r="C7576" s="364" t="s">
        <v>80</v>
      </c>
      <c r="D7576" s="156" t="s">
        <v>38</v>
      </c>
      <c r="E7576" s="156" t="s">
        <v>57</v>
      </c>
      <c r="F7576" s="156" t="s">
        <v>228</v>
      </c>
      <c r="G7576" s="238">
        <f>MROUND(H7576*L7576*I7576/K7576,0.0000000001)</f>
        <v>1.8060923100000001E-2</v>
      </c>
      <c r="H7576" s="158">
        <f>H6856</f>
        <v>36</v>
      </c>
      <c r="I7576" s="159">
        <f>I7574</f>
        <v>3.261E-3</v>
      </c>
      <c r="J7576" s="160"/>
      <c r="K7576" s="161">
        <f>K7574</f>
        <v>78</v>
      </c>
      <c r="L7576" s="250">
        <v>12</v>
      </c>
      <c r="M7576" s="163" t="str">
        <f>CONCATENATE(H7576," ",F7576,"*",L7576,"мес.","*",I7576,"/",K7576,"чел.")</f>
        <v>36 зданий*12мес.*0,003261/78чел.</v>
      </c>
      <c r="N7576" s="164">
        <f t="shared" ref="N7576:N7587" si="2145">N6856</f>
        <v>5106.1928935185206</v>
      </c>
      <c r="O7576" s="165">
        <f>MROUND(G7576*N7576,0.000001)</f>
        <v>92.222556999999995</v>
      </c>
      <c r="P7576" s="166"/>
      <c r="Q7576" s="166">
        <f t="shared" ref="Q7576:Q7589" si="2146">O7576*K7576</f>
        <v>7193.3594459999995</v>
      </c>
      <c r="R7576" s="71"/>
    </row>
    <row r="7577" spans="1:18" s="61" customFormat="1" ht="47.25" x14ac:dyDescent="0.25">
      <c r="A7577" s="358"/>
      <c r="B7577" s="361"/>
      <c r="C7577" s="364"/>
      <c r="D7577" s="156" t="s">
        <v>229</v>
      </c>
      <c r="E7577" s="156" t="s">
        <v>60</v>
      </c>
      <c r="F7577" s="156" t="s">
        <v>60</v>
      </c>
      <c r="G7577" s="238">
        <f>MROUND(H7577*L7577*I7577/K7577,0.000001)</f>
        <v>0.100088</v>
      </c>
      <c r="H7577" s="158">
        <f>H6857</f>
        <v>2394</v>
      </c>
      <c r="I7577" s="159">
        <f t="shared" si="2125"/>
        <v>3.261E-3</v>
      </c>
      <c r="J7577" s="160"/>
      <c r="K7577" s="161">
        <f>K7576</f>
        <v>78</v>
      </c>
      <c r="L7577" s="250">
        <v>1</v>
      </c>
      <c r="M7577" s="163" t="str">
        <f t="shared" ref="M7577:M7584" si="2147">CONCATENATE(H7577," ",F7577,"*",I7577,"/",K7577,"чел.")</f>
        <v>2394 шт.*0,003261/78чел.</v>
      </c>
      <c r="N7577" s="164">
        <f t="shared" si="2145"/>
        <v>177.86185045948207</v>
      </c>
      <c r="O7577" s="165">
        <f>MROUND(G7577*N7577,0.000001)</f>
        <v>17.801836999999999</v>
      </c>
      <c r="P7577" s="166"/>
      <c r="Q7577" s="166">
        <f t="shared" si="2146"/>
        <v>1388.5432859999999</v>
      </c>
      <c r="R7577" s="71"/>
    </row>
    <row r="7578" spans="1:18" s="61" customFormat="1" ht="47.25" x14ac:dyDescent="0.25">
      <c r="A7578" s="358"/>
      <c r="B7578" s="361"/>
      <c r="C7578" s="364"/>
      <c r="D7578" s="156" t="s">
        <v>405</v>
      </c>
      <c r="E7578" s="156" t="s">
        <v>60</v>
      </c>
      <c r="F7578" s="156" t="s">
        <v>406</v>
      </c>
      <c r="G7578" s="238">
        <f>MROUND(H7578*L7578*I7578/K7578,0.00000001)</f>
        <v>1.50508E-3</v>
      </c>
      <c r="H7578" s="158">
        <f>H7098</f>
        <v>36</v>
      </c>
      <c r="I7578" s="159">
        <f t="shared" si="2125"/>
        <v>3.261E-3</v>
      </c>
      <c r="J7578" s="160"/>
      <c r="K7578" s="161">
        <f>K7577</f>
        <v>78</v>
      </c>
      <c r="L7578" s="250">
        <v>1</v>
      </c>
      <c r="M7578" s="163" t="str">
        <f t="shared" si="2147"/>
        <v>36 лицензий*0,003261/78чел.</v>
      </c>
      <c r="N7578" s="164">
        <f t="shared" si="2145"/>
        <v>13043.200000000006</v>
      </c>
      <c r="O7578" s="165">
        <f t="shared" ref="O7578:O7587" si="2148">MROUND(G7578*N7578,0.000001)</f>
        <v>19.631059</v>
      </c>
      <c r="P7578" s="166"/>
      <c r="Q7578" s="166">
        <f t="shared" si="2146"/>
        <v>1531.2226020000001</v>
      </c>
      <c r="R7578" s="71"/>
    </row>
    <row r="7579" spans="1:18" s="61" customFormat="1" ht="63" x14ac:dyDescent="0.25">
      <c r="A7579" s="358"/>
      <c r="B7579" s="361"/>
      <c r="C7579" s="364"/>
      <c r="D7579" s="156" t="s">
        <v>39</v>
      </c>
      <c r="E7579" s="156" t="s">
        <v>20</v>
      </c>
      <c r="F7579" s="156" t="s">
        <v>234</v>
      </c>
      <c r="G7579" s="238">
        <f>MROUND(H7579*L7579*I7579/K7579,0.000000001)</f>
        <v>4.933308E-3</v>
      </c>
      <c r="H7579" s="158">
        <f>H7099</f>
        <v>118</v>
      </c>
      <c r="I7579" s="159">
        <f>I7577</f>
        <v>3.261E-3</v>
      </c>
      <c r="J7579" s="160"/>
      <c r="K7579" s="161">
        <f>K7577</f>
        <v>78</v>
      </c>
      <c r="L7579" s="250">
        <v>1</v>
      </c>
      <c r="M7579" s="163" t="str">
        <f t="shared" si="2147"/>
        <v>118 чел(заявленная потребность руководителями учреждений)*0,003261/78чел.</v>
      </c>
      <c r="N7579" s="164">
        <f t="shared" si="2145"/>
        <v>830.02203389830515</v>
      </c>
      <c r="O7579" s="165">
        <f t="shared" si="2148"/>
        <v>4.094754</v>
      </c>
      <c r="P7579" s="166"/>
      <c r="Q7579" s="166">
        <f t="shared" si="2146"/>
        <v>319.39081199999998</v>
      </c>
      <c r="R7579" s="71"/>
    </row>
    <row r="7580" spans="1:18" s="61" customFormat="1" ht="63" x14ac:dyDescent="0.25">
      <c r="A7580" s="358"/>
      <c r="B7580" s="361"/>
      <c r="C7580" s="364"/>
      <c r="D7580" s="156" t="s">
        <v>40</v>
      </c>
      <c r="E7580" s="156" t="s">
        <v>20</v>
      </c>
      <c r="F7580" s="156" t="s">
        <v>234</v>
      </c>
      <c r="G7580" s="238">
        <f>MROUND(H7580*L7580*I7580/K7580,0.000000001)</f>
        <v>4.0135380000000005E-3</v>
      </c>
      <c r="H7580" s="158">
        <f>H7100</f>
        <v>96</v>
      </c>
      <c r="I7580" s="159">
        <f t="shared" si="2125"/>
        <v>3.261E-3</v>
      </c>
      <c r="J7580" s="160"/>
      <c r="K7580" s="161">
        <f t="shared" ref="K7580:K7587" si="2149">K7579</f>
        <v>78</v>
      </c>
      <c r="L7580" s="250">
        <v>1</v>
      </c>
      <c r="M7580" s="163" t="str">
        <f t="shared" si="2147"/>
        <v>96 чел(заявленная потребность руководителями учреждений)*0,003261/78чел.</v>
      </c>
      <c r="N7580" s="164">
        <f t="shared" si="2145"/>
        <v>1778.6189583333326</v>
      </c>
      <c r="O7580" s="165">
        <f t="shared" si="2148"/>
        <v>7.1385549999999993</v>
      </c>
      <c r="P7580" s="166"/>
      <c r="Q7580" s="166">
        <f t="shared" si="2146"/>
        <v>556.80728999999997</v>
      </c>
      <c r="R7580" s="71"/>
    </row>
    <row r="7581" spans="1:18" s="61" customFormat="1" ht="63" x14ac:dyDescent="0.25">
      <c r="A7581" s="358"/>
      <c r="B7581" s="361"/>
      <c r="C7581" s="364"/>
      <c r="D7581" s="156" t="s">
        <v>100</v>
      </c>
      <c r="E7581" s="156" t="s">
        <v>20</v>
      </c>
      <c r="F7581" s="156" t="s">
        <v>234</v>
      </c>
      <c r="G7581" s="238">
        <f>MROUND(H7581*L7581*I7581/K7581,0.00000000001)</f>
        <v>3.3864230799999996E-3</v>
      </c>
      <c r="H7581" s="158">
        <f>H7101</f>
        <v>81</v>
      </c>
      <c r="I7581" s="159">
        <f t="shared" si="2125"/>
        <v>3.261E-3</v>
      </c>
      <c r="J7581" s="160"/>
      <c r="K7581" s="161">
        <f t="shared" si="2149"/>
        <v>78</v>
      </c>
      <c r="L7581" s="250">
        <v>1</v>
      </c>
      <c r="M7581" s="163" t="str">
        <f t="shared" si="2147"/>
        <v>81 чел(заявленная потребность руководителями учреждений)*0,003261/78чел.</v>
      </c>
      <c r="N7581" s="164">
        <f t="shared" si="2145"/>
        <v>3794.386419753087</v>
      </c>
      <c r="O7581" s="165">
        <f t="shared" si="2148"/>
        <v>12.849397999999999</v>
      </c>
      <c r="P7581" s="166"/>
      <c r="Q7581" s="166">
        <f t="shared" si="2146"/>
        <v>1002.2530439999999</v>
      </c>
      <c r="R7581" s="71"/>
    </row>
    <row r="7582" spans="1:18" s="61" customFormat="1" ht="110.25" x14ac:dyDescent="0.25">
      <c r="A7582" s="358"/>
      <c r="B7582" s="361"/>
      <c r="C7582" s="364"/>
      <c r="D7582" s="156" t="s">
        <v>235</v>
      </c>
      <c r="E7582" s="156" t="s">
        <v>50</v>
      </c>
      <c r="F7582" s="156" t="s">
        <v>230</v>
      </c>
      <c r="G7582" s="238">
        <f>MROUND(H7582*L7582*I7582/K7582,0.00000001)</f>
        <v>1.50508E-3</v>
      </c>
      <c r="H7582" s="158">
        <f>H7342</f>
        <v>36</v>
      </c>
      <c r="I7582" s="159">
        <f t="shared" si="2125"/>
        <v>3.261E-3</v>
      </c>
      <c r="J7582" s="160"/>
      <c r="K7582" s="161">
        <f t="shared" si="2149"/>
        <v>78</v>
      </c>
      <c r="L7582" s="250">
        <v>1</v>
      </c>
      <c r="M7582" s="163" t="str">
        <f t="shared" si="2147"/>
        <v>36 отчетов*0,003261/78чел.</v>
      </c>
      <c r="N7582" s="164">
        <f t="shared" si="2145"/>
        <v>7114.47</v>
      </c>
      <c r="O7582" s="165">
        <f t="shared" si="2148"/>
        <v>10.707846999999999</v>
      </c>
      <c r="P7582" s="166"/>
      <c r="Q7582" s="166">
        <f t="shared" si="2146"/>
        <v>835.21206599999994</v>
      </c>
      <c r="R7582" s="71"/>
    </row>
    <row r="7583" spans="1:18" s="61" customFormat="1" ht="63" x14ac:dyDescent="0.25">
      <c r="A7583" s="358"/>
      <c r="B7583" s="361"/>
      <c r="C7583" s="364"/>
      <c r="D7583" s="156" t="s">
        <v>42</v>
      </c>
      <c r="E7583" s="156" t="s">
        <v>51</v>
      </c>
      <c r="F7583" s="156" t="s">
        <v>407</v>
      </c>
      <c r="G7583" s="238">
        <f>MROUND(H7583*L7583*I7583/K7583,0.000001)</f>
        <v>8.5290000000000001E-3</v>
      </c>
      <c r="H7583" s="158">
        <f>H7103</f>
        <v>204</v>
      </c>
      <c r="I7583" s="159">
        <f t="shared" si="2125"/>
        <v>3.261E-3</v>
      </c>
      <c r="J7583" s="160"/>
      <c r="K7583" s="161">
        <f t="shared" si="2149"/>
        <v>78</v>
      </c>
      <c r="L7583" s="250">
        <v>1</v>
      </c>
      <c r="M7583" s="163" t="str">
        <f t="shared" si="2147"/>
        <v>204 ед (заявленная потребность руководителями учреждений)*0,003261/78чел.</v>
      </c>
      <c r="N7583" s="164">
        <f t="shared" si="2145"/>
        <v>1185.7454901960789</v>
      </c>
      <c r="O7583" s="165">
        <f t="shared" si="2148"/>
        <v>10.113223</v>
      </c>
      <c r="P7583" s="166"/>
      <c r="Q7583" s="166">
        <f t="shared" si="2146"/>
        <v>788.83139399999993</v>
      </c>
      <c r="R7583" s="71"/>
    </row>
    <row r="7584" spans="1:18" s="61" customFormat="1" ht="31.5" x14ac:dyDescent="0.25">
      <c r="A7584" s="358"/>
      <c r="B7584" s="361"/>
      <c r="C7584" s="364"/>
      <c r="D7584" s="156" t="s">
        <v>43</v>
      </c>
      <c r="E7584" s="156" t="s">
        <v>52</v>
      </c>
      <c r="F7584" s="156" t="s">
        <v>231</v>
      </c>
      <c r="G7584" s="238">
        <f>MROUND(H7584*L7584*I7584/K7584,0.000000001)</f>
        <v>1.5050770000000001E-3</v>
      </c>
      <c r="H7584" s="158">
        <f>H6864</f>
        <v>36</v>
      </c>
      <c r="I7584" s="159">
        <f t="shared" ref="I7584:I7587" si="2150">I7583</f>
        <v>3.261E-3</v>
      </c>
      <c r="J7584" s="160"/>
      <c r="K7584" s="161">
        <f t="shared" si="2149"/>
        <v>78</v>
      </c>
      <c r="L7584" s="250">
        <v>1</v>
      </c>
      <c r="M7584" s="163" t="str">
        <f t="shared" si="2147"/>
        <v>36 ЭЦП*0,003261/78чел.</v>
      </c>
      <c r="N7584" s="164">
        <f t="shared" si="2145"/>
        <v>8423.5400000000009</v>
      </c>
      <c r="O7584" s="165">
        <f t="shared" si="2148"/>
        <v>12.678075999999999</v>
      </c>
      <c r="P7584" s="166"/>
      <c r="Q7584" s="166">
        <f t="shared" si="2146"/>
        <v>988.88992799999994</v>
      </c>
      <c r="R7584" s="71"/>
    </row>
    <row r="7585" spans="1:18" s="61" customFormat="1" ht="47.25" x14ac:dyDescent="0.25">
      <c r="A7585" s="358"/>
      <c r="B7585" s="361"/>
      <c r="C7585" s="364"/>
      <c r="D7585" s="156" t="s">
        <v>44</v>
      </c>
      <c r="E7585" s="156" t="s">
        <v>85</v>
      </c>
      <c r="F7585" s="156" t="s">
        <v>232</v>
      </c>
      <c r="G7585" s="238">
        <f>MROUND(H7585*L7585*I7585/K7585,0.000001)</f>
        <v>5.0837999999999994E-2</v>
      </c>
      <c r="H7585" s="158">
        <f>H6865</f>
        <v>1216</v>
      </c>
      <c r="I7585" s="159">
        <f t="shared" si="2150"/>
        <v>3.261E-3</v>
      </c>
      <c r="J7585" s="160"/>
      <c r="K7585" s="161">
        <f t="shared" si="2149"/>
        <v>78</v>
      </c>
      <c r="L7585" s="250">
        <v>1</v>
      </c>
      <c r="M7585" s="163" t="str">
        <f>CONCATENATE(H7585," ",F7585,"*",L7585,"мес.","*",I7585,"/",K7585,"чел.")</f>
        <v>1216 мед.осмотров в мес.*1мес.*0,003261/78чел.</v>
      </c>
      <c r="N7585" s="164">
        <f t="shared" si="2145"/>
        <v>61.65877467105264</v>
      </c>
      <c r="O7585" s="165">
        <f t="shared" si="2148"/>
        <v>3.1346089999999998</v>
      </c>
      <c r="P7585" s="166"/>
      <c r="Q7585" s="166">
        <f t="shared" si="2146"/>
        <v>244.49950199999998</v>
      </c>
      <c r="R7585" s="71"/>
    </row>
    <row r="7586" spans="1:18" s="61" customFormat="1" ht="63" x14ac:dyDescent="0.25">
      <c r="A7586" s="358"/>
      <c r="B7586" s="361"/>
      <c r="C7586" s="364"/>
      <c r="D7586" s="156" t="s">
        <v>45</v>
      </c>
      <c r="E7586" s="156" t="s">
        <v>53</v>
      </c>
      <c r="F7586" s="156" t="s">
        <v>233</v>
      </c>
      <c r="G7586" s="238">
        <f>MROUND(H7586*L7586*I7586/K7586,0.0000000001)</f>
        <v>2.0067691999999999E-3</v>
      </c>
      <c r="H7586" s="158">
        <f>H7106</f>
        <v>4</v>
      </c>
      <c r="I7586" s="159">
        <f t="shared" si="2150"/>
        <v>3.261E-3</v>
      </c>
      <c r="J7586" s="160"/>
      <c r="K7586" s="161">
        <f t="shared" si="2149"/>
        <v>78</v>
      </c>
      <c r="L7586" s="250">
        <v>12</v>
      </c>
      <c r="M7586" s="163" t="str">
        <f>CONCATENATE(H7586," ",F7586,"*",L7586,"мес.","*",I7586,"/",K7586,"чел.")</f>
        <v>4  машины, оборудованных системой ГЛОНАСС*12мес.*0,003261/78чел.</v>
      </c>
      <c r="N7586" s="164">
        <f t="shared" si="2145"/>
        <v>958.08249999999998</v>
      </c>
      <c r="O7586" s="165">
        <f t="shared" si="2148"/>
        <v>1.92265</v>
      </c>
      <c r="P7586" s="166"/>
      <c r="Q7586" s="166">
        <f t="shared" si="2146"/>
        <v>149.9667</v>
      </c>
      <c r="R7586" s="71"/>
    </row>
    <row r="7587" spans="1:18" s="61" customFormat="1" ht="31.5" x14ac:dyDescent="0.25">
      <c r="A7587" s="358"/>
      <c r="B7587" s="361"/>
      <c r="C7587" s="364"/>
      <c r="D7587" s="156" t="s">
        <v>408</v>
      </c>
      <c r="E7587" s="156" t="s">
        <v>20</v>
      </c>
      <c r="F7587" s="156" t="s">
        <v>20</v>
      </c>
      <c r="G7587" s="238">
        <f>MROUND(H7587*L7587*I7587/K7587,0.00000001)</f>
        <v>7.0947650000000001E-2</v>
      </c>
      <c r="H7587" s="158">
        <f>H6867</f>
        <v>1697</v>
      </c>
      <c r="I7587" s="159">
        <f t="shared" si="2150"/>
        <v>3.261E-3</v>
      </c>
      <c r="J7587" s="160"/>
      <c r="K7587" s="161">
        <f t="shared" si="2149"/>
        <v>78</v>
      </c>
      <c r="L7587" s="250">
        <v>1</v>
      </c>
      <c r="M7587" s="163" t="str">
        <f>CONCATENATE(H7587," ",F7587,"*",L7587," раз в год","*",I7587,"/",K7587,"чел.")</f>
        <v>1697 чел.*1 раз в год*0,003261/78чел.</v>
      </c>
      <c r="N7587" s="164">
        <f t="shared" si="2145"/>
        <v>592.87278137890405</v>
      </c>
      <c r="O7587" s="165">
        <f t="shared" si="2148"/>
        <v>42.062930999999999</v>
      </c>
      <c r="P7587" s="166"/>
      <c r="Q7587" s="166">
        <f t="shared" si="2146"/>
        <v>3280.9086179999999</v>
      </c>
      <c r="R7587" s="71"/>
    </row>
    <row r="7588" spans="1:18" s="61" customFormat="1" x14ac:dyDescent="0.25">
      <c r="A7588" s="358"/>
      <c r="B7588" s="361"/>
      <c r="C7588" s="364"/>
      <c r="D7588" s="156" t="s">
        <v>373</v>
      </c>
      <c r="E7588" s="156" t="s">
        <v>28</v>
      </c>
      <c r="F7588" s="156" t="s">
        <v>28</v>
      </c>
      <c r="G7588" s="157">
        <f>MROUND(H7588*L7588*I7588/K7588,0.000000001)</f>
        <v>1.5050770000000001E-3</v>
      </c>
      <c r="H7588" s="158">
        <f>H6869</f>
        <v>36</v>
      </c>
      <c r="I7588" s="159">
        <f>I7586</f>
        <v>3.261E-3</v>
      </c>
      <c r="J7588" s="160"/>
      <c r="K7588" s="161">
        <f>K7586</f>
        <v>78</v>
      </c>
      <c r="L7588" s="162">
        <v>1</v>
      </c>
      <c r="M7588" s="163" t="str">
        <f>CONCATENATE(H7588," ",F7588,"*",L7588,"мес.","*",I7588,"/",K7588,"чел.")</f>
        <v>36 шт*1мес.*0,003261/78чел.</v>
      </c>
      <c r="N7588" s="164">
        <f>N6869</f>
        <v>24000</v>
      </c>
      <c r="O7588" s="165">
        <f>MROUND(G7588*N7588,0.000000001)</f>
        <v>36.121848</v>
      </c>
      <c r="P7588" s="166"/>
      <c r="Q7588" s="166">
        <f t="shared" si="2146"/>
        <v>2817.504144</v>
      </c>
      <c r="R7588" s="71"/>
    </row>
    <row r="7589" spans="1:18" s="61" customFormat="1" ht="31.5" x14ac:dyDescent="0.25">
      <c r="A7589" s="358"/>
      <c r="B7589" s="361"/>
      <c r="C7589" s="364"/>
      <c r="D7589" s="156" t="s">
        <v>106</v>
      </c>
      <c r="E7589" s="156" t="s">
        <v>107</v>
      </c>
      <c r="F7589" s="156"/>
      <c r="G7589" s="238">
        <f>MROUND(H7589*L7589*I7589/K7589,0.000000001)</f>
        <v>0</v>
      </c>
      <c r="H7589" s="158">
        <f>H6868</f>
        <v>0</v>
      </c>
      <c r="I7589" s="159">
        <f>I7586</f>
        <v>3.261E-3</v>
      </c>
      <c r="J7589" s="160"/>
      <c r="K7589" s="161">
        <f>K7586</f>
        <v>78</v>
      </c>
      <c r="L7589" s="250">
        <f>L6868</f>
        <v>0</v>
      </c>
      <c r="M7589" s="163"/>
      <c r="N7589" s="164">
        <f>N6868</f>
        <v>6.0000000000000002E-5</v>
      </c>
      <c r="O7589" s="165">
        <f>MROUND(G7589*N7589,0.000000001)</f>
        <v>0</v>
      </c>
      <c r="P7589" s="166"/>
      <c r="Q7589" s="166">
        <f t="shared" si="2146"/>
        <v>0</v>
      </c>
      <c r="R7589" s="71"/>
    </row>
    <row r="7590" spans="1:18" s="62" customFormat="1" x14ac:dyDescent="0.25">
      <c r="A7590" s="358"/>
      <c r="B7590" s="361"/>
      <c r="C7590" s="245" t="s">
        <v>296</v>
      </c>
      <c r="D7590" s="240"/>
      <c r="E7590" s="240"/>
      <c r="F7590" s="240"/>
      <c r="G7590" s="227"/>
      <c r="H7590" s="241"/>
      <c r="I7590" s="206"/>
      <c r="J7590" s="228"/>
      <c r="K7590" s="207"/>
      <c r="L7590" s="257"/>
      <c r="M7590" s="209"/>
      <c r="N7590" s="210"/>
      <c r="O7590" s="198">
        <f>SUM(O7576:O7589)</f>
        <v>270.47934399999997</v>
      </c>
      <c r="P7590" s="267"/>
      <c r="Q7590" s="166"/>
      <c r="R7590" s="71"/>
    </row>
    <row r="7591" spans="1:18" s="61" customFormat="1" ht="31.5" x14ac:dyDescent="0.25">
      <c r="A7591" s="358"/>
      <c r="B7591" s="361"/>
      <c r="C7591" s="252" t="s">
        <v>237</v>
      </c>
      <c r="D7591" s="156" t="s">
        <v>41</v>
      </c>
      <c r="E7591" s="156" t="s">
        <v>61</v>
      </c>
      <c r="F7591" s="156" t="s">
        <v>227</v>
      </c>
      <c r="G7591" s="238">
        <f>MROUND(H7591*L7591*I7591/K7591,0.000000001)</f>
        <v>1.67231E-4</v>
      </c>
      <c r="H7591" s="158">
        <f>H6871</f>
        <v>4</v>
      </c>
      <c r="I7591" s="159">
        <f>I7589</f>
        <v>3.261E-3</v>
      </c>
      <c r="J7591" s="160"/>
      <c r="K7591" s="161">
        <f>K7589</f>
        <v>78</v>
      </c>
      <c r="L7591" s="250">
        <v>1</v>
      </c>
      <c r="M7591" s="163" t="str">
        <f>CONCATENATE(H7591," ",F7591,"*",I7591,"/",K7591,"чел.")</f>
        <v>4 автобуса*0,003261/78чел.</v>
      </c>
      <c r="N7591" s="164">
        <f>N6871</f>
        <v>27983.595000000001</v>
      </c>
      <c r="O7591" s="165">
        <f>MROUND(G7591*N7591,0.000001)</f>
        <v>4.6797249999999995</v>
      </c>
      <c r="P7591" s="166"/>
      <c r="Q7591" s="166">
        <f t="shared" ref="Q7591" si="2151">O7591*K7591</f>
        <v>365.01854999999995</v>
      </c>
      <c r="R7591" s="71"/>
    </row>
    <row r="7592" spans="1:18" s="62" customFormat="1" x14ac:dyDescent="0.25">
      <c r="A7592" s="358"/>
      <c r="B7592" s="361"/>
      <c r="C7592" s="245" t="s">
        <v>297</v>
      </c>
      <c r="D7592" s="240"/>
      <c r="E7592" s="240"/>
      <c r="F7592" s="240"/>
      <c r="G7592" s="227"/>
      <c r="H7592" s="241"/>
      <c r="I7592" s="206"/>
      <c r="J7592" s="228"/>
      <c r="K7592" s="207"/>
      <c r="L7592" s="257"/>
      <c r="M7592" s="209"/>
      <c r="N7592" s="210"/>
      <c r="O7592" s="198">
        <f>SUM(O7591)</f>
        <v>4.6797249999999995</v>
      </c>
      <c r="P7592" s="267"/>
      <c r="Q7592" s="166"/>
      <c r="R7592" s="71"/>
    </row>
    <row r="7593" spans="1:18" s="61" customFormat="1" ht="78.75" x14ac:dyDescent="0.25">
      <c r="A7593" s="358"/>
      <c r="B7593" s="361"/>
      <c r="C7593" s="221" t="s">
        <v>236</v>
      </c>
      <c r="D7593" s="156" t="s">
        <v>19</v>
      </c>
      <c r="E7593" s="181" t="s">
        <v>20</v>
      </c>
      <c r="F7593" s="181" t="s">
        <v>238</v>
      </c>
      <c r="G7593" s="238">
        <f>MROUND(H7593*L7593*I7593/K7593,0.000001)</f>
        <v>0</v>
      </c>
      <c r="H7593" s="158"/>
      <c r="I7593" s="159">
        <f>I7589</f>
        <v>3.261E-3</v>
      </c>
      <c r="J7593" s="160"/>
      <c r="K7593" s="161">
        <f>K7589</f>
        <v>78</v>
      </c>
      <c r="L7593" s="250"/>
      <c r="M7593" s="163"/>
      <c r="N7593" s="164"/>
      <c r="O7593" s="165">
        <f>MROUND(G7593*N7593,0.000001)</f>
        <v>0</v>
      </c>
      <c r="P7593" s="166"/>
      <c r="Q7593" s="166">
        <f t="shared" ref="Q7593" si="2152">O7593*K7593</f>
        <v>0</v>
      </c>
      <c r="R7593" s="71"/>
    </row>
    <row r="7594" spans="1:18" s="62" customFormat="1" x14ac:dyDescent="0.25">
      <c r="A7594" s="358"/>
      <c r="B7594" s="361"/>
      <c r="C7594" s="245" t="s">
        <v>298</v>
      </c>
      <c r="D7594" s="240"/>
      <c r="E7594" s="253"/>
      <c r="F7594" s="253"/>
      <c r="G7594" s="227"/>
      <c r="H7594" s="241"/>
      <c r="I7594" s="206"/>
      <c r="J7594" s="228"/>
      <c r="K7594" s="207"/>
      <c r="L7594" s="257"/>
      <c r="M7594" s="209"/>
      <c r="N7594" s="210"/>
      <c r="O7594" s="198">
        <f>SUM(O7593)</f>
        <v>0</v>
      </c>
      <c r="P7594" s="267"/>
      <c r="Q7594" s="166"/>
      <c r="R7594" s="71"/>
    </row>
    <row r="7595" spans="1:18" s="61" customFormat="1" ht="30" x14ac:dyDescent="0.25">
      <c r="A7595" s="358"/>
      <c r="B7595" s="361"/>
      <c r="C7595" s="365" t="s">
        <v>81</v>
      </c>
      <c r="D7595" s="254" t="s">
        <v>410</v>
      </c>
      <c r="E7595" s="156" t="s">
        <v>28</v>
      </c>
      <c r="F7595" s="156" t="s">
        <v>28</v>
      </c>
      <c r="G7595" s="238">
        <f>MROUND(H7595*L7595*I7595/K7595,0.0000000001)</f>
        <v>0</v>
      </c>
      <c r="H7595" s="158"/>
      <c r="I7595" s="159">
        <f>I7589</f>
        <v>3.261E-3</v>
      </c>
      <c r="J7595" s="160"/>
      <c r="K7595" s="161">
        <f>K7589</f>
        <v>78</v>
      </c>
      <c r="L7595" s="250">
        <v>1</v>
      </c>
      <c r="M7595" s="163"/>
      <c r="N7595" s="164"/>
      <c r="O7595" s="165">
        <f>MROUND(G7595*N7595,0.000001)</f>
        <v>0</v>
      </c>
      <c r="P7595" s="166"/>
      <c r="Q7595" s="166">
        <f t="shared" ref="Q7595:Q7618" si="2153">O7595*K7595</f>
        <v>0</v>
      </c>
      <c r="R7595" s="71"/>
    </row>
    <row r="7596" spans="1:18" s="61" customFormat="1" x14ac:dyDescent="0.25">
      <c r="A7596" s="358"/>
      <c r="B7596" s="361"/>
      <c r="C7596" s="366"/>
      <c r="D7596" s="254" t="s">
        <v>325</v>
      </c>
      <c r="E7596" s="156" t="s">
        <v>28</v>
      </c>
      <c r="F7596" s="156" t="s">
        <v>28</v>
      </c>
      <c r="G7596" s="157">
        <f>MROUND(H7596*L7596*I7596/K7596,0.0000000001)</f>
        <v>0</v>
      </c>
      <c r="H7596" s="158"/>
      <c r="I7596" s="159">
        <f>I7595</f>
        <v>3.261E-3</v>
      </c>
      <c r="J7596" s="160"/>
      <c r="K7596" s="161">
        <f>K7595</f>
        <v>78</v>
      </c>
      <c r="L7596" s="250">
        <v>1</v>
      </c>
      <c r="M7596" s="163"/>
      <c r="N7596" s="164"/>
      <c r="O7596" s="165">
        <f>MROUND(G7596*N7596,0.000001)</f>
        <v>0</v>
      </c>
      <c r="P7596" s="166"/>
      <c r="Q7596" s="166">
        <f t="shared" si="2153"/>
        <v>0</v>
      </c>
      <c r="R7596" s="71"/>
    </row>
    <row r="7597" spans="1:18" s="61" customFormat="1" ht="30" x14ac:dyDescent="0.25">
      <c r="A7597" s="358"/>
      <c r="B7597" s="361"/>
      <c r="C7597" s="366"/>
      <c r="D7597" s="254" t="s">
        <v>411</v>
      </c>
      <c r="E7597" s="156" t="s">
        <v>28</v>
      </c>
      <c r="F7597" s="156" t="s">
        <v>28</v>
      </c>
      <c r="G7597" s="238">
        <f>MROUND(H7597*L7597*I7597/K7597,0.00000001)</f>
        <v>0</v>
      </c>
      <c r="H7597" s="158"/>
      <c r="I7597" s="159">
        <f>I7595</f>
        <v>3.261E-3</v>
      </c>
      <c r="J7597" s="160"/>
      <c r="K7597" s="161">
        <f>K7595</f>
        <v>78</v>
      </c>
      <c r="L7597" s="250">
        <v>1</v>
      </c>
      <c r="M7597" s="163"/>
      <c r="N7597" s="164"/>
      <c r="O7597" s="165">
        <f t="shared" ref="O7597:O7618" si="2154">MROUND(G7597*N7597,0.000001)</f>
        <v>0</v>
      </c>
      <c r="P7597" s="166"/>
      <c r="Q7597" s="166">
        <f t="shared" si="2153"/>
        <v>0</v>
      </c>
      <c r="R7597" s="71"/>
    </row>
    <row r="7598" spans="1:18" s="61" customFormat="1" x14ac:dyDescent="0.25">
      <c r="A7598" s="358"/>
      <c r="B7598" s="361"/>
      <c r="C7598" s="366"/>
      <c r="D7598" s="255" t="s">
        <v>412</v>
      </c>
      <c r="E7598" s="156" t="s">
        <v>28</v>
      </c>
      <c r="F7598" s="156" t="s">
        <v>28</v>
      </c>
      <c r="G7598" s="238">
        <f>MROUND(H7598*L7598*I7598/K7598,0.00000001)</f>
        <v>0</v>
      </c>
      <c r="H7598" s="158"/>
      <c r="I7598" s="159">
        <f>I7597</f>
        <v>3.261E-3</v>
      </c>
      <c r="J7598" s="160"/>
      <c r="K7598" s="161">
        <f>K7597</f>
        <v>78</v>
      </c>
      <c r="L7598" s="250">
        <v>1</v>
      </c>
      <c r="M7598" s="163"/>
      <c r="N7598" s="164"/>
      <c r="O7598" s="165">
        <f t="shared" si="2154"/>
        <v>0</v>
      </c>
      <c r="P7598" s="166"/>
      <c r="Q7598" s="166">
        <f t="shared" si="2153"/>
        <v>0</v>
      </c>
      <c r="R7598" s="71"/>
    </row>
    <row r="7599" spans="1:18" s="61" customFormat="1" ht="31.5" x14ac:dyDescent="0.25">
      <c r="A7599" s="358"/>
      <c r="B7599" s="361"/>
      <c r="C7599" s="366"/>
      <c r="D7599" s="255" t="s">
        <v>413</v>
      </c>
      <c r="E7599" s="156" t="s">
        <v>28</v>
      </c>
      <c r="F7599" s="156" t="s">
        <v>28</v>
      </c>
      <c r="G7599" s="238">
        <f>MROUND(H7599*L7599*I7599/K7599,0.0000000001)</f>
        <v>0</v>
      </c>
      <c r="H7599" s="158"/>
      <c r="I7599" s="159">
        <f>I7598</f>
        <v>3.261E-3</v>
      </c>
      <c r="J7599" s="160"/>
      <c r="K7599" s="161">
        <f>K7598</f>
        <v>78</v>
      </c>
      <c r="L7599" s="250">
        <v>1</v>
      </c>
      <c r="M7599" s="163"/>
      <c r="N7599" s="164"/>
      <c r="O7599" s="165">
        <f t="shared" si="2154"/>
        <v>0</v>
      </c>
      <c r="P7599" s="166"/>
      <c r="Q7599" s="166">
        <f t="shared" si="2153"/>
        <v>0</v>
      </c>
      <c r="R7599" s="71"/>
    </row>
    <row r="7600" spans="1:18" s="61" customFormat="1" x14ac:dyDescent="0.25">
      <c r="A7600" s="358"/>
      <c r="B7600" s="361"/>
      <c r="C7600" s="366"/>
      <c r="D7600" s="254" t="s">
        <v>109</v>
      </c>
      <c r="E7600" s="156" t="s">
        <v>28</v>
      </c>
      <c r="F7600" s="156" t="s">
        <v>28</v>
      </c>
      <c r="G7600" s="238">
        <f>MROUND(H7600*L7600*I7600/K7600,0.0000000001)</f>
        <v>0</v>
      </c>
      <c r="H7600" s="158"/>
      <c r="I7600" s="159">
        <f>I7599</f>
        <v>3.261E-3</v>
      </c>
      <c r="J7600" s="160"/>
      <c r="K7600" s="161">
        <f>K7599</f>
        <v>78</v>
      </c>
      <c r="L7600" s="250">
        <v>1</v>
      </c>
      <c r="M7600" s="163"/>
      <c r="N7600" s="164"/>
      <c r="O7600" s="165">
        <f t="shared" si="2154"/>
        <v>0</v>
      </c>
      <c r="P7600" s="166"/>
      <c r="Q7600" s="166">
        <f t="shared" si="2153"/>
        <v>0</v>
      </c>
      <c r="R7600" s="71"/>
    </row>
    <row r="7601" spans="1:18" s="61" customFormat="1" x14ac:dyDescent="0.25">
      <c r="A7601" s="358"/>
      <c r="B7601" s="361"/>
      <c r="C7601" s="366"/>
      <c r="D7601" s="254" t="s">
        <v>414</v>
      </c>
      <c r="E7601" s="156" t="s">
        <v>28</v>
      </c>
      <c r="F7601" s="156" t="s">
        <v>28</v>
      </c>
      <c r="G7601" s="238">
        <f>MROUND(H7601*L7601*I7601/K7601,0.0000000001)</f>
        <v>0</v>
      </c>
      <c r="H7601" s="158"/>
      <c r="I7601" s="159">
        <f>I7599</f>
        <v>3.261E-3</v>
      </c>
      <c r="J7601" s="160"/>
      <c r="K7601" s="161">
        <f>K7599</f>
        <v>78</v>
      </c>
      <c r="L7601" s="250">
        <v>1</v>
      </c>
      <c r="M7601" s="163"/>
      <c r="N7601" s="164"/>
      <c r="O7601" s="165">
        <f t="shared" si="2154"/>
        <v>0</v>
      </c>
      <c r="P7601" s="166"/>
      <c r="Q7601" s="166">
        <f t="shared" si="2153"/>
        <v>0</v>
      </c>
      <c r="R7601" s="71"/>
    </row>
    <row r="7602" spans="1:18" s="61" customFormat="1" x14ac:dyDescent="0.25">
      <c r="A7602" s="358"/>
      <c r="B7602" s="361"/>
      <c r="C7602" s="366"/>
      <c r="D7602" s="254" t="s">
        <v>415</v>
      </c>
      <c r="E7602" s="156" t="s">
        <v>28</v>
      </c>
      <c r="F7602" s="156" t="s">
        <v>28</v>
      </c>
      <c r="G7602" s="238">
        <f>MROUND(H7602*L7602*I7602/K7602,0.00000001)</f>
        <v>0</v>
      </c>
      <c r="H7602" s="158"/>
      <c r="I7602" s="159">
        <f t="shared" ref="I7602:I7611" si="2155">I7600</f>
        <v>3.261E-3</v>
      </c>
      <c r="J7602" s="160"/>
      <c r="K7602" s="161">
        <f t="shared" ref="K7602:K7611" si="2156">K7600</f>
        <v>78</v>
      </c>
      <c r="L7602" s="250">
        <v>1</v>
      </c>
      <c r="M7602" s="163"/>
      <c r="N7602" s="164"/>
      <c r="O7602" s="165">
        <f t="shared" si="2154"/>
        <v>0</v>
      </c>
      <c r="P7602" s="166"/>
      <c r="Q7602" s="166">
        <f t="shared" si="2153"/>
        <v>0</v>
      </c>
      <c r="R7602" s="71"/>
    </row>
    <row r="7603" spans="1:18" s="61" customFormat="1" x14ac:dyDescent="0.25">
      <c r="A7603" s="358"/>
      <c r="B7603" s="361"/>
      <c r="C7603" s="366"/>
      <c r="D7603" s="254" t="s">
        <v>416</v>
      </c>
      <c r="E7603" s="156" t="s">
        <v>28</v>
      </c>
      <c r="F7603" s="156" t="s">
        <v>28</v>
      </c>
      <c r="G7603" s="238">
        <f>MROUND(H7603*L7603*I7603/K7603,0.000000001)</f>
        <v>0</v>
      </c>
      <c r="H7603" s="246"/>
      <c r="I7603" s="159">
        <f t="shared" si="2155"/>
        <v>3.261E-3</v>
      </c>
      <c r="J7603" s="160"/>
      <c r="K7603" s="161">
        <f t="shared" si="2156"/>
        <v>78</v>
      </c>
      <c r="L7603" s="250">
        <v>1</v>
      </c>
      <c r="M7603" s="163"/>
      <c r="N7603" s="164"/>
      <c r="O7603" s="165">
        <f t="shared" si="2154"/>
        <v>0</v>
      </c>
      <c r="P7603" s="166"/>
      <c r="Q7603" s="166">
        <f t="shared" si="2153"/>
        <v>0</v>
      </c>
      <c r="R7603" s="71"/>
    </row>
    <row r="7604" spans="1:18" s="61" customFormat="1" x14ac:dyDescent="0.25">
      <c r="A7604" s="358"/>
      <c r="B7604" s="361"/>
      <c r="C7604" s="366"/>
      <c r="D7604" s="254" t="s">
        <v>417</v>
      </c>
      <c r="E7604" s="156" t="s">
        <v>28</v>
      </c>
      <c r="F7604" s="156" t="s">
        <v>28</v>
      </c>
      <c r="G7604" s="238">
        <f>MROUND(H7604*L7604*I7604/K7604,0.00000001)</f>
        <v>0</v>
      </c>
      <c r="H7604" s="158"/>
      <c r="I7604" s="159">
        <f t="shared" si="2155"/>
        <v>3.261E-3</v>
      </c>
      <c r="J7604" s="160"/>
      <c r="K7604" s="161">
        <f t="shared" si="2156"/>
        <v>78</v>
      </c>
      <c r="L7604" s="250">
        <v>1</v>
      </c>
      <c r="M7604" s="163"/>
      <c r="N7604" s="164"/>
      <c r="O7604" s="165">
        <f t="shared" si="2154"/>
        <v>0</v>
      </c>
      <c r="P7604" s="166"/>
      <c r="Q7604" s="166">
        <f t="shared" si="2153"/>
        <v>0</v>
      </c>
      <c r="R7604" s="71"/>
    </row>
    <row r="7605" spans="1:18" s="61" customFormat="1" ht="30" x14ac:dyDescent="0.25">
      <c r="A7605" s="358"/>
      <c r="B7605" s="361"/>
      <c r="C7605" s="366"/>
      <c r="D7605" s="254" t="s">
        <v>418</v>
      </c>
      <c r="E7605" s="156" t="s">
        <v>28</v>
      </c>
      <c r="F7605" s="156" t="s">
        <v>28</v>
      </c>
      <c r="G7605" s="238">
        <f>MROUND(H7605*L7605*I7605/K7605,0.00000001)</f>
        <v>0</v>
      </c>
      <c r="H7605" s="158"/>
      <c r="I7605" s="159">
        <f t="shared" si="2155"/>
        <v>3.261E-3</v>
      </c>
      <c r="J7605" s="160"/>
      <c r="K7605" s="161">
        <f t="shared" si="2156"/>
        <v>78</v>
      </c>
      <c r="L7605" s="250">
        <v>1</v>
      </c>
      <c r="M7605" s="163"/>
      <c r="N7605" s="164"/>
      <c r="O7605" s="165">
        <f t="shared" si="2154"/>
        <v>0</v>
      </c>
      <c r="P7605" s="166"/>
      <c r="Q7605" s="166">
        <f t="shared" si="2153"/>
        <v>0</v>
      </c>
      <c r="R7605" s="71"/>
    </row>
    <row r="7606" spans="1:18" s="61" customFormat="1" x14ac:dyDescent="0.25">
      <c r="A7606" s="358"/>
      <c r="B7606" s="361"/>
      <c r="C7606" s="366"/>
      <c r="D7606" s="254" t="s">
        <v>324</v>
      </c>
      <c r="E7606" s="156" t="s">
        <v>28</v>
      </c>
      <c r="F7606" s="156" t="s">
        <v>28</v>
      </c>
      <c r="G7606" s="238">
        <f>MROUND(H7606*L7606*I7606/K7606,0.000000001)</f>
        <v>0</v>
      </c>
      <c r="H7606" s="158"/>
      <c r="I7606" s="159">
        <f t="shared" si="2155"/>
        <v>3.261E-3</v>
      </c>
      <c r="J7606" s="160"/>
      <c r="K7606" s="161">
        <f t="shared" si="2156"/>
        <v>78</v>
      </c>
      <c r="L7606" s="250">
        <v>1</v>
      </c>
      <c r="M7606" s="163"/>
      <c r="N7606" s="164"/>
      <c r="O7606" s="165">
        <f t="shared" si="2154"/>
        <v>0</v>
      </c>
      <c r="P7606" s="166"/>
      <c r="Q7606" s="166">
        <f t="shared" si="2153"/>
        <v>0</v>
      </c>
      <c r="R7606" s="71"/>
    </row>
    <row r="7607" spans="1:18" s="61" customFormat="1" x14ac:dyDescent="0.25">
      <c r="A7607" s="358"/>
      <c r="B7607" s="361"/>
      <c r="C7607" s="366"/>
      <c r="D7607" s="254" t="s">
        <v>419</v>
      </c>
      <c r="E7607" s="156" t="s">
        <v>28</v>
      </c>
      <c r="F7607" s="156" t="s">
        <v>28</v>
      </c>
      <c r="G7607" s="238">
        <f>MROUND(H7607*L7607*I7607/K7607,0.000000001)</f>
        <v>0</v>
      </c>
      <c r="H7607" s="246"/>
      <c r="I7607" s="159">
        <f t="shared" si="2155"/>
        <v>3.261E-3</v>
      </c>
      <c r="J7607" s="160"/>
      <c r="K7607" s="161">
        <f t="shared" si="2156"/>
        <v>78</v>
      </c>
      <c r="L7607" s="250">
        <v>1</v>
      </c>
      <c r="M7607" s="163"/>
      <c r="N7607" s="164"/>
      <c r="O7607" s="165">
        <f t="shared" si="2154"/>
        <v>0</v>
      </c>
      <c r="P7607" s="166"/>
      <c r="Q7607" s="166">
        <f t="shared" si="2153"/>
        <v>0</v>
      </c>
      <c r="R7607" s="71"/>
    </row>
    <row r="7608" spans="1:18" s="61" customFormat="1" x14ac:dyDescent="0.25">
      <c r="A7608" s="358"/>
      <c r="B7608" s="361"/>
      <c r="C7608" s="366"/>
      <c r="D7608" s="254" t="s">
        <v>420</v>
      </c>
      <c r="E7608" s="156" t="s">
        <v>28</v>
      </c>
      <c r="F7608" s="156" t="s">
        <v>28</v>
      </c>
      <c r="G7608" s="238">
        <f>MROUND(H7608*L7608*I7608/K7608,0.000000001)</f>
        <v>0</v>
      </c>
      <c r="H7608" s="158"/>
      <c r="I7608" s="159">
        <f t="shared" si="2155"/>
        <v>3.261E-3</v>
      </c>
      <c r="J7608" s="160"/>
      <c r="K7608" s="161">
        <f t="shared" si="2156"/>
        <v>78</v>
      </c>
      <c r="L7608" s="250">
        <v>1</v>
      </c>
      <c r="M7608" s="163"/>
      <c r="N7608" s="164"/>
      <c r="O7608" s="165">
        <f t="shared" si="2154"/>
        <v>0</v>
      </c>
      <c r="P7608" s="166"/>
      <c r="Q7608" s="166">
        <f t="shared" si="2153"/>
        <v>0</v>
      </c>
      <c r="R7608" s="71"/>
    </row>
    <row r="7609" spans="1:18" s="61" customFormat="1" x14ac:dyDescent="0.25">
      <c r="A7609" s="358"/>
      <c r="B7609" s="361"/>
      <c r="C7609" s="366"/>
      <c r="D7609" s="254" t="s">
        <v>421</v>
      </c>
      <c r="E7609" s="156" t="s">
        <v>28</v>
      </c>
      <c r="F7609" s="156" t="s">
        <v>28</v>
      </c>
      <c r="G7609" s="238">
        <f>MROUND(H7609*L7609*I7609/K7609,0.00000001)</f>
        <v>0</v>
      </c>
      <c r="H7609" s="158"/>
      <c r="I7609" s="159">
        <f t="shared" si="2155"/>
        <v>3.261E-3</v>
      </c>
      <c r="J7609" s="160"/>
      <c r="K7609" s="161">
        <f t="shared" si="2156"/>
        <v>78</v>
      </c>
      <c r="L7609" s="250">
        <v>1</v>
      </c>
      <c r="M7609" s="163"/>
      <c r="N7609" s="164"/>
      <c r="O7609" s="165">
        <f t="shared" si="2154"/>
        <v>0</v>
      </c>
      <c r="P7609" s="166"/>
      <c r="Q7609" s="166">
        <f t="shared" si="2153"/>
        <v>0</v>
      </c>
      <c r="R7609" s="71"/>
    </row>
    <row r="7610" spans="1:18" s="61" customFormat="1" ht="30" x14ac:dyDescent="0.25">
      <c r="A7610" s="358"/>
      <c r="B7610" s="361"/>
      <c r="C7610" s="366"/>
      <c r="D7610" s="254" t="s">
        <v>422</v>
      </c>
      <c r="E7610" s="156" t="s">
        <v>28</v>
      </c>
      <c r="F7610" s="156" t="s">
        <v>28</v>
      </c>
      <c r="G7610" s="266">
        <f>MROUND(H7610*L7610*I7610/K7610,0.00000001)</f>
        <v>0</v>
      </c>
      <c r="H7610" s="158"/>
      <c r="I7610" s="159">
        <f t="shared" si="2155"/>
        <v>3.261E-3</v>
      </c>
      <c r="J7610" s="160"/>
      <c r="K7610" s="161">
        <f t="shared" si="2156"/>
        <v>78</v>
      </c>
      <c r="L7610" s="250">
        <v>1</v>
      </c>
      <c r="M7610" s="163"/>
      <c r="N7610" s="164"/>
      <c r="O7610" s="165">
        <f t="shared" si="2154"/>
        <v>0</v>
      </c>
      <c r="P7610" s="166"/>
      <c r="Q7610" s="166">
        <f t="shared" si="2153"/>
        <v>0</v>
      </c>
      <c r="R7610" s="71"/>
    </row>
    <row r="7611" spans="1:18" s="61" customFormat="1" x14ac:dyDescent="0.25">
      <c r="A7611" s="358"/>
      <c r="B7611" s="361"/>
      <c r="C7611" s="366"/>
      <c r="D7611" s="254" t="s">
        <v>423</v>
      </c>
      <c r="E7611" s="156" t="s">
        <v>28</v>
      </c>
      <c r="F7611" s="156" t="s">
        <v>28</v>
      </c>
      <c r="G7611" s="238">
        <f>MROUND(H7611*L7611*I7611/K7611,0.000000001)</f>
        <v>0</v>
      </c>
      <c r="H7611" s="158"/>
      <c r="I7611" s="159">
        <f t="shared" si="2155"/>
        <v>3.261E-3</v>
      </c>
      <c r="J7611" s="160"/>
      <c r="K7611" s="161">
        <f t="shared" si="2156"/>
        <v>78</v>
      </c>
      <c r="L7611" s="250">
        <v>1</v>
      </c>
      <c r="M7611" s="163"/>
      <c r="N7611" s="164"/>
      <c r="O7611" s="165">
        <f t="shared" si="2154"/>
        <v>0</v>
      </c>
      <c r="P7611" s="166"/>
      <c r="Q7611" s="166">
        <f t="shared" si="2153"/>
        <v>0</v>
      </c>
      <c r="R7611" s="71"/>
    </row>
    <row r="7612" spans="1:18" s="61" customFormat="1" x14ac:dyDescent="0.25">
      <c r="A7612" s="358"/>
      <c r="B7612" s="361"/>
      <c r="C7612" s="366"/>
      <c r="D7612" s="254" t="s">
        <v>424</v>
      </c>
      <c r="E7612" s="156" t="s">
        <v>28</v>
      </c>
      <c r="F7612" s="156" t="s">
        <v>28</v>
      </c>
      <c r="G7612" s="238">
        <f t="shared" ref="G7612:G7618" si="2157">MROUND(H7612*L7612*I7612/K7612,0.00000001)</f>
        <v>0</v>
      </c>
      <c r="H7612" s="158"/>
      <c r="I7612" s="159">
        <f>I7601</f>
        <v>3.261E-3</v>
      </c>
      <c r="J7612" s="160"/>
      <c r="K7612" s="161">
        <f>K7601</f>
        <v>78</v>
      </c>
      <c r="L7612" s="250">
        <v>1</v>
      </c>
      <c r="M7612" s="163"/>
      <c r="N7612" s="164"/>
      <c r="O7612" s="165">
        <f t="shared" si="2154"/>
        <v>0</v>
      </c>
      <c r="P7612" s="166"/>
      <c r="Q7612" s="166">
        <f t="shared" si="2153"/>
        <v>0</v>
      </c>
      <c r="R7612" s="71"/>
    </row>
    <row r="7613" spans="1:18" s="61" customFormat="1" x14ac:dyDescent="0.25">
      <c r="A7613" s="358"/>
      <c r="B7613" s="361"/>
      <c r="C7613" s="366"/>
      <c r="D7613" s="254" t="s">
        <v>425</v>
      </c>
      <c r="E7613" s="156" t="s">
        <v>28</v>
      </c>
      <c r="F7613" s="156" t="s">
        <v>28</v>
      </c>
      <c r="G7613" s="277">
        <f t="shared" si="2157"/>
        <v>0</v>
      </c>
      <c r="H7613" s="158"/>
      <c r="I7613" s="159">
        <f t="shared" ref="I7613:I7618" si="2158">I7612</f>
        <v>3.261E-3</v>
      </c>
      <c r="J7613" s="160"/>
      <c r="K7613" s="161">
        <f t="shared" ref="K7613:K7618" si="2159">K7612</f>
        <v>78</v>
      </c>
      <c r="L7613" s="250">
        <v>1</v>
      </c>
      <c r="M7613" s="163"/>
      <c r="N7613" s="164"/>
      <c r="O7613" s="165">
        <f t="shared" si="2154"/>
        <v>0</v>
      </c>
      <c r="P7613" s="166"/>
      <c r="Q7613" s="166">
        <f t="shared" si="2153"/>
        <v>0</v>
      </c>
      <c r="R7613" s="71"/>
    </row>
    <row r="7614" spans="1:18" s="61" customFormat="1" x14ac:dyDescent="0.25">
      <c r="A7614" s="358"/>
      <c r="B7614" s="361"/>
      <c r="C7614" s="366"/>
      <c r="D7614" s="254" t="s">
        <v>108</v>
      </c>
      <c r="E7614" s="156" t="s">
        <v>28</v>
      </c>
      <c r="F7614" s="156" t="s">
        <v>28</v>
      </c>
      <c r="G7614" s="238">
        <f t="shared" si="2157"/>
        <v>0</v>
      </c>
      <c r="H7614" s="158"/>
      <c r="I7614" s="159">
        <f t="shared" si="2158"/>
        <v>3.261E-3</v>
      </c>
      <c r="J7614" s="160"/>
      <c r="K7614" s="161">
        <f t="shared" si="2159"/>
        <v>78</v>
      </c>
      <c r="L7614" s="250">
        <v>1</v>
      </c>
      <c r="M7614" s="163"/>
      <c r="N7614" s="164"/>
      <c r="O7614" s="165">
        <f t="shared" si="2154"/>
        <v>0</v>
      </c>
      <c r="P7614" s="166"/>
      <c r="Q7614" s="166">
        <f t="shared" si="2153"/>
        <v>0</v>
      </c>
      <c r="R7614" s="71"/>
    </row>
    <row r="7615" spans="1:18" s="61" customFormat="1" x14ac:dyDescent="0.25">
      <c r="A7615" s="358"/>
      <c r="B7615" s="361"/>
      <c r="C7615" s="366"/>
      <c r="D7615" s="254" t="s">
        <v>426</v>
      </c>
      <c r="E7615" s="156" t="s">
        <v>28</v>
      </c>
      <c r="F7615" s="156" t="s">
        <v>28</v>
      </c>
      <c r="G7615" s="238">
        <f t="shared" si="2157"/>
        <v>0</v>
      </c>
      <c r="H7615" s="158"/>
      <c r="I7615" s="159">
        <f t="shared" si="2158"/>
        <v>3.261E-3</v>
      </c>
      <c r="J7615" s="160"/>
      <c r="K7615" s="161">
        <f t="shared" si="2159"/>
        <v>78</v>
      </c>
      <c r="L7615" s="250">
        <v>1</v>
      </c>
      <c r="M7615" s="163"/>
      <c r="N7615" s="164"/>
      <c r="O7615" s="165">
        <f t="shared" si="2154"/>
        <v>0</v>
      </c>
      <c r="P7615" s="166"/>
      <c r="Q7615" s="166">
        <f t="shared" si="2153"/>
        <v>0</v>
      </c>
      <c r="R7615" s="71"/>
    </row>
    <row r="7616" spans="1:18" s="61" customFormat="1" x14ac:dyDescent="0.25">
      <c r="A7616" s="358"/>
      <c r="B7616" s="361"/>
      <c r="C7616" s="366"/>
      <c r="D7616" s="254" t="s">
        <v>427</v>
      </c>
      <c r="E7616" s="156" t="s">
        <v>28</v>
      </c>
      <c r="F7616" s="156" t="s">
        <v>28</v>
      </c>
      <c r="G7616" s="238">
        <f t="shared" si="2157"/>
        <v>0</v>
      </c>
      <c r="H7616" s="158"/>
      <c r="I7616" s="159">
        <f t="shared" si="2158"/>
        <v>3.261E-3</v>
      </c>
      <c r="J7616" s="160"/>
      <c r="K7616" s="161">
        <f t="shared" si="2159"/>
        <v>78</v>
      </c>
      <c r="L7616" s="250">
        <v>1</v>
      </c>
      <c r="M7616" s="163"/>
      <c r="N7616" s="164"/>
      <c r="O7616" s="165">
        <f t="shared" si="2154"/>
        <v>0</v>
      </c>
      <c r="P7616" s="166"/>
      <c r="Q7616" s="166">
        <f t="shared" si="2153"/>
        <v>0</v>
      </c>
      <c r="R7616" s="71"/>
    </row>
    <row r="7617" spans="1:18" s="61" customFormat="1" x14ac:dyDescent="0.25">
      <c r="A7617" s="358"/>
      <c r="B7617" s="361"/>
      <c r="C7617" s="366"/>
      <c r="D7617" s="254" t="s">
        <v>428</v>
      </c>
      <c r="E7617" s="156" t="s">
        <v>28</v>
      </c>
      <c r="F7617" s="156" t="s">
        <v>28</v>
      </c>
      <c r="G7617" s="238">
        <f t="shared" si="2157"/>
        <v>0</v>
      </c>
      <c r="H7617" s="158"/>
      <c r="I7617" s="159">
        <f t="shared" si="2158"/>
        <v>3.261E-3</v>
      </c>
      <c r="J7617" s="160"/>
      <c r="K7617" s="161">
        <f t="shared" si="2159"/>
        <v>78</v>
      </c>
      <c r="L7617" s="250">
        <v>1</v>
      </c>
      <c r="M7617" s="163"/>
      <c r="N7617" s="164"/>
      <c r="O7617" s="165">
        <f t="shared" si="2154"/>
        <v>0</v>
      </c>
      <c r="P7617" s="166"/>
      <c r="Q7617" s="166">
        <f t="shared" si="2153"/>
        <v>0</v>
      </c>
      <c r="R7617" s="71"/>
    </row>
    <row r="7618" spans="1:18" s="61" customFormat="1" x14ac:dyDescent="0.25">
      <c r="A7618" s="358"/>
      <c r="B7618" s="361"/>
      <c r="C7618" s="366"/>
      <c r="D7618" s="255" t="s">
        <v>429</v>
      </c>
      <c r="E7618" s="156" t="s">
        <v>28</v>
      </c>
      <c r="F7618" s="156" t="s">
        <v>28</v>
      </c>
      <c r="G7618" s="238">
        <f t="shared" si="2157"/>
        <v>0</v>
      </c>
      <c r="H7618" s="158"/>
      <c r="I7618" s="159">
        <f t="shared" si="2158"/>
        <v>3.261E-3</v>
      </c>
      <c r="J7618" s="160"/>
      <c r="K7618" s="161">
        <f t="shared" si="2159"/>
        <v>78</v>
      </c>
      <c r="L7618" s="250">
        <v>1</v>
      </c>
      <c r="M7618" s="163"/>
      <c r="N7618" s="164"/>
      <c r="O7618" s="165">
        <f t="shared" si="2154"/>
        <v>0</v>
      </c>
      <c r="P7618" s="166"/>
      <c r="Q7618" s="166">
        <f t="shared" si="2153"/>
        <v>0</v>
      </c>
      <c r="R7618" s="71"/>
    </row>
    <row r="7619" spans="1:18" s="62" customFormat="1" x14ac:dyDescent="0.25">
      <c r="A7619" s="358"/>
      <c r="B7619" s="361"/>
      <c r="C7619" s="249" t="s">
        <v>299</v>
      </c>
      <c r="D7619" s="256"/>
      <c r="E7619" s="240"/>
      <c r="F7619" s="240"/>
      <c r="G7619" s="227"/>
      <c r="H7619" s="241"/>
      <c r="I7619" s="206"/>
      <c r="J7619" s="228"/>
      <c r="K7619" s="207"/>
      <c r="L7619" s="257"/>
      <c r="M7619" s="209"/>
      <c r="N7619" s="210"/>
      <c r="O7619" s="198">
        <f>SUM(O7595:O7618)</f>
        <v>0</v>
      </c>
      <c r="P7619" s="267"/>
      <c r="Q7619" s="166"/>
      <c r="R7619" s="71"/>
    </row>
    <row r="7620" spans="1:18" s="61" customFormat="1" ht="110.25" x14ac:dyDescent="0.25">
      <c r="A7620" s="358"/>
      <c r="B7620" s="361"/>
      <c r="C7620" s="221" t="s">
        <v>82</v>
      </c>
      <c r="D7620" s="156" t="s">
        <v>46</v>
      </c>
      <c r="E7620" s="156" t="s">
        <v>54</v>
      </c>
      <c r="F7620" s="156" t="s">
        <v>285</v>
      </c>
      <c r="G7620" s="238">
        <f>MROUND(H7620*L7620*I7620/K7620,0.000001)</f>
        <v>0.47284499999999996</v>
      </c>
      <c r="H7620" s="242">
        <f>H6900</f>
        <v>1028.1818077549303</v>
      </c>
      <c r="I7620" s="159">
        <f>I7618</f>
        <v>3.261E-3</v>
      </c>
      <c r="J7620" s="160"/>
      <c r="K7620" s="161">
        <f>K7618</f>
        <v>78</v>
      </c>
      <c r="L7620" s="225">
        <f>L7260</f>
        <v>11</v>
      </c>
      <c r="M7620" s="163" t="str">
        <f>CONCATENATE(H7620," ",F7620,"*",L7620,"автобуса","*",I7620,"/",K7620,"чел.")</f>
        <v>1028,18180775493 л бензина АИ 92 (12,5л/день(зимой)*20дней*7мес+10л/день(летом)*20дней*4мес)*11автобуса*0,003261/78чел.</v>
      </c>
      <c r="N7620" s="164">
        <f>N6900</f>
        <v>59.28728000000001</v>
      </c>
      <c r="O7620" s="165">
        <f>MROUND(G7620*N7620,0.000001)</f>
        <v>28.033693999999997</v>
      </c>
      <c r="P7620" s="166"/>
      <c r="Q7620" s="166">
        <f t="shared" ref="Q7620" si="2160">O7620*K7620</f>
        <v>2186.6281319999998</v>
      </c>
      <c r="R7620" s="71"/>
    </row>
    <row r="7621" spans="1:18" s="62" customFormat="1" x14ac:dyDescent="0.25">
      <c r="A7621" s="358"/>
      <c r="B7621" s="361"/>
      <c r="C7621" s="218" t="s">
        <v>300</v>
      </c>
      <c r="D7621" s="240"/>
      <c r="E7621" s="240"/>
      <c r="F7621" s="240"/>
      <c r="G7621" s="227"/>
      <c r="H7621" s="241"/>
      <c r="I7621" s="206"/>
      <c r="J7621" s="228"/>
      <c r="K7621" s="207"/>
      <c r="L7621" s="257"/>
      <c r="M7621" s="209"/>
      <c r="N7621" s="210"/>
      <c r="O7621" s="198">
        <f>SUM(O7620)</f>
        <v>28.033693999999997</v>
      </c>
      <c r="P7621" s="267"/>
      <c r="Q7621" s="166"/>
      <c r="R7621" s="71"/>
    </row>
    <row r="7622" spans="1:18" s="61" customFormat="1" ht="47.25" x14ac:dyDescent="0.25">
      <c r="A7622" s="358"/>
      <c r="B7622" s="361"/>
      <c r="C7622" s="221" t="s">
        <v>434</v>
      </c>
      <c r="D7622" s="156" t="s">
        <v>436</v>
      </c>
      <c r="E7622" s="156" t="s">
        <v>28</v>
      </c>
      <c r="F7622" s="156" t="s">
        <v>437</v>
      </c>
      <c r="G7622" s="157">
        <f>MROUND(H7622*L7622*I7622/K7622,0.000001)</f>
        <v>1.2123999999999999E-2</v>
      </c>
      <c r="H7622" s="242">
        <f>$H$125</f>
        <v>290</v>
      </c>
      <c r="I7622" s="159">
        <f>I7620</f>
        <v>3.261E-3</v>
      </c>
      <c r="J7622" s="160"/>
      <c r="K7622" s="161">
        <f>K7620</f>
        <v>78</v>
      </c>
      <c r="L7622" s="162">
        <v>1</v>
      </c>
      <c r="M7622" s="163" t="str">
        <f>CONCATENATE(H7622," ",F7622,"*",L7622,"автобуса","*",I7622,"/",K7622,"чел.")</f>
        <v>290 огнетушителей (потребность учреждений) *1автобуса*0,003261/78чел.</v>
      </c>
      <c r="N7622" s="164">
        <f>$N$125</f>
        <v>2000</v>
      </c>
      <c r="O7622" s="165">
        <f>MROUND(G7622*N7622,0.000001)</f>
        <v>24.247999999999998</v>
      </c>
      <c r="P7622" s="166"/>
      <c r="Q7622" s="166">
        <f t="shared" ref="Q7622" si="2161">O7622*K7622</f>
        <v>1891.3439999999998</v>
      </c>
      <c r="R7622" s="71"/>
    </row>
    <row r="7623" spans="1:18" s="61" customFormat="1" x14ac:dyDescent="0.25">
      <c r="A7623" s="358"/>
      <c r="B7623" s="361"/>
      <c r="C7623" s="218" t="s">
        <v>435</v>
      </c>
      <c r="D7623" s="240"/>
      <c r="E7623" s="240"/>
      <c r="F7623" s="240"/>
      <c r="G7623" s="251"/>
      <c r="H7623" s="241"/>
      <c r="I7623" s="206"/>
      <c r="J7623" s="228"/>
      <c r="K7623" s="207"/>
      <c r="L7623" s="229"/>
      <c r="M7623" s="209"/>
      <c r="N7623" s="210"/>
      <c r="O7623" s="198">
        <f>SUM(O7622)</f>
        <v>24.247999999999998</v>
      </c>
      <c r="P7623" s="166"/>
      <c r="Q7623" s="166"/>
      <c r="R7623" s="71"/>
    </row>
    <row r="7624" spans="1:18" s="61" customFormat="1" ht="47.25" x14ac:dyDescent="0.25">
      <c r="A7624" s="358"/>
      <c r="B7624" s="361"/>
      <c r="C7624" s="364" t="s">
        <v>118</v>
      </c>
      <c r="D7624" s="156" t="s">
        <v>47</v>
      </c>
      <c r="E7624" s="156" t="s">
        <v>28</v>
      </c>
      <c r="F7624" s="156" t="s">
        <v>239</v>
      </c>
      <c r="G7624" s="238">
        <f>MROUND(H7624*L7624*I7624/K7624,0.00000001)</f>
        <v>5.8530800000000001E-3</v>
      </c>
      <c r="H7624" s="158">
        <f>H6904</f>
        <v>140</v>
      </c>
      <c r="I7624" s="159">
        <f>I7620</f>
        <v>3.261E-3</v>
      </c>
      <c r="J7624" s="160"/>
      <c r="K7624" s="161">
        <f>K7620</f>
        <v>78</v>
      </c>
      <c r="L7624" s="250">
        <v>1</v>
      </c>
      <c r="M7624" s="163" t="str">
        <f>CONCATENATE(H7624," ",F7624,"*",I7624,"/",K7624,"чел.")</f>
        <v>140 манометров (потребность учреждений) *0,003261/78чел.</v>
      </c>
      <c r="N7624" s="164">
        <f>N6904</f>
        <v>770.73500000000035</v>
      </c>
      <c r="O7624" s="165">
        <f>MROUND(G7624*N7624,0.000001)</f>
        <v>4.5111739999999996</v>
      </c>
      <c r="P7624" s="166"/>
      <c r="Q7624" s="166">
        <f t="shared" ref="Q7624:Q7625" si="2162">O7624*K7624</f>
        <v>351.87157199999996</v>
      </c>
      <c r="R7624" s="71"/>
    </row>
    <row r="7625" spans="1:18" s="61" customFormat="1" ht="47.25" x14ac:dyDescent="0.25">
      <c r="A7625" s="358"/>
      <c r="B7625" s="361"/>
      <c r="C7625" s="364"/>
      <c r="D7625" s="255" t="s">
        <v>113</v>
      </c>
      <c r="E7625" s="156" t="s">
        <v>28</v>
      </c>
      <c r="F7625" s="156" t="s">
        <v>240</v>
      </c>
      <c r="G7625" s="238">
        <f>MROUND(H7625*L7625*I7625/K7625,0.00000001)</f>
        <v>0.23893096</v>
      </c>
      <c r="H7625" s="158">
        <f>H6905</f>
        <v>5715</v>
      </c>
      <c r="I7625" s="159">
        <f>I7624</f>
        <v>3.261E-3</v>
      </c>
      <c r="J7625" s="160"/>
      <c r="K7625" s="161">
        <f>K7624</f>
        <v>78</v>
      </c>
      <c r="L7625" s="250">
        <v>1</v>
      </c>
      <c r="M7625" s="163" t="str">
        <f>CONCATENATE(H7625," ",F7625,"*",I7625,"/",K7625,"чел.")</f>
        <v>5715 светильников (потребность учреждений)*0,003261/78чел.</v>
      </c>
      <c r="N7625" s="164">
        <f>N6905</f>
        <v>115.61019597550306</v>
      </c>
      <c r="O7625" s="165">
        <f>MROUND(G7625*N7625,0.000001)</f>
        <v>27.622854999999998</v>
      </c>
      <c r="P7625" s="166"/>
      <c r="Q7625" s="166">
        <f t="shared" si="2162"/>
        <v>2154.5826899999997</v>
      </c>
      <c r="R7625" s="71"/>
    </row>
    <row r="7626" spans="1:18" s="62" customFormat="1" x14ac:dyDescent="0.25">
      <c r="A7626" s="359"/>
      <c r="B7626" s="362"/>
      <c r="C7626" s="218" t="s">
        <v>301</v>
      </c>
      <c r="D7626" s="256"/>
      <c r="E7626" s="240"/>
      <c r="F7626" s="240"/>
      <c r="G7626" s="227"/>
      <c r="H7626" s="241"/>
      <c r="I7626" s="206"/>
      <c r="J7626" s="228"/>
      <c r="K7626" s="207"/>
      <c r="L7626" s="257"/>
      <c r="M7626" s="209"/>
      <c r="N7626" s="210"/>
      <c r="O7626" s="198">
        <f>SUM(O7624:O7625)</f>
        <v>32.134028999999998</v>
      </c>
      <c r="P7626" s="267"/>
      <c r="Q7626" s="166"/>
      <c r="R7626" s="71"/>
    </row>
    <row r="7627" spans="1:18" s="61" customFormat="1" x14ac:dyDescent="0.25">
      <c r="A7627" s="357" t="str">
        <f>CONCATENATE(школы!$B$13,", ",школы!$C$13,", ",школы!$D$13)</f>
        <v>Реализация основных общеобразовательных программ основного общего образования, адаптированная образовательная программа, обучающиеся с ограниченными возможностями здоровья (ОВЗ)</v>
      </c>
      <c r="B7627" s="360" t="str">
        <f>школы!$A$13</f>
        <v>802111О.99.0.БА96АА00001</v>
      </c>
      <c r="C7627" s="194"/>
      <c r="D7627" s="363" t="s">
        <v>15</v>
      </c>
      <c r="E7627" s="363"/>
      <c r="F7627" s="363"/>
      <c r="G7627" s="363"/>
      <c r="H7627" s="195"/>
      <c r="I7627" s="195"/>
      <c r="J7627" s="195"/>
      <c r="K7627" s="195"/>
      <c r="L7627" s="196"/>
      <c r="M7627" s="197"/>
      <c r="N7627" s="164"/>
      <c r="O7627" s="198">
        <f>O7628+O7633+O7635</f>
        <v>7757.2689514180001</v>
      </c>
      <c r="P7627" s="166"/>
      <c r="Q7627" s="166"/>
      <c r="R7627" s="71"/>
    </row>
    <row r="7628" spans="1:18" s="61" customFormat="1" x14ac:dyDescent="0.25">
      <c r="A7628" s="358"/>
      <c r="B7628" s="361"/>
      <c r="C7628" s="194"/>
      <c r="D7628" s="350" t="s">
        <v>62</v>
      </c>
      <c r="E7628" s="350"/>
      <c r="F7628" s="350"/>
      <c r="G7628" s="350"/>
      <c r="H7628" s="195"/>
      <c r="I7628" s="195"/>
      <c r="J7628" s="195"/>
      <c r="K7628" s="195"/>
      <c r="L7628" s="196"/>
      <c r="M7628" s="197"/>
      <c r="N7628" s="164"/>
      <c r="O7628" s="165">
        <f>O7630+O7632</f>
        <v>7757.2689514180001</v>
      </c>
      <c r="P7628" s="166"/>
      <c r="Q7628" s="166"/>
      <c r="R7628" s="71"/>
    </row>
    <row r="7629" spans="1:18" s="61" customFormat="1" x14ac:dyDescent="0.25">
      <c r="A7629" s="358"/>
      <c r="B7629" s="361"/>
      <c r="C7629" s="194">
        <v>211</v>
      </c>
      <c r="D7629" s="194" t="s">
        <v>86</v>
      </c>
      <c r="E7629" s="199" t="s">
        <v>95</v>
      </c>
      <c r="F7629" s="199" t="s">
        <v>95</v>
      </c>
      <c r="G7629" s="275">
        <f>MROUND(H7629*L7629*I7629/K7629,0.0000000001)</f>
        <v>0.46244483480000004</v>
      </c>
      <c r="H7629" s="201">
        <f>H6789</f>
        <v>921.8</v>
      </c>
      <c r="I7629" s="159">
        <f>школы!$K$13</f>
        <v>2.1153999999999999E-2</v>
      </c>
      <c r="J7629" s="159"/>
      <c r="K7629" s="161">
        <f>школы!$G$13</f>
        <v>506</v>
      </c>
      <c r="L7629" s="202">
        <v>12</v>
      </c>
      <c r="M7629" s="163" t="str">
        <f>CONCATENATE(H7629," ",F7629," ","в мес.","*",L7629,"мес.","*",I7629,"/",K7629,"чел.")</f>
        <v>921,8 шт.ед в мес.*12мес.*0,021154/506чел.</v>
      </c>
      <c r="N7629" s="164">
        <f>N6789</f>
        <v>12883.620739314385</v>
      </c>
      <c r="O7629" s="165">
        <f>MROUND(G7629*N7629,0.000000001)</f>
        <v>5957.9638644180004</v>
      </c>
      <c r="P7629" s="166"/>
      <c r="Q7629" s="166">
        <f t="shared" ref="Q7629" si="2163">O7629*K7629</f>
        <v>3014729.7153955083</v>
      </c>
      <c r="R7629" s="71"/>
    </row>
    <row r="7630" spans="1:18" s="62" customFormat="1" x14ac:dyDescent="0.25">
      <c r="A7630" s="358"/>
      <c r="B7630" s="361"/>
      <c r="C7630" s="203" t="s">
        <v>288</v>
      </c>
      <c r="D7630" s="203"/>
      <c r="E7630" s="204"/>
      <c r="F7630" s="204"/>
      <c r="G7630" s="205"/>
      <c r="H7630" s="206"/>
      <c r="I7630" s="206"/>
      <c r="J7630" s="206"/>
      <c r="K7630" s="207"/>
      <c r="L7630" s="208"/>
      <c r="M7630" s="209"/>
      <c r="N7630" s="210">
        <f>N7629</f>
        <v>12883.620739314385</v>
      </c>
      <c r="O7630" s="198">
        <f>O7629</f>
        <v>5957.9638644180004</v>
      </c>
      <c r="P7630" s="267"/>
      <c r="Q7630" s="166"/>
      <c r="R7630" s="71"/>
    </row>
    <row r="7631" spans="1:18" s="61" customFormat="1" x14ac:dyDescent="0.25">
      <c r="A7631" s="358"/>
      <c r="B7631" s="361"/>
      <c r="C7631" s="194">
        <v>213</v>
      </c>
      <c r="D7631" s="194" t="s">
        <v>87</v>
      </c>
      <c r="E7631" s="194" t="s">
        <v>88</v>
      </c>
      <c r="F7631" s="194"/>
      <c r="G7631" s="211">
        <v>30.2</v>
      </c>
      <c r="H7631" s="159"/>
      <c r="I7631" s="159"/>
      <c r="J7631" s="159"/>
      <c r="K7631" s="161">
        <f>K7629</f>
        <v>506</v>
      </c>
      <c r="L7631" s="202"/>
      <c r="M7631" s="212"/>
      <c r="N7631" s="164"/>
      <c r="O7631" s="165">
        <f>MROUND(O7629*0.302,0.000001)</f>
        <v>1799.305087</v>
      </c>
      <c r="P7631" s="166"/>
      <c r="Q7631" s="166">
        <f>O7631*K7631</f>
        <v>910448.374022</v>
      </c>
      <c r="R7631" s="71"/>
    </row>
    <row r="7632" spans="1:18" s="62" customFormat="1" x14ac:dyDescent="0.25">
      <c r="A7632" s="358"/>
      <c r="B7632" s="361"/>
      <c r="C7632" s="203" t="s">
        <v>289</v>
      </c>
      <c r="D7632" s="203"/>
      <c r="E7632" s="203"/>
      <c r="F7632" s="203"/>
      <c r="G7632" s="213"/>
      <c r="H7632" s="214"/>
      <c r="I7632" s="206"/>
      <c r="J7632" s="214"/>
      <c r="K7632" s="207"/>
      <c r="L7632" s="215"/>
      <c r="M7632" s="216"/>
      <c r="N7632" s="210"/>
      <c r="O7632" s="198">
        <f>O7631</f>
        <v>1799.305087</v>
      </c>
      <c r="P7632" s="267"/>
      <c r="Q7632" s="166"/>
      <c r="R7632" s="71"/>
    </row>
    <row r="7633" spans="1:18" s="61" customFormat="1" x14ac:dyDescent="0.25">
      <c r="A7633" s="358"/>
      <c r="B7633" s="361"/>
      <c r="C7633" s="194"/>
      <c r="D7633" s="356" t="s">
        <v>63</v>
      </c>
      <c r="E7633" s="356"/>
      <c r="F7633" s="356"/>
      <c r="G7633" s="356"/>
      <c r="H7633" s="195"/>
      <c r="I7633" s="159"/>
      <c r="J7633" s="195"/>
      <c r="K7633" s="161"/>
      <c r="L7633" s="196"/>
      <c r="M7633" s="197"/>
      <c r="N7633" s="164"/>
      <c r="O7633" s="165"/>
      <c r="P7633" s="166"/>
      <c r="Q7633" s="166"/>
      <c r="R7633" s="71"/>
    </row>
    <row r="7634" spans="1:18" s="61" customFormat="1" x14ac:dyDescent="0.25">
      <c r="A7634" s="358"/>
      <c r="B7634" s="361"/>
      <c r="C7634" s="194"/>
      <c r="D7634" s="194"/>
      <c r="E7634" s="194"/>
      <c r="F7634" s="194"/>
      <c r="G7634" s="217"/>
      <c r="H7634" s="195"/>
      <c r="I7634" s="159"/>
      <c r="J7634" s="195"/>
      <c r="K7634" s="161"/>
      <c r="L7634" s="196"/>
      <c r="M7634" s="197"/>
      <c r="N7634" s="164"/>
      <c r="O7634" s="165"/>
      <c r="P7634" s="166"/>
      <c r="Q7634" s="166"/>
      <c r="R7634" s="71"/>
    </row>
    <row r="7635" spans="1:18" s="61" customFormat="1" x14ac:dyDescent="0.25">
      <c r="A7635" s="358"/>
      <c r="B7635" s="361"/>
      <c r="C7635" s="194"/>
      <c r="D7635" s="350" t="s">
        <v>64</v>
      </c>
      <c r="E7635" s="350"/>
      <c r="F7635" s="350"/>
      <c r="G7635" s="350"/>
      <c r="H7635" s="195"/>
      <c r="I7635" s="159"/>
      <c r="J7635" s="195"/>
      <c r="K7635" s="161"/>
      <c r="L7635" s="196"/>
      <c r="M7635" s="197"/>
      <c r="N7635" s="164"/>
      <c r="O7635" s="165"/>
      <c r="P7635" s="166"/>
      <c r="Q7635" s="166"/>
      <c r="R7635" s="71"/>
    </row>
    <row r="7636" spans="1:18" s="61" customFormat="1" x14ac:dyDescent="0.25">
      <c r="A7636" s="358"/>
      <c r="B7636" s="361"/>
      <c r="C7636" s="194"/>
      <c r="D7636" s="194"/>
      <c r="E7636" s="194"/>
      <c r="F7636" s="194"/>
      <c r="G7636" s="217"/>
      <c r="H7636" s="195"/>
      <c r="I7636" s="159"/>
      <c r="J7636" s="195"/>
      <c r="K7636" s="161"/>
      <c r="L7636" s="196"/>
      <c r="M7636" s="197"/>
      <c r="N7636" s="164"/>
      <c r="O7636" s="165"/>
      <c r="P7636" s="166"/>
      <c r="Q7636" s="166"/>
      <c r="R7636" s="71"/>
    </row>
    <row r="7637" spans="1:18" s="61" customFormat="1" x14ac:dyDescent="0.25">
      <c r="A7637" s="358"/>
      <c r="B7637" s="361"/>
      <c r="C7637" s="194"/>
      <c r="D7637" s="355" t="s">
        <v>5</v>
      </c>
      <c r="E7637" s="355"/>
      <c r="F7637" s="355"/>
      <c r="G7637" s="355"/>
      <c r="H7637" s="195"/>
      <c r="I7637" s="159"/>
      <c r="J7637" s="195"/>
      <c r="K7637" s="161"/>
      <c r="L7637" s="196"/>
      <c r="M7637" s="197"/>
      <c r="N7637" s="164"/>
      <c r="O7637" s="198">
        <f>O7638+O7648+O7659+O7661+O7663+O7665+O7667</f>
        <v>13018.059732944259</v>
      </c>
      <c r="P7637" s="166"/>
      <c r="Q7637" s="166"/>
      <c r="R7637" s="71"/>
    </row>
    <row r="7638" spans="1:18" s="61" customFormat="1" x14ac:dyDescent="0.25">
      <c r="A7638" s="358"/>
      <c r="B7638" s="361"/>
      <c r="C7638" s="221" t="s">
        <v>70</v>
      </c>
      <c r="D7638" s="355" t="s">
        <v>6</v>
      </c>
      <c r="E7638" s="355"/>
      <c r="F7638" s="355"/>
      <c r="G7638" s="355"/>
      <c r="H7638" s="189"/>
      <c r="I7638" s="159"/>
      <c r="J7638" s="189"/>
      <c r="K7638" s="161"/>
      <c r="L7638" s="190"/>
      <c r="M7638" s="197"/>
      <c r="N7638" s="210"/>
      <c r="O7638" s="198">
        <f>O7647</f>
        <v>7867.7984470699994</v>
      </c>
      <c r="P7638" s="166"/>
      <c r="Q7638" s="166"/>
      <c r="R7638" s="71"/>
    </row>
    <row r="7639" spans="1:18" s="61" customFormat="1" ht="31.5" x14ac:dyDescent="0.25">
      <c r="A7639" s="358"/>
      <c r="B7639" s="361"/>
      <c r="C7639" s="221" t="s">
        <v>72</v>
      </c>
      <c r="D7639" s="222" t="s">
        <v>7</v>
      </c>
      <c r="E7639" s="223" t="s">
        <v>8</v>
      </c>
      <c r="F7639" s="223" t="s">
        <v>8</v>
      </c>
      <c r="G7639" s="238">
        <f>MROUND(H7639*L7639*I7639/K7639,0.00000000001)</f>
        <v>138.50942817146</v>
      </c>
      <c r="H7639" s="160">
        <f>H6919</f>
        <v>3313121.4264326878</v>
      </c>
      <c r="I7639" s="159">
        <f>I7629</f>
        <v>2.1153999999999999E-2</v>
      </c>
      <c r="J7639" s="160"/>
      <c r="K7639" s="161">
        <f>K7629</f>
        <v>506</v>
      </c>
      <c r="L7639" s="250">
        <v>1</v>
      </c>
      <c r="M7639" s="163" t="str">
        <f t="shared" ref="M7639:M7644" si="2164">CONCATENATE(H7639," ",F7639,"(лимиты выделенные УЖКХ) ","*",I7639,"/",K7639,"чел.")</f>
        <v>3313121,42643269 кВт час.(лимиты выделенные УЖКХ) *0,021154/506чел.</v>
      </c>
      <c r="N7639" s="164">
        <f>N6919</f>
        <v>11.333602475424668</v>
      </c>
      <c r="O7639" s="165">
        <f t="shared" ref="O7639:O7642" si="2165">MROUND(G7639*N7639,0.000001)</f>
        <v>1569.810798</v>
      </c>
      <c r="P7639" s="166"/>
      <c r="Q7639" s="166">
        <f t="shared" ref="Q7639:Q7646" si="2166">O7639*K7639</f>
        <v>794324.26378799998</v>
      </c>
      <c r="R7639" s="71"/>
    </row>
    <row r="7640" spans="1:18" s="61" customFormat="1" ht="31.5" x14ac:dyDescent="0.25">
      <c r="A7640" s="358"/>
      <c r="B7640" s="361"/>
      <c r="C7640" s="221" t="s">
        <v>73</v>
      </c>
      <c r="D7640" s="222" t="s">
        <v>9</v>
      </c>
      <c r="E7640" s="223" t="s">
        <v>10</v>
      </c>
      <c r="F7640" s="223" t="s">
        <v>10</v>
      </c>
      <c r="G7640" s="238">
        <f>MROUND(H7640*L7640*I7640/K7640,0.00000000001)</f>
        <v>1.33351262462</v>
      </c>
      <c r="H7640" s="160">
        <f t="shared" ref="H7640:H7645" si="2167">H6800</f>
        <v>31897.39</v>
      </c>
      <c r="I7640" s="159">
        <f t="shared" ref="I7640:I7692" si="2168">I7639</f>
        <v>2.1153999999999999E-2</v>
      </c>
      <c r="J7640" s="160"/>
      <c r="K7640" s="161">
        <f t="shared" ref="K7640:K7646" si="2169">K7639</f>
        <v>506</v>
      </c>
      <c r="L7640" s="250">
        <v>1</v>
      </c>
      <c r="M7640" s="163" t="str">
        <f t="shared" si="2164"/>
        <v>31897,39 Гкал(лимиты выделенные УЖКХ) *0,021154/506чел.</v>
      </c>
      <c r="N7640" s="164">
        <f t="shared" ref="N7640:N7645" si="2170">N6800</f>
        <v>3095.3018623153812</v>
      </c>
      <c r="O7640" s="165">
        <f t="shared" si="2165"/>
        <v>4127.6241099999997</v>
      </c>
      <c r="P7640" s="166"/>
      <c r="Q7640" s="166">
        <f t="shared" si="2166"/>
        <v>2088577.7996599998</v>
      </c>
      <c r="R7640" s="71"/>
    </row>
    <row r="7641" spans="1:18" s="61" customFormat="1" ht="31.5" x14ac:dyDescent="0.25">
      <c r="A7641" s="358"/>
      <c r="B7641" s="361"/>
      <c r="C7641" s="364" t="s">
        <v>74</v>
      </c>
      <c r="D7641" s="222" t="s">
        <v>12</v>
      </c>
      <c r="E7641" s="222" t="s">
        <v>11</v>
      </c>
      <c r="F7641" s="222" t="s">
        <v>11</v>
      </c>
      <c r="G7641" s="238">
        <f>MROUND(H7641*L7641*I7641/K7641,0.00000000001)</f>
        <v>7.7226803284199992</v>
      </c>
      <c r="H7641" s="224">
        <f t="shared" si="2167"/>
        <v>184725.17</v>
      </c>
      <c r="I7641" s="159">
        <f t="shared" si="2168"/>
        <v>2.1153999999999999E-2</v>
      </c>
      <c r="J7641" s="160"/>
      <c r="K7641" s="161">
        <f t="shared" si="2169"/>
        <v>506</v>
      </c>
      <c r="L7641" s="250">
        <v>1</v>
      </c>
      <c r="M7641" s="163" t="str">
        <f t="shared" si="2164"/>
        <v>184725,17 м3(лимиты выделенные УЖКХ) *0,021154/506чел.</v>
      </c>
      <c r="N7641" s="164">
        <f t="shared" si="2170"/>
        <v>56.382747245543193</v>
      </c>
      <c r="O7641" s="165">
        <f t="shared" si="2165"/>
        <v>435.42593299999999</v>
      </c>
      <c r="P7641" s="166"/>
      <c r="Q7641" s="166">
        <f t="shared" si="2166"/>
        <v>220325.52209799999</v>
      </c>
      <c r="R7641" s="71"/>
    </row>
    <row r="7642" spans="1:18" s="61" customFormat="1" ht="47.25" x14ac:dyDescent="0.25">
      <c r="A7642" s="358"/>
      <c r="B7642" s="361"/>
      <c r="C7642" s="364"/>
      <c r="D7642" s="222" t="s">
        <v>17</v>
      </c>
      <c r="E7642" s="222" t="s">
        <v>11</v>
      </c>
      <c r="F7642" s="222" t="s">
        <v>11</v>
      </c>
      <c r="G7642" s="238">
        <f>MROUND(H7642*L7642*I7642/K7642,0.00000000001)</f>
        <v>7.7226803284199992</v>
      </c>
      <c r="H7642" s="160">
        <f t="shared" si="2167"/>
        <v>184725.17</v>
      </c>
      <c r="I7642" s="159">
        <f t="shared" si="2168"/>
        <v>2.1153999999999999E-2</v>
      </c>
      <c r="J7642" s="160"/>
      <c r="K7642" s="161">
        <f t="shared" si="2169"/>
        <v>506</v>
      </c>
      <c r="L7642" s="162">
        <f>$L$6802</f>
        <v>1</v>
      </c>
      <c r="M7642" s="163" t="str">
        <f t="shared" si="2164"/>
        <v>184725,17 м3(лимиты выделенные УЖКХ) *0,021154/506чел.</v>
      </c>
      <c r="N7642" s="164">
        <f t="shared" si="2170"/>
        <v>85.679537612054773</v>
      </c>
      <c r="O7642" s="165">
        <f t="shared" si="2165"/>
        <v>661.67567999999994</v>
      </c>
      <c r="P7642" s="166"/>
      <c r="Q7642" s="166">
        <f t="shared" si="2166"/>
        <v>334807.89408</v>
      </c>
      <c r="R7642" s="71"/>
    </row>
    <row r="7643" spans="1:18" s="61" customFormat="1" ht="31.5" x14ac:dyDescent="0.25">
      <c r="A7643" s="358"/>
      <c r="B7643" s="361"/>
      <c r="C7643" s="364"/>
      <c r="D7643" s="222" t="s">
        <v>13</v>
      </c>
      <c r="E7643" s="222" t="s">
        <v>11</v>
      </c>
      <c r="F7643" s="222" t="s">
        <v>11</v>
      </c>
      <c r="G7643" s="238">
        <f>MROUND(H7643*L7643*I7643/K7643,0.00000000001)</f>
        <v>7.7226803284199992</v>
      </c>
      <c r="H7643" s="160">
        <f t="shared" si="2167"/>
        <v>184725.17</v>
      </c>
      <c r="I7643" s="159">
        <f t="shared" si="2168"/>
        <v>2.1153999999999999E-2</v>
      </c>
      <c r="J7643" s="160"/>
      <c r="K7643" s="161">
        <f t="shared" si="2169"/>
        <v>506</v>
      </c>
      <c r="L7643" s="162">
        <v>1</v>
      </c>
      <c r="M7643" s="163" t="str">
        <f t="shared" si="2164"/>
        <v>184725,17 м3(лимиты выделенные УЖКХ) *0,021154/506чел.</v>
      </c>
      <c r="N7643" s="164">
        <f t="shared" si="2170"/>
        <v>116.85554734686012</v>
      </c>
      <c r="O7643" s="165">
        <f>MROUND(G7643*N7643,0.00000001)</f>
        <v>902.43803676000005</v>
      </c>
      <c r="P7643" s="166"/>
      <c r="Q7643" s="166">
        <f t="shared" si="2166"/>
        <v>456633.64660055999</v>
      </c>
      <c r="R7643" s="71"/>
    </row>
    <row r="7644" spans="1:18" s="61" customFormat="1" ht="31.5" x14ac:dyDescent="0.25">
      <c r="A7644" s="358"/>
      <c r="B7644" s="361"/>
      <c r="C7644" s="221" t="s">
        <v>75</v>
      </c>
      <c r="D7644" s="222" t="s">
        <v>18</v>
      </c>
      <c r="E7644" s="222" t="s">
        <v>48</v>
      </c>
      <c r="F7644" s="222" t="s">
        <v>48</v>
      </c>
      <c r="G7644" s="238">
        <f>MROUND(H7644*L7644*I7644/K7644,0.0000000001)</f>
        <v>0.58058950669999998</v>
      </c>
      <c r="H7644" s="160">
        <f t="shared" si="2167"/>
        <v>13887.6</v>
      </c>
      <c r="I7644" s="159">
        <f t="shared" si="2168"/>
        <v>2.1153999999999999E-2</v>
      </c>
      <c r="J7644" s="160"/>
      <c r="K7644" s="161">
        <f t="shared" si="2169"/>
        <v>506</v>
      </c>
      <c r="L7644" s="250">
        <v>1</v>
      </c>
      <c r="M7644" s="163" t="str">
        <f t="shared" si="2164"/>
        <v>13887,6 тыс. м3(лимиты выделенные УЖКХ) *0,021154/506чел.</v>
      </c>
      <c r="N7644" s="164">
        <f t="shared" si="2170"/>
        <v>31.799284973645559</v>
      </c>
      <c r="O7644" s="165">
        <f t="shared" ref="O7644" si="2171">MROUND(G7644*N7644,0.000001)</f>
        <v>18.462330999999999</v>
      </c>
      <c r="P7644" s="166"/>
      <c r="Q7644" s="166">
        <f t="shared" si="2166"/>
        <v>9341.9394859999993</v>
      </c>
      <c r="R7644" s="71"/>
    </row>
    <row r="7645" spans="1:18" s="61" customFormat="1" x14ac:dyDescent="0.25">
      <c r="A7645" s="358"/>
      <c r="B7645" s="361"/>
      <c r="C7645" s="364" t="s">
        <v>216</v>
      </c>
      <c r="D7645" s="222" t="s">
        <v>23</v>
      </c>
      <c r="E7645" s="222" t="s">
        <v>11</v>
      </c>
      <c r="F7645" s="222" t="s">
        <v>11</v>
      </c>
      <c r="G7645" s="238">
        <f>MROUND(H7645*L7645*I7645/K7645,0.000000000001)</f>
        <v>0.140830455652</v>
      </c>
      <c r="H7645" s="160">
        <f t="shared" si="2167"/>
        <v>3368.6400000000003</v>
      </c>
      <c r="I7645" s="159">
        <f t="shared" si="2168"/>
        <v>2.1153999999999999E-2</v>
      </c>
      <c r="J7645" s="160"/>
      <c r="K7645" s="161">
        <f t="shared" si="2169"/>
        <v>506</v>
      </c>
      <c r="L7645" s="162">
        <f>L7644</f>
        <v>1</v>
      </c>
      <c r="M7645" s="163" t="str">
        <f>CONCATENATE(H7645," ",F7645," ","*",I7645,"/",K7645,"чел.")</f>
        <v>3368,64 м3 *0,021154/506чел.</v>
      </c>
      <c r="N7645" s="164">
        <f t="shared" si="2170"/>
        <v>807.40973805452643</v>
      </c>
      <c r="O7645" s="165">
        <f>MROUND(G7645*N7645,0.00000001)</f>
        <v>113.70788131</v>
      </c>
      <c r="P7645" s="166"/>
      <c r="Q7645" s="166">
        <f t="shared" si="2166"/>
        <v>57536.18794286</v>
      </c>
      <c r="R7645" s="71"/>
    </row>
    <row r="7646" spans="1:18" s="61" customFormat="1" ht="47.25" x14ac:dyDescent="0.25">
      <c r="A7646" s="358"/>
      <c r="B7646" s="361"/>
      <c r="C7646" s="364"/>
      <c r="D7646" s="222" t="s">
        <v>24</v>
      </c>
      <c r="E7646" s="222" t="s">
        <v>25</v>
      </c>
      <c r="F7646" s="222" t="s">
        <v>217</v>
      </c>
      <c r="G7646" s="238">
        <f>MROUND(H7646*L7646*I7646/K7646,0.000000000001)</f>
        <v>6.1455296440000003E-3</v>
      </c>
      <c r="H7646" s="160">
        <f>H6926</f>
        <v>147</v>
      </c>
      <c r="I7646" s="159">
        <f t="shared" si="2168"/>
        <v>2.1153999999999999E-2</v>
      </c>
      <c r="J7646" s="160"/>
      <c r="K7646" s="161">
        <f t="shared" si="2169"/>
        <v>506</v>
      </c>
      <c r="L7646" s="250">
        <f>L7645</f>
        <v>1</v>
      </c>
      <c r="M7646" s="163" t="str">
        <f>CONCATENATE(H7646," ",F7646,"(потребность из расчета 4 контейнера для уборки территории весной и осенью на 1 учреждение)","*",I7646,"/",K7646,"чел.")</f>
        <v>147 контейнера(потребность из расчета 4 контейнера для уборки территории весной и осенью на 1 учреждение)*0,021154/506чел.</v>
      </c>
      <c r="N7646" s="164">
        <f>N6926</f>
        <v>6289.7226530612279</v>
      </c>
      <c r="O7646" s="165">
        <f t="shared" ref="O7646" si="2172">MROUND(G7646*N7646,0.000001)</f>
        <v>38.653676999999995</v>
      </c>
      <c r="P7646" s="166"/>
      <c r="Q7646" s="166">
        <f t="shared" si="2166"/>
        <v>19558.760561999996</v>
      </c>
      <c r="R7646" s="71"/>
    </row>
    <row r="7647" spans="1:18" s="62" customFormat="1" x14ac:dyDescent="0.25">
      <c r="A7647" s="358"/>
      <c r="B7647" s="361"/>
      <c r="C7647" s="218" t="s">
        <v>290</v>
      </c>
      <c r="D7647" s="226"/>
      <c r="E7647" s="226"/>
      <c r="F7647" s="226"/>
      <c r="G7647" s="227"/>
      <c r="H7647" s="228"/>
      <c r="I7647" s="206"/>
      <c r="J7647" s="228"/>
      <c r="K7647" s="207"/>
      <c r="L7647" s="257"/>
      <c r="M7647" s="209"/>
      <c r="N7647" s="210"/>
      <c r="O7647" s="198">
        <f>SUM(O7639:O7646)</f>
        <v>7867.7984470699994</v>
      </c>
      <c r="P7647" s="267"/>
      <c r="Q7647" s="166"/>
      <c r="R7647" s="71"/>
    </row>
    <row r="7648" spans="1:18" s="61" customFormat="1" x14ac:dyDescent="0.25">
      <c r="A7648" s="358"/>
      <c r="B7648" s="361"/>
      <c r="C7648" s="221"/>
      <c r="D7648" s="356" t="s">
        <v>14</v>
      </c>
      <c r="E7648" s="356"/>
      <c r="F7648" s="356"/>
      <c r="G7648" s="356"/>
      <c r="H7648" s="188"/>
      <c r="I7648" s="159"/>
      <c r="J7648" s="188"/>
      <c r="K7648" s="161"/>
      <c r="L7648" s="250"/>
      <c r="M7648" s="230"/>
      <c r="N7648" s="164"/>
      <c r="O7648" s="198">
        <f>O7656+O7657+O7652</f>
        <v>4181.0755561342594</v>
      </c>
      <c r="P7648" s="166"/>
      <c r="Q7648" s="166"/>
      <c r="R7648" s="71"/>
    </row>
    <row r="7649" spans="1:18" s="61" customFormat="1" x14ac:dyDescent="0.25">
      <c r="A7649" s="358"/>
      <c r="B7649" s="361"/>
      <c r="C7649" s="221" t="s">
        <v>379</v>
      </c>
      <c r="D7649" s="231" t="s">
        <v>49</v>
      </c>
      <c r="E7649" s="231" t="s">
        <v>22</v>
      </c>
      <c r="F7649" s="231" t="s">
        <v>22</v>
      </c>
      <c r="G7649" s="238">
        <f>MROUND(H7649*L7649*I7649/K7649,0.000000001)</f>
        <v>0</v>
      </c>
      <c r="H7649" s="160"/>
      <c r="I7649" s="159">
        <f>I7644</f>
        <v>2.1153999999999999E-2</v>
      </c>
      <c r="J7649" s="160"/>
      <c r="K7649" s="161">
        <f>K7644</f>
        <v>506</v>
      </c>
      <c r="L7649" s="250"/>
      <c r="M7649" s="163"/>
      <c r="N7649" s="164"/>
      <c r="O7649" s="165">
        <f>MROUND(G7649*N7649,0.00000001)</f>
        <v>0</v>
      </c>
      <c r="P7649" s="166"/>
      <c r="Q7649" s="166">
        <f t="shared" ref="Q7649:Q7651" si="2173">O7649*K7649</f>
        <v>0</v>
      </c>
      <c r="R7649" s="71"/>
    </row>
    <row r="7650" spans="1:18" s="61" customFormat="1" x14ac:dyDescent="0.25">
      <c r="A7650" s="358"/>
      <c r="B7650" s="361"/>
      <c r="C7650" s="221" t="s">
        <v>379</v>
      </c>
      <c r="D7650" s="231" t="s">
        <v>49</v>
      </c>
      <c r="E7650" s="231" t="s">
        <v>28</v>
      </c>
      <c r="F7650" s="231" t="s">
        <v>28</v>
      </c>
      <c r="G7650" s="238">
        <f>MROUND(H7650*L7650*I7650/K7650,0.00000000000001)</f>
        <v>0</v>
      </c>
      <c r="H7650" s="160"/>
      <c r="I7650" s="159">
        <f t="shared" si="2168"/>
        <v>2.1153999999999999E-2</v>
      </c>
      <c r="J7650" s="160"/>
      <c r="K7650" s="161">
        <f>K7649</f>
        <v>506</v>
      </c>
      <c r="L7650" s="250">
        <v>1</v>
      </c>
      <c r="M7650" s="163"/>
      <c r="N7650" s="164"/>
      <c r="O7650" s="165">
        <f>MROUND(G7650*N7650,0.00000001)</f>
        <v>0</v>
      </c>
      <c r="P7650" s="166"/>
      <c r="Q7650" s="166">
        <f t="shared" si="2173"/>
        <v>0</v>
      </c>
      <c r="R7650" s="71"/>
    </row>
    <row r="7651" spans="1:18" s="61" customFormat="1" x14ac:dyDescent="0.25">
      <c r="A7651" s="358"/>
      <c r="B7651" s="361"/>
      <c r="C7651" s="221" t="s">
        <v>379</v>
      </c>
      <c r="D7651" s="231" t="s">
        <v>49</v>
      </c>
      <c r="E7651" s="231" t="s">
        <v>101</v>
      </c>
      <c r="F7651" s="231" t="s">
        <v>101</v>
      </c>
      <c r="G7651" s="238">
        <f>MROUND(H7651*L7651*I7651/K7651,0.000000001)</f>
        <v>0</v>
      </c>
      <c r="H7651" s="160"/>
      <c r="I7651" s="159">
        <f t="shared" si="2168"/>
        <v>2.1153999999999999E-2</v>
      </c>
      <c r="J7651" s="160"/>
      <c r="K7651" s="161">
        <f>K7650</f>
        <v>506</v>
      </c>
      <c r="L7651" s="250"/>
      <c r="M7651" s="163"/>
      <c r="N7651" s="164"/>
      <c r="O7651" s="165">
        <f>MROUND(G7651*N7651,0.00000001)</f>
        <v>0</v>
      </c>
      <c r="P7651" s="166"/>
      <c r="Q7651" s="166">
        <f t="shared" si="2173"/>
        <v>0</v>
      </c>
      <c r="R7651" s="71"/>
    </row>
    <row r="7652" spans="1:18" s="62" customFormat="1" x14ac:dyDescent="0.25">
      <c r="A7652" s="358"/>
      <c r="B7652" s="361"/>
      <c r="C7652" s="218" t="s">
        <v>380</v>
      </c>
      <c r="D7652" s="232"/>
      <c r="E7652" s="232"/>
      <c r="F7652" s="232"/>
      <c r="G7652" s="227"/>
      <c r="H7652" s="228"/>
      <c r="I7652" s="206"/>
      <c r="J7652" s="228"/>
      <c r="K7652" s="207"/>
      <c r="L7652" s="257"/>
      <c r="M7652" s="209"/>
      <c r="N7652" s="210"/>
      <c r="O7652" s="198">
        <f>SUM(O7649:O7651)</f>
        <v>0</v>
      </c>
      <c r="P7652" s="267"/>
      <c r="Q7652" s="166"/>
      <c r="R7652" s="71"/>
    </row>
    <row r="7653" spans="1:18" s="61" customFormat="1" x14ac:dyDescent="0.25">
      <c r="A7653" s="358"/>
      <c r="B7653" s="361"/>
      <c r="C7653" s="221" t="s">
        <v>76</v>
      </c>
      <c r="D7653" s="231" t="s">
        <v>49</v>
      </c>
      <c r="E7653" s="231" t="s">
        <v>22</v>
      </c>
      <c r="F7653" s="231" t="s">
        <v>22</v>
      </c>
      <c r="G7653" s="238">
        <f>MROUND(H7653*L7653*I7653/K7653,0.000000000000001)</f>
        <v>1.0723740197628462</v>
      </c>
      <c r="H7653" s="160">
        <f>H6813</f>
        <v>25651</v>
      </c>
      <c r="I7653" s="159">
        <f>I7649</f>
        <v>2.1153999999999999E-2</v>
      </c>
      <c r="J7653" s="160"/>
      <c r="K7653" s="161">
        <f>K7651</f>
        <v>506</v>
      </c>
      <c r="L7653" s="250">
        <v>1</v>
      </c>
      <c r="M7653" s="163" t="str">
        <f>CONCATENATE(H7653," ",F7653,"*",I7653,"/",K7653,"чел.")</f>
        <v>25651 м2*0,021154/506чел.</v>
      </c>
      <c r="N7653" s="164">
        <f>N6813</f>
        <v>2452.3410393356985</v>
      </c>
      <c r="O7653" s="165">
        <f>MROUND(G7653*N7653,0.00000000001)</f>
        <v>2629.8268181818198</v>
      </c>
      <c r="P7653" s="166"/>
      <c r="Q7653" s="166">
        <f t="shared" ref="Q7653:Q7655" si="2174">O7653*K7653</f>
        <v>1330692.3700000008</v>
      </c>
      <c r="R7653" s="71"/>
    </row>
    <row r="7654" spans="1:18" s="61" customFormat="1" x14ac:dyDescent="0.25">
      <c r="A7654" s="358"/>
      <c r="B7654" s="361"/>
      <c r="C7654" s="221"/>
      <c r="D7654" s="231" t="s">
        <v>49</v>
      </c>
      <c r="E7654" s="231" t="s">
        <v>28</v>
      </c>
      <c r="F7654" s="231" t="s">
        <v>28</v>
      </c>
      <c r="G7654" s="238">
        <f>MROUND(H7654*L7654*I7654/K7654,0.000000000001)</f>
        <v>7.8052407115E-2</v>
      </c>
      <c r="H7654" s="160">
        <f>H6814</f>
        <v>1867</v>
      </c>
      <c r="I7654" s="159">
        <f t="shared" si="2168"/>
        <v>2.1153999999999999E-2</v>
      </c>
      <c r="J7654" s="160"/>
      <c r="K7654" s="161">
        <f>K7653</f>
        <v>506</v>
      </c>
      <c r="L7654" s="250">
        <v>1</v>
      </c>
      <c r="M7654" s="163" t="str">
        <f>CONCATENATE(H7654," ",F7654,"*",I7654,"/",K7654,"чел.")</f>
        <v>1867 шт*0,021154/506чел.</v>
      </c>
      <c r="N7654" s="164">
        <f>N6814</f>
        <v>18299.732190680235</v>
      </c>
      <c r="O7654" s="165">
        <f>MROUND(G7654*N7654,0.00000000001)</f>
        <v>1428.3381470424399</v>
      </c>
      <c r="P7654" s="166"/>
      <c r="Q7654" s="166">
        <f t="shared" si="2174"/>
        <v>722739.10240347462</v>
      </c>
      <c r="R7654" s="71"/>
    </row>
    <row r="7655" spans="1:18" s="61" customFormat="1" x14ac:dyDescent="0.25">
      <c r="A7655" s="358"/>
      <c r="B7655" s="361"/>
      <c r="C7655" s="221"/>
      <c r="D7655" s="231" t="s">
        <v>49</v>
      </c>
      <c r="E7655" s="231" t="s">
        <v>101</v>
      </c>
      <c r="F7655" s="231" t="s">
        <v>101</v>
      </c>
      <c r="G7655" s="238">
        <f>MROUND(H7655*L7655*I7655/K7655,0.000000001)</f>
        <v>2.6756047000000002E-2</v>
      </c>
      <c r="H7655" s="160">
        <f>H6815</f>
        <v>640</v>
      </c>
      <c r="I7655" s="159">
        <f t="shared" si="2168"/>
        <v>2.1153999999999999E-2</v>
      </c>
      <c r="J7655" s="160"/>
      <c r="K7655" s="161">
        <f>K7654</f>
        <v>506</v>
      </c>
      <c r="L7655" s="250">
        <v>1</v>
      </c>
      <c r="M7655" s="163" t="str">
        <f>CONCATENATE(H7655," ",F7655,"*",I7655,"/",K7655,"чел.")</f>
        <v>640 погон.м.*0,021154/506чел.</v>
      </c>
      <c r="N7655" s="164">
        <f>N6815</f>
        <v>4593.75</v>
      </c>
      <c r="O7655" s="165">
        <f>MROUND(G7655*N7655,0.00000001)</f>
        <v>122.91059091</v>
      </c>
      <c r="P7655" s="166"/>
      <c r="Q7655" s="166">
        <f t="shared" si="2174"/>
        <v>62192.759000459999</v>
      </c>
      <c r="R7655" s="71"/>
    </row>
    <row r="7656" spans="1:18" s="62" customFormat="1" x14ac:dyDescent="0.25">
      <c r="A7656" s="358"/>
      <c r="B7656" s="361"/>
      <c r="C7656" s="218" t="s">
        <v>291</v>
      </c>
      <c r="D7656" s="232"/>
      <c r="E7656" s="232"/>
      <c r="F7656" s="232"/>
      <c r="G7656" s="227"/>
      <c r="H7656" s="228"/>
      <c r="I7656" s="206"/>
      <c r="J7656" s="228"/>
      <c r="K7656" s="207"/>
      <c r="L7656" s="257"/>
      <c r="M7656" s="209"/>
      <c r="N7656" s="210"/>
      <c r="O7656" s="198">
        <f>SUM(O7653:O7655)</f>
        <v>4181.0755561342594</v>
      </c>
      <c r="P7656" s="267"/>
      <c r="Q7656" s="166"/>
      <c r="R7656" s="71"/>
    </row>
    <row r="7657" spans="1:18" s="61" customFormat="1" x14ac:dyDescent="0.25">
      <c r="A7657" s="358"/>
      <c r="B7657" s="361"/>
      <c r="C7657" s="221" t="s">
        <v>77</v>
      </c>
      <c r="D7657" s="231"/>
      <c r="E7657" s="231"/>
      <c r="F7657" s="231"/>
      <c r="G7657" s="238">
        <f>MROUND(H7657*L7657*I7657/K7657,0.00000000001)</f>
        <v>0</v>
      </c>
      <c r="H7657" s="160">
        <f>H7417</f>
        <v>0</v>
      </c>
      <c r="I7657" s="159">
        <f>I7655</f>
        <v>2.1153999999999999E-2</v>
      </c>
      <c r="J7657" s="160"/>
      <c r="K7657" s="161">
        <f>K7655</f>
        <v>506</v>
      </c>
      <c r="L7657" s="250"/>
      <c r="M7657" s="163"/>
      <c r="N7657" s="164">
        <f>N7417</f>
        <v>0</v>
      </c>
      <c r="O7657" s="165">
        <f>MROUND(G7657*N7657,0.000000001)</f>
        <v>0</v>
      </c>
      <c r="P7657" s="166"/>
      <c r="Q7657" s="166">
        <f t="shared" ref="Q7657" si="2175">O7657*K7657</f>
        <v>0</v>
      </c>
      <c r="R7657" s="71"/>
    </row>
    <row r="7658" spans="1:18" s="62" customFormat="1" x14ac:dyDescent="0.25">
      <c r="A7658" s="358"/>
      <c r="B7658" s="361"/>
      <c r="C7658" s="218" t="s">
        <v>292</v>
      </c>
      <c r="D7658" s="232"/>
      <c r="E7658" s="232"/>
      <c r="F7658" s="232"/>
      <c r="G7658" s="227"/>
      <c r="H7658" s="228"/>
      <c r="I7658" s="206"/>
      <c r="J7658" s="228"/>
      <c r="K7658" s="207"/>
      <c r="L7658" s="257"/>
      <c r="M7658" s="209"/>
      <c r="N7658" s="210"/>
      <c r="O7658" s="198">
        <f>O7657</f>
        <v>0</v>
      </c>
      <c r="P7658" s="267"/>
      <c r="Q7658" s="166"/>
      <c r="R7658" s="71"/>
    </row>
    <row r="7659" spans="1:18" s="61" customFormat="1" x14ac:dyDescent="0.25">
      <c r="A7659" s="358"/>
      <c r="B7659" s="361"/>
      <c r="C7659" s="221"/>
      <c r="D7659" s="350" t="s">
        <v>65</v>
      </c>
      <c r="E7659" s="350"/>
      <c r="F7659" s="350"/>
      <c r="G7659" s="350"/>
      <c r="H7659" s="195"/>
      <c r="I7659" s="159"/>
      <c r="J7659" s="195"/>
      <c r="K7659" s="161"/>
      <c r="L7659" s="196"/>
      <c r="M7659" s="230"/>
      <c r="N7659" s="164"/>
      <c r="O7659" s="165">
        <f t="shared" ref="O7659:O7660" si="2176">MROUND(G7659*N7659,0.000001)</f>
        <v>0</v>
      </c>
      <c r="P7659" s="166"/>
      <c r="Q7659" s="166"/>
      <c r="R7659" s="71"/>
    </row>
    <row r="7660" spans="1:18" s="61" customFormat="1" x14ac:dyDescent="0.25">
      <c r="A7660" s="358"/>
      <c r="B7660" s="361"/>
      <c r="C7660" s="221"/>
      <c r="D7660" s="194"/>
      <c r="E7660" s="194"/>
      <c r="F7660" s="194"/>
      <c r="G7660" s="217"/>
      <c r="H7660" s="195"/>
      <c r="I7660" s="159"/>
      <c r="J7660" s="195"/>
      <c r="K7660" s="161"/>
      <c r="L7660" s="196"/>
      <c r="M7660" s="230"/>
      <c r="N7660" s="164"/>
      <c r="O7660" s="165">
        <f t="shared" si="2176"/>
        <v>0</v>
      </c>
      <c r="P7660" s="166"/>
      <c r="Q7660" s="166"/>
      <c r="R7660" s="71"/>
    </row>
    <row r="7661" spans="1:18" s="61" customFormat="1" x14ac:dyDescent="0.25">
      <c r="A7661" s="358"/>
      <c r="B7661" s="361"/>
      <c r="C7661" s="221" t="s">
        <v>357</v>
      </c>
      <c r="D7661" s="368" t="s">
        <v>66</v>
      </c>
      <c r="E7661" s="368"/>
      <c r="F7661" s="368"/>
      <c r="G7661" s="368"/>
      <c r="H7661" s="195"/>
      <c r="I7661" s="159"/>
      <c r="J7661" s="195"/>
      <c r="K7661" s="161"/>
      <c r="L7661" s="234"/>
      <c r="M7661" s="230"/>
      <c r="N7661" s="164"/>
      <c r="O7661" s="198">
        <f>O7662</f>
        <v>24.539480999999999</v>
      </c>
      <c r="P7661" s="166"/>
      <c r="Q7661" s="166"/>
      <c r="R7661" s="71"/>
    </row>
    <row r="7662" spans="1:18" s="61" customFormat="1" ht="47.25" x14ac:dyDescent="0.25">
      <c r="A7662" s="358"/>
      <c r="B7662" s="361"/>
      <c r="C7662" s="221"/>
      <c r="D7662" s="222" t="s">
        <v>374</v>
      </c>
      <c r="E7662" s="194" t="s">
        <v>28</v>
      </c>
      <c r="F7662" s="194" t="s">
        <v>28</v>
      </c>
      <c r="G7662" s="217">
        <f>MROUND(H7662*L7662*I7662/K7662,0.000000001)</f>
        <v>6.0201110000000007E-3</v>
      </c>
      <c r="H7662" s="201">
        <f>H7062</f>
        <v>36</v>
      </c>
      <c r="I7662" s="159">
        <f>I7657</f>
        <v>2.1153999999999999E-2</v>
      </c>
      <c r="J7662" s="195"/>
      <c r="K7662" s="161">
        <f>K7657</f>
        <v>506</v>
      </c>
      <c r="L7662" s="235">
        <f>L7062</f>
        <v>4</v>
      </c>
      <c r="M7662" s="163" t="str">
        <f>CONCATENATE(H7662," ",F7662,"*",I7662,"/",K7662,"чел.")</f>
        <v>36 шт*0,021154/506чел.</v>
      </c>
      <c r="N7662" s="164">
        <f>N7062</f>
        <v>4076.2506250000024</v>
      </c>
      <c r="O7662" s="165">
        <f>MROUND(G7662*N7662,0.000001)</f>
        <v>24.539480999999999</v>
      </c>
      <c r="P7662" s="166"/>
      <c r="Q7662" s="166">
        <f t="shared" ref="Q7662" si="2177">O7662*K7662</f>
        <v>12416.977385999999</v>
      </c>
      <c r="R7662" s="71"/>
    </row>
    <row r="7663" spans="1:18" s="61" customFormat="1" x14ac:dyDescent="0.25">
      <c r="A7663" s="358"/>
      <c r="B7663" s="361"/>
      <c r="C7663" s="221"/>
      <c r="D7663" s="368" t="s">
        <v>67</v>
      </c>
      <c r="E7663" s="368"/>
      <c r="F7663" s="368"/>
      <c r="G7663" s="368"/>
      <c r="H7663" s="195"/>
      <c r="I7663" s="159"/>
      <c r="J7663" s="195"/>
      <c r="K7663" s="161"/>
      <c r="L7663" s="196"/>
      <c r="M7663" s="230"/>
      <c r="N7663" s="164"/>
      <c r="O7663" s="165">
        <f t="shared" ref="O7663:O7666" si="2178">MROUND(G7663*N7663,0.000001)</f>
        <v>0</v>
      </c>
      <c r="P7663" s="166"/>
      <c r="Q7663" s="166"/>
      <c r="R7663" s="71"/>
    </row>
    <row r="7664" spans="1:18" s="61" customFormat="1" x14ac:dyDescent="0.25">
      <c r="A7664" s="358"/>
      <c r="B7664" s="361"/>
      <c r="C7664" s="221"/>
      <c r="D7664" s="194"/>
      <c r="E7664" s="194"/>
      <c r="F7664" s="194"/>
      <c r="G7664" s="217"/>
      <c r="H7664" s="195"/>
      <c r="I7664" s="159"/>
      <c r="J7664" s="195"/>
      <c r="K7664" s="161"/>
      <c r="L7664" s="196"/>
      <c r="M7664" s="230"/>
      <c r="N7664" s="164"/>
      <c r="O7664" s="165">
        <f t="shared" si="2178"/>
        <v>0</v>
      </c>
      <c r="P7664" s="166"/>
      <c r="Q7664" s="166"/>
      <c r="R7664" s="71"/>
    </row>
    <row r="7665" spans="1:41" s="61" customFormat="1" x14ac:dyDescent="0.25">
      <c r="A7665" s="358"/>
      <c r="B7665" s="361"/>
      <c r="C7665" s="221"/>
      <c r="D7665" s="350" t="s">
        <v>68</v>
      </c>
      <c r="E7665" s="350"/>
      <c r="F7665" s="350"/>
      <c r="G7665" s="350"/>
      <c r="H7665" s="195"/>
      <c r="I7665" s="159"/>
      <c r="J7665" s="195"/>
      <c r="K7665" s="161"/>
      <c r="L7665" s="196"/>
      <c r="M7665" s="230"/>
      <c r="N7665" s="164"/>
      <c r="O7665" s="165">
        <f t="shared" si="2178"/>
        <v>0</v>
      </c>
      <c r="P7665" s="166"/>
      <c r="Q7665" s="166"/>
      <c r="R7665" s="71"/>
    </row>
    <row r="7666" spans="1:41" s="61" customFormat="1" x14ac:dyDescent="0.25">
      <c r="A7666" s="358"/>
      <c r="B7666" s="361"/>
      <c r="C7666" s="221"/>
      <c r="D7666" s="156"/>
      <c r="E7666" s="156"/>
      <c r="F7666" s="156"/>
      <c r="G7666" s="236"/>
      <c r="H7666" s="195"/>
      <c r="I7666" s="159"/>
      <c r="J7666" s="195"/>
      <c r="K7666" s="161"/>
      <c r="L7666" s="196"/>
      <c r="M7666" s="230"/>
      <c r="N7666" s="164"/>
      <c r="O7666" s="165">
        <f t="shared" si="2178"/>
        <v>0</v>
      </c>
      <c r="P7666" s="166"/>
      <c r="Q7666" s="166"/>
      <c r="R7666" s="71"/>
    </row>
    <row r="7667" spans="1:41" s="61" customFormat="1" x14ac:dyDescent="0.25">
      <c r="A7667" s="358"/>
      <c r="B7667" s="361"/>
      <c r="C7667" s="221"/>
      <c r="D7667" s="368" t="s">
        <v>69</v>
      </c>
      <c r="E7667" s="368"/>
      <c r="F7667" s="368"/>
      <c r="G7667" s="368"/>
      <c r="H7667" s="187"/>
      <c r="I7667" s="159"/>
      <c r="J7667" s="187"/>
      <c r="K7667" s="161"/>
      <c r="L7667" s="276"/>
      <c r="M7667" s="230"/>
      <c r="N7667" s="164"/>
      <c r="O7667" s="198">
        <f>O7669+O7676+O7693+O7695+O7710+O7712+O7714+O7739+O7741+O7746+O7743</f>
        <v>944.64624874000003</v>
      </c>
      <c r="P7667" s="166"/>
      <c r="Q7667" s="166"/>
      <c r="R7667" s="71"/>
    </row>
    <row r="7668" spans="1:41" s="61" customFormat="1" x14ac:dyDescent="0.25">
      <c r="A7668" s="358"/>
      <c r="B7668" s="361"/>
      <c r="C7668" s="221">
        <v>224</v>
      </c>
      <c r="D7668" s="156" t="s">
        <v>21</v>
      </c>
      <c r="E7668" s="156" t="s">
        <v>22</v>
      </c>
      <c r="F7668" s="156" t="s">
        <v>22</v>
      </c>
      <c r="G7668" s="238">
        <f>MROUND(H7668*L7668*I7668/K7668,0.0000000001)</f>
        <v>0</v>
      </c>
      <c r="H7668" s="158"/>
      <c r="I7668" s="159">
        <f>I7662</f>
        <v>2.1153999999999999E-2</v>
      </c>
      <c r="J7668" s="160"/>
      <c r="K7668" s="161">
        <f>K7662</f>
        <v>506</v>
      </c>
      <c r="L7668" s="250"/>
      <c r="M7668" s="163"/>
      <c r="N7668" s="164"/>
      <c r="O7668" s="165">
        <f>MROUND(G7668*N7668,0.000001)</f>
        <v>0</v>
      </c>
      <c r="P7668" s="166"/>
      <c r="Q7668" s="166">
        <f t="shared" ref="Q7668" si="2179">O7668*K7668</f>
        <v>0</v>
      </c>
      <c r="R7668" s="71"/>
    </row>
    <row r="7669" spans="1:41" s="62" customFormat="1" x14ac:dyDescent="0.25">
      <c r="A7669" s="358"/>
      <c r="B7669" s="361"/>
      <c r="C7669" s="218" t="s">
        <v>293</v>
      </c>
      <c r="D7669" s="240"/>
      <c r="E7669" s="240"/>
      <c r="F7669" s="240"/>
      <c r="G7669" s="227"/>
      <c r="H7669" s="241"/>
      <c r="I7669" s="206"/>
      <c r="J7669" s="228"/>
      <c r="K7669" s="207"/>
      <c r="L7669" s="257"/>
      <c r="M7669" s="209"/>
      <c r="N7669" s="210"/>
      <c r="O7669" s="198">
        <f>SUM(O7668)</f>
        <v>0</v>
      </c>
      <c r="P7669" s="267"/>
      <c r="Q7669" s="166"/>
      <c r="R7669" s="71"/>
    </row>
    <row r="7670" spans="1:41" s="61" customFormat="1" ht="31.5" x14ac:dyDescent="0.25">
      <c r="A7670" s="358"/>
      <c r="B7670" s="361"/>
      <c r="C7670" s="364" t="s">
        <v>78</v>
      </c>
      <c r="D7670" s="156" t="s">
        <v>26</v>
      </c>
      <c r="E7670" s="156" t="s">
        <v>22</v>
      </c>
      <c r="F7670" s="156" t="s">
        <v>22</v>
      </c>
      <c r="G7670" s="238">
        <f>MROUND(H7670*L7670*I7670/K7670,0.000001)</f>
        <v>12.963305</v>
      </c>
      <c r="H7670" s="158">
        <f>H6830</f>
        <v>25840</v>
      </c>
      <c r="I7670" s="159">
        <f>I7668</f>
        <v>2.1153999999999999E-2</v>
      </c>
      <c r="J7670" s="160"/>
      <c r="K7670" s="161">
        <f>K7668</f>
        <v>506</v>
      </c>
      <c r="L7670" s="250">
        <v>12</v>
      </c>
      <c r="M7670" s="163" t="str">
        <f>CONCATENATE(H7670," ",F7670,"(обрабатываемая площадь в мес.)","*",L7670,"мес.","*",I7670,"/",K7670,"чел.")</f>
        <v>25840 м2(обрабатываемая площадь в мес.)*12мес.*0,021154/506чел.</v>
      </c>
      <c r="N7670" s="164">
        <f>N6830</f>
        <v>1.2568903508771934</v>
      </c>
      <c r="O7670" s="165">
        <f t="shared" ref="O7670:O7675" si="2180">MROUND(G7670*N7670,0.000001)</f>
        <v>16.293453</v>
      </c>
      <c r="P7670" s="166"/>
      <c r="Q7670" s="166">
        <f t="shared" ref="Q7670:Q7675" si="2181">O7670*K7670</f>
        <v>8244.4872180000002</v>
      </c>
      <c r="R7670" s="71"/>
    </row>
    <row r="7671" spans="1:41" s="61" customFormat="1" ht="31.5" x14ac:dyDescent="0.25">
      <c r="A7671" s="358"/>
      <c r="B7671" s="361"/>
      <c r="C7671" s="364"/>
      <c r="D7671" s="156" t="s">
        <v>96</v>
      </c>
      <c r="E7671" s="156" t="s">
        <v>22</v>
      </c>
      <c r="F7671" s="156" t="s">
        <v>22</v>
      </c>
      <c r="G7671" s="238">
        <f>MROUND(H7671*L7671*I7671/K7671,0.000001)</f>
        <v>6.7099149999999996</v>
      </c>
      <c r="H7671" s="158">
        <f>H6831</f>
        <v>13375</v>
      </c>
      <c r="I7671" s="159">
        <f t="shared" si="2168"/>
        <v>2.1153999999999999E-2</v>
      </c>
      <c r="J7671" s="160"/>
      <c r="K7671" s="161">
        <f>K7670</f>
        <v>506</v>
      </c>
      <c r="L7671" s="250">
        <v>12</v>
      </c>
      <c r="M7671" s="163" t="str">
        <f>CONCATENATE(H7671," ",F7671,"(обрабатываемая площадь в мес.)","*",L7671,"мес.","*",I7671,"/",K7671,"чел.")</f>
        <v>13375 м2(обрабатываемая площадь в мес.)*12мес.*0,021154/506чел.</v>
      </c>
      <c r="N7671" s="164">
        <f>N6831</f>
        <v>2.0157672274143299</v>
      </c>
      <c r="O7671" s="165">
        <f t="shared" si="2180"/>
        <v>13.525627</v>
      </c>
      <c r="P7671" s="166"/>
      <c r="Q7671" s="166">
        <f t="shared" si="2181"/>
        <v>6843.9672620000001</v>
      </c>
      <c r="R7671" s="71"/>
    </row>
    <row r="7672" spans="1:41" s="135" customFormat="1" ht="31.5" x14ac:dyDescent="0.25">
      <c r="A7672" s="358"/>
      <c r="B7672" s="361"/>
      <c r="C7672" s="364"/>
      <c r="D7672" s="156" t="s">
        <v>385</v>
      </c>
      <c r="E7672" s="156" t="s">
        <v>22</v>
      </c>
      <c r="F7672" s="156" t="s">
        <v>22</v>
      </c>
      <c r="G7672" s="238">
        <f>MROUND(H7672*L7672*I7672/K7672,0.000001)</f>
        <v>13.419829999999999</v>
      </c>
      <c r="H7672" s="242">
        <f>$H$55</f>
        <v>13375</v>
      </c>
      <c r="I7672" s="159">
        <f t="shared" si="2168"/>
        <v>2.1153999999999999E-2</v>
      </c>
      <c r="J7672" s="160"/>
      <c r="K7672" s="161">
        <f>K7671</f>
        <v>506</v>
      </c>
      <c r="L7672" s="162">
        <v>24</v>
      </c>
      <c r="M7672" s="163" t="str">
        <f>CONCATENATE(H7672," ",F7672,"(обрабатываемая площадь в год)","*",L7672," раза в год.","*",I7672,"/",K7672,"чел.")</f>
        <v>13375 м2(обрабатываемая площадь в год)*24 раза в год.*0,021154/506чел.</v>
      </c>
      <c r="N7672" s="164">
        <f>$N$6832</f>
        <v>2.4900656074766365</v>
      </c>
      <c r="O7672" s="165">
        <f t="shared" si="2180"/>
        <v>33.416257000000002</v>
      </c>
      <c r="P7672" s="166"/>
      <c r="Q7672" s="166">
        <f t="shared" si="2181"/>
        <v>16908.626042</v>
      </c>
      <c r="R7672" s="71"/>
      <c r="S7672" s="61"/>
      <c r="T7672" s="61"/>
      <c r="U7672" s="61"/>
      <c r="V7672" s="61"/>
      <c r="W7672" s="61"/>
      <c r="X7672" s="61"/>
      <c r="Y7672" s="61"/>
      <c r="Z7672" s="61"/>
      <c r="AA7672" s="61"/>
      <c r="AB7672" s="61"/>
      <c r="AC7672" s="61"/>
      <c r="AD7672" s="61"/>
      <c r="AE7672" s="61"/>
      <c r="AF7672" s="61"/>
      <c r="AG7672" s="61"/>
      <c r="AH7672" s="61"/>
      <c r="AI7672" s="61"/>
      <c r="AJ7672" s="61"/>
      <c r="AK7672" s="61"/>
      <c r="AL7672" s="61"/>
      <c r="AM7672" s="61"/>
      <c r="AN7672" s="61"/>
      <c r="AO7672" s="61"/>
    </row>
    <row r="7673" spans="1:41" s="135" customFormat="1" ht="31.5" x14ac:dyDescent="0.25">
      <c r="A7673" s="358"/>
      <c r="B7673" s="361"/>
      <c r="C7673" s="364"/>
      <c r="D7673" s="156" t="s">
        <v>394</v>
      </c>
      <c r="E7673" s="156" t="s">
        <v>22</v>
      </c>
      <c r="F7673" s="156" t="s">
        <v>22</v>
      </c>
      <c r="G7673" s="238">
        <f>MROUND(H7673*L7673*I7673/K7673,0.000001)</f>
        <v>12.963305</v>
      </c>
      <c r="H7673" s="243">
        <f>$H$56</f>
        <v>25840</v>
      </c>
      <c r="I7673" s="159">
        <f t="shared" si="2168"/>
        <v>2.1153999999999999E-2</v>
      </c>
      <c r="J7673" s="160"/>
      <c r="K7673" s="161">
        <f>K7672</f>
        <v>506</v>
      </c>
      <c r="L7673" s="162">
        <v>12</v>
      </c>
      <c r="M7673" s="163" t="str">
        <f>CONCATENATE(H7673," ",F7673,"(обрабатываемая площадь в мес.)","*",L7673,"мес.","*",I7673,"/",K7673,"чел.")</f>
        <v>25840 м2(обрабатываемая площадь в мес.)*12мес.*0,021154/506чел.</v>
      </c>
      <c r="N7673" s="164">
        <f>$N$6833</f>
        <v>0.59287277476780176</v>
      </c>
      <c r="O7673" s="165">
        <f t="shared" si="2180"/>
        <v>7.6855909999999996</v>
      </c>
      <c r="P7673" s="166"/>
      <c r="Q7673" s="166">
        <f t="shared" si="2181"/>
        <v>3888.9090459999998</v>
      </c>
      <c r="R7673" s="71"/>
      <c r="S7673" s="61"/>
      <c r="T7673" s="61"/>
      <c r="U7673" s="61"/>
      <c r="V7673" s="61"/>
      <c r="W7673" s="61"/>
      <c r="X7673" s="61"/>
      <c r="Y7673" s="61"/>
      <c r="Z7673" s="61"/>
      <c r="AA7673" s="61"/>
      <c r="AB7673" s="61"/>
      <c r="AC7673" s="61"/>
      <c r="AD7673" s="61"/>
      <c r="AE7673" s="61"/>
      <c r="AF7673" s="61"/>
      <c r="AG7673" s="61"/>
      <c r="AH7673" s="61"/>
      <c r="AI7673" s="61"/>
      <c r="AJ7673" s="61"/>
      <c r="AK7673" s="61"/>
      <c r="AL7673" s="61"/>
      <c r="AM7673" s="61"/>
      <c r="AN7673" s="61"/>
      <c r="AO7673" s="61"/>
    </row>
    <row r="7674" spans="1:41" s="135" customFormat="1" ht="31.5" x14ac:dyDescent="0.25">
      <c r="A7674" s="358"/>
      <c r="B7674" s="361"/>
      <c r="C7674" s="364"/>
      <c r="D7674" s="156" t="s">
        <v>395</v>
      </c>
      <c r="E7674" s="156" t="s">
        <v>98</v>
      </c>
      <c r="F7674" s="156" t="s">
        <v>98</v>
      </c>
      <c r="G7674" s="238">
        <f>MROUND(H7674*L7674*I7674/K7674,0.0000000001)</f>
        <v>7.9181180000000007E-4</v>
      </c>
      <c r="H7674" s="242">
        <f>$H$57</f>
        <v>18.939999999999998</v>
      </c>
      <c r="I7674" s="159">
        <f t="shared" si="2168"/>
        <v>2.1153999999999999E-2</v>
      </c>
      <c r="J7674" s="160"/>
      <c r="K7674" s="161">
        <f>K7673</f>
        <v>506</v>
      </c>
      <c r="L7674" s="162">
        <v>1</v>
      </c>
      <c r="M7674" s="163" t="str">
        <f>CONCATENATE(H7674," ",F7674,"(обрабатываемая площадь в год)","*",L7674," раз в год","*",I7674,"/",K7674,"чел.")</f>
        <v>18,94 Га(обрабатываемая площадь в год)*1 раз в год*0,021154/506чел.</v>
      </c>
      <c r="N7674" s="164">
        <f>$N$6834</f>
        <v>592.87803590285125</v>
      </c>
      <c r="O7674" s="165">
        <f t="shared" si="2180"/>
        <v>0.46944799999999998</v>
      </c>
      <c r="P7674" s="166"/>
      <c r="Q7674" s="166">
        <f t="shared" si="2181"/>
        <v>237.54068799999999</v>
      </c>
      <c r="R7674" s="71"/>
      <c r="S7674" s="61"/>
      <c r="T7674" s="61"/>
      <c r="U7674" s="61"/>
      <c r="V7674" s="61"/>
      <c r="W7674" s="61"/>
      <c r="X7674" s="61"/>
      <c r="Y7674" s="61"/>
      <c r="Z7674" s="61"/>
      <c r="AA7674" s="61"/>
      <c r="AB7674" s="61"/>
      <c r="AC7674" s="61"/>
      <c r="AD7674" s="61"/>
      <c r="AE7674" s="61"/>
      <c r="AF7674" s="61"/>
      <c r="AG7674" s="61"/>
      <c r="AH7674" s="61"/>
      <c r="AI7674" s="61"/>
      <c r="AJ7674" s="61"/>
      <c r="AK7674" s="61"/>
      <c r="AL7674" s="61"/>
      <c r="AM7674" s="61"/>
      <c r="AN7674" s="61"/>
      <c r="AO7674" s="61"/>
    </row>
    <row r="7675" spans="1:41" s="61" customFormat="1" ht="31.5" x14ac:dyDescent="0.25">
      <c r="A7675" s="358"/>
      <c r="B7675" s="361"/>
      <c r="C7675" s="364"/>
      <c r="D7675" s="156" t="s">
        <v>97</v>
      </c>
      <c r="E7675" s="156" t="s">
        <v>98</v>
      </c>
      <c r="F7675" s="156" t="s">
        <v>98</v>
      </c>
      <c r="G7675" s="238">
        <f>MROUND(H7675*L7675*I7675/K7675,0.000000001)</f>
        <v>7.9181200000000003E-4</v>
      </c>
      <c r="H7675" s="242">
        <f>H6835</f>
        <v>18.939999999999998</v>
      </c>
      <c r="I7675" s="244">
        <f>I7671</f>
        <v>2.1153999999999999E-2</v>
      </c>
      <c r="J7675" s="160"/>
      <c r="K7675" s="161">
        <f>K7671</f>
        <v>506</v>
      </c>
      <c r="L7675" s="250">
        <v>1</v>
      </c>
      <c r="M7675" s="163" t="str">
        <f>CONCATENATE(H7675," ",F7675,"(обрабатываемая площадь в мес.)","*",L7675,"мес.","*",I7675,"/",K7675,"чел.")</f>
        <v>18,94 Га(обрабатываемая площадь в мес.)*1мес.*0,021154/506чел.</v>
      </c>
      <c r="N7675" s="164">
        <f>N6835</f>
        <v>3226.5021119324188</v>
      </c>
      <c r="O7675" s="165">
        <f t="shared" si="2180"/>
        <v>2.554783</v>
      </c>
      <c r="P7675" s="166"/>
      <c r="Q7675" s="166">
        <f t="shared" si="2181"/>
        <v>1292.720198</v>
      </c>
      <c r="R7675" s="71"/>
    </row>
    <row r="7676" spans="1:41" s="62" customFormat="1" x14ac:dyDescent="0.25">
      <c r="A7676" s="358"/>
      <c r="B7676" s="361"/>
      <c r="C7676" s="245" t="s">
        <v>294</v>
      </c>
      <c r="D7676" s="240"/>
      <c r="E7676" s="240"/>
      <c r="F7676" s="240"/>
      <c r="G7676" s="227"/>
      <c r="H7676" s="241"/>
      <c r="I7676" s="206"/>
      <c r="J7676" s="228"/>
      <c r="K7676" s="207"/>
      <c r="L7676" s="257"/>
      <c r="M7676" s="209"/>
      <c r="N7676" s="210"/>
      <c r="O7676" s="198">
        <f>SUM(O7670:O7675)</f>
        <v>73.945159000000004</v>
      </c>
      <c r="P7676" s="267"/>
      <c r="Q7676" s="166"/>
      <c r="R7676" s="71"/>
    </row>
    <row r="7677" spans="1:41" s="61" customFormat="1" ht="63" x14ac:dyDescent="0.25">
      <c r="A7677" s="358"/>
      <c r="B7677" s="361"/>
      <c r="C7677" s="365" t="s">
        <v>77</v>
      </c>
      <c r="D7677" s="156" t="s">
        <v>29</v>
      </c>
      <c r="E7677" s="156" t="s">
        <v>58</v>
      </c>
      <c r="F7677" s="156" t="s">
        <v>218</v>
      </c>
      <c r="G7677" s="238">
        <f>MROUND(H7677*L7677*I7677/K7677,0.00000001)</f>
        <v>2.5083800000000002E-3</v>
      </c>
      <c r="H7677" s="158">
        <v>15</v>
      </c>
      <c r="I7677" s="159">
        <f>I7675</f>
        <v>2.1153999999999999E-2</v>
      </c>
      <c r="J7677" s="160"/>
      <c r="K7677" s="161">
        <f>K7675</f>
        <v>506</v>
      </c>
      <c r="L7677" s="162">
        <v>4</v>
      </c>
      <c r="M7677" s="163" t="str">
        <f>CONCATENATE(H7677," ",F7677,"*",L7677," раза в год","*",I7677,"/",K7677,"чел.")</f>
        <v>15 установок*4 раза в год*0,021154/506чел.</v>
      </c>
      <c r="N7677" s="164">
        <f>N6837</f>
        <v>2355.4600000000005</v>
      </c>
      <c r="O7677" s="165">
        <f t="shared" ref="O7677:O7685" si="2182">MROUND(G7677*N7677,0.000001)</f>
        <v>5.9083889999999997</v>
      </c>
      <c r="P7677" s="166"/>
      <c r="Q7677" s="166">
        <f t="shared" ref="Q7677:Q7692" si="2183">O7677*K7677</f>
        <v>2989.6448339999997</v>
      </c>
      <c r="R7677" s="71"/>
    </row>
    <row r="7678" spans="1:41" s="61" customFormat="1" ht="47.25" x14ac:dyDescent="0.25">
      <c r="A7678" s="358"/>
      <c r="B7678" s="361"/>
      <c r="C7678" s="366"/>
      <c r="D7678" s="156" t="s">
        <v>30</v>
      </c>
      <c r="E7678" s="156" t="s">
        <v>58</v>
      </c>
      <c r="F7678" s="156" t="s">
        <v>218</v>
      </c>
      <c r="G7678" s="238">
        <f>MROUND(H7678*L7678*I7678/K7678,0.00000001)</f>
        <v>1.2541900000000001E-3</v>
      </c>
      <c r="H7678" s="158">
        <v>15</v>
      </c>
      <c r="I7678" s="159">
        <f t="shared" si="2168"/>
        <v>2.1153999999999999E-2</v>
      </c>
      <c r="J7678" s="160"/>
      <c r="K7678" s="161">
        <f t="shared" ref="K7678:K7686" si="2184">K7677</f>
        <v>506</v>
      </c>
      <c r="L7678" s="250">
        <v>2</v>
      </c>
      <c r="M7678" s="163" t="str">
        <f>CONCATENATE(H7678," ",F7678,"*",L7678,"полуг.","*",I7678,"/",K7678,"чел.")</f>
        <v>15 установок*2полуг.*0,021154/506чел.</v>
      </c>
      <c r="N7678" s="164">
        <f>N6958</f>
        <v>4710.920000000001</v>
      </c>
      <c r="O7678" s="165">
        <f t="shared" si="2182"/>
        <v>5.9083889999999997</v>
      </c>
      <c r="P7678" s="166"/>
      <c r="Q7678" s="166">
        <f t="shared" si="2183"/>
        <v>2989.6448339999997</v>
      </c>
      <c r="R7678" s="71"/>
    </row>
    <row r="7679" spans="1:41" s="61" customFormat="1" x14ac:dyDescent="0.25">
      <c r="A7679" s="358"/>
      <c r="B7679" s="361"/>
      <c r="C7679" s="366"/>
      <c r="D7679" s="156" t="s">
        <v>397</v>
      </c>
      <c r="E7679" s="156" t="s">
        <v>433</v>
      </c>
      <c r="F7679" s="156" t="s">
        <v>433</v>
      </c>
      <c r="G7679" s="238">
        <f>MROUND(H7679*L7679*I7679/K7679,0.000001)</f>
        <v>0</v>
      </c>
      <c r="H7679" s="158">
        <f>H6839</f>
        <v>0</v>
      </c>
      <c r="I7679" s="159">
        <f t="shared" si="2168"/>
        <v>2.1153999999999999E-2</v>
      </c>
      <c r="J7679" s="160"/>
      <c r="K7679" s="161">
        <f t="shared" si="2184"/>
        <v>506</v>
      </c>
      <c r="L7679" s="162">
        <v>1</v>
      </c>
      <c r="M7679" s="163"/>
      <c r="N7679" s="164">
        <f>N6839</f>
        <v>0</v>
      </c>
      <c r="O7679" s="165">
        <f t="shared" si="2182"/>
        <v>0</v>
      </c>
      <c r="P7679" s="166"/>
      <c r="Q7679" s="166">
        <f t="shared" si="2183"/>
        <v>0</v>
      </c>
      <c r="R7679" s="71"/>
    </row>
    <row r="7680" spans="1:41" s="61" customFormat="1" ht="47.25" x14ac:dyDescent="0.25">
      <c r="A7680" s="358"/>
      <c r="B7680" s="361"/>
      <c r="C7680" s="366"/>
      <c r="D7680" s="156" t="s">
        <v>32</v>
      </c>
      <c r="E7680" s="156" t="s">
        <v>55</v>
      </c>
      <c r="F7680" s="156" t="s">
        <v>219</v>
      </c>
      <c r="G7680" s="238">
        <f>MROUND(H7680*L7680*I7680/K7680,0.000000001)</f>
        <v>6.0201110000000007E-3</v>
      </c>
      <c r="H7680" s="158">
        <f>H6960</f>
        <v>36</v>
      </c>
      <c r="I7680" s="159">
        <f>I7679</f>
        <v>2.1153999999999999E-2</v>
      </c>
      <c r="J7680" s="160"/>
      <c r="K7680" s="161">
        <f t="shared" si="2184"/>
        <v>506</v>
      </c>
      <c r="L7680" s="250">
        <v>4</v>
      </c>
      <c r="M7680" s="163" t="str">
        <f>CONCATENATE(H7680," ",F7680,"*",L7680,"кв.","*",I7680,"/",K7680,"чел.")</f>
        <v>36 системы*4кв.*0,021154/506чел.</v>
      </c>
      <c r="N7680" s="164">
        <f>N6960</f>
        <v>7532.7785416666693</v>
      </c>
      <c r="O7680" s="165">
        <f t="shared" si="2182"/>
        <v>45.348163</v>
      </c>
      <c r="P7680" s="166"/>
      <c r="Q7680" s="166">
        <f t="shared" si="2183"/>
        <v>22946.170478</v>
      </c>
      <c r="R7680" s="71"/>
    </row>
    <row r="7681" spans="1:18" s="61" customFormat="1" ht="63" x14ac:dyDescent="0.25">
      <c r="A7681" s="358"/>
      <c r="B7681" s="361"/>
      <c r="C7681" s="366"/>
      <c r="D7681" s="156" t="s">
        <v>33</v>
      </c>
      <c r="E7681" s="156" t="s">
        <v>56</v>
      </c>
      <c r="F7681" s="156" t="s">
        <v>220</v>
      </c>
      <c r="G7681" s="238">
        <f>MROUND(H7681*L7681*I7681/K7681,0.000000001)</f>
        <v>1.5050280000000001E-3</v>
      </c>
      <c r="H7681" s="158">
        <f>$H$64</f>
        <v>36</v>
      </c>
      <c r="I7681" s="159">
        <f>I7680</f>
        <v>2.1153999999999999E-2</v>
      </c>
      <c r="J7681" s="160"/>
      <c r="K7681" s="161">
        <f t="shared" si="2184"/>
        <v>506</v>
      </c>
      <c r="L7681" s="162">
        <v>1</v>
      </c>
      <c r="M7681" s="163" t="str">
        <f>CONCATENATE(H7681," ",F7681,"*",L7681," раз в год","*",I7681,"/",K7681,"чел.")</f>
        <v>36 дымоходов*1 раз в год*0,021154/506чел.</v>
      </c>
      <c r="N7681" s="164">
        <f t="shared" ref="N7681:N7687" si="2185">N6841</f>
        <v>7312.0941666666668</v>
      </c>
      <c r="O7681" s="165">
        <f t="shared" si="2182"/>
        <v>11.004906</v>
      </c>
      <c r="P7681" s="166"/>
      <c r="Q7681" s="166">
        <f t="shared" si="2183"/>
        <v>5568.4824360000002</v>
      </c>
      <c r="R7681" s="71"/>
    </row>
    <row r="7682" spans="1:18" s="61" customFormat="1" x14ac:dyDescent="0.25">
      <c r="A7682" s="358"/>
      <c r="B7682" s="361"/>
      <c r="C7682" s="366"/>
      <c r="D7682" s="194" t="s">
        <v>398</v>
      </c>
      <c r="E7682" s="156" t="s">
        <v>60</v>
      </c>
      <c r="F7682" s="156" t="s">
        <v>60</v>
      </c>
      <c r="G7682" s="238">
        <f>MROUND(H7682*L7682*I7682/K7682,0.000000001)</f>
        <v>1.463221E-3</v>
      </c>
      <c r="H7682" s="246">
        <f>H6842</f>
        <v>35</v>
      </c>
      <c r="I7682" s="159">
        <f t="shared" si="2168"/>
        <v>2.1153999999999999E-2</v>
      </c>
      <c r="J7682" s="160"/>
      <c r="K7682" s="161">
        <f t="shared" si="2184"/>
        <v>506</v>
      </c>
      <c r="L7682" s="250">
        <v>1</v>
      </c>
      <c r="M7682" s="163" t="str">
        <f>CONCATENATE(H7682," ",F7682,"*",I7682,"/",K7682,"чел.")</f>
        <v>35 шт.*0,021154/506чел.</v>
      </c>
      <c r="N7682" s="164">
        <f t="shared" si="2185"/>
        <v>12660.374571428585</v>
      </c>
      <c r="O7682" s="165">
        <f t="shared" si="2182"/>
        <v>18.524926000000001</v>
      </c>
      <c r="P7682" s="166"/>
      <c r="Q7682" s="166">
        <f t="shared" si="2183"/>
        <v>9373.612556</v>
      </c>
      <c r="R7682" s="71"/>
    </row>
    <row r="7683" spans="1:18" s="61" customFormat="1" ht="47.25" x14ac:dyDescent="0.25">
      <c r="A7683" s="358"/>
      <c r="B7683" s="361"/>
      <c r="C7683" s="366"/>
      <c r="D7683" s="156" t="s">
        <v>401</v>
      </c>
      <c r="E7683" s="156" t="s">
        <v>60</v>
      </c>
      <c r="F7683" s="156" t="s">
        <v>402</v>
      </c>
      <c r="G7683" s="238">
        <f>MROUND(H7683*L7683*I7683/K7683,0.000001)</f>
        <v>2.9259999999999998E-3</v>
      </c>
      <c r="H7683" s="246">
        <f>H6843</f>
        <v>35</v>
      </c>
      <c r="I7683" s="159">
        <f t="shared" si="2168"/>
        <v>2.1153999999999999E-2</v>
      </c>
      <c r="J7683" s="160"/>
      <c r="K7683" s="161">
        <f t="shared" si="2184"/>
        <v>506</v>
      </c>
      <c r="L7683" s="162">
        <v>2</v>
      </c>
      <c r="M7683" s="163" t="str">
        <f>CONCATENATE(H7683," ",F7683,"*",L7683," раз в год","*",I7683,"/",K7683,"чел.")</f>
        <v>35 противопожарных водопроводов*2 раз в год*0,021154/506чел.</v>
      </c>
      <c r="N7683" s="164">
        <f t="shared" si="2185"/>
        <v>5928.7300000000032</v>
      </c>
      <c r="O7683" s="165">
        <f t="shared" si="2182"/>
        <v>17.347463999999999</v>
      </c>
      <c r="P7683" s="166"/>
      <c r="Q7683" s="166">
        <f t="shared" si="2183"/>
        <v>8777.8167839999987</v>
      </c>
      <c r="R7683" s="71"/>
    </row>
    <row r="7684" spans="1:18" s="61" customFormat="1" ht="31.5" x14ac:dyDescent="0.25">
      <c r="A7684" s="358"/>
      <c r="B7684" s="361"/>
      <c r="C7684" s="366"/>
      <c r="D7684" s="156" t="s">
        <v>221</v>
      </c>
      <c r="E7684" s="156" t="s">
        <v>60</v>
      </c>
      <c r="F7684" s="156" t="s">
        <v>60</v>
      </c>
      <c r="G7684" s="238">
        <f>MROUND(H7684*L7684*I7684/K7684,0.000000001)</f>
        <v>9.0301660000000009E-3</v>
      </c>
      <c r="H7684" s="158">
        <f>H6844</f>
        <v>18</v>
      </c>
      <c r="I7684" s="159">
        <f t="shared" si="2168"/>
        <v>2.1153999999999999E-2</v>
      </c>
      <c r="J7684" s="160"/>
      <c r="K7684" s="161">
        <f t="shared" si="2184"/>
        <v>506</v>
      </c>
      <c r="L7684" s="250">
        <v>12</v>
      </c>
      <c r="M7684" s="163" t="str">
        <f>CONCATENATE(H7684," ",F7684,"*",L7684,"мес.","*",I7684,"/",K7684,"чел.")</f>
        <v>18 шт.*12мес.*0,021154/506чел.</v>
      </c>
      <c r="N7684" s="164">
        <f t="shared" si="2185"/>
        <v>6840.4345833333346</v>
      </c>
      <c r="O7684" s="165">
        <f t="shared" si="2182"/>
        <v>61.77026</v>
      </c>
      <c r="P7684" s="166"/>
      <c r="Q7684" s="166">
        <f t="shared" si="2183"/>
        <v>31255.751560000001</v>
      </c>
      <c r="R7684" s="71"/>
    </row>
    <row r="7685" spans="1:18" s="61" customFormat="1" ht="47.25" x14ac:dyDescent="0.25">
      <c r="A7685" s="358"/>
      <c r="B7685" s="361"/>
      <c r="C7685" s="366"/>
      <c r="D7685" s="156" t="s">
        <v>34</v>
      </c>
      <c r="E7685" s="156" t="s">
        <v>59</v>
      </c>
      <c r="F7685" s="156" t="s">
        <v>28</v>
      </c>
      <c r="G7685" s="238">
        <f>MROUND(H7685*L7685*I7685/K7685,0.0000000001)</f>
        <v>8.36126E-5</v>
      </c>
      <c r="H7685" s="158">
        <f>H6845</f>
        <v>2</v>
      </c>
      <c r="I7685" s="159">
        <f t="shared" si="2168"/>
        <v>2.1153999999999999E-2</v>
      </c>
      <c r="J7685" s="160"/>
      <c r="K7685" s="161">
        <f t="shared" si="2184"/>
        <v>506</v>
      </c>
      <c r="L7685" s="250">
        <v>1</v>
      </c>
      <c r="M7685" s="163" t="str">
        <f>CONCATENATE(H7685," ",F7685,"*",I7685,"/",K7685,"чел.")</f>
        <v>2 шт*0,021154/506чел.</v>
      </c>
      <c r="N7685" s="164">
        <f t="shared" si="2185"/>
        <v>8158.8</v>
      </c>
      <c r="O7685" s="165">
        <f t="shared" si="2182"/>
        <v>0.68217799999999995</v>
      </c>
      <c r="P7685" s="166"/>
      <c r="Q7685" s="166">
        <f t="shared" si="2183"/>
        <v>345.18206799999996</v>
      </c>
      <c r="R7685" s="71"/>
    </row>
    <row r="7686" spans="1:18" s="61" customFormat="1" ht="47.25" x14ac:dyDescent="0.25">
      <c r="A7686" s="358"/>
      <c r="B7686" s="361"/>
      <c r="C7686" s="366"/>
      <c r="D7686" s="156" t="s">
        <v>222</v>
      </c>
      <c r="E7686" s="156" t="s">
        <v>60</v>
      </c>
      <c r="F7686" s="156" t="s">
        <v>60</v>
      </c>
      <c r="G7686" s="238">
        <f>MROUND(H7686*L7686*I7686/K7686,0.00000000001)</f>
        <v>2.0903162E-4</v>
      </c>
      <c r="H7686" s="248">
        <f>H6966</f>
        <v>5</v>
      </c>
      <c r="I7686" s="159">
        <f t="shared" si="2168"/>
        <v>2.1153999999999999E-2</v>
      </c>
      <c r="J7686" s="160"/>
      <c r="K7686" s="161">
        <f t="shared" si="2184"/>
        <v>506</v>
      </c>
      <c r="L7686" s="250">
        <v>1</v>
      </c>
      <c r="M7686" s="163" t="str">
        <f>CONCATENATE(H7686," ",F7686,"*",I7686,"/",K7686,"чел.")</f>
        <v>5 шт.*0,021154/506чел.</v>
      </c>
      <c r="N7686" s="164">
        <f t="shared" si="2185"/>
        <v>45611.39</v>
      </c>
      <c r="O7686" s="165">
        <f>MROUND(G7686*N7686,0.00000001)</f>
        <v>9.5342227400000006</v>
      </c>
      <c r="P7686" s="166"/>
      <c r="Q7686" s="166">
        <f t="shared" si="2183"/>
        <v>4824.3167064400004</v>
      </c>
      <c r="R7686" s="71"/>
    </row>
    <row r="7687" spans="1:18" s="61" customFormat="1" ht="31.5" x14ac:dyDescent="0.25">
      <c r="A7687" s="358"/>
      <c r="B7687" s="361"/>
      <c r="C7687" s="366"/>
      <c r="D7687" s="156" t="s">
        <v>35</v>
      </c>
      <c r="E7687" s="156" t="s">
        <v>102</v>
      </c>
      <c r="F7687" s="156" t="s">
        <v>223</v>
      </c>
      <c r="G7687" s="238">
        <f>MROUND(H7687*L7687*I7687/K7687,0.00000001)</f>
        <v>1.4632200000000001E-3</v>
      </c>
      <c r="H7687" s="158">
        <f>H6847</f>
        <v>35</v>
      </c>
      <c r="I7687" s="159">
        <f>I7685</f>
        <v>2.1153999999999999E-2</v>
      </c>
      <c r="J7687" s="160"/>
      <c r="K7687" s="161">
        <f>K7685</f>
        <v>506</v>
      </c>
      <c r="L7687" s="250">
        <v>1</v>
      </c>
      <c r="M7687" s="163" t="str">
        <f>CONCATENATE(H7687," ",F7687,"*",I7687,"/",K7687,"чел.")</f>
        <v>35 замеров*0,021154/506чел.</v>
      </c>
      <c r="N7687" s="164">
        <f t="shared" si="2185"/>
        <v>26000</v>
      </c>
      <c r="O7687" s="165">
        <f t="shared" ref="O7687:O7692" si="2186">MROUND(G7687*N7687,0.000001)</f>
        <v>38.04372</v>
      </c>
      <c r="P7687" s="166"/>
      <c r="Q7687" s="166">
        <f t="shared" si="2183"/>
        <v>19250.122319999999</v>
      </c>
      <c r="R7687" s="71"/>
    </row>
    <row r="7688" spans="1:18" s="61" customFormat="1" ht="47.25" x14ac:dyDescent="0.25">
      <c r="A7688" s="358"/>
      <c r="B7688" s="361"/>
      <c r="C7688" s="366"/>
      <c r="D7688" s="156" t="s">
        <v>399</v>
      </c>
      <c r="E7688" s="156" t="s">
        <v>60</v>
      </c>
      <c r="F7688" s="156" t="s">
        <v>60</v>
      </c>
      <c r="G7688" s="238">
        <f>MROUND(H7688*L7688*I7688/K7688,0.000000001)</f>
        <v>1.4632213000000002E-2</v>
      </c>
      <c r="H7688" s="158">
        <f>H7088</f>
        <v>35</v>
      </c>
      <c r="I7688" s="159">
        <f t="shared" si="2168"/>
        <v>2.1153999999999999E-2</v>
      </c>
      <c r="J7688" s="160"/>
      <c r="K7688" s="161">
        <f>K7687</f>
        <v>506</v>
      </c>
      <c r="L7688" s="250">
        <v>10</v>
      </c>
      <c r="M7688" s="163" t="str">
        <f>CONCATENATE(H7688," ",F7688,"*",L7688,"мес.","*",I7688,"/",K7688,"чел.")</f>
        <v>35 шт.*10мес.*0,021154/506чел.</v>
      </c>
      <c r="N7688" s="164">
        <f>N7088</f>
        <v>3380.9014857142843</v>
      </c>
      <c r="O7688" s="165">
        <f t="shared" si="2186"/>
        <v>49.470070999999997</v>
      </c>
      <c r="P7688" s="166"/>
      <c r="Q7688" s="166">
        <f t="shared" si="2183"/>
        <v>25031.855926</v>
      </c>
      <c r="R7688" s="71"/>
    </row>
    <row r="7689" spans="1:18" s="61" customFormat="1" ht="47.25" x14ac:dyDescent="0.25">
      <c r="A7689" s="358"/>
      <c r="B7689" s="361"/>
      <c r="C7689" s="366"/>
      <c r="D7689" s="156" t="s">
        <v>36</v>
      </c>
      <c r="E7689" s="156" t="s">
        <v>31</v>
      </c>
      <c r="F7689" s="156" t="s">
        <v>224</v>
      </c>
      <c r="G7689" s="238">
        <f>MROUND(H7689*L7689*I7689/K7689,0.00000001)</f>
        <v>1.8060329999999999E-2</v>
      </c>
      <c r="H7689" s="158">
        <f>H6969</f>
        <v>36</v>
      </c>
      <c r="I7689" s="159">
        <f t="shared" si="2168"/>
        <v>2.1153999999999999E-2</v>
      </c>
      <c r="J7689" s="160"/>
      <c r="K7689" s="161">
        <f>K7688</f>
        <v>506</v>
      </c>
      <c r="L7689" s="250">
        <v>12</v>
      </c>
      <c r="M7689" s="163" t="str">
        <f>CONCATENATE(H7689," ",F7689,"*",L7689,"мес.","*",I7689,"/",K7689,"чел.")</f>
        <v>36 устройств*12мес.*0,021154/506чел.</v>
      </c>
      <c r="N7689" s="164">
        <f>N6849</f>
        <v>1269.5381481481488</v>
      </c>
      <c r="O7689" s="165">
        <f t="shared" si="2186"/>
        <v>22.928277999999999</v>
      </c>
      <c r="P7689" s="166"/>
      <c r="Q7689" s="166">
        <f t="shared" si="2183"/>
        <v>11601.708667999999</v>
      </c>
      <c r="R7689" s="71"/>
    </row>
    <row r="7690" spans="1:18" s="61" customFormat="1" ht="31.5" x14ac:dyDescent="0.25">
      <c r="A7690" s="358"/>
      <c r="B7690" s="361"/>
      <c r="C7690" s="366"/>
      <c r="D7690" s="156" t="s">
        <v>99</v>
      </c>
      <c r="E7690" s="156" t="s">
        <v>103</v>
      </c>
      <c r="F7690" s="156" t="s">
        <v>225</v>
      </c>
      <c r="G7690" s="238">
        <f>MROUND(H7690*L7690*I7690/K7690,0.00000001)</f>
        <v>8.4030700000000003E-3</v>
      </c>
      <c r="H7690" s="158">
        <f>H6850</f>
        <v>201</v>
      </c>
      <c r="I7690" s="159">
        <f t="shared" si="2168"/>
        <v>2.1153999999999999E-2</v>
      </c>
      <c r="J7690" s="160"/>
      <c r="K7690" s="161">
        <f>K7689</f>
        <v>506</v>
      </c>
      <c r="L7690" s="250">
        <v>1</v>
      </c>
      <c r="M7690" s="163" t="str">
        <f>CONCATENATE(H7690," ",F7690,"*",I7690,"/",K7690,"чел.")</f>
        <v>201 ед.*0,021154/506чел.</v>
      </c>
      <c r="N7690" s="164">
        <f>N6850</f>
        <v>15000</v>
      </c>
      <c r="O7690" s="165">
        <f t="shared" si="2186"/>
        <v>126.04604999999999</v>
      </c>
      <c r="P7690" s="166"/>
      <c r="Q7690" s="166">
        <f t="shared" si="2183"/>
        <v>63779.301299999999</v>
      </c>
      <c r="R7690" s="71"/>
    </row>
    <row r="7691" spans="1:18" s="61" customFormat="1" x14ac:dyDescent="0.25">
      <c r="A7691" s="358"/>
      <c r="B7691" s="361"/>
      <c r="C7691" s="366"/>
      <c r="D7691" s="156" t="s">
        <v>27</v>
      </c>
      <c r="E7691" s="156" t="s">
        <v>28</v>
      </c>
      <c r="F7691" s="156" t="s">
        <v>28</v>
      </c>
      <c r="G7691" s="238">
        <f>MROUND(H7691*L7691*I7691/K7691,0.000000001)</f>
        <v>0.17516849800000001</v>
      </c>
      <c r="H7691" s="160">
        <f>H6851</f>
        <v>4190</v>
      </c>
      <c r="I7691" s="159">
        <f t="shared" si="2168"/>
        <v>2.1153999999999999E-2</v>
      </c>
      <c r="J7691" s="160"/>
      <c r="K7691" s="161">
        <f>K7690</f>
        <v>506</v>
      </c>
      <c r="L7691" s="250">
        <v>1</v>
      </c>
      <c r="M7691" s="163" t="str">
        <f>CONCATENATE(H7691," ",F7691,"*",I7691,"/",K7691,"чел.")</f>
        <v>4190 шт*0,021154/506чел.</v>
      </c>
      <c r="N7691" s="164">
        <f>N6971</f>
        <v>435.13600000000008</v>
      </c>
      <c r="O7691" s="165">
        <f t="shared" si="2186"/>
        <v>76.22211999999999</v>
      </c>
      <c r="P7691" s="166"/>
      <c r="Q7691" s="166">
        <f t="shared" si="2183"/>
        <v>38568.392719999996</v>
      </c>
      <c r="R7691" s="71"/>
    </row>
    <row r="7692" spans="1:18" s="61" customFormat="1" ht="31.5" x14ac:dyDescent="0.25">
      <c r="A7692" s="358"/>
      <c r="B7692" s="361"/>
      <c r="C7692" s="367"/>
      <c r="D7692" s="156" t="s">
        <v>104</v>
      </c>
      <c r="E7692" s="156" t="s">
        <v>105</v>
      </c>
      <c r="F7692" s="156" t="s">
        <v>226</v>
      </c>
      <c r="G7692" s="238">
        <f>MROUND(H7692*L7692*I7692/K7692,0.00000001)</f>
        <v>1.5050300000000001E-3</v>
      </c>
      <c r="H7692" s="160">
        <f>H6852</f>
        <v>36</v>
      </c>
      <c r="I7692" s="159">
        <f t="shared" si="2168"/>
        <v>2.1153999999999999E-2</v>
      </c>
      <c r="J7692" s="160"/>
      <c r="K7692" s="161">
        <f>K7691</f>
        <v>506</v>
      </c>
      <c r="L7692" s="250">
        <v>1</v>
      </c>
      <c r="M7692" s="163" t="str">
        <f>CONCATENATE(H7692," ",F7692,"*",I7692,"/",K7692,"чел.")</f>
        <v>36 отключений*0,021154/506чел.</v>
      </c>
      <c r="N7692" s="164">
        <f>N6852</f>
        <v>10671.710000000006</v>
      </c>
      <c r="O7692" s="165">
        <f t="shared" si="2186"/>
        <v>16.061243999999999</v>
      </c>
      <c r="P7692" s="166"/>
      <c r="Q7692" s="166">
        <f t="shared" si="2183"/>
        <v>8126.9894639999993</v>
      </c>
      <c r="R7692" s="71"/>
    </row>
    <row r="7693" spans="1:18" s="62" customFormat="1" x14ac:dyDescent="0.25">
      <c r="A7693" s="358"/>
      <c r="B7693" s="361"/>
      <c r="C7693" s="249" t="s">
        <v>292</v>
      </c>
      <c r="D7693" s="240"/>
      <c r="E7693" s="240"/>
      <c r="F7693" s="240"/>
      <c r="G7693" s="227"/>
      <c r="H7693" s="228"/>
      <c r="I7693" s="206"/>
      <c r="J7693" s="228"/>
      <c r="K7693" s="207"/>
      <c r="L7693" s="257"/>
      <c r="M7693" s="209"/>
      <c r="N7693" s="210"/>
      <c r="O7693" s="198">
        <f>SUM(O7677:O7692)</f>
        <v>504.80038073999992</v>
      </c>
      <c r="P7693" s="267"/>
      <c r="Q7693" s="166"/>
      <c r="R7693" s="71"/>
    </row>
    <row r="7694" spans="1:18" s="61" customFormat="1" ht="31.5" x14ac:dyDescent="0.25">
      <c r="A7694" s="358"/>
      <c r="B7694" s="361"/>
      <c r="C7694" s="221" t="s">
        <v>79</v>
      </c>
      <c r="D7694" s="156" t="s">
        <v>37</v>
      </c>
      <c r="E7694" s="156" t="s">
        <v>61</v>
      </c>
      <c r="F7694" s="156" t="s">
        <v>227</v>
      </c>
      <c r="G7694" s="238">
        <f>MROUND(H7694*L7694*I7694/K7694,0.000000001)</f>
        <v>1.6722500000000001E-4</v>
      </c>
      <c r="H7694" s="158">
        <f>H6854</f>
        <v>4</v>
      </c>
      <c r="I7694" s="159">
        <f>I7692</f>
        <v>2.1153999999999999E-2</v>
      </c>
      <c r="J7694" s="160"/>
      <c r="K7694" s="161">
        <f>K7692</f>
        <v>506</v>
      </c>
      <c r="L7694" s="250">
        <v>1</v>
      </c>
      <c r="M7694" s="163" t="str">
        <f>CONCATENATE(H7694," ",F7694,"*",I7694,"/",K7694,"чел.")</f>
        <v>4 автобуса*0,021154/506чел.</v>
      </c>
      <c r="N7694" s="164">
        <f>N6854</f>
        <v>37900.35</v>
      </c>
      <c r="O7694" s="165">
        <f>MROUND(G7694*N7694,0.000001)</f>
        <v>6.3378860000000001</v>
      </c>
      <c r="P7694" s="166"/>
      <c r="Q7694" s="166">
        <f t="shared" ref="Q7694" si="2187">O7694*K7694</f>
        <v>3206.9703159999999</v>
      </c>
      <c r="R7694" s="71"/>
    </row>
    <row r="7695" spans="1:18" s="62" customFormat="1" x14ac:dyDescent="0.25">
      <c r="A7695" s="358"/>
      <c r="B7695" s="361"/>
      <c r="C7695" s="218" t="s">
        <v>295</v>
      </c>
      <c r="D7695" s="240"/>
      <c r="E7695" s="240"/>
      <c r="F7695" s="240"/>
      <c r="G7695" s="227"/>
      <c r="H7695" s="241"/>
      <c r="I7695" s="206"/>
      <c r="J7695" s="228"/>
      <c r="K7695" s="207"/>
      <c r="L7695" s="257"/>
      <c r="M7695" s="209"/>
      <c r="N7695" s="210"/>
      <c r="O7695" s="198">
        <f>SUM(O7694)</f>
        <v>6.3378860000000001</v>
      </c>
      <c r="P7695" s="267"/>
      <c r="Q7695" s="166"/>
      <c r="R7695" s="71"/>
    </row>
    <row r="7696" spans="1:18" s="61" customFormat="1" x14ac:dyDescent="0.25">
      <c r="A7696" s="358"/>
      <c r="B7696" s="361"/>
      <c r="C7696" s="364" t="s">
        <v>80</v>
      </c>
      <c r="D7696" s="156" t="s">
        <v>38</v>
      </c>
      <c r="E7696" s="156" t="s">
        <v>57</v>
      </c>
      <c r="F7696" s="156" t="s">
        <v>228</v>
      </c>
      <c r="G7696" s="238">
        <f>MROUND(H7696*L7696*I7696/K7696,0.000000001)</f>
        <v>1.8060332000000002E-2</v>
      </c>
      <c r="H7696" s="158">
        <f>H6856</f>
        <v>36</v>
      </c>
      <c r="I7696" s="159">
        <f>I7694</f>
        <v>2.1153999999999999E-2</v>
      </c>
      <c r="J7696" s="160"/>
      <c r="K7696" s="161">
        <f>K7694</f>
        <v>506</v>
      </c>
      <c r="L7696" s="250">
        <v>12</v>
      </c>
      <c r="M7696" s="163" t="str">
        <f>CONCATENATE(H7696," ",F7696,"*",L7696,"мес.","*",I7696,"/",K7696,"чел.")</f>
        <v>36 зданий*12мес.*0,021154/506чел.</v>
      </c>
      <c r="N7696" s="164">
        <f t="shared" ref="N7696:N7707" si="2188">N6856</f>
        <v>5106.1928935185206</v>
      </c>
      <c r="O7696" s="165">
        <f>MROUND(G7696*N7696,0.000001)</f>
        <v>92.219538999999997</v>
      </c>
      <c r="P7696" s="166"/>
      <c r="Q7696" s="166">
        <f t="shared" ref="Q7696:Q7709" si="2189">O7696*K7696</f>
        <v>46663.086733999997</v>
      </c>
      <c r="R7696" s="71"/>
    </row>
    <row r="7697" spans="1:18" s="61" customFormat="1" ht="47.25" x14ac:dyDescent="0.25">
      <c r="A7697" s="358"/>
      <c r="B7697" s="361"/>
      <c r="C7697" s="364"/>
      <c r="D7697" s="156" t="s">
        <v>229</v>
      </c>
      <c r="E7697" s="156" t="s">
        <v>60</v>
      </c>
      <c r="F7697" s="156" t="s">
        <v>60</v>
      </c>
      <c r="G7697" s="238">
        <f>MROUND(H7697*L7697*I7697/K7697,0.000001)</f>
        <v>0.10008399999999999</v>
      </c>
      <c r="H7697" s="158">
        <f>H6857</f>
        <v>2394</v>
      </c>
      <c r="I7697" s="159">
        <f>I7696</f>
        <v>2.1153999999999999E-2</v>
      </c>
      <c r="J7697" s="160"/>
      <c r="K7697" s="161">
        <f>K7696</f>
        <v>506</v>
      </c>
      <c r="L7697" s="250">
        <v>1</v>
      </c>
      <c r="M7697" s="163" t="str">
        <f t="shared" ref="M7697:M7704" si="2190">CONCATENATE(H7697," ",F7697,"*",I7697,"/",K7697,"чел.")</f>
        <v>2394 шт.*0,021154/506чел.</v>
      </c>
      <c r="N7697" s="164">
        <f t="shared" si="2188"/>
        <v>177.86185045948207</v>
      </c>
      <c r="O7697" s="165">
        <f>MROUND(G7697*N7697,0.000001)</f>
        <v>17.801124999999999</v>
      </c>
      <c r="P7697" s="166"/>
      <c r="Q7697" s="166">
        <f t="shared" si="2189"/>
        <v>9007.3692499999997</v>
      </c>
      <c r="R7697" s="71"/>
    </row>
    <row r="7698" spans="1:18" s="61" customFormat="1" ht="47.25" x14ac:dyDescent="0.25">
      <c r="A7698" s="358"/>
      <c r="B7698" s="361"/>
      <c r="C7698" s="364"/>
      <c r="D7698" s="156" t="s">
        <v>405</v>
      </c>
      <c r="E7698" s="156" t="s">
        <v>60</v>
      </c>
      <c r="F7698" s="156" t="s">
        <v>406</v>
      </c>
      <c r="G7698" s="238">
        <f>MROUND(H7698*L7698*I7698/K7698,0.00000001)</f>
        <v>1.5050300000000001E-3</v>
      </c>
      <c r="H7698" s="158">
        <f>H7098</f>
        <v>36</v>
      </c>
      <c r="I7698" s="159">
        <f>I7697</f>
        <v>2.1153999999999999E-2</v>
      </c>
      <c r="J7698" s="160"/>
      <c r="K7698" s="161">
        <f>K7697</f>
        <v>506</v>
      </c>
      <c r="L7698" s="250">
        <v>1</v>
      </c>
      <c r="M7698" s="163" t="str">
        <f t="shared" si="2190"/>
        <v>36 лицензий*0,021154/506чел.</v>
      </c>
      <c r="N7698" s="164">
        <f t="shared" si="2188"/>
        <v>13043.200000000006</v>
      </c>
      <c r="O7698" s="165">
        <f t="shared" ref="O7698:O7707" si="2191">MROUND(G7698*N7698,0.000001)</f>
        <v>19.630406999999998</v>
      </c>
      <c r="P7698" s="166"/>
      <c r="Q7698" s="166">
        <f t="shared" si="2189"/>
        <v>9932.9859419999993</v>
      </c>
      <c r="R7698" s="71"/>
    </row>
    <row r="7699" spans="1:18" s="61" customFormat="1" ht="63" x14ac:dyDescent="0.25">
      <c r="A7699" s="358"/>
      <c r="B7699" s="361"/>
      <c r="C7699" s="364"/>
      <c r="D7699" s="156" t="s">
        <v>39</v>
      </c>
      <c r="E7699" s="156" t="s">
        <v>20</v>
      </c>
      <c r="F7699" s="156" t="s">
        <v>234</v>
      </c>
      <c r="G7699" s="238">
        <f>MROUND(H7699*L7699*I7699/K7699,0.000000001)</f>
        <v>4.9331460000000002E-3</v>
      </c>
      <c r="H7699" s="158">
        <f>H7219</f>
        <v>118</v>
      </c>
      <c r="I7699" s="159">
        <f>I7697</f>
        <v>2.1153999999999999E-2</v>
      </c>
      <c r="J7699" s="160"/>
      <c r="K7699" s="161">
        <f>K7697</f>
        <v>506</v>
      </c>
      <c r="L7699" s="250">
        <v>1</v>
      </c>
      <c r="M7699" s="163" t="str">
        <f t="shared" si="2190"/>
        <v>118 чел(заявленная потребность руководителями учреждений)*0,021154/506чел.</v>
      </c>
      <c r="N7699" s="164">
        <f t="shared" si="2188"/>
        <v>830.02203389830515</v>
      </c>
      <c r="O7699" s="165">
        <f t="shared" si="2191"/>
        <v>4.0946199999999999</v>
      </c>
      <c r="P7699" s="166"/>
      <c r="Q7699" s="166">
        <f t="shared" si="2189"/>
        <v>2071.87772</v>
      </c>
      <c r="R7699" s="71"/>
    </row>
    <row r="7700" spans="1:18" s="61" customFormat="1" ht="63" x14ac:dyDescent="0.25">
      <c r="A7700" s="358"/>
      <c r="B7700" s="361"/>
      <c r="C7700" s="364"/>
      <c r="D7700" s="156" t="s">
        <v>40</v>
      </c>
      <c r="E7700" s="156" t="s">
        <v>20</v>
      </c>
      <c r="F7700" s="156" t="s">
        <v>234</v>
      </c>
      <c r="G7700" s="238">
        <f>MROUND(H7700*L7700*I7700/K7700,0.000000001)</f>
        <v>4.0134070000000001E-3</v>
      </c>
      <c r="H7700" s="158">
        <f>H7220</f>
        <v>96</v>
      </c>
      <c r="I7700" s="159">
        <f t="shared" ref="I7700:I7707" si="2192">I7699</f>
        <v>2.1153999999999999E-2</v>
      </c>
      <c r="J7700" s="160"/>
      <c r="K7700" s="161">
        <f t="shared" ref="K7700:K7707" si="2193">K7699</f>
        <v>506</v>
      </c>
      <c r="L7700" s="250">
        <v>1</v>
      </c>
      <c r="M7700" s="163" t="str">
        <f t="shared" si="2190"/>
        <v>96 чел(заявленная потребность руководителями учреждений)*0,021154/506чел.</v>
      </c>
      <c r="N7700" s="164">
        <f t="shared" si="2188"/>
        <v>1778.6189583333326</v>
      </c>
      <c r="O7700" s="165">
        <f t="shared" si="2191"/>
        <v>7.1383219999999996</v>
      </c>
      <c r="P7700" s="166"/>
      <c r="Q7700" s="166">
        <f t="shared" si="2189"/>
        <v>3611.9909319999997</v>
      </c>
      <c r="R7700" s="71"/>
    </row>
    <row r="7701" spans="1:18" s="61" customFormat="1" ht="63" x14ac:dyDescent="0.25">
      <c r="A7701" s="358"/>
      <c r="B7701" s="361"/>
      <c r="C7701" s="364"/>
      <c r="D7701" s="156" t="s">
        <v>100</v>
      </c>
      <c r="E7701" s="156" t="s">
        <v>20</v>
      </c>
      <c r="F7701" s="156" t="s">
        <v>234</v>
      </c>
      <c r="G7701" s="238">
        <f>MROUND(H7701*L7701*I7701/K7701,0.000000001)</f>
        <v>3.3863120000000003E-3</v>
      </c>
      <c r="H7701" s="158">
        <f>H7221</f>
        <v>81</v>
      </c>
      <c r="I7701" s="159">
        <f t="shared" si="2192"/>
        <v>2.1153999999999999E-2</v>
      </c>
      <c r="J7701" s="160"/>
      <c r="K7701" s="161">
        <f t="shared" si="2193"/>
        <v>506</v>
      </c>
      <c r="L7701" s="250">
        <v>1</v>
      </c>
      <c r="M7701" s="163" t="str">
        <f t="shared" si="2190"/>
        <v>81 чел(заявленная потребность руководителями учреждений)*0,021154/506чел.</v>
      </c>
      <c r="N7701" s="164">
        <f t="shared" si="2188"/>
        <v>3794.386419753087</v>
      </c>
      <c r="O7701" s="165">
        <f t="shared" si="2191"/>
        <v>12.848975999999999</v>
      </c>
      <c r="P7701" s="166"/>
      <c r="Q7701" s="166">
        <f t="shared" si="2189"/>
        <v>6501.5818559999989</v>
      </c>
      <c r="R7701" s="71"/>
    </row>
    <row r="7702" spans="1:18" s="61" customFormat="1" ht="110.25" x14ac:dyDescent="0.25">
      <c r="A7702" s="358"/>
      <c r="B7702" s="361"/>
      <c r="C7702" s="364"/>
      <c r="D7702" s="156" t="s">
        <v>235</v>
      </c>
      <c r="E7702" s="156" t="s">
        <v>50</v>
      </c>
      <c r="F7702" s="156" t="s">
        <v>230</v>
      </c>
      <c r="G7702" s="238">
        <f>MROUND(H7702*L7702*I7702/K7702,0.00000001)</f>
        <v>1.5050300000000001E-3</v>
      </c>
      <c r="H7702" s="158">
        <f>H7462</f>
        <v>36</v>
      </c>
      <c r="I7702" s="159">
        <f t="shared" si="2192"/>
        <v>2.1153999999999999E-2</v>
      </c>
      <c r="J7702" s="160"/>
      <c r="K7702" s="161">
        <f t="shared" si="2193"/>
        <v>506</v>
      </c>
      <c r="L7702" s="250">
        <v>1</v>
      </c>
      <c r="M7702" s="163" t="str">
        <f t="shared" si="2190"/>
        <v>36 отчетов*0,021154/506чел.</v>
      </c>
      <c r="N7702" s="164">
        <f t="shared" si="2188"/>
        <v>7114.47</v>
      </c>
      <c r="O7702" s="165">
        <f t="shared" si="2191"/>
        <v>10.707490999999999</v>
      </c>
      <c r="P7702" s="166"/>
      <c r="Q7702" s="166">
        <f t="shared" si="2189"/>
        <v>5417.9904459999998</v>
      </c>
      <c r="R7702" s="71"/>
    </row>
    <row r="7703" spans="1:18" s="61" customFormat="1" ht="63" x14ac:dyDescent="0.25">
      <c r="A7703" s="358"/>
      <c r="B7703" s="361"/>
      <c r="C7703" s="364"/>
      <c r="D7703" s="156" t="s">
        <v>42</v>
      </c>
      <c r="E7703" s="156" t="s">
        <v>51</v>
      </c>
      <c r="F7703" s="156" t="s">
        <v>407</v>
      </c>
      <c r="G7703" s="238">
        <f>MROUND(H7703*L7703*I7703/K7703,0.000001)</f>
        <v>8.5279999999999991E-3</v>
      </c>
      <c r="H7703" s="158">
        <f>H7223</f>
        <v>204</v>
      </c>
      <c r="I7703" s="159">
        <f t="shared" si="2192"/>
        <v>2.1153999999999999E-2</v>
      </c>
      <c r="J7703" s="160"/>
      <c r="K7703" s="161">
        <f t="shared" si="2193"/>
        <v>506</v>
      </c>
      <c r="L7703" s="250">
        <v>1</v>
      </c>
      <c r="M7703" s="163" t="str">
        <f t="shared" si="2190"/>
        <v>204 ед (заявленная потребность руководителями учреждений)*0,021154/506чел.</v>
      </c>
      <c r="N7703" s="164">
        <f t="shared" si="2188"/>
        <v>1185.7454901960789</v>
      </c>
      <c r="O7703" s="165">
        <f t="shared" si="2191"/>
        <v>10.112038</v>
      </c>
      <c r="P7703" s="166"/>
      <c r="Q7703" s="166">
        <f t="shared" si="2189"/>
        <v>5116.6912279999997</v>
      </c>
      <c r="R7703" s="71"/>
    </row>
    <row r="7704" spans="1:18" s="61" customFormat="1" ht="31.5" x14ac:dyDescent="0.25">
      <c r="A7704" s="358"/>
      <c r="B7704" s="361"/>
      <c r="C7704" s="364"/>
      <c r="D7704" s="156" t="s">
        <v>43</v>
      </c>
      <c r="E7704" s="156" t="s">
        <v>52</v>
      </c>
      <c r="F7704" s="156" t="s">
        <v>231</v>
      </c>
      <c r="G7704" s="238">
        <f>MROUND(H7704*L7704*I7704/K7704,0.000000001)</f>
        <v>1.5050280000000001E-3</v>
      </c>
      <c r="H7704" s="158">
        <f>H6864</f>
        <v>36</v>
      </c>
      <c r="I7704" s="159">
        <f t="shared" si="2192"/>
        <v>2.1153999999999999E-2</v>
      </c>
      <c r="J7704" s="160"/>
      <c r="K7704" s="161">
        <f t="shared" si="2193"/>
        <v>506</v>
      </c>
      <c r="L7704" s="250">
        <v>1</v>
      </c>
      <c r="M7704" s="163" t="str">
        <f t="shared" si="2190"/>
        <v>36 ЭЦП*0,021154/506чел.</v>
      </c>
      <c r="N7704" s="164">
        <f t="shared" si="2188"/>
        <v>8423.5400000000009</v>
      </c>
      <c r="O7704" s="165">
        <f t="shared" si="2191"/>
        <v>12.677664</v>
      </c>
      <c r="P7704" s="166"/>
      <c r="Q7704" s="166">
        <f t="shared" si="2189"/>
        <v>6414.8979840000002</v>
      </c>
      <c r="R7704" s="71"/>
    </row>
    <row r="7705" spans="1:18" s="61" customFormat="1" ht="47.25" x14ac:dyDescent="0.25">
      <c r="A7705" s="358"/>
      <c r="B7705" s="361"/>
      <c r="C7705" s="364"/>
      <c r="D7705" s="156" t="s">
        <v>44</v>
      </c>
      <c r="E7705" s="156" t="s">
        <v>85</v>
      </c>
      <c r="F7705" s="156" t="s">
        <v>232</v>
      </c>
      <c r="G7705" s="238">
        <f>MROUND(H7705*L7705*I7705/K7705,0.000001)</f>
        <v>5.0835999999999999E-2</v>
      </c>
      <c r="H7705" s="158">
        <f>H6865</f>
        <v>1216</v>
      </c>
      <c r="I7705" s="159">
        <f t="shared" si="2192"/>
        <v>2.1153999999999999E-2</v>
      </c>
      <c r="J7705" s="160"/>
      <c r="K7705" s="161">
        <f t="shared" si="2193"/>
        <v>506</v>
      </c>
      <c r="L7705" s="250">
        <v>1</v>
      </c>
      <c r="M7705" s="163" t="str">
        <f>CONCATENATE(H7705," ",F7705,"*",L7705,"мес.","*",I7705,"/",K7705,"чел.")</f>
        <v>1216 мед.осмотров в мес.*1мес.*0,021154/506чел.</v>
      </c>
      <c r="N7705" s="164">
        <f t="shared" si="2188"/>
        <v>61.65877467105264</v>
      </c>
      <c r="O7705" s="165">
        <f t="shared" si="2191"/>
        <v>3.1344849999999997</v>
      </c>
      <c r="P7705" s="166"/>
      <c r="Q7705" s="166">
        <f t="shared" si="2189"/>
        <v>1586.0494099999999</v>
      </c>
      <c r="R7705" s="71"/>
    </row>
    <row r="7706" spans="1:18" s="61" customFormat="1" ht="63" x14ac:dyDescent="0.25">
      <c r="A7706" s="358"/>
      <c r="B7706" s="361"/>
      <c r="C7706" s="364"/>
      <c r="D7706" s="156" t="s">
        <v>45</v>
      </c>
      <c r="E7706" s="156" t="s">
        <v>53</v>
      </c>
      <c r="F7706" s="156" t="s">
        <v>233</v>
      </c>
      <c r="G7706" s="238">
        <f>MROUND(H7706*L7706*I7706/K7706,0.000000001)</f>
        <v>2.0067040000000002E-3</v>
      </c>
      <c r="H7706" s="158">
        <f>H7226</f>
        <v>4</v>
      </c>
      <c r="I7706" s="159">
        <f t="shared" si="2192"/>
        <v>2.1153999999999999E-2</v>
      </c>
      <c r="J7706" s="160"/>
      <c r="K7706" s="161">
        <f t="shared" si="2193"/>
        <v>506</v>
      </c>
      <c r="L7706" s="250">
        <v>12</v>
      </c>
      <c r="M7706" s="163" t="str">
        <f>CONCATENATE(H7706," ",F7706,"*",L7706,"мес.","*",I7706,"/",K7706,"чел.")</f>
        <v>4  машины, оборудованных системой ГЛОНАСС*12мес.*0,021154/506чел.</v>
      </c>
      <c r="N7706" s="164">
        <f t="shared" si="2188"/>
        <v>958.08249999999998</v>
      </c>
      <c r="O7706" s="165">
        <f t="shared" si="2191"/>
        <v>1.922588</v>
      </c>
      <c r="P7706" s="166"/>
      <c r="Q7706" s="166">
        <f t="shared" si="2189"/>
        <v>972.82952799999998</v>
      </c>
      <c r="R7706" s="71"/>
    </row>
    <row r="7707" spans="1:18" s="61" customFormat="1" ht="31.5" x14ac:dyDescent="0.25">
      <c r="A7707" s="358"/>
      <c r="B7707" s="361"/>
      <c r="C7707" s="364"/>
      <c r="D7707" s="156" t="s">
        <v>408</v>
      </c>
      <c r="E7707" s="156" t="s">
        <v>20</v>
      </c>
      <c r="F7707" s="156" t="s">
        <v>20</v>
      </c>
      <c r="G7707" s="238">
        <f>MROUND(H7707*L7707*I7707/K7707,0.000000001)</f>
        <v>7.0945332E-2</v>
      </c>
      <c r="H7707" s="158">
        <f>H6867</f>
        <v>1697</v>
      </c>
      <c r="I7707" s="159">
        <f t="shared" si="2192"/>
        <v>2.1153999999999999E-2</v>
      </c>
      <c r="J7707" s="160"/>
      <c r="K7707" s="161">
        <f t="shared" si="2193"/>
        <v>506</v>
      </c>
      <c r="L7707" s="250">
        <v>1</v>
      </c>
      <c r="M7707" s="163" t="str">
        <f>CONCATENATE(H7707," ",F7707,"*",L7707," раз в год","*",I7707,"/",K7707,"чел.")</f>
        <v>1697 чел.*1 раз в год*0,021154/506чел.</v>
      </c>
      <c r="N7707" s="164">
        <f t="shared" si="2188"/>
        <v>592.87278137890405</v>
      </c>
      <c r="O7707" s="165">
        <f t="shared" si="2191"/>
        <v>42.061555999999996</v>
      </c>
      <c r="P7707" s="166"/>
      <c r="Q7707" s="166">
        <f t="shared" si="2189"/>
        <v>21283.147335999998</v>
      </c>
      <c r="R7707" s="71"/>
    </row>
    <row r="7708" spans="1:18" s="61" customFormat="1" x14ac:dyDescent="0.25">
      <c r="A7708" s="358"/>
      <c r="B7708" s="361"/>
      <c r="C7708" s="364"/>
      <c r="D7708" s="156" t="s">
        <v>373</v>
      </c>
      <c r="E7708" s="156" t="s">
        <v>28</v>
      </c>
      <c r="F7708" s="156" t="s">
        <v>28</v>
      </c>
      <c r="G7708" s="157">
        <f>MROUND(H7708*L7708*I7708/K7708,0.000000001)</f>
        <v>1.5050280000000001E-3</v>
      </c>
      <c r="H7708" s="158">
        <f>H6869</f>
        <v>36</v>
      </c>
      <c r="I7708" s="159">
        <f>I7706</f>
        <v>2.1153999999999999E-2</v>
      </c>
      <c r="J7708" s="160"/>
      <c r="K7708" s="161">
        <f>K7706</f>
        <v>506</v>
      </c>
      <c r="L7708" s="162">
        <v>1</v>
      </c>
      <c r="M7708" s="163" t="str">
        <f>CONCATENATE(H7708," ",F7708,"*",L7708,"мес.","*",I7708,"/",K7708,"чел.")</f>
        <v>36 шт*1мес.*0,021154/506чел.</v>
      </c>
      <c r="N7708" s="164">
        <f>N6869</f>
        <v>24000</v>
      </c>
      <c r="O7708" s="165">
        <f>MROUND(G7708*N7708,0.000000001)</f>
        <v>36.120671999999999</v>
      </c>
      <c r="P7708" s="166"/>
      <c r="Q7708" s="166">
        <f t="shared" si="2189"/>
        <v>18277.060032000001</v>
      </c>
      <c r="R7708" s="71"/>
    </row>
    <row r="7709" spans="1:18" s="61" customFormat="1" ht="31.5" x14ac:dyDescent="0.25">
      <c r="A7709" s="358"/>
      <c r="B7709" s="361"/>
      <c r="C7709" s="364"/>
      <c r="D7709" s="156" t="s">
        <v>106</v>
      </c>
      <c r="E7709" s="156" t="s">
        <v>107</v>
      </c>
      <c r="F7709" s="156"/>
      <c r="G7709" s="238">
        <f>MROUND(H7709*L7709*I7709/K7709,0.000000001)</f>
        <v>0</v>
      </c>
      <c r="H7709" s="158">
        <f>H6868</f>
        <v>0</v>
      </c>
      <c r="I7709" s="159">
        <f>I7706</f>
        <v>2.1153999999999999E-2</v>
      </c>
      <c r="J7709" s="160"/>
      <c r="K7709" s="161">
        <f>K7706</f>
        <v>506</v>
      </c>
      <c r="L7709" s="250">
        <f>L6868</f>
        <v>0</v>
      </c>
      <c r="M7709" s="163"/>
      <c r="N7709" s="164">
        <f>N6868</f>
        <v>6.0000000000000002E-5</v>
      </c>
      <c r="O7709" s="165">
        <f>MROUND(G7709*N7709,0.000000001)</f>
        <v>0</v>
      </c>
      <c r="P7709" s="166"/>
      <c r="Q7709" s="166">
        <f t="shared" si="2189"/>
        <v>0</v>
      </c>
      <c r="R7709" s="71"/>
    </row>
    <row r="7710" spans="1:18" s="62" customFormat="1" x14ac:dyDescent="0.25">
      <c r="A7710" s="358"/>
      <c r="B7710" s="361"/>
      <c r="C7710" s="245" t="s">
        <v>296</v>
      </c>
      <c r="D7710" s="240"/>
      <c r="E7710" s="240"/>
      <c r="F7710" s="240"/>
      <c r="G7710" s="227"/>
      <c r="H7710" s="241"/>
      <c r="I7710" s="206"/>
      <c r="J7710" s="228"/>
      <c r="K7710" s="207"/>
      <c r="L7710" s="257"/>
      <c r="M7710" s="209"/>
      <c r="N7710" s="210"/>
      <c r="O7710" s="198">
        <f>SUM(O7696:O7709)</f>
        <v>270.46948299999997</v>
      </c>
      <c r="P7710" s="267"/>
      <c r="Q7710" s="166"/>
      <c r="R7710" s="71"/>
    </row>
    <row r="7711" spans="1:18" s="61" customFormat="1" ht="31.5" x14ac:dyDescent="0.25">
      <c r="A7711" s="358"/>
      <c r="B7711" s="361"/>
      <c r="C7711" s="252" t="s">
        <v>237</v>
      </c>
      <c r="D7711" s="156" t="s">
        <v>41</v>
      </c>
      <c r="E7711" s="156" t="s">
        <v>61</v>
      </c>
      <c r="F7711" s="156" t="s">
        <v>227</v>
      </c>
      <c r="G7711" s="238">
        <f>MROUND(H7711*L7711*I7711/K7711,0.000000001)</f>
        <v>1.6722500000000001E-4</v>
      </c>
      <c r="H7711" s="158">
        <f>H6871</f>
        <v>4</v>
      </c>
      <c r="I7711" s="159">
        <f>I7709</f>
        <v>2.1153999999999999E-2</v>
      </c>
      <c r="J7711" s="160"/>
      <c r="K7711" s="161">
        <f>K7709</f>
        <v>506</v>
      </c>
      <c r="L7711" s="250">
        <v>1</v>
      </c>
      <c r="M7711" s="163" t="str">
        <f>CONCATENATE(H7711," ",F7711,"*",I7711,"/",K7711,"чел.")</f>
        <v>4 автобуса*0,021154/506чел.</v>
      </c>
      <c r="N7711" s="164">
        <f>N6871</f>
        <v>27983.595000000001</v>
      </c>
      <c r="O7711" s="165">
        <f>MROUND(G7711*N7711,0.000001)</f>
        <v>4.679557</v>
      </c>
      <c r="P7711" s="166"/>
      <c r="Q7711" s="166">
        <f t="shared" ref="Q7711" si="2194">O7711*K7711</f>
        <v>2367.8558419999999</v>
      </c>
      <c r="R7711" s="71"/>
    </row>
    <row r="7712" spans="1:18" s="62" customFormat="1" x14ac:dyDescent="0.25">
      <c r="A7712" s="358"/>
      <c r="B7712" s="361"/>
      <c r="C7712" s="245" t="s">
        <v>297</v>
      </c>
      <c r="D7712" s="240"/>
      <c r="E7712" s="240"/>
      <c r="F7712" s="240"/>
      <c r="G7712" s="227"/>
      <c r="H7712" s="241"/>
      <c r="I7712" s="206"/>
      <c r="J7712" s="228"/>
      <c r="K7712" s="207"/>
      <c r="L7712" s="257"/>
      <c r="M7712" s="209"/>
      <c r="N7712" s="210"/>
      <c r="O7712" s="198">
        <f>SUM(O7711)</f>
        <v>4.679557</v>
      </c>
      <c r="P7712" s="267"/>
      <c r="Q7712" s="166"/>
      <c r="R7712" s="71"/>
    </row>
    <row r="7713" spans="1:18" s="61" customFormat="1" ht="78.75" x14ac:dyDescent="0.25">
      <c r="A7713" s="358"/>
      <c r="B7713" s="361"/>
      <c r="C7713" s="221" t="s">
        <v>236</v>
      </c>
      <c r="D7713" s="156" t="s">
        <v>19</v>
      </c>
      <c r="E7713" s="181" t="s">
        <v>20</v>
      </c>
      <c r="F7713" s="181" t="s">
        <v>238</v>
      </c>
      <c r="G7713" s="238">
        <f>MROUND(H7713*L7713*I7713/K7713,0.000001)</f>
        <v>0</v>
      </c>
      <c r="H7713" s="158"/>
      <c r="I7713" s="159">
        <f>I7709</f>
        <v>2.1153999999999999E-2</v>
      </c>
      <c r="J7713" s="160"/>
      <c r="K7713" s="161">
        <f>K7709</f>
        <v>506</v>
      </c>
      <c r="L7713" s="250"/>
      <c r="M7713" s="163"/>
      <c r="N7713" s="164"/>
      <c r="O7713" s="165">
        <f>MROUND(G7713*N7713,0.000001)</f>
        <v>0</v>
      </c>
      <c r="P7713" s="166"/>
      <c r="Q7713" s="166">
        <f t="shared" ref="Q7713" si="2195">O7713*K7713</f>
        <v>0</v>
      </c>
      <c r="R7713" s="71"/>
    </row>
    <row r="7714" spans="1:18" s="62" customFormat="1" x14ac:dyDescent="0.25">
      <c r="A7714" s="358"/>
      <c r="B7714" s="361"/>
      <c r="C7714" s="245" t="s">
        <v>298</v>
      </c>
      <c r="D7714" s="240"/>
      <c r="E7714" s="253"/>
      <c r="F7714" s="253"/>
      <c r="G7714" s="227"/>
      <c r="H7714" s="241"/>
      <c r="I7714" s="206"/>
      <c r="J7714" s="228"/>
      <c r="K7714" s="207"/>
      <c r="L7714" s="257"/>
      <c r="M7714" s="209"/>
      <c r="N7714" s="210"/>
      <c r="O7714" s="198">
        <f>SUM(O7713)</f>
        <v>0</v>
      </c>
      <c r="P7714" s="267"/>
      <c r="Q7714" s="166"/>
      <c r="R7714" s="71"/>
    </row>
    <row r="7715" spans="1:18" s="61" customFormat="1" ht="30" x14ac:dyDescent="0.25">
      <c r="A7715" s="358"/>
      <c r="B7715" s="361"/>
      <c r="C7715" s="365" t="s">
        <v>81</v>
      </c>
      <c r="D7715" s="254" t="s">
        <v>410</v>
      </c>
      <c r="E7715" s="156" t="s">
        <v>28</v>
      </c>
      <c r="F7715" s="156" t="s">
        <v>28</v>
      </c>
      <c r="G7715" s="238">
        <f>MROUND(H7715*L7715*I7715/K7715,0.0000000001)</f>
        <v>0</v>
      </c>
      <c r="H7715" s="158"/>
      <c r="I7715" s="159">
        <f>I7709</f>
        <v>2.1153999999999999E-2</v>
      </c>
      <c r="J7715" s="160"/>
      <c r="K7715" s="161">
        <f>K7709</f>
        <v>506</v>
      </c>
      <c r="L7715" s="250">
        <v>1</v>
      </c>
      <c r="M7715" s="163"/>
      <c r="N7715" s="164"/>
      <c r="O7715" s="165">
        <f>MROUND(G7715*N7715,0.000001)</f>
        <v>0</v>
      </c>
      <c r="P7715" s="166"/>
      <c r="Q7715" s="166">
        <f t="shared" ref="Q7715:Q7738" si="2196">O7715*K7715</f>
        <v>0</v>
      </c>
      <c r="R7715" s="71"/>
    </row>
    <row r="7716" spans="1:18" s="61" customFormat="1" x14ac:dyDescent="0.25">
      <c r="A7716" s="358"/>
      <c r="B7716" s="361"/>
      <c r="C7716" s="366"/>
      <c r="D7716" s="254" t="s">
        <v>325</v>
      </c>
      <c r="E7716" s="156" t="s">
        <v>28</v>
      </c>
      <c r="F7716" s="156" t="s">
        <v>28</v>
      </c>
      <c r="G7716" s="157">
        <f>MROUND(H7716*L7716*I7716/K7716,0.0000000001)</f>
        <v>0</v>
      </c>
      <c r="H7716" s="158"/>
      <c r="I7716" s="159">
        <f>I7715</f>
        <v>2.1153999999999999E-2</v>
      </c>
      <c r="J7716" s="160"/>
      <c r="K7716" s="161">
        <f>K7715</f>
        <v>506</v>
      </c>
      <c r="L7716" s="250">
        <v>1</v>
      </c>
      <c r="M7716" s="163"/>
      <c r="N7716" s="164"/>
      <c r="O7716" s="165">
        <f>MROUND(G7716*N7716,0.000001)</f>
        <v>0</v>
      </c>
      <c r="P7716" s="166"/>
      <c r="Q7716" s="166">
        <f t="shared" si="2196"/>
        <v>0</v>
      </c>
      <c r="R7716" s="71"/>
    </row>
    <row r="7717" spans="1:18" s="61" customFormat="1" ht="30" x14ac:dyDescent="0.25">
      <c r="A7717" s="358"/>
      <c r="B7717" s="361"/>
      <c r="C7717" s="366"/>
      <c r="D7717" s="254" t="s">
        <v>411</v>
      </c>
      <c r="E7717" s="156" t="s">
        <v>28</v>
      </c>
      <c r="F7717" s="156" t="s">
        <v>28</v>
      </c>
      <c r="G7717" s="238">
        <f>MROUND(H7717*L7717*I7717/K7717,0.00000001)</f>
        <v>0</v>
      </c>
      <c r="H7717" s="158"/>
      <c r="I7717" s="159">
        <f>I7715</f>
        <v>2.1153999999999999E-2</v>
      </c>
      <c r="J7717" s="160"/>
      <c r="K7717" s="161">
        <f>K7715</f>
        <v>506</v>
      </c>
      <c r="L7717" s="250">
        <v>1</v>
      </c>
      <c r="M7717" s="163"/>
      <c r="N7717" s="164"/>
      <c r="O7717" s="165">
        <f t="shared" ref="O7717:O7738" si="2197">MROUND(G7717*N7717,0.000001)</f>
        <v>0</v>
      </c>
      <c r="P7717" s="166"/>
      <c r="Q7717" s="166">
        <f t="shared" si="2196"/>
        <v>0</v>
      </c>
      <c r="R7717" s="71"/>
    </row>
    <row r="7718" spans="1:18" s="61" customFormat="1" x14ac:dyDescent="0.25">
      <c r="A7718" s="358"/>
      <c r="B7718" s="361"/>
      <c r="C7718" s="366"/>
      <c r="D7718" s="255" t="s">
        <v>412</v>
      </c>
      <c r="E7718" s="156" t="s">
        <v>28</v>
      </c>
      <c r="F7718" s="156" t="s">
        <v>28</v>
      </c>
      <c r="G7718" s="238">
        <f>MROUND(H7718*L7718*I7718/K7718,0.00000001)</f>
        <v>0</v>
      </c>
      <c r="H7718" s="158"/>
      <c r="I7718" s="159">
        <f>I7717</f>
        <v>2.1153999999999999E-2</v>
      </c>
      <c r="J7718" s="160"/>
      <c r="K7718" s="161">
        <f>K7717</f>
        <v>506</v>
      </c>
      <c r="L7718" s="250">
        <v>1</v>
      </c>
      <c r="M7718" s="163"/>
      <c r="N7718" s="164"/>
      <c r="O7718" s="165">
        <f t="shared" si="2197"/>
        <v>0</v>
      </c>
      <c r="P7718" s="166"/>
      <c r="Q7718" s="166">
        <f t="shared" si="2196"/>
        <v>0</v>
      </c>
      <c r="R7718" s="71"/>
    </row>
    <row r="7719" spans="1:18" s="61" customFormat="1" ht="31.5" x14ac:dyDescent="0.25">
      <c r="A7719" s="358"/>
      <c r="B7719" s="361"/>
      <c r="C7719" s="366"/>
      <c r="D7719" s="255" t="s">
        <v>413</v>
      </c>
      <c r="E7719" s="156" t="s">
        <v>28</v>
      </c>
      <c r="F7719" s="156" t="s">
        <v>28</v>
      </c>
      <c r="G7719" s="238">
        <f>MROUND(H7719*L7719*I7719/K7719,0.0000000001)</f>
        <v>0</v>
      </c>
      <c r="H7719" s="158"/>
      <c r="I7719" s="159">
        <f>I7718</f>
        <v>2.1153999999999999E-2</v>
      </c>
      <c r="J7719" s="160"/>
      <c r="K7719" s="161">
        <f>K7718</f>
        <v>506</v>
      </c>
      <c r="L7719" s="250">
        <v>1</v>
      </c>
      <c r="M7719" s="163"/>
      <c r="N7719" s="164"/>
      <c r="O7719" s="165">
        <f t="shared" si="2197"/>
        <v>0</v>
      </c>
      <c r="P7719" s="166"/>
      <c r="Q7719" s="166">
        <f t="shared" si="2196"/>
        <v>0</v>
      </c>
      <c r="R7719" s="71"/>
    </row>
    <row r="7720" spans="1:18" s="61" customFormat="1" x14ac:dyDescent="0.25">
      <c r="A7720" s="358"/>
      <c r="B7720" s="361"/>
      <c r="C7720" s="366"/>
      <c r="D7720" s="254" t="s">
        <v>109</v>
      </c>
      <c r="E7720" s="156" t="s">
        <v>28</v>
      </c>
      <c r="F7720" s="156" t="s">
        <v>28</v>
      </c>
      <c r="G7720" s="238">
        <f>MROUND(H7720*L7720*I7720/K7720,0.0000000001)</f>
        <v>0</v>
      </c>
      <c r="H7720" s="158"/>
      <c r="I7720" s="159">
        <f>I7719</f>
        <v>2.1153999999999999E-2</v>
      </c>
      <c r="J7720" s="160"/>
      <c r="K7720" s="161">
        <f>K7719</f>
        <v>506</v>
      </c>
      <c r="L7720" s="250">
        <v>1</v>
      </c>
      <c r="M7720" s="163"/>
      <c r="N7720" s="164"/>
      <c r="O7720" s="165">
        <f t="shared" si="2197"/>
        <v>0</v>
      </c>
      <c r="P7720" s="166"/>
      <c r="Q7720" s="166">
        <f t="shared" si="2196"/>
        <v>0</v>
      </c>
      <c r="R7720" s="71"/>
    </row>
    <row r="7721" spans="1:18" s="61" customFormat="1" x14ac:dyDescent="0.25">
      <c r="A7721" s="358"/>
      <c r="B7721" s="361"/>
      <c r="C7721" s="366"/>
      <c r="D7721" s="254" t="s">
        <v>414</v>
      </c>
      <c r="E7721" s="156" t="s">
        <v>28</v>
      </c>
      <c r="F7721" s="156" t="s">
        <v>28</v>
      </c>
      <c r="G7721" s="238">
        <f>MROUND(H7721*L7721*I7721/K7721,0.0000000001)</f>
        <v>0</v>
      </c>
      <c r="H7721" s="158"/>
      <c r="I7721" s="159">
        <f>I7719</f>
        <v>2.1153999999999999E-2</v>
      </c>
      <c r="J7721" s="160"/>
      <c r="K7721" s="161">
        <f>K7719</f>
        <v>506</v>
      </c>
      <c r="L7721" s="250">
        <v>1</v>
      </c>
      <c r="M7721" s="163"/>
      <c r="N7721" s="164"/>
      <c r="O7721" s="165">
        <f t="shared" si="2197"/>
        <v>0</v>
      </c>
      <c r="P7721" s="166"/>
      <c r="Q7721" s="166">
        <f t="shared" si="2196"/>
        <v>0</v>
      </c>
      <c r="R7721" s="71"/>
    </row>
    <row r="7722" spans="1:18" s="61" customFormat="1" x14ac:dyDescent="0.25">
      <c r="A7722" s="358"/>
      <c r="B7722" s="361"/>
      <c r="C7722" s="366"/>
      <c r="D7722" s="254" t="s">
        <v>415</v>
      </c>
      <c r="E7722" s="156" t="s">
        <v>28</v>
      </c>
      <c r="F7722" s="156" t="s">
        <v>28</v>
      </c>
      <c r="G7722" s="238">
        <f>MROUND(H7722*L7722*I7722/K7722,0.00000001)</f>
        <v>0</v>
      </c>
      <c r="H7722" s="158"/>
      <c r="I7722" s="159">
        <f t="shared" ref="I7722:I7731" si="2198">I7720</f>
        <v>2.1153999999999999E-2</v>
      </c>
      <c r="J7722" s="160"/>
      <c r="K7722" s="161">
        <f t="shared" ref="K7722:K7731" si="2199">K7720</f>
        <v>506</v>
      </c>
      <c r="L7722" s="250">
        <v>1</v>
      </c>
      <c r="M7722" s="163"/>
      <c r="N7722" s="164"/>
      <c r="O7722" s="165">
        <f t="shared" si="2197"/>
        <v>0</v>
      </c>
      <c r="P7722" s="166"/>
      <c r="Q7722" s="166">
        <f t="shared" si="2196"/>
        <v>0</v>
      </c>
      <c r="R7722" s="71"/>
    </row>
    <row r="7723" spans="1:18" s="61" customFormat="1" x14ac:dyDescent="0.25">
      <c r="A7723" s="358"/>
      <c r="B7723" s="361"/>
      <c r="C7723" s="366"/>
      <c r="D7723" s="254" t="s">
        <v>416</v>
      </c>
      <c r="E7723" s="156" t="s">
        <v>28</v>
      </c>
      <c r="F7723" s="156" t="s">
        <v>28</v>
      </c>
      <c r="G7723" s="238">
        <f>MROUND(H7723*L7723*I7723/K7723,0.000000001)</f>
        <v>0</v>
      </c>
      <c r="H7723" s="246"/>
      <c r="I7723" s="159">
        <f t="shared" si="2198"/>
        <v>2.1153999999999999E-2</v>
      </c>
      <c r="J7723" s="160"/>
      <c r="K7723" s="161">
        <f t="shared" si="2199"/>
        <v>506</v>
      </c>
      <c r="L7723" s="250">
        <v>1</v>
      </c>
      <c r="M7723" s="163"/>
      <c r="N7723" s="164"/>
      <c r="O7723" s="165">
        <f t="shared" si="2197"/>
        <v>0</v>
      </c>
      <c r="P7723" s="166"/>
      <c r="Q7723" s="166">
        <f t="shared" si="2196"/>
        <v>0</v>
      </c>
      <c r="R7723" s="71"/>
    </row>
    <row r="7724" spans="1:18" s="61" customFormat="1" x14ac:dyDescent="0.25">
      <c r="A7724" s="358"/>
      <c r="B7724" s="361"/>
      <c r="C7724" s="366"/>
      <c r="D7724" s="254" t="s">
        <v>417</v>
      </c>
      <c r="E7724" s="156" t="s">
        <v>28</v>
      </c>
      <c r="F7724" s="156" t="s">
        <v>28</v>
      </c>
      <c r="G7724" s="238">
        <f>MROUND(H7724*L7724*I7724/K7724,0.00000001)</f>
        <v>0</v>
      </c>
      <c r="H7724" s="158"/>
      <c r="I7724" s="159">
        <f t="shared" si="2198"/>
        <v>2.1153999999999999E-2</v>
      </c>
      <c r="J7724" s="160"/>
      <c r="K7724" s="161">
        <f t="shared" si="2199"/>
        <v>506</v>
      </c>
      <c r="L7724" s="250">
        <v>1</v>
      </c>
      <c r="M7724" s="163"/>
      <c r="N7724" s="164"/>
      <c r="O7724" s="165">
        <f t="shared" si="2197"/>
        <v>0</v>
      </c>
      <c r="P7724" s="166"/>
      <c r="Q7724" s="166">
        <f t="shared" si="2196"/>
        <v>0</v>
      </c>
      <c r="R7724" s="71"/>
    </row>
    <row r="7725" spans="1:18" s="61" customFormat="1" ht="30" x14ac:dyDescent="0.25">
      <c r="A7725" s="358"/>
      <c r="B7725" s="361"/>
      <c r="C7725" s="366"/>
      <c r="D7725" s="254" t="s">
        <v>418</v>
      </c>
      <c r="E7725" s="156" t="s">
        <v>28</v>
      </c>
      <c r="F7725" s="156" t="s">
        <v>28</v>
      </c>
      <c r="G7725" s="238">
        <f>MROUND(H7725*L7725*I7725/K7725,0.00000001)</f>
        <v>0</v>
      </c>
      <c r="H7725" s="158"/>
      <c r="I7725" s="159">
        <f t="shared" si="2198"/>
        <v>2.1153999999999999E-2</v>
      </c>
      <c r="J7725" s="160"/>
      <c r="K7725" s="161">
        <f t="shared" si="2199"/>
        <v>506</v>
      </c>
      <c r="L7725" s="250">
        <v>1</v>
      </c>
      <c r="M7725" s="163"/>
      <c r="N7725" s="164"/>
      <c r="O7725" s="165">
        <f t="shared" si="2197"/>
        <v>0</v>
      </c>
      <c r="P7725" s="166"/>
      <c r="Q7725" s="166">
        <f t="shared" si="2196"/>
        <v>0</v>
      </c>
      <c r="R7725" s="71"/>
    </row>
    <row r="7726" spans="1:18" s="61" customFormat="1" x14ac:dyDescent="0.25">
      <c r="A7726" s="358"/>
      <c r="B7726" s="361"/>
      <c r="C7726" s="366"/>
      <c r="D7726" s="254" t="s">
        <v>324</v>
      </c>
      <c r="E7726" s="156" t="s">
        <v>28</v>
      </c>
      <c r="F7726" s="156" t="s">
        <v>28</v>
      </c>
      <c r="G7726" s="238">
        <f>MROUND(H7726*L7726*I7726/K7726,0.000000001)</f>
        <v>0</v>
      </c>
      <c r="H7726" s="158"/>
      <c r="I7726" s="159">
        <f t="shared" si="2198"/>
        <v>2.1153999999999999E-2</v>
      </c>
      <c r="J7726" s="160"/>
      <c r="K7726" s="161">
        <f t="shared" si="2199"/>
        <v>506</v>
      </c>
      <c r="L7726" s="250">
        <v>1</v>
      </c>
      <c r="M7726" s="163"/>
      <c r="N7726" s="164"/>
      <c r="O7726" s="165">
        <f t="shared" si="2197"/>
        <v>0</v>
      </c>
      <c r="P7726" s="166"/>
      <c r="Q7726" s="166">
        <f t="shared" si="2196"/>
        <v>0</v>
      </c>
      <c r="R7726" s="71"/>
    </row>
    <row r="7727" spans="1:18" s="61" customFormat="1" x14ac:dyDescent="0.25">
      <c r="A7727" s="358"/>
      <c r="B7727" s="361"/>
      <c r="C7727" s="366"/>
      <c r="D7727" s="254" t="s">
        <v>419</v>
      </c>
      <c r="E7727" s="156" t="s">
        <v>28</v>
      </c>
      <c r="F7727" s="156" t="s">
        <v>28</v>
      </c>
      <c r="G7727" s="238">
        <f>MROUND(H7727*L7727*I7727/K7727,0.000000001)</f>
        <v>0</v>
      </c>
      <c r="H7727" s="246"/>
      <c r="I7727" s="159">
        <f t="shared" si="2198"/>
        <v>2.1153999999999999E-2</v>
      </c>
      <c r="J7727" s="160"/>
      <c r="K7727" s="161">
        <f t="shared" si="2199"/>
        <v>506</v>
      </c>
      <c r="L7727" s="250">
        <v>1</v>
      </c>
      <c r="M7727" s="163"/>
      <c r="N7727" s="164"/>
      <c r="O7727" s="165">
        <f t="shared" si="2197"/>
        <v>0</v>
      </c>
      <c r="P7727" s="166"/>
      <c r="Q7727" s="166">
        <f t="shared" si="2196"/>
        <v>0</v>
      </c>
      <c r="R7727" s="71"/>
    </row>
    <row r="7728" spans="1:18" s="61" customFormat="1" x14ac:dyDescent="0.25">
      <c r="A7728" s="358"/>
      <c r="B7728" s="361"/>
      <c r="C7728" s="366"/>
      <c r="D7728" s="254" t="s">
        <v>420</v>
      </c>
      <c r="E7728" s="156" t="s">
        <v>28</v>
      </c>
      <c r="F7728" s="156" t="s">
        <v>28</v>
      </c>
      <c r="G7728" s="238">
        <f>MROUND(H7728*L7728*I7728/K7728,0.000000001)</f>
        <v>0</v>
      </c>
      <c r="H7728" s="158"/>
      <c r="I7728" s="159">
        <f t="shared" si="2198"/>
        <v>2.1153999999999999E-2</v>
      </c>
      <c r="J7728" s="160"/>
      <c r="K7728" s="161">
        <f t="shared" si="2199"/>
        <v>506</v>
      </c>
      <c r="L7728" s="250">
        <v>1</v>
      </c>
      <c r="M7728" s="163"/>
      <c r="N7728" s="164"/>
      <c r="O7728" s="165">
        <f t="shared" si="2197"/>
        <v>0</v>
      </c>
      <c r="P7728" s="166"/>
      <c r="Q7728" s="166">
        <f t="shared" si="2196"/>
        <v>0</v>
      </c>
      <c r="R7728" s="71"/>
    </row>
    <row r="7729" spans="1:18" s="61" customFormat="1" x14ac:dyDescent="0.25">
      <c r="A7729" s="358"/>
      <c r="B7729" s="361"/>
      <c r="C7729" s="366"/>
      <c r="D7729" s="254" t="s">
        <v>421</v>
      </c>
      <c r="E7729" s="156" t="s">
        <v>28</v>
      </c>
      <c r="F7729" s="156" t="s">
        <v>28</v>
      </c>
      <c r="G7729" s="238">
        <f>MROUND(H7729*L7729*I7729/K7729,0.00000001)</f>
        <v>0</v>
      </c>
      <c r="H7729" s="158"/>
      <c r="I7729" s="159">
        <f t="shared" si="2198"/>
        <v>2.1153999999999999E-2</v>
      </c>
      <c r="J7729" s="160"/>
      <c r="K7729" s="161">
        <f t="shared" si="2199"/>
        <v>506</v>
      </c>
      <c r="L7729" s="250">
        <v>1</v>
      </c>
      <c r="M7729" s="163"/>
      <c r="N7729" s="164"/>
      <c r="O7729" s="165">
        <f t="shared" si="2197"/>
        <v>0</v>
      </c>
      <c r="P7729" s="166"/>
      <c r="Q7729" s="166">
        <f t="shared" si="2196"/>
        <v>0</v>
      </c>
      <c r="R7729" s="71"/>
    </row>
    <row r="7730" spans="1:18" s="61" customFormat="1" ht="30" x14ac:dyDescent="0.25">
      <c r="A7730" s="358"/>
      <c r="B7730" s="361"/>
      <c r="C7730" s="366"/>
      <c r="D7730" s="254" t="s">
        <v>422</v>
      </c>
      <c r="E7730" s="156" t="s">
        <v>28</v>
      </c>
      <c r="F7730" s="156" t="s">
        <v>28</v>
      </c>
      <c r="G7730" s="266">
        <f>MROUND(H7730*L7730*I7730/K7730,0.00000001)</f>
        <v>0</v>
      </c>
      <c r="H7730" s="158"/>
      <c r="I7730" s="159">
        <f t="shared" si="2198"/>
        <v>2.1153999999999999E-2</v>
      </c>
      <c r="J7730" s="160"/>
      <c r="K7730" s="161">
        <f t="shared" si="2199"/>
        <v>506</v>
      </c>
      <c r="L7730" s="250">
        <v>1</v>
      </c>
      <c r="M7730" s="163"/>
      <c r="N7730" s="164"/>
      <c r="O7730" s="165">
        <f t="shared" si="2197"/>
        <v>0</v>
      </c>
      <c r="P7730" s="166"/>
      <c r="Q7730" s="166">
        <f t="shared" si="2196"/>
        <v>0</v>
      </c>
      <c r="R7730" s="71"/>
    </row>
    <row r="7731" spans="1:18" s="61" customFormat="1" x14ac:dyDescent="0.25">
      <c r="A7731" s="358"/>
      <c r="B7731" s="361"/>
      <c r="C7731" s="366"/>
      <c r="D7731" s="254" t="s">
        <v>423</v>
      </c>
      <c r="E7731" s="156" t="s">
        <v>28</v>
      </c>
      <c r="F7731" s="156" t="s">
        <v>28</v>
      </c>
      <c r="G7731" s="238">
        <f>MROUND(H7731*L7731*I7731/K7731,0.000000001)</f>
        <v>0</v>
      </c>
      <c r="H7731" s="158"/>
      <c r="I7731" s="159">
        <f t="shared" si="2198"/>
        <v>2.1153999999999999E-2</v>
      </c>
      <c r="J7731" s="160"/>
      <c r="K7731" s="161">
        <f t="shared" si="2199"/>
        <v>506</v>
      </c>
      <c r="L7731" s="250">
        <v>1</v>
      </c>
      <c r="M7731" s="163"/>
      <c r="N7731" s="164"/>
      <c r="O7731" s="165">
        <f t="shared" si="2197"/>
        <v>0</v>
      </c>
      <c r="P7731" s="166"/>
      <c r="Q7731" s="166">
        <f t="shared" si="2196"/>
        <v>0</v>
      </c>
      <c r="R7731" s="71"/>
    </row>
    <row r="7732" spans="1:18" s="61" customFormat="1" x14ac:dyDescent="0.25">
      <c r="A7732" s="358"/>
      <c r="B7732" s="361"/>
      <c r="C7732" s="366"/>
      <c r="D7732" s="254" t="s">
        <v>424</v>
      </c>
      <c r="E7732" s="156" t="s">
        <v>28</v>
      </c>
      <c r="F7732" s="156" t="s">
        <v>28</v>
      </c>
      <c r="G7732" s="238">
        <f t="shared" ref="G7732:G7738" si="2200">MROUND(H7732*L7732*I7732/K7732,0.00000001)</f>
        <v>0</v>
      </c>
      <c r="H7732" s="158"/>
      <c r="I7732" s="159">
        <f>I7721</f>
        <v>2.1153999999999999E-2</v>
      </c>
      <c r="J7732" s="160"/>
      <c r="K7732" s="161">
        <f>K7721</f>
        <v>506</v>
      </c>
      <c r="L7732" s="250">
        <v>1</v>
      </c>
      <c r="M7732" s="163"/>
      <c r="N7732" s="164"/>
      <c r="O7732" s="165">
        <f t="shared" si="2197"/>
        <v>0</v>
      </c>
      <c r="P7732" s="166"/>
      <c r="Q7732" s="166">
        <f t="shared" si="2196"/>
        <v>0</v>
      </c>
      <c r="R7732" s="71"/>
    </row>
    <row r="7733" spans="1:18" s="61" customFormat="1" x14ac:dyDescent="0.25">
      <c r="A7733" s="358"/>
      <c r="B7733" s="361"/>
      <c r="C7733" s="366"/>
      <c r="D7733" s="254" t="s">
        <v>425</v>
      </c>
      <c r="E7733" s="156" t="s">
        <v>28</v>
      </c>
      <c r="F7733" s="156" t="s">
        <v>28</v>
      </c>
      <c r="G7733" s="277">
        <f t="shared" si="2200"/>
        <v>0</v>
      </c>
      <c r="H7733" s="158"/>
      <c r="I7733" s="159">
        <f t="shared" ref="I7733:I7738" si="2201">I7732</f>
        <v>2.1153999999999999E-2</v>
      </c>
      <c r="J7733" s="160"/>
      <c r="K7733" s="161">
        <f t="shared" ref="K7733:K7738" si="2202">K7732</f>
        <v>506</v>
      </c>
      <c r="L7733" s="250">
        <v>1</v>
      </c>
      <c r="M7733" s="163"/>
      <c r="N7733" s="164"/>
      <c r="O7733" s="165">
        <f t="shared" si="2197"/>
        <v>0</v>
      </c>
      <c r="P7733" s="166"/>
      <c r="Q7733" s="166">
        <f t="shared" si="2196"/>
        <v>0</v>
      </c>
      <c r="R7733" s="71"/>
    </row>
    <row r="7734" spans="1:18" s="61" customFormat="1" x14ac:dyDescent="0.25">
      <c r="A7734" s="358"/>
      <c r="B7734" s="361"/>
      <c r="C7734" s="366"/>
      <c r="D7734" s="254" t="s">
        <v>108</v>
      </c>
      <c r="E7734" s="156" t="s">
        <v>28</v>
      </c>
      <c r="F7734" s="156" t="s">
        <v>28</v>
      </c>
      <c r="G7734" s="238">
        <f t="shared" si="2200"/>
        <v>0</v>
      </c>
      <c r="H7734" s="158"/>
      <c r="I7734" s="159">
        <f t="shared" si="2201"/>
        <v>2.1153999999999999E-2</v>
      </c>
      <c r="J7734" s="160"/>
      <c r="K7734" s="161">
        <f t="shared" si="2202"/>
        <v>506</v>
      </c>
      <c r="L7734" s="250">
        <v>1</v>
      </c>
      <c r="M7734" s="163"/>
      <c r="N7734" s="164"/>
      <c r="O7734" s="165">
        <f t="shared" si="2197"/>
        <v>0</v>
      </c>
      <c r="P7734" s="166"/>
      <c r="Q7734" s="166">
        <f t="shared" si="2196"/>
        <v>0</v>
      </c>
      <c r="R7734" s="71"/>
    </row>
    <row r="7735" spans="1:18" s="61" customFormat="1" x14ac:dyDescent="0.25">
      <c r="A7735" s="358"/>
      <c r="B7735" s="361"/>
      <c r="C7735" s="366"/>
      <c r="D7735" s="254" t="s">
        <v>426</v>
      </c>
      <c r="E7735" s="156" t="s">
        <v>28</v>
      </c>
      <c r="F7735" s="156" t="s">
        <v>28</v>
      </c>
      <c r="G7735" s="238">
        <f t="shared" si="2200"/>
        <v>0</v>
      </c>
      <c r="H7735" s="158"/>
      <c r="I7735" s="159">
        <f t="shared" si="2201"/>
        <v>2.1153999999999999E-2</v>
      </c>
      <c r="J7735" s="160"/>
      <c r="K7735" s="161">
        <f t="shared" si="2202"/>
        <v>506</v>
      </c>
      <c r="L7735" s="250">
        <v>1</v>
      </c>
      <c r="M7735" s="163"/>
      <c r="N7735" s="164"/>
      <c r="O7735" s="165">
        <f t="shared" si="2197"/>
        <v>0</v>
      </c>
      <c r="P7735" s="166"/>
      <c r="Q7735" s="166">
        <f t="shared" si="2196"/>
        <v>0</v>
      </c>
      <c r="R7735" s="71"/>
    </row>
    <row r="7736" spans="1:18" s="61" customFormat="1" x14ac:dyDescent="0.25">
      <c r="A7736" s="358"/>
      <c r="B7736" s="361"/>
      <c r="C7736" s="366"/>
      <c r="D7736" s="254" t="s">
        <v>427</v>
      </c>
      <c r="E7736" s="156" t="s">
        <v>28</v>
      </c>
      <c r="F7736" s="156" t="s">
        <v>28</v>
      </c>
      <c r="G7736" s="238">
        <f t="shared" si="2200"/>
        <v>0</v>
      </c>
      <c r="H7736" s="158"/>
      <c r="I7736" s="159">
        <f t="shared" si="2201"/>
        <v>2.1153999999999999E-2</v>
      </c>
      <c r="J7736" s="160"/>
      <c r="K7736" s="161">
        <f t="shared" si="2202"/>
        <v>506</v>
      </c>
      <c r="L7736" s="250">
        <v>1</v>
      </c>
      <c r="M7736" s="163"/>
      <c r="N7736" s="164"/>
      <c r="O7736" s="165">
        <f t="shared" si="2197"/>
        <v>0</v>
      </c>
      <c r="P7736" s="166"/>
      <c r="Q7736" s="166">
        <f t="shared" si="2196"/>
        <v>0</v>
      </c>
      <c r="R7736" s="71"/>
    </row>
    <row r="7737" spans="1:18" s="61" customFormat="1" x14ac:dyDescent="0.25">
      <c r="A7737" s="358"/>
      <c r="B7737" s="361"/>
      <c r="C7737" s="366"/>
      <c r="D7737" s="254" t="s">
        <v>428</v>
      </c>
      <c r="E7737" s="156" t="s">
        <v>28</v>
      </c>
      <c r="F7737" s="156" t="s">
        <v>28</v>
      </c>
      <c r="G7737" s="238">
        <f t="shared" si="2200"/>
        <v>0</v>
      </c>
      <c r="H7737" s="158"/>
      <c r="I7737" s="159">
        <f t="shared" si="2201"/>
        <v>2.1153999999999999E-2</v>
      </c>
      <c r="J7737" s="160"/>
      <c r="K7737" s="161">
        <f t="shared" si="2202"/>
        <v>506</v>
      </c>
      <c r="L7737" s="250">
        <v>1</v>
      </c>
      <c r="M7737" s="163"/>
      <c r="N7737" s="164"/>
      <c r="O7737" s="165">
        <f t="shared" si="2197"/>
        <v>0</v>
      </c>
      <c r="P7737" s="166"/>
      <c r="Q7737" s="166">
        <f t="shared" si="2196"/>
        <v>0</v>
      </c>
      <c r="R7737" s="71"/>
    </row>
    <row r="7738" spans="1:18" s="61" customFormat="1" x14ac:dyDescent="0.25">
      <c r="A7738" s="358"/>
      <c r="B7738" s="361"/>
      <c r="C7738" s="366"/>
      <c r="D7738" s="255" t="s">
        <v>429</v>
      </c>
      <c r="E7738" s="156" t="s">
        <v>28</v>
      </c>
      <c r="F7738" s="156" t="s">
        <v>28</v>
      </c>
      <c r="G7738" s="238">
        <f t="shared" si="2200"/>
        <v>0</v>
      </c>
      <c r="H7738" s="158"/>
      <c r="I7738" s="159">
        <f t="shared" si="2201"/>
        <v>2.1153999999999999E-2</v>
      </c>
      <c r="J7738" s="160"/>
      <c r="K7738" s="161">
        <f t="shared" si="2202"/>
        <v>506</v>
      </c>
      <c r="L7738" s="250">
        <v>1</v>
      </c>
      <c r="M7738" s="163"/>
      <c r="N7738" s="164"/>
      <c r="O7738" s="165">
        <f t="shared" si="2197"/>
        <v>0</v>
      </c>
      <c r="P7738" s="166"/>
      <c r="Q7738" s="166">
        <f t="shared" si="2196"/>
        <v>0</v>
      </c>
      <c r="R7738" s="71"/>
    </row>
    <row r="7739" spans="1:18" s="62" customFormat="1" x14ac:dyDescent="0.25">
      <c r="A7739" s="358"/>
      <c r="B7739" s="361"/>
      <c r="C7739" s="249" t="s">
        <v>299</v>
      </c>
      <c r="D7739" s="256"/>
      <c r="E7739" s="240"/>
      <c r="F7739" s="240"/>
      <c r="G7739" s="227"/>
      <c r="H7739" s="241"/>
      <c r="I7739" s="206"/>
      <c r="J7739" s="228"/>
      <c r="K7739" s="207"/>
      <c r="L7739" s="257"/>
      <c r="M7739" s="209"/>
      <c r="N7739" s="210"/>
      <c r="O7739" s="198">
        <f>SUM(O7715:O7738)</f>
        <v>0</v>
      </c>
      <c r="P7739" s="267"/>
      <c r="Q7739" s="166"/>
      <c r="R7739" s="71"/>
    </row>
    <row r="7740" spans="1:18" s="61" customFormat="1" ht="110.25" x14ac:dyDescent="0.25">
      <c r="A7740" s="358"/>
      <c r="B7740" s="361"/>
      <c r="C7740" s="221" t="s">
        <v>82</v>
      </c>
      <c r="D7740" s="156" t="s">
        <v>46</v>
      </c>
      <c r="E7740" s="156" t="s">
        <v>54</v>
      </c>
      <c r="F7740" s="156" t="s">
        <v>285</v>
      </c>
      <c r="G7740" s="238">
        <f>MROUND(H7740*L7740*I7740/K7740,0.000001)</f>
        <v>0.47282999999999997</v>
      </c>
      <c r="H7740" s="242">
        <f>H6900</f>
        <v>1028.1818077549303</v>
      </c>
      <c r="I7740" s="159">
        <f>I7738</f>
        <v>2.1153999999999999E-2</v>
      </c>
      <c r="J7740" s="160"/>
      <c r="K7740" s="161">
        <f>K7738</f>
        <v>506</v>
      </c>
      <c r="L7740" s="225">
        <f>L7380</f>
        <v>11</v>
      </c>
      <c r="M7740" s="163" t="str">
        <f>CONCATENATE(H7740," ",F7740,"*",L7740,"автобуса","*",I7740,"/",K7740,"чел.")</f>
        <v>1028,18180775493 л бензина АИ 92 (12,5л/день(зимой)*20дней*7мес+10л/день(летом)*20дней*4мес)*11автобуса*0,021154/506чел.</v>
      </c>
      <c r="N7740" s="164">
        <f>N6900</f>
        <v>59.28728000000001</v>
      </c>
      <c r="O7740" s="165">
        <f>MROUND(G7740*N7740,0.000001)</f>
        <v>28.032805</v>
      </c>
      <c r="P7740" s="166"/>
      <c r="Q7740" s="166">
        <f t="shared" ref="Q7740" si="2203">O7740*K7740</f>
        <v>14184.599329999999</v>
      </c>
      <c r="R7740" s="71"/>
    </row>
    <row r="7741" spans="1:18" s="62" customFormat="1" x14ac:dyDescent="0.25">
      <c r="A7741" s="358"/>
      <c r="B7741" s="361"/>
      <c r="C7741" s="218" t="s">
        <v>300</v>
      </c>
      <c r="D7741" s="240"/>
      <c r="E7741" s="240"/>
      <c r="F7741" s="240"/>
      <c r="G7741" s="227"/>
      <c r="H7741" s="241"/>
      <c r="I7741" s="206"/>
      <c r="J7741" s="228"/>
      <c r="K7741" s="207"/>
      <c r="L7741" s="257"/>
      <c r="M7741" s="209"/>
      <c r="N7741" s="210"/>
      <c r="O7741" s="198">
        <f>SUM(O7740)</f>
        <v>28.032805</v>
      </c>
      <c r="P7741" s="267"/>
      <c r="Q7741" s="166"/>
      <c r="R7741" s="71"/>
    </row>
    <row r="7742" spans="1:18" s="61" customFormat="1" ht="47.25" x14ac:dyDescent="0.25">
      <c r="A7742" s="358"/>
      <c r="B7742" s="361"/>
      <c r="C7742" s="221" t="s">
        <v>434</v>
      </c>
      <c r="D7742" s="156" t="s">
        <v>436</v>
      </c>
      <c r="E7742" s="156" t="s">
        <v>28</v>
      </c>
      <c r="F7742" s="156" t="s">
        <v>437</v>
      </c>
      <c r="G7742" s="157">
        <f>MROUND(H7742*L7742*I7742/K7742,0.000001)</f>
        <v>1.2123999999999999E-2</v>
      </c>
      <c r="H7742" s="242">
        <f>$H$125</f>
        <v>290</v>
      </c>
      <c r="I7742" s="159">
        <f>I7740</f>
        <v>2.1153999999999999E-2</v>
      </c>
      <c r="J7742" s="160"/>
      <c r="K7742" s="161">
        <f>K7740</f>
        <v>506</v>
      </c>
      <c r="L7742" s="162">
        <v>1</v>
      </c>
      <c r="M7742" s="163" t="str">
        <f>CONCATENATE(H7742," ",F7742,"*",L7742,"автобуса","*",I7742,"/",K7742,"чел.")</f>
        <v>290 огнетушителей (потребность учреждений) *1автобуса*0,021154/506чел.</v>
      </c>
      <c r="N7742" s="164">
        <f>$N$125</f>
        <v>2000</v>
      </c>
      <c r="O7742" s="165">
        <f>MROUND(G7742*N7742,0.000001)</f>
        <v>24.247999999999998</v>
      </c>
      <c r="P7742" s="166"/>
      <c r="Q7742" s="166">
        <f t="shared" ref="Q7742" si="2204">O7742*K7742</f>
        <v>12269.487999999999</v>
      </c>
      <c r="R7742" s="71"/>
    </row>
    <row r="7743" spans="1:18" s="61" customFormat="1" x14ac:dyDescent="0.25">
      <c r="A7743" s="358"/>
      <c r="B7743" s="361"/>
      <c r="C7743" s="218" t="s">
        <v>435</v>
      </c>
      <c r="D7743" s="240"/>
      <c r="E7743" s="240"/>
      <c r="F7743" s="240"/>
      <c r="G7743" s="251"/>
      <c r="H7743" s="241"/>
      <c r="I7743" s="206"/>
      <c r="J7743" s="228"/>
      <c r="K7743" s="207"/>
      <c r="L7743" s="229"/>
      <c r="M7743" s="209"/>
      <c r="N7743" s="210"/>
      <c r="O7743" s="198">
        <f>SUM(O7742)</f>
        <v>24.247999999999998</v>
      </c>
      <c r="P7743" s="166"/>
      <c r="Q7743" s="166"/>
      <c r="R7743" s="71"/>
    </row>
    <row r="7744" spans="1:18" s="61" customFormat="1" ht="47.25" x14ac:dyDescent="0.25">
      <c r="A7744" s="358"/>
      <c r="B7744" s="361"/>
      <c r="C7744" s="364" t="s">
        <v>118</v>
      </c>
      <c r="D7744" s="156" t="s">
        <v>47</v>
      </c>
      <c r="E7744" s="156" t="s">
        <v>28</v>
      </c>
      <c r="F7744" s="156" t="s">
        <v>239</v>
      </c>
      <c r="G7744" s="238">
        <f>MROUND(H7744*L7744*I7744/K7744,0.00000001)</f>
        <v>5.8528900000000003E-3</v>
      </c>
      <c r="H7744" s="158">
        <f>H6904</f>
        <v>140</v>
      </c>
      <c r="I7744" s="159">
        <f>I7740</f>
        <v>2.1153999999999999E-2</v>
      </c>
      <c r="J7744" s="160"/>
      <c r="K7744" s="161">
        <f>K7740</f>
        <v>506</v>
      </c>
      <c r="L7744" s="250">
        <v>1</v>
      </c>
      <c r="M7744" s="163" t="str">
        <f>CONCATENATE(H7744," ",F7744,"*",I7744,"/",K7744,"чел.")</f>
        <v>140 манометров (потребность учреждений) *0,021154/506чел.</v>
      </c>
      <c r="N7744" s="164">
        <f>N6904</f>
        <v>770.73500000000035</v>
      </c>
      <c r="O7744" s="165">
        <f>MROUND(G7744*N7744,0.000001)</f>
        <v>4.5110269999999995</v>
      </c>
      <c r="P7744" s="166"/>
      <c r="Q7744" s="166">
        <f t="shared" ref="Q7744:Q7745" si="2205">O7744*K7744</f>
        <v>2282.5796619999996</v>
      </c>
      <c r="R7744" s="71"/>
    </row>
    <row r="7745" spans="1:18" s="61" customFormat="1" ht="47.25" x14ac:dyDescent="0.25">
      <c r="A7745" s="358"/>
      <c r="B7745" s="361"/>
      <c r="C7745" s="364"/>
      <c r="D7745" s="255" t="s">
        <v>113</v>
      </c>
      <c r="E7745" s="156" t="s">
        <v>28</v>
      </c>
      <c r="F7745" s="156" t="s">
        <v>240</v>
      </c>
      <c r="G7745" s="238">
        <f>MROUND(H7745*L7745*I7745/K7745,0.00000001)</f>
        <v>0.23892314000000001</v>
      </c>
      <c r="H7745" s="158">
        <f>H6905</f>
        <v>5715</v>
      </c>
      <c r="I7745" s="159">
        <f>I7744</f>
        <v>2.1153999999999999E-2</v>
      </c>
      <c r="J7745" s="160"/>
      <c r="K7745" s="161">
        <f>K7744</f>
        <v>506</v>
      </c>
      <c r="L7745" s="250">
        <v>1</v>
      </c>
      <c r="M7745" s="163" t="str">
        <f>CONCATENATE(H7745," ",F7745,"*",I7745,"/",K7745,"чел.")</f>
        <v>5715 светильников (потребность учреждений)*0,021154/506чел.</v>
      </c>
      <c r="N7745" s="164">
        <f>N6905</f>
        <v>115.61019597550306</v>
      </c>
      <c r="O7745" s="165">
        <f>MROUND(G7745*N7745,0.000001)</f>
        <v>27.621950999999999</v>
      </c>
      <c r="P7745" s="166"/>
      <c r="Q7745" s="166">
        <f t="shared" si="2205"/>
        <v>13976.707205999999</v>
      </c>
      <c r="R7745" s="71"/>
    </row>
    <row r="7746" spans="1:18" s="62" customFormat="1" x14ac:dyDescent="0.25">
      <c r="A7746" s="359"/>
      <c r="B7746" s="362"/>
      <c r="C7746" s="218" t="s">
        <v>301</v>
      </c>
      <c r="D7746" s="256"/>
      <c r="E7746" s="240"/>
      <c r="F7746" s="240"/>
      <c r="G7746" s="227"/>
      <c r="H7746" s="241"/>
      <c r="I7746" s="206"/>
      <c r="J7746" s="228"/>
      <c r="K7746" s="207"/>
      <c r="L7746" s="257"/>
      <c r="M7746" s="209"/>
      <c r="N7746" s="210"/>
      <c r="O7746" s="198">
        <f>SUM(O7744:O7745)</f>
        <v>32.132978000000001</v>
      </c>
      <c r="P7746" s="267"/>
      <c r="Q7746" s="166"/>
      <c r="R7746" s="71"/>
    </row>
    <row r="7747" spans="1:18" s="61" customFormat="1" x14ac:dyDescent="0.25">
      <c r="A7747" s="357" t="str">
        <f>CONCATENATE(школы!$B$14,", ",школы!$C$14,", ",школы!$D$14)</f>
        <v>Реализация основных общеобразовательных программ основного общего образования, , дети-инвалиды</v>
      </c>
      <c r="B7747" s="360" t="str">
        <f>школы!$A$14</f>
        <v>802111О.99.0.БА96АЭ08001</v>
      </c>
      <c r="C7747" s="194"/>
      <c r="D7747" s="363" t="s">
        <v>15</v>
      </c>
      <c r="E7747" s="363"/>
      <c r="F7747" s="363"/>
      <c r="G7747" s="363"/>
      <c r="H7747" s="195"/>
      <c r="I7747" s="195"/>
      <c r="J7747" s="195"/>
      <c r="K7747" s="195"/>
      <c r="L7747" s="196"/>
      <c r="M7747" s="197"/>
      <c r="N7747" s="164"/>
      <c r="O7747" s="198">
        <f>O7748+O7753+O7755</f>
        <v>9094.1822194570013</v>
      </c>
      <c r="P7747" s="166"/>
      <c r="Q7747" s="166"/>
      <c r="R7747" s="71"/>
    </row>
    <row r="7748" spans="1:18" s="61" customFormat="1" x14ac:dyDescent="0.25">
      <c r="A7748" s="358"/>
      <c r="B7748" s="361"/>
      <c r="C7748" s="194"/>
      <c r="D7748" s="350" t="s">
        <v>62</v>
      </c>
      <c r="E7748" s="350"/>
      <c r="F7748" s="350"/>
      <c r="G7748" s="350"/>
      <c r="H7748" s="195"/>
      <c r="I7748" s="195"/>
      <c r="J7748" s="195"/>
      <c r="K7748" s="195"/>
      <c r="L7748" s="196"/>
      <c r="M7748" s="197"/>
      <c r="N7748" s="164"/>
      <c r="O7748" s="165">
        <f>O7750+O7752</f>
        <v>9094.1822194570013</v>
      </c>
      <c r="P7748" s="166"/>
      <c r="Q7748" s="166"/>
      <c r="R7748" s="71"/>
    </row>
    <row r="7749" spans="1:18" s="61" customFormat="1" x14ac:dyDescent="0.25">
      <c r="A7749" s="358"/>
      <c r="B7749" s="361"/>
      <c r="C7749" s="194">
        <v>211</v>
      </c>
      <c r="D7749" s="194" t="s">
        <v>86</v>
      </c>
      <c r="E7749" s="199" t="s">
        <v>95</v>
      </c>
      <c r="F7749" s="199" t="s">
        <v>95</v>
      </c>
      <c r="G7749" s="275">
        <f>MROUND(H7749*L7749*I7749/K7749,0.0000000001)</f>
        <v>0.54214410000000002</v>
      </c>
      <c r="H7749" s="201">
        <f>H6909</f>
        <v>921.8</v>
      </c>
      <c r="I7749" s="159">
        <f>школы!$K$14</f>
        <v>4.313E-3</v>
      </c>
      <c r="J7749" s="159"/>
      <c r="K7749" s="161">
        <f>школы!$G$14</f>
        <v>88</v>
      </c>
      <c r="L7749" s="202">
        <v>12</v>
      </c>
      <c r="M7749" s="163" t="str">
        <f>CONCATENATE(H7749," ",F7749," ","в мес.","*",L7749,"мес.","*",I7749,"/",K7749,"чел.")</f>
        <v>921,8 шт.ед в мес.*12мес.*0,004313/88чел.</v>
      </c>
      <c r="N7749" s="164">
        <f>N6909</f>
        <v>12883.620739314385</v>
      </c>
      <c r="O7749" s="165">
        <f>MROUND(G7749*N7749,0.000000001)</f>
        <v>6984.7789704570005</v>
      </c>
      <c r="P7749" s="166"/>
      <c r="Q7749" s="166">
        <f t="shared" ref="Q7749" si="2206">O7749*K7749</f>
        <v>614660.54940021608</v>
      </c>
      <c r="R7749" s="71"/>
    </row>
    <row r="7750" spans="1:18" s="62" customFormat="1" x14ac:dyDescent="0.25">
      <c r="A7750" s="358"/>
      <c r="B7750" s="361"/>
      <c r="C7750" s="203" t="s">
        <v>288</v>
      </c>
      <c r="D7750" s="203"/>
      <c r="E7750" s="204"/>
      <c r="F7750" s="204"/>
      <c r="G7750" s="205"/>
      <c r="H7750" s="206"/>
      <c r="I7750" s="206"/>
      <c r="J7750" s="206"/>
      <c r="K7750" s="207"/>
      <c r="L7750" s="208"/>
      <c r="M7750" s="209"/>
      <c r="N7750" s="210">
        <f>N7749</f>
        <v>12883.620739314385</v>
      </c>
      <c r="O7750" s="198">
        <f>O7749</f>
        <v>6984.7789704570005</v>
      </c>
      <c r="P7750" s="267"/>
      <c r="Q7750" s="166"/>
      <c r="R7750" s="71"/>
    </row>
    <row r="7751" spans="1:18" s="61" customFormat="1" x14ac:dyDescent="0.25">
      <c r="A7751" s="358"/>
      <c r="B7751" s="361"/>
      <c r="C7751" s="194">
        <v>213</v>
      </c>
      <c r="D7751" s="194" t="s">
        <v>87</v>
      </c>
      <c r="E7751" s="194" t="s">
        <v>88</v>
      </c>
      <c r="F7751" s="194"/>
      <c r="G7751" s="211">
        <v>30.2</v>
      </c>
      <c r="H7751" s="159"/>
      <c r="I7751" s="159"/>
      <c r="J7751" s="159"/>
      <c r="K7751" s="161">
        <f>K7749</f>
        <v>88</v>
      </c>
      <c r="L7751" s="202"/>
      <c r="M7751" s="212"/>
      <c r="N7751" s="164"/>
      <c r="O7751" s="165">
        <f>MROUND(O7749*0.302,0.000001)</f>
        <v>2109.403249</v>
      </c>
      <c r="P7751" s="166"/>
      <c r="Q7751" s="166">
        <f>O7751*K7751</f>
        <v>185627.485912</v>
      </c>
      <c r="R7751" s="71"/>
    </row>
    <row r="7752" spans="1:18" s="62" customFormat="1" x14ac:dyDescent="0.25">
      <c r="A7752" s="358"/>
      <c r="B7752" s="361"/>
      <c r="C7752" s="203" t="s">
        <v>289</v>
      </c>
      <c r="D7752" s="203"/>
      <c r="E7752" s="203"/>
      <c r="F7752" s="203"/>
      <c r="G7752" s="213"/>
      <c r="H7752" s="214"/>
      <c r="I7752" s="206"/>
      <c r="J7752" s="214"/>
      <c r="K7752" s="207"/>
      <c r="L7752" s="215"/>
      <c r="M7752" s="216"/>
      <c r="N7752" s="210"/>
      <c r="O7752" s="198">
        <f>O7751</f>
        <v>2109.403249</v>
      </c>
      <c r="P7752" s="267"/>
      <c r="Q7752" s="166"/>
      <c r="R7752" s="71"/>
    </row>
    <row r="7753" spans="1:18" s="61" customFormat="1" x14ac:dyDescent="0.25">
      <c r="A7753" s="358"/>
      <c r="B7753" s="361"/>
      <c r="C7753" s="194"/>
      <c r="D7753" s="356" t="s">
        <v>63</v>
      </c>
      <c r="E7753" s="356"/>
      <c r="F7753" s="356"/>
      <c r="G7753" s="356"/>
      <c r="H7753" s="195"/>
      <c r="I7753" s="159"/>
      <c r="J7753" s="195"/>
      <c r="K7753" s="161"/>
      <c r="L7753" s="196"/>
      <c r="M7753" s="197"/>
      <c r="N7753" s="164"/>
      <c r="O7753" s="165"/>
      <c r="P7753" s="166"/>
      <c r="Q7753" s="166"/>
      <c r="R7753" s="71"/>
    </row>
    <row r="7754" spans="1:18" s="61" customFormat="1" x14ac:dyDescent="0.25">
      <c r="A7754" s="358"/>
      <c r="B7754" s="361"/>
      <c r="C7754" s="194"/>
      <c r="D7754" s="194"/>
      <c r="E7754" s="194"/>
      <c r="F7754" s="194"/>
      <c r="G7754" s="217"/>
      <c r="H7754" s="195"/>
      <c r="I7754" s="159"/>
      <c r="J7754" s="195"/>
      <c r="K7754" s="161"/>
      <c r="L7754" s="196"/>
      <c r="M7754" s="197"/>
      <c r="N7754" s="164"/>
      <c r="O7754" s="165"/>
      <c r="P7754" s="166"/>
      <c r="Q7754" s="166"/>
      <c r="R7754" s="71"/>
    </row>
    <row r="7755" spans="1:18" s="61" customFormat="1" x14ac:dyDescent="0.25">
      <c r="A7755" s="358"/>
      <c r="B7755" s="361"/>
      <c r="C7755" s="194"/>
      <c r="D7755" s="350" t="s">
        <v>64</v>
      </c>
      <c r="E7755" s="350"/>
      <c r="F7755" s="350"/>
      <c r="G7755" s="350"/>
      <c r="H7755" s="195"/>
      <c r="I7755" s="159"/>
      <c r="J7755" s="195"/>
      <c r="K7755" s="161"/>
      <c r="L7755" s="196"/>
      <c r="M7755" s="197"/>
      <c r="N7755" s="164"/>
      <c r="O7755" s="165"/>
      <c r="P7755" s="166"/>
      <c r="Q7755" s="166"/>
      <c r="R7755" s="71"/>
    </row>
    <row r="7756" spans="1:18" s="61" customFormat="1" x14ac:dyDescent="0.25">
      <c r="A7756" s="358"/>
      <c r="B7756" s="361"/>
      <c r="C7756" s="194"/>
      <c r="D7756" s="194"/>
      <c r="E7756" s="194"/>
      <c r="F7756" s="194"/>
      <c r="G7756" s="217"/>
      <c r="H7756" s="195"/>
      <c r="I7756" s="159"/>
      <c r="J7756" s="195"/>
      <c r="K7756" s="161"/>
      <c r="L7756" s="196"/>
      <c r="M7756" s="197"/>
      <c r="N7756" s="164"/>
      <c r="O7756" s="165"/>
      <c r="P7756" s="166"/>
      <c r="Q7756" s="166"/>
      <c r="R7756" s="71"/>
    </row>
    <row r="7757" spans="1:18" s="61" customFormat="1" x14ac:dyDescent="0.25">
      <c r="A7757" s="358"/>
      <c r="B7757" s="361"/>
      <c r="C7757" s="194"/>
      <c r="D7757" s="355" t="s">
        <v>5</v>
      </c>
      <c r="E7757" s="355"/>
      <c r="F7757" s="355"/>
      <c r="G7757" s="355"/>
      <c r="H7757" s="195"/>
      <c r="I7757" s="159"/>
      <c r="J7757" s="195"/>
      <c r="K7757" s="161"/>
      <c r="L7757" s="196"/>
      <c r="M7757" s="197"/>
      <c r="N7757" s="164"/>
      <c r="O7757" s="198">
        <f>O7758+O7768+O7779+O7781+O7783+O7785+O7787</f>
        <v>15261.638663318361</v>
      </c>
      <c r="P7757" s="166"/>
      <c r="Q7757" s="166"/>
      <c r="R7757" s="71"/>
    </row>
    <row r="7758" spans="1:18" s="61" customFormat="1" x14ac:dyDescent="0.25">
      <c r="A7758" s="358"/>
      <c r="B7758" s="361"/>
      <c r="C7758" s="221" t="s">
        <v>70</v>
      </c>
      <c r="D7758" s="355" t="s">
        <v>6</v>
      </c>
      <c r="E7758" s="355"/>
      <c r="F7758" s="355"/>
      <c r="G7758" s="355"/>
      <c r="H7758" s="189"/>
      <c r="I7758" s="159"/>
      <c r="J7758" s="189"/>
      <c r="K7758" s="161"/>
      <c r="L7758" s="190"/>
      <c r="M7758" s="197"/>
      <c r="N7758" s="210"/>
      <c r="O7758" s="198">
        <f>O7767</f>
        <v>9223.7607337900008</v>
      </c>
      <c r="P7758" s="166"/>
      <c r="Q7758" s="166"/>
      <c r="R7758" s="71"/>
    </row>
    <row r="7759" spans="1:18" s="61" customFormat="1" ht="31.5" x14ac:dyDescent="0.25">
      <c r="A7759" s="358"/>
      <c r="B7759" s="361"/>
      <c r="C7759" s="221" t="s">
        <v>72</v>
      </c>
      <c r="D7759" s="222" t="s">
        <v>7</v>
      </c>
      <c r="E7759" s="223" t="s">
        <v>8</v>
      </c>
      <c r="F7759" s="223" t="s">
        <v>8</v>
      </c>
      <c r="G7759" s="238">
        <f>MROUND(H7759*L7759*I7759/K7759,0.00000000001)</f>
        <v>162.38059900232</v>
      </c>
      <c r="H7759" s="160">
        <f>H7039</f>
        <v>3313121.4264326878</v>
      </c>
      <c r="I7759" s="159">
        <f>I7749</f>
        <v>4.313E-3</v>
      </c>
      <c r="J7759" s="160"/>
      <c r="K7759" s="161">
        <f>K7749</f>
        <v>88</v>
      </c>
      <c r="L7759" s="250">
        <v>1</v>
      </c>
      <c r="M7759" s="163" t="str">
        <f t="shared" ref="M7759:M7764" si="2207">CONCATENATE(H7759," ",F7759,"(лимиты выделенные УЖКХ) ","*",I7759,"/",K7759,"чел.")</f>
        <v>3313121,42643269 кВт час.(лимиты выделенные УЖКХ) *0,004313/88чел.</v>
      </c>
      <c r="N7759" s="164">
        <f>N7039</f>
        <v>11.333602475424668</v>
      </c>
      <c r="O7759" s="165">
        <f t="shared" ref="O7759:O7762" si="2208">MROUND(G7759*N7759,0.000001)</f>
        <v>1840.3571589999999</v>
      </c>
      <c r="P7759" s="166"/>
      <c r="Q7759" s="166">
        <f t="shared" ref="Q7759:Q7766" si="2209">O7759*K7759</f>
        <v>161951.42999199999</v>
      </c>
      <c r="R7759" s="71"/>
    </row>
    <row r="7760" spans="1:18" s="61" customFormat="1" ht="31.5" x14ac:dyDescent="0.25">
      <c r="A7760" s="358"/>
      <c r="B7760" s="361"/>
      <c r="C7760" s="221" t="s">
        <v>73</v>
      </c>
      <c r="D7760" s="222" t="s">
        <v>9</v>
      </c>
      <c r="E7760" s="223" t="s">
        <v>10</v>
      </c>
      <c r="F7760" s="223" t="s">
        <v>10</v>
      </c>
      <c r="G7760" s="238">
        <f>MROUND(H7760*L7760*I7760/K7760,0.00000000001)</f>
        <v>1.5633345803399998</v>
      </c>
      <c r="H7760" s="160">
        <f t="shared" ref="H7760:H7765" si="2210">H6800</f>
        <v>31897.39</v>
      </c>
      <c r="I7760" s="159">
        <f t="shared" ref="I7760:I7812" si="2211">I7759</f>
        <v>4.313E-3</v>
      </c>
      <c r="J7760" s="160"/>
      <c r="K7760" s="161">
        <f t="shared" ref="K7760:K7766" si="2212">K7759</f>
        <v>88</v>
      </c>
      <c r="L7760" s="250">
        <v>1</v>
      </c>
      <c r="M7760" s="163" t="str">
        <f t="shared" si="2207"/>
        <v>31897,39 Гкал(лимиты выделенные УЖКХ) *0,004313/88чел.</v>
      </c>
      <c r="N7760" s="164">
        <f t="shared" ref="N7760:N7765" si="2213">N6800</f>
        <v>3095.3018623153812</v>
      </c>
      <c r="O7760" s="165">
        <f t="shared" si="2208"/>
        <v>4838.9924380000002</v>
      </c>
      <c r="P7760" s="166"/>
      <c r="Q7760" s="166">
        <f t="shared" si="2209"/>
        <v>425831.33454400004</v>
      </c>
      <c r="R7760" s="71"/>
    </row>
    <row r="7761" spans="1:18" s="61" customFormat="1" ht="31.5" x14ac:dyDescent="0.25">
      <c r="A7761" s="358"/>
      <c r="B7761" s="361"/>
      <c r="C7761" s="364" t="s">
        <v>74</v>
      </c>
      <c r="D7761" s="222" t="s">
        <v>12</v>
      </c>
      <c r="E7761" s="222" t="s">
        <v>11</v>
      </c>
      <c r="F7761" s="222" t="s">
        <v>11</v>
      </c>
      <c r="G7761" s="238">
        <f>MROUND(H7761*L7761*I7761/K7761,0.00000000001)</f>
        <v>9.0536324796599992</v>
      </c>
      <c r="H7761" s="224">
        <f t="shared" si="2210"/>
        <v>184725.17</v>
      </c>
      <c r="I7761" s="159">
        <f t="shared" si="2211"/>
        <v>4.313E-3</v>
      </c>
      <c r="J7761" s="160"/>
      <c r="K7761" s="161">
        <f t="shared" si="2212"/>
        <v>88</v>
      </c>
      <c r="L7761" s="250">
        <v>1</v>
      </c>
      <c r="M7761" s="163" t="str">
        <f t="shared" si="2207"/>
        <v>184725,17 м3(лимиты выделенные УЖКХ) *0,004313/88чел.</v>
      </c>
      <c r="N7761" s="164">
        <f t="shared" si="2213"/>
        <v>56.382747245543193</v>
      </c>
      <c r="O7761" s="165">
        <f t="shared" si="2208"/>
        <v>510.46867199999997</v>
      </c>
      <c r="P7761" s="166"/>
      <c r="Q7761" s="166">
        <f t="shared" si="2209"/>
        <v>44921.243135999997</v>
      </c>
      <c r="R7761" s="71"/>
    </row>
    <row r="7762" spans="1:18" s="61" customFormat="1" ht="47.25" x14ac:dyDescent="0.25">
      <c r="A7762" s="358"/>
      <c r="B7762" s="361"/>
      <c r="C7762" s="364"/>
      <c r="D7762" s="222" t="s">
        <v>17</v>
      </c>
      <c r="E7762" s="222" t="s">
        <v>11</v>
      </c>
      <c r="F7762" s="222" t="s">
        <v>11</v>
      </c>
      <c r="G7762" s="238">
        <f>MROUND(H7762*L7762*I7762/K7762,0.00000000001)</f>
        <v>9.0536324796599992</v>
      </c>
      <c r="H7762" s="160">
        <f t="shared" si="2210"/>
        <v>184725.17</v>
      </c>
      <c r="I7762" s="159">
        <f t="shared" si="2211"/>
        <v>4.313E-3</v>
      </c>
      <c r="J7762" s="160"/>
      <c r="K7762" s="161">
        <f t="shared" si="2212"/>
        <v>88</v>
      </c>
      <c r="L7762" s="162">
        <f>$L$6802</f>
        <v>1</v>
      </c>
      <c r="M7762" s="163" t="str">
        <f t="shared" si="2207"/>
        <v>184725,17 м3(лимиты выделенные УЖКХ) *0,004313/88чел.</v>
      </c>
      <c r="N7762" s="164">
        <f t="shared" si="2213"/>
        <v>85.679537612054773</v>
      </c>
      <c r="O7762" s="165">
        <f t="shared" si="2208"/>
        <v>775.71104500000001</v>
      </c>
      <c r="P7762" s="166"/>
      <c r="Q7762" s="166">
        <f t="shared" si="2209"/>
        <v>68262.571960000001</v>
      </c>
      <c r="R7762" s="71"/>
    </row>
    <row r="7763" spans="1:18" s="61" customFormat="1" ht="31.5" x14ac:dyDescent="0.25">
      <c r="A7763" s="358"/>
      <c r="B7763" s="361"/>
      <c r="C7763" s="364"/>
      <c r="D7763" s="222" t="s">
        <v>13</v>
      </c>
      <c r="E7763" s="222" t="s">
        <v>11</v>
      </c>
      <c r="F7763" s="222" t="s">
        <v>11</v>
      </c>
      <c r="G7763" s="238">
        <f>MROUND(H7763*L7763*I7763/K7763,0.00000000001)</f>
        <v>9.0536324796599992</v>
      </c>
      <c r="H7763" s="160">
        <f t="shared" si="2210"/>
        <v>184725.17</v>
      </c>
      <c r="I7763" s="159">
        <f t="shared" si="2211"/>
        <v>4.313E-3</v>
      </c>
      <c r="J7763" s="160"/>
      <c r="K7763" s="161">
        <f t="shared" si="2212"/>
        <v>88</v>
      </c>
      <c r="L7763" s="162">
        <v>1</v>
      </c>
      <c r="M7763" s="163" t="str">
        <f t="shared" si="2207"/>
        <v>184725,17 м3(лимиты выделенные УЖКХ) *0,004313/88чел.</v>
      </c>
      <c r="N7763" s="164">
        <f t="shared" si="2213"/>
        <v>116.85554734686012</v>
      </c>
      <c r="O7763" s="165">
        <f>MROUND(G7763*N7763,0.00000001)</f>
        <v>1057.96717889</v>
      </c>
      <c r="P7763" s="166"/>
      <c r="Q7763" s="166">
        <f t="shared" si="2209"/>
        <v>93101.111742320005</v>
      </c>
      <c r="R7763" s="71"/>
    </row>
    <row r="7764" spans="1:18" s="61" customFormat="1" ht="31.5" x14ac:dyDescent="0.25">
      <c r="A7764" s="358"/>
      <c r="B7764" s="361"/>
      <c r="C7764" s="221" t="s">
        <v>75</v>
      </c>
      <c r="D7764" s="222" t="s">
        <v>18</v>
      </c>
      <c r="E7764" s="222" t="s">
        <v>48</v>
      </c>
      <c r="F7764" s="222" t="s">
        <v>48</v>
      </c>
      <c r="G7764" s="238">
        <f>MROUND(H7764*L7764*I7764/K7764,0.0000000001)</f>
        <v>0.6806502136</v>
      </c>
      <c r="H7764" s="160">
        <f t="shared" si="2210"/>
        <v>13887.6</v>
      </c>
      <c r="I7764" s="159">
        <f t="shared" si="2211"/>
        <v>4.313E-3</v>
      </c>
      <c r="J7764" s="160"/>
      <c r="K7764" s="161">
        <f t="shared" si="2212"/>
        <v>88</v>
      </c>
      <c r="L7764" s="250">
        <v>1</v>
      </c>
      <c r="M7764" s="163" t="str">
        <f t="shared" si="2207"/>
        <v>13887,6 тыс. м3(лимиты выделенные УЖКХ) *0,004313/88чел.</v>
      </c>
      <c r="N7764" s="164">
        <f t="shared" si="2213"/>
        <v>31.799284973645559</v>
      </c>
      <c r="O7764" s="165">
        <f t="shared" ref="O7764" si="2214">MROUND(G7764*N7764,0.000001)</f>
        <v>21.644189999999998</v>
      </c>
      <c r="P7764" s="166"/>
      <c r="Q7764" s="166">
        <f t="shared" si="2209"/>
        <v>1904.6887199999999</v>
      </c>
      <c r="R7764" s="71"/>
    </row>
    <row r="7765" spans="1:18" s="61" customFormat="1" x14ac:dyDescent="0.25">
      <c r="A7765" s="358"/>
      <c r="B7765" s="361"/>
      <c r="C7765" s="364" t="s">
        <v>216</v>
      </c>
      <c r="D7765" s="222" t="s">
        <v>23</v>
      </c>
      <c r="E7765" s="222" t="s">
        <v>11</v>
      </c>
      <c r="F7765" s="222" t="s">
        <v>11</v>
      </c>
      <c r="G7765" s="238">
        <f>MROUND(H7765*L7765*I7765/K7765,0.000000000001)</f>
        <v>0.16510163999999999</v>
      </c>
      <c r="H7765" s="160">
        <f t="shared" si="2210"/>
        <v>3368.6400000000003</v>
      </c>
      <c r="I7765" s="159">
        <f t="shared" si="2211"/>
        <v>4.313E-3</v>
      </c>
      <c r="J7765" s="160"/>
      <c r="K7765" s="161">
        <f t="shared" si="2212"/>
        <v>88</v>
      </c>
      <c r="L7765" s="162">
        <f>L7764</f>
        <v>1</v>
      </c>
      <c r="M7765" s="163" t="str">
        <f>CONCATENATE(H7765," ",F7765," ","*",I7765,"/",K7765,"чел.")</f>
        <v>3368,64 м3 *0,004313/88чел.</v>
      </c>
      <c r="N7765" s="164">
        <f t="shared" si="2213"/>
        <v>807.40973805452643</v>
      </c>
      <c r="O7765" s="165">
        <f>MROUND(G7765*N7765,0.00000001)</f>
        <v>133.30467190000002</v>
      </c>
      <c r="P7765" s="166"/>
      <c r="Q7765" s="166">
        <f t="shared" si="2209"/>
        <v>11730.811127200002</v>
      </c>
      <c r="R7765" s="71"/>
    </row>
    <row r="7766" spans="1:18" s="61" customFormat="1" ht="47.25" x14ac:dyDescent="0.25">
      <c r="A7766" s="358"/>
      <c r="B7766" s="361"/>
      <c r="C7766" s="364"/>
      <c r="D7766" s="222" t="s">
        <v>24</v>
      </c>
      <c r="E7766" s="222" t="s">
        <v>25</v>
      </c>
      <c r="F7766" s="222" t="s">
        <v>217</v>
      </c>
      <c r="G7766" s="238">
        <f>MROUND(H7766*L7766*I7766/K7766,0.000000000001)</f>
        <v>7.2046704550000002E-3</v>
      </c>
      <c r="H7766" s="160">
        <f>H7046</f>
        <v>147</v>
      </c>
      <c r="I7766" s="159">
        <f t="shared" si="2211"/>
        <v>4.313E-3</v>
      </c>
      <c r="J7766" s="160"/>
      <c r="K7766" s="161">
        <f t="shared" si="2212"/>
        <v>88</v>
      </c>
      <c r="L7766" s="250">
        <f>L7765</f>
        <v>1</v>
      </c>
      <c r="M7766" s="163" t="str">
        <f>CONCATENATE(H7766," ",F7766,"(потребность из расчета 4 контейнера для уборки территории весной и осенью на 1 учреждение)","*",I7766,"/",K7766,"чел.")</f>
        <v>147 контейнера(потребность из расчета 4 контейнера для уборки территории весной и осенью на 1 учреждение)*0,004313/88чел.</v>
      </c>
      <c r="N7766" s="164">
        <f>N7046</f>
        <v>6289.7226530612279</v>
      </c>
      <c r="O7766" s="165">
        <f t="shared" ref="O7766" si="2215">MROUND(G7766*N7766,0.000001)</f>
        <v>45.315379</v>
      </c>
      <c r="P7766" s="166"/>
      <c r="Q7766" s="166">
        <f t="shared" si="2209"/>
        <v>3987.7533520000002</v>
      </c>
      <c r="R7766" s="71"/>
    </row>
    <row r="7767" spans="1:18" s="62" customFormat="1" x14ac:dyDescent="0.25">
      <c r="A7767" s="358"/>
      <c r="B7767" s="361"/>
      <c r="C7767" s="218" t="s">
        <v>290</v>
      </c>
      <c r="D7767" s="226"/>
      <c r="E7767" s="226"/>
      <c r="F7767" s="226"/>
      <c r="G7767" s="227"/>
      <c r="H7767" s="228"/>
      <c r="I7767" s="206"/>
      <c r="J7767" s="228"/>
      <c r="K7767" s="207"/>
      <c r="L7767" s="257"/>
      <c r="M7767" s="209"/>
      <c r="N7767" s="210"/>
      <c r="O7767" s="198">
        <f>SUM(O7759:O7766)</f>
        <v>9223.7607337900008</v>
      </c>
      <c r="P7767" s="267"/>
      <c r="Q7767" s="166"/>
      <c r="R7767" s="71"/>
    </row>
    <row r="7768" spans="1:18" s="61" customFormat="1" x14ac:dyDescent="0.25">
      <c r="A7768" s="358"/>
      <c r="B7768" s="361"/>
      <c r="C7768" s="221"/>
      <c r="D7768" s="356" t="s">
        <v>14</v>
      </c>
      <c r="E7768" s="356"/>
      <c r="F7768" s="356"/>
      <c r="G7768" s="356"/>
      <c r="H7768" s="188"/>
      <c r="I7768" s="159"/>
      <c r="J7768" s="188"/>
      <c r="K7768" s="161"/>
      <c r="L7768" s="250"/>
      <c r="M7768" s="230"/>
      <c r="N7768" s="164"/>
      <c r="O7768" s="198">
        <f>O7776+O7777+O7772</f>
        <v>4901.6558853383594</v>
      </c>
      <c r="P7768" s="166"/>
      <c r="Q7768" s="166"/>
      <c r="R7768" s="71"/>
    </row>
    <row r="7769" spans="1:18" s="61" customFormat="1" x14ac:dyDescent="0.25">
      <c r="A7769" s="358"/>
      <c r="B7769" s="361"/>
      <c r="C7769" s="221" t="s">
        <v>379</v>
      </c>
      <c r="D7769" s="231" t="s">
        <v>49</v>
      </c>
      <c r="E7769" s="231" t="s">
        <v>22</v>
      </c>
      <c r="F7769" s="231" t="s">
        <v>22</v>
      </c>
      <c r="G7769" s="238">
        <f>MROUND(H7769*L7769*I7769/K7769,0.000000001)</f>
        <v>0</v>
      </c>
      <c r="H7769" s="160"/>
      <c r="I7769" s="159">
        <f>I7764</f>
        <v>4.313E-3</v>
      </c>
      <c r="J7769" s="160"/>
      <c r="K7769" s="161">
        <f>K7764</f>
        <v>88</v>
      </c>
      <c r="L7769" s="250"/>
      <c r="M7769" s="163"/>
      <c r="N7769" s="164"/>
      <c r="O7769" s="165">
        <f>MROUND(G7769*N7769,0.00000001)</f>
        <v>0</v>
      </c>
      <c r="P7769" s="166"/>
      <c r="Q7769" s="166">
        <f t="shared" ref="Q7769:Q7771" si="2216">O7769*K7769</f>
        <v>0</v>
      </c>
      <c r="R7769" s="71"/>
    </row>
    <row r="7770" spans="1:18" s="61" customFormat="1" x14ac:dyDescent="0.25">
      <c r="A7770" s="358"/>
      <c r="B7770" s="361"/>
      <c r="C7770" s="221" t="s">
        <v>379</v>
      </c>
      <c r="D7770" s="231" t="s">
        <v>49</v>
      </c>
      <c r="E7770" s="231" t="s">
        <v>28</v>
      </c>
      <c r="F7770" s="231" t="s">
        <v>28</v>
      </c>
      <c r="G7770" s="238">
        <f>MROUND(H7770*L7770*I7770/K7770,0.000000000000001)</f>
        <v>0</v>
      </c>
      <c r="H7770" s="160"/>
      <c r="I7770" s="159">
        <f t="shared" si="2211"/>
        <v>4.313E-3</v>
      </c>
      <c r="J7770" s="160"/>
      <c r="K7770" s="161">
        <f>K7769</f>
        <v>88</v>
      </c>
      <c r="L7770" s="250">
        <v>1</v>
      </c>
      <c r="M7770" s="163"/>
      <c r="N7770" s="164"/>
      <c r="O7770" s="165">
        <f>MROUND(G7770*N7770,0.00000001)</f>
        <v>0</v>
      </c>
      <c r="P7770" s="166"/>
      <c r="Q7770" s="166">
        <f t="shared" si="2216"/>
        <v>0</v>
      </c>
      <c r="R7770" s="71"/>
    </row>
    <row r="7771" spans="1:18" s="61" customFormat="1" x14ac:dyDescent="0.25">
      <c r="A7771" s="358"/>
      <c r="B7771" s="361"/>
      <c r="C7771" s="221" t="s">
        <v>379</v>
      </c>
      <c r="D7771" s="231" t="s">
        <v>49</v>
      </c>
      <c r="E7771" s="231" t="s">
        <v>101</v>
      </c>
      <c r="F7771" s="231" t="s">
        <v>101</v>
      </c>
      <c r="G7771" s="238">
        <f>MROUND(H7771*L7771*I7771/K7771,0.000000001)</f>
        <v>0</v>
      </c>
      <c r="H7771" s="160"/>
      <c r="I7771" s="159">
        <f t="shared" si="2211"/>
        <v>4.313E-3</v>
      </c>
      <c r="J7771" s="160"/>
      <c r="K7771" s="161">
        <f>K7770</f>
        <v>88</v>
      </c>
      <c r="L7771" s="250"/>
      <c r="M7771" s="163"/>
      <c r="N7771" s="164"/>
      <c r="O7771" s="165">
        <f>MROUND(G7771*N7771,0.00000001)</f>
        <v>0</v>
      </c>
      <c r="P7771" s="166"/>
      <c r="Q7771" s="166">
        <f t="shared" si="2216"/>
        <v>0</v>
      </c>
      <c r="R7771" s="71"/>
    </row>
    <row r="7772" spans="1:18" s="62" customFormat="1" x14ac:dyDescent="0.25">
      <c r="A7772" s="358"/>
      <c r="B7772" s="361"/>
      <c r="C7772" s="218" t="s">
        <v>380</v>
      </c>
      <c r="D7772" s="232"/>
      <c r="E7772" s="232"/>
      <c r="F7772" s="232"/>
      <c r="G7772" s="227"/>
      <c r="H7772" s="228"/>
      <c r="I7772" s="206"/>
      <c r="J7772" s="228"/>
      <c r="K7772" s="207"/>
      <c r="L7772" s="257"/>
      <c r="M7772" s="209"/>
      <c r="N7772" s="210"/>
      <c r="O7772" s="198">
        <f>SUM(O7769:O7771)</f>
        <v>0</v>
      </c>
      <c r="P7772" s="267"/>
      <c r="Q7772" s="166"/>
      <c r="R7772" s="71"/>
    </row>
    <row r="7773" spans="1:18" s="61" customFormat="1" x14ac:dyDescent="0.25">
      <c r="A7773" s="358"/>
      <c r="B7773" s="361"/>
      <c r="C7773" s="221" t="s">
        <v>76</v>
      </c>
      <c r="D7773" s="231" t="s">
        <v>49</v>
      </c>
      <c r="E7773" s="231" t="s">
        <v>22</v>
      </c>
      <c r="F7773" s="231" t="s">
        <v>22</v>
      </c>
      <c r="G7773" s="238">
        <f>MROUND(H7773*L7773*I7773/K7773,0.000000000000001)</f>
        <v>1.2571904886363641</v>
      </c>
      <c r="H7773" s="160">
        <f>H6933</f>
        <v>25651</v>
      </c>
      <c r="I7773" s="159">
        <f>I7769</f>
        <v>4.313E-3</v>
      </c>
      <c r="J7773" s="160"/>
      <c r="K7773" s="161">
        <f>K7771</f>
        <v>88</v>
      </c>
      <c r="L7773" s="250">
        <v>1</v>
      </c>
      <c r="M7773" s="163" t="str">
        <f>CONCATENATE(H7773," ",F7773,"*",I7773,"/",K7773,"чел.")</f>
        <v>25651 м2*0,004313/88чел.</v>
      </c>
      <c r="N7773" s="164">
        <f>N6933</f>
        <v>2452.3410393356985</v>
      </c>
      <c r="O7773" s="165">
        <f>MROUND(G7773*N7773,0.00000000001)</f>
        <v>3083.0598295454597</v>
      </c>
      <c r="P7773" s="166"/>
      <c r="Q7773" s="166">
        <f t="shared" ref="Q7773:Q7775" si="2217">O7773*K7773</f>
        <v>271309.26500000048</v>
      </c>
      <c r="R7773" s="71"/>
    </row>
    <row r="7774" spans="1:18" s="61" customFormat="1" x14ac:dyDescent="0.25">
      <c r="A7774" s="358"/>
      <c r="B7774" s="361"/>
      <c r="C7774" s="221"/>
      <c r="D7774" s="231" t="s">
        <v>49</v>
      </c>
      <c r="E7774" s="231" t="s">
        <v>28</v>
      </c>
      <c r="F7774" s="231" t="s">
        <v>28</v>
      </c>
      <c r="G7774" s="238">
        <f>MROUND(H7774*L7774*I7774/K7774,0.000000000001)</f>
        <v>9.1504215909E-2</v>
      </c>
      <c r="H7774" s="160">
        <f>H6934</f>
        <v>1867</v>
      </c>
      <c r="I7774" s="159">
        <f t="shared" si="2211"/>
        <v>4.313E-3</v>
      </c>
      <c r="J7774" s="160"/>
      <c r="K7774" s="161">
        <f>K7773</f>
        <v>88</v>
      </c>
      <c r="L7774" s="250">
        <v>1</v>
      </c>
      <c r="M7774" s="163" t="str">
        <f>CONCATENATE(H7774," ",F7774,"*",I7774,"/",K7774,"чел.")</f>
        <v>1867 шт*0,004313/88чел.</v>
      </c>
      <c r="N7774" s="164">
        <f>N6934</f>
        <v>18299.732190680235</v>
      </c>
      <c r="O7774" s="165">
        <f>MROUND(G7774*N7774,0.0000000001)</f>
        <v>1674.5026454529</v>
      </c>
      <c r="P7774" s="166"/>
      <c r="Q7774" s="166">
        <f t="shared" si="2217"/>
        <v>147356.23279985521</v>
      </c>
      <c r="R7774" s="71"/>
    </row>
    <row r="7775" spans="1:18" s="61" customFormat="1" x14ac:dyDescent="0.25">
      <c r="A7775" s="358"/>
      <c r="B7775" s="361"/>
      <c r="C7775" s="221"/>
      <c r="D7775" s="231" t="s">
        <v>49</v>
      </c>
      <c r="E7775" s="231" t="s">
        <v>101</v>
      </c>
      <c r="F7775" s="231" t="s">
        <v>101</v>
      </c>
      <c r="G7775" s="238">
        <f>MROUND(H7775*L7775*I7775/K7775,0.000000001)</f>
        <v>3.1367273000000001E-2</v>
      </c>
      <c r="H7775" s="160">
        <f>H6935</f>
        <v>640</v>
      </c>
      <c r="I7775" s="159">
        <f t="shared" si="2211"/>
        <v>4.313E-3</v>
      </c>
      <c r="J7775" s="160"/>
      <c r="K7775" s="161">
        <f>K7774</f>
        <v>88</v>
      </c>
      <c r="L7775" s="250">
        <v>1</v>
      </c>
      <c r="M7775" s="163" t="str">
        <f>CONCATENATE(H7775," ",F7775,"*",I7775,"/",K7775,"чел.")</f>
        <v>640 погон.м.*0,004313/88чел.</v>
      </c>
      <c r="N7775" s="164">
        <f>N6935</f>
        <v>4593.75</v>
      </c>
      <c r="O7775" s="165">
        <f>MROUND(G7775*N7775,0.00000001)</f>
        <v>144.09341033999999</v>
      </c>
      <c r="P7775" s="166"/>
      <c r="Q7775" s="166">
        <f t="shared" si="2217"/>
        <v>12680.220109919999</v>
      </c>
      <c r="R7775" s="71"/>
    </row>
    <row r="7776" spans="1:18" s="62" customFormat="1" x14ac:dyDescent="0.25">
      <c r="A7776" s="358"/>
      <c r="B7776" s="361"/>
      <c r="C7776" s="218" t="s">
        <v>291</v>
      </c>
      <c r="D7776" s="232"/>
      <c r="E7776" s="232"/>
      <c r="F7776" s="232"/>
      <c r="G7776" s="227"/>
      <c r="H7776" s="228"/>
      <c r="I7776" s="206"/>
      <c r="J7776" s="228"/>
      <c r="K7776" s="207"/>
      <c r="L7776" s="257"/>
      <c r="M7776" s="209"/>
      <c r="N7776" s="210"/>
      <c r="O7776" s="198">
        <f>SUM(O7773:O7775)</f>
        <v>4901.6558853383594</v>
      </c>
      <c r="P7776" s="267"/>
      <c r="Q7776" s="166"/>
      <c r="R7776" s="71"/>
    </row>
    <row r="7777" spans="1:41" s="61" customFormat="1" x14ac:dyDescent="0.25">
      <c r="A7777" s="358"/>
      <c r="B7777" s="361"/>
      <c r="C7777" s="221" t="s">
        <v>77</v>
      </c>
      <c r="D7777" s="231"/>
      <c r="E7777" s="231"/>
      <c r="F7777" s="231"/>
      <c r="G7777" s="238">
        <f>MROUND(H7777*L7777*I7777/K7777,0.00000000001)</f>
        <v>0</v>
      </c>
      <c r="H7777" s="160">
        <f>H7537</f>
        <v>0</v>
      </c>
      <c r="I7777" s="159">
        <f>I7775</f>
        <v>4.313E-3</v>
      </c>
      <c r="J7777" s="160"/>
      <c r="K7777" s="161">
        <f>K7775</f>
        <v>88</v>
      </c>
      <c r="L7777" s="250"/>
      <c r="M7777" s="163"/>
      <c r="N7777" s="164">
        <f>N7537</f>
        <v>0</v>
      </c>
      <c r="O7777" s="165">
        <f>MROUND(G7777*N7777,0.000000001)</f>
        <v>0</v>
      </c>
      <c r="P7777" s="166"/>
      <c r="Q7777" s="166">
        <f t="shared" ref="Q7777" si="2218">O7777*K7777</f>
        <v>0</v>
      </c>
      <c r="R7777" s="71"/>
    </row>
    <row r="7778" spans="1:41" s="62" customFormat="1" x14ac:dyDescent="0.25">
      <c r="A7778" s="358"/>
      <c r="B7778" s="361"/>
      <c r="C7778" s="218" t="s">
        <v>292</v>
      </c>
      <c r="D7778" s="232"/>
      <c r="E7778" s="232"/>
      <c r="F7778" s="232"/>
      <c r="G7778" s="227"/>
      <c r="H7778" s="228"/>
      <c r="I7778" s="206"/>
      <c r="J7778" s="228"/>
      <c r="K7778" s="207"/>
      <c r="L7778" s="257"/>
      <c r="M7778" s="209"/>
      <c r="N7778" s="210"/>
      <c r="O7778" s="198">
        <f>O7777</f>
        <v>0</v>
      </c>
      <c r="P7778" s="267"/>
      <c r="Q7778" s="166"/>
      <c r="R7778" s="71"/>
    </row>
    <row r="7779" spans="1:41" s="61" customFormat="1" x14ac:dyDescent="0.25">
      <c r="A7779" s="358"/>
      <c r="B7779" s="361"/>
      <c r="C7779" s="221"/>
      <c r="D7779" s="350" t="s">
        <v>65</v>
      </c>
      <c r="E7779" s="350"/>
      <c r="F7779" s="350"/>
      <c r="G7779" s="350"/>
      <c r="H7779" s="195"/>
      <c r="I7779" s="159"/>
      <c r="J7779" s="195"/>
      <c r="K7779" s="161"/>
      <c r="L7779" s="196"/>
      <c r="M7779" s="230"/>
      <c r="N7779" s="164"/>
      <c r="O7779" s="165">
        <f t="shared" ref="O7779:O7780" si="2219">MROUND(G7779*N7779,0.000001)</f>
        <v>0</v>
      </c>
      <c r="P7779" s="166"/>
      <c r="Q7779" s="166"/>
      <c r="R7779" s="71"/>
    </row>
    <row r="7780" spans="1:41" s="61" customFormat="1" x14ac:dyDescent="0.25">
      <c r="A7780" s="358"/>
      <c r="B7780" s="361"/>
      <c r="C7780" s="221"/>
      <c r="D7780" s="194"/>
      <c r="E7780" s="194"/>
      <c r="F7780" s="194"/>
      <c r="G7780" s="217"/>
      <c r="H7780" s="195"/>
      <c r="I7780" s="159"/>
      <c r="J7780" s="195"/>
      <c r="K7780" s="161"/>
      <c r="L7780" s="196"/>
      <c r="M7780" s="230"/>
      <c r="N7780" s="164"/>
      <c r="O7780" s="165">
        <f t="shared" si="2219"/>
        <v>0</v>
      </c>
      <c r="P7780" s="166"/>
      <c r="Q7780" s="166"/>
      <c r="R7780" s="71"/>
    </row>
    <row r="7781" spans="1:41" s="61" customFormat="1" x14ac:dyDescent="0.25">
      <c r="A7781" s="358"/>
      <c r="B7781" s="361"/>
      <c r="C7781" s="221" t="s">
        <v>357</v>
      </c>
      <c r="D7781" s="368" t="s">
        <v>66</v>
      </c>
      <c r="E7781" s="368"/>
      <c r="F7781" s="368"/>
      <c r="G7781" s="368"/>
      <c r="H7781" s="195"/>
      <c r="I7781" s="159"/>
      <c r="J7781" s="195"/>
      <c r="K7781" s="161"/>
      <c r="L7781" s="234"/>
      <c r="M7781" s="230"/>
      <c r="N7781" s="164"/>
      <c r="O7781" s="198">
        <f>O7782</f>
        <v>28.768692999999999</v>
      </c>
      <c r="P7781" s="166"/>
      <c r="Q7781" s="166"/>
      <c r="R7781" s="71"/>
    </row>
    <row r="7782" spans="1:41" s="61" customFormat="1" ht="47.25" x14ac:dyDescent="0.25">
      <c r="A7782" s="358"/>
      <c r="B7782" s="361"/>
      <c r="C7782" s="221"/>
      <c r="D7782" s="222" t="s">
        <v>374</v>
      </c>
      <c r="E7782" s="194" t="s">
        <v>28</v>
      </c>
      <c r="F7782" s="194" t="s">
        <v>28</v>
      </c>
      <c r="G7782" s="217">
        <f>MROUND(H7782*L7782*I7782/K7782,0.000000001)</f>
        <v>7.0576360000000008E-3</v>
      </c>
      <c r="H7782" s="201">
        <f>H7182</f>
        <v>36</v>
      </c>
      <c r="I7782" s="159">
        <f>I7777</f>
        <v>4.313E-3</v>
      </c>
      <c r="J7782" s="195"/>
      <c r="K7782" s="161">
        <f>K7777</f>
        <v>88</v>
      </c>
      <c r="L7782" s="235">
        <f>L7182</f>
        <v>4</v>
      </c>
      <c r="M7782" s="163" t="str">
        <f>CONCATENATE(H7782," ",F7782,"*",I7782,"/",K7782,"чел.")</f>
        <v>36 шт*0,004313/88чел.</v>
      </c>
      <c r="N7782" s="164">
        <f>N7182</f>
        <v>4076.2506250000024</v>
      </c>
      <c r="O7782" s="165">
        <f>MROUND(G7782*N7782,0.000001)</f>
        <v>28.768692999999999</v>
      </c>
      <c r="P7782" s="166"/>
      <c r="Q7782" s="166">
        <f t="shared" ref="Q7782" si="2220">O7782*K7782</f>
        <v>2531.644984</v>
      </c>
      <c r="R7782" s="71"/>
    </row>
    <row r="7783" spans="1:41" s="61" customFormat="1" x14ac:dyDescent="0.25">
      <c r="A7783" s="358"/>
      <c r="B7783" s="361"/>
      <c r="C7783" s="221"/>
      <c r="D7783" s="368" t="s">
        <v>67</v>
      </c>
      <c r="E7783" s="368"/>
      <c r="F7783" s="368"/>
      <c r="G7783" s="368"/>
      <c r="H7783" s="195"/>
      <c r="I7783" s="159"/>
      <c r="J7783" s="195"/>
      <c r="K7783" s="161"/>
      <c r="L7783" s="196"/>
      <c r="M7783" s="230"/>
      <c r="N7783" s="164"/>
      <c r="O7783" s="165">
        <f t="shared" ref="O7783:O7786" si="2221">MROUND(G7783*N7783,0.000001)</f>
        <v>0</v>
      </c>
      <c r="P7783" s="166"/>
      <c r="Q7783" s="166"/>
      <c r="R7783" s="71"/>
    </row>
    <row r="7784" spans="1:41" s="61" customFormat="1" x14ac:dyDescent="0.25">
      <c r="A7784" s="358"/>
      <c r="B7784" s="361"/>
      <c r="C7784" s="221"/>
      <c r="D7784" s="194"/>
      <c r="E7784" s="194"/>
      <c r="F7784" s="194"/>
      <c r="G7784" s="217"/>
      <c r="H7784" s="195"/>
      <c r="I7784" s="159"/>
      <c r="J7784" s="195"/>
      <c r="K7784" s="161"/>
      <c r="L7784" s="196"/>
      <c r="M7784" s="230"/>
      <c r="N7784" s="164"/>
      <c r="O7784" s="165">
        <f t="shared" si="2221"/>
        <v>0</v>
      </c>
      <c r="P7784" s="166"/>
      <c r="Q7784" s="166"/>
      <c r="R7784" s="71"/>
    </row>
    <row r="7785" spans="1:41" s="61" customFormat="1" x14ac:dyDescent="0.25">
      <c r="A7785" s="358"/>
      <c r="B7785" s="361"/>
      <c r="C7785" s="221"/>
      <c r="D7785" s="350" t="s">
        <v>68</v>
      </c>
      <c r="E7785" s="350"/>
      <c r="F7785" s="350"/>
      <c r="G7785" s="350"/>
      <c r="H7785" s="195"/>
      <c r="I7785" s="159"/>
      <c r="J7785" s="195"/>
      <c r="K7785" s="161"/>
      <c r="L7785" s="196"/>
      <c r="M7785" s="230"/>
      <c r="N7785" s="164"/>
      <c r="O7785" s="165">
        <f t="shared" si="2221"/>
        <v>0</v>
      </c>
      <c r="P7785" s="166"/>
      <c r="Q7785" s="166"/>
      <c r="R7785" s="71"/>
    </row>
    <row r="7786" spans="1:41" s="61" customFormat="1" x14ac:dyDescent="0.25">
      <c r="A7786" s="358"/>
      <c r="B7786" s="361"/>
      <c r="C7786" s="221"/>
      <c r="D7786" s="156"/>
      <c r="E7786" s="156"/>
      <c r="F7786" s="156"/>
      <c r="G7786" s="236"/>
      <c r="H7786" s="195"/>
      <c r="I7786" s="159"/>
      <c r="J7786" s="195"/>
      <c r="K7786" s="161"/>
      <c r="L7786" s="196"/>
      <c r="M7786" s="230"/>
      <c r="N7786" s="164"/>
      <c r="O7786" s="165">
        <f t="shared" si="2221"/>
        <v>0</v>
      </c>
      <c r="P7786" s="166"/>
      <c r="Q7786" s="166"/>
      <c r="R7786" s="71"/>
    </row>
    <row r="7787" spans="1:41" s="61" customFormat="1" x14ac:dyDescent="0.25">
      <c r="A7787" s="358"/>
      <c r="B7787" s="361"/>
      <c r="C7787" s="221"/>
      <c r="D7787" s="368" t="s">
        <v>69</v>
      </c>
      <c r="E7787" s="368"/>
      <c r="F7787" s="368"/>
      <c r="G7787" s="368"/>
      <c r="H7787" s="187"/>
      <c r="I7787" s="159"/>
      <c r="J7787" s="187"/>
      <c r="K7787" s="161"/>
      <c r="L7787" s="276"/>
      <c r="M7787" s="230"/>
      <c r="N7787" s="164"/>
      <c r="O7787" s="198">
        <f>O7789+O7796+O7813+O7815+O7830+O7832+O7834+O7859+O7861+O7866+O7863</f>
        <v>1107.4533511899999</v>
      </c>
      <c r="P7787" s="166"/>
      <c r="Q7787" s="166"/>
      <c r="R7787" s="71"/>
    </row>
    <row r="7788" spans="1:41" s="61" customFormat="1" x14ac:dyDescent="0.25">
      <c r="A7788" s="358"/>
      <c r="B7788" s="361"/>
      <c r="C7788" s="221">
        <v>224</v>
      </c>
      <c r="D7788" s="156" t="s">
        <v>21</v>
      </c>
      <c r="E7788" s="156" t="s">
        <v>22</v>
      </c>
      <c r="F7788" s="156" t="s">
        <v>22</v>
      </c>
      <c r="G7788" s="238">
        <f>MROUND(H7788*L7788*I7788/K7788,0.000001)</f>
        <v>0</v>
      </c>
      <c r="H7788" s="158"/>
      <c r="I7788" s="159">
        <f>I7782</f>
        <v>4.313E-3</v>
      </c>
      <c r="J7788" s="160"/>
      <c r="K7788" s="161">
        <f>K7782</f>
        <v>88</v>
      </c>
      <c r="L7788" s="250"/>
      <c r="M7788" s="163"/>
      <c r="N7788" s="164"/>
      <c r="O7788" s="165">
        <f>MROUND(G7788*N7788,0.000001)</f>
        <v>0</v>
      </c>
      <c r="P7788" s="166"/>
      <c r="Q7788" s="166">
        <f t="shared" ref="Q7788" si="2222">O7788*K7788</f>
        <v>0</v>
      </c>
      <c r="R7788" s="71"/>
    </row>
    <row r="7789" spans="1:41" s="62" customFormat="1" x14ac:dyDescent="0.25">
      <c r="A7789" s="358"/>
      <c r="B7789" s="361"/>
      <c r="C7789" s="218" t="s">
        <v>293</v>
      </c>
      <c r="D7789" s="240"/>
      <c r="E7789" s="240"/>
      <c r="F7789" s="240"/>
      <c r="G7789" s="227"/>
      <c r="H7789" s="241"/>
      <c r="I7789" s="206"/>
      <c r="J7789" s="228"/>
      <c r="K7789" s="207"/>
      <c r="L7789" s="257"/>
      <c r="M7789" s="209"/>
      <c r="N7789" s="210"/>
      <c r="O7789" s="198">
        <f>SUM(O7788)</f>
        <v>0</v>
      </c>
      <c r="P7789" s="267"/>
      <c r="Q7789" s="166"/>
      <c r="R7789" s="71"/>
    </row>
    <row r="7790" spans="1:41" s="61" customFormat="1" ht="31.5" x14ac:dyDescent="0.25">
      <c r="A7790" s="358"/>
      <c r="B7790" s="361"/>
      <c r="C7790" s="364" t="s">
        <v>78</v>
      </c>
      <c r="D7790" s="156" t="s">
        <v>26</v>
      </c>
      <c r="E7790" s="156" t="s">
        <v>22</v>
      </c>
      <c r="F7790" s="156" t="s">
        <v>22</v>
      </c>
      <c r="G7790" s="238">
        <f>MROUND(H7790*L7790*I7790/K7790,0.000001)</f>
        <v>15.197443999999999</v>
      </c>
      <c r="H7790" s="158">
        <f>H6830</f>
        <v>25840</v>
      </c>
      <c r="I7790" s="159">
        <f>I7788</f>
        <v>4.313E-3</v>
      </c>
      <c r="J7790" s="160"/>
      <c r="K7790" s="161">
        <f>K7788</f>
        <v>88</v>
      </c>
      <c r="L7790" s="250">
        <v>12</v>
      </c>
      <c r="M7790" s="163" t="str">
        <f>CONCATENATE(H7790," ",F7790,"(обрабатываемая площадь в мес.)","*",L7790,"мес.","*",I7790,"/",K7790,"чел.")</f>
        <v>25840 м2(обрабатываемая площадь в мес.)*12мес.*0,004313/88чел.</v>
      </c>
      <c r="N7790" s="164">
        <f>N6830</f>
        <v>1.2568903508771934</v>
      </c>
      <c r="O7790" s="165">
        <f t="shared" ref="O7790:O7795" si="2223">MROUND(G7790*N7790,0.000001)</f>
        <v>19.101520999999998</v>
      </c>
      <c r="P7790" s="166"/>
      <c r="Q7790" s="166">
        <f t="shared" ref="Q7790:Q7795" si="2224">O7790*K7790</f>
        <v>1680.9338479999999</v>
      </c>
      <c r="R7790" s="71"/>
    </row>
    <row r="7791" spans="1:41" s="61" customFormat="1" ht="31.5" x14ac:dyDescent="0.25">
      <c r="A7791" s="358"/>
      <c r="B7791" s="361"/>
      <c r="C7791" s="364"/>
      <c r="D7791" s="156" t="s">
        <v>96</v>
      </c>
      <c r="E7791" s="156" t="s">
        <v>22</v>
      </c>
      <c r="F7791" s="156" t="s">
        <v>22</v>
      </c>
      <c r="G7791" s="238">
        <f>MROUND(H7791*L7791*I7791/K7791,0.000001)</f>
        <v>7.8663239999999996</v>
      </c>
      <c r="H7791" s="158">
        <f>H6831</f>
        <v>13375</v>
      </c>
      <c r="I7791" s="159">
        <f t="shared" si="2211"/>
        <v>4.313E-3</v>
      </c>
      <c r="J7791" s="160"/>
      <c r="K7791" s="161">
        <f>K7790</f>
        <v>88</v>
      </c>
      <c r="L7791" s="250">
        <v>12</v>
      </c>
      <c r="M7791" s="163" t="str">
        <f>CONCATENATE(H7791," ",F7791,"(обрабатываемая площадь в мес.)","*",L7791,"мес.","*",I7791,"/",K7791,"чел.")</f>
        <v>13375 м2(обрабатываемая площадь в мес.)*12мес.*0,004313/88чел.</v>
      </c>
      <c r="N7791" s="164">
        <f>N6831</f>
        <v>2.0157672274143299</v>
      </c>
      <c r="O7791" s="165">
        <f t="shared" si="2223"/>
        <v>15.856677999999999</v>
      </c>
      <c r="P7791" s="166"/>
      <c r="Q7791" s="166">
        <f t="shared" si="2224"/>
        <v>1395.3876639999999</v>
      </c>
      <c r="R7791" s="71"/>
    </row>
    <row r="7792" spans="1:41" s="135" customFormat="1" ht="31.5" x14ac:dyDescent="0.25">
      <c r="A7792" s="358"/>
      <c r="B7792" s="361"/>
      <c r="C7792" s="364"/>
      <c r="D7792" s="156" t="s">
        <v>385</v>
      </c>
      <c r="E7792" s="156" t="s">
        <v>22</v>
      </c>
      <c r="F7792" s="156" t="s">
        <v>22</v>
      </c>
      <c r="G7792" s="238">
        <f>MROUND(H7792*L7792*I7792/K7792,0.000001)</f>
        <v>15.732647999999999</v>
      </c>
      <c r="H7792" s="242">
        <f>$H$55</f>
        <v>13375</v>
      </c>
      <c r="I7792" s="159">
        <f t="shared" si="2211"/>
        <v>4.313E-3</v>
      </c>
      <c r="J7792" s="160"/>
      <c r="K7792" s="161">
        <f>K7791</f>
        <v>88</v>
      </c>
      <c r="L7792" s="162">
        <v>24</v>
      </c>
      <c r="M7792" s="163" t="str">
        <f>CONCATENATE(H7792," ",F7792,"(обрабатываемая площадь в год)","*",L7792," раза в год.","*",I7792,"/",K7792,"чел.")</f>
        <v>13375 м2(обрабатываемая площадь в год)*24 раза в год.*0,004313/88чел.</v>
      </c>
      <c r="N7792" s="164">
        <f>$N$6832</f>
        <v>2.4900656074766365</v>
      </c>
      <c r="O7792" s="165">
        <f t="shared" si="2223"/>
        <v>39.175325999999998</v>
      </c>
      <c r="P7792" s="166"/>
      <c r="Q7792" s="166">
        <f t="shared" si="2224"/>
        <v>3447.428688</v>
      </c>
      <c r="R7792" s="71"/>
      <c r="S7792" s="61"/>
      <c r="T7792" s="61"/>
      <c r="U7792" s="61"/>
      <c r="V7792" s="61"/>
      <c r="W7792" s="61"/>
      <c r="X7792" s="61"/>
      <c r="Y7792" s="61"/>
      <c r="Z7792" s="61"/>
      <c r="AA7792" s="61"/>
      <c r="AB7792" s="61"/>
      <c r="AC7792" s="61"/>
      <c r="AD7792" s="61"/>
      <c r="AE7792" s="61"/>
      <c r="AF7792" s="61"/>
      <c r="AG7792" s="61"/>
      <c r="AH7792" s="61"/>
      <c r="AI7792" s="61"/>
      <c r="AJ7792" s="61"/>
      <c r="AK7792" s="61"/>
      <c r="AL7792" s="61"/>
      <c r="AM7792" s="61"/>
      <c r="AN7792" s="61"/>
      <c r="AO7792" s="61"/>
    </row>
    <row r="7793" spans="1:41" s="135" customFormat="1" ht="31.5" x14ac:dyDescent="0.25">
      <c r="A7793" s="358"/>
      <c r="B7793" s="361"/>
      <c r="C7793" s="364"/>
      <c r="D7793" s="156" t="s">
        <v>394</v>
      </c>
      <c r="E7793" s="156" t="s">
        <v>22</v>
      </c>
      <c r="F7793" s="156" t="s">
        <v>22</v>
      </c>
      <c r="G7793" s="238">
        <f>MROUND(H7793*L7793*I7793/K7793,0.000001)</f>
        <v>15.197443999999999</v>
      </c>
      <c r="H7793" s="243">
        <f>$H$56</f>
        <v>25840</v>
      </c>
      <c r="I7793" s="159">
        <f t="shared" si="2211"/>
        <v>4.313E-3</v>
      </c>
      <c r="J7793" s="160"/>
      <c r="K7793" s="161">
        <f>K7792</f>
        <v>88</v>
      </c>
      <c r="L7793" s="162">
        <v>12</v>
      </c>
      <c r="M7793" s="163" t="str">
        <f>CONCATENATE(H7793," ",F7793,"(обрабатываемая площадь в мес.)","*",L7793,"мес.","*",I7793,"/",K7793,"чел.")</f>
        <v>25840 м2(обрабатываемая площадь в мес.)*12мес.*0,004313/88чел.</v>
      </c>
      <c r="N7793" s="164">
        <f>$N$6833</f>
        <v>0.59287277476780176</v>
      </c>
      <c r="O7793" s="165">
        <f t="shared" si="2223"/>
        <v>9.0101510000000005</v>
      </c>
      <c r="P7793" s="166"/>
      <c r="Q7793" s="166">
        <f t="shared" si="2224"/>
        <v>792.89328799999998</v>
      </c>
      <c r="R7793" s="71"/>
      <c r="S7793" s="61"/>
      <c r="T7793" s="61"/>
      <c r="U7793" s="61"/>
      <c r="V7793" s="61"/>
      <c r="W7793" s="61"/>
      <c r="X7793" s="61"/>
      <c r="Y7793" s="61"/>
      <c r="Z7793" s="61"/>
      <c r="AA7793" s="61"/>
      <c r="AB7793" s="61"/>
      <c r="AC7793" s="61"/>
      <c r="AD7793" s="61"/>
      <c r="AE7793" s="61"/>
      <c r="AF7793" s="61"/>
      <c r="AG7793" s="61"/>
      <c r="AH7793" s="61"/>
      <c r="AI7793" s="61"/>
      <c r="AJ7793" s="61"/>
      <c r="AK7793" s="61"/>
      <c r="AL7793" s="61"/>
      <c r="AM7793" s="61"/>
      <c r="AN7793" s="61"/>
      <c r="AO7793" s="61"/>
    </row>
    <row r="7794" spans="1:41" s="135" customFormat="1" ht="31.5" x14ac:dyDescent="0.25">
      <c r="A7794" s="358"/>
      <c r="B7794" s="361"/>
      <c r="C7794" s="364"/>
      <c r="D7794" s="156" t="s">
        <v>395</v>
      </c>
      <c r="E7794" s="156" t="s">
        <v>98</v>
      </c>
      <c r="F7794" s="156" t="s">
        <v>98</v>
      </c>
      <c r="G7794" s="238">
        <f>MROUND(H7794*L7794*I7794/K7794,0.0000000001)</f>
        <v>9.2827520000000007E-4</v>
      </c>
      <c r="H7794" s="242">
        <f>$H$57</f>
        <v>18.939999999999998</v>
      </c>
      <c r="I7794" s="159">
        <f t="shared" si="2211"/>
        <v>4.313E-3</v>
      </c>
      <c r="J7794" s="160"/>
      <c r="K7794" s="161">
        <f>K7793</f>
        <v>88</v>
      </c>
      <c r="L7794" s="162">
        <v>1</v>
      </c>
      <c r="M7794" s="163" t="str">
        <f>CONCATENATE(H7794," ",F7794,"(обрабатываемая площадь в год)","*",L7794," раз в год","*",I7794,"/",K7794,"чел.")</f>
        <v>18,94 Га(обрабатываемая площадь в год)*1 раз в год*0,004313/88чел.</v>
      </c>
      <c r="N7794" s="164">
        <f>$N$6834</f>
        <v>592.87803590285125</v>
      </c>
      <c r="O7794" s="165">
        <f t="shared" si="2223"/>
        <v>0.55035400000000001</v>
      </c>
      <c r="P7794" s="166"/>
      <c r="Q7794" s="166">
        <f t="shared" si="2224"/>
        <v>48.431151999999997</v>
      </c>
      <c r="R7794" s="71"/>
      <c r="S7794" s="61"/>
      <c r="T7794" s="61"/>
      <c r="U7794" s="61"/>
      <c r="V7794" s="61"/>
      <c r="W7794" s="61"/>
      <c r="X7794" s="61"/>
      <c r="Y7794" s="61"/>
      <c r="Z7794" s="61"/>
      <c r="AA7794" s="61"/>
      <c r="AB7794" s="61"/>
      <c r="AC7794" s="61"/>
      <c r="AD7794" s="61"/>
      <c r="AE7794" s="61"/>
      <c r="AF7794" s="61"/>
      <c r="AG7794" s="61"/>
      <c r="AH7794" s="61"/>
      <c r="AI7794" s="61"/>
      <c r="AJ7794" s="61"/>
      <c r="AK7794" s="61"/>
      <c r="AL7794" s="61"/>
      <c r="AM7794" s="61"/>
      <c r="AN7794" s="61"/>
      <c r="AO7794" s="61"/>
    </row>
    <row r="7795" spans="1:41" s="61" customFormat="1" ht="31.5" x14ac:dyDescent="0.25">
      <c r="A7795" s="358"/>
      <c r="B7795" s="361"/>
      <c r="C7795" s="364"/>
      <c r="D7795" s="156" t="s">
        <v>97</v>
      </c>
      <c r="E7795" s="156" t="s">
        <v>98</v>
      </c>
      <c r="F7795" s="156" t="s">
        <v>98</v>
      </c>
      <c r="G7795" s="238">
        <f>MROUND(H7795*L7795*I7795/K7795,0.000000001)</f>
        <v>9.2827500000000011E-4</v>
      </c>
      <c r="H7795" s="242">
        <f>H6835</f>
        <v>18.939999999999998</v>
      </c>
      <c r="I7795" s="244">
        <f>I7791</f>
        <v>4.313E-3</v>
      </c>
      <c r="J7795" s="160"/>
      <c r="K7795" s="161">
        <f>K7791</f>
        <v>88</v>
      </c>
      <c r="L7795" s="250">
        <v>1</v>
      </c>
      <c r="M7795" s="163" t="str">
        <f>CONCATENATE(H7795," ",F7795,"(обрабатываемая площадь в мес.)","*",L7795,"мес.","*",I7795,"/",K7795,"чел.")</f>
        <v>18,94 Га(обрабатываемая площадь в мес.)*1мес.*0,004313/88чел.</v>
      </c>
      <c r="N7795" s="164">
        <f>N6835</f>
        <v>3226.5021119324188</v>
      </c>
      <c r="O7795" s="165">
        <f t="shared" si="2223"/>
        <v>2.9950809999999999</v>
      </c>
      <c r="P7795" s="166"/>
      <c r="Q7795" s="166">
        <f t="shared" si="2224"/>
        <v>263.56712799999997</v>
      </c>
      <c r="R7795" s="71"/>
    </row>
    <row r="7796" spans="1:41" s="62" customFormat="1" x14ac:dyDescent="0.25">
      <c r="A7796" s="358"/>
      <c r="B7796" s="361"/>
      <c r="C7796" s="245" t="s">
        <v>294</v>
      </c>
      <c r="D7796" s="240"/>
      <c r="E7796" s="240"/>
      <c r="F7796" s="240"/>
      <c r="G7796" s="227"/>
      <c r="H7796" s="241"/>
      <c r="I7796" s="206"/>
      <c r="J7796" s="228"/>
      <c r="K7796" s="207"/>
      <c r="L7796" s="257"/>
      <c r="M7796" s="209"/>
      <c r="N7796" s="210"/>
      <c r="O7796" s="198">
        <f>SUM(O7790:O7795)</f>
        <v>86.689110999999997</v>
      </c>
      <c r="P7796" s="267"/>
      <c r="Q7796" s="166"/>
      <c r="R7796" s="71"/>
    </row>
    <row r="7797" spans="1:41" s="61" customFormat="1" ht="63" x14ac:dyDescent="0.25">
      <c r="A7797" s="358"/>
      <c r="B7797" s="361"/>
      <c r="C7797" s="365" t="s">
        <v>77</v>
      </c>
      <c r="D7797" s="156" t="s">
        <v>29</v>
      </c>
      <c r="E7797" s="156" t="s">
        <v>58</v>
      </c>
      <c r="F7797" s="156" t="s">
        <v>218</v>
      </c>
      <c r="G7797" s="238">
        <f>MROUND(H7797*L7797*I7797/K7797,0.00000001)</f>
        <v>2.9406800000000002E-3</v>
      </c>
      <c r="H7797" s="158">
        <v>15</v>
      </c>
      <c r="I7797" s="159">
        <f>I7795</f>
        <v>4.313E-3</v>
      </c>
      <c r="J7797" s="160"/>
      <c r="K7797" s="161">
        <f>K7795</f>
        <v>88</v>
      </c>
      <c r="L7797" s="162">
        <v>4</v>
      </c>
      <c r="M7797" s="163" t="str">
        <f>CONCATENATE(H7797," ",F7797,"*",L7797," раза в год","*",I7797,"/",K7797,"чел.")</f>
        <v>15 установок*4 раза в год*0,004313/88чел.</v>
      </c>
      <c r="N7797" s="164">
        <f>N6837</f>
        <v>2355.4600000000005</v>
      </c>
      <c r="O7797" s="165">
        <f t="shared" ref="O7797:O7805" si="2225">MROUND(G7797*N7797,0.000001)</f>
        <v>6.9266540000000001</v>
      </c>
      <c r="P7797" s="166"/>
      <c r="Q7797" s="166">
        <f t="shared" ref="Q7797:Q7812" si="2226">O7797*K7797</f>
        <v>609.54555200000004</v>
      </c>
      <c r="R7797" s="71"/>
    </row>
    <row r="7798" spans="1:41" s="61" customFormat="1" ht="47.25" x14ac:dyDescent="0.25">
      <c r="A7798" s="358"/>
      <c r="B7798" s="361"/>
      <c r="C7798" s="366"/>
      <c r="D7798" s="156" t="s">
        <v>30</v>
      </c>
      <c r="E7798" s="156" t="s">
        <v>58</v>
      </c>
      <c r="F7798" s="156" t="s">
        <v>218</v>
      </c>
      <c r="G7798" s="238">
        <f>MROUND(H7798*L7798*I7798/K7798,0.00000001)</f>
        <v>1.4703400000000001E-3</v>
      </c>
      <c r="H7798" s="158">
        <v>15</v>
      </c>
      <c r="I7798" s="159">
        <f t="shared" si="2211"/>
        <v>4.313E-3</v>
      </c>
      <c r="J7798" s="160"/>
      <c r="K7798" s="161">
        <f t="shared" ref="K7798:K7806" si="2227">K7797</f>
        <v>88</v>
      </c>
      <c r="L7798" s="250">
        <v>2</v>
      </c>
      <c r="M7798" s="163" t="str">
        <f>CONCATENATE(H7798," ",F7798,"*",L7798,"полуг.","*",I7798,"/",K7798,"чел.")</f>
        <v>15 установок*2полуг.*0,004313/88чел.</v>
      </c>
      <c r="N7798" s="164">
        <f>N7078</f>
        <v>4710.920000000001</v>
      </c>
      <c r="O7798" s="165">
        <f t="shared" si="2225"/>
        <v>6.9266540000000001</v>
      </c>
      <c r="P7798" s="166"/>
      <c r="Q7798" s="166">
        <f t="shared" si="2226"/>
        <v>609.54555200000004</v>
      </c>
      <c r="R7798" s="71"/>
    </row>
    <row r="7799" spans="1:41" s="61" customFormat="1" x14ac:dyDescent="0.25">
      <c r="A7799" s="358"/>
      <c r="B7799" s="361"/>
      <c r="C7799" s="366"/>
      <c r="D7799" s="156" t="s">
        <v>397</v>
      </c>
      <c r="E7799" s="156" t="s">
        <v>433</v>
      </c>
      <c r="F7799" s="156" t="s">
        <v>433</v>
      </c>
      <c r="G7799" s="238">
        <f>MROUND(H7799*L7799*I7799/K7799,0.000001)</f>
        <v>0</v>
      </c>
      <c r="H7799" s="158">
        <f>H6839</f>
        <v>0</v>
      </c>
      <c r="I7799" s="159">
        <f t="shared" si="2211"/>
        <v>4.313E-3</v>
      </c>
      <c r="J7799" s="160"/>
      <c r="K7799" s="161">
        <f t="shared" si="2227"/>
        <v>88</v>
      </c>
      <c r="L7799" s="162">
        <v>1</v>
      </c>
      <c r="M7799" s="163"/>
      <c r="N7799" s="164">
        <f>N6839</f>
        <v>0</v>
      </c>
      <c r="O7799" s="165">
        <f t="shared" si="2225"/>
        <v>0</v>
      </c>
      <c r="P7799" s="166"/>
      <c r="Q7799" s="166">
        <f t="shared" si="2226"/>
        <v>0</v>
      </c>
      <c r="R7799" s="71"/>
    </row>
    <row r="7800" spans="1:41" s="61" customFormat="1" ht="47.25" x14ac:dyDescent="0.25">
      <c r="A7800" s="358"/>
      <c r="B7800" s="361"/>
      <c r="C7800" s="366"/>
      <c r="D7800" s="156" t="s">
        <v>32</v>
      </c>
      <c r="E7800" s="156" t="s">
        <v>55</v>
      </c>
      <c r="F7800" s="156" t="s">
        <v>219</v>
      </c>
      <c r="G7800" s="238">
        <f>MROUND(H7800*L7800*I7800/K7800,0.000000001)</f>
        <v>7.0576360000000008E-3</v>
      </c>
      <c r="H7800" s="158">
        <f>H7080</f>
        <v>36</v>
      </c>
      <c r="I7800" s="159">
        <f>I7799</f>
        <v>4.313E-3</v>
      </c>
      <c r="J7800" s="160"/>
      <c r="K7800" s="161">
        <f t="shared" si="2227"/>
        <v>88</v>
      </c>
      <c r="L7800" s="250">
        <v>4</v>
      </c>
      <c r="M7800" s="163" t="str">
        <f>CONCATENATE(H7800," ",F7800,"*",L7800,"кв.","*",I7800,"/",K7800,"чел.")</f>
        <v>36 системы*4кв.*0,004313/88чел.</v>
      </c>
      <c r="N7800" s="164">
        <f>N7080</f>
        <v>7532.7785416666693</v>
      </c>
      <c r="O7800" s="165">
        <f t="shared" si="2225"/>
        <v>53.163609000000001</v>
      </c>
      <c r="P7800" s="166"/>
      <c r="Q7800" s="166">
        <f t="shared" si="2226"/>
        <v>4678.3975920000003</v>
      </c>
      <c r="R7800" s="71"/>
    </row>
    <row r="7801" spans="1:41" s="61" customFormat="1" ht="63" x14ac:dyDescent="0.25">
      <c r="A7801" s="358"/>
      <c r="B7801" s="361"/>
      <c r="C7801" s="366"/>
      <c r="D7801" s="156" t="s">
        <v>33</v>
      </c>
      <c r="E7801" s="156" t="s">
        <v>56</v>
      </c>
      <c r="F7801" s="156" t="s">
        <v>220</v>
      </c>
      <c r="G7801" s="238">
        <f>MROUND(H7801*L7801*I7801/K7801,0.000000001)</f>
        <v>1.7644090000000002E-3</v>
      </c>
      <c r="H7801" s="158">
        <f>$H$64</f>
        <v>36</v>
      </c>
      <c r="I7801" s="159">
        <f>I7800</f>
        <v>4.313E-3</v>
      </c>
      <c r="J7801" s="160"/>
      <c r="K7801" s="161">
        <f t="shared" si="2227"/>
        <v>88</v>
      </c>
      <c r="L7801" s="162">
        <v>1</v>
      </c>
      <c r="M7801" s="163" t="str">
        <f>CONCATENATE(H7801," ",F7801,"*",L7801," раз в год","*",I7801,"/",K7801,"чел.")</f>
        <v>36 дымоходов*1 раз в год*0,004313/88чел.</v>
      </c>
      <c r="N7801" s="164">
        <f t="shared" ref="N7801:N7807" si="2228">N6841</f>
        <v>7312.0941666666668</v>
      </c>
      <c r="O7801" s="165">
        <f t="shared" si="2225"/>
        <v>12.901524999999999</v>
      </c>
      <c r="P7801" s="166"/>
      <c r="Q7801" s="166">
        <f t="shared" si="2226"/>
        <v>1135.3342</v>
      </c>
      <c r="R7801" s="71"/>
    </row>
    <row r="7802" spans="1:41" s="61" customFormat="1" x14ac:dyDescent="0.25">
      <c r="A7802" s="358"/>
      <c r="B7802" s="361"/>
      <c r="C7802" s="366"/>
      <c r="D7802" s="194" t="s">
        <v>398</v>
      </c>
      <c r="E7802" s="156" t="s">
        <v>60</v>
      </c>
      <c r="F7802" s="156" t="s">
        <v>60</v>
      </c>
      <c r="G7802" s="238">
        <f>MROUND(H7802*L7802*I7802/K7802,0.000000001)</f>
        <v>1.7153980000000001E-3</v>
      </c>
      <c r="H7802" s="246">
        <f>H6842</f>
        <v>35</v>
      </c>
      <c r="I7802" s="159">
        <f t="shared" si="2211"/>
        <v>4.313E-3</v>
      </c>
      <c r="J7802" s="160"/>
      <c r="K7802" s="161">
        <f t="shared" si="2227"/>
        <v>88</v>
      </c>
      <c r="L7802" s="250">
        <v>1</v>
      </c>
      <c r="M7802" s="163" t="str">
        <f>CONCATENATE(H7802," ",F7802,"*",I7802,"/",K7802,"чел.")</f>
        <v>35 шт.*0,004313/88чел.</v>
      </c>
      <c r="N7802" s="164">
        <f t="shared" si="2228"/>
        <v>12660.374571428585</v>
      </c>
      <c r="O7802" s="165">
        <f t="shared" si="2225"/>
        <v>21.717580999999999</v>
      </c>
      <c r="P7802" s="166"/>
      <c r="Q7802" s="166">
        <f t="shared" si="2226"/>
        <v>1911.1471279999998</v>
      </c>
      <c r="R7802" s="71"/>
    </row>
    <row r="7803" spans="1:41" s="61" customFormat="1" ht="47.25" x14ac:dyDescent="0.25">
      <c r="A7803" s="358"/>
      <c r="B7803" s="361"/>
      <c r="C7803" s="366"/>
      <c r="D7803" s="156" t="s">
        <v>401</v>
      </c>
      <c r="E7803" s="156" t="s">
        <v>60</v>
      </c>
      <c r="F7803" s="156" t="s">
        <v>402</v>
      </c>
      <c r="G7803" s="238">
        <f>MROUND(H7803*L7803*I7803/K7803,0.000001)</f>
        <v>3.431E-3</v>
      </c>
      <c r="H7803" s="246">
        <f>H6843</f>
        <v>35</v>
      </c>
      <c r="I7803" s="159">
        <f t="shared" si="2211"/>
        <v>4.313E-3</v>
      </c>
      <c r="J7803" s="160"/>
      <c r="K7803" s="161">
        <f t="shared" si="2227"/>
        <v>88</v>
      </c>
      <c r="L7803" s="162">
        <v>2</v>
      </c>
      <c r="M7803" s="163" t="str">
        <f>CONCATENATE(H7803," ",F7803,"*",L7803," раз в год","*",I7803,"/",K7803,"чел.")</f>
        <v>35 противопожарных водопроводов*2 раз в год*0,004313/88чел.</v>
      </c>
      <c r="N7803" s="164">
        <f t="shared" si="2228"/>
        <v>5928.7300000000032</v>
      </c>
      <c r="O7803" s="165">
        <f t="shared" si="2225"/>
        <v>20.341473000000001</v>
      </c>
      <c r="P7803" s="166"/>
      <c r="Q7803" s="166">
        <f t="shared" si="2226"/>
        <v>1790.049624</v>
      </c>
      <c r="R7803" s="71"/>
    </row>
    <row r="7804" spans="1:41" s="61" customFormat="1" ht="31.5" x14ac:dyDescent="0.25">
      <c r="A7804" s="358"/>
      <c r="B7804" s="361"/>
      <c r="C7804" s="366"/>
      <c r="D7804" s="156" t="s">
        <v>221</v>
      </c>
      <c r="E7804" s="156" t="s">
        <v>60</v>
      </c>
      <c r="F7804" s="156" t="s">
        <v>60</v>
      </c>
      <c r="G7804" s="238">
        <f>MROUND(H7804*L7804*I7804/K7804,0.000000001)</f>
        <v>1.0586455E-2</v>
      </c>
      <c r="H7804" s="158">
        <f>H6844</f>
        <v>18</v>
      </c>
      <c r="I7804" s="159">
        <f t="shared" si="2211"/>
        <v>4.313E-3</v>
      </c>
      <c r="J7804" s="160"/>
      <c r="K7804" s="161">
        <f t="shared" si="2227"/>
        <v>88</v>
      </c>
      <c r="L7804" s="250">
        <v>12</v>
      </c>
      <c r="M7804" s="163" t="str">
        <f>CONCATENATE(H7804," ",F7804,"*",L7804,"мес.","*",I7804,"/",K7804,"чел.")</f>
        <v>18 шт.*12мес.*0,004313/88чел.</v>
      </c>
      <c r="N7804" s="164">
        <f t="shared" si="2228"/>
        <v>6840.4345833333346</v>
      </c>
      <c r="O7804" s="165">
        <f t="shared" si="2225"/>
        <v>72.415953000000002</v>
      </c>
      <c r="P7804" s="166"/>
      <c r="Q7804" s="166">
        <f t="shared" si="2226"/>
        <v>6372.6038640000006</v>
      </c>
      <c r="R7804" s="71"/>
    </row>
    <row r="7805" spans="1:41" s="61" customFormat="1" ht="47.25" x14ac:dyDescent="0.25">
      <c r="A7805" s="358"/>
      <c r="B7805" s="361"/>
      <c r="C7805" s="366"/>
      <c r="D7805" s="156" t="s">
        <v>34</v>
      </c>
      <c r="E7805" s="156" t="s">
        <v>59</v>
      </c>
      <c r="F7805" s="156" t="s">
        <v>28</v>
      </c>
      <c r="G7805" s="238">
        <f>MROUND(H7805*L7805*I7805/K7805,0.0000000001)</f>
        <v>9.8022699999999999E-5</v>
      </c>
      <c r="H7805" s="158">
        <f>H6845</f>
        <v>2</v>
      </c>
      <c r="I7805" s="159">
        <f t="shared" si="2211"/>
        <v>4.313E-3</v>
      </c>
      <c r="J7805" s="160"/>
      <c r="K7805" s="161">
        <f t="shared" si="2227"/>
        <v>88</v>
      </c>
      <c r="L7805" s="250">
        <v>1</v>
      </c>
      <c r="M7805" s="163" t="str">
        <f>CONCATENATE(H7805," ",F7805,"*",I7805,"/",K7805,"чел.")</f>
        <v>2 шт*0,004313/88чел.</v>
      </c>
      <c r="N7805" s="164">
        <f t="shared" si="2228"/>
        <v>8158.8</v>
      </c>
      <c r="O7805" s="165">
        <f t="shared" si="2225"/>
        <v>0.79974800000000001</v>
      </c>
      <c r="P7805" s="166"/>
      <c r="Q7805" s="166">
        <f t="shared" si="2226"/>
        <v>70.377824000000004</v>
      </c>
      <c r="R7805" s="71"/>
    </row>
    <row r="7806" spans="1:41" s="61" customFormat="1" ht="47.25" x14ac:dyDescent="0.25">
      <c r="A7806" s="358"/>
      <c r="B7806" s="361"/>
      <c r="C7806" s="366"/>
      <c r="D7806" s="156" t="s">
        <v>222</v>
      </c>
      <c r="E7806" s="156" t="s">
        <v>60</v>
      </c>
      <c r="F7806" s="156" t="s">
        <v>60</v>
      </c>
      <c r="G7806" s="238">
        <f>MROUND(H7806*L7806*I7806/K7806,0.00000000001)</f>
        <v>2.4505681999999998E-4</v>
      </c>
      <c r="H7806" s="248">
        <f>H7086</f>
        <v>5</v>
      </c>
      <c r="I7806" s="159">
        <f t="shared" si="2211"/>
        <v>4.313E-3</v>
      </c>
      <c r="J7806" s="160"/>
      <c r="K7806" s="161">
        <f t="shared" si="2227"/>
        <v>88</v>
      </c>
      <c r="L7806" s="250">
        <v>1</v>
      </c>
      <c r="M7806" s="163" t="str">
        <f>CONCATENATE(H7806," ",F7806,"*",I7806,"/",K7806,"чел.")</f>
        <v>5 шт.*0,004313/88чел.</v>
      </c>
      <c r="N7806" s="164">
        <f t="shared" si="2228"/>
        <v>45611.39</v>
      </c>
      <c r="O7806" s="165">
        <f>MROUND(G7806*N7806,0.00000001)</f>
        <v>11.177382189999999</v>
      </c>
      <c r="P7806" s="166"/>
      <c r="Q7806" s="166">
        <f t="shared" si="2226"/>
        <v>983.60963271999992</v>
      </c>
      <c r="R7806" s="71"/>
    </row>
    <row r="7807" spans="1:41" s="61" customFormat="1" ht="31.5" x14ac:dyDescent="0.25">
      <c r="A7807" s="358"/>
      <c r="B7807" s="361"/>
      <c r="C7807" s="366"/>
      <c r="D7807" s="156" t="s">
        <v>35</v>
      </c>
      <c r="E7807" s="156" t="s">
        <v>102</v>
      </c>
      <c r="F7807" s="156" t="s">
        <v>223</v>
      </c>
      <c r="G7807" s="238">
        <f>MROUND(H7807*L7807*I7807/K7807,0.00000001)</f>
        <v>1.7154E-3</v>
      </c>
      <c r="H7807" s="158">
        <f>H6847</f>
        <v>35</v>
      </c>
      <c r="I7807" s="159">
        <f>I7805</f>
        <v>4.313E-3</v>
      </c>
      <c r="J7807" s="160"/>
      <c r="K7807" s="161">
        <f>K7805</f>
        <v>88</v>
      </c>
      <c r="L7807" s="250">
        <v>1</v>
      </c>
      <c r="M7807" s="163" t="str">
        <f>CONCATENATE(H7807," ",F7807,"*",I7807,"/",K7807,"чел.")</f>
        <v>35 замеров*0,004313/88чел.</v>
      </c>
      <c r="N7807" s="164">
        <f t="shared" si="2228"/>
        <v>26000</v>
      </c>
      <c r="O7807" s="165">
        <f t="shared" ref="O7807:O7812" si="2229">MROUND(G7807*N7807,0.000001)</f>
        <v>44.6004</v>
      </c>
      <c r="P7807" s="166"/>
      <c r="Q7807" s="166">
        <f t="shared" si="2226"/>
        <v>3924.8352</v>
      </c>
      <c r="R7807" s="71"/>
    </row>
    <row r="7808" spans="1:41" s="61" customFormat="1" ht="47.25" x14ac:dyDescent="0.25">
      <c r="A7808" s="358"/>
      <c r="B7808" s="361"/>
      <c r="C7808" s="366"/>
      <c r="D7808" s="156" t="s">
        <v>399</v>
      </c>
      <c r="E7808" s="156" t="s">
        <v>60</v>
      </c>
      <c r="F7808" s="156" t="s">
        <v>60</v>
      </c>
      <c r="G7808" s="238">
        <f>MROUND(H7808*L7808*I7808/K7808,0.000000001)</f>
        <v>1.7153977000000001E-2</v>
      </c>
      <c r="H7808" s="158">
        <f>H7208</f>
        <v>35</v>
      </c>
      <c r="I7808" s="159">
        <f t="shared" si="2211"/>
        <v>4.313E-3</v>
      </c>
      <c r="J7808" s="160"/>
      <c r="K7808" s="161">
        <f>K7807</f>
        <v>88</v>
      </c>
      <c r="L7808" s="250">
        <v>10</v>
      </c>
      <c r="M7808" s="163" t="str">
        <f>CONCATENATE(H7808," ",F7808,"*",L7808,"мес.","*",I7808,"/",K7808,"чел.")</f>
        <v>35 шт.*10мес.*0,004313/88чел.</v>
      </c>
      <c r="N7808" s="164">
        <f>N7208</f>
        <v>3380.9014857142843</v>
      </c>
      <c r="O7808" s="165">
        <f t="shared" si="2229"/>
        <v>57.995905999999998</v>
      </c>
      <c r="P7808" s="166"/>
      <c r="Q7808" s="166">
        <f t="shared" si="2226"/>
        <v>5103.6397280000001</v>
      </c>
      <c r="R7808" s="71"/>
    </row>
    <row r="7809" spans="1:18" s="61" customFormat="1" ht="47.25" x14ac:dyDescent="0.25">
      <c r="A7809" s="358"/>
      <c r="B7809" s="361"/>
      <c r="C7809" s="366"/>
      <c r="D7809" s="156" t="s">
        <v>36</v>
      </c>
      <c r="E7809" s="156" t="s">
        <v>31</v>
      </c>
      <c r="F7809" s="156" t="s">
        <v>224</v>
      </c>
      <c r="G7809" s="238">
        <f>MROUND(H7809*L7809*I7809/K7809,0.00000001)</f>
        <v>2.117291E-2</v>
      </c>
      <c r="H7809" s="158">
        <f>H7089</f>
        <v>36</v>
      </c>
      <c r="I7809" s="159">
        <f t="shared" si="2211"/>
        <v>4.313E-3</v>
      </c>
      <c r="J7809" s="160"/>
      <c r="K7809" s="161">
        <f>K7808</f>
        <v>88</v>
      </c>
      <c r="L7809" s="250">
        <v>12</v>
      </c>
      <c r="M7809" s="163" t="str">
        <f>CONCATENATE(H7809," ",F7809,"*",L7809,"мес.","*",I7809,"/",K7809,"чел.")</f>
        <v>36 устройств*12мес.*0,004313/88чел.</v>
      </c>
      <c r="N7809" s="164">
        <f>N6849</f>
        <v>1269.5381481481488</v>
      </c>
      <c r="O7809" s="165">
        <f t="shared" si="2229"/>
        <v>26.879816999999999</v>
      </c>
      <c r="P7809" s="166"/>
      <c r="Q7809" s="166">
        <f t="shared" si="2226"/>
        <v>2365.4238959999998</v>
      </c>
      <c r="R7809" s="71"/>
    </row>
    <row r="7810" spans="1:18" s="61" customFormat="1" ht="31.5" x14ac:dyDescent="0.25">
      <c r="A7810" s="358"/>
      <c r="B7810" s="361"/>
      <c r="C7810" s="366"/>
      <c r="D7810" s="156" t="s">
        <v>99</v>
      </c>
      <c r="E7810" s="156" t="s">
        <v>103</v>
      </c>
      <c r="F7810" s="156" t="s">
        <v>225</v>
      </c>
      <c r="G7810" s="238">
        <f>MROUND(H7810*L7810*I7810/K7810,0.00000001)</f>
        <v>9.8512800000000005E-3</v>
      </c>
      <c r="H7810" s="158">
        <f>H6850</f>
        <v>201</v>
      </c>
      <c r="I7810" s="159">
        <f t="shared" si="2211"/>
        <v>4.313E-3</v>
      </c>
      <c r="J7810" s="160"/>
      <c r="K7810" s="161">
        <f>K7809</f>
        <v>88</v>
      </c>
      <c r="L7810" s="250">
        <v>1</v>
      </c>
      <c r="M7810" s="163" t="str">
        <f>CONCATENATE(H7810," ",F7810,"*",I7810,"/",K7810,"чел.")</f>
        <v>201 ед.*0,004313/88чел.</v>
      </c>
      <c r="N7810" s="164">
        <f>N6850</f>
        <v>15000</v>
      </c>
      <c r="O7810" s="165">
        <f t="shared" si="2229"/>
        <v>147.76919999999998</v>
      </c>
      <c r="P7810" s="166"/>
      <c r="Q7810" s="166">
        <f t="shared" si="2226"/>
        <v>13003.689599999998</v>
      </c>
      <c r="R7810" s="71"/>
    </row>
    <row r="7811" spans="1:18" s="61" customFormat="1" x14ac:dyDescent="0.25">
      <c r="A7811" s="358"/>
      <c r="B7811" s="361"/>
      <c r="C7811" s="366"/>
      <c r="D7811" s="156" t="s">
        <v>27</v>
      </c>
      <c r="E7811" s="156" t="s">
        <v>28</v>
      </c>
      <c r="F7811" s="156" t="s">
        <v>28</v>
      </c>
      <c r="G7811" s="238">
        <f>MROUND(H7811*L7811*I7811/K7811,0.000000001)</f>
        <v>0.20535761400000002</v>
      </c>
      <c r="H7811" s="160">
        <f>H6851</f>
        <v>4190</v>
      </c>
      <c r="I7811" s="159">
        <f t="shared" si="2211"/>
        <v>4.313E-3</v>
      </c>
      <c r="J7811" s="160"/>
      <c r="K7811" s="161">
        <f>K7810</f>
        <v>88</v>
      </c>
      <c r="L7811" s="250">
        <v>1</v>
      </c>
      <c r="M7811" s="163" t="str">
        <f>CONCATENATE(H7811," ",F7811,"*",I7811,"/",K7811,"чел.")</f>
        <v>4190 шт*0,004313/88чел.</v>
      </c>
      <c r="N7811" s="164">
        <f>N6971</f>
        <v>435.13600000000008</v>
      </c>
      <c r="O7811" s="165">
        <f t="shared" si="2229"/>
        <v>89.358491000000001</v>
      </c>
      <c r="P7811" s="166"/>
      <c r="Q7811" s="166">
        <f t="shared" si="2226"/>
        <v>7863.547208</v>
      </c>
      <c r="R7811" s="71"/>
    </row>
    <row r="7812" spans="1:18" s="61" customFormat="1" ht="31.5" x14ac:dyDescent="0.25">
      <c r="A7812" s="358"/>
      <c r="B7812" s="361"/>
      <c r="C7812" s="367"/>
      <c r="D7812" s="156" t="s">
        <v>104</v>
      </c>
      <c r="E7812" s="156" t="s">
        <v>105</v>
      </c>
      <c r="F7812" s="156" t="s">
        <v>226</v>
      </c>
      <c r="G7812" s="238">
        <f>MROUND(H7812*L7812*I7812/K7812,0.00000001)</f>
        <v>1.7644100000000001E-3</v>
      </c>
      <c r="H7812" s="160">
        <f>H6852</f>
        <v>36</v>
      </c>
      <c r="I7812" s="159">
        <f t="shared" si="2211"/>
        <v>4.313E-3</v>
      </c>
      <c r="J7812" s="160"/>
      <c r="K7812" s="161">
        <f>K7811</f>
        <v>88</v>
      </c>
      <c r="L7812" s="250">
        <v>1</v>
      </c>
      <c r="M7812" s="163" t="str">
        <f>CONCATENATE(H7812," ",F7812,"*",I7812,"/",K7812,"чел.")</f>
        <v>36 отключений*0,004313/88чел.</v>
      </c>
      <c r="N7812" s="164">
        <f>N6852</f>
        <v>10671.710000000006</v>
      </c>
      <c r="O7812" s="165">
        <f t="shared" si="2229"/>
        <v>18.829272</v>
      </c>
      <c r="P7812" s="166"/>
      <c r="Q7812" s="166">
        <f t="shared" si="2226"/>
        <v>1656.975936</v>
      </c>
      <c r="R7812" s="71"/>
    </row>
    <row r="7813" spans="1:18" s="62" customFormat="1" x14ac:dyDescent="0.25">
      <c r="A7813" s="358"/>
      <c r="B7813" s="361"/>
      <c r="C7813" s="249" t="s">
        <v>292</v>
      </c>
      <c r="D7813" s="240"/>
      <c r="E7813" s="240"/>
      <c r="F7813" s="240"/>
      <c r="G7813" s="227"/>
      <c r="H7813" s="228"/>
      <c r="I7813" s="206"/>
      <c r="J7813" s="228"/>
      <c r="K7813" s="207"/>
      <c r="L7813" s="257"/>
      <c r="M7813" s="209"/>
      <c r="N7813" s="210"/>
      <c r="O7813" s="198">
        <f>SUM(O7797:O7812)</f>
        <v>591.80366518999995</v>
      </c>
      <c r="P7813" s="267"/>
      <c r="Q7813" s="166"/>
      <c r="R7813" s="71"/>
    </row>
    <row r="7814" spans="1:18" s="61" customFormat="1" ht="31.5" x14ac:dyDescent="0.25">
      <c r="A7814" s="358"/>
      <c r="B7814" s="361"/>
      <c r="C7814" s="221" t="s">
        <v>79</v>
      </c>
      <c r="D7814" s="156" t="s">
        <v>37</v>
      </c>
      <c r="E7814" s="156" t="s">
        <v>61</v>
      </c>
      <c r="F7814" s="156" t="s">
        <v>227</v>
      </c>
      <c r="G7814" s="238">
        <f>MROUND(H7814*L7814*I7814/K7814,0.000000001)</f>
        <v>1.9604500000000002E-4</v>
      </c>
      <c r="H7814" s="158">
        <f>H6854</f>
        <v>4</v>
      </c>
      <c r="I7814" s="159">
        <f>I7812</f>
        <v>4.313E-3</v>
      </c>
      <c r="J7814" s="160"/>
      <c r="K7814" s="161">
        <f>K7812</f>
        <v>88</v>
      </c>
      <c r="L7814" s="250">
        <v>1</v>
      </c>
      <c r="M7814" s="163" t="str">
        <f>CONCATENATE(H7814," ",F7814,"*",I7814,"/",K7814,"чел.")</f>
        <v>4 автобуса*0,004313/88чел.</v>
      </c>
      <c r="N7814" s="164">
        <f>N6854</f>
        <v>37900.35</v>
      </c>
      <c r="O7814" s="165">
        <f>MROUND(G7814*N7814,0.000001)</f>
        <v>7.4301740000000001</v>
      </c>
      <c r="P7814" s="166"/>
      <c r="Q7814" s="166">
        <f t="shared" ref="Q7814" si="2230">O7814*K7814</f>
        <v>653.85531200000003</v>
      </c>
      <c r="R7814" s="71"/>
    </row>
    <row r="7815" spans="1:18" s="62" customFormat="1" x14ac:dyDescent="0.25">
      <c r="A7815" s="358"/>
      <c r="B7815" s="361"/>
      <c r="C7815" s="218" t="s">
        <v>295</v>
      </c>
      <c r="D7815" s="240"/>
      <c r="E7815" s="240"/>
      <c r="F7815" s="240"/>
      <c r="G7815" s="227"/>
      <c r="H7815" s="241"/>
      <c r="I7815" s="206"/>
      <c r="J7815" s="228"/>
      <c r="K7815" s="207"/>
      <c r="L7815" s="257"/>
      <c r="M7815" s="209"/>
      <c r="N7815" s="210"/>
      <c r="O7815" s="198">
        <f>SUM(O7814)</f>
        <v>7.4301740000000001</v>
      </c>
      <c r="P7815" s="267"/>
      <c r="Q7815" s="166"/>
      <c r="R7815" s="71"/>
    </row>
    <row r="7816" spans="1:18" s="61" customFormat="1" x14ac:dyDescent="0.25">
      <c r="A7816" s="358"/>
      <c r="B7816" s="361"/>
      <c r="C7816" s="364" t="s">
        <v>80</v>
      </c>
      <c r="D7816" s="156" t="s">
        <v>38</v>
      </c>
      <c r="E7816" s="156" t="s">
        <v>57</v>
      </c>
      <c r="F7816" s="156" t="s">
        <v>228</v>
      </c>
      <c r="G7816" s="238">
        <f>MROUND(H7816*L7816*I7816/K7816,0.000000001)</f>
        <v>2.1172909E-2</v>
      </c>
      <c r="H7816" s="158">
        <f>H6856</f>
        <v>36</v>
      </c>
      <c r="I7816" s="159">
        <f>I7814</f>
        <v>4.313E-3</v>
      </c>
      <c r="J7816" s="160"/>
      <c r="K7816" s="161">
        <f>K7814</f>
        <v>88</v>
      </c>
      <c r="L7816" s="250">
        <v>12</v>
      </c>
      <c r="M7816" s="163" t="str">
        <f>CONCATENATE(H7816," ",F7816,"*",L7816,"мес.","*",I7816,"/",K7816,"чел.")</f>
        <v>36 зданий*12мес.*0,004313/88чел.</v>
      </c>
      <c r="N7816" s="164">
        <f t="shared" ref="N7816:N7827" si="2231">N6856</f>
        <v>5106.1928935185206</v>
      </c>
      <c r="O7816" s="165">
        <f>MROUND(G7816*N7816,0.000001)</f>
        <v>108.11295699999999</v>
      </c>
      <c r="P7816" s="166"/>
      <c r="Q7816" s="166">
        <f t="shared" ref="Q7816:Q7829" si="2232">O7816*K7816</f>
        <v>9513.9402159999991</v>
      </c>
      <c r="R7816" s="71"/>
    </row>
    <row r="7817" spans="1:18" s="61" customFormat="1" ht="47.25" x14ac:dyDescent="0.25">
      <c r="A7817" s="358"/>
      <c r="B7817" s="361"/>
      <c r="C7817" s="364"/>
      <c r="D7817" s="156" t="s">
        <v>229</v>
      </c>
      <c r="E7817" s="156" t="s">
        <v>60</v>
      </c>
      <c r="F7817" s="156" t="s">
        <v>60</v>
      </c>
      <c r="G7817" s="238">
        <f>MROUND(H7817*L7817*I7817/K7817,0.000001)</f>
        <v>0.11733299999999999</v>
      </c>
      <c r="H7817" s="158">
        <f>H6857</f>
        <v>2394</v>
      </c>
      <c r="I7817" s="159">
        <f>I7816</f>
        <v>4.313E-3</v>
      </c>
      <c r="J7817" s="160"/>
      <c r="K7817" s="161">
        <f>K7816</f>
        <v>88</v>
      </c>
      <c r="L7817" s="250">
        <v>1</v>
      </c>
      <c r="M7817" s="163" t="str">
        <f t="shared" ref="M7817:M7824" si="2233">CONCATENATE(H7817," ",F7817,"*",I7817,"/",K7817,"чел.")</f>
        <v>2394 шт.*0,004313/88чел.</v>
      </c>
      <c r="N7817" s="164">
        <f t="shared" si="2231"/>
        <v>177.86185045948207</v>
      </c>
      <c r="O7817" s="165">
        <f>MROUND(G7817*N7817,0.000001)</f>
        <v>20.869063999999998</v>
      </c>
      <c r="P7817" s="166"/>
      <c r="Q7817" s="166">
        <f t="shared" si="2232"/>
        <v>1836.4776319999999</v>
      </c>
      <c r="R7817" s="71"/>
    </row>
    <row r="7818" spans="1:18" s="61" customFormat="1" ht="47.25" x14ac:dyDescent="0.25">
      <c r="A7818" s="358"/>
      <c r="B7818" s="361"/>
      <c r="C7818" s="364"/>
      <c r="D7818" s="156" t="s">
        <v>405</v>
      </c>
      <c r="E7818" s="156" t="s">
        <v>60</v>
      </c>
      <c r="F7818" s="156" t="s">
        <v>406</v>
      </c>
      <c r="G7818" s="238">
        <f>MROUND(H7818*L7818*I7818/K7818,0.00000001)</f>
        <v>1.7644100000000001E-3</v>
      </c>
      <c r="H7818" s="158">
        <f>H7098</f>
        <v>36</v>
      </c>
      <c r="I7818" s="159">
        <f>I7817</f>
        <v>4.313E-3</v>
      </c>
      <c r="J7818" s="160"/>
      <c r="K7818" s="161">
        <f>K7817</f>
        <v>88</v>
      </c>
      <c r="L7818" s="250">
        <v>1</v>
      </c>
      <c r="M7818" s="163" t="str">
        <f t="shared" si="2233"/>
        <v>36 лицензий*0,004313/88чел.</v>
      </c>
      <c r="N7818" s="164">
        <f t="shared" si="2231"/>
        <v>13043.200000000006</v>
      </c>
      <c r="O7818" s="165">
        <f t="shared" ref="O7818:O7827" si="2234">MROUND(G7818*N7818,0.000001)</f>
        <v>23.013552999999998</v>
      </c>
      <c r="P7818" s="166"/>
      <c r="Q7818" s="166">
        <f t="shared" si="2232"/>
        <v>2025.1926639999999</v>
      </c>
      <c r="R7818" s="71"/>
    </row>
    <row r="7819" spans="1:18" s="61" customFormat="1" ht="63" x14ac:dyDescent="0.25">
      <c r="A7819" s="358"/>
      <c r="B7819" s="361"/>
      <c r="C7819" s="364"/>
      <c r="D7819" s="156" t="s">
        <v>39</v>
      </c>
      <c r="E7819" s="156" t="s">
        <v>20</v>
      </c>
      <c r="F7819" s="156" t="s">
        <v>234</v>
      </c>
      <c r="G7819" s="238">
        <f>MROUND(H7819*L7819*I7819/K7819,0.000000001)</f>
        <v>5.783341E-3</v>
      </c>
      <c r="H7819" s="158">
        <f>H7339</f>
        <v>118</v>
      </c>
      <c r="I7819" s="159">
        <f>I7817</f>
        <v>4.313E-3</v>
      </c>
      <c r="J7819" s="160"/>
      <c r="K7819" s="161">
        <f>K7817</f>
        <v>88</v>
      </c>
      <c r="L7819" s="250">
        <v>1</v>
      </c>
      <c r="M7819" s="163" t="str">
        <f t="shared" si="2233"/>
        <v>118 чел(заявленная потребность руководителями учреждений)*0,004313/88чел.</v>
      </c>
      <c r="N7819" s="164">
        <f t="shared" si="2231"/>
        <v>830.02203389830515</v>
      </c>
      <c r="O7819" s="165">
        <f t="shared" si="2234"/>
        <v>4.8003</v>
      </c>
      <c r="P7819" s="166"/>
      <c r="Q7819" s="166">
        <f t="shared" si="2232"/>
        <v>422.4264</v>
      </c>
      <c r="R7819" s="71"/>
    </row>
    <row r="7820" spans="1:18" s="61" customFormat="1" ht="63" x14ac:dyDescent="0.25">
      <c r="A7820" s="358"/>
      <c r="B7820" s="361"/>
      <c r="C7820" s="364"/>
      <c r="D7820" s="156" t="s">
        <v>40</v>
      </c>
      <c r="E7820" s="156" t="s">
        <v>20</v>
      </c>
      <c r="F7820" s="156" t="s">
        <v>234</v>
      </c>
      <c r="G7820" s="238">
        <f>MROUND(H7820*L7820*I7820/K7820,0.000000001)</f>
        <v>4.7050910000000007E-3</v>
      </c>
      <c r="H7820" s="158">
        <f>H7340</f>
        <v>96</v>
      </c>
      <c r="I7820" s="159">
        <f t="shared" ref="I7820:I7827" si="2235">I7819</f>
        <v>4.313E-3</v>
      </c>
      <c r="J7820" s="160"/>
      <c r="K7820" s="161">
        <f t="shared" ref="K7820:K7827" si="2236">K7819</f>
        <v>88</v>
      </c>
      <c r="L7820" s="250">
        <v>1</v>
      </c>
      <c r="M7820" s="163" t="str">
        <f t="shared" si="2233"/>
        <v>96 чел(заявленная потребность руководителями учреждений)*0,004313/88чел.</v>
      </c>
      <c r="N7820" s="164">
        <f t="shared" si="2231"/>
        <v>1778.6189583333326</v>
      </c>
      <c r="O7820" s="165">
        <f t="shared" si="2234"/>
        <v>8.3685639999999992</v>
      </c>
      <c r="P7820" s="166"/>
      <c r="Q7820" s="166">
        <f t="shared" si="2232"/>
        <v>736.43363199999999</v>
      </c>
      <c r="R7820" s="71"/>
    </row>
    <row r="7821" spans="1:18" s="61" customFormat="1" ht="63" x14ac:dyDescent="0.25">
      <c r="A7821" s="358"/>
      <c r="B7821" s="361"/>
      <c r="C7821" s="364"/>
      <c r="D7821" s="156" t="s">
        <v>100</v>
      </c>
      <c r="E7821" s="156" t="s">
        <v>20</v>
      </c>
      <c r="F7821" s="156" t="s">
        <v>234</v>
      </c>
      <c r="G7821" s="238">
        <f>MROUND(H7821*L7821*I7821/K7821,0.0000000001)</f>
        <v>3.9699204999999998E-3</v>
      </c>
      <c r="H7821" s="158">
        <f>H7341</f>
        <v>81</v>
      </c>
      <c r="I7821" s="159">
        <f t="shared" si="2235"/>
        <v>4.313E-3</v>
      </c>
      <c r="J7821" s="160"/>
      <c r="K7821" s="161">
        <f t="shared" si="2236"/>
        <v>88</v>
      </c>
      <c r="L7821" s="250">
        <v>1</v>
      </c>
      <c r="M7821" s="163" t="str">
        <f t="shared" si="2233"/>
        <v>81 чел(заявленная потребность руководителями учреждений)*0,004313/88чел.</v>
      </c>
      <c r="N7821" s="164">
        <f t="shared" si="2231"/>
        <v>3794.386419753087</v>
      </c>
      <c r="O7821" s="165">
        <f t="shared" si="2234"/>
        <v>15.063412</v>
      </c>
      <c r="P7821" s="166"/>
      <c r="Q7821" s="166">
        <f t="shared" si="2232"/>
        <v>1325.580256</v>
      </c>
      <c r="R7821" s="71"/>
    </row>
    <row r="7822" spans="1:18" s="61" customFormat="1" ht="110.25" x14ac:dyDescent="0.25">
      <c r="A7822" s="358"/>
      <c r="B7822" s="361"/>
      <c r="C7822" s="364"/>
      <c r="D7822" s="156" t="s">
        <v>235</v>
      </c>
      <c r="E7822" s="156" t="s">
        <v>50</v>
      </c>
      <c r="F7822" s="156" t="s">
        <v>230</v>
      </c>
      <c r="G7822" s="238">
        <f>MROUND(H7822*L7822*I7822/K7822,0.00000001)</f>
        <v>1.7644100000000001E-3</v>
      </c>
      <c r="H7822" s="158">
        <f>H7582</f>
        <v>36</v>
      </c>
      <c r="I7822" s="159">
        <f t="shared" si="2235"/>
        <v>4.313E-3</v>
      </c>
      <c r="J7822" s="160"/>
      <c r="K7822" s="161">
        <f t="shared" si="2236"/>
        <v>88</v>
      </c>
      <c r="L7822" s="250">
        <v>1</v>
      </c>
      <c r="M7822" s="163" t="str">
        <f t="shared" si="2233"/>
        <v>36 отчетов*0,004313/88чел.</v>
      </c>
      <c r="N7822" s="164">
        <f t="shared" si="2231"/>
        <v>7114.47</v>
      </c>
      <c r="O7822" s="165">
        <f t="shared" si="2234"/>
        <v>12.552842</v>
      </c>
      <c r="P7822" s="166"/>
      <c r="Q7822" s="166">
        <f t="shared" si="2232"/>
        <v>1104.6500960000001</v>
      </c>
      <c r="R7822" s="71"/>
    </row>
    <row r="7823" spans="1:18" s="61" customFormat="1" ht="63" x14ac:dyDescent="0.25">
      <c r="A7823" s="358"/>
      <c r="B7823" s="361"/>
      <c r="C7823" s="364"/>
      <c r="D7823" s="156" t="s">
        <v>42</v>
      </c>
      <c r="E7823" s="156" t="s">
        <v>51</v>
      </c>
      <c r="F7823" s="156" t="s">
        <v>407</v>
      </c>
      <c r="G7823" s="238">
        <f>MROUND(H7823*L7823*I7823/K7823,0.000001)</f>
        <v>9.9979999999999999E-3</v>
      </c>
      <c r="H7823" s="158">
        <f>H7343</f>
        <v>204</v>
      </c>
      <c r="I7823" s="159">
        <f t="shared" si="2235"/>
        <v>4.313E-3</v>
      </c>
      <c r="J7823" s="160"/>
      <c r="K7823" s="161">
        <f t="shared" si="2236"/>
        <v>88</v>
      </c>
      <c r="L7823" s="250">
        <v>1</v>
      </c>
      <c r="M7823" s="163" t="str">
        <f t="shared" si="2233"/>
        <v>204 ед (заявленная потребность руководителями учреждений)*0,004313/88чел.</v>
      </c>
      <c r="N7823" s="164">
        <f t="shared" si="2231"/>
        <v>1185.7454901960789</v>
      </c>
      <c r="O7823" s="165">
        <f t="shared" si="2234"/>
        <v>11.855082999999999</v>
      </c>
      <c r="P7823" s="166"/>
      <c r="Q7823" s="166">
        <f t="shared" si="2232"/>
        <v>1043.247304</v>
      </c>
      <c r="R7823" s="71"/>
    </row>
    <row r="7824" spans="1:18" s="61" customFormat="1" ht="31.5" x14ac:dyDescent="0.25">
      <c r="A7824" s="358"/>
      <c r="B7824" s="361"/>
      <c r="C7824" s="364"/>
      <c r="D7824" s="156" t="s">
        <v>43</v>
      </c>
      <c r="E7824" s="156" t="s">
        <v>52</v>
      </c>
      <c r="F7824" s="156" t="s">
        <v>231</v>
      </c>
      <c r="G7824" s="238">
        <f>MROUND(H7824*L7824*I7824/K7824,0.000000001)</f>
        <v>1.7644090000000002E-3</v>
      </c>
      <c r="H7824" s="158">
        <f>H6864</f>
        <v>36</v>
      </c>
      <c r="I7824" s="159">
        <f t="shared" si="2235"/>
        <v>4.313E-3</v>
      </c>
      <c r="J7824" s="160"/>
      <c r="K7824" s="161">
        <f t="shared" si="2236"/>
        <v>88</v>
      </c>
      <c r="L7824" s="250">
        <v>1</v>
      </c>
      <c r="M7824" s="163" t="str">
        <f t="shared" si="2233"/>
        <v>36 ЭЦП*0,004313/88чел.</v>
      </c>
      <c r="N7824" s="164">
        <f t="shared" si="2231"/>
        <v>8423.5400000000009</v>
      </c>
      <c r="O7824" s="165">
        <f t="shared" si="2234"/>
        <v>14.86257</v>
      </c>
      <c r="P7824" s="166"/>
      <c r="Q7824" s="166">
        <f t="shared" si="2232"/>
        <v>1307.90616</v>
      </c>
      <c r="R7824" s="71"/>
    </row>
    <row r="7825" spans="1:18" s="61" customFormat="1" ht="47.25" x14ac:dyDescent="0.25">
      <c r="A7825" s="358"/>
      <c r="B7825" s="361"/>
      <c r="C7825" s="364"/>
      <c r="D7825" s="156" t="s">
        <v>44</v>
      </c>
      <c r="E7825" s="156" t="s">
        <v>85</v>
      </c>
      <c r="F7825" s="156" t="s">
        <v>232</v>
      </c>
      <c r="G7825" s="238">
        <f>MROUND(H7825*L7825*I7825/K7825,0.000001)</f>
        <v>5.9597999999999998E-2</v>
      </c>
      <c r="H7825" s="158">
        <f>H6865</f>
        <v>1216</v>
      </c>
      <c r="I7825" s="159">
        <f t="shared" si="2235"/>
        <v>4.313E-3</v>
      </c>
      <c r="J7825" s="160"/>
      <c r="K7825" s="161">
        <f t="shared" si="2236"/>
        <v>88</v>
      </c>
      <c r="L7825" s="250">
        <v>1</v>
      </c>
      <c r="M7825" s="163" t="str">
        <f>CONCATENATE(H7825," ",F7825,"*",L7825,"мес.","*",I7825,"/",K7825,"чел.")</f>
        <v>1216 мед.осмотров в мес.*1мес.*0,004313/88чел.</v>
      </c>
      <c r="N7825" s="164">
        <f t="shared" si="2231"/>
        <v>61.65877467105264</v>
      </c>
      <c r="O7825" s="165">
        <f t="shared" si="2234"/>
        <v>3.6747399999999999</v>
      </c>
      <c r="P7825" s="166"/>
      <c r="Q7825" s="166">
        <f t="shared" si="2232"/>
        <v>323.37711999999999</v>
      </c>
      <c r="R7825" s="71"/>
    </row>
    <row r="7826" spans="1:18" s="61" customFormat="1" ht="63" x14ac:dyDescent="0.25">
      <c r="A7826" s="358"/>
      <c r="B7826" s="361"/>
      <c r="C7826" s="364"/>
      <c r="D7826" s="156" t="s">
        <v>45</v>
      </c>
      <c r="E7826" s="156" t="s">
        <v>53</v>
      </c>
      <c r="F7826" s="156" t="s">
        <v>233</v>
      </c>
      <c r="G7826" s="238">
        <f>MROUND(H7826*L7826*I7826/K7826,0.000000001)</f>
        <v>2.3525450000000002E-3</v>
      </c>
      <c r="H7826" s="158">
        <f>H7346</f>
        <v>4</v>
      </c>
      <c r="I7826" s="159">
        <f t="shared" si="2235"/>
        <v>4.313E-3</v>
      </c>
      <c r="J7826" s="160"/>
      <c r="K7826" s="161">
        <f t="shared" si="2236"/>
        <v>88</v>
      </c>
      <c r="L7826" s="250">
        <v>12</v>
      </c>
      <c r="M7826" s="163" t="str">
        <f>CONCATENATE(H7826," ",F7826,"*",L7826,"мес.","*",I7826,"/",K7826,"чел.")</f>
        <v>4  машины, оборудованных системой ГЛОНАСС*12мес.*0,004313/88чел.</v>
      </c>
      <c r="N7826" s="164">
        <f t="shared" si="2231"/>
        <v>958.08249999999998</v>
      </c>
      <c r="O7826" s="165">
        <f t="shared" si="2234"/>
        <v>2.2539319999999998</v>
      </c>
      <c r="P7826" s="166"/>
      <c r="Q7826" s="166">
        <f t="shared" si="2232"/>
        <v>198.34601599999999</v>
      </c>
      <c r="R7826" s="71"/>
    </row>
    <row r="7827" spans="1:18" s="61" customFormat="1" ht="31.5" x14ac:dyDescent="0.25">
      <c r="A7827" s="358"/>
      <c r="B7827" s="361"/>
      <c r="C7827" s="364"/>
      <c r="D7827" s="156" t="s">
        <v>408</v>
      </c>
      <c r="E7827" s="156" t="s">
        <v>20</v>
      </c>
      <c r="F7827" s="156" t="s">
        <v>20</v>
      </c>
      <c r="G7827" s="238">
        <f>MROUND(H7827*L7827*I7827/K7827,0.00000001)</f>
        <v>8.3172280000000001E-2</v>
      </c>
      <c r="H7827" s="158">
        <f>H6867</f>
        <v>1697</v>
      </c>
      <c r="I7827" s="159">
        <f t="shared" si="2235"/>
        <v>4.313E-3</v>
      </c>
      <c r="J7827" s="160"/>
      <c r="K7827" s="161">
        <f t="shared" si="2236"/>
        <v>88</v>
      </c>
      <c r="L7827" s="250">
        <v>1</v>
      </c>
      <c r="M7827" s="163" t="str">
        <f>CONCATENATE(H7827," ",F7827,"*",L7827," раз в год","*",I7827,"/",K7827,"чел.")</f>
        <v>1697 чел.*1 раз в год*0,004313/88чел.</v>
      </c>
      <c r="N7827" s="164">
        <f t="shared" si="2231"/>
        <v>592.87278137890405</v>
      </c>
      <c r="O7827" s="165">
        <f t="shared" si="2234"/>
        <v>49.310580999999999</v>
      </c>
      <c r="P7827" s="166"/>
      <c r="Q7827" s="166">
        <f t="shared" si="2232"/>
        <v>4339.3311279999998</v>
      </c>
      <c r="R7827" s="71"/>
    </row>
    <row r="7828" spans="1:18" s="61" customFormat="1" x14ac:dyDescent="0.25">
      <c r="A7828" s="358"/>
      <c r="B7828" s="361"/>
      <c r="C7828" s="364"/>
      <c r="D7828" s="156" t="s">
        <v>373</v>
      </c>
      <c r="E7828" s="156" t="s">
        <v>28</v>
      </c>
      <c r="F7828" s="156" t="s">
        <v>28</v>
      </c>
      <c r="G7828" s="157">
        <f>MROUND(H7828*L7828*I7828/K7828,0.000000001)</f>
        <v>1.7644090000000002E-3</v>
      </c>
      <c r="H7828" s="158">
        <f>H6869</f>
        <v>36</v>
      </c>
      <c r="I7828" s="159">
        <f>I7826</f>
        <v>4.313E-3</v>
      </c>
      <c r="J7828" s="160"/>
      <c r="K7828" s="161">
        <f>K7826</f>
        <v>88</v>
      </c>
      <c r="L7828" s="162">
        <v>1</v>
      </c>
      <c r="M7828" s="163" t="str">
        <f>CONCATENATE(H7828," ",F7828,"*",L7828,"мес.","*",I7828,"/",K7828,"чел.")</f>
        <v>36 шт*1мес.*0,004313/88чел.</v>
      </c>
      <c r="N7828" s="164">
        <f>N6869</f>
        <v>24000</v>
      </c>
      <c r="O7828" s="165">
        <f>MROUND(G7828*N7828,0.000000001)</f>
        <v>42.345815999999999</v>
      </c>
      <c r="P7828" s="166"/>
      <c r="Q7828" s="166">
        <f t="shared" si="2232"/>
        <v>3726.4318079999998</v>
      </c>
      <c r="R7828" s="71"/>
    </row>
    <row r="7829" spans="1:18" s="61" customFormat="1" ht="31.5" x14ac:dyDescent="0.25">
      <c r="A7829" s="358"/>
      <c r="B7829" s="361"/>
      <c r="C7829" s="364"/>
      <c r="D7829" s="156" t="s">
        <v>106</v>
      </c>
      <c r="E7829" s="156" t="s">
        <v>107</v>
      </c>
      <c r="F7829" s="156"/>
      <c r="G7829" s="238">
        <f>MROUND(H7829*L7829*I7829/K7829,0.000000001)</f>
        <v>0</v>
      </c>
      <c r="H7829" s="158">
        <f>H6868</f>
        <v>0</v>
      </c>
      <c r="I7829" s="159">
        <f>I7826</f>
        <v>4.313E-3</v>
      </c>
      <c r="J7829" s="160"/>
      <c r="K7829" s="161">
        <f>K7826</f>
        <v>88</v>
      </c>
      <c r="L7829" s="250">
        <f>L6868</f>
        <v>0</v>
      </c>
      <c r="M7829" s="163"/>
      <c r="N7829" s="164">
        <f>N6868</f>
        <v>6.0000000000000002E-5</v>
      </c>
      <c r="O7829" s="165">
        <f>MROUND(G7829*N7829,0.000000001)</f>
        <v>0</v>
      </c>
      <c r="P7829" s="166"/>
      <c r="Q7829" s="166">
        <f t="shared" si="2232"/>
        <v>0</v>
      </c>
      <c r="R7829" s="71"/>
    </row>
    <row r="7830" spans="1:18" s="62" customFormat="1" x14ac:dyDescent="0.25">
      <c r="A7830" s="358"/>
      <c r="B7830" s="361"/>
      <c r="C7830" s="245" t="s">
        <v>296</v>
      </c>
      <c r="D7830" s="240"/>
      <c r="E7830" s="240"/>
      <c r="F7830" s="240"/>
      <c r="G7830" s="227"/>
      <c r="H7830" s="241"/>
      <c r="I7830" s="206"/>
      <c r="J7830" s="228"/>
      <c r="K7830" s="207"/>
      <c r="L7830" s="257"/>
      <c r="M7830" s="209"/>
      <c r="N7830" s="210"/>
      <c r="O7830" s="198">
        <f>SUM(O7816:O7829)</f>
        <v>317.083414</v>
      </c>
      <c r="P7830" s="267"/>
      <c r="Q7830" s="166"/>
      <c r="R7830" s="71"/>
    </row>
    <row r="7831" spans="1:18" s="61" customFormat="1" ht="31.5" x14ac:dyDescent="0.25">
      <c r="A7831" s="358"/>
      <c r="B7831" s="361"/>
      <c r="C7831" s="252" t="s">
        <v>237</v>
      </c>
      <c r="D7831" s="156" t="s">
        <v>41</v>
      </c>
      <c r="E7831" s="156" t="s">
        <v>61</v>
      </c>
      <c r="F7831" s="156" t="s">
        <v>227</v>
      </c>
      <c r="G7831" s="238">
        <f>MROUND(H7831*L7831*I7831/K7831,0.000000001)</f>
        <v>1.9604500000000002E-4</v>
      </c>
      <c r="H7831" s="158">
        <f>H6871</f>
        <v>4</v>
      </c>
      <c r="I7831" s="159">
        <f>I7829</f>
        <v>4.313E-3</v>
      </c>
      <c r="J7831" s="160"/>
      <c r="K7831" s="161">
        <f>K7829</f>
        <v>88</v>
      </c>
      <c r="L7831" s="250">
        <v>1</v>
      </c>
      <c r="M7831" s="163" t="str">
        <f>CONCATENATE(H7831," ",F7831,"*",I7831,"/",K7831,"чел.")</f>
        <v>4 автобуса*0,004313/88чел.</v>
      </c>
      <c r="N7831" s="164">
        <f>N6871</f>
        <v>27983.595000000001</v>
      </c>
      <c r="O7831" s="165">
        <f>MROUND(G7831*N7831,0.000001)</f>
        <v>5.4860439999999997</v>
      </c>
      <c r="P7831" s="166"/>
      <c r="Q7831" s="166">
        <f t="shared" ref="Q7831" si="2237">O7831*K7831</f>
        <v>482.77187199999997</v>
      </c>
      <c r="R7831" s="71"/>
    </row>
    <row r="7832" spans="1:18" s="62" customFormat="1" x14ac:dyDescent="0.25">
      <c r="A7832" s="358"/>
      <c r="B7832" s="361"/>
      <c r="C7832" s="245" t="s">
        <v>297</v>
      </c>
      <c r="D7832" s="240"/>
      <c r="E7832" s="240"/>
      <c r="F7832" s="240"/>
      <c r="G7832" s="227"/>
      <c r="H7832" s="241"/>
      <c r="I7832" s="206"/>
      <c r="J7832" s="228"/>
      <c r="K7832" s="207"/>
      <c r="L7832" s="257"/>
      <c r="M7832" s="209"/>
      <c r="N7832" s="210"/>
      <c r="O7832" s="198">
        <f>SUM(O7831)</f>
        <v>5.4860439999999997</v>
      </c>
      <c r="P7832" s="267"/>
      <c r="Q7832" s="166"/>
      <c r="R7832" s="71"/>
    </row>
    <row r="7833" spans="1:18" s="61" customFormat="1" ht="78.75" x14ac:dyDescent="0.25">
      <c r="A7833" s="358"/>
      <c r="B7833" s="361"/>
      <c r="C7833" s="221" t="s">
        <v>236</v>
      </c>
      <c r="D7833" s="156" t="s">
        <v>19</v>
      </c>
      <c r="E7833" s="181" t="s">
        <v>20</v>
      </c>
      <c r="F7833" s="181" t="s">
        <v>238</v>
      </c>
      <c r="G7833" s="238">
        <f>MROUND(H7833*L7833*I7833/K7833,0.000001)</f>
        <v>0</v>
      </c>
      <c r="H7833" s="158"/>
      <c r="I7833" s="159">
        <f>I7829</f>
        <v>4.313E-3</v>
      </c>
      <c r="J7833" s="160"/>
      <c r="K7833" s="161">
        <f>K7829</f>
        <v>88</v>
      </c>
      <c r="L7833" s="250"/>
      <c r="M7833" s="163"/>
      <c r="N7833" s="164"/>
      <c r="O7833" s="165">
        <f>MROUND(G7833*N7833,0.000001)</f>
        <v>0</v>
      </c>
      <c r="P7833" s="166"/>
      <c r="Q7833" s="166">
        <f t="shared" ref="Q7833" si="2238">O7833*K7833</f>
        <v>0</v>
      </c>
      <c r="R7833" s="71"/>
    </row>
    <row r="7834" spans="1:18" s="62" customFormat="1" x14ac:dyDescent="0.25">
      <c r="A7834" s="358"/>
      <c r="B7834" s="361"/>
      <c r="C7834" s="245" t="s">
        <v>298</v>
      </c>
      <c r="D7834" s="240"/>
      <c r="E7834" s="253"/>
      <c r="F7834" s="253"/>
      <c r="G7834" s="227"/>
      <c r="H7834" s="241"/>
      <c r="I7834" s="206"/>
      <c r="J7834" s="228"/>
      <c r="K7834" s="207"/>
      <c r="L7834" s="257"/>
      <c r="M7834" s="209"/>
      <c r="N7834" s="210"/>
      <c r="O7834" s="198">
        <f>SUM(O7833)</f>
        <v>0</v>
      </c>
      <c r="P7834" s="267"/>
      <c r="Q7834" s="166"/>
      <c r="R7834" s="71"/>
    </row>
    <row r="7835" spans="1:18" s="61" customFormat="1" ht="30" x14ac:dyDescent="0.25">
      <c r="A7835" s="358"/>
      <c r="B7835" s="361"/>
      <c r="C7835" s="365" t="s">
        <v>81</v>
      </c>
      <c r="D7835" s="254" t="s">
        <v>410</v>
      </c>
      <c r="E7835" s="156" t="s">
        <v>28</v>
      </c>
      <c r="F7835" s="156" t="s">
        <v>28</v>
      </c>
      <c r="G7835" s="238">
        <f>MROUND(H7835*L7835*I7835/K7835,0.0000000001)</f>
        <v>0</v>
      </c>
      <c r="H7835" s="158"/>
      <c r="I7835" s="159">
        <f>I7829</f>
        <v>4.313E-3</v>
      </c>
      <c r="J7835" s="160"/>
      <c r="K7835" s="161">
        <f>K7829</f>
        <v>88</v>
      </c>
      <c r="L7835" s="250">
        <v>1</v>
      </c>
      <c r="M7835" s="163"/>
      <c r="N7835" s="164"/>
      <c r="O7835" s="165">
        <f>MROUND(G7835*N7835,0.000001)</f>
        <v>0</v>
      </c>
      <c r="P7835" s="166"/>
      <c r="Q7835" s="166">
        <f t="shared" ref="Q7835:Q7858" si="2239">O7835*K7835</f>
        <v>0</v>
      </c>
      <c r="R7835" s="71"/>
    </row>
    <row r="7836" spans="1:18" s="61" customFormat="1" x14ac:dyDescent="0.25">
      <c r="A7836" s="358"/>
      <c r="B7836" s="361"/>
      <c r="C7836" s="366"/>
      <c r="D7836" s="254" t="s">
        <v>325</v>
      </c>
      <c r="E7836" s="156" t="s">
        <v>28</v>
      </c>
      <c r="F7836" s="156" t="s">
        <v>28</v>
      </c>
      <c r="G7836" s="157">
        <f>MROUND(H7836*L7836*I7836/K7836,0.0000000001)</f>
        <v>0</v>
      </c>
      <c r="H7836" s="158"/>
      <c r="I7836" s="159">
        <f>I7835</f>
        <v>4.313E-3</v>
      </c>
      <c r="J7836" s="160"/>
      <c r="K7836" s="161">
        <f>K7835</f>
        <v>88</v>
      </c>
      <c r="L7836" s="250">
        <v>1</v>
      </c>
      <c r="M7836" s="163"/>
      <c r="N7836" s="164"/>
      <c r="O7836" s="165">
        <f>MROUND(G7836*N7836,0.000001)</f>
        <v>0</v>
      </c>
      <c r="P7836" s="166"/>
      <c r="Q7836" s="166">
        <f t="shared" si="2239"/>
        <v>0</v>
      </c>
      <c r="R7836" s="71"/>
    </row>
    <row r="7837" spans="1:18" s="61" customFormat="1" ht="30" x14ac:dyDescent="0.25">
      <c r="A7837" s="358"/>
      <c r="B7837" s="361"/>
      <c r="C7837" s="366"/>
      <c r="D7837" s="254" t="s">
        <v>411</v>
      </c>
      <c r="E7837" s="156" t="s">
        <v>28</v>
      </c>
      <c r="F7837" s="156" t="s">
        <v>28</v>
      </c>
      <c r="G7837" s="238">
        <f>MROUND(H7837*L7837*I7837/K7837,0.00000001)</f>
        <v>0</v>
      </c>
      <c r="H7837" s="158"/>
      <c r="I7837" s="159">
        <f>I7835</f>
        <v>4.313E-3</v>
      </c>
      <c r="J7837" s="160"/>
      <c r="K7837" s="161">
        <f>K7835</f>
        <v>88</v>
      </c>
      <c r="L7837" s="250">
        <v>1</v>
      </c>
      <c r="M7837" s="163"/>
      <c r="N7837" s="164"/>
      <c r="O7837" s="165">
        <f t="shared" ref="O7837:O7858" si="2240">MROUND(G7837*N7837,0.000001)</f>
        <v>0</v>
      </c>
      <c r="P7837" s="166"/>
      <c r="Q7837" s="166">
        <f t="shared" si="2239"/>
        <v>0</v>
      </c>
      <c r="R7837" s="71"/>
    </row>
    <row r="7838" spans="1:18" s="61" customFormat="1" x14ac:dyDescent="0.25">
      <c r="A7838" s="358"/>
      <c r="B7838" s="361"/>
      <c r="C7838" s="366"/>
      <c r="D7838" s="255" t="s">
        <v>412</v>
      </c>
      <c r="E7838" s="156" t="s">
        <v>28</v>
      </c>
      <c r="F7838" s="156" t="s">
        <v>28</v>
      </c>
      <c r="G7838" s="238">
        <f>MROUND(H7838*L7838*I7838/K7838,0.00000001)</f>
        <v>0</v>
      </c>
      <c r="H7838" s="158"/>
      <c r="I7838" s="159">
        <f>I7837</f>
        <v>4.313E-3</v>
      </c>
      <c r="J7838" s="160"/>
      <c r="K7838" s="161">
        <f>K7837</f>
        <v>88</v>
      </c>
      <c r="L7838" s="250">
        <v>1</v>
      </c>
      <c r="M7838" s="163"/>
      <c r="N7838" s="164"/>
      <c r="O7838" s="165">
        <f t="shared" si="2240"/>
        <v>0</v>
      </c>
      <c r="P7838" s="166"/>
      <c r="Q7838" s="166">
        <f t="shared" si="2239"/>
        <v>0</v>
      </c>
      <c r="R7838" s="71"/>
    </row>
    <row r="7839" spans="1:18" s="61" customFormat="1" ht="31.5" x14ac:dyDescent="0.25">
      <c r="A7839" s="358"/>
      <c r="B7839" s="361"/>
      <c r="C7839" s="366"/>
      <c r="D7839" s="255" t="s">
        <v>413</v>
      </c>
      <c r="E7839" s="156" t="s">
        <v>28</v>
      </c>
      <c r="F7839" s="156" t="s">
        <v>28</v>
      </c>
      <c r="G7839" s="238">
        <f>MROUND(H7839*L7839*I7839/K7839,0.0000000001)</f>
        <v>0</v>
      </c>
      <c r="H7839" s="158"/>
      <c r="I7839" s="159">
        <f>I7838</f>
        <v>4.313E-3</v>
      </c>
      <c r="J7839" s="160"/>
      <c r="K7839" s="161">
        <f>K7838</f>
        <v>88</v>
      </c>
      <c r="L7839" s="250">
        <v>1</v>
      </c>
      <c r="M7839" s="163"/>
      <c r="N7839" s="164"/>
      <c r="O7839" s="165">
        <f t="shared" si="2240"/>
        <v>0</v>
      </c>
      <c r="P7839" s="166"/>
      <c r="Q7839" s="166">
        <f t="shared" si="2239"/>
        <v>0</v>
      </c>
      <c r="R7839" s="71"/>
    </row>
    <row r="7840" spans="1:18" s="61" customFormat="1" x14ac:dyDescent="0.25">
      <c r="A7840" s="358"/>
      <c r="B7840" s="361"/>
      <c r="C7840" s="366"/>
      <c r="D7840" s="254" t="s">
        <v>109</v>
      </c>
      <c r="E7840" s="156" t="s">
        <v>28</v>
      </c>
      <c r="F7840" s="156" t="s">
        <v>28</v>
      </c>
      <c r="G7840" s="238">
        <f>MROUND(H7840*L7840*I7840/K7840,0.0000000001)</f>
        <v>0</v>
      </c>
      <c r="H7840" s="158"/>
      <c r="I7840" s="159">
        <f>I7839</f>
        <v>4.313E-3</v>
      </c>
      <c r="J7840" s="160"/>
      <c r="K7840" s="161">
        <f>K7839</f>
        <v>88</v>
      </c>
      <c r="L7840" s="250">
        <v>1</v>
      </c>
      <c r="M7840" s="163"/>
      <c r="N7840" s="164"/>
      <c r="O7840" s="165">
        <f t="shared" si="2240"/>
        <v>0</v>
      </c>
      <c r="P7840" s="166"/>
      <c r="Q7840" s="166">
        <f t="shared" si="2239"/>
        <v>0</v>
      </c>
      <c r="R7840" s="71"/>
    </row>
    <row r="7841" spans="1:18" s="61" customFormat="1" x14ac:dyDescent="0.25">
      <c r="A7841" s="358"/>
      <c r="B7841" s="361"/>
      <c r="C7841" s="366"/>
      <c r="D7841" s="254" t="s">
        <v>414</v>
      </c>
      <c r="E7841" s="156" t="s">
        <v>28</v>
      </c>
      <c r="F7841" s="156" t="s">
        <v>28</v>
      </c>
      <c r="G7841" s="238">
        <f>MROUND(H7841*L7841*I7841/K7841,0.0000000001)</f>
        <v>0</v>
      </c>
      <c r="H7841" s="158"/>
      <c r="I7841" s="159">
        <f>I7839</f>
        <v>4.313E-3</v>
      </c>
      <c r="J7841" s="160"/>
      <c r="K7841" s="161">
        <f>K7839</f>
        <v>88</v>
      </c>
      <c r="L7841" s="250">
        <v>1</v>
      </c>
      <c r="M7841" s="163"/>
      <c r="N7841" s="164"/>
      <c r="O7841" s="165">
        <f t="shared" si="2240"/>
        <v>0</v>
      </c>
      <c r="P7841" s="166"/>
      <c r="Q7841" s="166">
        <f t="shared" si="2239"/>
        <v>0</v>
      </c>
      <c r="R7841" s="71"/>
    </row>
    <row r="7842" spans="1:18" s="61" customFormat="1" x14ac:dyDescent="0.25">
      <c r="A7842" s="358"/>
      <c r="B7842" s="361"/>
      <c r="C7842" s="366"/>
      <c r="D7842" s="254" t="s">
        <v>415</v>
      </c>
      <c r="E7842" s="156" t="s">
        <v>28</v>
      </c>
      <c r="F7842" s="156" t="s">
        <v>28</v>
      </c>
      <c r="G7842" s="238">
        <f>MROUND(H7842*L7842*I7842/K7842,0.00000001)</f>
        <v>0</v>
      </c>
      <c r="H7842" s="158"/>
      <c r="I7842" s="159">
        <f t="shared" ref="I7842:I7851" si="2241">I7840</f>
        <v>4.313E-3</v>
      </c>
      <c r="J7842" s="160"/>
      <c r="K7842" s="161">
        <f t="shared" ref="K7842:K7851" si="2242">K7840</f>
        <v>88</v>
      </c>
      <c r="L7842" s="250">
        <v>1</v>
      </c>
      <c r="M7842" s="163"/>
      <c r="N7842" s="164"/>
      <c r="O7842" s="165">
        <f t="shared" si="2240"/>
        <v>0</v>
      </c>
      <c r="P7842" s="166"/>
      <c r="Q7842" s="166">
        <f t="shared" si="2239"/>
        <v>0</v>
      </c>
      <c r="R7842" s="71"/>
    </row>
    <row r="7843" spans="1:18" s="61" customFormat="1" x14ac:dyDescent="0.25">
      <c r="A7843" s="358"/>
      <c r="B7843" s="361"/>
      <c r="C7843" s="366"/>
      <c r="D7843" s="254" t="s">
        <v>416</v>
      </c>
      <c r="E7843" s="156" t="s">
        <v>28</v>
      </c>
      <c r="F7843" s="156" t="s">
        <v>28</v>
      </c>
      <c r="G7843" s="238">
        <f>MROUND(H7843*L7843*I7843/K7843,0.000000001)</f>
        <v>0</v>
      </c>
      <c r="H7843" s="246"/>
      <c r="I7843" s="159">
        <f t="shared" si="2241"/>
        <v>4.313E-3</v>
      </c>
      <c r="J7843" s="160"/>
      <c r="K7843" s="161">
        <f t="shared" si="2242"/>
        <v>88</v>
      </c>
      <c r="L7843" s="250">
        <v>1</v>
      </c>
      <c r="M7843" s="163"/>
      <c r="N7843" s="164"/>
      <c r="O7843" s="165">
        <f t="shared" si="2240"/>
        <v>0</v>
      </c>
      <c r="P7843" s="166"/>
      <c r="Q7843" s="166">
        <f t="shared" si="2239"/>
        <v>0</v>
      </c>
      <c r="R7843" s="71"/>
    </row>
    <row r="7844" spans="1:18" s="61" customFormat="1" x14ac:dyDescent="0.25">
      <c r="A7844" s="358"/>
      <c r="B7844" s="361"/>
      <c r="C7844" s="366"/>
      <c r="D7844" s="254" t="s">
        <v>417</v>
      </c>
      <c r="E7844" s="156" t="s">
        <v>28</v>
      </c>
      <c r="F7844" s="156" t="s">
        <v>28</v>
      </c>
      <c r="G7844" s="238">
        <f>MROUND(H7844*L7844*I7844/K7844,0.00000001)</f>
        <v>0</v>
      </c>
      <c r="H7844" s="158"/>
      <c r="I7844" s="159">
        <f t="shared" si="2241"/>
        <v>4.313E-3</v>
      </c>
      <c r="J7844" s="160"/>
      <c r="K7844" s="161">
        <f t="shared" si="2242"/>
        <v>88</v>
      </c>
      <c r="L7844" s="250">
        <v>1</v>
      </c>
      <c r="M7844" s="163"/>
      <c r="N7844" s="164"/>
      <c r="O7844" s="165">
        <f t="shared" si="2240"/>
        <v>0</v>
      </c>
      <c r="P7844" s="166"/>
      <c r="Q7844" s="166">
        <f t="shared" si="2239"/>
        <v>0</v>
      </c>
      <c r="R7844" s="71"/>
    </row>
    <row r="7845" spans="1:18" s="61" customFormat="1" ht="30" x14ac:dyDescent="0.25">
      <c r="A7845" s="358"/>
      <c r="B7845" s="361"/>
      <c r="C7845" s="366"/>
      <c r="D7845" s="254" t="s">
        <v>418</v>
      </c>
      <c r="E7845" s="156" t="s">
        <v>28</v>
      </c>
      <c r="F7845" s="156" t="s">
        <v>28</v>
      </c>
      <c r="G7845" s="238">
        <f>MROUND(H7845*L7845*I7845/K7845,0.00000001)</f>
        <v>0</v>
      </c>
      <c r="H7845" s="158"/>
      <c r="I7845" s="159">
        <f t="shared" si="2241"/>
        <v>4.313E-3</v>
      </c>
      <c r="J7845" s="160"/>
      <c r="K7845" s="161">
        <f t="shared" si="2242"/>
        <v>88</v>
      </c>
      <c r="L7845" s="250">
        <v>1</v>
      </c>
      <c r="M7845" s="163"/>
      <c r="N7845" s="164"/>
      <c r="O7845" s="165">
        <f t="shared" si="2240"/>
        <v>0</v>
      </c>
      <c r="P7845" s="166"/>
      <c r="Q7845" s="166">
        <f t="shared" si="2239"/>
        <v>0</v>
      </c>
      <c r="R7845" s="71"/>
    </row>
    <row r="7846" spans="1:18" s="61" customFormat="1" x14ac:dyDescent="0.25">
      <c r="A7846" s="358"/>
      <c r="B7846" s="361"/>
      <c r="C7846" s="366"/>
      <c r="D7846" s="254" t="s">
        <v>324</v>
      </c>
      <c r="E7846" s="156" t="s">
        <v>28</v>
      </c>
      <c r="F7846" s="156" t="s">
        <v>28</v>
      </c>
      <c r="G7846" s="238">
        <f>MROUND(H7846*L7846*I7846/K7846,0.000000001)</f>
        <v>0</v>
      </c>
      <c r="H7846" s="158"/>
      <c r="I7846" s="159">
        <f t="shared" si="2241"/>
        <v>4.313E-3</v>
      </c>
      <c r="J7846" s="160"/>
      <c r="K7846" s="161">
        <f t="shared" si="2242"/>
        <v>88</v>
      </c>
      <c r="L7846" s="250">
        <v>1</v>
      </c>
      <c r="M7846" s="163"/>
      <c r="N7846" s="164"/>
      <c r="O7846" s="165">
        <f t="shared" si="2240"/>
        <v>0</v>
      </c>
      <c r="P7846" s="166"/>
      <c r="Q7846" s="166">
        <f t="shared" si="2239"/>
        <v>0</v>
      </c>
      <c r="R7846" s="71"/>
    </row>
    <row r="7847" spans="1:18" s="61" customFormat="1" x14ac:dyDescent="0.25">
      <c r="A7847" s="358"/>
      <c r="B7847" s="361"/>
      <c r="C7847" s="366"/>
      <c r="D7847" s="254" t="s">
        <v>419</v>
      </c>
      <c r="E7847" s="156" t="s">
        <v>28</v>
      </c>
      <c r="F7847" s="156" t="s">
        <v>28</v>
      </c>
      <c r="G7847" s="238">
        <f>MROUND(H7847*L7847*I7847/K7847,0.000000001)</f>
        <v>0</v>
      </c>
      <c r="H7847" s="246"/>
      <c r="I7847" s="159">
        <f t="shared" si="2241"/>
        <v>4.313E-3</v>
      </c>
      <c r="J7847" s="160"/>
      <c r="K7847" s="161">
        <f t="shared" si="2242"/>
        <v>88</v>
      </c>
      <c r="L7847" s="250">
        <v>1</v>
      </c>
      <c r="M7847" s="163"/>
      <c r="N7847" s="164"/>
      <c r="O7847" s="165">
        <f t="shared" si="2240"/>
        <v>0</v>
      </c>
      <c r="P7847" s="166"/>
      <c r="Q7847" s="166">
        <f t="shared" si="2239"/>
        <v>0</v>
      </c>
      <c r="R7847" s="71"/>
    </row>
    <row r="7848" spans="1:18" s="61" customFormat="1" x14ac:dyDescent="0.25">
      <c r="A7848" s="358"/>
      <c r="B7848" s="361"/>
      <c r="C7848" s="366"/>
      <c r="D7848" s="254" t="s">
        <v>420</v>
      </c>
      <c r="E7848" s="156" t="s">
        <v>28</v>
      </c>
      <c r="F7848" s="156" t="s">
        <v>28</v>
      </c>
      <c r="G7848" s="238">
        <f>MROUND(H7848*L7848*I7848/K7848,0.000000001)</f>
        <v>0</v>
      </c>
      <c r="H7848" s="158"/>
      <c r="I7848" s="159">
        <f t="shared" si="2241"/>
        <v>4.313E-3</v>
      </c>
      <c r="J7848" s="160"/>
      <c r="K7848" s="161">
        <f t="shared" si="2242"/>
        <v>88</v>
      </c>
      <c r="L7848" s="250">
        <v>1</v>
      </c>
      <c r="M7848" s="163"/>
      <c r="N7848" s="164"/>
      <c r="O7848" s="165">
        <f t="shared" si="2240"/>
        <v>0</v>
      </c>
      <c r="P7848" s="166"/>
      <c r="Q7848" s="166">
        <f t="shared" si="2239"/>
        <v>0</v>
      </c>
      <c r="R7848" s="71"/>
    </row>
    <row r="7849" spans="1:18" s="61" customFormat="1" x14ac:dyDescent="0.25">
      <c r="A7849" s="358"/>
      <c r="B7849" s="361"/>
      <c r="C7849" s="366"/>
      <c r="D7849" s="254" t="s">
        <v>421</v>
      </c>
      <c r="E7849" s="156" t="s">
        <v>28</v>
      </c>
      <c r="F7849" s="156" t="s">
        <v>28</v>
      </c>
      <c r="G7849" s="238">
        <f>MROUND(H7849*L7849*I7849/K7849,0.00000001)</f>
        <v>0</v>
      </c>
      <c r="H7849" s="158"/>
      <c r="I7849" s="159">
        <f t="shared" si="2241"/>
        <v>4.313E-3</v>
      </c>
      <c r="J7849" s="160"/>
      <c r="K7849" s="161">
        <f t="shared" si="2242"/>
        <v>88</v>
      </c>
      <c r="L7849" s="250">
        <v>1</v>
      </c>
      <c r="M7849" s="163"/>
      <c r="N7849" s="164"/>
      <c r="O7849" s="165">
        <f t="shared" si="2240"/>
        <v>0</v>
      </c>
      <c r="P7849" s="166"/>
      <c r="Q7849" s="166">
        <f t="shared" si="2239"/>
        <v>0</v>
      </c>
      <c r="R7849" s="71"/>
    </row>
    <row r="7850" spans="1:18" s="61" customFormat="1" ht="30" x14ac:dyDescent="0.25">
      <c r="A7850" s="358"/>
      <c r="B7850" s="361"/>
      <c r="C7850" s="366"/>
      <c r="D7850" s="254" t="s">
        <v>422</v>
      </c>
      <c r="E7850" s="156" t="s">
        <v>28</v>
      </c>
      <c r="F7850" s="156" t="s">
        <v>28</v>
      </c>
      <c r="G7850" s="266">
        <f>MROUND(H7850*L7850*I7850/K7850,0.00000001)</f>
        <v>0</v>
      </c>
      <c r="H7850" s="158"/>
      <c r="I7850" s="159">
        <f t="shared" si="2241"/>
        <v>4.313E-3</v>
      </c>
      <c r="J7850" s="160"/>
      <c r="K7850" s="161">
        <f t="shared" si="2242"/>
        <v>88</v>
      </c>
      <c r="L7850" s="250">
        <v>1</v>
      </c>
      <c r="M7850" s="163"/>
      <c r="N7850" s="164"/>
      <c r="O7850" s="165">
        <f t="shared" si="2240"/>
        <v>0</v>
      </c>
      <c r="P7850" s="166"/>
      <c r="Q7850" s="166">
        <f t="shared" si="2239"/>
        <v>0</v>
      </c>
      <c r="R7850" s="71"/>
    </row>
    <row r="7851" spans="1:18" s="61" customFormat="1" x14ac:dyDescent="0.25">
      <c r="A7851" s="358"/>
      <c r="B7851" s="361"/>
      <c r="C7851" s="366"/>
      <c r="D7851" s="254" t="s">
        <v>423</v>
      </c>
      <c r="E7851" s="156" t="s">
        <v>28</v>
      </c>
      <c r="F7851" s="156" t="s">
        <v>28</v>
      </c>
      <c r="G7851" s="238">
        <f>MROUND(H7851*L7851*I7851/K7851,0.000000001)</f>
        <v>0</v>
      </c>
      <c r="H7851" s="158"/>
      <c r="I7851" s="159">
        <f t="shared" si="2241"/>
        <v>4.313E-3</v>
      </c>
      <c r="J7851" s="160"/>
      <c r="K7851" s="161">
        <f t="shared" si="2242"/>
        <v>88</v>
      </c>
      <c r="L7851" s="250">
        <v>1</v>
      </c>
      <c r="M7851" s="163"/>
      <c r="N7851" s="164"/>
      <c r="O7851" s="165">
        <f t="shared" si="2240"/>
        <v>0</v>
      </c>
      <c r="P7851" s="166"/>
      <c r="Q7851" s="166">
        <f t="shared" si="2239"/>
        <v>0</v>
      </c>
      <c r="R7851" s="71"/>
    </row>
    <row r="7852" spans="1:18" s="61" customFormat="1" x14ac:dyDescent="0.25">
      <c r="A7852" s="358"/>
      <c r="B7852" s="361"/>
      <c r="C7852" s="366"/>
      <c r="D7852" s="254" t="s">
        <v>424</v>
      </c>
      <c r="E7852" s="156" t="s">
        <v>28</v>
      </c>
      <c r="F7852" s="156" t="s">
        <v>28</v>
      </c>
      <c r="G7852" s="238">
        <f t="shared" ref="G7852:G7858" si="2243">MROUND(H7852*L7852*I7852/K7852,0.00000001)</f>
        <v>0</v>
      </c>
      <c r="H7852" s="158"/>
      <c r="I7852" s="159">
        <f>I7841</f>
        <v>4.313E-3</v>
      </c>
      <c r="J7852" s="160"/>
      <c r="K7852" s="161">
        <f>K7841</f>
        <v>88</v>
      </c>
      <c r="L7852" s="250">
        <v>1</v>
      </c>
      <c r="M7852" s="163"/>
      <c r="N7852" s="164"/>
      <c r="O7852" s="165">
        <f t="shared" si="2240"/>
        <v>0</v>
      </c>
      <c r="P7852" s="166"/>
      <c r="Q7852" s="166">
        <f t="shared" si="2239"/>
        <v>0</v>
      </c>
      <c r="R7852" s="71"/>
    </row>
    <row r="7853" spans="1:18" s="61" customFormat="1" x14ac:dyDescent="0.25">
      <c r="A7853" s="358"/>
      <c r="B7853" s="361"/>
      <c r="C7853" s="366"/>
      <c r="D7853" s="254" t="s">
        <v>425</v>
      </c>
      <c r="E7853" s="156" t="s">
        <v>28</v>
      </c>
      <c r="F7853" s="156" t="s">
        <v>28</v>
      </c>
      <c r="G7853" s="277">
        <f t="shared" si="2243"/>
        <v>0</v>
      </c>
      <c r="H7853" s="158"/>
      <c r="I7853" s="159">
        <f t="shared" ref="I7853:I7858" si="2244">I7852</f>
        <v>4.313E-3</v>
      </c>
      <c r="J7853" s="160"/>
      <c r="K7853" s="161">
        <f t="shared" ref="K7853:K7858" si="2245">K7852</f>
        <v>88</v>
      </c>
      <c r="L7853" s="250">
        <v>1</v>
      </c>
      <c r="M7853" s="163"/>
      <c r="N7853" s="164"/>
      <c r="O7853" s="165">
        <f t="shared" si="2240"/>
        <v>0</v>
      </c>
      <c r="P7853" s="166"/>
      <c r="Q7853" s="166">
        <f t="shared" si="2239"/>
        <v>0</v>
      </c>
      <c r="R7853" s="71"/>
    </row>
    <row r="7854" spans="1:18" s="61" customFormat="1" x14ac:dyDescent="0.25">
      <c r="A7854" s="358"/>
      <c r="B7854" s="361"/>
      <c r="C7854" s="366"/>
      <c r="D7854" s="254" t="s">
        <v>108</v>
      </c>
      <c r="E7854" s="156" t="s">
        <v>28</v>
      </c>
      <c r="F7854" s="156" t="s">
        <v>28</v>
      </c>
      <c r="G7854" s="238">
        <f t="shared" si="2243"/>
        <v>0</v>
      </c>
      <c r="H7854" s="158"/>
      <c r="I7854" s="159">
        <f t="shared" si="2244"/>
        <v>4.313E-3</v>
      </c>
      <c r="J7854" s="160"/>
      <c r="K7854" s="161">
        <f t="shared" si="2245"/>
        <v>88</v>
      </c>
      <c r="L7854" s="250">
        <v>1</v>
      </c>
      <c r="M7854" s="163"/>
      <c r="N7854" s="164"/>
      <c r="O7854" s="165">
        <f t="shared" si="2240"/>
        <v>0</v>
      </c>
      <c r="P7854" s="166"/>
      <c r="Q7854" s="166">
        <f t="shared" si="2239"/>
        <v>0</v>
      </c>
      <c r="R7854" s="71"/>
    </row>
    <row r="7855" spans="1:18" s="61" customFormat="1" x14ac:dyDescent="0.25">
      <c r="A7855" s="358"/>
      <c r="B7855" s="361"/>
      <c r="C7855" s="366"/>
      <c r="D7855" s="254" t="s">
        <v>426</v>
      </c>
      <c r="E7855" s="156" t="s">
        <v>28</v>
      </c>
      <c r="F7855" s="156" t="s">
        <v>28</v>
      </c>
      <c r="G7855" s="238">
        <f t="shared" si="2243"/>
        <v>0</v>
      </c>
      <c r="H7855" s="158"/>
      <c r="I7855" s="159">
        <f t="shared" si="2244"/>
        <v>4.313E-3</v>
      </c>
      <c r="J7855" s="160"/>
      <c r="K7855" s="161">
        <f t="shared" si="2245"/>
        <v>88</v>
      </c>
      <c r="L7855" s="250">
        <v>1</v>
      </c>
      <c r="M7855" s="163"/>
      <c r="N7855" s="164"/>
      <c r="O7855" s="165">
        <f t="shared" si="2240"/>
        <v>0</v>
      </c>
      <c r="P7855" s="166"/>
      <c r="Q7855" s="166">
        <f t="shared" si="2239"/>
        <v>0</v>
      </c>
      <c r="R7855" s="71"/>
    </row>
    <row r="7856" spans="1:18" s="61" customFormat="1" x14ac:dyDescent="0.25">
      <c r="A7856" s="358"/>
      <c r="B7856" s="361"/>
      <c r="C7856" s="366"/>
      <c r="D7856" s="254" t="s">
        <v>427</v>
      </c>
      <c r="E7856" s="156" t="s">
        <v>28</v>
      </c>
      <c r="F7856" s="156" t="s">
        <v>28</v>
      </c>
      <c r="G7856" s="238">
        <f t="shared" si="2243"/>
        <v>0</v>
      </c>
      <c r="H7856" s="158"/>
      <c r="I7856" s="159">
        <f t="shared" si="2244"/>
        <v>4.313E-3</v>
      </c>
      <c r="J7856" s="160"/>
      <c r="K7856" s="161">
        <f t="shared" si="2245"/>
        <v>88</v>
      </c>
      <c r="L7856" s="250">
        <v>1</v>
      </c>
      <c r="M7856" s="163"/>
      <c r="N7856" s="164"/>
      <c r="O7856" s="165">
        <f t="shared" si="2240"/>
        <v>0</v>
      </c>
      <c r="P7856" s="166"/>
      <c r="Q7856" s="166">
        <f t="shared" si="2239"/>
        <v>0</v>
      </c>
      <c r="R7856" s="71"/>
    </row>
    <row r="7857" spans="1:18" s="61" customFormat="1" x14ac:dyDescent="0.25">
      <c r="A7857" s="358"/>
      <c r="B7857" s="361"/>
      <c r="C7857" s="366"/>
      <c r="D7857" s="254" t="s">
        <v>428</v>
      </c>
      <c r="E7857" s="156" t="s">
        <v>28</v>
      </c>
      <c r="F7857" s="156" t="s">
        <v>28</v>
      </c>
      <c r="G7857" s="238">
        <f t="shared" si="2243"/>
        <v>0</v>
      </c>
      <c r="H7857" s="158"/>
      <c r="I7857" s="159">
        <f t="shared" si="2244"/>
        <v>4.313E-3</v>
      </c>
      <c r="J7857" s="160"/>
      <c r="K7857" s="161">
        <f t="shared" si="2245"/>
        <v>88</v>
      </c>
      <c r="L7857" s="250">
        <v>1</v>
      </c>
      <c r="M7857" s="163"/>
      <c r="N7857" s="164"/>
      <c r="O7857" s="165">
        <f t="shared" si="2240"/>
        <v>0</v>
      </c>
      <c r="P7857" s="166"/>
      <c r="Q7857" s="166">
        <f t="shared" si="2239"/>
        <v>0</v>
      </c>
      <c r="R7857" s="71"/>
    </row>
    <row r="7858" spans="1:18" s="61" customFormat="1" x14ac:dyDescent="0.25">
      <c r="A7858" s="358"/>
      <c r="B7858" s="361"/>
      <c r="C7858" s="366"/>
      <c r="D7858" s="255" t="s">
        <v>429</v>
      </c>
      <c r="E7858" s="156" t="s">
        <v>28</v>
      </c>
      <c r="F7858" s="156" t="s">
        <v>28</v>
      </c>
      <c r="G7858" s="238">
        <f t="shared" si="2243"/>
        <v>0</v>
      </c>
      <c r="H7858" s="158"/>
      <c r="I7858" s="159">
        <f t="shared" si="2244"/>
        <v>4.313E-3</v>
      </c>
      <c r="J7858" s="160"/>
      <c r="K7858" s="161">
        <f t="shared" si="2245"/>
        <v>88</v>
      </c>
      <c r="L7858" s="250">
        <v>1</v>
      </c>
      <c r="M7858" s="163"/>
      <c r="N7858" s="164"/>
      <c r="O7858" s="165">
        <f t="shared" si="2240"/>
        <v>0</v>
      </c>
      <c r="P7858" s="166"/>
      <c r="Q7858" s="166">
        <f t="shared" si="2239"/>
        <v>0</v>
      </c>
      <c r="R7858" s="71"/>
    </row>
    <row r="7859" spans="1:18" s="62" customFormat="1" x14ac:dyDescent="0.25">
      <c r="A7859" s="358"/>
      <c r="B7859" s="361"/>
      <c r="C7859" s="249" t="s">
        <v>299</v>
      </c>
      <c r="D7859" s="256"/>
      <c r="E7859" s="240"/>
      <c r="F7859" s="240"/>
      <c r="G7859" s="227"/>
      <c r="H7859" s="241"/>
      <c r="I7859" s="206"/>
      <c r="J7859" s="228"/>
      <c r="K7859" s="207"/>
      <c r="L7859" s="257"/>
      <c r="M7859" s="209"/>
      <c r="N7859" s="210"/>
      <c r="O7859" s="198">
        <f>SUM(O7835:O7858)</f>
        <v>0</v>
      </c>
      <c r="P7859" s="267"/>
      <c r="Q7859" s="166"/>
      <c r="R7859" s="71"/>
    </row>
    <row r="7860" spans="1:18" s="61" customFormat="1" ht="110.25" x14ac:dyDescent="0.25">
      <c r="A7860" s="358"/>
      <c r="B7860" s="361"/>
      <c r="C7860" s="221" t="s">
        <v>82</v>
      </c>
      <c r="D7860" s="156" t="s">
        <v>46</v>
      </c>
      <c r="E7860" s="156" t="s">
        <v>54</v>
      </c>
      <c r="F7860" s="156" t="s">
        <v>285</v>
      </c>
      <c r="G7860" s="238">
        <f>MROUND(H7860*L7860*I7860/K7860,0.000001)</f>
        <v>0.55431900000000001</v>
      </c>
      <c r="H7860" s="242">
        <f>H6900</f>
        <v>1028.1818077549303</v>
      </c>
      <c r="I7860" s="159">
        <f>I7858</f>
        <v>4.313E-3</v>
      </c>
      <c r="J7860" s="160"/>
      <c r="K7860" s="161">
        <f>K7858</f>
        <v>88</v>
      </c>
      <c r="L7860" s="225">
        <f>L7500</f>
        <v>11</v>
      </c>
      <c r="M7860" s="163" t="str">
        <f>CONCATENATE(H7860," ",F7860,"*",L7860,"автобуса","*",I7860,"/",K7860,"чел.")</f>
        <v>1028,18180775493 л бензина АИ 92 (12,5л/день(зимой)*20дней*7мес+10л/день(летом)*20дней*4мес)*11автобуса*0,004313/88чел.</v>
      </c>
      <c r="N7860" s="164">
        <f>N6900</f>
        <v>59.28728000000001</v>
      </c>
      <c r="O7860" s="165">
        <f>MROUND(G7860*N7860,0.000001)</f>
        <v>32.864066000000001</v>
      </c>
      <c r="P7860" s="166"/>
      <c r="Q7860" s="166">
        <f t="shared" ref="Q7860" si="2246">O7860*K7860</f>
        <v>2892.037808</v>
      </c>
      <c r="R7860" s="71"/>
    </row>
    <row r="7861" spans="1:18" s="62" customFormat="1" x14ac:dyDescent="0.25">
      <c r="A7861" s="358"/>
      <c r="B7861" s="361"/>
      <c r="C7861" s="218" t="s">
        <v>300</v>
      </c>
      <c r="D7861" s="240"/>
      <c r="E7861" s="240"/>
      <c r="F7861" s="240"/>
      <c r="G7861" s="227"/>
      <c r="H7861" s="241"/>
      <c r="I7861" s="206"/>
      <c r="J7861" s="228"/>
      <c r="K7861" s="207"/>
      <c r="L7861" s="257"/>
      <c r="M7861" s="209"/>
      <c r="N7861" s="210"/>
      <c r="O7861" s="198">
        <f>SUM(O7860)</f>
        <v>32.864066000000001</v>
      </c>
      <c r="P7861" s="267"/>
      <c r="Q7861" s="166"/>
      <c r="R7861" s="71"/>
    </row>
    <row r="7862" spans="1:18" s="61" customFormat="1" ht="47.25" x14ac:dyDescent="0.25">
      <c r="A7862" s="358"/>
      <c r="B7862" s="361"/>
      <c r="C7862" s="221" t="s">
        <v>434</v>
      </c>
      <c r="D7862" s="156" t="s">
        <v>436</v>
      </c>
      <c r="E7862" s="156" t="s">
        <v>28</v>
      </c>
      <c r="F7862" s="156" t="s">
        <v>437</v>
      </c>
      <c r="G7862" s="157">
        <f>MROUND(H7862*L7862*I7862/K7862,0.000001)</f>
        <v>1.4213E-2</v>
      </c>
      <c r="H7862" s="242">
        <f>$H$125</f>
        <v>290</v>
      </c>
      <c r="I7862" s="159">
        <f>I7860</f>
        <v>4.313E-3</v>
      </c>
      <c r="J7862" s="160"/>
      <c r="K7862" s="161">
        <f>K7860</f>
        <v>88</v>
      </c>
      <c r="L7862" s="162">
        <v>1</v>
      </c>
      <c r="M7862" s="163" t="str">
        <f>CONCATENATE(H7862," ",F7862,"*",L7862,"автобуса","*",I7862,"/",K7862,"чел.")</f>
        <v>290 огнетушителей (потребность учреждений) *1автобуса*0,004313/88чел.</v>
      </c>
      <c r="N7862" s="164">
        <f>$N$125</f>
        <v>2000</v>
      </c>
      <c r="O7862" s="165">
        <f>MROUND(G7862*N7862,0.000001)</f>
        <v>28.425999999999998</v>
      </c>
      <c r="P7862" s="166"/>
      <c r="Q7862" s="166">
        <f t="shared" ref="Q7862" si="2247">O7862*K7862</f>
        <v>2501.4879999999998</v>
      </c>
      <c r="R7862" s="71"/>
    </row>
    <row r="7863" spans="1:18" s="61" customFormat="1" x14ac:dyDescent="0.25">
      <c r="A7863" s="358"/>
      <c r="B7863" s="361"/>
      <c r="C7863" s="218" t="s">
        <v>435</v>
      </c>
      <c r="D7863" s="240"/>
      <c r="E7863" s="240"/>
      <c r="F7863" s="240"/>
      <c r="G7863" s="251"/>
      <c r="H7863" s="241"/>
      <c r="I7863" s="206"/>
      <c r="J7863" s="228"/>
      <c r="K7863" s="207"/>
      <c r="L7863" s="229"/>
      <c r="M7863" s="209"/>
      <c r="N7863" s="210"/>
      <c r="O7863" s="198">
        <f>SUM(O7862)</f>
        <v>28.425999999999998</v>
      </c>
      <c r="P7863" s="166"/>
      <c r="Q7863" s="166"/>
      <c r="R7863" s="71"/>
    </row>
    <row r="7864" spans="1:18" s="61" customFormat="1" ht="47.25" x14ac:dyDescent="0.25">
      <c r="A7864" s="358"/>
      <c r="B7864" s="361"/>
      <c r="C7864" s="364" t="s">
        <v>118</v>
      </c>
      <c r="D7864" s="156" t="s">
        <v>47</v>
      </c>
      <c r="E7864" s="156" t="s">
        <v>28</v>
      </c>
      <c r="F7864" s="156" t="s">
        <v>239</v>
      </c>
      <c r="G7864" s="238">
        <f>MROUND(H7864*L7864*I7864/K7864,0.00000001)</f>
        <v>6.8615899999999999E-3</v>
      </c>
      <c r="H7864" s="158">
        <f>H6904</f>
        <v>140</v>
      </c>
      <c r="I7864" s="159">
        <f>I7860</f>
        <v>4.313E-3</v>
      </c>
      <c r="J7864" s="160"/>
      <c r="K7864" s="161">
        <f>K7860</f>
        <v>88</v>
      </c>
      <c r="L7864" s="250">
        <v>1</v>
      </c>
      <c r="M7864" s="163" t="str">
        <f>CONCATENATE(H7864," ",F7864,"*",I7864,"/",K7864,"чел.")</f>
        <v>140 манометров (потребность учреждений) *0,004313/88чел.</v>
      </c>
      <c r="N7864" s="164">
        <f>N6904</f>
        <v>770.73500000000035</v>
      </c>
      <c r="O7864" s="165">
        <f>MROUND(G7864*N7864,0.000001)</f>
        <v>5.2884679999999999</v>
      </c>
      <c r="P7864" s="166"/>
      <c r="Q7864" s="166">
        <f t="shared" ref="Q7864:Q7865" si="2248">O7864*K7864</f>
        <v>465.38518399999998</v>
      </c>
      <c r="R7864" s="71"/>
    </row>
    <row r="7865" spans="1:18" s="61" customFormat="1" ht="47.25" x14ac:dyDescent="0.25">
      <c r="A7865" s="358"/>
      <c r="B7865" s="361"/>
      <c r="C7865" s="364"/>
      <c r="D7865" s="255" t="s">
        <v>113</v>
      </c>
      <c r="E7865" s="156" t="s">
        <v>28</v>
      </c>
      <c r="F7865" s="156" t="s">
        <v>240</v>
      </c>
      <c r="G7865" s="238">
        <f>MROUND(H7865*L7865*I7865/K7865,0.00000001)</f>
        <v>0.28009993999999999</v>
      </c>
      <c r="H7865" s="158">
        <f>H6905</f>
        <v>5715</v>
      </c>
      <c r="I7865" s="159">
        <f>I7864</f>
        <v>4.313E-3</v>
      </c>
      <c r="J7865" s="160"/>
      <c r="K7865" s="161">
        <f>K7864</f>
        <v>88</v>
      </c>
      <c r="L7865" s="250">
        <v>1</v>
      </c>
      <c r="M7865" s="163" t="str">
        <f>CONCATENATE(H7865," ",F7865,"*",I7865,"/",K7865,"чел.")</f>
        <v>5715 светильников (потребность учреждений)*0,004313/88чел.</v>
      </c>
      <c r="N7865" s="164">
        <f>N6905</f>
        <v>115.61019597550306</v>
      </c>
      <c r="O7865" s="165">
        <f>MROUND(G7865*N7865,0.000001)</f>
        <v>32.382408999999996</v>
      </c>
      <c r="P7865" s="166"/>
      <c r="Q7865" s="166">
        <f t="shared" si="2248"/>
        <v>2849.6519919999996</v>
      </c>
      <c r="R7865" s="71"/>
    </row>
    <row r="7866" spans="1:18" s="62" customFormat="1" x14ac:dyDescent="0.25">
      <c r="A7866" s="359"/>
      <c r="B7866" s="362"/>
      <c r="C7866" s="218" t="s">
        <v>301</v>
      </c>
      <c r="D7866" s="256"/>
      <c r="E7866" s="240"/>
      <c r="F7866" s="240"/>
      <c r="G7866" s="227"/>
      <c r="H7866" s="241"/>
      <c r="I7866" s="206"/>
      <c r="J7866" s="228"/>
      <c r="K7866" s="207"/>
      <c r="L7866" s="257"/>
      <c r="M7866" s="209"/>
      <c r="N7866" s="210"/>
      <c r="O7866" s="198">
        <f>SUM(O7864:O7865)</f>
        <v>37.670876999999997</v>
      </c>
      <c r="P7866" s="267"/>
      <c r="Q7866" s="166"/>
      <c r="R7866" s="71"/>
    </row>
    <row r="7867" spans="1:18" s="61" customFormat="1" x14ac:dyDescent="0.25">
      <c r="A7867" s="357" t="str">
        <f>CONCATENATE(школы!$B$15,", ",школы!$C$15,", ",школы!$D$15)</f>
        <v xml:space="preserve">Реализация основных общеобразовательных программ основного общего образования, , </v>
      </c>
      <c r="B7867" s="360" t="str">
        <f>школы!$A$15</f>
        <v>802111О.99.0.БА96АЮ58001</v>
      </c>
      <c r="C7867" s="194"/>
      <c r="D7867" s="363" t="s">
        <v>15</v>
      </c>
      <c r="E7867" s="363"/>
      <c r="F7867" s="363"/>
      <c r="G7867" s="363"/>
      <c r="H7867" s="195"/>
      <c r="I7867" s="195"/>
      <c r="J7867" s="195"/>
      <c r="K7867" s="195"/>
      <c r="L7867" s="196"/>
      <c r="M7867" s="197"/>
      <c r="N7867" s="164"/>
      <c r="O7867" s="198">
        <f>O7868+O7873+O7875</f>
        <v>9094.7031658939995</v>
      </c>
      <c r="P7867" s="166"/>
      <c r="Q7867" s="166"/>
      <c r="R7867" s="71"/>
    </row>
    <row r="7868" spans="1:18" s="61" customFormat="1" x14ac:dyDescent="0.25">
      <c r="A7868" s="358"/>
      <c r="B7868" s="361"/>
      <c r="C7868" s="194"/>
      <c r="D7868" s="350" t="s">
        <v>62</v>
      </c>
      <c r="E7868" s="350"/>
      <c r="F7868" s="350"/>
      <c r="G7868" s="350"/>
      <c r="H7868" s="195"/>
      <c r="I7868" s="195"/>
      <c r="J7868" s="195"/>
      <c r="K7868" s="195"/>
      <c r="L7868" s="196"/>
      <c r="M7868" s="197"/>
      <c r="N7868" s="164"/>
      <c r="O7868" s="165">
        <f>O7870+O7872</f>
        <v>9094.7031658939995</v>
      </c>
      <c r="P7868" s="166"/>
      <c r="Q7868" s="166"/>
      <c r="R7868" s="71"/>
    </row>
    <row r="7869" spans="1:18" s="61" customFormat="1" x14ac:dyDescent="0.25">
      <c r="A7869" s="358"/>
      <c r="B7869" s="361"/>
      <c r="C7869" s="194">
        <v>211</v>
      </c>
      <c r="D7869" s="194" t="s">
        <v>86</v>
      </c>
      <c r="E7869" s="199" t="s">
        <v>95</v>
      </c>
      <c r="F7869" s="199" t="s">
        <v>95</v>
      </c>
      <c r="G7869" s="275">
        <f>MROUND(H7869*L7869*I7869/K7869,0.0000000001)</f>
        <v>0.54217515589999998</v>
      </c>
      <c r="H7869" s="201">
        <f>H7029</f>
        <v>921.8</v>
      </c>
      <c r="I7869" s="159">
        <f>школы!$K$15</f>
        <v>0.47073209999999999</v>
      </c>
      <c r="J7869" s="159"/>
      <c r="K7869" s="161">
        <f>школы!$G$15</f>
        <v>9604</v>
      </c>
      <c r="L7869" s="202">
        <v>12</v>
      </c>
      <c r="M7869" s="163" t="str">
        <f>CONCATENATE(H7869," ",F7869," ","в мес.","*",L7869,"мес.","*",I7869,"/",K7869,"чел.")</f>
        <v>921,8 шт.ед в мес.*12мес.*0,4707321/9604чел.</v>
      </c>
      <c r="N7869" s="164">
        <f>N7029</f>
        <v>12883.620739314385</v>
      </c>
      <c r="O7869" s="165">
        <f>MROUND(G7869*N7869,0.000000001)</f>
        <v>6985.1790828940002</v>
      </c>
      <c r="P7869" s="166"/>
      <c r="Q7869" s="166">
        <f t="shared" ref="Q7869" si="2249">O7869*K7869</f>
        <v>67085659.912113979</v>
      </c>
      <c r="R7869" s="71"/>
    </row>
    <row r="7870" spans="1:18" s="62" customFormat="1" x14ac:dyDescent="0.25">
      <c r="A7870" s="358"/>
      <c r="B7870" s="361"/>
      <c r="C7870" s="203" t="s">
        <v>288</v>
      </c>
      <c r="D7870" s="203"/>
      <c r="E7870" s="204"/>
      <c r="F7870" s="204"/>
      <c r="G7870" s="205"/>
      <c r="H7870" s="206"/>
      <c r="I7870" s="206"/>
      <c r="J7870" s="206"/>
      <c r="K7870" s="207"/>
      <c r="L7870" s="208"/>
      <c r="M7870" s="209"/>
      <c r="N7870" s="210">
        <f>N7869</f>
        <v>12883.620739314385</v>
      </c>
      <c r="O7870" s="198">
        <f>O7869</f>
        <v>6985.1790828940002</v>
      </c>
      <c r="P7870" s="267"/>
      <c r="Q7870" s="166"/>
      <c r="R7870" s="71"/>
    </row>
    <row r="7871" spans="1:18" s="61" customFormat="1" x14ac:dyDescent="0.25">
      <c r="A7871" s="358"/>
      <c r="B7871" s="361"/>
      <c r="C7871" s="194">
        <v>213</v>
      </c>
      <c r="D7871" s="194" t="s">
        <v>87</v>
      </c>
      <c r="E7871" s="194" t="s">
        <v>88</v>
      </c>
      <c r="F7871" s="194"/>
      <c r="G7871" s="211">
        <v>30.2</v>
      </c>
      <c r="H7871" s="159"/>
      <c r="I7871" s="159"/>
      <c r="J7871" s="159"/>
      <c r="K7871" s="161">
        <f>K7869</f>
        <v>9604</v>
      </c>
      <c r="L7871" s="202"/>
      <c r="M7871" s="212"/>
      <c r="N7871" s="164"/>
      <c r="O7871" s="165">
        <f>MROUND(O7869*0.302,0.000001)</f>
        <v>2109.5240829999998</v>
      </c>
      <c r="P7871" s="166"/>
      <c r="Q7871" s="166">
        <f>O7871*K7871</f>
        <v>20259869.293132</v>
      </c>
      <c r="R7871" s="71"/>
    </row>
    <row r="7872" spans="1:18" s="62" customFormat="1" x14ac:dyDescent="0.25">
      <c r="A7872" s="358"/>
      <c r="B7872" s="361"/>
      <c r="C7872" s="203" t="s">
        <v>289</v>
      </c>
      <c r="D7872" s="203"/>
      <c r="E7872" s="203"/>
      <c r="F7872" s="203"/>
      <c r="G7872" s="213"/>
      <c r="H7872" s="214"/>
      <c r="I7872" s="206"/>
      <c r="J7872" s="214"/>
      <c r="K7872" s="207"/>
      <c r="L7872" s="215"/>
      <c r="M7872" s="216"/>
      <c r="N7872" s="210"/>
      <c r="O7872" s="198">
        <f>O7871</f>
        <v>2109.5240829999998</v>
      </c>
      <c r="P7872" s="267"/>
      <c r="Q7872" s="166"/>
      <c r="R7872" s="71"/>
    </row>
    <row r="7873" spans="1:18" s="61" customFormat="1" x14ac:dyDescent="0.25">
      <c r="A7873" s="358"/>
      <c r="B7873" s="361"/>
      <c r="C7873" s="194"/>
      <c r="D7873" s="356" t="s">
        <v>63</v>
      </c>
      <c r="E7873" s="356"/>
      <c r="F7873" s="356"/>
      <c r="G7873" s="356"/>
      <c r="H7873" s="195"/>
      <c r="I7873" s="159"/>
      <c r="J7873" s="195"/>
      <c r="K7873" s="161"/>
      <c r="L7873" s="196"/>
      <c r="M7873" s="197"/>
      <c r="N7873" s="164"/>
      <c r="O7873" s="165"/>
      <c r="P7873" s="166"/>
      <c r="Q7873" s="166"/>
      <c r="R7873" s="71"/>
    </row>
    <row r="7874" spans="1:18" s="61" customFormat="1" x14ac:dyDescent="0.25">
      <c r="A7874" s="358"/>
      <c r="B7874" s="361"/>
      <c r="C7874" s="194"/>
      <c r="D7874" s="194"/>
      <c r="E7874" s="194"/>
      <c r="F7874" s="194"/>
      <c r="G7874" s="217"/>
      <c r="H7874" s="195"/>
      <c r="I7874" s="159"/>
      <c r="J7874" s="195"/>
      <c r="K7874" s="161"/>
      <c r="L7874" s="196"/>
      <c r="M7874" s="197"/>
      <c r="N7874" s="164"/>
      <c r="O7874" s="165"/>
      <c r="P7874" s="166"/>
      <c r="Q7874" s="166"/>
      <c r="R7874" s="71"/>
    </row>
    <row r="7875" spans="1:18" s="61" customFormat="1" x14ac:dyDescent="0.25">
      <c r="A7875" s="358"/>
      <c r="B7875" s="361"/>
      <c r="C7875" s="194"/>
      <c r="D7875" s="350" t="s">
        <v>64</v>
      </c>
      <c r="E7875" s="350"/>
      <c r="F7875" s="350"/>
      <c r="G7875" s="350"/>
      <c r="H7875" s="195"/>
      <c r="I7875" s="159"/>
      <c r="J7875" s="195"/>
      <c r="K7875" s="161"/>
      <c r="L7875" s="196"/>
      <c r="M7875" s="197"/>
      <c r="N7875" s="164"/>
      <c r="O7875" s="165"/>
      <c r="P7875" s="166"/>
      <c r="Q7875" s="166"/>
      <c r="R7875" s="71"/>
    </row>
    <row r="7876" spans="1:18" s="61" customFormat="1" x14ac:dyDescent="0.25">
      <c r="A7876" s="358"/>
      <c r="B7876" s="361"/>
      <c r="C7876" s="194"/>
      <c r="D7876" s="194"/>
      <c r="E7876" s="194"/>
      <c r="F7876" s="194"/>
      <c r="G7876" s="217"/>
      <c r="H7876" s="195"/>
      <c r="I7876" s="159"/>
      <c r="J7876" s="195"/>
      <c r="K7876" s="161"/>
      <c r="L7876" s="196"/>
      <c r="M7876" s="197"/>
      <c r="N7876" s="164"/>
      <c r="O7876" s="165"/>
      <c r="P7876" s="166"/>
      <c r="Q7876" s="166"/>
      <c r="R7876" s="71"/>
    </row>
    <row r="7877" spans="1:18" s="61" customFormat="1" x14ac:dyDescent="0.25">
      <c r="A7877" s="358"/>
      <c r="B7877" s="361"/>
      <c r="C7877" s="194"/>
      <c r="D7877" s="355" t="s">
        <v>5</v>
      </c>
      <c r="E7877" s="355"/>
      <c r="F7877" s="355"/>
      <c r="G7877" s="355"/>
      <c r="H7877" s="195"/>
      <c r="I7877" s="159"/>
      <c r="J7877" s="195"/>
      <c r="K7877" s="161"/>
      <c r="L7877" s="196"/>
      <c r="M7877" s="197"/>
      <c r="N7877" s="164"/>
      <c r="O7877" s="198">
        <f>O7878+O7888+O7899+O7901+O7903+O7905+O7907</f>
        <v>15262.512770706979</v>
      </c>
      <c r="P7877" s="166"/>
      <c r="Q7877" s="166"/>
      <c r="R7877" s="71"/>
    </row>
    <row r="7878" spans="1:18" s="61" customFormat="1" x14ac:dyDescent="0.25">
      <c r="A7878" s="358"/>
      <c r="B7878" s="361"/>
      <c r="C7878" s="218" t="s">
        <v>70</v>
      </c>
      <c r="D7878" s="355" t="s">
        <v>6</v>
      </c>
      <c r="E7878" s="355"/>
      <c r="F7878" s="355"/>
      <c r="G7878" s="355"/>
      <c r="H7878" s="189"/>
      <c r="I7878" s="159"/>
      <c r="J7878" s="189"/>
      <c r="K7878" s="161"/>
      <c r="L7878" s="190"/>
      <c r="M7878" s="197"/>
      <c r="N7878" s="210"/>
      <c r="O7878" s="198">
        <f>O7887</f>
        <v>9224.2891020099996</v>
      </c>
      <c r="P7878" s="166"/>
      <c r="Q7878" s="166"/>
      <c r="R7878" s="71"/>
    </row>
    <row r="7879" spans="1:18" s="61" customFormat="1" ht="31.5" x14ac:dyDescent="0.25">
      <c r="A7879" s="358"/>
      <c r="B7879" s="361"/>
      <c r="C7879" s="221" t="s">
        <v>72</v>
      </c>
      <c r="D7879" s="222" t="s">
        <v>7</v>
      </c>
      <c r="E7879" s="223" t="s">
        <v>8</v>
      </c>
      <c r="F7879" s="223" t="s">
        <v>8</v>
      </c>
      <c r="G7879" s="238">
        <f>MROUND(H7879*L7879*I7879/K7879,0.00000000001)</f>
        <v>162.38990073091</v>
      </c>
      <c r="H7879" s="160">
        <f>H7159</f>
        <v>3313121.4264326878</v>
      </c>
      <c r="I7879" s="159">
        <f>I7869</f>
        <v>0.47073209999999999</v>
      </c>
      <c r="J7879" s="160"/>
      <c r="K7879" s="161">
        <f>K7869</f>
        <v>9604</v>
      </c>
      <c r="L7879" s="250">
        <v>1</v>
      </c>
      <c r="M7879" s="163" t="str">
        <f t="shared" ref="M7879:M7884" si="2250">CONCATENATE(H7879," ",F7879,"(лимиты выделенные УЖКХ) ","*",I7879,"/",K7879,"чел.")</f>
        <v>3313121,42643269 кВт час.(лимиты выделенные УЖКХ) *0,4707321/9604чел.</v>
      </c>
      <c r="N7879" s="164">
        <f>N7159</f>
        <v>11.333602475424668</v>
      </c>
      <c r="O7879" s="165">
        <f t="shared" ref="O7879:O7882" si="2251">MROUND(G7879*N7879,0.000001)</f>
        <v>1840.462581</v>
      </c>
      <c r="P7879" s="166"/>
      <c r="Q7879" s="166">
        <f t="shared" ref="Q7879:Q7886" si="2252">O7879*K7879</f>
        <v>17675802.627923999</v>
      </c>
      <c r="R7879" s="71"/>
    </row>
    <row r="7880" spans="1:18" s="61" customFormat="1" ht="31.5" x14ac:dyDescent="0.25">
      <c r="A7880" s="358"/>
      <c r="B7880" s="361"/>
      <c r="C7880" s="221" t="s">
        <v>73</v>
      </c>
      <c r="D7880" s="222" t="s">
        <v>9</v>
      </c>
      <c r="E7880" s="223" t="s">
        <v>10</v>
      </c>
      <c r="F7880" s="223" t="s">
        <v>10</v>
      </c>
      <c r="G7880" s="238">
        <f>MROUND(H7880*L7880*I7880/K7880,0.00000000001)</f>
        <v>1.5634241336099999</v>
      </c>
      <c r="H7880" s="160">
        <f t="shared" ref="H7880:H7885" si="2253">H6800</f>
        <v>31897.39</v>
      </c>
      <c r="I7880" s="159">
        <f t="shared" ref="I7880:I7932" si="2254">I7879</f>
        <v>0.47073209999999999</v>
      </c>
      <c r="J7880" s="160"/>
      <c r="K7880" s="161">
        <f t="shared" ref="K7880:K7886" si="2255">K7879</f>
        <v>9604</v>
      </c>
      <c r="L7880" s="250">
        <v>1</v>
      </c>
      <c r="M7880" s="163" t="str">
        <f t="shared" si="2250"/>
        <v>31897,39 Гкал(лимиты выделенные УЖКХ) *0,4707321/9604чел.</v>
      </c>
      <c r="N7880" s="164">
        <f t="shared" ref="N7880:N7885" si="2256">N6800</f>
        <v>3095.3018623153812</v>
      </c>
      <c r="O7880" s="165">
        <f t="shared" si="2251"/>
        <v>4839.2696319999995</v>
      </c>
      <c r="P7880" s="166"/>
      <c r="Q7880" s="166">
        <f t="shared" si="2252"/>
        <v>46476345.545727998</v>
      </c>
      <c r="R7880" s="71"/>
    </row>
    <row r="7881" spans="1:18" s="61" customFormat="1" ht="31.5" x14ac:dyDescent="0.25">
      <c r="A7881" s="358"/>
      <c r="B7881" s="361"/>
      <c r="C7881" s="364" t="s">
        <v>74</v>
      </c>
      <c r="D7881" s="222" t="s">
        <v>12</v>
      </c>
      <c r="E7881" s="222" t="s">
        <v>11</v>
      </c>
      <c r="F7881" s="222" t="s">
        <v>11</v>
      </c>
      <c r="G7881" s="238">
        <f>MROUND(H7881*L7881*I7881/K7881,0.00000000001)</f>
        <v>9.0541511033899997</v>
      </c>
      <c r="H7881" s="224">
        <f t="shared" si="2253"/>
        <v>184725.17</v>
      </c>
      <c r="I7881" s="159">
        <f t="shared" si="2254"/>
        <v>0.47073209999999999</v>
      </c>
      <c r="J7881" s="160"/>
      <c r="K7881" s="161">
        <f t="shared" si="2255"/>
        <v>9604</v>
      </c>
      <c r="L7881" s="250">
        <v>1</v>
      </c>
      <c r="M7881" s="163" t="str">
        <f t="shared" si="2250"/>
        <v>184725,17 м3(лимиты выделенные УЖКХ) *0,4707321/9604чел.</v>
      </c>
      <c r="N7881" s="164">
        <f t="shared" si="2256"/>
        <v>56.382747245543193</v>
      </c>
      <c r="O7881" s="165">
        <f t="shared" si="2251"/>
        <v>510.49791299999998</v>
      </c>
      <c r="P7881" s="166"/>
      <c r="Q7881" s="166">
        <f t="shared" si="2252"/>
        <v>4902821.956452</v>
      </c>
      <c r="R7881" s="71"/>
    </row>
    <row r="7882" spans="1:18" s="61" customFormat="1" ht="47.25" x14ac:dyDescent="0.25">
      <c r="A7882" s="358"/>
      <c r="B7882" s="361"/>
      <c r="C7882" s="364"/>
      <c r="D7882" s="222" t="s">
        <v>17</v>
      </c>
      <c r="E7882" s="222" t="s">
        <v>11</v>
      </c>
      <c r="F7882" s="222" t="s">
        <v>11</v>
      </c>
      <c r="G7882" s="238">
        <f>MROUND(H7882*L7882*I7882/K7882,0.00000000001)</f>
        <v>9.0541511033899997</v>
      </c>
      <c r="H7882" s="160">
        <f t="shared" si="2253"/>
        <v>184725.17</v>
      </c>
      <c r="I7882" s="159">
        <f t="shared" si="2254"/>
        <v>0.47073209999999999</v>
      </c>
      <c r="J7882" s="160"/>
      <c r="K7882" s="161">
        <f t="shared" si="2255"/>
        <v>9604</v>
      </c>
      <c r="L7882" s="162">
        <f>$L$6802</f>
        <v>1</v>
      </c>
      <c r="M7882" s="163" t="str">
        <f t="shared" si="2250"/>
        <v>184725,17 м3(лимиты выделенные УЖКХ) *0,4707321/9604чел.</v>
      </c>
      <c r="N7882" s="164">
        <f t="shared" si="2256"/>
        <v>85.679537612054773</v>
      </c>
      <c r="O7882" s="165">
        <f t="shared" si="2251"/>
        <v>775.75547999999992</v>
      </c>
      <c r="P7882" s="166"/>
      <c r="Q7882" s="166">
        <f t="shared" si="2252"/>
        <v>7450355.6299199993</v>
      </c>
      <c r="R7882" s="71"/>
    </row>
    <row r="7883" spans="1:18" s="61" customFormat="1" ht="31.5" x14ac:dyDescent="0.25">
      <c r="A7883" s="358"/>
      <c r="B7883" s="361"/>
      <c r="C7883" s="364"/>
      <c r="D7883" s="222" t="s">
        <v>13</v>
      </c>
      <c r="E7883" s="222" t="s">
        <v>11</v>
      </c>
      <c r="F7883" s="222" t="s">
        <v>11</v>
      </c>
      <c r="G7883" s="238">
        <f>MROUND(H7883*L7883*I7883/K7883,0.00000000001)</f>
        <v>9.0541511033899997</v>
      </c>
      <c r="H7883" s="160">
        <f t="shared" si="2253"/>
        <v>184725.17</v>
      </c>
      <c r="I7883" s="159">
        <f t="shared" si="2254"/>
        <v>0.47073209999999999</v>
      </c>
      <c r="J7883" s="160"/>
      <c r="K7883" s="161">
        <f t="shared" si="2255"/>
        <v>9604</v>
      </c>
      <c r="L7883" s="162">
        <v>1</v>
      </c>
      <c r="M7883" s="163" t="str">
        <f t="shared" si="2250"/>
        <v>184725,17 м3(лимиты выделенные УЖКХ) *0,4707321/9604чел.</v>
      </c>
      <c r="N7883" s="164">
        <f t="shared" si="2256"/>
        <v>116.85554734686012</v>
      </c>
      <c r="O7883" s="165">
        <f>MROUND(G7883*N7883,0.00000001)</f>
        <v>1058.0277829500001</v>
      </c>
      <c r="P7883" s="166"/>
      <c r="Q7883" s="166">
        <f t="shared" si="2252"/>
        <v>10161298.827451801</v>
      </c>
      <c r="R7883" s="71"/>
    </row>
    <row r="7884" spans="1:18" s="61" customFormat="1" ht="31.5" x14ac:dyDescent="0.25">
      <c r="A7884" s="358"/>
      <c r="B7884" s="361"/>
      <c r="C7884" s="221" t="s">
        <v>75</v>
      </c>
      <c r="D7884" s="222" t="s">
        <v>18</v>
      </c>
      <c r="E7884" s="222" t="s">
        <v>48</v>
      </c>
      <c r="F7884" s="222" t="s">
        <v>48</v>
      </c>
      <c r="G7884" s="238">
        <f>MROUND(H7884*L7884*I7884/K7884,0.0000000001)</f>
        <v>0.68068920370000008</v>
      </c>
      <c r="H7884" s="160">
        <f t="shared" si="2253"/>
        <v>13887.6</v>
      </c>
      <c r="I7884" s="159">
        <f t="shared" si="2254"/>
        <v>0.47073209999999999</v>
      </c>
      <c r="J7884" s="160"/>
      <c r="K7884" s="161">
        <f t="shared" si="2255"/>
        <v>9604</v>
      </c>
      <c r="L7884" s="250">
        <v>1</v>
      </c>
      <c r="M7884" s="163" t="str">
        <f t="shared" si="2250"/>
        <v>13887,6 тыс. м3(лимиты выделенные УЖКХ) *0,4707321/9604чел.</v>
      </c>
      <c r="N7884" s="164">
        <f t="shared" si="2256"/>
        <v>31.799284973645559</v>
      </c>
      <c r="O7884" s="165">
        <f t="shared" ref="O7884" si="2257">MROUND(G7884*N7884,0.000001)</f>
        <v>21.645429999999998</v>
      </c>
      <c r="P7884" s="166"/>
      <c r="Q7884" s="166">
        <f t="shared" si="2252"/>
        <v>207882.70971999998</v>
      </c>
      <c r="R7884" s="71"/>
    </row>
    <row r="7885" spans="1:18" s="61" customFormat="1" x14ac:dyDescent="0.25">
      <c r="A7885" s="358"/>
      <c r="B7885" s="361"/>
      <c r="C7885" s="364" t="s">
        <v>216</v>
      </c>
      <c r="D7885" s="222" t="s">
        <v>23</v>
      </c>
      <c r="E7885" s="222" t="s">
        <v>11</v>
      </c>
      <c r="F7885" s="222" t="s">
        <v>11</v>
      </c>
      <c r="G7885" s="238">
        <f>MROUND(H7885*L7885*I7885/K7885,0.000000000001)</f>
        <v>0.165111097599</v>
      </c>
      <c r="H7885" s="160">
        <f t="shared" si="2253"/>
        <v>3368.6400000000003</v>
      </c>
      <c r="I7885" s="159">
        <f t="shared" si="2254"/>
        <v>0.47073209999999999</v>
      </c>
      <c r="J7885" s="160"/>
      <c r="K7885" s="161">
        <f t="shared" si="2255"/>
        <v>9604</v>
      </c>
      <c r="L7885" s="162">
        <f>L7884</f>
        <v>1</v>
      </c>
      <c r="M7885" s="163" t="str">
        <f>CONCATENATE(H7885," ",F7885," ","*",I7885,"/",K7885,"чел.")</f>
        <v>3368,64 м3 *0,4707321/9604чел.</v>
      </c>
      <c r="N7885" s="164">
        <f t="shared" si="2256"/>
        <v>807.40973805452643</v>
      </c>
      <c r="O7885" s="165">
        <f>MROUND(G7885*N7885,0.00000001)</f>
        <v>133.31230805999999</v>
      </c>
      <c r="P7885" s="166"/>
      <c r="Q7885" s="166">
        <f t="shared" si="2252"/>
        <v>1280331.40660824</v>
      </c>
      <c r="R7885" s="71"/>
    </row>
    <row r="7886" spans="1:18" s="61" customFormat="1" ht="47.25" x14ac:dyDescent="0.25">
      <c r="A7886" s="358"/>
      <c r="B7886" s="361"/>
      <c r="C7886" s="364"/>
      <c r="D7886" s="222" t="s">
        <v>24</v>
      </c>
      <c r="E7886" s="222" t="s">
        <v>25</v>
      </c>
      <c r="F7886" s="222" t="s">
        <v>217</v>
      </c>
      <c r="G7886" s="238">
        <f>MROUND(H7886*L7886*I7886/K7886,0.000000000001)</f>
        <v>7.2050831629999999E-3</v>
      </c>
      <c r="H7886" s="160">
        <f>H7166</f>
        <v>147</v>
      </c>
      <c r="I7886" s="159">
        <f t="shared" si="2254"/>
        <v>0.47073209999999999</v>
      </c>
      <c r="J7886" s="160"/>
      <c r="K7886" s="161">
        <f t="shared" si="2255"/>
        <v>9604</v>
      </c>
      <c r="L7886" s="250">
        <f>L7885</f>
        <v>1</v>
      </c>
      <c r="M7886" s="163" t="str">
        <f>CONCATENATE(H7886," ",F7886,"(потребность из расчета 4 контейнера для уборки территории весной и осенью на 1 учреждение)","*",I7886,"/",K7886,"чел.")</f>
        <v>147 контейнера(потребность из расчета 4 контейнера для уборки территории весной и осенью на 1 учреждение)*0,4707321/9604чел.</v>
      </c>
      <c r="N7886" s="164">
        <f>N7166</f>
        <v>6289.7226530612279</v>
      </c>
      <c r="O7886" s="165">
        <f t="shared" ref="O7886" si="2258">MROUND(G7886*N7886,0.000001)</f>
        <v>45.317974999999997</v>
      </c>
      <c r="P7886" s="166"/>
      <c r="Q7886" s="166">
        <f t="shared" si="2252"/>
        <v>435233.83189999999</v>
      </c>
      <c r="R7886" s="71"/>
    </row>
    <row r="7887" spans="1:18" s="62" customFormat="1" x14ac:dyDescent="0.25">
      <c r="A7887" s="358"/>
      <c r="B7887" s="361"/>
      <c r="C7887" s="218" t="s">
        <v>290</v>
      </c>
      <c r="D7887" s="226"/>
      <c r="E7887" s="226"/>
      <c r="F7887" s="226"/>
      <c r="G7887" s="227"/>
      <c r="H7887" s="228"/>
      <c r="I7887" s="206"/>
      <c r="J7887" s="228"/>
      <c r="K7887" s="207"/>
      <c r="L7887" s="257"/>
      <c r="M7887" s="209"/>
      <c r="N7887" s="210"/>
      <c r="O7887" s="198">
        <f>SUM(O7879:O7886)</f>
        <v>9224.2891020099996</v>
      </c>
      <c r="P7887" s="267"/>
      <c r="Q7887" s="166"/>
      <c r="R7887" s="71"/>
    </row>
    <row r="7888" spans="1:18" s="61" customFormat="1" x14ac:dyDescent="0.25">
      <c r="A7888" s="358"/>
      <c r="B7888" s="361"/>
      <c r="C7888" s="221"/>
      <c r="D7888" s="356" t="s">
        <v>14</v>
      </c>
      <c r="E7888" s="356"/>
      <c r="F7888" s="356"/>
      <c r="G7888" s="356"/>
      <c r="H7888" s="188"/>
      <c r="I7888" s="159"/>
      <c r="J7888" s="188"/>
      <c r="K7888" s="161"/>
      <c r="L7888" s="250"/>
      <c r="M7888" s="230"/>
      <c r="N7888" s="164"/>
      <c r="O7888" s="198">
        <f>O7896+O7897+O7892</f>
        <v>4901.9366701269792</v>
      </c>
      <c r="P7888" s="166"/>
      <c r="Q7888" s="166"/>
      <c r="R7888" s="71"/>
    </row>
    <row r="7889" spans="1:18" s="61" customFormat="1" x14ac:dyDescent="0.25">
      <c r="A7889" s="358"/>
      <c r="B7889" s="361"/>
      <c r="C7889" s="221" t="s">
        <v>379</v>
      </c>
      <c r="D7889" s="231" t="s">
        <v>49</v>
      </c>
      <c r="E7889" s="231" t="s">
        <v>22</v>
      </c>
      <c r="F7889" s="231" t="s">
        <v>22</v>
      </c>
      <c r="G7889" s="238">
        <f>MROUND(H7889*L7889*I7889/K7889,0.000000001)</f>
        <v>0</v>
      </c>
      <c r="H7889" s="160"/>
      <c r="I7889" s="159">
        <f>I7884</f>
        <v>0.47073209999999999</v>
      </c>
      <c r="J7889" s="160"/>
      <c r="K7889" s="161">
        <f>K7884</f>
        <v>9604</v>
      </c>
      <c r="L7889" s="250"/>
      <c r="M7889" s="163"/>
      <c r="N7889" s="164"/>
      <c r="O7889" s="165">
        <f>MROUND(G7889*N7889,0.00000001)</f>
        <v>0</v>
      </c>
      <c r="P7889" s="166"/>
      <c r="Q7889" s="166">
        <f t="shared" ref="Q7889:Q7891" si="2259">O7889*K7889</f>
        <v>0</v>
      </c>
      <c r="R7889" s="71"/>
    </row>
    <row r="7890" spans="1:18" s="61" customFormat="1" x14ac:dyDescent="0.25">
      <c r="A7890" s="358"/>
      <c r="B7890" s="361"/>
      <c r="C7890" s="221" t="s">
        <v>379</v>
      </c>
      <c r="D7890" s="231" t="s">
        <v>49</v>
      </c>
      <c r="E7890" s="231" t="s">
        <v>28</v>
      </c>
      <c r="F7890" s="231" t="s">
        <v>28</v>
      </c>
      <c r="G7890" s="238">
        <f>MROUND(H7890*L7890*I7890/K7890,0.0000000000000001)</f>
        <v>0</v>
      </c>
      <c r="H7890" s="160"/>
      <c r="I7890" s="159">
        <f t="shared" si="2254"/>
        <v>0.47073209999999999</v>
      </c>
      <c r="J7890" s="160"/>
      <c r="K7890" s="161">
        <f>K7889</f>
        <v>9604</v>
      </c>
      <c r="L7890" s="250">
        <v>1</v>
      </c>
      <c r="M7890" s="163"/>
      <c r="N7890" s="164"/>
      <c r="O7890" s="165">
        <f>MROUND(G7890*N7890,0.00000001)</f>
        <v>0</v>
      </c>
      <c r="P7890" s="166"/>
      <c r="Q7890" s="166">
        <f t="shared" si="2259"/>
        <v>0</v>
      </c>
      <c r="R7890" s="71"/>
    </row>
    <row r="7891" spans="1:18" s="61" customFormat="1" x14ac:dyDescent="0.25">
      <c r="A7891" s="358"/>
      <c r="B7891" s="361"/>
      <c r="C7891" s="221" t="s">
        <v>379</v>
      </c>
      <c r="D7891" s="231" t="s">
        <v>49</v>
      </c>
      <c r="E7891" s="231" t="s">
        <v>101</v>
      </c>
      <c r="F7891" s="231" t="s">
        <v>101</v>
      </c>
      <c r="G7891" s="238">
        <f>MROUND(H7891*L7891*I7891/K7891,0.000000001)</f>
        <v>0</v>
      </c>
      <c r="H7891" s="160"/>
      <c r="I7891" s="159">
        <f t="shared" si="2254"/>
        <v>0.47073209999999999</v>
      </c>
      <c r="J7891" s="160"/>
      <c r="K7891" s="161">
        <f>K7890</f>
        <v>9604</v>
      </c>
      <c r="L7891" s="250"/>
      <c r="M7891" s="163"/>
      <c r="N7891" s="164"/>
      <c r="O7891" s="165">
        <f>MROUND(G7891*N7891,0.00000001)</f>
        <v>0</v>
      </c>
      <c r="P7891" s="166"/>
      <c r="Q7891" s="166">
        <f t="shared" si="2259"/>
        <v>0</v>
      </c>
      <c r="R7891" s="71"/>
    </row>
    <row r="7892" spans="1:18" s="62" customFormat="1" x14ac:dyDescent="0.25">
      <c r="A7892" s="358"/>
      <c r="B7892" s="361"/>
      <c r="C7892" s="218" t="s">
        <v>380</v>
      </c>
      <c r="D7892" s="232"/>
      <c r="E7892" s="232"/>
      <c r="F7892" s="232"/>
      <c r="G7892" s="227"/>
      <c r="H7892" s="228"/>
      <c r="I7892" s="206"/>
      <c r="J7892" s="228"/>
      <c r="K7892" s="207"/>
      <c r="L7892" s="257"/>
      <c r="M7892" s="209"/>
      <c r="N7892" s="210"/>
      <c r="O7892" s="198">
        <f>SUM(O7889:O7891)</f>
        <v>0</v>
      </c>
      <c r="P7892" s="267"/>
      <c r="Q7892" s="166"/>
      <c r="R7892" s="71"/>
    </row>
    <row r="7893" spans="1:18" s="61" customFormat="1" x14ac:dyDescent="0.25">
      <c r="A7893" s="358"/>
      <c r="B7893" s="361"/>
      <c r="C7893" s="221" t="s">
        <v>76</v>
      </c>
      <c r="D7893" s="231" t="s">
        <v>49</v>
      </c>
      <c r="E7893" s="231" t="s">
        <v>22</v>
      </c>
      <c r="F7893" s="231" t="s">
        <v>22</v>
      </c>
      <c r="G7893" s="238">
        <f>MROUND(H7893*L7893*I7893/K7893,0.000000000000001)</f>
        <v>1.257262504904207</v>
      </c>
      <c r="H7893" s="160">
        <f>H7053</f>
        <v>25651</v>
      </c>
      <c r="I7893" s="159">
        <f>I7889</f>
        <v>0.47073209999999999</v>
      </c>
      <c r="J7893" s="160"/>
      <c r="K7893" s="161">
        <f>K7891</f>
        <v>9604</v>
      </c>
      <c r="L7893" s="250">
        <v>1</v>
      </c>
      <c r="M7893" s="163" t="str">
        <f>CONCATENATE(H7893," ",F7893,"*",I7893,"/",K7893,"чел.")</f>
        <v>25651 м2*0,4707321/9604чел.</v>
      </c>
      <c r="N7893" s="164">
        <f>N7053</f>
        <v>2452.3410393356985</v>
      </c>
      <c r="O7893" s="165">
        <f>MROUND(G7893*N7893,0.00000000001)</f>
        <v>3083.2364379945898</v>
      </c>
      <c r="P7893" s="166"/>
      <c r="Q7893" s="166">
        <f t="shared" ref="Q7893:Q7895" si="2260">O7893*K7893</f>
        <v>29611402.750500042</v>
      </c>
      <c r="R7893" s="71"/>
    </row>
    <row r="7894" spans="1:18" s="61" customFormat="1" x14ac:dyDescent="0.25">
      <c r="A7894" s="358"/>
      <c r="B7894" s="361"/>
      <c r="C7894" s="221"/>
      <c r="D7894" s="231" t="s">
        <v>49</v>
      </c>
      <c r="E7894" s="231" t="s">
        <v>28</v>
      </c>
      <c r="F7894" s="231" t="s">
        <v>28</v>
      </c>
      <c r="G7894" s="238">
        <f>MROUND(H7894*L7894*I7894/K7894,0.0000000000001)</f>
        <v>9.1509457590600002E-2</v>
      </c>
      <c r="H7894" s="160">
        <f>H7054</f>
        <v>1867</v>
      </c>
      <c r="I7894" s="159">
        <f t="shared" si="2254"/>
        <v>0.47073209999999999</v>
      </c>
      <c r="J7894" s="160"/>
      <c r="K7894" s="161">
        <f>K7893</f>
        <v>9604</v>
      </c>
      <c r="L7894" s="250">
        <v>1</v>
      </c>
      <c r="M7894" s="163" t="str">
        <f>CONCATENATE(H7894," ",F7894,"*",I7894,"/",K7894,"чел.")</f>
        <v>1867 шт*0,4707321/9604чел.</v>
      </c>
      <c r="N7894" s="164">
        <f>N7054</f>
        <v>18299.732190680235</v>
      </c>
      <c r="O7894" s="165">
        <f>MROUND(G7894*N7894,0.00000000001)</f>
        <v>1674.59856682239</v>
      </c>
      <c r="P7894" s="166"/>
      <c r="Q7894" s="166">
        <f t="shared" si="2260"/>
        <v>16082844.635762233</v>
      </c>
      <c r="R7894" s="71"/>
    </row>
    <row r="7895" spans="1:18" s="61" customFormat="1" x14ac:dyDescent="0.25">
      <c r="A7895" s="358"/>
      <c r="B7895" s="361"/>
      <c r="C7895" s="221"/>
      <c r="D7895" s="231" t="s">
        <v>49</v>
      </c>
      <c r="E7895" s="231" t="s">
        <v>101</v>
      </c>
      <c r="F7895" s="231" t="s">
        <v>101</v>
      </c>
      <c r="G7895" s="238">
        <f>MROUND(H7895*L7895*I7895/K7895,0.000000001)</f>
        <v>3.1369069999999999E-2</v>
      </c>
      <c r="H7895" s="160">
        <f>H7055</f>
        <v>640</v>
      </c>
      <c r="I7895" s="159">
        <f t="shared" si="2254"/>
        <v>0.47073209999999999</v>
      </c>
      <c r="J7895" s="160"/>
      <c r="K7895" s="161">
        <f>K7894</f>
        <v>9604</v>
      </c>
      <c r="L7895" s="250">
        <v>1</v>
      </c>
      <c r="M7895" s="163" t="str">
        <f>CONCATENATE(H7895," ",F7895,"*",I7895,"/",K7895,"чел.")</f>
        <v>640 погон.м.*0,4707321/9604чел.</v>
      </c>
      <c r="N7895" s="164">
        <f>N7055</f>
        <v>4593.75</v>
      </c>
      <c r="O7895" s="165">
        <f>MROUND(G7895*N7895,0.00000001)</f>
        <v>144.10166531000002</v>
      </c>
      <c r="P7895" s="166"/>
      <c r="Q7895" s="166">
        <f t="shared" si="2260"/>
        <v>1383952.3936372402</v>
      </c>
      <c r="R7895" s="71"/>
    </row>
    <row r="7896" spans="1:18" s="62" customFormat="1" x14ac:dyDescent="0.25">
      <c r="A7896" s="358"/>
      <c r="B7896" s="361"/>
      <c r="C7896" s="218" t="s">
        <v>291</v>
      </c>
      <c r="D7896" s="232"/>
      <c r="E7896" s="232"/>
      <c r="F7896" s="232"/>
      <c r="G7896" s="227"/>
      <c r="H7896" s="228"/>
      <c r="I7896" s="206"/>
      <c r="J7896" s="228"/>
      <c r="K7896" s="207"/>
      <c r="L7896" s="257"/>
      <c r="M7896" s="209"/>
      <c r="N7896" s="210"/>
      <c r="O7896" s="198">
        <f>SUM(O7893:O7895)</f>
        <v>4901.9366701269792</v>
      </c>
      <c r="P7896" s="267"/>
      <c r="Q7896" s="166"/>
      <c r="R7896" s="71"/>
    </row>
    <row r="7897" spans="1:18" s="61" customFormat="1" x14ac:dyDescent="0.25">
      <c r="A7897" s="358"/>
      <c r="B7897" s="361"/>
      <c r="C7897" s="221" t="s">
        <v>77</v>
      </c>
      <c r="D7897" s="231"/>
      <c r="E7897" s="231"/>
      <c r="F7897" s="231"/>
      <c r="G7897" s="238">
        <f>MROUND(H7897*L7897*I7897/K7897,0.00000000001)</f>
        <v>0</v>
      </c>
      <c r="H7897" s="160">
        <f>H7657</f>
        <v>0</v>
      </c>
      <c r="I7897" s="159">
        <f>I7895</f>
        <v>0.47073209999999999</v>
      </c>
      <c r="J7897" s="160"/>
      <c r="K7897" s="161">
        <f>K7895</f>
        <v>9604</v>
      </c>
      <c r="L7897" s="250"/>
      <c r="M7897" s="163"/>
      <c r="N7897" s="164">
        <f>N7657</f>
        <v>0</v>
      </c>
      <c r="O7897" s="165">
        <f>MROUND(G7897*N7897,0.000000001)</f>
        <v>0</v>
      </c>
      <c r="P7897" s="166"/>
      <c r="Q7897" s="166">
        <f t="shared" ref="Q7897" si="2261">O7897*K7897</f>
        <v>0</v>
      </c>
      <c r="R7897" s="71"/>
    </row>
    <row r="7898" spans="1:18" s="62" customFormat="1" x14ac:dyDescent="0.25">
      <c r="A7898" s="358"/>
      <c r="B7898" s="361"/>
      <c r="C7898" s="218" t="s">
        <v>292</v>
      </c>
      <c r="D7898" s="232"/>
      <c r="E7898" s="232"/>
      <c r="F7898" s="232"/>
      <c r="G7898" s="227"/>
      <c r="H7898" s="228"/>
      <c r="I7898" s="206"/>
      <c r="J7898" s="228"/>
      <c r="K7898" s="207"/>
      <c r="L7898" s="257"/>
      <c r="M7898" s="209"/>
      <c r="N7898" s="210"/>
      <c r="O7898" s="198">
        <f>O7897</f>
        <v>0</v>
      </c>
      <c r="P7898" s="267"/>
      <c r="Q7898" s="166"/>
      <c r="R7898" s="71"/>
    </row>
    <row r="7899" spans="1:18" s="61" customFormat="1" x14ac:dyDescent="0.25">
      <c r="A7899" s="358"/>
      <c r="B7899" s="361"/>
      <c r="C7899" s="221"/>
      <c r="D7899" s="350" t="s">
        <v>65</v>
      </c>
      <c r="E7899" s="350"/>
      <c r="F7899" s="350"/>
      <c r="G7899" s="350"/>
      <c r="H7899" s="195"/>
      <c r="I7899" s="159"/>
      <c r="J7899" s="195"/>
      <c r="K7899" s="161"/>
      <c r="L7899" s="196"/>
      <c r="M7899" s="230"/>
      <c r="N7899" s="164"/>
      <c r="O7899" s="165">
        <f t="shared" ref="O7899:O7900" si="2262">MROUND(G7899*N7899,0.000001)</f>
        <v>0</v>
      </c>
      <c r="P7899" s="166"/>
      <c r="Q7899" s="166"/>
      <c r="R7899" s="71"/>
    </row>
    <row r="7900" spans="1:18" s="61" customFormat="1" x14ac:dyDescent="0.25">
      <c r="A7900" s="358"/>
      <c r="B7900" s="361"/>
      <c r="C7900" s="221"/>
      <c r="D7900" s="194"/>
      <c r="E7900" s="194"/>
      <c r="F7900" s="194"/>
      <c r="G7900" s="217"/>
      <c r="H7900" s="195"/>
      <c r="I7900" s="159"/>
      <c r="J7900" s="195"/>
      <c r="K7900" s="161"/>
      <c r="L7900" s="196"/>
      <c r="M7900" s="230"/>
      <c r="N7900" s="164"/>
      <c r="O7900" s="165">
        <f t="shared" si="2262"/>
        <v>0</v>
      </c>
      <c r="P7900" s="166"/>
      <c r="Q7900" s="166"/>
      <c r="R7900" s="71"/>
    </row>
    <row r="7901" spans="1:18" s="61" customFormat="1" x14ac:dyDescent="0.25">
      <c r="A7901" s="358"/>
      <c r="B7901" s="361"/>
      <c r="C7901" s="221" t="s">
        <v>357</v>
      </c>
      <c r="D7901" s="368" t="s">
        <v>66</v>
      </c>
      <c r="E7901" s="368"/>
      <c r="F7901" s="368"/>
      <c r="G7901" s="368"/>
      <c r="H7901" s="195"/>
      <c r="I7901" s="159"/>
      <c r="J7901" s="195"/>
      <c r="K7901" s="161"/>
      <c r="L7901" s="234"/>
      <c r="M7901" s="230"/>
      <c r="N7901" s="164"/>
      <c r="O7901" s="198">
        <f>O7902</f>
        <v>28.770343999999998</v>
      </c>
      <c r="P7901" s="166"/>
      <c r="Q7901" s="166"/>
      <c r="R7901" s="71"/>
    </row>
    <row r="7902" spans="1:18" s="61" customFormat="1" ht="47.25" x14ac:dyDescent="0.25">
      <c r="A7902" s="358"/>
      <c r="B7902" s="361"/>
      <c r="C7902" s="221"/>
      <c r="D7902" s="222" t="s">
        <v>374</v>
      </c>
      <c r="E7902" s="194" t="s">
        <v>28</v>
      </c>
      <c r="F7902" s="194" t="s">
        <v>28</v>
      </c>
      <c r="G7902" s="217">
        <f>MROUND(H7902*L7902*I7902/K7902,0.000000001)</f>
        <v>7.0580410000000001E-3</v>
      </c>
      <c r="H7902" s="201">
        <f>H7302</f>
        <v>36</v>
      </c>
      <c r="I7902" s="159">
        <f>I7897</f>
        <v>0.47073209999999999</v>
      </c>
      <c r="J7902" s="195"/>
      <c r="K7902" s="161">
        <f>K7897</f>
        <v>9604</v>
      </c>
      <c r="L7902" s="235">
        <f>L7302</f>
        <v>4</v>
      </c>
      <c r="M7902" s="163" t="str">
        <f>CONCATENATE(H7902," ",F7902,"*",I7902,"/",K7902,"чел.")</f>
        <v>36 шт*0,4707321/9604чел.</v>
      </c>
      <c r="N7902" s="164">
        <f>N7302</f>
        <v>4076.2506250000024</v>
      </c>
      <c r="O7902" s="165">
        <f>MROUND(G7902*N7902,0.000001)</f>
        <v>28.770343999999998</v>
      </c>
      <c r="P7902" s="166"/>
      <c r="Q7902" s="166">
        <f t="shared" ref="Q7902" si="2263">O7902*K7902</f>
        <v>276310.383776</v>
      </c>
      <c r="R7902" s="71"/>
    </row>
    <row r="7903" spans="1:18" s="61" customFormat="1" x14ac:dyDescent="0.25">
      <c r="A7903" s="358"/>
      <c r="B7903" s="361"/>
      <c r="C7903" s="221"/>
      <c r="D7903" s="368" t="s">
        <v>67</v>
      </c>
      <c r="E7903" s="368"/>
      <c r="F7903" s="368"/>
      <c r="G7903" s="368"/>
      <c r="H7903" s="195"/>
      <c r="I7903" s="159"/>
      <c r="J7903" s="195"/>
      <c r="K7903" s="161"/>
      <c r="L7903" s="196"/>
      <c r="M7903" s="230"/>
      <c r="N7903" s="164"/>
      <c r="O7903" s="165">
        <f t="shared" ref="O7903:O7906" si="2264">MROUND(G7903*N7903,0.000001)</f>
        <v>0</v>
      </c>
      <c r="P7903" s="166"/>
      <c r="Q7903" s="166"/>
      <c r="R7903" s="71"/>
    </row>
    <row r="7904" spans="1:18" s="61" customFormat="1" x14ac:dyDescent="0.25">
      <c r="A7904" s="358"/>
      <c r="B7904" s="361"/>
      <c r="C7904" s="221"/>
      <c r="D7904" s="194"/>
      <c r="E7904" s="194"/>
      <c r="F7904" s="194"/>
      <c r="G7904" s="217"/>
      <c r="H7904" s="195"/>
      <c r="I7904" s="159"/>
      <c r="J7904" s="195"/>
      <c r="K7904" s="161"/>
      <c r="L7904" s="196"/>
      <c r="M7904" s="230"/>
      <c r="N7904" s="164"/>
      <c r="O7904" s="165">
        <f t="shared" si="2264"/>
        <v>0</v>
      </c>
      <c r="P7904" s="166"/>
      <c r="Q7904" s="166"/>
      <c r="R7904" s="71"/>
    </row>
    <row r="7905" spans="1:41" s="61" customFormat="1" x14ac:dyDescent="0.25">
      <c r="A7905" s="358"/>
      <c r="B7905" s="361"/>
      <c r="C7905" s="221"/>
      <c r="D7905" s="350" t="s">
        <v>68</v>
      </c>
      <c r="E7905" s="350"/>
      <c r="F7905" s="350"/>
      <c r="G7905" s="350"/>
      <c r="H7905" s="195"/>
      <c r="I7905" s="159"/>
      <c r="J7905" s="195"/>
      <c r="K7905" s="161"/>
      <c r="L7905" s="196"/>
      <c r="M7905" s="230"/>
      <c r="N7905" s="164"/>
      <c r="O7905" s="165">
        <f t="shared" si="2264"/>
        <v>0</v>
      </c>
      <c r="P7905" s="166"/>
      <c r="Q7905" s="166"/>
      <c r="R7905" s="71"/>
    </row>
    <row r="7906" spans="1:41" s="61" customFormat="1" x14ac:dyDescent="0.25">
      <c r="A7906" s="358"/>
      <c r="B7906" s="361"/>
      <c r="C7906" s="221"/>
      <c r="D7906" s="156"/>
      <c r="E7906" s="156"/>
      <c r="F7906" s="156"/>
      <c r="G7906" s="236"/>
      <c r="H7906" s="195"/>
      <c r="I7906" s="159"/>
      <c r="J7906" s="195"/>
      <c r="K7906" s="161"/>
      <c r="L7906" s="196"/>
      <c r="M7906" s="230"/>
      <c r="N7906" s="164"/>
      <c r="O7906" s="165">
        <f t="shared" si="2264"/>
        <v>0</v>
      </c>
      <c r="P7906" s="166"/>
      <c r="Q7906" s="166"/>
      <c r="R7906" s="71"/>
    </row>
    <row r="7907" spans="1:41" s="61" customFormat="1" x14ac:dyDescent="0.25">
      <c r="A7907" s="358"/>
      <c r="B7907" s="361"/>
      <c r="C7907" s="221"/>
      <c r="D7907" s="368" t="s">
        <v>69</v>
      </c>
      <c r="E7907" s="368"/>
      <c r="F7907" s="368"/>
      <c r="G7907" s="368"/>
      <c r="H7907" s="187"/>
      <c r="I7907" s="159"/>
      <c r="J7907" s="187"/>
      <c r="K7907" s="161"/>
      <c r="L7907" s="276"/>
      <c r="M7907" s="230"/>
      <c r="N7907" s="164"/>
      <c r="O7907" s="198">
        <f>O7909+O7916+O7933+O7935+O7950+O7952+O7954+O7979+O7981+O7986+O7983</f>
        <v>1107.5166545699999</v>
      </c>
      <c r="P7907" s="166"/>
      <c r="Q7907" s="166"/>
      <c r="R7907" s="71"/>
    </row>
    <row r="7908" spans="1:41" s="61" customFormat="1" x14ac:dyDescent="0.25">
      <c r="A7908" s="358"/>
      <c r="B7908" s="361"/>
      <c r="C7908" s="221">
        <v>224</v>
      </c>
      <c r="D7908" s="156" t="s">
        <v>21</v>
      </c>
      <c r="E7908" s="156" t="s">
        <v>22</v>
      </c>
      <c r="F7908" s="156" t="s">
        <v>22</v>
      </c>
      <c r="G7908" s="238">
        <f>MROUND(H7908*L7908*I7908/K7908,0.000001)</f>
        <v>0</v>
      </c>
      <c r="H7908" s="158"/>
      <c r="I7908" s="159">
        <f>I7902</f>
        <v>0.47073209999999999</v>
      </c>
      <c r="J7908" s="160"/>
      <c r="K7908" s="161">
        <f>K7902</f>
        <v>9604</v>
      </c>
      <c r="L7908" s="250"/>
      <c r="M7908" s="163"/>
      <c r="N7908" s="164"/>
      <c r="O7908" s="165">
        <f>MROUND(G7908*N7908,0.000001)</f>
        <v>0</v>
      </c>
      <c r="P7908" s="166"/>
      <c r="Q7908" s="166">
        <f t="shared" ref="Q7908" si="2265">O7908*K7908</f>
        <v>0</v>
      </c>
      <c r="R7908" s="71"/>
    </row>
    <row r="7909" spans="1:41" s="62" customFormat="1" x14ac:dyDescent="0.25">
      <c r="A7909" s="358"/>
      <c r="B7909" s="361"/>
      <c r="C7909" s="218" t="s">
        <v>293</v>
      </c>
      <c r="D7909" s="240"/>
      <c r="E7909" s="240"/>
      <c r="F7909" s="240"/>
      <c r="G7909" s="227"/>
      <c r="H7909" s="241"/>
      <c r="I7909" s="206"/>
      <c r="J7909" s="228"/>
      <c r="K7909" s="207"/>
      <c r="L7909" s="257"/>
      <c r="M7909" s="209"/>
      <c r="N7909" s="210"/>
      <c r="O7909" s="198">
        <f>SUM(O7908)</f>
        <v>0</v>
      </c>
      <c r="P7909" s="267"/>
      <c r="Q7909" s="166"/>
      <c r="R7909" s="71"/>
    </row>
    <row r="7910" spans="1:41" s="61" customFormat="1" ht="31.5" x14ac:dyDescent="0.25">
      <c r="A7910" s="358"/>
      <c r="B7910" s="361"/>
      <c r="C7910" s="364" t="s">
        <v>78</v>
      </c>
      <c r="D7910" s="156" t="s">
        <v>26</v>
      </c>
      <c r="E7910" s="156" t="s">
        <v>22</v>
      </c>
      <c r="F7910" s="156" t="s">
        <v>22</v>
      </c>
      <c r="G7910" s="238">
        <f>MROUND(H7910*L7910*I7910/K7910,0.000001)</f>
        <v>15.198314</v>
      </c>
      <c r="H7910" s="158">
        <f>H6830</f>
        <v>25840</v>
      </c>
      <c r="I7910" s="159">
        <f>I7908</f>
        <v>0.47073209999999999</v>
      </c>
      <c r="J7910" s="160"/>
      <c r="K7910" s="161">
        <f>K7908</f>
        <v>9604</v>
      </c>
      <c r="L7910" s="250">
        <v>12</v>
      </c>
      <c r="M7910" s="163" t="str">
        <f>CONCATENATE(H7910," ",F7910,"(обрабатываемая площадь в мес.)","*",L7910,"мес.","*",I7910,"/",K7910,"чел.")</f>
        <v>25840 м2(обрабатываемая площадь в мес.)*12мес.*0,4707321/9604чел.</v>
      </c>
      <c r="N7910" s="164">
        <f>N6830</f>
        <v>1.2568903508771934</v>
      </c>
      <c r="O7910" s="165">
        <f t="shared" ref="O7910:O7915" si="2266">MROUND(G7910*N7910,0.000001)</f>
        <v>19.102613999999999</v>
      </c>
      <c r="P7910" s="166"/>
      <c r="Q7910" s="166">
        <f t="shared" ref="Q7910:Q7915" si="2267">O7910*K7910</f>
        <v>183461.50485599999</v>
      </c>
      <c r="R7910" s="71"/>
    </row>
    <row r="7911" spans="1:41" s="61" customFormat="1" ht="31.5" x14ac:dyDescent="0.25">
      <c r="A7911" s="358"/>
      <c r="B7911" s="361"/>
      <c r="C7911" s="364"/>
      <c r="D7911" s="156" t="s">
        <v>96</v>
      </c>
      <c r="E7911" s="156" t="s">
        <v>22</v>
      </c>
      <c r="F7911" s="156" t="s">
        <v>22</v>
      </c>
      <c r="G7911" s="238">
        <f>MROUND(H7911*L7911*I7911/K7911,0.000001)</f>
        <v>7.8667739999999995</v>
      </c>
      <c r="H7911" s="158">
        <f>H6831</f>
        <v>13375</v>
      </c>
      <c r="I7911" s="159">
        <f t="shared" si="2254"/>
        <v>0.47073209999999999</v>
      </c>
      <c r="J7911" s="160"/>
      <c r="K7911" s="161">
        <f>K7910</f>
        <v>9604</v>
      </c>
      <c r="L7911" s="250">
        <v>12</v>
      </c>
      <c r="M7911" s="163" t="str">
        <f>CONCATENATE(H7911," ",F7911,"(обрабатываемая площадь в мес.)","*",L7911,"мес.","*",I7911,"/",K7911,"чел.")</f>
        <v>13375 м2(обрабатываемая площадь в мес.)*12мес.*0,4707321/9604чел.</v>
      </c>
      <c r="N7911" s="164">
        <f>N6831</f>
        <v>2.0157672274143299</v>
      </c>
      <c r="O7911" s="165">
        <f t="shared" si="2266"/>
        <v>15.857584999999998</v>
      </c>
      <c r="P7911" s="166"/>
      <c r="Q7911" s="166">
        <f t="shared" si="2267"/>
        <v>152296.24633999998</v>
      </c>
      <c r="R7911" s="71"/>
    </row>
    <row r="7912" spans="1:41" s="135" customFormat="1" ht="31.5" x14ac:dyDescent="0.25">
      <c r="A7912" s="358"/>
      <c r="B7912" s="361"/>
      <c r="C7912" s="364"/>
      <c r="D7912" s="156" t="s">
        <v>385</v>
      </c>
      <c r="E7912" s="156" t="s">
        <v>22</v>
      </c>
      <c r="F7912" s="156" t="s">
        <v>22</v>
      </c>
      <c r="G7912" s="238">
        <f>MROUND(H7912*L7912*I7912/K7912,0.000001)</f>
        <v>15.733549</v>
      </c>
      <c r="H7912" s="242">
        <f>$H$55</f>
        <v>13375</v>
      </c>
      <c r="I7912" s="159">
        <f t="shared" si="2254"/>
        <v>0.47073209999999999</v>
      </c>
      <c r="J7912" s="160"/>
      <c r="K7912" s="161">
        <f>K7911</f>
        <v>9604</v>
      </c>
      <c r="L7912" s="162">
        <v>24</v>
      </c>
      <c r="M7912" s="163" t="str">
        <f>CONCATENATE(H7912," ",F7912,"(обрабатываемая площадь в год)","*",L7912," раза в год.","*",I7912,"/",K7912,"чел.")</f>
        <v>13375 м2(обрабатываемая площадь в год)*24 раза в год.*0,4707321/9604чел.</v>
      </c>
      <c r="N7912" s="164">
        <f>$N$6832</f>
        <v>2.4900656074766365</v>
      </c>
      <c r="O7912" s="165">
        <f t="shared" si="2266"/>
        <v>39.177568999999998</v>
      </c>
      <c r="P7912" s="166"/>
      <c r="Q7912" s="166">
        <f t="shared" si="2267"/>
        <v>376261.372676</v>
      </c>
      <c r="R7912" s="71"/>
      <c r="S7912" s="61"/>
      <c r="T7912" s="61"/>
      <c r="U7912" s="61"/>
      <c r="V7912" s="61"/>
      <c r="W7912" s="61"/>
      <c r="X7912" s="61"/>
      <c r="Y7912" s="61"/>
      <c r="Z7912" s="61"/>
      <c r="AA7912" s="61"/>
      <c r="AB7912" s="61"/>
      <c r="AC7912" s="61"/>
      <c r="AD7912" s="61"/>
      <c r="AE7912" s="61"/>
      <c r="AF7912" s="61"/>
      <c r="AG7912" s="61"/>
      <c r="AH7912" s="61"/>
      <c r="AI7912" s="61"/>
      <c r="AJ7912" s="61"/>
      <c r="AK7912" s="61"/>
      <c r="AL7912" s="61"/>
      <c r="AM7912" s="61"/>
      <c r="AN7912" s="61"/>
      <c r="AO7912" s="61"/>
    </row>
    <row r="7913" spans="1:41" s="135" customFormat="1" ht="31.5" x14ac:dyDescent="0.25">
      <c r="A7913" s="358"/>
      <c r="B7913" s="361"/>
      <c r="C7913" s="364"/>
      <c r="D7913" s="156" t="s">
        <v>394</v>
      </c>
      <c r="E7913" s="156" t="s">
        <v>22</v>
      </c>
      <c r="F7913" s="156" t="s">
        <v>22</v>
      </c>
      <c r="G7913" s="238">
        <f>MROUND(H7913*L7913*I7913/K7913,0.000001)</f>
        <v>15.198314</v>
      </c>
      <c r="H7913" s="243">
        <f>$H$56</f>
        <v>25840</v>
      </c>
      <c r="I7913" s="159">
        <f t="shared" si="2254"/>
        <v>0.47073209999999999</v>
      </c>
      <c r="J7913" s="160"/>
      <c r="K7913" s="161">
        <f>K7912</f>
        <v>9604</v>
      </c>
      <c r="L7913" s="162">
        <v>12</v>
      </c>
      <c r="M7913" s="163" t="str">
        <f>CONCATENATE(H7913," ",F7913,"(обрабатываемая площадь в мес.)","*",L7913,"мес.","*",I7913,"/",K7913,"чел.")</f>
        <v>25840 м2(обрабатываемая площадь в мес.)*12мес.*0,4707321/9604чел.</v>
      </c>
      <c r="N7913" s="164">
        <f>$N$6833</f>
        <v>0.59287277476780176</v>
      </c>
      <c r="O7913" s="165">
        <f t="shared" si="2266"/>
        <v>9.0106669999999998</v>
      </c>
      <c r="P7913" s="166"/>
      <c r="Q7913" s="166">
        <f t="shared" si="2267"/>
        <v>86538.445867999995</v>
      </c>
      <c r="R7913" s="71"/>
      <c r="S7913" s="61"/>
      <c r="T7913" s="61"/>
      <c r="U7913" s="61"/>
      <c r="V7913" s="61"/>
      <c r="W7913" s="61"/>
      <c r="X7913" s="61"/>
      <c r="Y7913" s="61"/>
      <c r="Z7913" s="61"/>
      <c r="AA7913" s="61"/>
      <c r="AB7913" s="61"/>
      <c r="AC7913" s="61"/>
      <c r="AD7913" s="61"/>
      <c r="AE7913" s="61"/>
      <c r="AF7913" s="61"/>
      <c r="AG7913" s="61"/>
      <c r="AH7913" s="61"/>
      <c r="AI7913" s="61"/>
      <c r="AJ7913" s="61"/>
      <c r="AK7913" s="61"/>
      <c r="AL7913" s="61"/>
      <c r="AM7913" s="61"/>
      <c r="AN7913" s="61"/>
      <c r="AO7913" s="61"/>
    </row>
    <row r="7914" spans="1:41" s="135" customFormat="1" ht="31.5" x14ac:dyDescent="0.25">
      <c r="A7914" s="358"/>
      <c r="B7914" s="361"/>
      <c r="C7914" s="364"/>
      <c r="D7914" s="156" t="s">
        <v>395</v>
      </c>
      <c r="E7914" s="156" t="s">
        <v>98</v>
      </c>
      <c r="F7914" s="156" t="s">
        <v>98</v>
      </c>
      <c r="G7914" s="238">
        <f>MROUND(H7914*L7914*I7914/K7914,0.0000000001)</f>
        <v>9.2832839999999999E-4</v>
      </c>
      <c r="H7914" s="242">
        <f>$H$57</f>
        <v>18.939999999999998</v>
      </c>
      <c r="I7914" s="159">
        <f t="shared" si="2254"/>
        <v>0.47073209999999999</v>
      </c>
      <c r="J7914" s="160"/>
      <c r="K7914" s="161">
        <f>K7913</f>
        <v>9604</v>
      </c>
      <c r="L7914" s="162">
        <v>1</v>
      </c>
      <c r="M7914" s="163" t="str">
        <f>CONCATENATE(H7914," ",F7914,"(обрабатываемая площадь в год)","*",L7914," раз в год","*",I7914,"/",K7914,"чел.")</f>
        <v>18,94 Га(обрабатываемая площадь в год)*1 раз в год*0,4707321/9604чел.</v>
      </c>
      <c r="N7914" s="164">
        <f>$N$6834</f>
        <v>592.87803590285125</v>
      </c>
      <c r="O7914" s="165">
        <f t="shared" si="2266"/>
        <v>0.55038599999999993</v>
      </c>
      <c r="P7914" s="166"/>
      <c r="Q7914" s="166">
        <f t="shared" si="2267"/>
        <v>5285.9071439999998</v>
      </c>
      <c r="R7914" s="71"/>
      <c r="S7914" s="61"/>
      <c r="T7914" s="61"/>
      <c r="U7914" s="61"/>
      <c r="V7914" s="61"/>
      <c r="W7914" s="61"/>
      <c r="X7914" s="61"/>
      <c r="Y7914" s="61"/>
      <c r="Z7914" s="61"/>
      <c r="AA7914" s="61"/>
      <c r="AB7914" s="61"/>
      <c r="AC7914" s="61"/>
      <c r="AD7914" s="61"/>
      <c r="AE7914" s="61"/>
      <c r="AF7914" s="61"/>
      <c r="AG7914" s="61"/>
      <c r="AH7914" s="61"/>
      <c r="AI7914" s="61"/>
      <c r="AJ7914" s="61"/>
      <c r="AK7914" s="61"/>
      <c r="AL7914" s="61"/>
      <c r="AM7914" s="61"/>
      <c r="AN7914" s="61"/>
      <c r="AO7914" s="61"/>
    </row>
    <row r="7915" spans="1:41" s="61" customFormat="1" ht="31.5" x14ac:dyDescent="0.25">
      <c r="A7915" s="358"/>
      <c r="B7915" s="361"/>
      <c r="C7915" s="364"/>
      <c r="D7915" s="156" t="s">
        <v>97</v>
      </c>
      <c r="E7915" s="156" t="s">
        <v>98</v>
      </c>
      <c r="F7915" s="156" t="s">
        <v>98</v>
      </c>
      <c r="G7915" s="238">
        <f>MROUND(H7915*L7915*I7915/K7915,0.000000001)</f>
        <v>9.2832800000000007E-4</v>
      </c>
      <c r="H7915" s="242">
        <f>H6835</f>
        <v>18.939999999999998</v>
      </c>
      <c r="I7915" s="244">
        <f>I7911</f>
        <v>0.47073209999999999</v>
      </c>
      <c r="J7915" s="160"/>
      <c r="K7915" s="161">
        <f>K7911</f>
        <v>9604</v>
      </c>
      <c r="L7915" s="250">
        <v>1</v>
      </c>
      <c r="M7915" s="163" t="str">
        <f>CONCATENATE(H7915," ",F7915,"(обрабатываемая площадь в мес.)","*",L7915,"мес.","*",I7915,"/",K7915,"чел.")</f>
        <v>18,94 Га(обрабатываемая площадь в мес.)*1мес.*0,4707321/9604чел.</v>
      </c>
      <c r="N7915" s="164">
        <f>N6835</f>
        <v>3226.5021119324188</v>
      </c>
      <c r="O7915" s="165">
        <f t="shared" si="2266"/>
        <v>2.9952519999999998</v>
      </c>
      <c r="P7915" s="166"/>
      <c r="Q7915" s="166">
        <f t="shared" si="2267"/>
        <v>28766.400207999999</v>
      </c>
      <c r="R7915" s="71"/>
    </row>
    <row r="7916" spans="1:41" s="62" customFormat="1" x14ac:dyDescent="0.25">
      <c r="A7916" s="358"/>
      <c r="B7916" s="361"/>
      <c r="C7916" s="245" t="s">
        <v>294</v>
      </c>
      <c r="D7916" s="240"/>
      <c r="E7916" s="240"/>
      <c r="F7916" s="240"/>
      <c r="G7916" s="227"/>
      <c r="H7916" s="241"/>
      <c r="I7916" s="206"/>
      <c r="J7916" s="228"/>
      <c r="K7916" s="207"/>
      <c r="L7916" s="257"/>
      <c r="M7916" s="209"/>
      <c r="N7916" s="210"/>
      <c r="O7916" s="198">
        <f>SUM(O7910:O7915)</f>
        <v>86.694072999999989</v>
      </c>
      <c r="P7916" s="267"/>
      <c r="Q7916" s="166"/>
      <c r="R7916" s="71"/>
    </row>
    <row r="7917" spans="1:41" s="61" customFormat="1" ht="63" x14ac:dyDescent="0.25">
      <c r="A7917" s="358"/>
      <c r="B7917" s="361"/>
      <c r="C7917" s="365" t="s">
        <v>77</v>
      </c>
      <c r="D7917" s="156" t="s">
        <v>29</v>
      </c>
      <c r="E7917" s="156" t="s">
        <v>58</v>
      </c>
      <c r="F7917" s="156" t="s">
        <v>218</v>
      </c>
      <c r="G7917" s="238">
        <f>MROUND(H7917*L7917*I7917/K7917,0.00000001)</f>
        <v>2.9408500000000001E-3</v>
      </c>
      <c r="H7917" s="158">
        <v>15</v>
      </c>
      <c r="I7917" s="159">
        <f>I7915</f>
        <v>0.47073209999999999</v>
      </c>
      <c r="J7917" s="160"/>
      <c r="K7917" s="161">
        <f>K7915</f>
        <v>9604</v>
      </c>
      <c r="L7917" s="162">
        <v>4</v>
      </c>
      <c r="M7917" s="163" t="str">
        <f>CONCATENATE(H7917," ",F7917,"*",L7917," раза в год","*",I7917,"/",K7917,"чел.")</f>
        <v>15 установок*4 раза в год*0,4707321/9604чел.</v>
      </c>
      <c r="N7917" s="164">
        <f>N6837</f>
        <v>2355.4600000000005</v>
      </c>
      <c r="O7917" s="165">
        <f t="shared" ref="O7917:O7925" si="2268">MROUND(G7917*N7917,0.000001)</f>
        <v>6.9270549999999993</v>
      </c>
      <c r="P7917" s="166"/>
      <c r="Q7917" s="166">
        <f t="shared" ref="Q7917:Q7932" si="2269">O7917*K7917</f>
        <v>66527.436219999989</v>
      </c>
      <c r="R7917" s="71"/>
    </row>
    <row r="7918" spans="1:41" s="61" customFormat="1" ht="47.25" x14ac:dyDescent="0.25">
      <c r="A7918" s="358"/>
      <c r="B7918" s="361"/>
      <c r="C7918" s="366"/>
      <c r="D7918" s="156" t="s">
        <v>30</v>
      </c>
      <c r="E7918" s="156" t="s">
        <v>58</v>
      </c>
      <c r="F7918" s="156" t="s">
        <v>218</v>
      </c>
      <c r="G7918" s="238">
        <f>MROUND(H7918*L7918*I7918/K7918,0.00000001)</f>
        <v>1.47043E-3</v>
      </c>
      <c r="H7918" s="158">
        <v>15</v>
      </c>
      <c r="I7918" s="159">
        <f t="shared" si="2254"/>
        <v>0.47073209999999999</v>
      </c>
      <c r="J7918" s="160"/>
      <c r="K7918" s="161">
        <f t="shared" ref="K7918:K7926" si="2270">K7917</f>
        <v>9604</v>
      </c>
      <c r="L7918" s="250">
        <v>2</v>
      </c>
      <c r="M7918" s="163" t="str">
        <f>CONCATENATE(H7918," ",F7918,"*",L7918,"полуг.","*",I7918,"/",K7918,"чел.")</f>
        <v>15 установок*2полуг.*0,4707321/9604чел.</v>
      </c>
      <c r="N7918" s="164">
        <f>N7198</f>
        <v>4710.920000000001</v>
      </c>
      <c r="O7918" s="165">
        <f t="shared" si="2268"/>
        <v>6.9270779999999998</v>
      </c>
      <c r="P7918" s="166"/>
      <c r="Q7918" s="166">
        <f t="shared" si="2269"/>
        <v>66527.657112000001</v>
      </c>
      <c r="R7918" s="71"/>
    </row>
    <row r="7919" spans="1:41" s="61" customFormat="1" x14ac:dyDescent="0.25">
      <c r="A7919" s="358"/>
      <c r="B7919" s="361"/>
      <c r="C7919" s="366"/>
      <c r="D7919" s="156" t="s">
        <v>397</v>
      </c>
      <c r="E7919" s="156" t="s">
        <v>433</v>
      </c>
      <c r="F7919" s="156" t="s">
        <v>433</v>
      </c>
      <c r="G7919" s="238">
        <f>MROUND(H7919*L7919*I7919/K7919,0.000001)</f>
        <v>0</v>
      </c>
      <c r="H7919" s="158">
        <f>H6839</f>
        <v>0</v>
      </c>
      <c r="I7919" s="159">
        <f t="shared" si="2254"/>
        <v>0.47073209999999999</v>
      </c>
      <c r="J7919" s="160"/>
      <c r="K7919" s="161">
        <f t="shared" si="2270"/>
        <v>9604</v>
      </c>
      <c r="L7919" s="162">
        <v>1</v>
      </c>
      <c r="M7919" s="163"/>
      <c r="N7919" s="164">
        <f>N6959</f>
        <v>0</v>
      </c>
      <c r="O7919" s="165">
        <f t="shared" si="2268"/>
        <v>0</v>
      </c>
      <c r="P7919" s="166"/>
      <c r="Q7919" s="166">
        <f t="shared" si="2269"/>
        <v>0</v>
      </c>
      <c r="R7919" s="71"/>
    </row>
    <row r="7920" spans="1:41" s="61" customFormat="1" ht="47.25" x14ac:dyDescent="0.25">
      <c r="A7920" s="358"/>
      <c r="B7920" s="361"/>
      <c r="C7920" s="366"/>
      <c r="D7920" s="156" t="s">
        <v>32</v>
      </c>
      <c r="E7920" s="156" t="s">
        <v>55</v>
      </c>
      <c r="F7920" s="156" t="s">
        <v>219</v>
      </c>
      <c r="G7920" s="238">
        <f>MROUND(H7920*L7920*I7920/K7920,0.000000001)</f>
        <v>7.0580410000000001E-3</v>
      </c>
      <c r="H7920" s="158">
        <f>H7200</f>
        <v>36</v>
      </c>
      <c r="I7920" s="159">
        <f>I7919</f>
        <v>0.47073209999999999</v>
      </c>
      <c r="J7920" s="160"/>
      <c r="K7920" s="161">
        <f t="shared" si="2270"/>
        <v>9604</v>
      </c>
      <c r="L7920" s="250">
        <v>4</v>
      </c>
      <c r="M7920" s="163" t="str">
        <f>CONCATENATE(H7920," ",F7920,"*",L7920,"кв.","*",I7920,"/",K7920,"чел.")</f>
        <v>36 системы*4кв.*0,4707321/9604чел.</v>
      </c>
      <c r="N7920" s="164">
        <f>N7200</f>
        <v>7532.7785416666693</v>
      </c>
      <c r="O7920" s="165">
        <f t="shared" si="2268"/>
        <v>53.16666</v>
      </c>
      <c r="P7920" s="166"/>
      <c r="Q7920" s="166">
        <f t="shared" si="2269"/>
        <v>510612.60264</v>
      </c>
      <c r="R7920" s="71"/>
    </row>
    <row r="7921" spans="1:18" s="61" customFormat="1" ht="63" x14ac:dyDescent="0.25">
      <c r="A7921" s="358"/>
      <c r="B7921" s="361"/>
      <c r="C7921" s="366"/>
      <c r="D7921" s="156" t="s">
        <v>33</v>
      </c>
      <c r="E7921" s="156" t="s">
        <v>56</v>
      </c>
      <c r="F7921" s="156" t="s">
        <v>220</v>
      </c>
      <c r="G7921" s="238">
        <f>MROUND(H7921*L7921*I7921/K7921,0.000000001)</f>
        <v>1.7645100000000002E-3</v>
      </c>
      <c r="H7921" s="158">
        <f>$H$64</f>
        <v>36</v>
      </c>
      <c r="I7921" s="159">
        <f>I7920</f>
        <v>0.47073209999999999</v>
      </c>
      <c r="J7921" s="160"/>
      <c r="K7921" s="161">
        <f t="shared" si="2270"/>
        <v>9604</v>
      </c>
      <c r="L7921" s="162">
        <v>1</v>
      </c>
      <c r="M7921" s="163" t="str">
        <f>CONCATENATE(H7921," ",F7921,"*",L7921," раз в год","*",I7921,"/",K7921,"чел.")</f>
        <v>36 дымоходов*1 раз в год*0,4707321/9604чел.</v>
      </c>
      <c r="N7921" s="164">
        <f t="shared" ref="N7921:N7927" si="2271">N6841</f>
        <v>7312.0941666666668</v>
      </c>
      <c r="O7921" s="165">
        <f t="shared" si="2268"/>
        <v>12.902263</v>
      </c>
      <c r="P7921" s="166"/>
      <c r="Q7921" s="166">
        <f t="shared" si="2269"/>
        <v>123913.333852</v>
      </c>
      <c r="R7921" s="71"/>
    </row>
    <row r="7922" spans="1:18" s="61" customFormat="1" x14ac:dyDescent="0.25">
      <c r="A7922" s="358"/>
      <c r="B7922" s="361"/>
      <c r="C7922" s="366"/>
      <c r="D7922" s="194" t="s">
        <v>398</v>
      </c>
      <c r="E7922" s="156" t="s">
        <v>60</v>
      </c>
      <c r="F7922" s="156" t="s">
        <v>60</v>
      </c>
      <c r="G7922" s="238">
        <f>MROUND(H7922*L7922*I7922/K7922,0.000000001)</f>
        <v>1.7154960000000002E-3</v>
      </c>
      <c r="H7922" s="246">
        <f>H6842</f>
        <v>35</v>
      </c>
      <c r="I7922" s="159">
        <f t="shared" si="2254"/>
        <v>0.47073209999999999</v>
      </c>
      <c r="J7922" s="160"/>
      <c r="K7922" s="161">
        <f t="shared" si="2270"/>
        <v>9604</v>
      </c>
      <c r="L7922" s="250">
        <v>1</v>
      </c>
      <c r="M7922" s="163" t="str">
        <f>CONCATENATE(H7922," ",F7922,"*",I7922,"/",K7922,"чел.")</f>
        <v>35 шт.*0,4707321/9604чел.</v>
      </c>
      <c r="N7922" s="164">
        <f t="shared" si="2271"/>
        <v>12660.374571428585</v>
      </c>
      <c r="O7922" s="165">
        <f t="shared" si="2268"/>
        <v>21.718821999999999</v>
      </c>
      <c r="P7922" s="166"/>
      <c r="Q7922" s="166">
        <f t="shared" si="2269"/>
        <v>208587.56648799998</v>
      </c>
      <c r="R7922" s="71"/>
    </row>
    <row r="7923" spans="1:18" s="61" customFormat="1" ht="47.25" x14ac:dyDescent="0.25">
      <c r="A7923" s="358"/>
      <c r="B7923" s="361"/>
      <c r="C7923" s="366"/>
      <c r="D7923" s="156" t="s">
        <v>401</v>
      </c>
      <c r="E7923" s="156" t="s">
        <v>60</v>
      </c>
      <c r="F7923" s="156" t="s">
        <v>402</v>
      </c>
      <c r="G7923" s="238">
        <f>MROUND(H7923*L7923*I7923/K7923,0.000001)</f>
        <v>3.431E-3</v>
      </c>
      <c r="H7923" s="246">
        <f>H6843</f>
        <v>35</v>
      </c>
      <c r="I7923" s="159">
        <f t="shared" si="2254"/>
        <v>0.47073209999999999</v>
      </c>
      <c r="J7923" s="160"/>
      <c r="K7923" s="161">
        <f t="shared" si="2270"/>
        <v>9604</v>
      </c>
      <c r="L7923" s="162">
        <v>2</v>
      </c>
      <c r="M7923" s="163" t="str">
        <f>CONCATENATE(H7923," ",F7923,"*",L7923," раз в год","*",I7923,"/",K7923,"чел.")</f>
        <v>35 противопожарных водопроводов*2 раз в год*0,4707321/9604чел.</v>
      </c>
      <c r="N7923" s="164">
        <f t="shared" si="2271"/>
        <v>5928.7300000000032</v>
      </c>
      <c r="O7923" s="165">
        <f t="shared" si="2268"/>
        <v>20.341473000000001</v>
      </c>
      <c r="P7923" s="166"/>
      <c r="Q7923" s="166">
        <f t="shared" si="2269"/>
        <v>195359.506692</v>
      </c>
      <c r="R7923" s="71"/>
    </row>
    <row r="7924" spans="1:18" s="61" customFormat="1" ht="31.5" x14ac:dyDescent="0.25">
      <c r="A7924" s="358"/>
      <c r="B7924" s="361"/>
      <c r="C7924" s="366"/>
      <c r="D7924" s="156" t="s">
        <v>221</v>
      </c>
      <c r="E7924" s="156" t="s">
        <v>60</v>
      </c>
      <c r="F7924" s="156" t="s">
        <v>60</v>
      </c>
      <c r="G7924" s="238">
        <f>MROUND(H7924*L7924*I7924/K7924,0.000000001)</f>
        <v>1.0587061E-2</v>
      </c>
      <c r="H7924" s="158">
        <f>H6844</f>
        <v>18</v>
      </c>
      <c r="I7924" s="159">
        <f t="shared" si="2254"/>
        <v>0.47073209999999999</v>
      </c>
      <c r="J7924" s="160"/>
      <c r="K7924" s="161">
        <f t="shared" si="2270"/>
        <v>9604</v>
      </c>
      <c r="L7924" s="250">
        <v>12</v>
      </c>
      <c r="M7924" s="163" t="str">
        <f>CONCATENATE(H7924," ",F7924,"*",L7924,"мес.","*",I7924,"/",K7924,"чел.")</f>
        <v>18 шт.*12мес.*0,4707321/9604чел.</v>
      </c>
      <c r="N7924" s="164">
        <f t="shared" si="2271"/>
        <v>6840.4345833333346</v>
      </c>
      <c r="O7924" s="165">
        <f t="shared" si="2268"/>
        <v>72.420097999999996</v>
      </c>
      <c r="P7924" s="166"/>
      <c r="Q7924" s="166">
        <f t="shared" si="2269"/>
        <v>695522.62119199999</v>
      </c>
      <c r="R7924" s="71"/>
    </row>
    <row r="7925" spans="1:18" s="61" customFormat="1" ht="47.25" x14ac:dyDescent="0.25">
      <c r="A7925" s="358"/>
      <c r="B7925" s="361"/>
      <c r="C7925" s="366"/>
      <c r="D7925" s="156" t="s">
        <v>34</v>
      </c>
      <c r="E7925" s="156" t="s">
        <v>59</v>
      </c>
      <c r="F7925" s="156" t="s">
        <v>28</v>
      </c>
      <c r="G7925" s="238">
        <f>MROUND(H7925*L7925*I7925/K7925,0.0000000001)</f>
        <v>9.8028299999999998E-5</v>
      </c>
      <c r="H7925" s="158">
        <f>H6845</f>
        <v>2</v>
      </c>
      <c r="I7925" s="159">
        <f t="shared" si="2254"/>
        <v>0.47073209999999999</v>
      </c>
      <c r="J7925" s="160"/>
      <c r="K7925" s="161">
        <f t="shared" si="2270"/>
        <v>9604</v>
      </c>
      <c r="L7925" s="250">
        <v>1</v>
      </c>
      <c r="M7925" s="163" t="str">
        <f>CONCATENATE(H7925," ",F7925,"*",I7925,"/",K7925,"чел.")</f>
        <v>2 шт*0,4707321/9604чел.</v>
      </c>
      <c r="N7925" s="164">
        <f t="shared" si="2271"/>
        <v>8158.8</v>
      </c>
      <c r="O7925" s="165">
        <f t="shared" si="2268"/>
        <v>0.79979299999999998</v>
      </c>
      <c r="P7925" s="166"/>
      <c r="Q7925" s="166">
        <f t="shared" si="2269"/>
        <v>7681.2119720000001</v>
      </c>
      <c r="R7925" s="71"/>
    </row>
    <row r="7926" spans="1:18" s="61" customFormat="1" ht="47.25" x14ac:dyDescent="0.25">
      <c r="A7926" s="358"/>
      <c r="B7926" s="361"/>
      <c r="C7926" s="366"/>
      <c r="D7926" s="156" t="s">
        <v>222</v>
      </c>
      <c r="E7926" s="156" t="s">
        <v>60</v>
      </c>
      <c r="F7926" s="156" t="s">
        <v>60</v>
      </c>
      <c r="G7926" s="238">
        <f>MROUND(H7926*L7926*I7926/K7926,0.00000000001)</f>
        <v>2.4507085999999999E-4</v>
      </c>
      <c r="H7926" s="248">
        <f>H7206</f>
        <v>5</v>
      </c>
      <c r="I7926" s="159">
        <f t="shared" si="2254"/>
        <v>0.47073209999999999</v>
      </c>
      <c r="J7926" s="160"/>
      <c r="K7926" s="161">
        <f t="shared" si="2270"/>
        <v>9604</v>
      </c>
      <c r="L7926" s="250">
        <v>1</v>
      </c>
      <c r="M7926" s="163" t="str">
        <f>CONCATENATE(H7926," ",F7926,"*",I7926,"/",K7926,"чел.")</f>
        <v>5 шт.*0,4707321/9604чел.</v>
      </c>
      <c r="N7926" s="164">
        <f t="shared" si="2271"/>
        <v>45611.39</v>
      </c>
      <c r="O7926" s="165">
        <f>MROUND(G7926*N7926,0.00000001)</f>
        <v>11.17802257</v>
      </c>
      <c r="P7926" s="166"/>
      <c r="Q7926" s="166">
        <f t="shared" si="2269"/>
        <v>107353.72876227999</v>
      </c>
      <c r="R7926" s="71"/>
    </row>
    <row r="7927" spans="1:18" s="61" customFormat="1" ht="31.5" x14ac:dyDescent="0.25">
      <c r="A7927" s="358"/>
      <c r="B7927" s="361"/>
      <c r="C7927" s="366"/>
      <c r="D7927" s="156" t="s">
        <v>35</v>
      </c>
      <c r="E7927" s="156" t="s">
        <v>102</v>
      </c>
      <c r="F7927" s="156" t="s">
        <v>223</v>
      </c>
      <c r="G7927" s="238">
        <f>MROUND(H7927*L7927*I7927/K7927,0.00000001)</f>
        <v>1.7155E-3</v>
      </c>
      <c r="H7927" s="158">
        <f>H6847</f>
        <v>35</v>
      </c>
      <c r="I7927" s="159">
        <f>I7925</f>
        <v>0.47073209999999999</v>
      </c>
      <c r="J7927" s="160"/>
      <c r="K7927" s="161">
        <f>K7925</f>
        <v>9604</v>
      </c>
      <c r="L7927" s="250">
        <v>1</v>
      </c>
      <c r="M7927" s="163" t="str">
        <f>CONCATENATE(H7927," ",F7927,"*",I7927,"/",K7927,"чел.")</f>
        <v>35 замеров*0,4707321/9604чел.</v>
      </c>
      <c r="N7927" s="164">
        <f t="shared" si="2271"/>
        <v>26000</v>
      </c>
      <c r="O7927" s="165">
        <f t="shared" ref="O7927:O7932" si="2272">MROUND(G7927*N7927,0.000001)</f>
        <v>44.602999999999994</v>
      </c>
      <c r="P7927" s="166"/>
      <c r="Q7927" s="166">
        <f t="shared" si="2269"/>
        <v>428367.21199999994</v>
      </c>
      <c r="R7927" s="71"/>
    </row>
    <row r="7928" spans="1:18" s="61" customFormat="1" ht="47.25" x14ac:dyDescent="0.25">
      <c r="A7928" s="358"/>
      <c r="B7928" s="361"/>
      <c r="C7928" s="366"/>
      <c r="D7928" s="156" t="s">
        <v>399</v>
      </c>
      <c r="E7928" s="156" t="s">
        <v>60</v>
      </c>
      <c r="F7928" s="156" t="s">
        <v>60</v>
      </c>
      <c r="G7928" s="238">
        <f>MROUND(H7928*L7928*I7928/K7928,0.000000001)</f>
        <v>1.715496E-2</v>
      </c>
      <c r="H7928" s="158">
        <f>H7328</f>
        <v>35</v>
      </c>
      <c r="I7928" s="159">
        <f t="shared" si="2254"/>
        <v>0.47073209999999999</v>
      </c>
      <c r="J7928" s="160"/>
      <c r="K7928" s="161">
        <f>K7927</f>
        <v>9604</v>
      </c>
      <c r="L7928" s="250">
        <v>10</v>
      </c>
      <c r="M7928" s="163" t="str">
        <f>CONCATENATE(H7928," ",F7928,"*",L7928,"мес.","*",I7928,"/",K7928,"чел.")</f>
        <v>35 шт.*10мес.*0,4707321/9604чел.</v>
      </c>
      <c r="N7928" s="164">
        <f>N7328</f>
        <v>3380.9014857142843</v>
      </c>
      <c r="O7928" s="165">
        <f t="shared" si="2272"/>
        <v>57.999229999999997</v>
      </c>
      <c r="P7928" s="166"/>
      <c r="Q7928" s="166">
        <f t="shared" si="2269"/>
        <v>557024.60491999995</v>
      </c>
      <c r="R7928" s="71"/>
    </row>
    <row r="7929" spans="1:18" s="61" customFormat="1" ht="47.25" x14ac:dyDescent="0.25">
      <c r="A7929" s="358"/>
      <c r="B7929" s="361"/>
      <c r="C7929" s="366"/>
      <c r="D7929" s="156" t="s">
        <v>36</v>
      </c>
      <c r="E7929" s="156" t="s">
        <v>31</v>
      </c>
      <c r="F7929" s="156" t="s">
        <v>224</v>
      </c>
      <c r="G7929" s="238">
        <f>MROUND(H7929*L7929*I7929/K7929,0.00000001)</f>
        <v>2.1174120000000001E-2</v>
      </c>
      <c r="H7929" s="158">
        <f>H7209</f>
        <v>36</v>
      </c>
      <c r="I7929" s="159">
        <f t="shared" si="2254"/>
        <v>0.47073209999999999</v>
      </c>
      <c r="J7929" s="160"/>
      <c r="K7929" s="161">
        <f>K7928</f>
        <v>9604</v>
      </c>
      <c r="L7929" s="250">
        <v>12</v>
      </c>
      <c r="M7929" s="163" t="str">
        <f>CONCATENATE(H7929," ",F7929,"*",L7929,"мес.","*",I7929,"/",K7929,"чел.")</f>
        <v>36 устройств*12мес.*0,4707321/9604чел.</v>
      </c>
      <c r="N7929" s="164">
        <f>N6849</f>
        <v>1269.5381481481488</v>
      </c>
      <c r="O7929" s="165">
        <f t="shared" si="2272"/>
        <v>26.881352999999997</v>
      </c>
      <c r="P7929" s="166"/>
      <c r="Q7929" s="166">
        <f t="shared" si="2269"/>
        <v>258168.51421199998</v>
      </c>
      <c r="R7929" s="71"/>
    </row>
    <row r="7930" spans="1:18" s="61" customFormat="1" ht="31.5" x14ac:dyDescent="0.25">
      <c r="A7930" s="358"/>
      <c r="B7930" s="361"/>
      <c r="C7930" s="366"/>
      <c r="D7930" s="156" t="s">
        <v>99</v>
      </c>
      <c r="E7930" s="156" t="s">
        <v>103</v>
      </c>
      <c r="F7930" s="156" t="s">
        <v>225</v>
      </c>
      <c r="G7930" s="238">
        <f>MROUND(H7930*L7930*I7930/K7930,0.00000001)</f>
        <v>9.8518500000000005E-3</v>
      </c>
      <c r="H7930" s="158">
        <f>H6850</f>
        <v>201</v>
      </c>
      <c r="I7930" s="159">
        <f t="shared" si="2254"/>
        <v>0.47073209999999999</v>
      </c>
      <c r="J7930" s="160"/>
      <c r="K7930" s="161">
        <f>K7929</f>
        <v>9604</v>
      </c>
      <c r="L7930" s="250">
        <v>1</v>
      </c>
      <c r="M7930" s="163" t="str">
        <f>CONCATENATE(H7930," ",F7930,"*",I7930,"/",K7930,"чел.")</f>
        <v>201 ед.*0,4707321/9604чел.</v>
      </c>
      <c r="N7930" s="164">
        <f>N6850</f>
        <v>15000</v>
      </c>
      <c r="O7930" s="165">
        <f t="shared" si="2272"/>
        <v>147.77775</v>
      </c>
      <c r="P7930" s="166"/>
      <c r="Q7930" s="166">
        <f t="shared" si="2269"/>
        <v>1419257.5109999999</v>
      </c>
      <c r="R7930" s="71"/>
    </row>
    <row r="7931" spans="1:18" s="61" customFormat="1" x14ac:dyDescent="0.25">
      <c r="A7931" s="358"/>
      <c r="B7931" s="361"/>
      <c r="C7931" s="366"/>
      <c r="D7931" s="156" t="s">
        <v>27</v>
      </c>
      <c r="E7931" s="156" t="s">
        <v>28</v>
      </c>
      <c r="F7931" s="156" t="s">
        <v>28</v>
      </c>
      <c r="G7931" s="238">
        <f>MROUND(H7931*L7931*I7931/K7931,0.00000001)</f>
        <v>0.20536938000000002</v>
      </c>
      <c r="H7931" s="160">
        <f>H6851</f>
        <v>4190</v>
      </c>
      <c r="I7931" s="159">
        <f t="shared" si="2254"/>
        <v>0.47073209999999999</v>
      </c>
      <c r="J7931" s="160"/>
      <c r="K7931" s="161">
        <f>K7930</f>
        <v>9604</v>
      </c>
      <c r="L7931" s="250">
        <v>1</v>
      </c>
      <c r="M7931" s="163" t="str">
        <f>CONCATENATE(H7931," ",F7931,"*",I7931,"/",K7931,"чел.")</f>
        <v>4190 шт*0,4707321/9604чел.</v>
      </c>
      <c r="N7931" s="164">
        <f>N6971</f>
        <v>435.13600000000008</v>
      </c>
      <c r="O7931" s="165">
        <f t="shared" si="2272"/>
        <v>89.363610999999992</v>
      </c>
      <c r="P7931" s="166"/>
      <c r="Q7931" s="166">
        <f t="shared" si="2269"/>
        <v>858248.12004399986</v>
      </c>
      <c r="R7931" s="71"/>
    </row>
    <row r="7932" spans="1:18" s="61" customFormat="1" ht="31.5" x14ac:dyDescent="0.25">
      <c r="A7932" s="358"/>
      <c r="B7932" s="361"/>
      <c r="C7932" s="367"/>
      <c r="D7932" s="156" t="s">
        <v>104</v>
      </c>
      <c r="E7932" s="156" t="s">
        <v>105</v>
      </c>
      <c r="F7932" s="156" t="s">
        <v>226</v>
      </c>
      <c r="G7932" s="238">
        <f>MROUND(H7932*L7932*I7932/K7932,0.00000001)</f>
        <v>1.76451E-3</v>
      </c>
      <c r="H7932" s="160">
        <f>H6852</f>
        <v>36</v>
      </c>
      <c r="I7932" s="159">
        <f t="shared" si="2254"/>
        <v>0.47073209999999999</v>
      </c>
      <c r="J7932" s="160"/>
      <c r="K7932" s="161">
        <f>K7931</f>
        <v>9604</v>
      </c>
      <c r="L7932" s="250">
        <v>1</v>
      </c>
      <c r="M7932" s="163" t="str">
        <f>CONCATENATE(H7932," ",F7932,"*",I7932,"/",K7932,"чел.")</f>
        <v>36 отключений*0,4707321/9604чел.</v>
      </c>
      <c r="N7932" s="164">
        <f>N6852</f>
        <v>10671.710000000006</v>
      </c>
      <c r="O7932" s="165">
        <f t="shared" si="2272"/>
        <v>18.830338999999999</v>
      </c>
      <c r="P7932" s="166"/>
      <c r="Q7932" s="166">
        <f t="shared" si="2269"/>
        <v>180846.57575599998</v>
      </c>
      <c r="R7932" s="71"/>
    </row>
    <row r="7933" spans="1:18" s="62" customFormat="1" x14ac:dyDescent="0.25">
      <c r="A7933" s="358"/>
      <c r="B7933" s="361"/>
      <c r="C7933" s="249" t="s">
        <v>292</v>
      </c>
      <c r="D7933" s="240"/>
      <c r="E7933" s="240"/>
      <c r="F7933" s="240"/>
      <c r="G7933" s="227"/>
      <c r="H7933" s="228"/>
      <c r="I7933" s="206"/>
      <c r="J7933" s="228"/>
      <c r="K7933" s="207"/>
      <c r="L7933" s="257"/>
      <c r="M7933" s="209"/>
      <c r="N7933" s="210"/>
      <c r="O7933" s="198">
        <f>SUM(O7917:O7932)</f>
        <v>591.83654756999999</v>
      </c>
      <c r="P7933" s="267"/>
      <c r="Q7933" s="166"/>
      <c r="R7933" s="71"/>
    </row>
    <row r="7934" spans="1:18" s="61" customFormat="1" ht="31.5" x14ac:dyDescent="0.25">
      <c r="A7934" s="358"/>
      <c r="B7934" s="361"/>
      <c r="C7934" s="221" t="s">
        <v>79</v>
      </c>
      <c r="D7934" s="156" t="s">
        <v>37</v>
      </c>
      <c r="E7934" s="156" t="s">
        <v>61</v>
      </c>
      <c r="F7934" s="156" t="s">
        <v>227</v>
      </c>
      <c r="G7934" s="238">
        <f>MROUND(H7934*L7934*I7934/K7934,0.000000001)</f>
        <v>1.9605700000000002E-4</v>
      </c>
      <c r="H7934" s="158">
        <f>H6854</f>
        <v>4</v>
      </c>
      <c r="I7934" s="159">
        <f>I7932</f>
        <v>0.47073209999999999</v>
      </c>
      <c r="J7934" s="160"/>
      <c r="K7934" s="161">
        <f>K7932</f>
        <v>9604</v>
      </c>
      <c r="L7934" s="250">
        <v>1</v>
      </c>
      <c r="M7934" s="163" t="str">
        <f>CONCATENATE(H7934," ",F7934,"*",I7934,"/",K7934,"чел.")</f>
        <v>4 автобуса*0,4707321/9604чел.</v>
      </c>
      <c r="N7934" s="164">
        <f>N6854</f>
        <v>37900.35</v>
      </c>
      <c r="O7934" s="165">
        <f>MROUND(G7934*N7934,0.000001)</f>
        <v>7.4306289999999997</v>
      </c>
      <c r="P7934" s="166"/>
      <c r="Q7934" s="166">
        <f t="shared" ref="Q7934" si="2273">O7934*K7934</f>
        <v>71363.760915999999</v>
      </c>
      <c r="R7934" s="71"/>
    </row>
    <row r="7935" spans="1:18" s="62" customFormat="1" x14ac:dyDescent="0.25">
      <c r="A7935" s="358"/>
      <c r="B7935" s="361"/>
      <c r="C7935" s="218" t="s">
        <v>295</v>
      </c>
      <c r="D7935" s="240"/>
      <c r="E7935" s="240"/>
      <c r="F7935" s="240"/>
      <c r="G7935" s="227"/>
      <c r="H7935" s="241"/>
      <c r="I7935" s="206"/>
      <c r="J7935" s="228"/>
      <c r="K7935" s="207"/>
      <c r="L7935" s="257"/>
      <c r="M7935" s="209"/>
      <c r="N7935" s="210"/>
      <c r="O7935" s="198">
        <f>SUM(O7934)</f>
        <v>7.4306289999999997</v>
      </c>
      <c r="P7935" s="267"/>
      <c r="Q7935" s="166"/>
      <c r="R7935" s="71"/>
    </row>
    <row r="7936" spans="1:18" s="61" customFormat="1" x14ac:dyDescent="0.25">
      <c r="A7936" s="358"/>
      <c r="B7936" s="361"/>
      <c r="C7936" s="364" t="s">
        <v>80</v>
      </c>
      <c r="D7936" s="156" t="s">
        <v>38</v>
      </c>
      <c r="E7936" s="156" t="s">
        <v>57</v>
      </c>
      <c r="F7936" s="156" t="s">
        <v>228</v>
      </c>
      <c r="G7936" s="238">
        <f>MROUND(H7936*L7936*I7936/K7936,0.0000000001)</f>
        <v>2.1174121900000002E-2</v>
      </c>
      <c r="H7936" s="158">
        <f>H6856</f>
        <v>36</v>
      </c>
      <c r="I7936" s="159">
        <f>I7934</f>
        <v>0.47073209999999999</v>
      </c>
      <c r="J7936" s="160"/>
      <c r="K7936" s="161">
        <f>K7934</f>
        <v>9604</v>
      </c>
      <c r="L7936" s="250">
        <v>12</v>
      </c>
      <c r="M7936" s="163" t="str">
        <f>CONCATENATE(H7936," ",F7936,"*",L7936,"мес.","*",I7936,"/",K7936,"чел.")</f>
        <v>36 зданий*12мес.*0,4707321/9604чел.</v>
      </c>
      <c r="N7936" s="164">
        <f t="shared" ref="N7936:N7947" si="2274">N6856</f>
        <v>5106.1928935185206</v>
      </c>
      <c r="O7936" s="165">
        <f>MROUND(G7936*N7936,0.000001)</f>
        <v>108.11915099999999</v>
      </c>
      <c r="P7936" s="166"/>
      <c r="Q7936" s="166">
        <f t="shared" ref="Q7936:Q7949" si="2275">O7936*K7936</f>
        <v>1038376.3262039999</v>
      </c>
      <c r="R7936" s="71"/>
    </row>
    <row r="7937" spans="1:18" s="61" customFormat="1" ht="47.25" x14ac:dyDescent="0.25">
      <c r="A7937" s="358"/>
      <c r="B7937" s="361"/>
      <c r="C7937" s="364"/>
      <c r="D7937" s="156" t="s">
        <v>229</v>
      </c>
      <c r="E7937" s="156" t="s">
        <v>60</v>
      </c>
      <c r="F7937" s="156" t="s">
        <v>60</v>
      </c>
      <c r="G7937" s="238">
        <f>MROUND(H7937*L7937*I7937/K7937,0.000001)</f>
        <v>0.11734</v>
      </c>
      <c r="H7937" s="158">
        <f>H6857</f>
        <v>2394</v>
      </c>
      <c r="I7937" s="159">
        <f>I7936</f>
        <v>0.47073209999999999</v>
      </c>
      <c r="J7937" s="160"/>
      <c r="K7937" s="161">
        <f>K7936</f>
        <v>9604</v>
      </c>
      <c r="L7937" s="250">
        <v>1</v>
      </c>
      <c r="M7937" s="163" t="str">
        <f t="shared" ref="M7937:M7944" si="2276">CONCATENATE(H7937," ",F7937,"*",I7937,"/",K7937,"чел.")</f>
        <v>2394 шт.*0,4707321/9604чел.</v>
      </c>
      <c r="N7937" s="164">
        <f t="shared" si="2274"/>
        <v>177.86185045948207</v>
      </c>
      <c r="O7937" s="165">
        <f>MROUND(G7937*N7937,0.000001)</f>
        <v>20.87031</v>
      </c>
      <c r="P7937" s="166"/>
      <c r="Q7937" s="166">
        <f t="shared" si="2275"/>
        <v>200438.45723999999</v>
      </c>
      <c r="R7937" s="71"/>
    </row>
    <row r="7938" spans="1:18" s="61" customFormat="1" ht="47.25" x14ac:dyDescent="0.25">
      <c r="A7938" s="358"/>
      <c r="B7938" s="361"/>
      <c r="C7938" s="364"/>
      <c r="D7938" s="156" t="s">
        <v>405</v>
      </c>
      <c r="E7938" s="156" t="s">
        <v>60</v>
      </c>
      <c r="F7938" s="156" t="s">
        <v>406</v>
      </c>
      <c r="G7938" s="238">
        <f>MROUND(H7938*L7938*I7938/K7938,0.00000001)</f>
        <v>1.76451E-3</v>
      </c>
      <c r="H7938" s="158">
        <f>H7098</f>
        <v>36</v>
      </c>
      <c r="I7938" s="159">
        <f>I7937</f>
        <v>0.47073209999999999</v>
      </c>
      <c r="J7938" s="160"/>
      <c r="K7938" s="161">
        <f>K7937</f>
        <v>9604</v>
      </c>
      <c r="L7938" s="250">
        <v>1</v>
      </c>
      <c r="M7938" s="163" t="str">
        <f t="shared" si="2276"/>
        <v>36 лицензий*0,4707321/9604чел.</v>
      </c>
      <c r="N7938" s="164">
        <f t="shared" si="2274"/>
        <v>13043.200000000006</v>
      </c>
      <c r="O7938" s="165">
        <f t="shared" ref="O7938:O7947" si="2277">MROUND(G7938*N7938,0.000001)</f>
        <v>23.014856999999999</v>
      </c>
      <c r="P7938" s="166"/>
      <c r="Q7938" s="166">
        <f t="shared" si="2275"/>
        <v>221034.686628</v>
      </c>
      <c r="R7938" s="71"/>
    </row>
    <row r="7939" spans="1:18" s="61" customFormat="1" ht="63" x14ac:dyDescent="0.25">
      <c r="A7939" s="358"/>
      <c r="B7939" s="361"/>
      <c r="C7939" s="364"/>
      <c r="D7939" s="156" t="s">
        <v>39</v>
      </c>
      <c r="E7939" s="156" t="s">
        <v>20</v>
      </c>
      <c r="F7939" s="156" t="s">
        <v>234</v>
      </c>
      <c r="G7939" s="238">
        <f>MROUND(H7939*L7939*I7939/K7939,0.000000001)</f>
        <v>5.7836720000000001E-3</v>
      </c>
      <c r="H7939" s="158">
        <f>H7459</f>
        <v>118</v>
      </c>
      <c r="I7939" s="159">
        <f>I7937</f>
        <v>0.47073209999999999</v>
      </c>
      <c r="J7939" s="160"/>
      <c r="K7939" s="161">
        <f>K7937</f>
        <v>9604</v>
      </c>
      <c r="L7939" s="250">
        <v>1</v>
      </c>
      <c r="M7939" s="163" t="str">
        <f t="shared" si="2276"/>
        <v>118 чел(заявленная потребность руководителями учреждений)*0,4707321/9604чел.</v>
      </c>
      <c r="N7939" s="164">
        <f t="shared" si="2274"/>
        <v>830.02203389830515</v>
      </c>
      <c r="O7939" s="165">
        <f t="shared" si="2277"/>
        <v>4.8005749999999994</v>
      </c>
      <c r="P7939" s="166"/>
      <c r="Q7939" s="166">
        <f t="shared" si="2275"/>
        <v>46104.722299999994</v>
      </c>
      <c r="R7939" s="71"/>
    </row>
    <row r="7940" spans="1:18" s="61" customFormat="1" ht="63" x14ac:dyDescent="0.25">
      <c r="A7940" s="358"/>
      <c r="B7940" s="361"/>
      <c r="C7940" s="364"/>
      <c r="D7940" s="156" t="s">
        <v>40</v>
      </c>
      <c r="E7940" s="156" t="s">
        <v>20</v>
      </c>
      <c r="F7940" s="156" t="s">
        <v>234</v>
      </c>
      <c r="G7940" s="238">
        <f>MROUND(H7940*L7940*I7940/K7940,0.000000001)</f>
        <v>4.7053600000000004E-3</v>
      </c>
      <c r="H7940" s="158">
        <f>H7460</f>
        <v>96</v>
      </c>
      <c r="I7940" s="159">
        <f t="shared" ref="I7940:I7947" si="2278">I7939</f>
        <v>0.47073209999999999</v>
      </c>
      <c r="J7940" s="160"/>
      <c r="K7940" s="161">
        <f t="shared" ref="K7940:K7947" si="2279">K7939</f>
        <v>9604</v>
      </c>
      <c r="L7940" s="250">
        <v>1</v>
      </c>
      <c r="M7940" s="163" t="str">
        <f t="shared" si="2276"/>
        <v>96 чел(заявленная потребность руководителями учреждений)*0,4707321/9604чел.</v>
      </c>
      <c r="N7940" s="164">
        <f t="shared" si="2274"/>
        <v>1778.6189583333326</v>
      </c>
      <c r="O7940" s="165">
        <f t="shared" si="2277"/>
        <v>8.3690429999999996</v>
      </c>
      <c r="P7940" s="166"/>
      <c r="Q7940" s="166">
        <f t="shared" si="2275"/>
        <v>80376.288971999995</v>
      </c>
      <c r="R7940" s="71"/>
    </row>
    <row r="7941" spans="1:18" s="61" customFormat="1" ht="63" x14ac:dyDescent="0.25">
      <c r="A7941" s="358"/>
      <c r="B7941" s="361"/>
      <c r="C7941" s="364"/>
      <c r="D7941" s="156" t="s">
        <v>100</v>
      </c>
      <c r="E7941" s="156" t="s">
        <v>20</v>
      </c>
      <c r="F7941" s="156" t="s">
        <v>234</v>
      </c>
      <c r="G7941" s="238">
        <f>MROUND(H7941*L7941*I7941/K7941,0.0000000001)</f>
        <v>3.9701479000000001E-3</v>
      </c>
      <c r="H7941" s="158">
        <f>H7461</f>
        <v>81</v>
      </c>
      <c r="I7941" s="159">
        <f t="shared" si="2278"/>
        <v>0.47073209999999999</v>
      </c>
      <c r="J7941" s="160"/>
      <c r="K7941" s="161">
        <f t="shared" si="2279"/>
        <v>9604</v>
      </c>
      <c r="L7941" s="250">
        <v>1</v>
      </c>
      <c r="M7941" s="163" t="str">
        <f t="shared" si="2276"/>
        <v>81 чел(заявленная потребность руководителями учреждений)*0,4707321/9604чел.</v>
      </c>
      <c r="N7941" s="164">
        <f t="shared" si="2274"/>
        <v>3794.386419753087</v>
      </c>
      <c r="O7941" s="165">
        <f t="shared" si="2277"/>
        <v>15.064274999999999</v>
      </c>
      <c r="P7941" s="166"/>
      <c r="Q7941" s="166">
        <f t="shared" si="2275"/>
        <v>144677.2971</v>
      </c>
      <c r="R7941" s="71"/>
    </row>
    <row r="7942" spans="1:18" s="61" customFormat="1" ht="110.25" x14ac:dyDescent="0.25">
      <c r="A7942" s="358"/>
      <c r="B7942" s="361"/>
      <c r="C7942" s="364"/>
      <c r="D7942" s="156" t="s">
        <v>235</v>
      </c>
      <c r="E7942" s="156" t="s">
        <v>50</v>
      </c>
      <c r="F7942" s="156" t="s">
        <v>230</v>
      </c>
      <c r="G7942" s="238">
        <f>MROUND(H7942*L7942*I7942/K7942,0.00000001)</f>
        <v>1.76451E-3</v>
      </c>
      <c r="H7942" s="158">
        <f>H7702</f>
        <v>36</v>
      </c>
      <c r="I7942" s="159">
        <f t="shared" si="2278"/>
        <v>0.47073209999999999</v>
      </c>
      <c r="J7942" s="160"/>
      <c r="K7942" s="161">
        <f t="shared" si="2279"/>
        <v>9604</v>
      </c>
      <c r="L7942" s="250">
        <v>1</v>
      </c>
      <c r="M7942" s="163" t="str">
        <f t="shared" si="2276"/>
        <v>36 отчетов*0,4707321/9604чел.</v>
      </c>
      <c r="N7942" s="164">
        <f t="shared" si="2274"/>
        <v>7114.47</v>
      </c>
      <c r="O7942" s="165">
        <f t="shared" si="2277"/>
        <v>12.553552999999999</v>
      </c>
      <c r="P7942" s="166"/>
      <c r="Q7942" s="166">
        <f t="shared" si="2275"/>
        <v>120564.32301199999</v>
      </c>
      <c r="R7942" s="71"/>
    </row>
    <row r="7943" spans="1:18" s="61" customFormat="1" ht="63" x14ac:dyDescent="0.25">
      <c r="A7943" s="358"/>
      <c r="B7943" s="361"/>
      <c r="C7943" s="364"/>
      <c r="D7943" s="156" t="s">
        <v>42</v>
      </c>
      <c r="E7943" s="156" t="s">
        <v>51</v>
      </c>
      <c r="F7943" s="156" t="s">
        <v>407</v>
      </c>
      <c r="G7943" s="238">
        <f>MROUND(H7943*L7943*I7943/K7943,0.000001)</f>
        <v>9.9989999999999992E-3</v>
      </c>
      <c r="H7943" s="158">
        <f>H7463</f>
        <v>204</v>
      </c>
      <c r="I7943" s="159">
        <f t="shared" si="2278"/>
        <v>0.47073209999999999</v>
      </c>
      <c r="J7943" s="160"/>
      <c r="K7943" s="161">
        <f t="shared" si="2279"/>
        <v>9604</v>
      </c>
      <c r="L7943" s="250">
        <v>1</v>
      </c>
      <c r="M7943" s="163" t="str">
        <f t="shared" si="2276"/>
        <v>204 ед (заявленная потребность руководителями учреждений)*0,4707321/9604чел.</v>
      </c>
      <c r="N7943" s="164">
        <f t="shared" si="2274"/>
        <v>1185.7454901960789</v>
      </c>
      <c r="O7943" s="165">
        <f t="shared" si="2277"/>
        <v>11.856268999999999</v>
      </c>
      <c r="P7943" s="166"/>
      <c r="Q7943" s="166">
        <f t="shared" si="2275"/>
        <v>113867.60747599999</v>
      </c>
      <c r="R7943" s="71"/>
    </row>
    <row r="7944" spans="1:18" s="61" customFormat="1" ht="31.5" x14ac:dyDescent="0.25">
      <c r="A7944" s="358"/>
      <c r="B7944" s="361"/>
      <c r="C7944" s="364"/>
      <c r="D7944" s="156" t="s">
        <v>43</v>
      </c>
      <c r="E7944" s="156" t="s">
        <v>52</v>
      </c>
      <c r="F7944" s="156" t="s">
        <v>231</v>
      </c>
      <c r="G7944" s="238">
        <f>MROUND(H7944*L7944*I7944/K7944,0.000000001)</f>
        <v>1.7645100000000002E-3</v>
      </c>
      <c r="H7944" s="158">
        <f>H6864</f>
        <v>36</v>
      </c>
      <c r="I7944" s="159">
        <f t="shared" si="2278"/>
        <v>0.47073209999999999</v>
      </c>
      <c r="J7944" s="160"/>
      <c r="K7944" s="161">
        <f t="shared" si="2279"/>
        <v>9604</v>
      </c>
      <c r="L7944" s="250">
        <v>1</v>
      </c>
      <c r="M7944" s="163" t="str">
        <f t="shared" si="2276"/>
        <v>36 ЭЦП*0,4707321/9604чел.</v>
      </c>
      <c r="N7944" s="164">
        <f t="shared" si="2274"/>
        <v>8423.5400000000009</v>
      </c>
      <c r="O7944" s="165">
        <f t="shared" si="2277"/>
        <v>14.863420999999999</v>
      </c>
      <c r="P7944" s="166"/>
      <c r="Q7944" s="166">
        <f t="shared" si="2275"/>
        <v>142748.29528399999</v>
      </c>
      <c r="R7944" s="71"/>
    </row>
    <row r="7945" spans="1:18" s="61" customFormat="1" ht="47.25" x14ac:dyDescent="0.25">
      <c r="A7945" s="358"/>
      <c r="B7945" s="361"/>
      <c r="C7945" s="364"/>
      <c r="D7945" s="156" t="s">
        <v>44</v>
      </c>
      <c r="E7945" s="156" t="s">
        <v>85</v>
      </c>
      <c r="F7945" s="156" t="s">
        <v>232</v>
      </c>
      <c r="G7945" s="238">
        <f>MROUND(H7945*L7945*I7945/K7945,0.000001)</f>
        <v>5.9600999999999994E-2</v>
      </c>
      <c r="H7945" s="158">
        <f>H6865</f>
        <v>1216</v>
      </c>
      <c r="I7945" s="159">
        <f t="shared" si="2278"/>
        <v>0.47073209999999999</v>
      </c>
      <c r="J7945" s="160"/>
      <c r="K7945" s="161">
        <f t="shared" si="2279"/>
        <v>9604</v>
      </c>
      <c r="L7945" s="250">
        <v>1</v>
      </c>
      <c r="M7945" s="163" t="str">
        <f>CONCATENATE(H7945," ",F7945,"*",L7945,"мес.","*",I7945,"/",K7945,"чел.")</f>
        <v>1216 мед.осмотров в мес.*1мес.*0,4707321/9604чел.</v>
      </c>
      <c r="N7945" s="164">
        <f t="shared" si="2274"/>
        <v>61.65877467105264</v>
      </c>
      <c r="O7945" s="165">
        <f t="shared" si="2277"/>
        <v>3.674925</v>
      </c>
      <c r="P7945" s="166"/>
      <c r="Q7945" s="166">
        <f t="shared" si="2275"/>
        <v>35293.979700000004</v>
      </c>
      <c r="R7945" s="71"/>
    </row>
    <row r="7946" spans="1:18" s="61" customFormat="1" ht="63" x14ac:dyDescent="0.25">
      <c r="A7946" s="358"/>
      <c r="B7946" s="361"/>
      <c r="C7946" s="364"/>
      <c r="D7946" s="156" t="s">
        <v>45</v>
      </c>
      <c r="E7946" s="156" t="s">
        <v>53</v>
      </c>
      <c r="F7946" s="156" t="s">
        <v>233</v>
      </c>
      <c r="G7946" s="238">
        <f>MROUND(H7946*L7946*I7946/K7946,0.000000001)</f>
        <v>2.3526800000000002E-3</v>
      </c>
      <c r="H7946" s="158">
        <f>H7466</f>
        <v>4</v>
      </c>
      <c r="I7946" s="159">
        <f t="shared" si="2278"/>
        <v>0.47073209999999999</v>
      </c>
      <c r="J7946" s="160"/>
      <c r="K7946" s="161">
        <f t="shared" si="2279"/>
        <v>9604</v>
      </c>
      <c r="L7946" s="250">
        <v>12</v>
      </c>
      <c r="M7946" s="163" t="str">
        <f>CONCATENATE(H7946," ",F7946,"*",L7946,"мес.","*",I7946,"/",K7946,"чел.")</f>
        <v>4  машины, оборудованных системой ГЛОНАСС*12мес.*0,4707321/9604чел.</v>
      </c>
      <c r="N7946" s="164">
        <f t="shared" si="2274"/>
        <v>958.08249999999998</v>
      </c>
      <c r="O7946" s="165">
        <f t="shared" si="2277"/>
        <v>2.2540619999999998</v>
      </c>
      <c r="P7946" s="166"/>
      <c r="Q7946" s="166">
        <f t="shared" si="2275"/>
        <v>21648.011447999997</v>
      </c>
      <c r="R7946" s="71"/>
    </row>
    <row r="7947" spans="1:18" s="61" customFormat="1" ht="31.5" x14ac:dyDescent="0.25">
      <c r="A7947" s="358"/>
      <c r="B7947" s="361"/>
      <c r="C7947" s="364"/>
      <c r="D7947" s="156" t="s">
        <v>408</v>
      </c>
      <c r="E7947" s="156" t="s">
        <v>20</v>
      </c>
      <c r="F7947" s="156" t="s">
        <v>20</v>
      </c>
      <c r="G7947" s="238">
        <f>MROUND(H7947*L7947*I7947/K7947,0.000000001)</f>
        <v>8.3177048000000003E-2</v>
      </c>
      <c r="H7947" s="158">
        <f>H6867</f>
        <v>1697</v>
      </c>
      <c r="I7947" s="159">
        <f t="shared" si="2278"/>
        <v>0.47073209999999999</v>
      </c>
      <c r="J7947" s="160"/>
      <c r="K7947" s="161">
        <f t="shared" si="2279"/>
        <v>9604</v>
      </c>
      <c r="L7947" s="250">
        <v>1</v>
      </c>
      <c r="M7947" s="163" t="str">
        <f>CONCATENATE(H7947," ",F7947,"*",L7947," раз в год","*",I7947,"/",K7947,"чел.")</f>
        <v>1697 чел.*1 раз в год*0,4707321/9604чел.</v>
      </c>
      <c r="N7947" s="164">
        <f t="shared" si="2274"/>
        <v>592.87278137890405</v>
      </c>
      <c r="O7947" s="165">
        <f t="shared" si="2277"/>
        <v>49.313407999999995</v>
      </c>
      <c r="P7947" s="166"/>
      <c r="Q7947" s="166">
        <f t="shared" si="2275"/>
        <v>473605.97043199994</v>
      </c>
      <c r="R7947" s="71"/>
    </row>
    <row r="7948" spans="1:18" s="61" customFormat="1" x14ac:dyDescent="0.25">
      <c r="A7948" s="358"/>
      <c r="B7948" s="361"/>
      <c r="C7948" s="364"/>
      <c r="D7948" s="156" t="s">
        <v>373</v>
      </c>
      <c r="E7948" s="156" t="s">
        <v>28</v>
      </c>
      <c r="F7948" s="156" t="s">
        <v>28</v>
      </c>
      <c r="G7948" s="157">
        <f>MROUND(H7948*L7948*I7948/K7948,0.000000001)</f>
        <v>1.7645100000000002E-3</v>
      </c>
      <c r="H7948" s="158">
        <f>H6869</f>
        <v>36</v>
      </c>
      <c r="I7948" s="159">
        <f>I7946</f>
        <v>0.47073209999999999</v>
      </c>
      <c r="J7948" s="160"/>
      <c r="K7948" s="161">
        <f>K7946</f>
        <v>9604</v>
      </c>
      <c r="L7948" s="162">
        <v>1</v>
      </c>
      <c r="M7948" s="163" t="str">
        <f>CONCATENATE(H7948," ",F7948,"*",L7948,"мес.","*",I7948,"/",K7948,"чел.")</f>
        <v>36 шт*1мес.*0,4707321/9604чел.</v>
      </c>
      <c r="N7948" s="164">
        <f>N6869</f>
        <v>24000</v>
      </c>
      <c r="O7948" s="165">
        <f>MROUND(G7948*N7948,0.000000001)</f>
        <v>42.348240000000004</v>
      </c>
      <c r="P7948" s="166"/>
      <c r="Q7948" s="166">
        <f t="shared" si="2275"/>
        <v>406712.49696000002</v>
      </c>
      <c r="R7948" s="71"/>
    </row>
    <row r="7949" spans="1:18" s="61" customFormat="1" ht="31.5" x14ac:dyDescent="0.25">
      <c r="A7949" s="358"/>
      <c r="B7949" s="361"/>
      <c r="C7949" s="364"/>
      <c r="D7949" s="156" t="s">
        <v>106</v>
      </c>
      <c r="E7949" s="156" t="s">
        <v>107</v>
      </c>
      <c r="F7949" s="156"/>
      <c r="G7949" s="238">
        <f>MROUND(H7949*L7949*I7949/K7949,0.000000001)</f>
        <v>0</v>
      </c>
      <c r="H7949" s="158">
        <f>H6868</f>
        <v>0</v>
      </c>
      <c r="I7949" s="159">
        <f>I7946</f>
        <v>0.47073209999999999</v>
      </c>
      <c r="J7949" s="160"/>
      <c r="K7949" s="161">
        <f>K7946</f>
        <v>9604</v>
      </c>
      <c r="L7949" s="250">
        <f>L6868</f>
        <v>0</v>
      </c>
      <c r="M7949" s="163"/>
      <c r="N7949" s="164">
        <f>N6868</f>
        <v>6.0000000000000002E-5</v>
      </c>
      <c r="O7949" s="165">
        <f>MROUND(G7949*N7949,0.000000001)</f>
        <v>0</v>
      </c>
      <c r="P7949" s="166"/>
      <c r="Q7949" s="166">
        <f t="shared" si="2275"/>
        <v>0</v>
      </c>
      <c r="R7949" s="71"/>
    </row>
    <row r="7950" spans="1:18" s="62" customFormat="1" x14ac:dyDescent="0.25">
      <c r="A7950" s="358"/>
      <c r="B7950" s="361"/>
      <c r="C7950" s="245" t="s">
        <v>296</v>
      </c>
      <c r="D7950" s="240"/>
      <c r="E7950" s="240"/>
      <c r="F7950" s="240"/>
      <c r="G7950" s="227"/>
      <c r="H7950" s="241"/>
      <c r="I7950" s="206"/>
      <c r="J7950" s="228"/>
      <c r="K7950" s="207"/>
      <c r="L7950" s="257"/>
      <c r="M7950" s="209"/>
      <c r="N7950" s="210"/>
      <c r="O7950" s="198">
        <f>SUM(O7936:O7949)</f>
        <v>317.10208899999998</v>
      </c>
      <c r="P7950" s="267"/>
      <c r="Q7950" s="166"/>
      <c r="R7950" s="71"/>
    </row>
    <row r="7951" spans="1:18" s="61" customFormat="1" ht="31.5" x14ac:dyDescent="0.25">
      <c r="A7951" s="358"/>
      <c r="B7951" s="361"/>
      <c r="C7951" s="252" t="s">
        <v>237</v>
      </c>
      <c r="D7951" s="156" t="s">
        <v>41</v>
      </c>
      <c r="E7951" s="156" t="s">
        <v>61</v>
      </c>
      <c r="F7951" s="156" t="s">
        <v>227</v>
      </c>
      <c r="G7951" s="238">
        <f>MROUND(H7951*L7951*I7951/K7951,0.000000001)</f>
        <v>1.9605700000000002E-4</v>
      </c>
      <c r="H7951" s="158">
        <f>H6871</f>
        <v>4</v>
      </c>
      <c r="I7951" s="159">
        <f>I7949</f>
        <v>0.47073209999999999</v>
      </c>
      <c r="J7951" s="160"/>
      <c r="K7951" s="161">
        <f>K7949</f>
        <v>9604</v>
      </c>
      <c r="L7951" s="250">
        <v>1</v>
      </c>
      <c r="M7951" s="163" t="str">
        <f>CONCATENATE(H7951," ",F7951,"*",I7951,"/",K7951,"чел.")</f>
        <v>4 автобуса*0,4707321/9604чел.</v>
      </c>
      <c r="N7951" s="164">
        <f>N6871</f>
        <v>27983.595000000001</v>
      </c>
      <c r="O7951" s="165">
        <f>MROUND(G7951*N7951,0.000001)</f>
        <v>5.4863799999999996</v>
      </c>
      <c r="P7951" s="166"/>
      <c r="Q7951" s="166">
        <f t="shared" ref="Q7951" si="2280">O7951*K7951</f>
        <v>52691.193519999993</v>
      </c>
      <c r="R7951" s="71"/>
    </row>
    <row r="7952" spans="1:18" s="62" customFormat="1" x14ac:dyDescent="0.25">
      <c r="A7952" s="358"/>
      <c r="B7952" s="361"/>
      <c r="C7952" s="245" t="s">
        <v>297</v>
      </c>
      <c r="D7952" s="240"/>
      <c r="E7952" s="240"/>
      <c r="F7952" s="240"/>
      <c r="G7952" s="227"/>
      <c r="H7952" s="241"/>
      <c r="I7952" s="206"/>
      <c r="J7952" s="228"/>
      <c r="K7952" s="207"/>
      <c r="L7952" s="257"/>
      <c r="M7952" s="209"/>
      <c r="N7952" s="210"/>
      <c r="O7952" s="198">
        <f>SUM(O7951)</f>
        <v>5.4863799999999996</v>
      </c>
      <c r="P7952" s="267"/>
      <c r="Q7952" s="166"/>
      <c r="R7952" s="71"/>
    </row>
    <row r="7953" spans="1:18" s="61" customFormat="1" ht="78.75" x14ac:dyDescent="0.25">
      <c r="A7953" s="358"/>
      <c r="B7953" s="361"/>
      <c r="C7953" s="221" t="s">
        <v>236</v>
      </c>
      <c r="D7953" s="156" t="s">
        <v>19</v>
      </c>
      <c r="E7953" s="181" t="s">
        <v>20</v>
      </c>
      <c r="F7953" s="181" t="s">
        <v>238</v>
      </c>
      <c r="G7953" s="238">
        <f>MROUND(H7953*L7953*I7953/K7953,0.000001)</f>
        <v>0</v>
      </c>
      <c r="H7953" s="158"/>
      <c r="I7953" s="159">
        <f>I7949</f>
        <v>0.47073209999999999</v>
      </c>
      <c r="J7953" s="160"/>
      <c r="K7953" s="161">
        <f>K7949</f>
        <v>9604</v>
      </c>
      <c r="L7953" s="250"/>
      <c r="M7953" s="163"/>
      <c r="N7953" s="164"/>
      <c r="O7953" s="165">
        <f>MROUND(G7953*N7953,0.000001)</f>
        <v>0</v>
      </c>
      <c r="P7953" s="166"/>
      <c r="Q7953" s="166">
        <f t="shared" ref="Q7953" si="2281">O7953*K7953</f>
        <v>0</v>
      </c>
      <c r="R7953" s="71"/>
    </row>
    <row r="7954" spans="1:18" s="62" customFormat="1" x14ac:dyDescent="0.25">
      <c r="A7954" s="358"/>
      <c r="B7954" s="361"/>
      <c r="C7954" s="245" t="s">
        <v>298</v>
      </c>
      <c r="D7954" s="240"/>
      <c r="E7954" s="253"/>
      <c r="F7954" s="253"/>
      <c r="G7954" s="227"/>
      <c r="H7954" s="241"/>
      <c r="I7954" s="206"/>
      <c r="J7954" s="228"/>
      <c r="K7954" s="207"/>
      <c r="L7954" s="257"/>
      <c r="M7954" s="209"/>
      <c r="N7954" s="210"/>
      <c r="O7954" s="198">
        <f>SUM(O7953)</f>
        <v>0</v>
      </c>
      <c r="P7954" s="267"/>
      <c r="Q7954" s="166"/>
      <c r="R7954" s="71"/>
    </row>
    <row r="7955" spans="1:18" s="61" customFormat="1" ht="30" x14ac:dyDescent="0.25">
      <c r="A7955" s="358"/>
      <c r="B7955" s="361"/>
      <c r="C7955" s="365" t="s">
        <v>81</v>
      </c>
      <c r="D7955" s="254" t="s">
        <v>410</v>
      </c>
      <c r="E7955" s="156" t="s">
        <v>28</v>
      </c>
      <c r="F7955" s="156" t="s">
        <v>28</v>
      </c>
      <c r="G7955" s="238">
        <f>MROUND(H7955*L7955*I7955/K7955,0.0000000001)</f>
        <v>0</v>
      </c>
      <c r="H7955" s="158"/>
      <c r="I7955" s="159">
        <f>I7949</f>
        <v>0.47073209999999999</v>
      </c>
      <c r="J7955" s="160"/>
      <c r="K7955" s="161">
        <f>K7949</f>
        <v>9604</v>
      </c>
      <c r="L7955" s="250">
        <v>1</v>
      </c>
      <c r="M7955" s="163"/>
      <c r="N7955" s="164"/>
      <c r="O7955" s="165">
        <f>MROUND(G7955*N7955,0.000001)</f>
        <v>0</v>
      </c>
      <c r="P7955" s="166"/>
      <c r="Q7955" s="166">
        <f t="shared" ref="Q7955:Q7978" si="2282">O7955*K7955</f>
        <v>0</v>
      </c>
      <c r="R7955" s="71"/>
    </row>
    <row r="7956" spans="1:18" s="61" customFormat="1" x14ac:dyDescent="0.25">
      <c r="A7956" s="358"/>
      <c r="B7956" s="361"/>
      <c r="C7956" s="366"/>
      <c r="D7956" s="254" t="s">
        <v>325</v>
      </c>
      <c r="E7956" s="156" t="s">
        <v>28</v>
      </c>
      <c r="F7956" s="156" t="s">
        <v>28</v>
      </c>
      <c r="G7956" s="157">
        <f>MROUND(H7956*L7956*I7956/K7956,0.0000000001)</f>
        <v>0</v>
      </c>
      <c r="H7956" s="158"/>
      <c r="I7956" s="159">
        <f>I7955</f>
        <v>0.47073209999999999</v>
      </c>
      <c r="J7956" s="160"/>
      <c r="K7956" s="161">
        <f>K7955</f>
        <v>9604</v>
      </c>
      <c r="L7956" s="250">
        <v>1</v>
      </c>
      <c r="M7956" s="163"/>
      <c r="N7956" s="164"/>
      <c r="O7956" s="165">
        <f>MROUND(G7956*N7956,0.000001)</f>
        <v>0</v>
      </c>
      <c r="P7956" s="166"/>
      <c r="Q7956" s="166">
        <f t="shared" si="2282"/>
        <v>0</v>
      </c>
      <c r="R7956" s="71"/>
    </row>
    <row r="7957" spans="1:18" s="61" customFormat="1" ht="30" x14ac:dyDescent="0.25">
      <c r="A7957" s="358"/>
      <c r="B7957" s="361"/>
      <c r="C7957" s="366"/>
      <c r="D7957" s="254" t="s">
        <v>411</v>
      </c>
      <c r="E7957" s="156" t="s">
        <v>28</v>
      </c>
      <c r="F7957" s="156" t="s">
        <v>28</v>
      </c>
      <c r="G7957" s="238">
        <f>MROUND(H7957*L7957*I7957/K7957,0.00000001)</f>
        <v>0</v>
      </c>
      <c r="H7957" s="158"/>
      <c r="I7957" s="159">
        <f>I7955</f>
        <v>0.47073209999999999</v>
      </c>
      <c r="J7957" s="160"/>
      <c r="K7957" s="161">
        <f>K7955</f>
        <v>9604</v>
      </c>
      <c r="L7957" s="250">
        <v>1</v>
      </c>
      <c r="M7957" s="163"/>
      <c r="N7957" s="164"/>
      <c r="O7957" s="165">
        <f t="shared" ref="O7957:O7978" si="2283">MROUND(G7957*N7957,0.000001)</f>
        <v>0</v>
      </c>
      <c r="P7957" s="166"/>
      <c r="Q7957" s="166">
        <f t="shared" si="2282"/>
        <v>0</v>
      </c>
      <c r="R7957" s="71"/>
    </row>
    <row r="7958" spans="1:18" s="61" customFormat="1" x14ac:dyDescent="0.25">
      <c r="A7958" s="358"/>
      <c r="B7958" s="361"/>
      <c r="C7958" s="366"/>
      <c r="D7958" s="255" t="s">
        <v>412</v>
      </c>
      <c r="E7958" s="156" t="s">
        <v>28</v>
      </c>
      <c r="F7958" s="156" t="s">
        <v>28</v>
      </c>
      <c r="G7958" s="238">
        <f>MROUND(H7958*L7958*I7958/K7958,0.00000001)</f>
        <v>0</v>
      </c>
      <c r="H7958" s="158"/>
      <c r="I7958" s="159">
        <f>I7957</f>
        <v>0.47073209999999999</v>
      </c>
      <c r="J7958" s="160"/>
      <c r="K7958" s="161">
        <f>K7957</f>
        <v>9604</v>
      </c>
      <c r="L7958" s="250">
        <v>1</v>
      </c>
      <c r="M7958" s="163"/>
      <c r="N7958" s="164"/>
      <c r="O7958" s="165">
        <f t="shared" si="2283"/>
        <v>0</v>
      </c>
      <c r="P7958" s="166"/>
      <c r="Q7958" s="166">
        <f t="shared" si="2282"/>
        <v>0</v>
      </c>
      <c r="R7958" s="71"/>
    </row>
    <row r="7959" spans="1:18" s="61" customFormat="1" ht="31.5" x14ac:dyDescent="0.25">
      <c r="A7959" s="358"/>
      <c r="B7959" s="361"/>
      <c r="C7959" s="366"/>
      <c r="D7959" s="255" t="s">
        <v>413</v>
      </c>
      <c r="E7959" s="156" t="s">
        <v>28</v>
      </c>
      <c r="F7959" s="156" t="s">
        <v>28</v>
      </c>
      <c r="G7959" s="238">
        <f>MROUND(H7959*L7959*I7959/K7959,0.0000000001)</f>
        <v>0</v>
      </c>
      <c r="H7959" s="158"/>
      <c r="I7959" s="159">
        <f>I7958</f>
        <v>0.47073209999999999</v>
      </c>
      <c r="J7959" s="160"/>
      <c r="K7959" s="161">
        <f>K7958</f>
        <v>9604</v>
      </c>
      <c r="L7959" s="250">
        <v>1</v>
      </c>
      <c r="M7959" s="163"/>
      <c r="N7959" s="164"/>
      <c r="O7959" s="165">
        <f t="shared" si="2283"/>
        <v>0</v>
      </c>
      <c r="P7959" s="166"/>
      <c r="Q7959" s="166">
        <f t="shared" si="2282"/>
        <v>0</v>
      </c>
      <c r="R7959" s="71"/>
    </row>
    <row r="7960" spans="1:18" s="61" customFormat="1" x14ac:dyDescent="0.25">
      <c r="A7960" s="358"/>
      <c r="B7960" s="361"/>
      <c r="C7960" s="366"/>
      <c r="D7960" s="254" t="s">
        <v>109</v>
      </c>
      <c r="E7960" s="156" t="s">
        <v>28</v>
      </c>
      <c r="F7960" s="156" t="s">
        <v>28</v>
      </c>
      <c r="G7960" s="238">
        <f>MROUND(H7960*L7960*I7960/K7960,0.0000000001)</f>
        <v>0</v>
      </c>
      <c r="H7960" s="158"/>
      <c r="I7960" s="159">
        <f>I7959</f>
        <v>0.47073209999999999</v>
      </c>
      <c r="J7960" s="160"/>
      <c r="K7960" s="161">
        <f>K7959</f>
        <v>9604</v>
      </c>
      <c r="L7960" s="250">
        <v>1</v>
      </c>
      <c r="M7960" s="163"/>
      <c r="N7960" s="164"/>
      <c r="O7960" s="165">
        <f t="shared" si="2283"/>
        <v>0</v>
      </c>
      <c r="P7960" s="166"/>
      <c r="Q7960" s="166">
        <f t="shared" si="2282"/>
        <v>0</v>
      </c>
      <c r="R7960" s="71"/>
    </row>
    <row r="7961" spans="1:18" s="61" customFormat="1" x14ac:dyDescent="0.25">
      <c r="A7961" s="358"/>
      <c r="B7961" s="361"/>
      <c r="C7961" s="366"/>
      <c r="D7961" s="254" t="s">
        <v>414</v>
      </c>
      <c r="E7961" s="156" t="s">
        <v>28</v>
      </c>
      <c r="F7961" s="156" t="s">
        <v>28</v>
      </c>
      <c r="G7961" s="238">
        <f>MROUND(H7961*L7961*I7961/K7961,0.0000000001)</f>
        <v>0</v>
      </c>
      <c r="H7961" s="158"/>
      <c r="I7961" s="159">
        <f>I7959</f>
        <v>0.47073209999999999</v>
      </c>
      <c r="J7961" s="160"/>
      <c r="K7961" s="161">
        <f>K7959</f>
        <v>9604</v>
      </c>
      <c r="L7961" s="250">
        <v>1</v>
      </c>
      <c r="M7961" s="163"/>
      <c r="N7961" s="164"/>
      <c r="O7961" s="165">
        <f t="shared" si="2283"/>
        <v>0</v>
      </c>
      <c r="P7961" s="166"/>
      <c r="Q7961" s="166">
        <f t="shared" si="2282"/>
        <v>0</v>
      </c>
      <c r="R7961" s="71"/>
    </row>
    <row r="7962" spans="1:18" s="61" customFormat="1" x14ac:dyDescent="0.25">
      <c r="A7962" s="358"/>
      <c r="B7962" s="361"/>
      <c r="C7962" s="366"/>
      <c r="D7962" s="254" t="s">
        <v>415</v>
      </c>
      <c r="E7962" s="156" t="s">
        <v>28</v>
      </c>
      <c r="F7962" s="156" t="s">
        <v>28</v>
      </c>
      <c r="G7962" s="238">
        <f>MROUND(H7962*L7962*I7962/K7962,0.00000001)</f>
        <v>0</v>
      </c>
      <c r="H7962" s="158"/>
      <c r="I7962" s="159">
        <f t="shared" ref="I7962:I7971" si="2284">I7960</f>
        <v>0.47073209999999999</v>
      </c>
      <c r="J7962" s="160"/>
      <c r="K7962" s="161">
        <f t="shared" ref="K7962:K7971" si="2285">K7960</f>
        <v>9604</v>
      </c>
      <c r="L7962" s="250">
        <v>1</v>
      </c>
      <c r="M7962" s="163"/>
      <c r="N7962" s="164"/>
      <c r="O7962" s="165">
        <f t="shared" si="2283"/>
        <v>0</v>
      </c>
      <c r="P7962" s="166"/>
      <c r="Q7962" s="166">
        <f t="shared" si="2282"/>
        <v>0</v>
      </c>
      <c r="R7962" s="71"/>
    </row>
    <row r="7963" spans="1:18" s="61" customFormat="1" x14ac:dyDescent="0.25">
      <c r="A7963" s="358"/>
      <c r="B7963" s="361"/>
      <c r="C7963" s="366"/>
      <c r="D7963" s="254" t="s">
        <v>416</v>
      </c>
      <c r="E7963" s="156" t="s">
        <v>28</v>
      </c>
      <c r="F7963" s="156" t="s">
        <v>28</v>
      </c>
      <c r="G7963" s="238">
        <f>MROUND(H7963*L7963*I7963/K7963,0.000000001)</f>
        <v>0</v>
      </c>
      <c r="H7963" s="246"/>
      <c r="I7963" s="159">
        <f t="shared" si="2284"/>
        <v>0.47073209999999999</v>
      </c>
      <c r="J7963" s="160"/>
      <c r="K7963" s="161">
        <f t="shared" si="2285"/>
        <v>9604</v>
      </c>
      <c r="L7963" s="250">
        <v>1</v>
      </c>
      <c r="M7963" s="163"/>
      <c r="N7963" s="164"/>
      <c r="O7963" s="165">
        <f t="shared" si="2283"/>
        <v>0</v>
      </c>
      <c r="P7963" s="166"/>
      <c r="Q7963" s="166">
        <f t="shared" si="2282"/>
        <v>0</v>
      </c>
      <c r="R7963" s="71"/>
    </row>
    <row r="7964" spans="1:18" s="61" customFormat="1" x14ac:dyDescent="0.25">
      <c r="A7964" s="358"/>
      <c r="B7964" s="361"/>
      <c r="C7964" s="366"/>
      <c r="D7964" s="254" t="s">
        <v>417</v>
      </c>
      <c r="E7964" s="156" t="s">
        <v>28</v>
      </c>
      <c r="F7964" s="156" t="s">
        <v>28</v>
      </c>
      <c r="G7964" s="238">
        <f>MROUND(H7964*L7964*I7964/K7964,0.00000001)</f>
        <v>0</v>
      </c>
      <c r="H7964" s="158"/>
      <c r="I7964" s="159">
        <f t="shared" si="2284"/>
        <v>0.47073209999999999</v>
      </c>
      <c r="J7964" s="160"/>
      <c r="K7964" s="161">
        <f t="shared" si="2285"/>
        <v>9604</v>
      </c>
      <c r="L7964" s="250">
        <v>1</v>
      </c>
      <c r="M7964" s="163"/>
      <c r="N7964" s="164"/>
      <c r="O7964" s="165">
        <f t="shared" si="2283"/>
        <v>0</v>
      </c>
      <c r="P7964" s="166"/>
      <c r="Q7964" s="166">
        <f t="shared" si="2282"/>
        <v>0</v>
      </c>
      <c r="R7964" s="71"/>
    </row>
    <row r="7965" spans="1:18" s="61" customFormat="1" ht="30" x14ac:dyDescent="0.25">
      <c r="A7965" s="358"/>
      <c r="B7965" s="361"/>
      <c r="C7965" s="366"/>
      <c r="D7965" s="254" t="s">
        <v>418</v>
      </c>
      <c r="E7965" s="156" t="s">
        <v>28</v>
      </c>
      <c r="F7965" s="156" t="s">
        <v>28</v>
      </c>
      <c r="G7965" s="238">
        <f>MROUND(H7965*L7965*I7965/K7965,0.00000001)</f>
        <v>0</v>
      </c>
      <c r="H7965" s="158"/>
      <c r="I7965" s="159">
        <f t="shared" si="2284"/>
        <v>0.47073209999999999</v>
      </c>
      <c r="J7965" s="160"/>
      <c r="K7965" s="161">
        <f t="shared" si="2285"/>
        <v>9604</v>
      </c>
      <c r="L7965" s="250">
        <v>1</v>
      </c>
      <c r="M7965" s="163"/>
      <c r="N7965" s="164"/>
      <c r="O7965" s="165">
        <f t="shared" si="2283"/>
        <v>0</v>
      </c>
      <c r="P7965" s="166"/>
      <c r="Q7965" s="166">
        <f t="shared" si="2282"/>
        <v>0</v>
      </c>
      <c r="R7965" s="71"/>
    </row>
    <row r="7966" spans="1:18" s="61" customFormat="1" x14ac:dyDescent="0.25">
      <c r="A7966" s="358"/>
      <c r="B7966" s="361"/>
      <c r="C7966" s="366"/>
      <c r="D7966" s="254" t="s">
        <v>324</v>
      </c>
      <c r="E7966" s="156" t="s">
        <v>28</v>
      </c>
      <c r="F7966" s="156" t="s">
        <v>28</v>
      </c>
      <c r="G7966" s="238">
        <f>MROUND(H7966*L7966*I7966/K7966,0.000000001)</f>
        <v>0</v>
      </c>
      <c r="H7966" s="158"/>
      <c r="I7966" s="159">
        <f t="shared" si="2284"/>
        <v>0.47073209999999999</v>
      </c>
      <c r="J7966" s="160"/>
      <c r="K7966" s="161">
        <f t="shared" si="2285"/>
        <v>9604</v>
      </c>
      <c r="L7966" s="250">
        <v>1</v>
      </c>
      <c r="M7966" s="163"/>
      <c r="N7966" s="164"/>
      <c r="O7966" s="165">
        <f t="shared" si="2283"/>
        <v>0</v>
      </c>
      <c r="P7966" s="166"/>
      <c r="Q7966" s="166">
        <f t="shared" si="2282"/>
        <v>0</v>
      </c>
      <c r="R7966" s="71"/>
    </row>
    <row r="7967" spans="1:18" s="61" customFormat="1" x14ac:dyDescent="0.25">
      <c r="A7967" s="358"/>
      <c r="B7967" s="361"/>
      <c r="C7967" s="366"/>
      <c r="D7967" s="254" t="s">
        <v>419</v>
      </c>
      <c r="E7967" s="156" t="s">
        <v>28</v>
      </c>
      <c r="F7967" s="156" t="s">
        <v>28</v>
      </c>
      <c r="G7967" s="238">
        <f>MROUND(H7967*L7967*I7967/K7967,0.000000001)</f>
        <v>0</v>
      </c>
      <c r="H7967" s="246"/>
      <c r="I7967" s="159">
        <f t="shared" si="2284"/>
        <v>0.47073209999999999</v>
      </c>
      <c r="J7967" s="160"/>
      <c r="K7967" s="161">
        <f t="shared" si="2285"/>
        <v>9604</v>
      </c>
      <c r="L7967" s="250">
        <v>1</v>
      </c>
      <c r="M7967" s="163"/>
      <c r="N7967" s="164"/>
      <c r="O7967" s="165">
        <f t="shared" si="2283"/>
        <v>0</v>
      </c>
      <c r="P7967" s="166"/>
      <c r="Q7967" s="166">
        <f t="shared" si="2282"/>
        <v>0</v>
      </c>
      <c r="R7967" s="71"/>
    </row>
    <row r="7968" spans="1:18" s="61" customFormat="1" x14ac:dyDescent="0.25">
      <c r="A7968" s="358"/>
      <c r="B7968" s="361"/>
      <c r="C7968" s="366"/>
      <c r="D7968" s="254" t="s">
        <v>420</v>
      </c>
      <c r="E7968" s="156" t="s">
        <v>28</v>
      </c>
      <c r="F7968" s="156" t="s">
        <v>28</v>
      </c>
      <c r="G7968" s="238">
        <f>MROUND(H7968*L7968*I7968/K7968,0.000000001)</f>
        <v>0</v>
      </c>
      <c r="H7968" s="158"/>
      <c r="I7968" s="159">
        <f t="shared" si="2284"/>
        <v>0.47073209999999999</v>
      </c>
      <c r="J7968" s="160"/>
      <c r="K7968" s="161">
        <f t="shared" si="2285"/>
        <v>9604</v>
      </c>
      <c r="L7968" s="250">
        <v>1</v>
      </c>
      <c r="M7968" s="163"/>
      <c r="N7968" s="164"/>
      <c r="O7968" s="165">
        <f t="shared" si="2283"/>
        <v>0</v>
      </c>
      <c r="P7968" s="166"/>
      <c r="Q7968" s="166">
        <f t="shared" si="2282"/>
        <v>0</v>
      </c>
      <c r="R7968" s="71"/>
    </row>
    <row r="7969" spans="1:18" s="61" customFormat="1" x14ac:dyDescent="0.25">
      <c r="A7969" s="358"/>
      <c r="B7969" s="361"/>
      <c r="C7969" s="366"/>
      <c r="D7969" s="254" t="s">
        <v>421</v>
      </c>
      <c r="E7969" s="156" t="s">
        <v>28</v>
      </c>
      <c r="F7969" s="156" t="s">
        <v>28</v>
      </c>
      <c r="G7969" s="238">
        <f>MROUND(H7969*L7969*I7969/K7969,0.00000001)</f>
        <v>0</v>
      </c>
      <c r="H7969" s="158"/>
      <c r="I7969" s="159">
        <f t="shared" si="2284"/>
        <v>0.47073209999999999</v>
      </c>
      <c r="J7969" s="160"/>
      <c r="K7969" s="161">
        <f t="shared" si="2285"/>
        <v>9604</v>
      </c>
      <c r="L7969" s="250">
        <v>1</v>
      </c>
      <c r="M7969" s="163"/>
      <c r="N7969" s="164"/>
      <c r="O7969" s="165">
        <f t="shared" si="2283"/>
        <v>0</v>
      </c>
      <c r="P7969" s="166"/>
      <c r="Q7969" s="166">
        <f t="shared" si="2282"/>
        <v>0</v>
      </c>
      <c r="R7969" s="71"/>
    </row>
    <row r="7970" spans="1:18" s="61" customFormat="1" ht="30" x14ac:dyDescent="0.25">
      <c r="A7970" s="358"/>
      <c r="B7970" s="361"/>
      <c r="C7970" s="366"/>
      <c r="D7970" s="254" t="s">
        <v>422</v>
      </c>
      <c r="E7970" s="156" t="s">
        <v>28</v>
      </c>
      <c r="F7970" s="156" t="s">
        <v>28</v>
      </c>
      <c r="G7970" s="266">
        <f>MROUND(H7970*L7970*I7970/K7970,0.00000001)</f>
        <v>0</v>
      </c>
      <c r="H7970" s="158"/>
      <c r="I7970" s="159">
        <f t="shared" si="2284"/>
        <v>0.47073209999999999</v>
      </c>
      <c r="J7970" s="160"/>
      <c r="K7970" s="161">
        <f t="shared" si="2285"/>
        <v>9604</v>
      </c>
      <c r="L7970" s="250">
        <v>1</v>
      </c>
      <c r="M7970" s="163"/>
      <c r="N7970" s="164"/>
      <c r="O7970" s="165">
        <f t="shared" si="2283"/>
        <v>0</v>
      </c>
      <c r="P7970" s="166"/>
      <c r="Q7970" s="166">
        <f t="shared" si="2282"/>
        <v>0</v>
      </c>
      <c r="R7970" s="71"/>
    </row>
    <row r="7971" spans="1:18" s="61" customFormat="1" x14ac:dyDescent="0.25">
      <c r="A7971" s="358"/>
      <c r="B7971" s="361"/>
      <c r="C7971" s="366"/>
      <c r="D7971" s="254" t="s">
        <v>423</v>
      </c>
      <c r="E7971" s="156" t="s">
        <v>28</v>
      </c>
      <c r="F7971" s="156" t="s">
        <v>28</v>
      </c>
      <c r="G7971" s="238">
        <f>MROUND(H7971*L7971*I7971/K7971,0.000000001)</f>
        <v>0</v>
      </c>
      <c r="H7971" s="158"/>
      <c r="I7971" s="159">
        <f t="shared" si="2284"/>
        <v>0.47073209999999999</v>
      </c>
      <c r="J7971" s="160"/>
      <c r="K7971" s="161">
        <f t="shared" si="2285"/>
        <v>9604</v>
      </c>
      <c r="L7971" s="250">
        <v>1</v>
      </c>
      <c r="M7971" s="163"/>
      <c r="N7971" s="164"/>
      <c r="O7971" s="165">
        <f t="shared" si="2283"/>
        <v>0</v>
      </c>
      <c r="P7971" s="166"/>
      <c r="Q7971" s="166">
        <f t="shared" si="2282"/>
        <v>0</v>
      </c>
      <c r="R7971" s="71"/>
    </row>
    <row r="7972" spans="1:18" s="61" customFormat="1" x14ac:dyDescent="0.25">
      <c r="A7972" s="358"/>
      <c r="B7972" s="361"/>
      <c r="C7972" s="366"/>
      <c r="D7972" s="254" t="s">
        <v>424</v>
      </c>
      <c r="E7972" s="156" t="s">
        <v>28</v>
      </c>
      <c r="F7972" s="156" t="s">
        <v>28</v>
      </c>
      <c r="G7972" s="238">
        <f t="shared" ref="G7972:G7978" si="2286">MROUND(H7972*L7972*I7972/K7972,0.00000001)</f>
        <v>0</v>
      </c>
      <c r="H7972" s="158"/>
      <c r="I7972" s="159">
        <f>I7961</f>
        <v>0.47073209999999999</v>
      </c>
      <c r="J7972" s="160"/>
      <c r="K7972" s="161">
        <f>K7961</f>
        <v>9604</v>
      </c>
      <c r="L7972" s="250">
        <v>1</v>
      </c>
      <c r="M7972" s="163"/>
      <c r="N7972" s="164"/>
      <c r="O7972" s="165">
        <f t="shared" si="2283"/>
        <v>0</v>
      </c>
      <c r="P7972" s="166"/>
      <c r="Q7972" s="166">
        <f t="shared" si="2282"/>
        <v>0</v>
      </c>
      <c r="R7972" s="71"/>
    </row>
    <row r="7973" spans="1:18" s="61" customFormat="1" x14ac:dyDescent="0.25">
      <c r="A7973" s="358"/>
      <c r="B7973" s="361"/>
      <c r="C7973" s="366"/>
      <c r="D7973" s="254" t="s">
        <v>425</v>
      </c>
      <c r="E7973" s="156" t="s">
        <v>28</v>
      </c>
      <c r="F7973" s="156" t="s">
        <v>28</v>
      </c>
      <c r="G7973" s="277">
        <f t="shared" si="2286"/>
        <v>0</v>
      </c>
      <c r="H7973" s="158"/>
      <c r="I7973" s="159">
        <f t="shared" ref="I7973:I7978" si="2287">I7972</f>
        <v>0.47073209999999999</v>
      </c>
      <c r="J7973" s="160"/>
      <c r="K7973" s="161">
        <f t="shared" ref="K7973:K7978" si="2288">K7972</f>
        <v>9604</v>
      </c>
      <c r="L7973" s="250">
        <v>1</v>
      </c>
      <c r="M7973" s="163"/>
      <c r="N7973" s="164"/>
      <c r="O7973" s="165">
        <f t="shared" si="2283"/>
        <v>0</v>
      </c>
      <c r="P7973" s="166"/>
      <c r="Q7973" s="166">
        <f t="shared" si="2282"/>
        <v>0</v>
      </c>
      <c r="R7973" s="71"/>
    </row>
    <row r="7974" spans="1:18" s="61" customFormat="1" x14ac:dyDescent="0.25">
      <c r="A7974" s="358"/>
      <c r="B7974" s="361"/>
      <c r="C7974" s="366"/>
      <c r="D7974" s="254" t="s">
        <v>108</v>
      </c>
      <c r="E7974" s="156" t="s">
        <v>28</v>
      </c>
      <c r="F7974" s="156" t="s">
        <v>28</v>
      </c>
      <c r="G7974" s="238">
        <f t="shared" si="2286"/>
        <v>0</v>
      </c>
      <c r="H7974" s="158"/>
      <c r="I7974" s="159">
        <f t="shared" si="2287"/>
        <v>0.47073209999999999</v>
      </c>
      <c r="J7974" s="160"/>
      <c r="K7974" s="161">
        <f t="shared" si="2288"/>
        <v>9604</v>
      </c>
      <c r="L7974" s="250">
        <v>1</v>
      </c>
      <c r="M7974" s="163"/>
      <c r="N7974" s="164"/>
      <c r="O7974" s="165">
        <f t="shared" si="2283"/>
        <v>0</v>
      </c>
      <c r="P7974" s="166"/>
      <c r="Q7974" s="166">
        <f t="shared" si="2282"/>
        <v>0</v>
      </c>
      <c r="R7974" s="71"/>
    </row>
    <row r="7975" spans="1:18" s="61" customFormat="1" x14ac:dyDescent="0.25">
      <c r="A7975" s="358"/>
      <c r="B7975" s="361"/>
      <c r="C7975" s="366"/>
      <c r="D7975" s="254" t="s">
        <v>426</v>
      </c>
      <c r="E7975" s="156" t="s">
        <v>28</v>
      </c>
      <c r="F7975" s="156" t="s">
        <v>28</v>
      </c>
      <c r="G7975" s="238">
        <f t="shared" si="2286"/>
        <v>0</v>
      </c>
      <c r="H7975" s="158"/>
      <c r="I7975" s="159">
        <f t="shared" si="2287"/>
        <v>0.47073209999999999</v>
      </c>
      <c r="J7975" s="160"/>
      <c r="K7975" s="161">
        <f t="shared" si="2288"/>
        <v>9604</v>
      </c>
      <c r="L7975" s="250">
        <v>1</v>
      </c>
      <c r="M7975" s="163"/>
      <c r="N7975" s="164"/>
      <c r="O7975" s="165">
        <f t="shared" si="2283"/>
        <v>0</v>
      </c>
      <c r="P7975" s="166"/>
      <c r="Q7975" s="166">
        <f t="shared" si="2282"/>
        <v>0</v>
      </c>
      <c r="R7975" s="71"/>
    </row>
    <row r="7976" spans="1:18" s="61" customFormat="1" x14ac:dyDescent="0.25">
      <c r="A7976" s="358"/>
      <c r="B7976" s="361"/>
      <c r="C7976" s="366"/>
      <c r="D7976" s="254" t="s">
        <v>427</v>
      </c>
      <c r="E7976" s="156" t="s">
        <v>28</v>
      </c>
      <c r="F7976" s="156" t="s">
        <v>28</v>
      </c>
      <c r="G7976" s="238">
        <f t="shared" si="2286"/>
        <v>0</v>
      </c>
      <c r="H7976" s="158"/>
      <c r="I7976" s="159">
        <f t="shared" si="2287"/>
        <v>0.47073209999999999</v>
      </c>
      <c r="J7976" s="160"/>
      <c r="K7976" s="161">
        <f t="shared" si="2288"/>
        <v>9604</v>
      </c>
      <c r="L7976" s="250">
        <v>1</v>
      </c>
      <c r="M7976" s="163"/>
      <c r="N7976" s="164"/>
      <c r="O7976" s="165">
        <f t="shared" si="2283"/>
        <v>0</v>
      </c>
      <c r="P7976" s="166"/>
      <c r="Q7976" s="166">
        <f t="shared" si="2282"/>
        <v>0</v>
      </c>
      <c r="R7976" s="71"/>
    </row>
    <row r="7977" spans="1:18" s="61" customFormat="1" x14ac:dyDescent="0.25">
      <c r="A7977" s="358"/>
      <c r="B7977" s="361"/>
      <c r="C7977" s="366"/>
      <c r="D7977" s="254" t="s">
        <v>428</v>
      </c>
      <c r="E7977" s="156" t="s">
        <v>28</v>
      </c>
      <c r="F7977" s="156" t="s">
        <v>28</v>
      </c>
      <c r="G7977" s="238">
        <f t="shared" si="2286"/>
        <v>0</v>
      </c>
      <c r="H7977" s="158"/>
      <c r="I7977" s="159">
        <f t="shared" si="2287"/>
        <v>0.47073209999999999</v>
      </c>
      <c r="J7977" s="160"/>
      <c r="K7977" s="161">
        <f t="shared" si="2288"/>
        <v>9604</v>
      </c>
      <c r="L7977" s="250">
        <v>1</v>
      </c>
      <c r="M7977" s="163"/>
      <c r="N7977" s="164"/>
      <c r="O7977" s="165">
        <f t="shared" si="2283"/>
        <v>0</v>
      </c>
      <c r="P7977" s="166"/>
      <c r="Q7977" s="166">
        <f t="shared" si="2282"/>
        <v>0</v>
      </c>
      <c r="R7977" s="71"/>
    </row>
    <row r="7978" spans="1:18" s="61" customFormat="1" x14ac:dyDescent="0.25">
      <c r="A7978" s="358"/>
      <c r="B7978" s="361"/>
      <c r="C7978" s="366"/>
      <c r="D7978" s="255" t="s">
        <v>429</v>
      </c>
      <c r="E7978" s="156" t="s">
        <v>28</v>
      </c>
      <c r="F7978" s="156" t="s">
        <v>28</v>
      </c>
      <c r="G7978" s="238">
        <f t="shared" si="2286"/>
        <v>0</v>
      </c>
      <c r="H7978" s="158"/>
      <c r="I7978" s="159">
        <f t="shared" si="2287"/>
        <v>0.47073209999999999</v>
      </c>
      <c r="J7978" s="160"/>
      <c r="K7978" s="161">
        <f t="shared" si="2288"/>
        <v>9604</v>
      </c>
      <c r="L7978" s="250">
        <v>1</v>
      </c>
      <c r="M7978" s="163"/>
      <c r="N7978" s="164"/>
      <c r="O7978" s="165">
        <f t="shared" si="2283"/>
        <v>0</v>
      </c>
      <c r="P7978" s="166"/>
      <c r="Q7978" s="166">
        <f t="shared" si="2282"/>
        <v>0</v>
      </c>
      <c r="R7978" s="71"/>
    </row>
    <row r="7979" spans="1:18" s="62" customFormat="1" x14ac:dyDescent="0.25">
      <c r="A7979" s="358"/>
      <c r="B7979" s="361"/>
      <c r="C7979" s="249" t="s">
        <v>299</v>
      </c>
      <c r="D7979" s="256"/>
      <c r="E7979" s="240"/>
      <c r="F7979" s="240"/>
      <c r="G7979" s="227"/>
      <c r="H7979" s="241"/>
      <c r="I7979" s="206"/>
      <c r="J7979" s="228"/>
      <c r="K7979" s="207"/>
      <c r="L7979" s="257"/>
      <c r="M7979" s="209"/>
      <c r="N7979" s="210"/>
      <c r="O7979" s="198">
        <f>SUM(O7955:O7978)</f>
        <v>0</v>
      </c>
      <c r="P7979" s="267"/>
      <c r="Q7979" s="166"/>
      <c r="R7979" s="71"/>
    </row>
    <row r="7980" spans="1:18" s="61" customFormat="1" ht="110.25" x14ac:dyDescent="0.25">
      <c r="A7980" s="358"/>
      <c r="B7980" s="361"/>
      <c r="C7980" s="221" t="s">
        <v>82</v>
      </c>
      <c r="D7980" s="156" t="s">
        <v>46</v>
      </c>
      <c r="E7980" s="156" t="s">
        <v>54</v>
      </c>
      <c r="F7980" s="156" t="s">
        <v>285</v>
      </c>
      <c r="G7980" s="238">
        <f>MROUND(H7980*L7980*I7980/K7980,0.000001)</f>
        <v>0.55435000000000001</v>
      </c>
      <c r="H7980" s="242">
        <f>H7500</f>
        <v>1028.1818077549303</v>
      </c>
      <c r="I7980" s="159">
        <f>I7978</f>
        <v>0.47073209999999999</v>
      </c>
      <c r="J7980" s="160"/>
      <c r="K7980" s="161">
        <f>K7978</f>
        <v>9604</v>
      </c>
      <c r="L7980" s="225">
        <f>L7620</f>
        <v>11</v>
      </c>
      <c r="M7980" s="163" t="str">
        <f>CONCATENATE(H7980," ",F7980,"*",L7980,"автобуса","*",I7980,"/",K7980,"чел.")</f>
        <v>1028,18180775493 л бензина АИ 92 (12,5л/день(зимой)*20дней*7мес+10л/день(летом)*20дней*4мес)*11автобуса*0,4707321/9604чел.</v>
      </c>
      <c r="N7980" s="164">
        <f>N6900</f>
        <v>59.28728000000001</v>
      </c>
      <c r="O7980" s="165">
        <f>MROUND(G7980*N7980,0.000001)</f>
        <v>32.865904</v>
      </c>
      <c r="P7980" s="166"/>
      <c r="Q7980" s="166">
        <f t="shared" ref="Q7980" si="2289">O7980*K7980</f>
        <v>315644.142016</v>
      </c>
      <c r="R7980" s="71"/>
    </row>
    <row r="7981" spans="1:18" s="62" customFormat="1" x14ac:dyDescent="0.25">
      <c r="A7981" s="358"/>
      <c r="B7981" s="361"/>
      <c r="C7981" s="218" t="s">
        <v>300</v>
      </c>
      <c r="D7981" s="240"/>
      <c r="E7981" s="240"/>
      <c r="F7981" s="240"/>
      <c r="G7981" s="227"/>
      <c r="H7981" s="241"/>
      <c r="I7981" s="206"/>
      <c r="J7981" s="228"/>
      <c r="K7981" s="207"/>
      <c r="L7981" s="257"/>
      <c r="M7981" s="209"/>
      <c r="N7981" s="210"/>
      <c r="O7981" s="198">
        <f>SUM(O7980)</f>
        <v>32.865904</v>
      </c>
      <c r="P7981" s="267"/>
      <c r="Q7981" s="166"/>
      <c r="R7981" s="71"/>
    </row>
    <row r="7982" spans="1:18" s="61" customFormat="1" ht="47.25" x14ac:dyDescent="0.25">
      <c r="A7982" s="358"/>
      <c r="B7982" s="361"/>
      <c r="C7982" s="221" t="s">
        <v>434</v>
      </c>
      <c r="D7982" s="156" t="s">
        <v>436</v>
      </c>
      <c r="E7982" s="156" t="s">
        <v>28</v>
      </c>
      <c r="F7982" s="156" t="s">
        <v>437</v>
      </c>
      <c r="G7982" s="157">
        <f>MROUND(H7982*L7982*I7982/K7982,0.000001)</f>
        <v>1.4213999999999999E-2</v>
      </c>
      <c r="H7982" s="242">
        <f>$H$125</f>
        <v>290</v>
      </c>
      <c r="I7982" s="159">
        <f>I7980</f>
        <v>0.47073209999999999</v>
      </c>
      <c r="J7982" s="160"/>
      <c r="K7982" s="161">
        <f>K7980</f>
        <v>9604</v>
      </c>
      <c r="L7982" s="162">
        <v>1</v>
      </c>
      <c r="M7982" s="163" t="str">
        <f>CONCATENATE(H7982," ",F7982,"*",L7982,"автобуса","*",I7982,"/",K7982,"чел.")</f>
        <v>290 огнетушителей (потребность учреждений) *1автобуса*0,4707321/9604чел.</v>
      </c>
      <c r="N7982" s="164">
        <f>$N$125</f>
        <v>2000</v>
      </c>
      <c r="O7982" s="165">
        <f>MROUND(G7982*N7982,0.000001)</f>
        <v>28.427999999999997</v>
      </c>
      <c r="P7982" s="166"/>
      <c r="Q7982" s="166">
        <f t="shared" ref="Q7982" si="2290">O7982*K7982</f>
        <v>273022.51199999999</v>
      </c>
      <c r="R7982" s="71"/>
    </row>
    <row r="7983" spans="1:18" s="61" customFormat="1" x14ac:dyDescent="0.25">
      <c r="A7983" s="358"/>
      <c r="B7983" s="361"/>
      <c r="C7983" s="218" t="s">
        <v>435</v>
      </c>
      <c r="D7983" s="240"/>
      <c r="E7983" s="240"/>
      <c r="F7983" s="240"/>
      <c r="G7983" s="251"/>
      <c r="H7983" s="241"/>
      <c r="I7983" s="206"/>
      <c r="J7983" s="228"/>
      <c r="K7983" s="207"/>
      <c r="L7983" s="229"/>
      <c r="M7983" s="209"/>
      <c r="N7983" s="210"/>
      <c r="O7983" s="198">
        <f>SUM(O7982)</f>
        <v>28.427999999999997</v>
      </c>
      <c r="P7983" s="166"/>
      <c r="Q7983" s="166"/>
      <c r="R7983" s="71"/>
    </row>
    <row r="7984" spans="1:18" s="61" customFormat="1" ht="47.25" x14ac:dyDescent="0.25">
      <c r="A7984" s="358"/>
      <c r="B7984" s="361"/>
      <c r="C7984" s="364" t="s">
        <v>118</v>
      </c>
      <c r="D7984" s="156" t="s">
        <v>47</v>
      </c>
      <c r="E7984" s="156" t="s">
        <v>28</v>
      </c>
      <c r="F7984" s="156" t="s">
        <v>239</v>
      </c>
      <c r="G7984" s="238">
        <f>MROUND(H7984*L7984*I7984/K7984,0.00000001)</f>
        <v>6.8619800000000002E-3</v>
      </c>
      <c r="H7984" s="158">
        <f>H6904</f>
        <v>140</v>
      </c>
      <c r="I7984" s="159">
        <f>I7980</f>
        <v>0.47073209999999999</v>
      </c>
      <c r="J7984" s="160"/>
      <c r="K7984" s="161">
        <f>K7980</f>
        <v>9604</v>
      </c>
      <c r="L7984" s="250">
        <v>1</v>
      </c>
      <c r="M7984" s="163" t="str">
        <f>CONCATENATE(H7984," ",F7984,"*",I7984,"/",K7984,"чел.")</f>
        <v>140 манометров (потребность учреждений) *0,4707321/9604чел.</v>
      </c>
      <c r="N7984" s="164">
        <f>N6904</f>
        <v>770.73500000000035</v>
      </c>
      <c r="O7984" s="165">
        <f>MROUND(G7984*N7984,0.000001)</f>
        <v>5.2887680000000001</v>
      </c>
      <c r="P7984" s="166"/>
      <c r="Q7984" s="166">
        <f t="shared" ref="Q7984:Q7985" si="2291">O7984*K7984</f>
        <v>50793.327872000002</v>
      </c>
      <c r="R7984" s="71"/>
    </row>
    <row r="7985" spans="1:18" s="61" customFormat="1" ht="47.25" x14ac:dyDescent="0.25">
      <c r="A7985" s="358"/>
      <c r="B7985" s="361"/>
      <c r="C7985" s="364"/>
      <c r="D7985" s="255" t="s">
        <v>113</v>
      </c>
      <c r="E7985" s="156" t="s">
        <v>28</v>
      </c>
      <c r="F7985" s="156" t="s">
        <v>240</v>
      </c>
      <c r="G7985" s="238">
        <f>MROUND(H7985*L7985*I7985/K7985,0.00000001)</f>
        <v>0.28011598999999998</v>
      </c>
      <c r="H7985" s="158">
        <f>H6905</f>
        <v>5715</v>
      </c>
      <c r="I7985" s="159">
        <f>I7984</f>
        <v>0.47073209999999999</v>
      </c>
      <c r="J7985" s="160"/>
      <c r="K7985" s="161">
        <f>K7984</f>
        <v>9604</v>
      </c>
      <c r="L7985" s="250">
        <v>1</v>
      </c>
      <c r="M7985" s="163" t="str">
        <f>CONCATENATE(H7985," ",F7985,"*",I7985,"/",K7985,"чел.")</f>
        <v>5715 светильников (потребность учреждений)*0,4707321/9604чел.</v>
      </c>
      <c r="N7985" s="164">
        <f>N6905</f>
        <v>115.61019597550306</v>
      </c>
      <c r="O7985" s="165">
        <f>MROUND(G7985*N7985,0.000001)</f>
        <v>32.384264000000002</v>
      </c>
      <c r="P7985" s="166"/>
      <c r="Q7985" s="166">
        <f t="shared" si="2291"/>
        <v>311018.471456</v>
      </c>
      <c r="R7985" s="71"/>
    </row>
    <row r="7986" spans="1:18" s="62" customFormat="1" x14ac:dyDescent="0.25">
      <c r="A7986" s="359"/>
      <c r="B7986" s="362"/>
      <c r="C7986" s="218" t="s">
        <v>301</v>
      </c>
      <c r="D7986" s="256"/>
      <c r="E7986" s="240"/>
      <c r="F7986" s="240"/>
      <c r="G7986" s="227"/>
      <c r="H7986" s="241"/>
      <c r="I7986" s="206"/>
      <c r="J7986" s="228"/>
      <c r="K7986" s="207"/>
      <c r="L7986" s="257"/>
      <c r="M7986" s="209"/>
      <c r="N7986" s="210"/>
      <c r="O7986" s="198">
        <f>SUM(O7984:O7985)</f>
        <v>37.673031999999999</v>
      </c>
      <c r="P7986" s="267"/>
      <c r="Q7986" s="166"/>
      <c r="R7986" s="71"/>
    </row>
    <row r="7987" spans="1:18" s="61" customFormat="1" x14ac:dyDescent="0.25">
      <c r="A7987" s="357" t="str">
        <f>CONCATENATE(школы!$B$16,", ",школы!$C$16,", ",школы!$D$16)</f>
        <v>Реализация основных общеобразовательных программ основного общего образования, образовательная программа, обеспечивающая углубленное изучение отдельных учебных предметов, предметных областей (профильное обучение), дети-инвалиды</v>
      </c>
      <c r="B7987" s="360" t="str">
        <f>школы!$A$16</f>
        <v>802111О.99.0.БА96АО26001</v>
      </c>
      <c r="C7987" s="194"/>
      <c r="D7987" s="363" t="s">
        <v>15</v>
      </c>
      <c r="E7987" s="363"/>
      <c r="F7987" s="363"/>
      <c r="G7987" s="363"/>
      <c r="H7987" s="195"/>
      <c r="I7987" s="195"/>
      <c r="J7987" s="195"/>
      <c r="K7987" s="195"/>
      <c r="L7987" s="196"/>
      <c r="M7987" s="197"/>
      <c r="N7987" s="164"/>
      <c r="O7987" s="198">
        <f>O7988+O7993+O7995</f>
        <v>9362.0525904220012</v>
      </c>
      <c r="P7987" s="166"/>
      <c r="Q7987" s="166"/>
      <c r="R7987" s="71"/>
    </row>
    <row r="7988" spans="1:18" s="61" customFormat="1" x14ac:dyDescent="0.25">
      <c r="A7988" s="358"/>
      <c r="B7988" s="361"/>
      <c r="C7988" s="194"/>
      <c r="D7988" s="350" t="s">
        <v>62</v>
      </c>
      <c r="E7988" s="350"/>
      <c r="F7988" s="350"/>
      <c r="G7988" s="350"/>
      <c r="H7988" s="195"/>
      <c r="I7988" s="195"/>
      <c r="J7988" s="195"/>
      <c r="K7988" s="195"/>
      <c r="L7988" s="196"/>
      <c r="M7988" s="197"/>
      <c r="N7988" s="164"/>
      <c r="O7988" s="165">
        <f>O7990+O7992</f>
        <v>9362.0525904220012</v>
      </c>
      <c r="P7988" s="166"/>
      <c r="Q7988" s="166"/>
      <c r="R7988" s="71"/>
    </row>
    <row r="7989" spans="1:18" s="61" customFormat="1" x14ac:dyDescent="0.25">
      <c r="A7989" s="358"/>
      <c r="B7989" s="361"/>
      <c r="C7989" s="194">
        <v>211</v>
      </c>
      <c r="D7989" s="194" t="s">
        <v>86</v>
      </c>
      <c r="E7989" s="199" t="s">
        <v>95</v>
      </c>
      <c r="F7989" s="199" t="s">
        <v>95</v>
      </c>
      <c r="G7989" s="275">
        <f>MROUND(H7989*L7989*I7989/K7989,0.0000000001)</f>
        <v>0.55811302800000007</v>
      </c>
      <c r="H7989" s="201">
        <f>H7149</f>
        <v>921.8</v>
      </c>
      <c r="I7989" s="159">
        <f>школы!$K$16</f>
        <v>3.0273000000000002E-4</v>
      </c>
      <c r="J7989" s="159"/>
      <c r="K7989" s="161">
        <f>школы!$G$16</f>
        <v>6</v>
      </c>
      <c r="L7989" s="202">
        <v>12</v>
      </c>
      <c r="M7989" s="163" t="str">
        <f>CONCATENATE(H7989," ",F7989," ","в мес.","*",L7989,"мес.","*",I7989,"/",K7989,"чел.")</f>
        <v>921,8 шт.ед в мес.*12мес.*0,00030273/6чел.</v>
      </c>
      <c r="N7989" s="164">
        <f>N7149</f>
        <v>12883.620739314385</v>
      </c>
      <c r="O7989" s="165">
        <f>MROUND(G7989*N7989,0.000000001)</f>
        <v>7190.5165824220003</v>
      </c>
      <c r="P7989" s="166"/>
      <c r="Q7989" s="166">
        <f t="shared" ref="Q7989" si="2292">O7989*K7989</f>
        <v>43143.099494531998</v>
      </c>
      <c r="R7989" s="71"/>
    </row>
    <row r="7990" spans="1:18" s="62" customFormat="1" x14ac:dyDescent="0.25">
      <c r="A7990" s="358"/>
      <c r="B7990" s="361"/>
      <c r="C7990" s="203" t="s">
        <v>288</v>
      </c>
      <c r="D7990" s="203"/>
      <c r="E7990" s="204"/>
      <c r="F7990" s="204"/>
      <c r="G7990" s="205"/>
      <c r="H7990" s="206"/>
      <c r="I7990" s="206"/>
      <c r="J7990" s="206"/>
      <c r="K7990" s="207"/>
      <c r="L7990" s="208"/>
      <c r="M7990" s="209"/>
      <c r="N7990" s="210">
        <f>N7989</f>
        <v>12883.620739314385</v>
      </c>
      <c r="O7990" s="198">
        <f>O7989</f>
        <v>7190.5165824220003</v>
      </c>
      <c r="P7990" s="267"/>
      <c r="Q7990" s="166"/>
      <c r="R7990" s="71"/>
    </row>
    <row r="7991" spans="1:18" s="61" customFormat="1" x14ac:dyDescent="0.25">
      <c r="A7991" s="358"/>
      <c r="B7991" s="361"/>
      <c r="C7991" s="194">
        <v>213</v>
      </c>
      <c r="D7991" s="194" t="s">
        <v>87</v>
      </c>
      <c r="E7991" s="194" t="s">
        <v>88</v>
      </c>
      <c r="F7991" s="194"/>
      <c r="G7991" s="211">
        <v>30.2</v>
      </c>
      <c r="H7991" s="159"/>
      <c r="I7991" s="159"/>
      <c r="J7991" s="159"/>
      <c r="K7991" s="161">
        <f>K7989</f>
        <v>6</v>
      </c>
      <c r="L7991" s="202"/>
      <c r="M7991" s="212"/>
      <c r="N7991" s="164"/>
      <c r="O7991" s="165">
        <f>MROUND(O7989*0.302,0.000001)</f>
        <v>2171.536008</v>
      </c>
      <c r="P7991" s="166"/>
      <c r="Q7991" s="166">
        <f>O7991*K7991</f>
        <v>13029.216048</v>
      </c>
      <c r="R7991" s="71"/>
    </row>
    <row r="7992" spans="1:18" s="62" customFormat="1" x14ac:dyDescent="0.25">
      <c r="A7992" s="358"/>
      <c r="B7992" s="361"/>
      <c r="C7992" s="203" t="s">
        <v>289</v>
      </c>
      <c r="D7992" s="203"/>
      <c r="E7992" s="203"/>
      <c r="F7992" s="203"/>
      <c r="G7992" s="213"/>
      <c r="H7992" s="214"/>
      <c r="I7992" s="206"/>
      <c r="J7992" s="214"/>
      <c r="K7992" s="207"/>
      <c r="L7992" s="215"/>
      <c r="M7992" s="216"/>
      <c r="N7992" s="210"/>
      <c r="O7992" s="198">
        <f>O7991</f>
        <v>2171.536008</v>
      </c>
      <c r="P7992" s="267"/>
      <c r="Q7992" s="166"/>
      <c r="R7992" s="71"/>
    </row>
    <row r="7993" spans="1:18" s="61" customFormat="1" x14ac:dyDescent="0.25">
      <c r="A7993" s="358"/>
      <c r="B7993" s="361"/>
      <c r="C7993" s="194"/>
      <c r="D7993" s="356" t="s">
        <v>63</v>
      </c>
      <c r="E7993" s="356"/>
      <c r="F7993" s="356"/>
      <c r="G7993" s="356"/>
      <c r="H7993" s="195"/>
      <c r="I7993" s="159"/>
      <c r="J7993" s="195"/>
      <c r="K7993" s="161"/>
      <c r="L7993" s="196"/>
      <c r="M7993" s="197"/>
      <c r="N7993" s="164"/>
      <c r="O7993" s="165"/>
      <c r="P7993" s="166"/>
      <c r="Q7993" s="166"/>
      <c r="R7993" s="71"/>
    </row>
    <row r="7994" spans="1:18" s="61" customFormat="1" x14ac:dyDescent="0.25">
      <c r="A7994" s="358"/>
      <c r="B7994" s="361"/>
      <c r="C7994" s="194"/>
      <c r="D7994" s="194"/>
      <c r="E7994" s="194"/>
      <c r="F7994" s="194"/>
      <c r="G7994" s="217"/>
      <c r="H7994" s="195"/>
      <c r="I7994" s="159"/>
      <c r="J7994" s="195"/>
      <c r="K7994" s="161"/>
      <c r="L7994" s="196"/>
      <c r="M7994" s="197"/>
      <c r="N7994" s="164"/>
      <c r="O7994" s="165"/>
      <c r="P7994" s="166"/>
      <c r="Q7994" s="166"/>
      <c r="R7994" s="71"/>
    </row>
    <row r="7995" spans="1:18" s="61" customFormat="1" x14ac:dyDescent="0.25">
      <c r="A7995" s="358"/>
      <c r="B7995" s="361"/>
      <c r="C7995" s="194"/>
      <c r="D7995" s="350" t="s">
        <v>64</v>
      </c>
      <c r="E7995" s="350"/>
      <c r="F7995" s="350"/>
      <c r="G7995" s="350"/>
      <c r="H7995" s="195"/>
      <c r="I7995" s="159"/>
      <c r="J7995" s="195"/>
      <c r="K7995" s="161"/>
      <c r="L7995" s="196"/>
      <c r="M7995" s="197"/>
      <c r="N7995" s="164"/>
      <c r="O7995" s="165"/>
      <c r="P7995" s="166"/>
      <c r="Q7995" s="166"/>
      <c r="R7995" s="71"/>
    </row>
    <row r="7996" spans="1:18" s="61" customFormat="1" x14ac:dyDescent="0.25">
      <c r="A7996" s="358"/>
      <c r="B7996" s="361"/>
      <c r="C7996" s="194"/>
      <c r="D7996" s="194"/>
      <c r="E7996" s="194"/>
      <c r="F7996" s="194"/>
      <c r="G7996" s="217"/>
      <c r="H7996" s="195"/>
      <c r="I7996" s="159"/>
      <c r="J7996" s="195"/>
      <c r="K7996" s="161"/>
      <c r="L7996" s="196"/>
      <c r="M7996" s="197"/>
      <c r="N7996" s="164"/>
      <c r="O7996" s="165"/>
      <c r="P7996" s="166"/>
      <c r="Q7996" s="166"/>
      <c r="R7996" s="71"/>
    </row>
    <row r="7997" spans="1:18" s="61" customFormat="1" x14ac:dyDescent="0.25">
      <c r="A7997" s="358"/>
      <c r="B7997" s="361"/>
      <c r="C7997" s="194"/>
      <c r="D7997" s="355" t="s">
        <v>5</v>
      </c>
      <c r="E7997" s="355"/>
      <c r="F7997" s="355"/>
      <c r="G7997" s="355"/>
      <c r="H7997" s="195"/>
      <c r="I7997" s="159"/>
      <c r="J7997" s="195"/>
      <c r="K7997" s="161"/>
      <c r="L7997" s="196"/>
      <c r="M7997" s="197"/>
      <c r="N7997" s="164"/>
      <c r="O7997" s="198">
        <f>O7998+O8008+O8019+O8021+O8023+O8025+O8027</f>
        <v>15711.173405149999</v>
      </c>
      <c r="P7997" s="166"/>
      <c r="Q7997" s="166"/>
      <c r="R7997" s="71"/>
    </row>
    <row r="7998" spans="1:18" s="61" customFormat="1" x14ac:dyDescent="0.25">
      <c r="A7998" s="358"/>
      <c r="B7998" s="361"/>
      <c r="C7998" s="218" t="s">
        <v>70</v>
      </c>
      <c r="D7998" s="355" t="s">
        <v>6</v>
      </c>
      <c r="E7998" s="355"/>
      <c r="F7998" s="355"/>
      <c r="G7998" s="355"/>
      <c r="H7998" s="189"/>
      <c r="I7998" s="159"/>
      <c r="J7998" s="189"/>
      <c r="K7998" s="161"/>
      <c r="L7998" s="190"/>
      <c r="M7998" s="197"/>
      <c r="N7998" s="210"/>
      <c r="O7998" s="198">
        <f>O8007</f>
        <v>9495.447858739999</v>
      </c>
      <c r="P7998" s="166"/>
      <c r="Q7998" s="166"/>
      <c r="R7998" s="71"/>
    </row>
    <row r="7999" spans="1:18" s="61" customFormat="1" ht="31.5" x14ac:dyDescent="0.25">
      <c r="A7999" s="358"/>
      <c r="B7999" s="361"/>
      <c r="C7999" s="221" t="s">
        <v>72</v>
      </c>
      <c r="D7999" s="222" t="s">
        <v>7</v>
      </c>
      <c r="E7999" s="223" t="s">
        <v>8</v>
      </c>
      <c r="F7999" s="223" t="s">
        <v>8</v>
      </c>
      <c r="G7999" s="238">
        <f>MROUND(H7999*L7999*I7999/K7999,0.00000000001)</f>
        <v>167.16354157065999</v>
      </c>
      <c r="H7999" s="160">
        <f>H7279</f>
        <v>3313121.4264326878</v>
      </c>
      <c r="I7999" s="159">
        <f>I7989</f>
        <v>3.0273000000000002E-4</v>
      </c>
      <c r="J7999" s="160"/>
      <c r="K7999" s="161">
        <f>K7989</f>
        <v>6</v>
      </c>
      <c r="L7999" s="250">
        <v>1</v>
      </c>
      <c r="M7999" s="163" t="str">
        <f t="shared" ref="M7999:M8004" si="2293">CONCATENATE(H7999," ",F7999,"(лимиты выделенные УЖКХ) ","*",I7999,"/",K7999,"чел.")</f>
        <v>3313121,42643269 кВт час.(лимиты выделенные УЖКХ) *0,00030273/6чел.</v>
      </c>
      <c r="N7999" s="164">
        <f>N7279</f>
        <v>11.333602475424668</v>
      </c>
      <c r="O7999" s="165">
        <f t="shared" ref="O7999:O8002" si="2294">MROUND(G7999*N7999,0.000001)</f>
        <v>1894.5651289999998</v>
      </c>
      <c r="P7999" s="166"/>
      <c r="Q7999" s="166">
        <f t="shared" ref="Q7999:Q8006" si="2295">O7999*K7999</f>
        <v>11367.390774</v>
      </c>
      <c r="R7999" s="71"/>
    </row>
    <row r="8000" spans="1:18" s="61" customFormat="1" ht="31.5" x14ac:dyDescent="0.25">
      <c r="A8000" s="358"/>
      <c r="B8000" s="361"/>
      <c r="C8000" s="221" t="s">
        <v>73</v>
      </c>
      <c r="D8000" s="222" t="s">
        <v>9</v>
      </c>
      <c r="E8000" s="223" t="s">
        <v>10</v>
      </c>
      <c r="F8000" s="223" t="s">
        <v>10</v>
      </c>
      <c r="G8000" s="238">
        <f>MROUND(H8000*L8000*I8000/K8000,0.00000000001)</f>
        <v>1.6093828124499998</v>
      </c>
      <c r="H8000" s="160">
        <f>H6920</f>
        <v>31897.39</v>
      </c>
      <c r="I8000" s="159">
        <f t="shared" ref="I8000:I8052" si="2296">I7999</f>
        <v>3.0273000000000002E-4</v>
      </c>
      <c r="J8000" s="160"/>
      <c r="K8000" s="161">
        <f t="shared" ref="K8000:K8006" si="2297">K7999</f>
        <v>6</v>
      </c>
      <c r="L8000" s="250">
        <v>1</v>
      </c>
      <c r="M8000" s="163" t="str">
        <f t="shared" si="2293"/>
        <v>31897,39 Гкал(лимиты выделенные УЖКХ) *0,00030273/6чел.</v>
      </c>
      <c r="N8000" s="164">
        <f>N6920</f>
        <v>3095.3018623153812</v>
      </c>
      <c r="O8000" s="165">
        <f t="shared" si="2294"/>
        <v>4981.5256169999993</v>
      </c>
      <c r="P8000" s="166"/>
      <c r="Q8000" s="166">
        <f t="shared" si="2295"/>
        <v>29889.153701999996</v>
      </c>
      <c r="R8000" s="71"/>
    </row>
    <row r="8001" spans="1:18" s="61" customFormat="1" ht="31.5" x14ac:dyDescent="0.25">
      <c r="A8001" s="358"/>
      <c r="B8001" s="361"/>
      <c r="C8001" s="364" t="s">
        <v>74</v>
      </c>
      <c r="D8001" s="222" t="s">
        <v>12</v>
      </c>
      <c r="E8001" s="222" t="s">
        <v>11</v>
      </c>
      <c r="F8001" s="222" t="s">
        <v>11</v>
      </c>
      <c r="G8001" s="238">
        <f>MROUND(H8001*L8001*I8001/K8001,0.00000000001)</f>
        <v>9.3203084523499999</v>
      </c>
      <c r="H8001" s="224">
        <f>H6801</f>
        <v>184725.17</v>
      </c>
      <c r="I8001" s="159">
        <f t="shared" si="2296"/>
        <v>3.0273000000000002E-4</v>
      </c>
      <c r="J8001" s="160"/>
      <c r="K8001" s="161">
        <f t="shared" si="2297"/>
        <v>6</v>
      </c>
      <c r="L8001" s="250">
        <v>1</v>
      </c>
      <c r="M8001" s="163" t="str">
        <f t="shared" si="2293"/>
        <v>184725,17 м3(лимиты выделенные УЖКХ) *0,00030273/6чел.</v>
      </c>
      <c r="N8001" s="164">
        <f>N6801</f>
        <v>56.382747245543193</v>
      </c>
      <c r="O8001" s="165">
        <f t="shared" si="2294"/>
        <v>525.50459599999999</v>
      </c>
      <c r="P8001" s="166"/>
      <c r="Q8001" s="166">
        <f t="shared" si="2295"/>
        <v>3153.027576</v>
      </c>
      <c r="R8001" s="71"/>
    </row>
    <row r="8002" spans="1:18" s="61" customFormat="1" ht="47.25" x14ac:dyDescent="0.25">
      <c r="A8002" s="358"/>
      <c r="B8002" s="361"/>
      <c r="C8002" s="364"/>
      <c r="D8002" s="222" t="s">
        <v>17</v>
      </c>
      <c r="E8002" s="222" t="s">
        <v>11</v>
      </c>
      <c r="F8002" s="222" t="s">
        <v>11</v>
      </c>
      <c r="G8002" s="238">
        <f>MROUND(H8002*L8002*I8002/K8002,0.00000000001)</f>
        <v>9.3203084523499999</v>
      </c>
      <c r="H8002" s="160">
        <f>H6922</f>
        <v>184725.17</v>
      </c>
      <c r="I8002" s="159">
        <f t="shared" si="2296"/>
        <v>3.0273000000000002E-4</v>
      </c>
      <c r="J8002" s="160"/>
      <c r="K8002" s="161">
        <f t="shared" si="2297"/>
        <v>6</v>
      </c>
      <c r="L8002" s="162">
        <f>$L$6802</f>
        <v>1</v>
      </c>
      <c r="M8002" s="163" t="str">
        <f t="shared" si="2293"/>
        <v>184725,17 м3(лимиты выделенные УЖКХ) *0,00030273/6чел.</v>
      </c>
      <c r="N8002" s="164">
        <f>N6802</f>
        <v>85.679537612054773</v>
      </c>
      <c r="O8002" s="165">
        <f t="shared" si="2294"/>
        <v>798.55971899999997</v>
      </c>
      <c r="P8002" s="166"/>
      <c r="Q8002" s="166">
        <f t="shared" si="2295"/>
        <v>4791.3583140000001</v>
      </c>
      <c r="R8002" s="71"/>
    </row>
    <row r="8003" spans="1:18" s="61" customFormat="1" ht="31.5" x14ac:dyDescent="0.25">
      <c r="A8003" s="358"/>
      <c r="B8003" s="361"/>
      <c r="C8003" s="364"/>
      <c r="D8003" s="222" t="s">
        <v>13</v>
      </c>
      <c r="E8003" s="222" t="s">
        <v>11</v>
      </c>
      <c r="F8003" s="222" t="s">
        <v>11</v>
      </c>
      <c r="G8003" s="238">
        <f>MROUND(H8003*L8003*I8003/K8003,0.00000000001)</f>
        <v>9.3203084523499999</v>
      </c>
      <c r="H8003" s="160">
        <f>H6803</f>
        <v>184725.17</v>
      </c>
      <c r="I8003" s="159">
        <f t="shared" si="2296"/>
        <v>3.0273000000000002E-4</v>
      </c>
      <c r="J8003" s="160"/>
      <c r="K8003" s="161">
        <f t="shared" si="2297"/>
        <v>6</v>
      </c>
      <c r="L8003" s="162">
        <v>1</v>
      </c>
      <c r="M8003" s="163" t="str">
        <f t="shared" si="2293"/>
        <v>184725,17 м3(лимиты выделенные УЖКХ) *0,00030273/6чел.</v>
      </c>
      <c r="N8003" s="164">
        <f>N6803</f>
        <v>116.85554734686012</v>
      </c>
      <c r="O8003" s="165">
        <f>MROUND(G8003*N8003,0.00000001)</f>
        <v>1089.12974564</v>
      </c>
      <c r="P8003" s="166"/>
      <c r="Q8003" s="166">
        <f t="shared" si="2295"/>
        <v>6534.7784738400005</v>
      </c>
      <c r="R8003" s="71"/>
    </row>
    <row r="8004" spans="1:18" s="61" customFormat="1" ht="31.5" x14ac:dyDescent="0.25">
      <c r="A8004" s="358"/>
      <c r="B8004" s="361"/>
      <c r="C8004" s="221" t="s">
        <v>75</v>
      </c>
      <c r="D8004" s="222" t="s">
        <v>18</v>
      </c>
      <c r="E8004" s="222" t="s">
        <v>48</v>
      </c>
      <c r="F8004" s="222" t="s">
        <v>48</v>
      </c>
      <c r="G8004" s="238">
        <f>MROUND(H8004*L8004*I8004/K8004,0.0000000001)</f>
        <v>0.70069885799999998</v>
      </c>
      <c r="H8004" s="160">
        <f>H6804</f>
        <v>13887.6</v>
      </c>
      <c r="I8004" s="159">
        <f t="shared" si="2296"/>
        <v>3.0273000000000002E-4</v>
      </c>
      <c r="J8004" s="160"/>
      <c r="K8004" s="161">
        <f t="shared" si="2297"/>
        <v>6</v>
      </c>
      <c r="L8004" s="250">
        <v>1</v>
      </c>
      <c r="M8004" s="163" t="str">
        <f t="shared" si="2293"/>
        <v>13887,6 тыс. м3(лимиты выделенные УЖКХ) *0,00030273/6чел.</v>
      </c>
      <c r="N8004" s="164">
        <f>N6804</f>
        <v>31.799284973645559</v>
      </c>
      <c r="O8004" s="165">
        <f t="shared" ref="O8004" si="2298">MROUND(G8004*N8004,0.000001)</f>
        <v>22.281723</v>
      </c>
      <c r="P8004" s="166"/>
      <c r="Q8004" s="166">
        <f t="shared" si="2295"/>
        <v>133.690338</v>
      </c>
      <c r="R8004" s="71"/>
    </row>
    <row r="8005" spans="1:18" s="61" customFormat="1" x14ac:dyDescent="0.25">
      <c r="A8005" s="358"/>
      <c r="B8005" s="361"/>
      <c r="C8005" s="364" t="s">
        <v>216</v>
      </c>
      <c r="D8005" s="222" t="s">
        <v>23</v>
      </c>
      <c r="E8005" s="222" t="s">
        <v>11</v>
      </c>
      <c r="F8005" s="222" t="s">
        <v>11</v>
      </c>
      <c r="G8005" s="238">
        <f>MROUND(H8005*L8005*I8005/K8005,0.000000000001)</f>
        <v>0.1699647312</v>
      </c>
      <c r="H8005" s="160">
        <f>H6805</f>
        <v>3368.6400000000003</v>
      </c>
      <c r="I8005" s="159">
        <f t="shared" si="2296"/>
        <v>3.0273000000000002E-4</v>
      </c>
      <c r="J8005" s="160"/>
      <c r="K8005" s="161">
        <f t="shared" si="2297"/>
        <v>6</v>
      </c>
      <c r="L8005" s="162">
        <f>L8004</f>
        <v>1</v>
      </c>
      <c r="M8005" s="163" t="str">
        <f>CONCATENATE(H8005," ",F8005," ","*",I8005,"/",K8005,"чел.")</f>
        <v>3368,64 м3 *0,00030273/6чел.</v>
      </c>
      <c r="N8005" s="164">
        <f>N6805</f>
        <v>807.40973805452643</v>
      </c>
      <c r="O8005" s="165">
        <f>MROUND(G8005*N8005,0.00000001)</f>
        <v>137.23117909999999</v>
      </c>
      <c r="P8005" s="166"/>
      <c r="Q8005" s="166">
        <f t="shared" si="2295"/>
        <v>823.38707460000001</v>
      </c>
      <c r="R8005" s="71"/>
    </row>
    <row r="8006" spans="1:18" s="61" customFormat="1" ht="47.25" x14ac:dyDescent="0.25">
      <c r="A8006" s="358"/>
      <c r="B8006" s="361"/>
      <c r="C8006" s="364"/>
      <c r="D8006" s="222" t="s">
        <v>24</v>
      </c>
      <c r="E8006" s="222" t="s">
        <v>25</v>
      </c>
      <c r="F8006" s="222" t="s">
        <v>217</v>
      </c>
      <c r="G8006" s="238">
        <f>MROUND(H8006*L8006*I8006/K8006,0.000000000001)</f>
        <v>7.4168849999999998E-3</v>
      </c>
      <c r="H8006" s="160">
        <f>H7286</f>
        <v>147</v>
      </c>
      <c r="I8006" s="159">
        <f t="shared" si="2296"/>
        <v>3.0273000000000002E-4</v>
      </c>
      <c r="J8006" s="160"/>
      <c r="K8006" s="161">
        <f t="shared" si="2297"/>
        <v>6</v>
      </c>
      <c r="L8006" s="250">
        <f>L8005</f>
        <v>1</v>
      </c>
      <c r="M8006" s="163" t="str">
        <f>CONCATENATE(H8006," ",F8006,"(потребность из расчета 4 контейнера для уборки территории весной и осенью на 1 учреждение)","*",I8006,"/",K8006,"чел.")</f>
        <v>147 контейнера(потребность из расчета 4 контейнера для уборки территории весной и осенью на 1 учреждение)*0,00030273/6чел.</v>
      </c>
      <c r="N8006" s="164">
        <f>N7286</f>
        <v>6289.7226530612279</v>
      </c>
      <c r="O8006" s="165">
        <f t="shared" ref="O8006" si="2299">MROUND(G8006*N8006,0.000001)</f>
        <v>46.650149999999996</v>
      </c>
      <c r="P8006" s="166"/>
      <c r="Q8006" s="166">
        <f t="shared" si="2295"/>
        <v>279.90089999999998</v>
      </c>
      <c r="R8006" s="71"/>
    </row>
    <row r="8007" spans="1:18" s="62" customFormat="1" x14ac:dyDescent="0.25">
      <c r="A8007" s="358"/>
      <c r="B8007" s="361"/>
      <c r="C8007" s="218" t="s">
        <v>290</v>
      </c>
      <c r="D8007" s="226"/>
      <c r="E8007" s="226"/>
      <c r="F8007" s="226"/>
      <c r="G8007" s="227"/>
      <c r="H8007" s="228"/>
      <c r="I8007" s="206"/>
      <c r="J8007" s="228"/>
      <c r="K8007" s="207"/>
      <c r="L8007" s="257"/>
      <c r="M8007" s="209"/>
      <c r="N8007" s="210"/>
      <c r="O8007" s="198">
        <f>SUM(O7999:O8006)</f>
        <v>9495.447858739999</v>
      </c>
      <c r="P8007" s="267"/>
      <c r="Q8007" s="166"/>
      <c r="R8007" s="71"/>
    </row>
    <row r="8008" spans="1:18" s="61" customFormat="1" x14ac:dyDescent="0.25">
      <c r="A8008" s="358"/>
      <c r="B8008" s="361"/>
      <c r="C8008" s="221"/>
      <c r="D8008" s="356" t="s">
        <v>14</v>
      </c>
      <c r="E8008" s="356"/>
      <c r="F8008" s="356"/>
      <c r="G8008" s="356"/>
      <c r="H8008" s="188"/>
      <c r="I8008" s="159"/>
      <c r="J8008" s="188"/>
      <c r="K8008" s="161"/>
      <c r="L8008" s="250"/>
      <c r="M8008" s="230"/>
      <c r="N8008" s="164"/>
      <c r="O8008" s="198">
        <f>O8016+O8017+O8012</f>
        <v>5046.034823</v>
      </c>
      <c r="P8008" s="166"/>
      <c r="Q8008" s="166"/>
      <c r="R8008" s="71"/>
    </row>
    <row r="8009" spans="1:18" s="61" customFormat="1" x14ac:dyDescent="0.25">
      <c r="A8009" s="358"/>
      <c r="B8009" s="361"/>
      <c r="C8009" s="221" t="s">
        <v>379</v>
      </c>
      <c r="D8009" s="231" t="s">
        <v>49</v>
      </c>
      <c r="E8009" s="231" t="s">
        <v>22</v>
      </c>
      <c r="F8009" s="231" t="s">
        <v>22</v>
      </c>
      <c r="G8009" s="238">
        <f>MROUND(H8009*L8009*I8009/K8009,0.000000001)</f>
        <v>0</v>
      </c>
      <c r="H8009" s="160"/>
      <c r="I8009" s="159">
        <f>I8004</f>
        <v>3.0273000000000002E-4</v>
      </c>
      <c r="J8009" s="160"/>
      <c r="K8009" s="161">
        <f>K8004</f>
        <v>6</v>
      </c>
      <c r="L8009" s="250"/>
      <c r="M8009" s="163"/>
      <c r="N8009" s="164"/>
      <c r="O8009" s="165">
        <f>MROUND(G8009*N8009,0.00000001)</f>
        <v>0</v>
      </c>
      <c r="P8009" s="166"/>
      <c r="Q8009" s="166">
        <f t="shared" ref="Q8009:Q8011" si="2300">O8009*K8009</f>
        <v>0</v>
      </c>
      <c r="R8009" s="71"/>
    </row>
    <row r="8010" spans="1:18" s="61" customFormat="1" x14ac:dyDescent="0.25">
      <c r="A8010" s="358"/>
      <c r="B8010" s="361"/>
      <c r="C8010" s="221" t="s">
        <v>379</v>
      </c>
      <c r="D8010" s="231" t="s">
        <v>49</v>
      </c>
      <c r="E8010" s="231" t="s">
        <v>28</v>
      </c>
      <c r="F8010" s="231" t="s">
        <v>28</v>
      </c>
      <c r="G8010" s="238">
        <f>MROUND(H8010*L8010*I8010/K8010,0.000000000000001)</f>
        <v>0</v>
      </c>
      <c r="H8010" s="160"/>
      <c r="I8010" s="159">
        <f t="shared" si="2296"/>
        <v>3.0273000000000002E-4</v>
      </c>
      <c r="J8010" s="160"/>
      <c r="K8010" s="161">
        <f>K8009</f>
        <v>6</v>
      </c>
      <c r="L8010" s="250">
        <v>1</v>
      </c>
      <c r="M8010" s="163"/>
      <c r="N8010" s="164"/>
      <c r="O8010" s="165">
        <f>MROUND(G8010*N8010,0.00000001)</f>
        <v>0</v>
      </c>
      <c r="P8010" s="166"/>
      <c r="Q8010" s="166">
        <f t="shared" si="2300"/>
        <v>0</v>
      </c>
      <c r="R8010" s="71"/>
    </row>
    <row r="8011" spans="1:18" s="61" customFormat="1" x14ac:dyDescent="0.25">
      <c r="A8011" s="358"/>
      <c r="B8011" s="361"/>
      <c r="C8011" s="221" t="s">
        <v>379</v>
      </c>
      <c r="D8011" s="231" t="s">
        <v>49</v>
      </c>
      <c r="E8011" s="231" t="s">
        <v>101</v>
      </c>
      <c r="F8011" s="231" t="s">
        <v>101</v>
      </c>
      <c r="G8011" s="238">
        <f>MROUND(H8011*L8011*I8011/K8011,0.000000001)</f>
        <v>0</v>
      </c>
      <c r="H8011" s="160"/>
      <c r="I8011" s="159">
        <f t="shared" si="2296"/>
        <v>3.0273000000000002E-4</v>
      </c>
      <c r="J8011" s="160"/>
      <c r="K8011" s="161">
        <f>K8010</f>
        <v>6</v>
      </c>
      <c r="L8011" s="250"/>
      <c r="M8011" s="163"/>
      <c r="N8011" s="164"/>
      <c r="O8011" s="165">
        <f>MROUND(G8011*N8011,0.00000001)</f>
        <v>0</v>
      </c>
      <c r="P8011" s="166"/>
      <c r="Q8011" s="166">
        <f t="shared" si="2300"/>
        <v>0</v>
      </c>
      <c r="R8011" s="71"/>
    </row>
    <row r="8012" spans="1:18" s="62" customFormat="1" x14ac:dyDescent="0.25">
      <c r="A8012" s="358"/>
      <c r="B8012" s="361"/>
      <c r="C8012" s="218" t="s">
        <v>380</v>
      </c>
      <c r="D8012" s="232"/>
      <c r="E8012" s="232"/>
      <c r="F8012" s="232"/>
      <c r="G8012" s="227"/>
      <c r="H8012" s="228"/>
      <c r="I8012" s="206"/>
      <c r="J8012" s="228"/>
      <c r="K8012" s="207"/>
      <c r="L8012" s="257"/>
      <c r="M8012" s="209"/>
      <c r="N8012" s="210"/>
      <c r="O8012" s="198">
        <f>SUM(O8009:O8011)</f>
        <v>0</v>
      </c>
      <c r="P8012" s="267"/>
      <c r="Q8012" s="166"/>
      <c r="R8012" s="71"/>
    </row>
    <row r="8013" spans="1:18" s="61" customFormat="1" x14ac:dyDescent="0.25">
      <c r="A8013" s="358"/>
      <c r="B8013" s="361"/>
      <c r="C8013" s="221" t="s">
        <v>76</v>
      </c>
      <c r="D8013" s="231" t="s">
        <v>49</v>
      </c>
      <c r="E8013" s="231" t="s">
        <v>22</v>
      </c>
      <c r="F8013" s="231" t="s">
        <v>22</v>
      </c>
      <c r="G8013" s="238">
        <f>MROUND(H8013*L8013*I8013/K8013,0.000000000000001)</f>
        <v>1.2942212050000002</v>
      </c>
      <c r="H8013" s="160">
        <f>H7173</f>
        <v>25651</v>
      </c>
      <c r="I8013" s="159">
        <f>I8009</f>
        <v>3.0273000000000002E-4</v>
      </c>
      <c r="J8013" s="160"/>
      <c r="K8013" s="161">
        <f>K8011</f>
        <v>6</v>
      </c>
      <c r="L8013" s="250">
        <v>1</v>
      </c>
      <c r="M8013" s="163" t="str">
        <f>CONCATENATE(H8013," ",F8013,"*",I8013,"/",K8013,"чел.")</f>
        <v>25651 м2*0,00030273/6чел.</v>
      </c>
      <c r="N8013" s="164">
        <f>N7173</f>
        <v>2452.3410393356985</v>
      </c>
      <c r="O8013" s="165">
        <f>MROUND(G8013*N8013,0.00000000001)</f>
        <v>3173.8717749999996</v>
      </c>
      <c r="P8013" s="166"/>
      <c r="Q8013" s="166">
        <f t="shared" ref="Q8013:Q8015" si="2301">O8013*K8013</f>
        <v>19043.230649999998</v>
      </c>
      <c r="R8013" s="71"/>
    </row>
    <row r="8014" spans="1:18" s="61" customFormat="1" x14ac:dyDescent="0.25">
      <c r="A8014" s="358"/>
      <c r="B8014" s="361"/>
      <c r="C8014" s="221"/>
      <c r="D8014" s="231" t="s">
        <v>49</v>
      </c>
      <c r="E8014" s="231" t="s">
        <v>28</v>
      </c>
      <c r="F8014" s="231" t="s">
        <v>28</v>
      </c>
      <c r="G8014" s="238">
        <f>MROUND(H8014*L8014*I8014/K8014,0.0000000000001)</f>
        <v>9.4199484999999999E-2</v>
      </c>
      <c r="H8014" s="160">
        <f>H7174</f>
        <v>1867</v>
      </c>
      <c r="I8014" s="159">
        <f t="shared" si="2296"/>
        <v>3.0273000000000002E-4</v>
      </c>
      <c r="J8014" s="160"/>
      <c r="K8014" s="161">
        <f>K8013</f>
        <v>6</v>
      </c>
      <c r="L8014" s="250">
        <v>1</v>
      </c>
      <c r="M8014" s="163" t="str">
        <f>CONCATENATE(H8014," ",F8014,"*",I8014,"/",K8014,"чел.")</f>
        <v>1867 шт*0,00030273/6чел.</v>
      </c>
      <c r="N8014" s="164">
        <f>N7174</f>
        <v>18299.732190680235</v>
      </c>
      <c r="O8014" s="165">
        <f>MROUND(G8014*N8014,0.00000000001)</f>
        <v>1723.8253479999998</v>
      </c>
      <c r="P8014" s="166"/>
      <c r="Q8014" s="166">
        <f t="shared" si="2301"/>
        <v>10342.952087999998</v>
      </c>
      <c r="R8014" s="71"/>
    </row>
    <row r="8015" spans="1:18" s="61" customFormat="1" x14ac:dyDescent="0.25">
      <c r="A8015" s="358"/>
      <c r="B8015" s="361"/>
      <c r="C8015" s="221"/>
      <c r="D8015" s="231" t="s">
        <v>49</v>
      </c>
      <c r="E8015" s="231" t="s">
        <v>101</v>
      </c>
      <c r="F8015" s="231" t="s">
        <v>101</v>
      </c>
      <c r="G8015" s="238">
        <f>MROUND(H8015*L8015*I8015/K8015,0.000000001)</f>
        <v>3.2291199999999999E-2</v>
      </c>
      <c r="H8015" s="160">
        <f>H7175</f>
        <v>640</v>
      </c>
      <c r="I8015" s="159">
        <f t="shared" si="2296"/>
        <v>3.0273000000000002E-4</v>
      </c>
      <c r="J8015" s="160"/>
      <c r="K8015" s="161">
        <f>K8014</f>
        <v>6</v>
      </c>
      <c r="L8015" s="250">
        <v>1</v>
      </c>
      <c r="M8015" s="163" t="str">
        <f>CONCATENATE(H8015," ",F8015,"*",I8015,"/",K8015,"чел.")</f>
        <v>640 погон.м.*0,00030273/6чел.</v>
      </c>
      <c r="N8015" s="164">
        <f>N7175</f>
        <v>4593.75</v>
      </c>
      <c r="O8015" s="165">
        <f>MROUND(G8015*N8015,0.00000001)</f>
        <v>148.33770000000001</v>
      </c>
      <c r="P8015" s="166"/>
      <c r="Q8015" s="166">
        <f t="shared" si="2301"/>
        <v>890.02620000000002</v>
      </c>
      <c r="R8015" s="71"/>
    </row>
    <row r="8016" spans="1:18" s="62" customFormat="1" x14ac:dyDescent="0.25">
      <c r="A8016" s="358"/>
      <c r="B8016" s="361"/>
      <c r="C8016" s="218" t="s">
        <v>291</v>
      </c>
      <c r="D8016" s="232"/>
      <c r="E8016" s="232"/>
      <c r="F8016" s="232"/>
      <c r="G8016" s="227"/>
      <c r="H8016" s="228"/>
      <c r="I8016" s="206"/>
      <c r="J8016" s="228"/>
      <c r="K8016" s="207"/>
      <c r="L8016" s="257"/>
      <c r="M8016" s="209"/>
      <c r="N8016" s="210"/>
      <c r="O8016" s="198">
        <f>SUM(O8013:O8015)</f>
        <v>5046.034823</v>
      </c>
      <c r="P8016" s="267"/>
      <c r="Q8016" s="166"/>
      <c r="R8016" s="71"/>
    </row>
    <row r="8017" spans="1:41" s="61" customFormat="1" x14ac:dyDescent="0.25">
      <c r="A8017" s="358"/>
      <c r="B8017" s="361"/>
      <c r="C8017" s="221" t="s">
        <v>77</v>
      </c>
      <c r="D8017" s="231"/>
      <c r="E8017" s="231"/>
      <c r="F8017" s="231"/>
      <c r="G8017" s="238">
        <f>MROUND(H8017*L8017*I8017/K8017,0.00000000001)</f>
        <v>0</v>
      </c>
      <c r="H8017" s="160">
        <f>H7777</f>
        <v>0</v>
      </c>
      <c r="I8017" s="159">
        <f>I8015</f>
        <v>3.0273000000000002E-4</v>
      </c>
      <c r="J8017" s="160"/>
      <c r="K8017" s="161">
        <f>K8015</f>
        <v>6</v>
      </c>
      <c r="L8017" s="250"/>
      <c r="M8017" s="163"/>
      <c r="N8017" s="164">
        <f>N7777</f>
        <v>0</v>
      </c>
      <c r="O8017" s="165">
        <f>MROUND(G8017*N8017,0.000000001)</f>
        <v>0</v>
      </c>
      <c r="P8017" s="166"/>
      <c r="Q8017" s="166">
        <f t="shared" ref="Q8017" si="2302">O8017*K8017</f>
        <v>0</v>
      </c>
      <c r="R8017" s="71"/>
    </row>
    <row r="8018" spans="1:41" s="62" customFormat="1" x14ac:dyDescent="0.25">
      <c r="A8018" s="358"/>
      <c r="B8018" s="361"/>
      <c r="C8018" s="218" t="s">
        <v>292</v>
      </c>
      <c r="D8018" s="232"/>
      <c r="E8018" s="232"/>
      <c r="F8018" s="232"/>
      <c r="G8018" s="227"/>
      <c r="H8018" s="228"/>
      <c r="I8018" s="206"/>
      <c r="J8018" s="228"/>
      <c r="K8018" s="207"/>
      <c r="L8018" s="257"/>
      <c r="M8018" s="209"/>
      <c r="N8018" s="210"/>
      <c r="O8018" s="198">
        <f>O8017</f>
        <v>0</v>
      </c>
      <c r="P8018" s="267"/>
      <c r="Q8018" s="166"/>
      <c r="R8018" s="71"/>
    </row>
    <row r="8019" spans="1:41" s="61" customFormat="1" x14ac:dyDescent="0.25">
      <c r="A8019" s="358"/>
      <c r="B8019" s="361"/>
      <c r="C8019" s="221"/>
      <c r="D8019" s="350" t="s">
        <v>65</v>
      </c>
      <c r="E8019" s="350"/>
      <c r="F8019" s="350"/>
      <c r="G8019" s="350"/>
      <c r="H8019" s="195"/>
      <c r="I8019" s="159"/>
      <c r="J8019" s="195"/>
      <c r="K8019" s="161"/>
      <c r="L8019" s="196"/>
      <c r="M8019" s="230"/>
      <c r="N8019" s="164"/>
      <c r="O8019" s="165">
        <f t="shared" ref="O8019:O8020" si="2303">MROUND(G8019*N8019,0.000001)</f>
        <v>0</v>
      </c>
      <c r="P8019" s="166"/>
      <c r="Q8019" s="166"/>
      <c r="R8019" s="71"/>
    </row>
    <row r="8020" spans="1:41" s="61" customFormat="1" x14ac:dyDescent="0.25">
      <c r="A8020" s="358"/>
      <c r="B8020" s="361"/>
      <c r="C8020" s="221"/>
      <c r="D8020" s="194"/>
      <c r="E8020" s="194"/>
      <c r="F8020" s="194"/>
      <c r="G8020" s="217"/>
      <c r="H8020" s="195"/>
      <c r="I8020" s="159"/>
      <c r="J8020" s="195"/>
      <c r="K8020" s="161"/>
      <c r="L8020" s="196"/>
      <c r="M8020" s="230"/>
      <c r="N8020" s="164"/>
      <c r="O8020" s="165">
        <f t="shared" si="2303"/>
        <v>0</v>
      </c>
      <c r="P8020" s="166"/>
      <c r="Q8020" s="166"/>
      <c r="R8020" s="71"/>
    </row>
    <row r="8021" spans="1:41" s="61" customFormat="1" x14ac:dyDescent="0.25">
      <c r="A8021" s="358"/>
      <c r="B8021" s="361"/>
      <c r="C8021" s="221" t="s">
        <v>357</v>
      </c>
      <c r="D8021" s="368" t="s">
        <v>66</v>
      </c>
      <c r="E8021" s="368"/>
      <c r="F8021" s="368"/>
      <c r="G8021" s="368"/>
      <c r="H8021" s="195"/>
      <c r="I8021" s="159"/>
      <c r="J8021" s="195"/>
      <c r="K8021" s="161"/>
      <c r="L8021" s="234"/>
      <c r="M8021" s="230"/>
      <c r="N8021" s="164"/>
      <c r="O8021" s="198">
        <f>O8022</f>
        <v>29.61608</v>
      </c>
      <c r="P8021" s="166"/>
      <c r="Q8021" s="166"/>
      <c r="R8021" s="71"/>
    </row>
    <row r="8022" spans="1:41" s="61" customFormat="1" ht="47.25" x14ac:dyDescent="0.25">
      <c r="A8022" s="358"/>
      <c r="B8022" s="361"/>
      <c r="C8022" s="221"/>
      <c r="D8022" s="222" t="s">
        <v>374</v>
      </c>
      <c r="E8022" s="194" t="s">
        <v>28</v>
      </c>
      <c r="F8022" s="194" t="s">
        <v>28</v>
      </c>
      <c r="G8022" s="217">
        <f>MROUND(H8022*L8022*I8022/K8022,0.000000001)</f>
        <v>7.2655200000000001E-3</v>
      </c>
      <c r="H8022" s="201">
        <f>H7422</f>
        <v>36</v>
      </c>
      <c r="I8022" s="159">
        <f>I8017</f>
        <v>3.0273000000000002E-4</v>
      </c>
      <c r="J8022" s="195"/>
      <c r="K8022" s="161">
        <f>K8017</f>
        <v>6</v>
      </c>
      <c r="L8022" s="235">
        <f>L7422</f>
        <v>4</v>
      </c>
      <c r="M8022" s="163" t="str">
        <f>CONCATENATE(H8022," ",F8022,"*",I8022,"/",K8022,"чел.")</f>
        <v>36 шт*0,00030273/6чел.</v>
      </c>
      <c r="N8022" s="164">
        <f>N7422</f>
        <v>4076.2506250000024</v>
      </c>
      <c r="O8022" s="165">
        <f>MROUND(G8022*N8022,0.000001)</f>
        <v>29.61608</v>
      </c>
      <c r="P8022" s="166"/>
      <c r="Q8022" s="166">
        <f t="shared" ref="Q8022" si="2304">O8022*K8022</f>
        <v>177.69648000000001</v>
      </c>
      <c r="R8022" s="71"/>
    </row>
    <row r="8023" spans="1:41" s="61" customFormat="1" x14ac:dyDescent="0.25">
      <c r="A8023" s="358"/>
      <c r="B8023" s="361"/>
      <c r="C8023" s="221"/>
      <c r="D8023" s="368" t="s">
        <v>67</v>
      </c>
      <c r="E8023" s="368"/>
      <c r="F8023" s="368"/>
      <c r="G8023" s="368"/>
      <c r="H8023" s="195"/>
      <c r="I8023" s="159"/>
      <c r="J8023" s="195"/>
      <c r="K8023" s="161"/>
      <c r="L8023" s="196"/>
      <c r="M8023" s="230"/>
      <c r="N8023" s="164"/>
      <c r="O8023" s="165">
        <f t="shared" ref="O8023:O8026" si="2305">MROUND(G8023*N8023,0.000001)</f>
        <v>0</v>
      </c>
      <c r="P8023" s="166"/>
      <c r="Q8023" s="166"/>
      <c r="R8023" s="71"/>
    </row>
    <row r="8024" spans="1:41" s="61" customFormat="1" x14ac:dyDescent="0.25">
      <c r="A8024" s="358"/>
      <c r="B8024" s="361"/>
      <c r="C8024" s="221"/>
      <c r="D8024" s="194"/>
      <c r="E8024" s="194"/>
      <c r="F8024" s="194"/>
      <c r="G8024" s="217"/>
      <c r="H8024" s="195"/>
      <c r="I8024" s="159"/>
      <c r="J8024" s="195"/>
      <c r="K8024" s="161"/>
      <c r="L8024" s="196"/>
      <c r="M8024" s="230"/>
      <c r="N8024" s="164"/>
      <c r="O8024" s="165">
        <f t="shared" si="2305"/>
        <v>0</v>
      </c>
      <c r="P8024" s="166"/>
      <c r="Q8024" s="166"/>
      <c r="R8024" s="71"/>
    </row>
    <row r="8025" spans="1:41" s="61" customFormat="1" x14ac:dyDescent="0.25">
      <c r="A8025" s="358"/>
      <c r="B8025" s="361"/>
      <c r="C8025" s="221"/>
      <c r="D8025" s="350" t="s">
        <v>68</v>
      </c>
      <c r="E8025" s="350"/>
      <c r="F8025" s="350"/>
      <c r="G8025" s="350"/>
      <c r="H8025" s="195"/>
      <c r="I8025" s="159"/>
      <c r="J8025" s="195"/>
      <c r="K8025" s="161"/>
      <c r="L8025" s="196"/>
      <c r="M8025" s="230"/>
      <c r="N8025" s="164"/>
      <c r="O8025" s="165">
        <f t="shared" si="2305"/>
        <v>0</v>
      </c>
      <c r="P8025" s="166"/>
      <c r="Q8025" s="166"/>
      <c r="R8025" s="71"/>
    </row>
    <row r="8026" spans="1:41" s="61" customFormat="1" x14ac:dyDescent="0.25">
      <c r="A8026" s="358"/>
      <c r="B8026" s="361"/>
      <c r="C8026" s="221"/>
      <c r="D8026" s="156"/>
      <c r="E8026" s="156"/>
      <c r="F8026" s="156"/>
      <c r="G8026" s="236"/>
      <c r="H8026" s="195"/>
      <c r="I8026" s="159"/>
      <c r="J8026" s="195"/>
      <c r="K8026" s="161"/>
      <c r="L8026" s="196"/>
      <c r="M8026" s="230"/>
      <c r="N8026" s="164"/>
      <c r="O8026" s="165">
        <f t="shared" si="2305"/>
        <v>0</v>
      </c>
      <c r="P8026" s="166"/>
      <c r="Q8026" s="166"/>
      <c r="R8026" s="71"/>
    </row>
    <row r="8027" spans="1:41" s="61" customFormat="1" x14ac:dyDescent="0.25">
      <c r="A8027" s="358"/>
      <c r="B8027" s="361"/>
      <c r="C8027" s="221"/>
      <c r="D8027" s="368" t="s">
        <v>69</v>
      </c>
      <c r="E8027" s="368"/>
      <c r="F8027" s="368"/>
      <c r="G8027" s="368"/>
      <c r="H8027" s="187"/>
      <c r="I8027" s="159"/>
      <c r="J8027" s="187"/>
      <c r="K8027" s="161"/>
      <c r="L8027" s="276"/>
      <c r="M8027" s="230"/>
      <c r="N8027" s="164"/>
      <c r="O8027" s="198">
        <f>O8029+O8036+O8053+O8055+O8070+O8072+O8074+O8099+O8101+O8106+O8103</f>
        <v>1140.0746434099999</v>
      </c>
      <c r="P8027" s="166"/>
      <c r="Q8027" s="166"/>
      <c r="R8027" s="71"/>
    </row>
    <row r="8028" spans="1:41" s="61" customFormat="1" x14ac:dyDescent="0.25">
      <c r="A8028" s="358"/>
      <c r="B8028" s="361"/>
      <c r="C8028" s="221">
        <v>224</v>
      </c>
      <c r="D8028" s="156" t="s">
        <v>21</v>
      </c>
      <c r="E8028" s="156" t="s">
        <v>22</v>
      </c>
      <c r="F8028" s="156" t="s">
        <v>22</v>
      </c>
      <c r="G8028" s="238">
        <f>MROUND(H8028*L8028*I8028/K8028,0.000001)</f>
        <v>0</v>
      </c>
      <c r="H8028" s="158"/>
      <c r="I8028" s="159">
        <f>I8022</f>
        <v>3.0273000000000002E-4</v>
      </c>
      <c r="J8028" s="160"/>
      <c r="K8028" s="161">
        <f>K8022</f>
        <v>6</v>
      </c>
      <c r="L8028" s="250"/>
      <c r="M8028" s="163"/>
      <c r="N8028" s="164"/>
      <c r="O8028" s="165">
        <f>MROUND(G8028*N8028,0.000001)</f>
        <v>0</v>
      </c>
      <c r="P8028" s="166"/>
      <c r="Q8028" s="166">
        <f t="shared" ref="Q8028" si="2306">O8028*K8028</f>
        <v>0</v>
      </c>
      <c r="R8028" s="71"/>
    </row>
    <row r="8029" spans="1:41" s="62" customFormat="1" x14ac:dyDescent="0.25">
      <c r="A8029" s="358"/>
      <c r="B8029" s="361"/>
      <c r="C8029" s="218" t="s">
        <v>293</v>
      </c>
      <c r="D8029" s="240"/>
      <c r="E8029" s="240"/>
      <c r="F8029" s="240"/>
      <c r="G8029" s="227"/>
      <c r="H8029" s="241"/>
      <c r="I8029" s="206"/>
      <c r="J8029" s="228"/>
      <c r="K8029" s="207"/>
      <c r="L8029" s="257"/>
      <c r="M8029" s="209"/>
      <c r="N8029" s="210"/>
      <c r="O8029" s="198">
        <f>SUM(O8028)</f>
        <v>0</v>
      </c>
      <c r="P8029" s="267"/>
      <c r="Q8029" s="166"/>
      <c r="R8029" s="71"/>
    </row>
    <row r="8030" spans="1:41" s="61" customFormat="1" ht="31.5" x14ac:dyDescent="0.25">
      <c r="A8030" s="358"/>
      <c r="B8030" s="361"/>
      <c r="C8030" s="364" t="s">
        <v>78</v>
      </c>
      <c r="D8030" s="156" t="s">
        <v>26</v>
      </c>
      <c r="E8030" s="156" t="s">
        <v>22</v>
      </c>
      <c r="F8030" s="156" t="s">
        <v>22</v>
      </c>
      <c r="G8030" s="238">
        <f>MROUND(H8030*L8030*I8030/K8030,0.000001)</f>
        <v>15.645085999999999</v>
      </c>
      <c r="H8030" s="158">
        <f>H6830</f>
        <v>25840</v>
      </c>
      <c r="I8030" s="159">
        <f>I8028</f>
        <v>3.0273000000000002E-4</v>
      </c>
      <c r="J8030" s="160"/>
      <c r="K8030" s="161">
        <f>K8028</f>
        <v>6</v>
      </c>
      <c r="L8030" s="250">
        <v>12</v>
      </c>
      <c r="M8030" s="163" t="str">
        <f>CONCATENATE(H8030," ",F8030,"(обрабатываемая площадь в мес.)","*",L8030,"мес.","*",I8030,"/",K8030,"чел.")</f>
        <v>25840 м2(обрабатываемая площадь в мес.)*12мес.*0,00030273/6чел.</v>
      </c>
      <c r="N8030" s="164">
        <f>N6830</f>
        <v>1.2568903508771934</v>
      </c>
      <c r="O8030" s="165">
        <f t="shared" ref="O8030:O8035" si="2307">MROUND(G8030*N8030,0.000001)</f>
        <v>19.664158</v>
      </c>
      <c r="P8030" s="166"/>
      <c r="Q8030" s="166">
        <f t="shared" ref="Q8030:Q8035" si="2308">O8030*K8030</f>
        <v>117.984948</v>
      </c>
      <c r="R8030" s="71"/>
    </row>
    <row r="8031" spans="1:41" s="61" customFormat="1" ht="31.5" x14ac:dyDescent="0.25">
      <c r="A8031" s="358"/>
      <c r="B8031" s="361"/>
      <c r="C8031" s="364"/>
      <c r="D8031" s="156" t="s">
        <v>96</v>
      </c>
      <c r="E8031" s="156" t="s">
        <v>22</v>
      </c>
      <c r="F8031" s="156" t="s">
        <v>22</v>
      </c>
      <c r="G8031" s="238">
        <f>MROUND(H8031*L8031*I8031/K8031,0.000001)</f>
        <v>8.0980279999999993</v>
      </c>
      <c r="H8031" s="158">
        <f>H6831</f>
        <v>13375</v>
      </c>
      <c r="I8031" s="159">
        <f t="shared" si="2296"/>
        <v>3.0273000000000002E-4</v>
      </c>
      <c r="J8031" s="160"/>
      <c r="K8031" s="161">
        <f>K8030</f>
        <v>6</v>
      </c>
      <c r="L8031" s="250">
        <v>12</v>
      </c>
      <c r="M8031" s="163" t="str">
        <f>CONCATENATE(H8031," ",F8031,"(обрабатываемая площадь в мес.)","*",L8031,"мес.","*",I8031,"/",K8031,"чел.")</f>
        <v>13375 м2(обрабатываемая площадь в мес.)*12мес.*0,00030273/6чел.</v>
      </c>
      <c r="N8031" s="164">
        <f>N6831</f>
        <v>2.0157672274143299</v>
      </c>
      <c r="O8031" s="165">
        <f t="shared" si="2307"/>
        <v>16.323739</v>
      </c>
      <c r="P8031" s="166"/>
      <c r="Q8031" s="166">
        <f t="shared" si="2308"/>
        <v>97.942433999999992</v>
      </c>
      <c r="R8031" s="71"/>
    </row>
    <row r="8032" spans="1:41" s="135" customFormat="1" ht="31.5" x14ac:dyDescent="0.25">
      <c r="A8032" s="358"/>
      <c r="B8032" s="361"/>
      <c r="C8032" s="364"/>
      <c r="D8032" s="156" t="s">
        <v>385</v>
      </c>
      <c r="E8032" s="156" t="s">
        <v>22</v>
      </c>
      <c r="F8032" s="156" t="s">
        <v>22</v>
      </c>
      <c r="G8032" s="238">
        <f>MROUND(H8032*L8032*I8032/K8032,0.000001)</f>
        <v>16.196054999999998</v>
      </c>
      <c r="H8032" s="242">
        <f>$H$55</f>
        <v>13375</v>
      </c>
      <c r="I8032" s="159">
        <f t="shared" si="2296"/>
        <v>3.0273000000000002E-4</v>
      </c>
      <c r="J8032" s="160"/>
      <c r="K8032" s="161">
        <f>K8031</f>
        <v>6</v>
      </c>
      <c r="L8032" s="162">
        <v>24</v>
      </c>
      <c r="M8032" s="163" t="str">
        <f>CONCATENATE(H8032," ",F8032,"(обрабатываемая площадь в год)","*",L8032," раза в год.","*",I8032,"/",K8032,"чел.")</f>
        <v>13375 м2(обрабатываемая площадь в год)*24 раза в год.*0,00030273/6чел.</v>
      </c>
      <c r="N8032" s="164">
        <f>$N$6832</f>
        <v>2.4900656074766365</v>
      </c>
      <c r="O8032" s="165">
        <f t="shared" si="2307"/>
        <v>40.329239999999999</v>
      </c>
      <c r="P8032" s="166"/>
      <c r="Q8032" s="166">
        <f t="shared" si="2308"/>
        <v>241.97543999999999</v>
      </c>
      <c r="R8032" s="71"/>
      <c r="S8032" s="61"/>
      <c r="T8032" s="61"/>
      <c r="U8032" s="61"/>
      <c r="V8032" s="61"/>
      <c r="W8032" s="61"/>
      <c r="X8032" s="61"/>
      <c r="Y8032" s="61"/>
      <c r="Z8032" s="61"/>
      <c r="AA8032" s="61"/>
      <c r="AB8032" s="61"/>
      <c r="AC8032" s="61"/>
      <c r="AD8032" s="61"/>
      <c r="AE8032" s="61"/>
      <c r="AF8032" s="61"/>
      <c r="AG8032" s="61"/>
      <c r="AH8032" s="61"/>
      <c r="AI8032" s="61"/>
      <c r="AJ8032" s="61"/>
      <c r="AK8032" s="61"/>
      <c r="AL8032" s="61"/>
      <c r="AM8032" s="61"/>
      <c r="AN8032" s="61"/>
      <c r="AO8032" s="61"/>
    </row>
    <row r="8033" spans="1:41" s="135" customFormat="1" ht="31.5" x14ac:dyDescent="0.25">
      <c r="A8033" s="358"/>
      <c r="B8033" s="361"/>
      <c r="C8033" s="364"/>
      <c r="D8033" s="156" t="s">
        <v>394</v>
      </c>
      <c r="E8033" s="156" t="s">
        <v>22</v>
      </c>
      <c r="F8033" s="156" t="s">
        <v>22</v>
      </c>
      <c r="G8033" s="238">
        <f>MROUND(H8033*L8033*I8033/K8033,0.000001)</f>
        <v>15.645085999999999</v>
      </c>
      <c r="H8033" s="243">
        <f>$H$56</f>
        <v>25840</v>
      </c>
      <c r="I8033" s="159">
        <f t="shared" si="2296"/>
        <v>3.0273000000000002E-4</v>
      </c>
      <c r="J8033" s="160"/>
      <c r="K8033" s="161">
        <f>K8032</f>
        <v>6</v>
      </c>
      <c r="L8033" s="162">
        <v>12</v>
      </c>
      <c r="M8033" s="163" t="str">
        <f>CONCATENATE(H8033," ",F8033,"(обрабатываемая площадь в мес.)","*",L8033,"мес.","*",I8033,"/",K8033,"чел.")</f>
        <v>25840 м2(обрабатываемая площадь в мес.)*12мес.*0,00030273/6чел.</v>
      </c>
      <c r="N8033" s="164">
        <f>$N$6833</f>
        <v>0.59287277476780176</v>
      </c>
      <c r="O8033" s="165">
        <f t="shared" si="2307"/>
        <v>9.2755460000000003</v>
      </c>
      <c r="P8033" s="166"/>
      <c r="Q8033" s="166">
        <f t="shared" si="2308"/>
        <v>55.653276000000005</v>
      </c>
      <c r="R8033" s="71"/>
      <c r="S8033" s="61"/>
      <c r="T8033" s="61"/>
      <c r="U8033" s="61"/>
      <c r="V8033" s="61"/>
      <c r="W8033" s="61"/>
      <c r="X8033" s="61"/>
      <c r="Y8033" s="61"/>
      <c r="Z8033" s="61"/>
      <c r="AA8033" s="61"/>
      <c r="AB8033" s="61"/>
      <c r="AC8033" s="61"/>
      <c r="AD8033" s="61"/>
      <c r="AE8033" s="61"/>
      <c r="AF8033" s="61"/>
      <c r="AG8033" s="61"/>
      <c r="AH8033" s="61"/>
      <c r="AI8033" s="61"/>
      <c r="AJ8033" s="61"/>
      <c r="AK8033" s="61"/>
      <c r="AL8033" s="61"/>
      <c r="AM8033" s="61"/>
      <c r="AN8033" s="61"/>
      <c r="AO8033" s="61"/>
    </row>
    <row r="8034" spans="1:41" s="135" customFormat="1" ht="31.5" x14ac:dyDescent="0.25">
      <c r="A8034" s="358"/>
      <c r="B8034" s="361"/>
      <c r="C8034" s="364"/>
      <c r="D8034" s="156" t="s">
        <v>395</v>
      </c>
      <c r="E8034" s="156" t="s">
        <v>98</v>
      </c>
      <c r="F8034" s="156" t="s">
        <v>98</v>
      </c>
      <c r="G8034" s="238">
        <f>MROUND(H8034*L8034*I8034/K8034,0.000000001)</f>
        <v>9.5561800000000009E-4</v>
      </c>
      <c r="H8034" s="242">
        <f>$H$57</f>
        <v>18.939999999999998</v>
      </c>
      <c r="I8034" s="159">
        <f t="shared" si="2296"/>
        <v>3.0273000000000002E-4</v>
      </c>
      <c r="J8034" s="160"/>
      <c r="K8034" s="161">
        <f>K8033</f>
        <v>6</v>
      </c>
      <c r="L8034" s="162">
        <v>1</v>
      </c>
      <c r="M8034" s="163" t="str">
        <f>CONCATENATE(H8034," ",F8034,"(обрабатываемая площадь в год)","*",L8034," раз в год","*",I8034,"/",K8034,"чел.")</f>
        <v>18,94 Га(обрабатываемая площадь в год)*1 раз в год*0,00030273/6чел.</v>
      </c>
      <c r="N8034" s="164">
        <f>$N$6834</f>
        <v>592.87803590285125</v>
      </c>
      <c r="O8034" s="165">
        <f t="shared" si="2307"/>
        <v>0.56656499999999999</v>
      </c>
      <c r="P8034" s="166"/>
      <c r="Q8034" s="166">
        <f t="shared" si="2308"/>
        <v>3.3993899999999999</v>
      </c>
      <c r="R8034" s="71"/>
      <c r="S8034" s="61"/>
      <c r="T8034" s="61"/>
      <c r="U8034" s="61"/>
      <c r="V8034" s="61"/>
      <c r="W8034" s="61"/>
      <c r="X8034" s="61"/>
      <c r="Y8034" s="61"/>
      <c r="Z8034" s="61"/>
      <c r="AA8034" s="61"/>
      <c r="AB8034" s="61"/>
      <c r="AC8034" s="61"/>
      <c r="AD8034" s="61"/>
      <c r="AE8034" s="61"/>
      <c r="AF8034" s="61"/>
      <c r="AG8034" s="61"/>
      <c r="AH8034" s="61"/>
      <c r="AI8034" s="61"/>
      <c r="AJ8034" s="61"/>
      <c r="AK8034" s="61"/>
      <c r="AL8034" s="61"/>
      <c r="AM8034" s="61"/>
      <c r="AN8034" s="61"/>
      <c r="AO8034" s="61"/>
    </row>
    <row r="8035" spans="1:41" s="61" customFormat="1" ht="31.5" x14ac:dyDescent="0.25">
      <c r="A8035" s="358"/>
      <c r="B8035" s="361"/>
      <c r="C8035" s="364"/>
      <c r="D8035" s="156" t="s">
        <v>97</v>
      </c>
      <c r="E8035" s="156" t="s">
        <v>98</v>
      </c>
      <c r="F8035" s="156" t="s">
        <v>98</v>
      </c>
      <c r="G8035" s="238">
        <f>MROUND(H8035*L8035*I8035/K8035,0.000000001)</f>
        <v>9.5561800000000009E-4</v>
      </c>
      <c r="H8035" s="242">
        <f>H6955</f>
        <v>18.939999999999998</v>
      </c>
      <c r="I8035" s="244">
        <f>I8031</f>
        <v>3.0273000000000002E-4</v>
      </c>
      <c r="J8035" s="160"/>
      <c r="K8035" s="161">
        <f>K8031</f>
        <v>6</v>
      </c>
      <c r="L8035" s="250">
        <v>1</v>
      </c>
      <c r="M8035" s="163" t="str">
        <f>CONCATENATE(H8035," ",F8035,"(обрабатываемая площадь в мес.)","*",L8035,"мес.","*",I8035,"/",K8035,"чел.")</f>
        <v>18,94 Га(обрабатываемая площадь в мес.)*1мес.*0,00030273/6чел.</v>
      </c>
      <c r="N8035" s="164">
        <f>N6955</f>
        <v>3226.5021119324188</v>
      </c>
      <c r="O8035" s="165">
        <f t="shared" si="2307"/>
        <v>3.0833029999999999</v>
      </c>
      <c r="P8035" s="166"/>
      <c r="Q8035" s="166">
        <f t="shared" si="2308"/>
        <v>18.499817999999998</v>
      </c>
      <c r="R8035" s="71"/>
    </row>
    <row r="8036" spans="1:41" s="62" customFormat="1" x14ac:dyDescent="0.25">
      <c r="A8036" s="358"/>
      <c r="B8036" s="361"/>
      <c r="C8036" s="245" t="s">
        <v>294</v>
      </c>
      <c r="D8036" s="240"/>
      <c r="E8036" s="240"/>
      <c r="F8036" s="240"/>
      <c r="G8036" s="227"/>
      <c r="H8036" s="241"/>
      <c r="I8036" s="206"/>
      <c r="J8036" s="228"/>
      <c r="K8036" s="207"/>
      <c r="L8036" s="257"/>
      <c r="M8036" s="209"/>
      <c r="N8036" s="210"/>
      <c r="O8036" s="198">
        <f>SUM(O8030:O8035)</f>
        <v>89.242551000000006</v>
      </c>
      <c r="P8036" s="267"/>
      <c r="Q8036" s="166"/>
      <c r="R8036" s="71"/>
    </row>
    <row r="8037" spans="1:41" s="61" customFormat="1" ht="63" x14ac:dyDescent="0.25">
      <c r="A8037" s="358"/>
      <c r="B8037" s="361"/>
      <c r="C8037" s="365" t="s">
        <v>77</v>
      </c>
      <c r="D8037" s="156" t="s">
        <v>29</v>
      </c>
      <c r="E8037" s="156" t="s">
        <v>58</v>
      </c>
      <c r="F8037" s="156" t="s">
        <v>218</v>
      </c>
      <c r="G8037" s="238">
        <f>MROUND(H8037*L8037*I8037/K8037,0.00000001)</f>
        <v>3.0273000000000001E-3</v>
      </c>
      <c r="H8037" s="158">
        <v>15</v>
      </c>
      <c r="I8037" s="159">
        <f>I8035</f>
        <v>3.0273000000000002E-4</v>
      </c>
      <c r="J8037" s="160"/>
      <c r="K8037" s="161">
        <f>K8035</f>
        <v>6</v>
      </c>
      <c r="L8037" s="162">
        <v>4</v>
      </c>
      <c r="M8037" s="163" t="str">
        <f>CONCATENATE(H8037," ",F8037,"*",L8037," раза в год","*",I8037,"/",K8037,"чел.")</f>
        <v>15 установок*4 раза в год*0,00030273/6чел.</v>
      </c>
      <c r="N8037" s="164">
        <f>N6837</f>
        <v>2355.4600000000005</v>
      </c>
      <c r="O8037" s="165">
        <f t="shared" ref="O8037:O8045" si="2309">MROUND(G8037*N8037,0.000001)</f>
        <v>7.1306839999999996</v>
      </c>
      <c r="P8037" s="166"/>
      <c r="Q8037" s="166">
        <f t="shared" ref="Q8037:Q8052" si="2310">O8037*K8037</f>
        <v>42.784103999999999</v>
      </c>
      <c r="R8037" s="71"/>
    </row>
    <row r="8038" spans="1:41" s="61" customFormat="1" ht="47.25" x14ac:dyDescent="0.25">
      <c r="A8038" s="358"/>
      <c r="B8038" s="361"/>
      <c r="C8038" s="366"/>
      <c r="D8038" s="156" t="s">
        <v>30</v>
      </c>
      <c r="E8038" s="156" t="s">
        <v>58</v>
      </c>
      <c r="F8038" s="156" t="s">
        <v>218</v>
      </c>
      <c r="G8038" s="238">
        <f>MROUND(H8038*L8038*I8038/K8038,0.00000001)</f>
        <v>1.5136500000000001E-3</v>
      </c>
      <c r="H8038" s="158">
        <v>15</v>
      </c>
      <c r="I8038" s="159">
        <f t="shared" si="2296"/>
        <v>3.0273000000000002E-4</v>
      </c>
      <c r="J8038" s="160"/>
      <c r="K8038" s="161">
        <f t="shared" ref="K8038:K8046" si="2311">K8037</f>
        <v>6</v>
      </c>
      <c r="L8038" s="250">
        <v>2</v>
      </c>
      <c r="M8038" s="163" t="str">
        <f>CONCATENATE(H8038," ",F8038,"*",L8038,"полуг.","*",I8038,"/",K8038,"чел.")</f>
        <v>15 установок*2полуг.*0,00030273/6чел.</v>
      </c>
      <c r="N8038" s="164">
        <f>N7318</f>
        <v>4710.920000000001</v>
      </c>
      <c r="O8038" s="165">
        <f t="shared" si="2309"/>
        <v>7.1306839999999996</v>
      </c>
      <c r="P8038" s="166"/>
      <c r="Q8038" s="166">
        <f t="shared" si="2310"/>
        <v>42.784103999999999</v>
      </c>
      <c r="R8038" s="71"/>
    </row>
    <row r="8039" spans="1:41" s="61" customFormat="1" x14ac:dyDescent="0.25">
      <c r="A8039" s="358"/>
      <c r="B8039" s="361"/>
      <c r="C8039" s="366"/>
      <c r="D8039" s="156" t="s">
        <v>397</v>
      </c>
      <c r="E8039" s="156" t="s">
        <v>433</v>
      </c>
      <c r="F8039" s="156" t="s">
        <v>433</v>
      </c>
      <c r="G8039" s="238">
        <f>MROUND(H8039*L8039*I8039/K8039,0.000001)</f>
        <v>0</v>
      </c>
      <c r="H8039" s="158">
        <f>H6959</f>
        <v>0</v>
      </c>
      <c r="I8039" s="159">
        <f t="shared" si="2296"/>
        <v>3.0273000000000002E-4</v>
      </c>
      <c r="J8039" s="160"/>
      <c r="K8039" s="161">
        <f t="shared" si="2311"/>
        <v>6</v>
      </c>
      <c r="L8039" s="162">
        <v>1</v>
      </c>
      <c r="M8039" s="163"/>
      <c r="N8039" s="164">
        <f>N6959</f>
        <v>0</v>
      </c>
      <c r="O8039" s="165">
        <f t="shared" si="2309"/>
        <v>0</v>
      </c>
      <c r="P8039" s="166"/>
      <c r="Q8039" s="166">
        <f t="shared" si="2310"/>
        <v>0</v>
      </c>
      <c r="R8039" s="71"/>
    </row>
    <row r="8040" spans="1:41" s="61" customFormat="1" ht="47.25" x14ac:dyDescent="0.25">
      <c r="A8040" s="358"/>
      <c r="B8040" s="361"/>
      <c r="C8040" s="366"/>
      <c r="D8040" s="156" t="s">
        <v>32</v>
      </c>
      <c r="E8040" s="156" t="s">
        <v>55</v>
      </c>
      <c r="F8040" s="156" t="s">
        <v>219</v>
      </c>
      <c r="G8040" s="238">
        <f>MROUND(H8040*L8040*I8040/K8040,0.000000001)</f>
        <v>7.2655200000000001E-3</v>
      </c>
      <c r="H8040" s="158">
        <f>H7320</f>
        <v>36</v>
      </c>
      <c r="I8040" s="159">
        <f>I8039</f>
        <v>3.0273000000000002E-4</v>
      </c>
      <c r="J8040" s="160"/>
      <c r="K8040" s="161">
        <f t="shared" si="2311"/>
        <v>6</v>
      </c>
      <c r="L8040" s="250">
        <v>4</v>
      </c>
      <c r="M8040" s="163" t="str">
        <f>CONCATENATE(H8040," ",F8040,"*",L8040,"кв.","*",I8040,"/",K8040,"чел.")</f>
        <v>36 системы*4кв.*0,00030273/6чел.</v>
      </c>
      <c r="N8040" s="164">
        <f>N7320</f>
        <v>7532.7785416666693</v>
      </c>
      <c r="O8040" s="165">
        <f t="shared" si="2309"/>
        <v>54.729552999999996</v>
      </c>
      <c r="P8040" s="166"/>
      <c r="Q8040" s="166">
        <f t="shared" si="2310"/>
        <v>328.37731799999995</v>
      </c>
      <c r="R8040" s="71"/>
    </row>
    <row r="8041" spans="1:41" s="61" customFormat="1" ht="63" x14ac:dyDescent="0.25">
      <c r="A8041" s="358"/>
      <c r="B8041" s="361"/>
      <c r="C8041" s="366"/>
      <c r="D8041" s="156" t="s">
        <v>33</v>
      </c>
      <c r="E8041" s="156" t="s">
        <v>56</v>
      </c>
      <c r="F8041" s="156" t="s">
        <v>220</v>
      </c>
      <c r="G8041" s="238">
        <f>MROUND(H8041*L8041*I8041/K8041,0.000000001)</f>
        <v>1.81638E-3</v>
      </c>
      <c r="H8041" s="158">
        <f>$H$64</f>
        <v>36</v>
      </c>
      <c r="I8041" s="159">
        <f>I8040</f>
        <v>3.0273000000000002E-4</v>
      </c>
      <c r="J8041" s="160"/>
      <c r="K8041" s="161">
        <f t="shared" si="2311"/>
        <v>6</v>
      </c>
      <c r="L8041" s="162">
        <v>1</v>
      </c>
      <c r="M8041" s="163" t="str">
        <f>CONCATENATE(H8041," ",F8041,"*",L8041," раз в год","*",I8041,"/",K8041,"чел.")</f>
        <v>36 дымоходов*1 раз в год*0,00030273/6чел.</v>
      </c>
      <c r="N8041" s="164">
        <f>N6841</f>
        <v>7312.0941666666668</v>
      </c>
      <c r="O8041" s="165">
        <f t="shared" si="2309"/>
        <v>13.281542</v>
      </c>
      <c r="P8041" s="166"/>
      <c r="Q8041" s="166">
        <f t="shared" si="2310"/>
        <v>79.689251999999996</v>
      </c>
      <c r="R8041" s="71"/>
    </row>
    <row r="8042" spans="1:41" s="61" customFormat="1" x14ac:dyDescent="0.25">
      <c r="A8042" s="358"/>
      <c r="B8042" s="361"/>
      <c r="C8042" s="366"/>
      <c r="D8042" s="194" t="s">
        <v>398</v>
      </c>
      <c r="E8042" s="156" t="s">
        <v>60</v>
      </c>
      <c r="F8042" s="156" t="s">
        <v>60</v>
      </c>
      <c r="G8042" s="238">
        <f>MROUND(H8042*L8042*I8042/K8042,0.000000001)</f>
        <v>1.765925E-3</v>
      </c>
      <c r="H8042" s="246">
        <f>H6842</f>
        <v>35</v>
      </c>
      <c r="I8042" s="159">
        <f t="shared" si="2296"/>
        <v>3.0273000000000002E-4</v>
      </c>
      <c r="J8042" s="160"/>
      <c r="K8042" s="161">
        <f t="shared" si="2311"/>
        <v>6</v>
      </c>
      <c r="L8042" s="250">
        <v>1</v>
      </c>
      <c r="M8042" s="163" t="str">
        <f>CONCATENATE(H8042," ",F8042,"*",I8042,"/",K8042,"чел.")</f>
        <v>35 шт.*0,00030273/6чел.</v>
      </c>
      <c r="N8042" s="164">
        <f>N6842</f>
        <v>12660.374571428585</v>
      </c>
      <c r="O8042" s="165">
        <f t="shared" si="2309"/>
        <v>22.357271999999998</v>
      </c>
      <c r="P8042" s="166"/>
      <c r="Q8042" s="166">
        <f t="shared" si="2310"/>
        <v>134.143632</v>
      </c>
      <c r="R8042" s="71"/>
    </row>
    <row r="8043" spans="1:41" s="61" customFormat="1" ht="47.25" x14ac:dyDescent="0.25">
      <c r="A8043" s="358"/>
      <c r="B8043" s="361"/>
      <c r="C8043" s="366"/>
      <c r="D8043" s="156" t="s">
        <v>401</v>
      </c>
      <c r="E8043" s="156" t="s">
        <v>60</v>
      </c>
      <c r="F8043" s="156" t="s">
        <v>402</v>
      </c>
      <c r="G8043" s="238">
        <f>MROUND(H8043*L8043*I8043/K8043,0.000001)</f>
        <v>3.532E-3</v>
      </c>
      <c r="H8043" s="246">
        <f>H6843</f>
        <v>35</v>
      </c>
      <c r="I8043" s="159">
        <f t="shared" si="2296"/>
        <v>3.0273000000000002E-4</v>
      </c>
      <c r="J8043" s="160"/>
      <c r="K8043" s="161">
        <f t="shared" si="2311"/>
        <v>6</v>
      </c>
      <c r="L8043" s="162">
        <v>2</v>
      </c>
      <c r="M8043" s="163" t="str">
        <f>CONCATENATE(H8043," ",F8043,"*",L8043," раз в год","*",I8043,"/",K8043,"чел.")</f>
        <v>35 противопожарных водопроводов*2 раз в год*0,00030273/6чел.</v>
      </c>
      <c r="N8043" s="164">
        <f>N6843</f>
        <v>5928.7300000000032</v>
      </c>
      <c r="O8043" s="165">
        <f t="shared" si="2309"/>
        <v>20.940273999999999</v>
      </c>
      <c r="P8043" s="166"/>
      <c r="Q8043" s="166">
        <f t="shared" si="2310"/>
        <v>125.64164399999999</v>
      </c>
      <c r="R8043" s="71"/>
    </row>
    <row r="8044" spans="1:41" s="61" customFormat="1" ht="31.5" x14ac:dyDescent="0.25">
      <c r="A8044" s="358"/>
      <c r="B8044" s="361"/>
      <c r="C8044" s="366"/>
      <c r="D8044" s="156" t="s">
        <v>221</v>
      </c>
      <c r="E8044" s="156" t="s">
        <v>60</v>
      </c>
      <c r="F8044" s="156" t="s">
        <v>60</v>
      </c>
      <c r="G8044" s="238">
        <f>MROUND(H8044*L8044*I8044/K8044,0.000000001)</f>
        <v>1.0898280000000002E-2</v>
      </c>
      <c r="H8044" s="158">
        <f>H6844</f>
        <v>18</v>
      </c>
      <c r="I8044" s="159">
        <f t="shared" si="2296"/>
        <v>3.0273000000000002E-4</v>
      </c>
      <c r="J8044" s="160"/>
      <c r="K8044" s="161">
        <f t="shared" si="2311"/>
        <v>6</v>
      </c>
      <c r="L8044" s="250">
        <v>12</v>
      </c>
      <c r="M8044" s="163" t="str">
        <f>CONCATENATE(H8044," ",F8044,"*",L8044,"мес.","*",I8044,"/",K8044,"чел.")</f>
        <v>18 шт.*12мес.*0,00030273/6чел.</v>
      </c>
      <c r="N8044" s="164">
        <f>N6964</f>
        <v>6840.4345833333346</v>
      </c>
      <c r="O8044" s="165">
        <f t="shared" si="2309"/>
        <v>74.548970999999995</v>
      </c>
      <c r="P8044" s="166"/>
      <c r="Q8044" s="166">
        <f t="shared" si="2310"/>
        <v>447.29382599999997</v>
      </c>
      <c r="R8044" s="71"/>
    </row>
    <row r="8045" spans="1:41" s="61" customFormat="1" ht="47.25" x14ac:dyDescent="0.25">
      <c r="A8045" s="358"/>
      <c r="B8045" s="361"/>
      <c r="C8045" s="366"/>
      <c r="D8045" s="156" t="s">
        <v>34</v>
      </c>
      <c r="E8045" s="156" t="s">
        <v>59</v>
      </c>
      <c r="F8045" s="156" t="s">
        <v>28</v>
      </c>
      <c r="G8045" s="238">
        <f>MROUND(H8045*L8045*I8045/K8045,0.0000000001)</f>
        <v>1.0091000000000001E-4</v>
      </c>
      <c r="H8045" s="158">
        <f>H6845</f>
        <v>2</v>
      </c>
      <c r="I8045" s="159">
        <f t="shared" si="2296"/>
        <v>3.0273000000000002E-4</v>
      </c>
      <c r="J8045" s="160"/>
      <c r="K8045" s="161">
        <f t="shared" si="2311"/>
        <v>6</v>
      </c>
      <c r="L8045" s="250">
        <v>1</v>
      </c>
      <c r="M8045" s="163" t="str">
        <f>CONCATENATE(H8045," ",F8045,"*",I8045,"/",K8045,"чел.")</f>
        <v>2 шт*0,00030273/6чел.</v>
      </c>
      <c r="N8045" s="164">
        <f>N6845</f>
        <v>8158.8</v>
      </c>
      <c r="O8045" s="165">
        <f t="shared" si="2309"/>
        <v>0.82330499999999995</v>
      </c>
      <c r="P8045" s="166"/>
      <c r="Q8045" s="166">
        <f t="shared" si="2310"/>
        <v>4.9398299999999997</v>
      </c>
      <c r="R8045" s="71"/>
    </row>
    <row r="8046" spans="1:41" s="61" customFormat="1" ht="47.25" x14ac:dyDescent="0.25">
      <c r="A8046" s="358"/>
      <c r="B8046" s="361"/>
      <c r="C8046" s="366"/>
      <c r="D8046" s="156" t="s">
        <v>222</v>
      </c>
      <c r="E8046" s="156" t="s">
        <v>60</v>
      </c>
      <c r="F8046" s="156" t="s">
        <v>60</v>
      </c>
      <c r="G8046" s="238">
        <f>MROUND(H8046*L8046*I8046/K8046,0.00000000001)</f>
        <v>2.5227499999999999E-4</v>
      </c>
      <c r="H8046" s="248">
        <f>H7326</f>
        <v>5</v>
      </c>
      <c r="I8046" s="159">
        <f t="shared" si="2296"/>
        <v>3.0273000000000002E-4</v>
      </c>
      <c r="J8046" s="160"/>
      <c r="K8046" s="161">
        <f t="shared" si="2311"/>
        <v>6</v>
      </c>
      <c r="L8046" s="250">
        <v>1</v>
      </c>
      <c r="M8046" s="163" t="str">
        <f>CONCATENATE(H8046," ",F8046,"*",I8046,"/",K8046,"чел.")</f>
        <v>5 шт.*0,00030273/6чел.</v>
      </c>
      <c r="N8046" s="164">
        <f>N6846</f>
        <v>45611.39</v>
      </c>
      <c r="O8046" s="165">
        <f>MROUND(G8046*N8046,0.00000001)</f>
        <v>11.50661341</v>
      </c>
      <c r="P8046" s="166"/>
      <c r="Q8046" s="166">
        <f t="shared" si="2310"/>
        <v>69.03968046</v>
      </c>
      <c r="R8046" s="71"/>
    </row>
    <row r="8047" spans="1:41" s="61" customFormat="1" ht="31.5" x14ac:dyDescent="0.25">
      <c r="A8047" s="358"/>
      <c r="B8047" s="361"/>
      <c r="C8047" s="366"/>
      <c r="D8047" s="156" t="s">
        <v>35</v>
      </c>
      <c r="E8047" s="156" t="s">
        <v>102</v>
      </c>
      <c r="F8047" s="156" t="s">
        <v>223</v>
      </c>
      <c r="G8047" s="238">
        <f>MROUND(H8047*L8047*I8047/K8047,0.00000001)</f>
        <v>1.76593E-3</v>
      </c>
      <c r="H8047" s="158">
        <f>H6847</f>
        <v>35</v>
      </c>
      <c r="I8047" s="159">
        <f>I8045</f>
        <v>3.0273000000000002E-4</v>
      </c>
      <c r="J8047" s="160"/>
      <c r="K8047" s="161">
        <f>K8045</f>
        <v>6</v>
      </c>
      <c r="L8047" s="250">
        <v>1</v>
      </c>
      <c r="M8047" s="163" t="str">
        <f>CONCATENATE(H8047," ",F8047,"*",I8047,"/",K8047,"чел.")</f>
        <v>35 замеров*0,00030273/6чел.</v>
      </c>
      <c r="N8047" s="164">
        <f>N6847</f>
        <v>26000</v>
      </c>
      <c r="O8047" s="165">
        <f t="shared" ref="O8047:O8052" si="2312">MROUND(G8047*N8047,0.000001)</f>
        <v>45.914179999999995</v>
      </c>
      <c r="P8047" s="166"/>
      <c r="Q8047" s="166">
        <f t="shared" si="2310"/>
        <v>275.48507999999998</v>
      </c>
      <c r="R8047" s="71"/>
    </row>
    <row r="8048" spans="1:41" s="61" customFormat="1" ht="47.25" x14ac:dyDescent="0.25">
      <c r="A8048" s="358"/>
      <c r="B8048" s="361"/>
      <c r="C8048" s="366"/>
      <c r="D8048" s="156" t="s">
        <v>399</v>
      </c>
      <c r="E8048" s="156" t="s">
        <v>60</v>
      </c>
      <c r="F8048" s="156" t="s">
        <v>60</v>
      </c>
      <c r="G8048" s="238">
        <f>MROUND(H8048*L8048*I8048/K8048,0.000000001)</f>
        <v>1.7659250000000001E-2</v>
      </c>
      <c r="H8048" s="158">
        <f>H7448</f>
        <v>35</v>
      </c>
      <c r="I8048" s="159">
        <f t="shared" si="2296"/>
        <v>3.0273000000000002E-4</v>
      </c>
      <c r="J8048" s="160"/>
      <c r="K8048" s="161">
        <f>K8047</f>
        <v>6</v>
      </c>
      <c r="L8048" s="250">
        <v>10</v>
      </c>
      <c r="M8048" s="163" t="str">
        <f>CONCATENATE(H8048," ",F8048,"*",L8048,"мес.","*",I8048,"/",K8048,"чел.")</f>
        <v>35 шт.*10мес.*0,00030273/6чел.</v>
      </c>
      <c r="N8048" s="164">
        <f>N7448</f>
        <v>3380.9014857142843</v>
      </c>
      <c r="O8048" s="165">
        <f t="shared" si="2312"/>
        <v>59.704184999999995</v>
      </c>
      <c r="P8048" s="166"/>
      <c r="Q8048" s="166">
        <f t="shared" si="2310"/>
        <v>358.22510999999997</v>
      </c>
      <c r="R8048" s="71"/>
    </row>
    <row r="8049" spans="1:18" s="61" customFormat="1" ht="47.25" x14ac:dyDescent="0.25">
      <c r="A8049" s="358"/>
      <c r="B8049" s="361"/>
      <c r="C8049" s="366"/>
      <c r="D8049" s="156" t="s">
        <v>36</v>
      </c>
      <c r="E8049" s="156" t="s">
        <v>31</v>
      </c>
      <c r="F8049" s="156" t="s">
        <v>224</v>
      </c>
      <c r="G8049" s="238">
        <f>MROUND(H8049*L8049*I8049/K8049,0.00000001)</f>
        <v>2.179656E-2</v>
      </c>
      <c r="H8049" s="158">
        <f>H7329</f>
        <v>36</v>
      </c>
      <c r="I8049" s="159">
        <f t="shared" si="2296"/>
        <v>3.0273000000000002E-4</v>
      </c>
      <c r="J8049" s="160"/>
      <c r="K8049" s="161">
        <f>K8048</f>
        <v>6</v>
      </c>
      <c r="L8049" s="250">
        <v>12</v>
      </c>
      <c r="M8049" s="163" t="str">
        <f>CONCATENATE(H8049," ",F8049,"*",L8049,"мес.","*",I8049,"/",K8049,"чел.")</f>
        <v>36 устройств*12мес.*0,00030273/6чел.</v>
      </c>
      <c r="N8049" s="164">
        <f>N6849</f>
        <v>1269.5381481481488</v>
      </c>
      <c r="O8049" s="165">
        <f t="shared" si="2312"/>
        <v>27.671564</v>
      </c>
      <c r="P8049" s="166"/>
      <c r="Q8049" s="166">
        <f t="shared" si="2310"/>
        <v>166.02938399999999</v>
      </c>
      <c r="R8049" s="71"/>
    </row>
    <row r="8050" spans="1:18" s="61" customFormat="1" ht="31.5" x14ac:dyDescent="0.25">
      <c r="A8050" s="358"/>
      <c r="B8050" s="361"/>
      <c r="C8050" s="366"/>
      <c r="D8050" s="156" t="s">
        <v>99</v>
      </c>
      <c r="E8050" s="156" t="s">
        <v>103</v>
      </c>
      <c r="F8050" s="156" t="s">
        <v>225</v>
      </c>
      <c r="G8050" s="238">
        <f>MROUND(H8050*L8050*I8050/K8050,0.00000001)</f>
        <v>1.014146E-2</v>
      </c>
      <c r="H8050" s="158">
        <f>H6850</f>
        <v>201</v>
      </c>
      <c r="I8050" s="159">
        <f t="shared" si="2296"/>
        <v>3.0273000000000002E-4</v>
      </c>
      <c r="J8050" s="160"/>
      <c r="K8050" s="161">
        <f>K8049</f>
        <v>6</v>
      </c>
      <c r="L8050" s="250">
        <v>1</v>
      </c>
      <c r="M8050" s="163" t="str">
        <f>CONCATENATE(H8050," ",F8050,"*",I8050,"/",K8050,"чел.")</f>
        <v>201 ед.*0,00030273/6чел.</v>
      </c>
      <c r="N8050" s="164">
        <f>N6850</f>
        <v>15000</v>
      </c>
      <c r="O8050" s="165">
        <f t="shared" si="2312"/>
        <v>152.12189999999998</v>
      </c>
      <c r="P8050" s="166"/>
      <c r="Q8050" s="166">
        <f t="shared" si="2310"/>
        <v>912.73139999999989</v>
      </c>
      <c r="R8050" s="71"/>
    </row>
    <row r="8051" spans="1:18" s="61" customFormat="1" x14ac:dyDescent="0.25">
      <c r="A8051" s="358"/>
      <c r="B8051" s="361"/>
      <c r="C8051" s="366"/>
      <c r="D8051" s="156" t="s">
        <v>27</v>
      </c>
      <c r="E8051" s="156" t="s">
        <v>28</v>
      </c>
      <c r="F8051" s="156" t="s">
        <v>28</v>
      </c>
      <c r="G8051" s="238">
        <f>MROUND(H8051*L8051*I8051/K8051,0.000000001)</f>
        <v>0.21140645000000002</v>
      </c>
      <c r="H8051" s="160">
        <f>H6851</f>
        <v>4190</v>
      </c>
      <c r="I8051" s="159">
        <f t="shared" si="2296"/>
        <v>3.0273000000000002E-4</v>
      </c>
      <c r="J8051" s="160"/>
      <c r="K8051" s="161">
        <f>K8050</f>
        <v>6</v>
      </c>
      <c r="L8051" s="250">
        <v>1</v>
      </c>
      <c r="M8051" s="163" t="str">
        <f>CONCATENATE(H8051," ",F8051,"*",I8051,"/",K8051,"чел.")</f>
        <v>4190 шт*0,00030273/6чел.</v>
      </c>
      <c r="N8051" s="164">
        <f>N6851</f>
        <v>435.13600000000008</v>
      </c>
      <c r="O8051" s="165">
        <f t="shared" si="2312"/>
        <v>91.990556999999995</v>
      </c>
      <c r="P8051" s="166"/>
      <c r="Q8051" s="166">
        <f t="shared" si="2310"/>
        <v>551.94334200000003</v>
      </c>
      <c r="R8051" s="71"/>
    </row>
    <row r="8052" spans="1:18" s="61" customFormat="1" ht="31.5" x14ac:dyDescent="0.25">
      <c r="A8052" s="358"/>
      <c r="B8052" s="361"/>
      <c r="C8052" s="367"/>
      <c r="D8052" s="156" t="s">
        <v>104</v>
      </c>
      <c r="E8052" s="156" t="s">
        <v>105</v>
      </c>
      <c r="F8052" s="156" t="s">
        <v>226</v>
      </c>
      <c r="G8052" s="238">
        <f>MROUND(H8052*L8052*I8052/K8052,0.00000001)</f>
        <v>1.81638E-3</v>
      </c>
      <c r="H8052" s="160">
        <f>H6972</f>
        <v>36</v>
      </c>
      <c r="I8052" s="159">
        <f t="shared" si="2296"/>
        <v>3.0273000000000002E-4</v>
      </c>
      <c r="J8052" s="160"/>
      <c r="K8052" s="161">
        <f>K8051</f>
        <v>6</v>
      </c>
      <c r="L8052" s="250">
        <v>1</v>
      </c>
      <c r="M8052" s="163" t="str">
        <f>CONCATENATE(H8052," ",F8052,"*",I8052,"/",K8052,"чел.")</f>
        <v>36 отключений*0,00030273/6чел.</v>
      </c>
      <c r="N8052" s="164">
        <f>N6852</f>
        <v>10671.710000000006</v>
      </c>
      <c r="O8052" s="165">
        <f t="shared" si="2312"/>
        <v>19.383880999999999</v>
      </c>
      <c r="P8052" s="166"/>
      <c r="Q8052" s="166">
        <f t="shared" si="2310"/>
        <v>116.30328599999999</v>
      </c>
      <c r="R8052" s="71"/>
    </row>
    <row r="8053" spans="1:18" s="62" customFormat="1" x14ac:dyDescent="0.25">
      <c r="A8053" s="358"/>
      <c r="B8053" s="361"/>
      <c r="C8053" s="249" t="s">
        <v>292</v>
      </c>
      <c r="D8053" s="240"/>
      <c r="E8053" s="240"/>
      <c r="F8053" s="240"/>
      <c r="G8053" s="227"/>
      <c r="H8053" s="228"/>
      <c r="I8053" s="206"/>
      <c r="J8053" s="228"/>
      <c r="K8053" s="207"/>
      <c r="L8053" s="257"/>
      <c r="M8053" s="209"/>
      <c r="N8053" s="210"/>
      <c r="O8053" s="198">
        <f>SUM(O8037:O8052)</f>
        <v>609.23516540999992</v>
      </c>
      <c r="P8053" s="267"/>
      <c r="Q8053" s="166"/>
      <c r="R8053" s="71"/>
    </row>
    <row r="8054" spans="1:18" s="61" customFormat="1" ht="31.5" x14ac:dyDescent="0.25">
      <c r="A8054" s="358"/>
      <c r="B8054" s="361"/>
      <c r="C8054" s="221" t="s">
        <v>79</v>
      </c>
      <c r="D8054" s="156" t="s">
        <v>37</v>
      </c>
      <c r="E8054" s="156" t="s">
        <v>61</v>
      </c>
      <c r="F8054" s="156" t="s">
        <v>227</v>
      </c>
      <c r="G8054" s="238">
        <f>MROUND(H8054*L8054*I8054/K8054,0.000000001)</f>
        <v>2.0182000000000002E-4</v>
      </c>
      <c r="H8054" s="158">
        <f>H6854</f>
        <v>4</v>
      </c>
      <c r="I8054" s="159">
        <f>I8052</f>
        <v>3.0273000000000002E-4</v>
      </c>
      <c r="J8054" s="160"/>
      <c r="K8054" s="161">
        <f>K8052</f>
        <v>6</v>
      </c>
      <c r="L8054" s="250">
        <v>1</v>
      </c>
      <c r="M8054" s="163" t="str">
        <f>CONCATENATE(H8054," ",F8054,"*",I8054,"/",K8054,"чел.")</f>
        <v>4 автобуса*0,00030273/6чел.</v>
      </c>
      <c r="N8054" s="164">
        <f>N6854</f>
        <v>37900.35</v>
      </c>
      <c r="O8054" s="165">
        <f>MROUND(G8054*N8054,0.000001)</f>
        <v>7.6490489999999998</v>
      </c>
      <c r="P8054" s="166"/>
      <c r="Q8054" s="166">
        <f t="shared" ref="Q8054" si="2313">O8054*K8054</f>
        <v>45.894294000000002</v>
      </c>
      <c r="R8054" s="71"/>
    </row>
    <row r="8055" spans="1:18" s="62" customFormat="1" x14ac:dyDescent="0.25">
      <c r="A8055" s="358"/>
      <c r="B8055" s="361"/>
      <c r="C8055" s="218" t="s">
        <v>295</v>
      </c>
      <c r="D8055" s="240"/>
      <c r="E8055" s="240"/>
      <c r="F8055" s="240"/>
      <c r="G8055" s="227"/>
      <c r="H8055" s="241"/>
      <c r="I8055" s="206"/>
      <c r="J8055" s="228"/>
      <c r="K8055" s="207"/>
      <c r="L8055" s="257"/>
      <c r="M8055" s="209"/>
      <c r="N8055" s="210"/>
      <c r="O8055" s="198">
        <f>SUM(O8054)</f>
        <v>7.6490489999999998</v>
      </c>
      <c r="P8055" s="267"/>
      <c r="Q8055" s="166"/>
      <c r="R8055" s="71"/>
    </row>
    <row r="8056" spans="1:18" s="61" customFormat="1" x14ac:dyDescent="0.25">
      <c r="A8056" s="358"/>
      <c r="B8056" s="361"/>
      <c r="C8056" s="364" t="s">
        <v>80</v>
      </c>
      <c r="D8056" s="156" t="s">
        <v>38</v>
      </c>
      <c r="E8056" s="156" t="s">
        <v>57</v>
      </c>
      <c r="F8056" s="156" t="s">
        <v>228</v>
      </c>
      <c r="G8056" s="238">
        <f>MROUND(H8056*L8056*I8056/K8056,0.0000000001)</f>
        <v>2.179656E-2</v>
      </c>
      <c r="H8056" s="158">
        <f>H6856</f>
        <v>36</v>
      </c>
      <c r="I8056" s="159">
        <f>I8054</f>
        <v>3.0273000000000002E-4</v>
      </c>
      <c r="J8056" s="160"/>
      <c r="K8056" s="161">
        <f>K8054</f>
        <v>6</v>
      </c>
      <c r="L8056" s="250">
        <v>12</v>
      </c>
      <c r="M8056" s="163" t="str">
        <f>CONCATENATE(H8056," ",F8056,"*",L8056,"мес.","*",I8056,"/",K8056,"чел.")</f>
        <v>36 зданий*12мес.*0,00030273/6чел.</v>
      </c>
      <c r="N8056" s="164">
        <f t="shared" ref="N8056:N8064" si="2314">N6856</f>
        <v>5106.1928935185206</v>
      </c>
      <c r="O8056" s="165">
        <f>MROUND(G8056*N8056,0.000001)</f>
        <v>111.29743999999999</v>
      </c>
      <c r="P8056" s="166"/>
      <c r="Q8056" s="166">
        <f t="shared" ref="Q8056:Q8069" si="2315">O8056*K8056</f>
        <v>667.78463999999997</v>
      </c>
      <c r="R8056" s="71"/>
    </row>
    <row r="8057" spans="1:18" s="61" customFormat="1" ht="47.25" x14ac:dyDescent="0.25">
      <c r="A8057" s="358"/>
      <c r="B8057" s="361"/>
      <c r="C8057" s="364"/>
      <c r="D8057" s="156" t="s">
        <v>229</v>
      </c>
      <c r="E8057" s="156" t="s">
        <v>60</v>
      </c>
      <c r="F8057" s="156" t="s">
        <v>60</v>
      </c>
      <c r="G8057" s="238">
        <f>MROUND(H8057*L8057*I8057/K8057,0.000001)</f>
        <v>0.12078899999999999</v>
      </c>
      <c r="H8057" s="158">
        <f>H6857</f>
        <v>2394</v>
      </c>
      <c r="I8057" s="159">
        <f>I8056</f>
        <v>3.0273000000000002E-4</v>
      </c>
      <c r="J8057" s="160"/>
      <c r="K8057" s="161">
        <f>K8056</f>
        <v>6</v>
      </c>
      <c r="L8057" s="250">
        <v>1</v>
      </c>
      <c r="M8057" s="163" t="str">
        <f t="shared" ref="M8057:M8064" si="2316">CONCATENATE(H8057," ",F8057,"*",I8057,"/",K8057,"чел.")</f>
        <v>2394 шт.*0,00030273/6чел.</v>
      </c>
      <c r="N8057" s="164">
        <f t="shared" si="2314"/>
        <v>177.86185045948207</v>
      </c>
      <c r="O8057" s="165">
        <f>MROUND(G8057*N8057,0.000001)</f>
        <v>21.483754999999999</v>
      </c>
      <c r="P8057" s="166"/>
      <c r="Q8057" s="166">
        <f t="shared" si="2315"/>
        <v>128.90252999999998</v>
      </c>
      <c r="R8057" s="71"/>
    </row>
    <row r="8058" spans="1:18" s="61" customFormat="1" ht="47.25" x14ac:dyDescent="0.25">
      <c r="A8058" s="358"/>
      <c r="B8058" s="361"/>
      <c r="C8058" s="364"/>
      <c r="D8058" s="156" t="s">
        <v>405</v>
      </c>
      <c r="E8058" s="156" t="s">
        <v>60</v>
      </c>
      <c r="F8058" s="156" t="s">
        <v>406</v>
      </c>
      <c r="G8058" s="238">
        <f>MROUND(H8058*L8058*I8058/K8058,0.00000001)</f>
        <v>1.81638E-3</v>
      </c>
      <c r="H8058" s="158">
        <f>H7098</f>
        <v>36</v>
      </c>
      <c r="I8058" s="159">
        <f>I8057</f>
        <v>3.0273000000000002E-4</v>
      </c>
      <c r="J8058" s="160"/>
      <c r="K8058" s="161">
        <f>K8057</f>
        <v>6</v>
      </c>
      <c r="L8058" s="250">
        <v>1</v>
      </c>
      <c r="M8058" s="163" t="str">
        <f t="shared" si="2316"/>
        <v>36 лицензий*0,00030273/6чел.</v>
      </c>
      <c r="N8058" s="164">
        <f t="shared" si="2314"/>
        <v>13043.200000000006</v>
      </c>
      <c r="O8058" s="165">
        <f t="shared" ref="O8058:O8067" si="2317">MROUND(G8058*N8058,0.000001)</f>
        <v>23.691407999999999</v>
      </c>
      <c r="P8058" s="166"/>
      <c r="Q8058" s="166">
        <f t="shared" si="2315"/>
        <v>142.148448</v>
      </c>
      <c r="R8058" s="71"/>
    </row>
    <row r="8059" spans="1:18" s="61" customFormat="1" ht="63" x14ac:dyDescent="0.25">
      <c r="A8059" s="358"/>
      <c r="B8059" s="361"/>
      <c r="C8059" s="364"/>
      <c r="D8059" s="156" t="s">
        <v>39</v>
      </c>
      <c r="E8059" s="156" t="s">
        <v>20</v>
      </c>
      <c r="F8059" s="156" t="s">
        <v>234</v>
      </c>
      <c r="G8059" s="238">
        <f>MROUND(H8059*L8059*I8059/K8059,0.000000001)</f>
        <v>5.9536900000000002E-3</v>
      </c>
      <c r="H8059" s="158">
        <f>H7579</f>
        <v>118</v>
      </c>
      <c r="I8059" s="159">
        <f>I8057</f>
        <v>3.0273000000000002E-4</v>
      </c>
      <c r="J8059" s="160"/>
      <c r="K8059" s="161">
        <f>K8057</f>
        <v>6</v>
      </c>
      <c r="L8059" s="250">
        <v>1</v>
      </c>
      <c r="M8059" s="163" t="str">
        <f t="shared" si="2316"/>
        <v>118 чел(заявленная потребность руководителями учреждений)*0,00030273/6чел.</v>
      </c>
      <c r="N8059" s="164">
        <f t="shared" si="2314"/>
        <v>830.02203389830515</v>
      </c>
      <c r="O8059" s="165">
        <f t="shared" si="2317"/>
        <v>4.941694</v>
      </c>
      <c r="P8059" s="166"/>
      <c r="Q8059" s="166">
        <f t="shared" si="2315"/>
        <v>29.650164</v>
      </c>
      <c r="R8059" s="71"/>
    </row>
    <row r="8060" spans="1:18" s="61" customFormat="1" ht="63" x14ac:dyDescent="0.25">
      <c r="A8060" s="358"/>
      <c r="B8060" s="361"/>
      <c r="C8060" s="364"/>
      <c r="D8060" s="156" t="s">
        <v>40</v>
      </c>
      <c r="E8060" s="156" t="s">
        <v>20</v>
      </c>
      <c r="F8060" s="156" t="s">
        <v>234</v>
      </c>
      <c r="G8060" s="238">
        <f>MROUND(H8060*L8060*I8060/K8060,0.000000001)</f>
        <v>4.8436800000000004E-3</v>
      </c>
      <c r="H8060" s="158">
        <f>H7580</f>
        <v>96</v>
      </c>
      <c r="I8060" s="159">
        <f t="shared" ref="I8060:I8067" si="2318">I8059</f>
        <v>3.0273000000000002E-4</v>
      </c>
      <c r="J8060" s="160"/>
      <c r="K8060" s="161">
        <f t="shared" ref="K8060:K8067" si="2319">K8059</f>
        <v>6</v>
      </c>
      <c r="L8060" s="250">
        <v>1</v>
      </c>
      <c r="M8060" s="163" t="str">
        <f t="shared" si="2316"/>
        <v>96 чел(заявленная потребность руководителями учреждений)*0,00030273/6чел.</v>
      </c>
      <c r="N8060" s="164">
        <f t="shared" si="2314"/>
        <v>1778.6189583333326</v>
      </c>
      <c r="O8060" s="165">
        <f t="shared" si="2317"/>
        <v>8.615060999999999</v>
      </c>
      <c r="P8060" s="166"/>
      <c r="Q8060" s="166">
        <f t="shared" si="2315"/>
        <v>51.690365999999997</v>
      </c>
      <c r="R8060" s="71"/>
    </row>
    <row r="8061" spans="1:18" s="61" customFormat="1" ht="63" x14ac:dyDescent="0.25">
      <c r="A8061" s="358"/>
      <c r="B8061" s="361"/>
      <c r="C8061" s="364"/>
      <c r="D8061" s="156" t="s">
        <v>100</v>
      </c>
      <c r="E8061" s="156" t="s">
        <v>20</v>
      </c>
      <c r="F8061" s="156" t="s">
        <v>234</v>
      </c>
      <c r="G8061" s="238">
        <f>MROUND(H8061*L8061*I8061/K8061,0.0000000001)</f>
        <v>4.0868550000000003E-3</v>
      </c>
      <c r="H8061" s="158">
        <f>H7581</f>
        <v>81</v>
      </c>
      <c r="I8061" s="159">
        <f t="shared" si="2318"/>
        <v>3.0273000000000002E-4</v>
      </c>
      <c r="J8061" s="160"/>
      <c r="K8061" s="161">
        <f t="shared" si="2319"/>
        <v>6</v>
      </c>
      <c r="L8061" s="250">
        <v>1</v>
      </c>
      <c r="M8061" s="163" t="str">
        <f t="shared" si="2316"/>
        <v>81 чел(заявленная потребность руководителями учреждений)*0,00030273/6чел.</v>
      </c>
      <c r="N8061" s="164">
        <f t="shared" si="2314"/>
        <v>3794.386419753087</v>
      </c>
      <c r="O8061" s="165">
        <f t="shared" si="2317"/>
        <v>15.507107</v>
      </c>
      <c r="P8061" s="166"/>
      <c r="Q8061" s="166">
        <f t="shared" si="2315"/>
        <v>93.042642000000001</v>
      </c>
      <c r="R8061" s="71"/>
    </row>
    <row r="8062" spans="1:18" s="61" customFormat="1" ht="110.25" x14ac:dyDescent="0.25">
      <c r="A8062" s="358"/>
      <c r="B8062" s="361"/>
      <c r="C8062" s="364"/>
      <c r="D8062" s="156" t="s">
        <v>235</v>
      </c>
      <c r="E8062" s="156" t="s">
        <v>50</v>
      </c>
      <c r="F8062" s="156" t="s">
        <v>230</v>
      </c>
      <c r="G8062" s="238">
        <f>MROUND(H8062*L8062*I8062/K8062,0.00000001)</f>
        <v>1.81638E-3</v>
      </c>
      <c r="H8062" s="158">
        <f>H7822</f>
        <v>36</v>
      </c>
      <c r="I8062" s="159">
        <f t="shared" si="2318"/>
        <v>3.0273000000000002E-4</v>
      </c>
      <c r="J8062" s="160"/>
      <c r="K8062" s="161">
        <f t="shared" si="2319"/>
        <v>6</v>
      </c>
      <c r="L8062" s="250">
        <v>1</v>
      </c>
      <c r="M8062" s="163" t="str">
        <f t="shared" si="2316"/>
        <v>36 отчетов*0,00030273/6чел.</v>
      </c>
      <c r="N8062" s="164">
        <f t="shared" si="2314"/>
        <v>7114.47</v>
      </c>
      <c r="O8062" s="165">
        <f t="shared" si="2317"/>
        <v>12.922580999999999</v>
      </c>
      <c r="P8062" s="166"/>
      <c r="Q8062" s="166">
        <f t="shared" si="2315"/>
        <v>77.535485999999992</v>
      </c>
      <c r="R8062" s="71"/>
    </row>
    <row r="8063" spans="1:18" s="61" customFormat="1" ht="63" x14ac:dyDescent="0.25">
      <c r="A8063" s="358"/>
      <c r="B8063" s="361"/>
      <c r="C8063" s="364"/>
      <c r="D8063" s="156" t="s">
        <v>42</v>
      </c>
      <c r="E8063" s="156" t="s">
        <v>51</v>
      </c>
      <c r="F8063" s="156" t="s">
        <v>407</v>
      </c>
      <c r="G8063" s="238">
        <f>MROUND(H8063*L8063*I8063/K8063,0.000001)</f>
        <v>1.0293E-2</v>
      </c>
      <c r="H8063" s="158">
        <f>H7583</f>
        <v>204</v>
      </c>
      <c r="I8063" s="159">
        <f t="shared" si="2318"/>
        <v>3.0273000000000002E-4</v>
      </c>
      <c r="J8063" s="160"/>
      <c r="K8063" s="161">
        <f t="shared" si="2319"/>
        <v>6</v>
      </c>
      <c r="L8063" s="250">
        <v>1</v>
      </c>
      <c r="M8063" s="163" t="str">
        <f t="shared" si="2316"/>
        <v>204 ед (заявленная потребность руководителями учреждений)*0,00030273/6чел.</v>
      </c>
      <c r="N8063" s="164">
        <f t="shared" si="2314"/>
        <v>1185.7454901960789</v>
      </c>
      <c r="O8063" s="165">
        <f t="shared" si="2317"/>
        <v>12.204877999999999</v>
      </c>
      <c r="P8063" s="166"/>
      <c r="Q8063" s="166">
        <f t="shared" si="2315"/>
        <v>73.22926799999999</v>
      </c>
      <c r="R8063" s="71"/>
    </row>
    <row r="8064" spans="1:18" s="61" customFormat="1" ht="31.5" x14ac:dyDescent="0.25">
      <c r="A8064" s="358"/>
      <c r="B8064" s="361"/>
      <c r="C8064" s="364"/>
      <c r="D8064" s="156" t="s">
        <v>43</v>
      </c>
      <c r="E8064" s="156" t="s">
        <v>52</v>
      </c>
      <c r="F8064" s="156" t="s">
        <v>231</v>
      </c>
      <c r="G8064" s="238">
        <f>MROUND(H8064*L8064*I8064/K8064,0.000000001)</f>
        <v>1.81638E-3</v>
      </c>
      <c r="H8064" s="158">
        <f>H6984</f>
        <v>36</v>
      </c>
      <c r="I8064" s="159">
        <f t="shared" si="2318"/>
        <v>3.0273000000000002E-4</v>
      </c>
      <c r="J8064" s="160"/>
      <c r="K8064" s="161">
        <f t="shared" si="2319"/>
        <v>6</v>
      </c>
      <c r="L8064" s="250">
        <v>1</v>
      </c>
      <c r="M8064" s="163" t="str">
        <f t="shared" si="2316"/>
        <v>36 ЭЦП*0,00030273/6чел.</v>
      </c>
      <c r="N8064" s="164">
        <f t="shared" si="2314"/>
        <v>8423.5400000000009</v>
      </c>
      <c r="O8064" s="165">
        <f t="shared" si="2317"/>
        <v>15.30035</v>
      </c>
      <c r="P8064" s="166"/>
      <c r="Q8064" s="166">
        <f t="shared" si="2315"/>
        <v>91.802099999999996</v>
      </c>
      <c r="R8064" s="71"/>
    </row>
    <row r="8065" spans="1:18" s="61" customFormat="1" ht="47.25" x14ac:dyDescent="0.25">
      <c r="A8065" s="358"/>
      <c r="B8065" s="361"/>
      <c r="C8065" s="364"/>
      <c r="D8065" s="156" t="s">
        <v>44</v>
      </c>
      <c r="E8065" s="156" t="s">
        <v>85</v>
      </c>
      <c r="F8065" s="156" t="s">
        <v>232</v>
      </c>
      <c r="G8065" s="238">
        <f>MROUND(H8065*L8065*I8065/K8065,0.000001)</f>
        <v>6.1352999999999998E-2</v>
      </c>
      <c r="H8065" s="158">
        <f>H6985</f>
        <v>1216</v>
      </c>
      <c r="I8065" s="159">
        <f t="shared" si="2318"/>
        <v>3.0273000000000002E-4</v>
      </c>
      <c r="J8065" s="160"/>
      <c r="K8065" s="161">
        <f t="shared" si="2319"/>
        <v>6</v>
      </c>
      <c r="L8065" s="250">
        <v>1</v>
      </c>
      <c r="M8065" s="163" t="str">
        <f>CONCATENATE(H8065," ",F8065,"*",L8065,"мес.","*",I8065,"/",K8065,"чел.")</f>
        <v>1216 мед.осмотров в мес.*1мес.*0,00030273/6чел.</v>
      </c>
      <c r="N8065" s="164">
        <f>N6985</f>
        <v>61.65877467105264</v>
      </c>
      <c r="O8065" s="165">
        <f t="shared" si="2317"/>
        <v>3.7829509999999997</v>
      </c>
      <c r="P8065" s="166"/>
      <c r="Q8065" s="166">
        <f t="shared" si="2315"/>
        <v>22.697705999999997</v>
      </c>
      <c r="R8065" s="71"/>
    </row>
    <row r="8066" spans="1:18" s="61" customFormat="1" ht="63" x14ac:dyDescent="0.25">
      <c r="A8066" s="358"/>
      <c r="B8066" s="361"/>
      <c r="C8066" s="364"/>
      <c r="D8066" s="156" t="s">
        <v>45</v>
      </c>
      <c r="E8066" s="156" t="s">
        <v>53</v>
      </c>
      <c r="F8066" s="156" t="s">
        <v>233</v>
      </c>
      <c r="G8066" s="238">
        <f>MROUND(H8066*L8066*I8066/K8066,0.000000001)</f>
        <v>2.4218400000000002E-3</v>
      </c>
      <c r="H8066" s="158">
        <f>H7586</f>
        <v>4</v>
      </c>
      <c r="I8066" s="159">
        <f t="shared" si="2318"/>
        <v>3.0273000000000002E-4</v>
      </c>
      <c r="J8066" s="160"/>
      <c r="K8066" s="161">
        <f t="shared" si="2319"/>
        <v>6</v>
      </c>
      <c r="L8066" s="250">
        <v>12</v>
      </c>
      <c r="M8066" s="163" t="str">
        <f>CONCATENATE(H8066," ",F8066,"*",L8066,"мес.","*",I8066,"/",K8066,"чел.")</f>
        <v>4  машины, оборудованных системой ГЛОНАСС*12мес.*0,00030273/6чел.</v>
      </c>
      <c r="N8066" s="164">
        <f>N6866</f>
        <v>958.08249999999998</v>
      </c>
      <c r="O8066" s="165">
        <f t="shared" si="2317"/>
        <v>2.3203229999999997</v>
      </c>
      <c r="P8066" s="166"/>
      <c r="Q8066" s="166">
        <f t="shared" si="2315"/>
        <v>13.921937999999997</v>
      </c>
      <c r="R8066" s="71"/>
    </row>
    <row r="8067" spans="1:18" s="61" customFormat="1" ht="31.5" x14ac:dyDescent="0.25">
      <c r="A8067" s="358"/>
      <c r="B8067" s="361"/>
      <c r="C8067" s="364"/>
      <c r="D8067" s="156" t="s">
        <v>408</v>
      </c>
      <c r="E8067" s="156" t="s">
        <v>20</v>
      </c>
      <c r="F8067" s="156" t="s">
        <v>20</v>
      </c>
      <c r="G8067" s="238">
        <f>MROUND(H8067*L8067*I8067/K8067,0.000000001)</f>
        <v>8.5622135000000002E-2</v>
      </c>
      <c r="H8067" s="158">
        <f>H6867</f>
        <v>1697</v>
      </c>
      <c r="I8067" s="159">
        <f t="shared" si="2318"/>
        <v>3.0273000000000002E-4</v>
      </c>
      <c r="J8067" s="160"/>
      <c r="K8067" s="161">
        <f t="shared" si="2319"/>
        <v>6</v>
      </c>
      <c r="L8067" s="250">
        <v>1</v>
      </c>
      <c r="M8067" s="163" t="str">
        <f>CONCATENATE(H8067," ",F8067,"*",L8067," раз в год","*",I8067,"/",K8067,"чел.")</f>
        <v>1697 чел.*1 раз в год*0,00030273/6чел.</v>
      </c>
      <c r="N8067" s="164">
        <f>N6867</f>
        <v>592.87278137890405</v>
      </c>
      <c r="O8067" s="165">
        <f t="shared" si="2317"/>
        <v>50.763033</v>
      </c>
      <c r="P8067" s="166"/>
      <c r="Q8067" s="166">
        <f t="shared" si="2315"/>
        <v>304.57819799999999</v>
      </c>
      <c r="R8067" s="71"/>
    </row>
    <row r="8068" spans="1:18" s="61" customFormat="1" x14ac:dyDescent="0.25">
      <c r="A8068" s="358"/>
      <c r="B8068" s="361"/>
      <c r="C8068" s="364"/>
      <c r="D8068" s="156" t="s">
        <v>373</v>
      </c>
      <c r="E8068" s="156" t="s">
        <v>28</v>
      </c>
      <c r="F8068" s="156" t="s">
        <v>28</v>
      </c>
      <c r="G8068" s="157">
        <f>MROUND(H8068*L8068*I8068/K8068,0.000000001)</f>
        <v>1.81638E-3</v>
      </c>
      <c r="H8068" s="158">
        <f>H6869</f>
        <v>36</v>
      </c>
      <c r="I8068" s="159">
        <f>I8066</f>
        <v>3.0273000000000002E-4</v>
      </c>
      <c r="J8068" s="160"/>
      <c r="K8068" s="161">
        <f>K8066</f>
        <v>6</v>
      </c>
      <c r="L8068" s="162">
        <v>1</v>
      </c>
      <c r="M8068" s="163" t="str">
        <f>CONCATENATE(H8068," ",F8068,"*",L8068,"мес.","*",I8068,"/",K8068,"чел.")</f>
        <v>36 шт*1мес.*0,00030273/6чел.</v>
      </c>
      <c r="N8068" s="164">
        <f>N6869</f>
        <v>24000</v>
      </c>
      <c r="O8068" s="165">
        <f>MROUND(G8068*N8068,0.000000001)</f>
        <v>43.593120000000006</v>
      </c>
      <c r="P8068" s="166"/>
      <c r="Q8068" s="166">
        <f t="shared" si="2315"/>
        <v>261.55872000000005</v>
      </c>
      <c r="R8068" s="71"/>
    </row>
    <row r="8069" spans="1:18" s="61" customFormat="1" ht="31.5" x14ac:dyDescent="0.25">
      <c r="A8069" s="358"/>
      <c r="B8069" s="361"/>
      <c r="C8069" s="364"/>
      <c r="D8069" s="156" t="s">
        <v>106</v>
      </c>
      <c r="E8069" s="156" t="s">
        <v>107</v>
      </c>
      <c r="F8069" s="156"/>
      <c r="G8069" s="238">
        <f>MROUND(H8069*L8069*I8069/K8069,0.000000001)</f>
        <v>0</v>
      </c>
      <c r="H8069" s="158">
        <f>H6868</f>
        <v>0</v>
      </c>
      <c r="I8069" s="159">
        <f>I8066</f>
        <v>3.0273000000000002E-4</v>
      </c>
      <c r="J8069" s="160"/>
      <c r="K8069" s="161">
        <f>K8066</f>
        <v>6</v>
      </c>
      <c r="L8069" s="250">
        <f>L7229</f>
        <v>0</v>
      </c>
      <c r="M8069" s="163"/>
      <c r="N8069" s="164">
        <f>N6868</f>
        <v>6.0000000000000002E-5</v>
      </c>
      <c r="O8069" s="165">
        <f>MROUND(G8069*N8069,0.000000001)</f>
        <v>0</v>
      </c>
      <c r="P8069" s="166"/>
      <c r="Q8069" s="166">
        <f t="shared" si="2315"/>
        <v>0</v>
      </c>
      <c r="R8069" s="71"/>
    </row>
    <row r="8070" spans="1:18" s="62" customFormat="1" x14ac:dyDescent="0.25">
      <c r="A8070" s="358"/>
      <c r="B8070" s="361"/>
      <c r="C8070" s="245" t="s">
        <v>296</v>
      </c>
      <c r="D8070" s="240"/>
      <c r="E8070" s="240"/>
      <c r="F8070" s="240"/>
      <c r="G8070" s="227"/>
      <c r="H8070" s="241"/>
      <c r="I8070" s="206"/>
      <c r="J8070" s="228"/>
      <c r="K8070" s="207"/>
      <c r="L8070" s="257"/>
      <c r="M8070" s="209"/>
      <c r="N8070" s="210"/>
      <c r="O8070" s="198">
        <f>SUM(O8056:O8069)</f>
        <v>326.42370099999999</v>
      </c>
      <c r="P8070" s="267"/>
      <c r="Q8070" s="166"/>
      <c r="R8070" s="71"/>
    </row>
    <row r="8071" spans="1:18" s="61" customFormat="1" ht="31.5" x14ac:dyDescent="0.25">
      <c r="A8071" s="358"/>
      <c r="B8071" s="361"/>
      <c r="C8071" s="252" t="s">
        <v>237</v>
      </c>
      <c r="D8071" s="156" t="s">
        <v>41</v>
      </c>
      <c r="E8071" s="156" t="s">
        <v>61</v>
      </c>
      <c r="F8071" s="156" t="s">
        <v>227</v>
      </c>
      <c r="G8071" s="238">
        <f>MROUND(H8071*L8071*I8071/K8071,0.000000001)</f>
        <v>2.0182000000000002E-4</v>
      </c>
      <c r="H8071" s="158">
        <f>H6991</f>
        <v>4</v>
      </c>
      <c r="I8071" s="159">
        <f>I8069</f>
        <v>3.0273000000000002E-4</v>
      </c>
      <c r="J8071" s="160"/>
      <c r="K8071" s="161">
        <f>K8069</f>
        <v>6</v>
      </c>
      <c r="L8071" s="250">
        <v>1</v>
      </c>
      <c r="M8071" s="163" t="str">
        <f>CONCATENATE(H8071," ",F8071,"*",I8071,"/",K8071,"чел.")</f>
        <v>4 автобуса*0,00030273/6чел.</v>
      </c>
      <c r="N8071" s="164">
        <f>N6871</f>
        <v>27983.595000000001</v>
      </c>
      <c r="O8071" s="165">
        <f>MROUND(G8071*N8071,0.000001)</f>
        <v>5.6476489999999995</v>
      </c>
      <c r="P8071" s="166"/>
      <c r="Q8071" s="166">
        <f t="shared" ref="Q8071" si="2320">O8071*K8071</f>
        <v>33.885893999999993</v>
      </c>
      <c r="R8071" s="71"/>
    </row>
    <row r="8072" spans="1:18" s="62" customFormat="1" x14ac:dyDescent="0.25">
      <c r="A8072" s="358"/>
      <c r="B8072" s="361"/>
      <c r="C8072" s="245" t="s">
        <v>297</v>
      </c>
      <c r="D8072" s="240"/>
      <c r="E8072" s="240"/>
      <c r="F8072" s="240"/>
      <c r="G8072" s="227"/>
      <c r="H8072" s="241"/>
      <c r="I8072" s="206"/>
      <c r="J8072" s="228"/>
      <c r="K8072" s="207"/>
      <c r="L8072" s="257"/>
      <c r="M8072" s="209"/>
      <c r="N8072" s="210"/>
      <c r="O8072" s="198">
        <f>SUM(O8071)</f>
        <v>5.6476489999999995</v>
      </c>
      <c r="P8072" s="267"/>
      <c r="Q8072" s="166"/>
      <c r="R8072" s="71"/>
    </row>
    <row r="8073" spans="1:18" s="61" customFormat="1" ht="78.75" x14ac:dyDescent="0.25">
      <c r="A8073" s="358"/>
      <c r="B8073" s="361"/>
      <c r="C8073" s="221" t="s">
        <v>236</v>
      </c>
      <c r="D8073" s="156" t="s">
        <v>19</v>
      </c>
      <c r="E8073" s="181" t="s">
        <v>20</v>
      </c>
      <c r="F8073" s="181" t="s">
        <v>238</v>
      </c>
      <c r="G8073" s="238">
        <f>MROUND(H8073*L8073*I8073/K8073,0.000001)</f>
        <v>0</v>
      </c>
      <c r="H8073" s="158"/>
      <c r="I8073" s="159">
        <f>I8069</f>
        <v>3.0273000000000002E-4</v>
      </c>
      <c r="J8073" s="160"/>
      <c r="K8073" s="161">
        <f>K8069</f>
        <v>6</v>
      </c>
      <c r="L8073" s="250"/>
      <c r="M8073" s="163"/>
      <c r="N8073" s="164"/>
      <c r="O8073" s="165">
        <f>MROUND(G8073*N8073,0.000001)</f>
        <v>0</v>
      </c>
      <c r="P8073" s="166"/>
      <c r="Q8073" s="166">
        <f t="shared" ref="Q8073" si="2321">O8073*K8073</f>
        <v>0</v>
      </c>
      <c r="R8073" s="71"/>
    </row>
    <row r="8074" spans="1:18" s="62" customFormat="1" x14ac:dyDescent="0.25">
      <c r="A8074" s="358"/>
      <c r="B8074" s="361"/>
      <c r="C8074" s="245" t="s">
        <v>298</v>
      </c>
      <c r="D8074" s="240"/>
      <c r="E8074" s="253"/>
      <c r="F8074" s="253"/>
      <c r="G8074" s="227"/>
      <c r="H8074" s="241"/>
      <c r="I8074" s="206"/>
      <c r="J8074" s="228"/>
      <c r="K8074" s="207"/>
      <c r="L8074" s="257"/>
      <c r="M8074" s="209"/>
      <c r="N8074" s="210"/>
      <c r="O8074" s="198">
        <f>SUM(O8073)</f>
        <v>0</v>
      </c>
      <c r="P8074" s="267"/>
      <c r="Q8074" s="166"/>
      <c r="R8074" s="71"/>
    </row>
    <row r="8075" spans="1:18" s="61" customFormat="1" ht="30" x14ac:dyDescent="0.25">
      <c r="A8075" s="358"/>
      <c r="B8075" s="361"/>
      <c r="C8075" s="365" t="s">
        <v>81</v>
      </c>
      <c r="D8075" s="254" t="s">
        <v>410</v>
      </c>
      <c r="E8075" s="156" t="s">
        <v>28</v>
      </c>
      <c r="F8075" s="156" t="s">
        <v>28</v>
      </c>
      <c r="G8075" s="238">
        <f>MROUND(H8075*L8075*I8075/K8075,0.0000000001)</f>
        <v>0</v>
      </c>
      <c r="H8075" s="158"/>
      <c r="I8075" s="159">
        <f>I8069</f>
        <v>3.0273000000000002E-4</v>
      </c>
      <c r="J8075" s="160"/>
      <c r="K8075" s="161">
        <f>K8069</f>
        <v>6</v>
      </c>
      <c r="L8075" s="250">
        <v>1</v>
      </c>
      <c r="M8075" s="163"/>
      <c r="N8075" s="164"/>
      <c r="O8075" s="165">
        <f>MROUND(G8075*N8075,0.000001)</f>
        <v>0</v>
      </c>
      <c r="P8075" s="166"/>
      <c r="Q8075" s="166">
        <f t="shared" ref="Q8075:Q8098" si="2322">O8075*K8075</f>
        <v>0</v>
      </c>
      <c r="R8075" s="71"/>
    </row>
    <row r="8076" spans="1:18" s="61" customFormat="1" x14ac:dyDescent="0.25">
      <c r="A8076" s="358"/>
      <c r="B8076" s="361"/>
      <c r="C8076" s="366"/>
      <c r="D8076" s="254" t="s">
        <v>325</v>
      </c>
      <c r="E8076" s="156" t="s">
        <v>28</v>
      </c>
      <c r="F8076" s="156" t="s">
        <v>28</v>
      </c>
      <c r="G8076" s="157">
        <f>MROUND(H8076*L8076*I8076/K8076,0.0000000001)</f>
        <v>0</v>
      </c>
      <c r="H8076" s="158"/>
      <c r="I8076" s="159">
        <f>I8075</f>
        <v>3.0273000000000002E-4</v>
      </c>
      <c r="J8076" s="160"/>
      <c r="K8076" s="161">
        <f>K8075</f>
        <v>6</v>
      </c>
      <c r="L8076" s="250">
        <v>1</v>
      </c>
      <c r="M8076" s="163"/>
      <c r="N8076" s="164"/>
      <c r="O8076" s="165">
        <f>MROUND(G8076*N8076,0.000001)</f>
        <v>0</v>
      </c>
      <c r="P8076" s="166"/>
      <c r="Q8076" s="166">
        <f t="shared" si="2322"/>
        <v>0</v>
      </c>
      <c r="R8076" s="71"/>
    </row>
    <row r="8077" spans="1:18" s="61" customFormat="1" ht="30" x14ac:dyDescent="0.25">
      <c r="A8077" s="358"/>
      <c r="B8077" s="361"/>
      <c r="C8077" s="366"/>
      <c r="D8077" s="254" t="s">
        <v>411</v>
      </c>
      <c r="E8077" s="156" t="s">
        <v>28</v>
      </c>
      <c r="F8077" s="156" t="s">
        <v>28</v>
      </c>
      <c r="G8077" s="238">
        <f>MROUND(H8077*L8077*I8077/K8077,0.00000001)</f>
        <v>0</v>
      </c>
      <c r="H8077" s="158"/>
      <c r="I8077" s="159">
        <f>I8075</f>
        <v>3.0273000000000002E-4</v>
      </c>
      <c r="J8077" s="160"/>
      <c r="K8077" s="161">
        <f>K8075</f>
        <v>6</v>
      </c>
      <c r="L8077" s="250">
        <v>1</v>
      </c>
      <c r="M8077" s="163"/>
      <c r="N8077" s="164"/>
      <c r="O8077" s="165">
        <f t="shared" ref="O8077:O8098" si="2323">MROUND(G8077*N8077,0.000001)</f>
        <v>0</v>
      </c>
      <c r="P8077" s="166"/>
      <c r="Q8077" s="166">
        <f t="shared" si="2322"/>
        <v>0</v>
      </c>
      <c r="R8077" s="71"/>
    </row>
    <row r="8078" spans="1:18" s="61" customFormat="1" x14ac:dyDescent="0.25">
      <c r="A8078" s="358"/>
      <c r="B8078" s="361"/>
      <c r="C8078" s="366"/>
      <c r="D8078" s="255" t="s">
        <v>412</v>
      </c>
      <c r="E8078" s="156" t="s">
        <v>28</v>
      </c>
      <c r="F8078" s="156" t="s">
        <v>28</v>
      </c>
      <c r="G8078" s="238">
        <f>MROUND(H8078*L8078*I8078/K8078,0.00000001)</f>
        <v>0</v>
      </c>
      <c r="H8078" s="158"/>
      <c r="I8078" s="159">
        <f>I8077</f>
        <v>3.0273000000000002E-4</v>
      </c>
      <c r="J8078" s="160"/>
      <c r="K8078" s="161">
        <f>K8077</f>
        <v>6</v>
      </c>
      <c r="L8078" s="250">
        <v>1</v>
      </c>
      <c r="M8078" s="163"/>
      <c r="N8078" s="164"/>
      <c r="O8078" s="165">
        <f t="shared" si="2323"/>
        <v>0</v>
      </c>
      <c r="P8078" s="166"/>
      <c r="Q8078" s="166">
        <f t="shared" si="2322"/>
        <v>0</v>
      </c>
      <c r="R8078" s="71"/>
    </row>
    <row r="8079" spans="1:18" s="61" customFormat="1" ht="31.5" x14ac:dyDescent="0.25">
      <c r="A8079" s="358"/>
      <c r="B8079" s="361"/>
      <c r="C8079" s="366"/>
      <c r="D8079" s="255" t="s">
        <v>413</v>
      </c>
      <c r="E8079" s="156" t="s">
        <v>28</v>
      </c>
      <c r="F8079" s="156" t="s">
        <v>28</v>
      </c>
      <c r="G8079" s="238">
        <f>MROUND(H8079*L8079*I8079/K8079,0.0000000001)</f>
        <v>0</v>
      </c>
      <c r="H8079" s="158"/>
      <c r="I8079" s="159">
        <f>I8078</f>
        <v>3.0273000000000002E-4</v>
      </c>
      <c r="J8079" s="160"/>
      <c r="K8079" s="161">
        <f>K8078</f>
        <v>6</v>
      </c>
      <c r="L8079" s="250">
        <v>1</v>
      </c>
      <c r="M8079" s="163"/>
      <c r="N8079" s="164"/>
      <c r="O8079" s="165">
        <f t="shared" si="2323"/>
        <v>0</v>
      </c>
      <c r="P8079" s="166"/>
      <c r="Q8079" s="166">
        <f t="shared" si="2322"/>
        <v>0</v>
      </c>
      <c r="R8079" s="71"/>
    </row>
    <row r="8080" spans="1:18" s="61" customFormat="1" x14ac:dyDescent="0.25">
      <c r="A8080" s="358"/>
      <c r="B8080" s="361"/>
      <c r="C8080" s="366"/>
      <c r="D8080" s="254" t="s">
        <v>109</v>
      </c>
      <c r="E8080" s="156" t="s">
        <v>28</v>
      </c>
      <c r="F8080" s="156" t="s">
        <v>28</v>
      </c>
      <c r="G8080" s="238">
        <f>MROUND(H8080*L8080*I8080/K8080,0.0000000001)</f>
        <v>0</v>
      </c>
      <c r="H8080" s="158"/>
      <c r="I8080" s="159">
        <f>I8079</f>
        <v>3.0273000000000002E-4</v>
      </c>
      <c r="J8080" s="160"/>
      <c r="K8080" s="161">
        <f>K8079</f>
        <v>6</v>
      </c>
      <c r="L8080" s="250">
        <v>1</v>
      </c>
      <c r="M8080" s="163"/>
      <c r="N8080" s="164"/>
      <c r="O8080" s="165">
        <f t="shared" si="2323"/>
        <v>0</v>
      </c>
      <c r="P8080" s="166"/>
      <c r="Q8080" s="166">
        <f t="shared" si="2322"/>
        <v>0</v>
      </c>
      <c r="R8080" s="71"/>
    </row>
    <row r="8081" spans="1:18" s="61" customFormat="1" x14ac:dyDescent="0.25">
      <c r="A8081" s="358"/>
      <c r="B8081" s="361"/>
      <c r="C8081" s="366"/>
      <c r="D8081" s="254" t="s">
        <v>414</v>
      </c>
      <c r="E8081" s="156" t="s">
        <v>28</v>
      </c>
      <c r="F8081" s="156" t="s">
        <v>28</v>
      </c>
      <c r="G8081" s="238">
        <f>MROUND(H8081*L8081*I8081/K8081,0.0000000001)</f>
        <v>0</v>
      </c>
      <c r="H8081" s="158"/>
      <c r="I8081" s="159">
        <f>I8079</f>
        <v>3.0273000000000002E-4</v>
      </c>
      <c r="J8081" s="160"/>
      <c r="K8081" s="161">
        <f>K8079</f>
        <v>6</v>
      </c>
      <c r="L8081" s="250">
        <v>1</v>
      </c>
      <c r="M8081" s="163"/>
      <c r="N8081" s="164"/>
      <c r="O8081" s="165">
        <f t="shared" si="2323"/>
        <v>0</v>
      </c>
      <c r="P8081" s="166"/>
      <c r="Q8081" s="166">
        <f t="shared" si="2322"/>
        <v>0</v>
      </c>
      <c r="R8081" s="71"/>
    </row>
    <row r="8082" spans="1:18" s="61" customFormat="1" x14ac:dyDescent="0.25">
      <c r="A8082" s="358"/>
      <c r="B8082" s="361"/>
      <c r="C8082" s="366"/>
      <c r="D8082" s="254" t="s">
        <v>415</v>
      </c>
      <c r="E8082" s="156" t="s">
        <v>28</v>
      </c>
      <c r="F8082" s="156" t="s">
        <v>28</v>
      </c>
      <c r="G8082" s="238">
        <f>MROUND(H8082*L8082*I8082/K8082,0.00000001)</f>
        <v>0</v>
      </c>
      <c r="H8082" s="158"/>
      <c r="I8082" s="159">
        <f t="shared" ref="I8082:I8091" si="2324">I8080</f>
        <v>3.0273000000000002E-4</v>
      </c>
      <c r="J8082" s="160"/>
      <c r="K8082" s="161">
        <f t="shared" ref="K8082:K8091" si="2325">K8080</f>
        <v>6</v>
      </c>
      <c r="L8082" s="250">
        <v>1</v>
      </c>
      <c r="M8082" s="163"/>
      <c r="N8082" s="164"/>
      <c r="O8082" s="165">
        <f t="shared" si="2323"/>
        <v>0</v>
      </c>
      <c r="P8082" s="166"/>
      <c r="Q8082" s="166">
        <f t="shared" si="2322"/>
        <v>0</v>
      </c>
      <c r="R8082" s="71"/>
    </row>
    <row r="8083" spans="1:18" s="61" customFormat="1" x14ac:dyDescent="0.25">
      <c r="A8083" s="358"/>
      <c r="B8083" s="361"/>
      <c r="C8083" s="366"/>
      <c r="D8083" s="254" t="s">
        <v>416</v>
      </c>
      <c r="E8083" s="156" t="s">
        <v>28</v>
      </c>
      <c r="F8083" s="156" t="s">
        <v>28</v>
      </c>
      <c r="G8083" s="238">
        <f>MROUND(H8083*L8083*I8083/K8083,0.000000001)</f>
        <v>0</v>
      </c>
      <c r="H8083" s="246"/>
      <c r="I8083" s="159">
        <f t="shared" si="2324"/>
        <v>3.0273000000000002E-4</v>
      </c>
      <c r="J8083" s="160"/>
      <c r="K8083" s="161">
        <f t="shared" si="2325"/>
        <v>6</v>
      </c>
      <c r="L8083" s="250">
        <v>1</v>
      </c>
      <c r="M8083" s="163"/>
      <c r="N8083" s="164"/>
      <c r="O8083" s="165">
        <f t="shared" si="2323"/>
        <v>0</v>
      </c>
      <c r="P8083" s="166"/>
      <c r="Q8083" s="166">
        <f t="shared" si="2322"/>
        <v>0</v>
      </c>
      <c r="R8083" s="71"/>
    </row>
    <row r="8084" spans="1:18" s="61" customFormat="1" x14ac:dyDescent="0.25">
      <c r="A8084" s="358"/>
      <c r="B8084" s="361"/>
      <c r="C8084" s="366"/>
      <c r="D8084" s="254" t="s">
        <v>417</v>
      </c>
      <c r="E8084" s="156" t="s">
        <v>28</v>
      </c>
      <c r="F8084" s="156" t="s">
        <v>28</v>
      </c>
      <c r="G8084" s="238">
        <f>MROUND(H8084*L8084*I8084/K8084,0.00000001)</f>
        <v>0</v>
      </c>
      <c r="H8084" s="158"/>
      <c r="I8084" s="159">
        <f t="shared" si="2324"/>
        <v>3.0273000000000002E-4</v>
      </c>
      <c r="J8084" s="160"/>
      <c r="K8084" s="161">
        <f t="shared" si="2325"/>
        <v>6</v>
      </c>
      <c r="L8084" s="250">
        <v>1</v>
      </c>
      <c r="M8084" s="163"/>
      <c r="N8084" s="164"/>
      <c r="O8084" s="165">
        <f t="shared" si="2323"/>
        <v>0</v>
      </c>
      <c r="P8084" s="166"/>
      <c r="Q8084" s="166">
        <f t="shared" si="2322"/>
        <v>0</v>
      </c>
      <c r="R8084" s="71"/>
    </row>
    <row r="8085" spans="1:18" s="61" customFormat="1" ht="30" x14ac:dyDescent="0.25">
      <c r="A8085" s="358"/>
      <c r="B8085" s="361"/>
      <c r="C8085" s="366"/>
      <c r="D8085" s="254" t="s">
        <v>418</v>
      </c>
      <c r="E8085" s="156" t="s">
        <v>28</v>
      </c>
      <c r="F8085" s="156" t="s">
        <v>28</v>
      </c>
      <c r="G8085" s="238">
        <f>MROUND(H8085*L8085*I8085/K8085,0.00000001)</f>
        <v>0</v>
      </c>
      <c r="H8085" s="158"/>
      <c r="I8085" s="159">
        <f t="shared" si="2324"/>
        <v>3.0273000000000002E-4</v>
      </c>
      <c r="J8085" s="160"/>
      <c r="K8085" s="161">
        <f t="shared" si="2325"/>
        <v>6</v>
      </c>
      <c r="L8085" s="250">
        <v>1</v>
      </c>
      <c r="M8085" s="163"/>
      <c r="N8085" s="164"/>
      <c r="O8085" s="165">
        <f t="shared" si="2323"/>
        <v>0</v>
      </c>
      <c r="P8085" s="166"/>
      <c r="Q8085" s="166">
        <f t="shared" si="2322"/>
        <v>0</v>
      </c>
      <c r="R8085" s="71"/>
    </row>
    <row r="8086" spans="1:18" s="61" customFormat="1" x14ac:dyDescent="0.25">
      <c r="A8086" s="358"/>
      <c r="B8086" s="361"/>
      <c r="C8086" s="366"/>
      <c r="D8086" s="254" t="s">
        <v>324</v>
      </c>
      <c r="E8086" s="156" t="s">
        <v>28</v>
      </c>
      <c r="F8086" s="156" t="s">
        <v>28</v>
      </c>
      <c r="G8086" s="238">
        <f>MROUND(H8086*L8086*I8086/K8086,0.000000001)</f>
        <v>0</v>
      </c>
      <c r="H8086" s="158"/>
      <c r="I8086" s="159">
        <f t="shared" si="2324"/>
        <v>3.0273000000000002E-4</v>
      </c>
      <c r="J8086" s="160"/>
      <c r="K8086" s="161">
        <f t="shared" si="2325"/>
        <v>6</v>
      </c>
      <c r="L8086" s="250">
        <v>1</v>
      </c>
      <c r="M8086" s="163"/>
      <c r="N8086" s="164"/>
      <c r="O8086" s="165">
        <f t="shared" si="2323"/>
        <v>0</v>
      </c>
      <c r="P8086" s="166"/>
      <c r="Q8086" s="166">
        <f t="shared" si="2322"/>
        <v>0</v>
      </c>
      <c r="R8086" s="71"/>
    </row>
    <row r="8087" spans="1:18" s="61" customFormat="1" x14ac:dyDescent="0.25">
      <c r="A8087" s="358"/>
      <c r="B8087" s="361"/>
      <c r="C8087" s="366"/>
      <c r="D8087" s="254" t="s">
        <v>419</v>
      </c>
      <c r="E8087" s="156" t="s">
        <v>28</v>
      </c>
      <c r="F8087" s="156" t="s">
        <v>28</v>
      </c>
      <c r="G8087" s="238">
        <f>MROUND(H8087*L8087*I8087/K8087,0.000000001)</f>
        <v>0</v>
      </c>
      <c r="H8087" s="246"/>
      <c r="I8087" s="159">
        <f t="shared" si="2324"/>
        <v>3.0273000000000002E-4</v>
      </c>
      <c r="J8087" s="160"/>
      <c r="K8087" s="161">
        <f t="shared" si="2325"/>
        <v>6</v>
      </c>
      <c r="L8087" s="250">
        <v>1</v>
      </c>
      <c r="M8087" s="163"/>
      <c r="N8087" s="164"/>
      <c r="O8087" s="165">
        <f t="shared" si="2323"/>
        <v>0</v>
      </c>
      <c r="P8087" s="166"/>
      <c r="Q8087" s="166">
        <f t="shared" si="2322"/>
        <v>0</v>
      </c>
      <c r="R8087" s="71"/>
    </row>
    <row r="8088" spans="1:18" s="61" customFormat="1" x14ac:dyDescent="0.25">
      <c r="A8088" s="358"/>
      <c r="B8088" s="361"/>
      <c r="C8088" s="366"/>
      <c r="D8088" s="254" t="s">
        <v>420</v>
      </c>
      <c r="E8088" s="156" t="s">
        <v>28</v>
      </c>
      <c r="F8088" s="156" t="s">
        <v>28</v>
      </c>
      <c r="G8088" s="238">
        <f>MROUND(H8088*L8088*I8088/K8088,0.000000001)</f>
        <v>0</v>
      </c>
      <c r="H8088" s="158"/>
      <c r="I8088" s="159">
        <f t="shared" si="2324"/>
        <v>3.0273000000000002E-4</v>
      </c>
      <c r="J8088" s="160"/>
      <c r="K8088" s="161">
        <f t="shared" si="2325"/>
        <v>6</v>
      </c>
      <c r="L8088" s="250">
        <v>1</v>
      </c>
      <c r="M8088" s="163"/>
      <c r="N8088" s="164"/>
      <c r="O8088" s="165">
        <f t="shared" si="2323"/>
        <v>0</v>
      </c>
      <c r="P8088" s="166"/>
      <c r="Q8088" s="166">
        <f t="shared" si="2322"/>
        <v>0</v>
      </c>
      <c r="R8088" s="71"/>
    </row>
    <row r="8089" spans="1:18" s="61" customFormat="1" x14ac:dyDescent="0.25">
      <c r="A8089" s="358"/>
      <c r="B8089" s="361"/>
      <c r="C8089" s="366"/>
      <c r="D8089" s="254" t="s">
        <v>421</v>
      </c>
      <c r="E8089" s="156" t="s">
        <v>28</v>
      </c>
      <c r="F8089" s="156" t="s">
        <v>28</v>
      </c>
      <c r="G8089" s="238">
        <f>MROUND(H8089*L8089*I8089/K8089,0.00000001)</f>
        <v>0</v>
      </c>
      <c r="H8089" s="158"/>
      <c r="I8089" s="159">
        <f t="shared" si="2324"/>
        <v>3.0273000000000002E-4</v>
      </c>
      <c r="J8089" s="160"/>
      <c r="K8089" s="161">
        <f t="shared" si="2325"/>
        <v>6</v>
      </c>
      <c r="L8089" s="250">
        <v>1</v>
      </c>
      <c r="M8089" s="163"/>
      <c r="N8089" s="164"/>
      <c r="O8089" s="165">
        <f t="shared" si="2323"/>
        <v>0</v>
      </c>
      <c r="P8089" s="166"/>
      <c r="Q8089" s="166">
        <f t="shared" si="2322"/>
        <v>0</v>
      </c>
      <c r="R8089" s="71"/>
    </row>
    <row r="8090" spans="1:18" s="61" customFormat="1" ht="30" x14ac:dyDescent="0.25">
      <c r="A8090" s="358"/>
      <c r="B8090" s="361"/>
      <c r="C8090" s="366"/>
      <c r="D8090" s="254" t="s">
        <v>422</v>
      </c>
      <c r="E8090" s="156" t="s">
        <v>28</v>
      </c>
      <c r="F8090" s="156" t="s">
        <v>28</v>
      </c>
      <c r="G8090" s="266">
        <f>MROUND(H8090*L8090*I8090/K8090,0.00000001)</f>
        <v>0</v>
      </c>
      <c r="H8090" s="158"/>
      <c r="I8090" s="159">
        <f t="shared" si="2324"/>
        <v>3.0273000000000002E-4</v>
      </c>
      <c r="J8090" s="160"/>
      <c r="K8090" s="161">
        <f t="shared" si="2325"/>
        <v>6</v>
      </c>
      <c r="L8090" s="250">
        <v>1</v>
      </c>
      <c r="M8090" s="163"/>
      <c r="N8090" s="164"/>
      <c r="O8090" s="165">
        <f t="shared" si="2323"/>
        <v>0</v>
      </c>
      <c r="P8090" s="166"/>
      <c r="Q8090" s="166">
        <f t="shared" si="2322"/>
        <v>0</v>
      </c>
      <c r="R8090" s="71"/>
    </row>
    <row r="8091" spans="1:18" s="61" customFormat="1" x14ac:dyDescent="0.25">
      <c r="A8091" s="358"/>
      <c r="B8091" s="361"/>
      <c r="C8091" s="366"/>
      <c r="D8091" s="254" t="s">
        <v>423</v>
      </c>
      <c r="E8091" s="156" t="s">
        <v>28</v>
      </c>
      <c r="F8091" s="156" t="s">
        <v>28</v>
      </c>
      <c r="G8091" s="238">
        <f>MROUND(H8091*L8091*I8091/K8091,0.000000001)</f>
        <v>0</v>
      </c>
      <c r="H8091" s="158"/>
      <c r="I8091" s="159">
        <f t="shared" si="2324"/>
        <v>3.0273000000000002E-4</v>
      </c>
      <c r="J8091" s="160"/>
      <c r="K8091" s="161">
        <f t="shared" si="2325"/>
        <v>6</v>
      </c>
      <c r="L8091" s="250">
        <v>1</v>
      </c>
      <c r="M8091" s="163"/>
      <c r="N8091" s="164"/>
      <c r="O8091" s="165">
        <f t="shared" si="2323"/>
        <v>0</v>
      </c>
      <c r="P8091" s="166"/>
      <c r="Q8091" s="166">
        <f t="shared" si="2322"/>
        <v>0</v>
      </c>
      <c r="R8091" s="71"/>
    </row>
    <row r="8092" spans="1:18" s="61" customFormat="1" x14ac:dyDescent="0.25">
      <c r="A8092" s="358"/>
      <c r="B8092" s="361"/>
      <c r="C8092" s="366"/>
      <c r="D8092" s="254" t="s">
        <v>424</v>
      </c>
      <c r="E8092" s="156" t="s">
        <v>28</v>
      </c>
      <c r="F8092" s="156" t="s">
        <v>28</v>
      </c>
      <c r="G8092" s="238">
        <f t="shared" ref="G8092:G8098" si="2326">MROUND(H8092*L8092*I8092/K8092,0.00000001)</f>
        <v>0</v>
      </c>
      <c r="H8092" s="158"/>
      <c r="I8092" s="159">
        <f>I8081</f>
        <v>3.0273000000000002E-4</v>
      </c>
      <c r="J8092" s="160"/>
      <c r="K8092" s="161">
        <f>K8081</f>
        <v>6</v>
      </c>
      <c r="L8092" s="250">
        <v>1</v>
      </c>
      <c r="M8092" s="163"/>
      <c r="N8092" s="164"/>
      <c r="O8092" s="165">
        <f t="shared" si="2323"/>
        <v>0</v>
      </c>
      <c r="P8092" s="166"/>
      <c r="Q8092" s="166">
        <f t="shared" si="2322"/>
        <v>0</v>
      </c>
      <c r="R8092" s="71"/>
    </row>
    <row r="8093" spans="1:18" s="61" customFormat="1" x14ac:dyDescent="0.25">
      <c r="A8093" s="358"/>
      <c r="B8093" s="361"/>
      <c r="C8093" s="366"/>
      <c r="D8093" s="254" t="s">
        <v>425</v>
      </c>
      <c r="E8093" s="156" t="s">
        <v>28</v>
      </c>
      <c r="F8093" s="156" t="s">
        <v>28</v>
      </c>
      <c r="G8093" s="277">
        <f t="shared" si="2326"/>
        <v>0</v>
      </c>
      <c r="H8093" s="158"/>
      <c r="I8093" s="159">
        <f t="shared" ref="I8093:I8098" si="2327">I8092</f>
        <v>3.0273000000000002E-4</v>
      </c>
      <c r="J8093" s="160"/>
      <c r="K8093" s="161">
        <f t="shared" ref="K8093:K8098" si="2328">K8092</f>
        <v>6</v>
      </c>
      <c r="L8093" s="250">
        <v>1</v>
      </c>
      <c r="M8093" s="163"/>
      <c r="N8093" s="164"/>
      <c r="O8093" s="165">
        <f t="shared" si="2323"/>
        <v>0</v>
      </c>
      <c r="P8093" s="166"/>
      <c r="Q8093" s="166">
        <f t="shared" si="2322"/>
        <v>0</v>
      </c>
      <c r="R8093" s="71"/>
    </row>
    <row r="8094" spans="1:18" s="61" customFormat="1" x14ac:dyDescent="0.25">
      <c r="A8094" s="358"/>
      <c r="B8094" s="361"/>
      <c r="C8094" s="366"/>
      <c r="D8094" s="254" t="s">
        <v>108</v>
      </c>
      <c r="E8094" s="156" t="s">
        <v>28</v>
      </c>
      <c r="F8094" s="156" t="s">
        <v>28</v>
      </c>
      <c r="G8094" s="238">
        <f t="shared" si="2326"/>
        <v>0</v>
      </c>
      <c r="H8094" s="158"/>
      <c r="I8094" s="159">
        <f t="shared" si="2327"/>
        <v>3.0273000000000002E-4</v>
      </c>
      <c r="J8094" s="160"/>
      <c r="K8094" s="161">
        <f t="shared" si="2328"/>
        <v>6</v>
      </c>
      <c r="L8094" s="250">
        <v>1</v>
      </c>
      <c r="M8094" s="163"/>
      <c r="N8094" s="164"/>
      <c r="O8094" s="165">
        <f t="shared" si="2323"/>
        <v>0</v>
      </c>
      <c r="P8094" s="166"/>
      <c r="Q8094" s="166">
        <f t="shared" si="2322"/>
        <v>0</v>
      </c>
      <c r="R8094" s="71"/>
    </row>
    <row r="8095" spans="1:18" s="61" customFormat="1" x14ac:dyDescent="0.25">
      <c r="A8095" s="358"/>
      <c r="B8095" s="361"/>
      <c r="C8095" s="366"/>
      <c r="D8095" s="254" t="s">
        <v>426</v>
      </c>
      <c r="E8095" s="156" t="s">
        <v>28</v>
      </c>
      <c r="F8095" s="156" t="s">
        <v>28</v>
      </c>
      <c r="G8095" s="238">
        <f t="shared" si="2326"/>
        <v>0</v>
      </c>
      <c r="H8095" s="158"/>
      <c r="I8095" s="159">
        <f t="shared" si="2327"/>
        <v>3.0273000000000002E-4</v>
      </c>
      <c r="J8095" s="160"/>
      <c r="K8095" s="161">
        <f t="shared" si="2328"/>
        <v>6</v>
      </c>
      <c r="L8095" s="250">
        <v>1</v>
      </c>
      <c r="M8095" s="163"/>
      <c r="N8095" s="164"/>
      <c r="O8095" s="165">
        <f t="shared" si="2323"/>
        <v>0</v>
      </c>
      <c r="P8095" s="166"/>
      <c r="Q8095" s="166">
        <f t="shared" si="2322"/>
        <v>0</v>
      </c>
      <c r="R8095" s="71"/>
    </row>
    <row r="8096" spans="1:18" s="61" customFormat="1" x14ac:dyDescent="0.25">
      <c r="A8096" s="358"/>
      <c r="B8096" s="361"/>
      <c r="C8096" s="366"/>
      <c r="D8096" s="254" t="s">
        <v>427</v>
      </c>
      <c r="E8096" s="156" t="s">
        <v>28</v>
      </c>
      <c r="F8096" s="156" t="s">
        <v>28</v>
      </c>
      <c r="G8096" s="238">
        <f t="shared" si="2326"/>
        <v>0</v>
      </c>
      <c r="H8096" s="158"/>
      <c r="I8096" s="159">
        <f t="shared" si="2327"/>
        <v>3.0273000000000002E-4</v>
      </c>
      <c r="J8096" s="160"/>
      <c r="K8096" s="161">
        <f t="shared" si="2328"/>
        <v>6</v>
      </c>
      <c r="L8096" s="250">
        <v>1</v>
      </c>
      <c r="M8096" s="163"/>
      <c r="N8096" s="164"/>
      <c r="O8096" s="165">
        <f t="shared" si="2323"/>
        <v>0</v>
      </c>
      <c r="P8096" s="166"/>
      <c r="Q8096" s="166">
        <f t="shared" si="2322"/>
        <v>0</v>
      </c>
      <c r="R8096" s="71"/>
    </row>
    <row r="8097" spans="1:18" s="61" customFormat="1" x14ac:dyDescent="0.25">
      <c r="A8097" s="358"/>
      <c r="B8097" s="361"/>
      <c r="C8097" s="366"/>
      <c r="D8097" s="254" t="s">
        <v>428</v>
      </c>
      <c r="E8097" s="156" t="s">
        <v>28</v>
      </c>
      <c r="F8097" s="156" t="s">
        <v>28</v>
      </c>
      <c r="G8097" s="238">
        <f t="shared" si="2326"/>
        <v>0</v>
      </c>
      <c r="H8097" s="158"/>
      <c r="I8097" s="159">
        <f t="shared" si="2327"/>
        <v>3.0273000000000002E-4</v>
      </c>
      <c r="J8097" s="160"/>
      <c r="K8097" s="161">
        <f t="shared" si="2328"/>
        <v>6</v>
      </c>
      <c r="L8097" s="250">
        <v>1</v>
      </c>
      <c r="M8097" s="163"/>
      <c r="N8097" s="164"/>
      <c r="O8097" s="165">
        <f t="shared" si="2323"/>
        <v>0</v>
      </c>
      <c r="P8097" s="166"/>
      <c r="Q8097" s="166">
        <f t="shared" si="2322"/>
        <v>0</v>
      </c>
      <c r="R8097" s="71"/>
    </row>
    <row r="8098" spans="1:18" s="61" customFormat="1" x14ac:dyDescent="0.25">
      <c r="A8098" s="358"/>
      <c r="B8098" s="361"/>
      <c r="C8098" s="366"/>
      <c r="D8098" s="255" t="s">
        <v>429</v>
      </c>
      <c r="E8098" s="156" t="s">
        <v>28</v>
      </c>
      <c r="F8098" s="156" t="s">
        <v>28</v>
      </c>
      <c r="G8098" s="238">
        <f t="shared" si="2326"/>
        <v>0</v>
      </c>
      <c r="H8098" s="158"/>
      <c r="I8098" s="159">
        <f t="shared" si="2327"/>
        <v>3.0273000000000002E-4</v>
      </c>
      <c r="J8098" s="160"/>
      <c r="K8098" s="161">
        <f t="shared" si="2328"/>
        <v>6</v>
      </c>
      <c r="L8098" s="250">
        <v>1</v>
      </c>
      <c r="M8098" s="163"/>
      <c r="N8098" s="164"/>
      <c r="O8098" s="165">
        <f t="shared" si="2323"/>
        <v>0</v>
      </c>
      <c r="P8098" s="166"/>
      <c r="Q8098" s="166">
        <f t="shared" si="2322"/>
        <v>0</v>
      </c>
      <c r="R8098" s="71"/>
    </row>
    <row r="8099" spans="1:18" s="62" customFormat="1" x14ac:dyDescent="0.25">
      <c r="A8099" s="358"/>
      <c r="B8099" s="361"/>
      <c r="C8099" s="249" t="s">
        <v>299</v>
      </c>
      <c r="D8099" s="256"/>
      <c r="E8099" s="240"/>
      <c r="F8099" s="240"/>
      <c r="G8099" s="227"/>
      <c r="H8099" s="241"/>
      <c r="I8099" s="206"/>
      <c r="J8099" s="228"/>
      <c r="K8099" s="207"/>
      <c r="L8099" s="257"/>
      <c r="M8099" s="209"/>
      <c r="N8099" s="210"/>
      <c r="O8099" s="198">
        <f>SUM(O8075:O8098)</f>
        <v>0</v>
      </c>
      <c r="P8099" s="267"/>
      <c r="Q8099" s="166"/>
      <c r="R8099" s="71"/>
    </row>
    <row r="8100" spans="1:18" s="61" customFormat="1" ht="110.25" x14ac:dyDescent="0.25">
      <c r="A8100" s="358"/>
      <c r="B8100" s="361"/>
      <c r="C8100" s="221" t="s">
        <v>82</v>
      </c>
      <c r="D8100" s="156" t="s">
        <v>46</v>
      </c>
      <c r="E8100" s="156" t="s">
        <v>54</v>
      </c>
      <c r="F8100" s="156" t="s">
        <v>285</v>
      </c>
      <c r="G8100" s="238">
        <f>MROUND(H8100*L8100*I8100/K8100,0.000001)</f>
        <v>0.57064599999999999</v>
      </c>
      <c r="H8100" s="242">
        <f>H7620</f>
        <v>1028.1818077549303</v>
      </c>
      <c r="I8100" s="159">
        <f>I8098</f>
        <v>3.0273000000000002E-4</v>
      </c>
      <c r="J8100" s="160"/>
      <c r="K8100" s="161">
        <f>K8098</f>
        <v>6</v>
      </c>
      <c r="L8100" s="225">
        <f>L7860</f>
        <v>11</v>
      </c>
      <c r="M8100" s="163" t="str">
        <f>CONCATENATE(H8100," ",F8100,"*",L8100,"автобуса","*",I8100,"/",K8100,"чел.")</f>
        <v>1028,18180775493 л бензина АИ 92 (12,5л/день(зимой)*20дней*7мес+10л/день(летом)*20дней*4мес)*11автобуса*0,00030273/6чел.</v>
      </c>
      <c r="N8100" s="164">
        <f>N6900</f>
        <v>59.28728000000001</v>
      </c>
      <c r="O8100" s="165">
        <f>MROUND(G8100*N8100,0.000001)</f>
        <v>33.832048999999998</v>
      </c>
      <c r="P8100" s="166"/>
      <c r="Q8100" s="166">
        <f t="shared" ref="Q8100" si="2329">O8100*K8100</f>
        <v>202.99229399999999</v>
      </c>
      <c r="R8100" s="71"/>
    </row>
    <row r="8101" spans="1:18" s="62" customFormat="1" x14ac:dyDescent="0.25">
      <c r="A8101" s="358"/>
      <c r="B8101" s="361"/>
      <c r="C8101" s="218" t="s">
        <v>300</v>
      </c>
      <c r="D8101" s="240"/>
      <c r="E8101" s="240"/>
      <c r="F8101" s="240"/>
      <c r="G8101" s="227"/>
      <c r="H8101" s="241"/>
      <c r="I8101" s="206"/>
      <c r="J8101" s="228"/>
      <c r="K8101" s="207"/>
      <c r="L8101" s="257"/>
      <c r="M8101" s="209"/>
      <c r="N8101" s="210"/>
      <c r="O8101" s="198">
        <f>SUM(O8100)</f>
        <v>33.832048999999998</v>
      </c>
      <c r="P8101" s="267"/>
      <c r="Q8101" s="166"/>
      <c r="R8101" s="71"/>
    </row>
    <row r="8102" spans="1:18" s="61" customFormat="1" ht="47.25" x14ac:dyDescent="0.25">
      <c r="A8102" s="358"/>
      <c r="B8102" s="361"/>
      <c r="C8102" s="221" t="s">
        <v>434</v>
      </c>
      <c r="D8102" s="156" t="s">
        <v>436</v>
      </c>
      <c r="E8102" s="156" t="s">
        <v>28</v>
      </c>
      <c r="F8102" s="156" t="s">
        <v>437</v>
      </c>
      <c r="G8102" s="157">
        <f>MROUND(H8102*L8102*I8102/K8102,0.000001)</f>
        <v>1.4631999999999999E-2</v>
      </c>
      <c r="H8102" s="242">
        <f>$H$125</f>
        <v>290</v>
      </c>
      <c r="I8102" s="159">
        <f>I8100</f>
        <v>3.0273000000000002E-4</v>
      </c>
      <c r="J8102" s="160"/>
      <c r="K8102" s="161">
        <f>K8100</f>
        <v>6</v>
      </c>
      <c r="L8102" s="162">
        <v>1</v>
      </c>
      <c r="M8102" s="163" t="str">
        <f>CONCATENATE(H8102," ",F8102,"*",L8102,"автобуса","*",I8102,"/",K8102,"чел.")</f>
        <v>290 огнетушителей (потребность учреждений) *1автобуса*0,00030273/6чел.</v>
      </c>
      <c r="N8102" s="164">
        <f>$N$125</f>
        <v>2000</v>
      </c>
      <c r="O8102" s="165">
        <f>MROUND(G8102*N8102,0.000001)</f>
        <v>29.263999999999999</v>
      </c>
      <c r="P8102" s="166"/>
      <c r="Q8102" s="166">
        <f t="shared" ref="Q8102" si="2330">O8102*K8102</f>
        <v>175.584</v>
      </c>
      <c r="R8102" s="71"/>
    </row>
    <row r="8103" spans="1:18" s="61" customFormat="1" x14ac:dyDescent="0.25">
      <c r="A8103" s="358"/>
      <c r="B8103" s="361"/>
      <c r="C8103" s="218" t="s">
        <v>435</v>
      </c>
      <c r="D8103" s="240"/>
      <c r="E8103" s="240"/>
      <c r="F8103" s="240"/>
      <c r="G8103" s="251"/>
      <c r="H8103" s="241"/>
      <c r="I8103" s="206"/>
      <c r="J8103" s="228"/>
      <c r="K8103" s="207"/>
      <c r="L8103" s="229"/>
      <c r="M8103" s="209"/>
      <c r="N8103" s="210"/>
      <c r="O8103" s="198">
        <f>SUM(O8102)</f>
        <v>29.263999999999999</v>
      </c>
      <c r="P8103" s="166"/>
      <c r="Q8103" s="166"/>
      <c r="R8103" s="71"/>
    </row>
    <row r="8104" spans="1:18" s="61" customFormat="1" ht="47.25" x14ac:dyDescent="0.25">
      <c r="A8104" s="358"/>
      <c r="B8104" s="361"/>
      <c r="C8104" s="364" t="s">
        <v>118</v>
      </c>
      <c r="D8104" s="156" t="s">
        <v>47</v>
      </c>
      <c r="E8104" s="156" t="s">
        <v>28</v>
      </c>
      <c r="F8104" s="156" t="s">
        <v>239</v>
      </c>
      <c r="G8104" s="238">
        <f>MROUND(H8104*L8104*I8104/K8104,0.00000001)</f>
        <v>7.0637E-3</v>
      </c>
      <c r="H8104" s="158">
        <f>H7024</f>
        <v>140</v>
      </c>
      <c r="I8104" s="159">
        <f>I8100</f>
        <v>3.0273000000000002E-4</v>
      </c>
      <c r="J8104" s="160"/>
      <c r="K8104" s="161">
        <f>K8100</f>
        <v>6</v>
      </c>
      <c r="L8104" s="250">
        <v>1</v>
      </c>
      <c r="M8104" s="163" t="str">
        <f>CONCATENATE(H8104," ",F8104,"*",I8104,"/",K8104,"чел.")</f>
        <v>140 манометров (потребность учреждений) *0,00030273/6чел.</v>
      </c>
      <c r="N8104" s="164">
        <f>N6904</f>
        <v>770.73500000000035</v>
      </c>
      <c r="O8104" s="165">
        <f>MROUND(G8104*N8104,0.000001)</f>
        <v>5.4442409999999999</v>
      </c>
      <c r="P8104" s="166"/>
      <c r="Q8104" s="166">
        <f t="shared" ref="Q8104:Q8105" si="2331">O8104*K8104</f>
        <v>32.665446000000003</v>
      </c>
      <c r="R8104" s="71"/>
    </row>
    <row r="8105" spans="1:18" s="61" customFormat="1" ht="47.25" x14ac:dyDescent="0.25">
      <c r="A8105" s="358"/>
      <c r="B8105" s="361"/>
      <c r="C8105" s="364"/>
      <c r="D8105" s="255" t="s">
        <v>113</v>
      </c>
      <c r="E8105" s="156" t="s">
        <v>28</v>
      </c>
      <c r="F8105" s="156" t="s">
        <v>240</v>
      </c>
      <c r="G8105" s="238">
        <f>MROUND(H8105*L8105*I8105/K8105,0.00000001)</f>
        <v>0.28835032999999999</v>
      </c>
      <c r="H8105" s="158">
        <f>H6905</f>
        <v>5715</v>
      </c>
      <c r="I8105" s="159">
        <f>I8104</f>
        <v>3.0273000000000002E-4</v>
      </c>
      <c r="J8105" s="160"/>
      <c r="K8105" s="161">
        <f>K8104</f>
        <v>6</v>
      </c>
      <c r="L8105" s="250">
        <v>1</v>
      </c>
      <c r="M8105" s="163" t="str">
        <f>CONCATENATE(H8105," ",F8105,"*",I8105,"/",K8105,"чел.")</f>
        <v>5715 светильников (потребность учреждений)*0,00030273/6чел.</v>
      </c>
      <c r="N8105" s="164">
        <f>N6905</f>
        <v>115.61019597550306</v>
      </c>
      <c r="O8105" s="165">
        <f>MROUND(G8105*N8105,0.000001)</f>
        <v>33.336238000000002</v>
      </c>
      <c r="P8105" s="166"/>
      <c r="Q8105" s="166">
        <f t="shared" si="2331"/>
        <v>200.017428</v>
      </c>
      <c r="R8105" s="71"/>
    </row>
    <row r="8106" spans="1:18" s="62" customFormat="1" x14ac:dyDescent="0.25">
      <c r="A8106" s="359"/>
      <c r="B8106" s="362"/>
      <c r="C8106" s="218" t="s">
        <v>301</v>
      </c>
      <c r="D8106" s="256"/>
      <c r="E8106" s="240"/>
      <c r="F8106" s="240"/>
      <c r="G8106" s="227"/>
      <c r="H8106" s="241"/>
      <c r="I8106" s="206"/>
      <c r="J8106" s="228"/>
      <c r="K8106" s="207"/>
      <c r="L8106" s="257"/>
      <c r="M8106" s="209"/>
      <c r="N8106" s="210"/>
      <c r="O8106" s="198">
        <f>SUM(O8104:O8105)</f>
        <v>38.780479</v>
      </c>
      <c r="P8106" s="267"/>
      <c r="Q8106" s="166"/>
      <c r="R8106" s="71"/>
    </row>
    <row r="8107" spans="1:18" s="61" customFormat="1" x14ac:dyDescent="0.25">
      <c r="A8107" s="357" t="str">
        <f>CONCATENATE(школы!$B$17,", ",школы!$C$17,", ",школы!$D$17)</f>
        <v xml:space="preserve">Реализация основных общеобразовательных программ основного общего образования, образовательная программа, обеспечивающая углубленное изучение отдельных учебных предметов, предметных областей (профильное обучение), </v>
      </c>
      <c r="B8107" s="360" t="str">
        <f>школы!$A$17</f>
        <v>802111О.99.0.БА96АП76001</v>
      </c>
      <c r="C8107" s="194"/>
      <c r="D8107" s="363" t="s">
        <v>15</v>
      </c>
      <c r="E8107" s="363"/>
      <c r="F8107" s="363"/>
      <c r="G8107" s="363"/>
      <c r="H8107" s="195"/>
      <c r="I8107" s="195"/>
      <c r="J8107" s="195"/>
      <c r="K8107" s="195"/>
      <c r="L8107" s="196"/>
      <c r="M8107" s="197"/>
      <c r="N8107" s="164"/>
      <c r="O8107" s="198">
        <f>O8108+O8113+O8115</f>
        <v>9362.1929946159999</v>
      </c>
      <c r="P8107" s="166"/>
      <c r="Q8107" s="166"/>
      <c r="R8107" s="71"/>
    </row>
    <row r="8108" spans="1:18" s="61" customFormat="1" x14ac:dyDescent="0.25">
      <c r="A8108" s="358"/>
      <c r="B8108" s="361"/>
      <c r="C8108" s="194"/>
      <c r="D8108" s="350" t="s">
        <v>62</v>
      </c>
      <c r="E8108" s="350"/>
      <c r="F8108" s="350"/>
      <c r="G8108" s="350"/>
      <c r="H8108" s="195"/>
      <c r="I8108" s="195"/>
      <c r="J8108" s="195"/>
      <c r="K8108" s="195"/>
      <c r="L8108" s="196"/>
      <c r="M8108" s="197"/>
      <c r="N8108" s="164"/>
      <c r="O8108" s="165">
        <f>O8110+O8112</f>
        <v>9362.1929946159999</v>
      </c>
      <c r="P8108" s="166"/>
      <c r="Q8108" s="166"/>
      <c r="R8108" s="71"/>
    </row>
    <row r="8109" spans="1:18" s="61" customFormat="1" ht="31.5" x14ac:dyDescent="0.25">
      <c r="A8109" s="358"/>
      <c r="B8109" s="361"/>
      <c r="C8109" s="194">
        <v>211</v>
      </c>
      <c r="D8109" s="194" t="s">
        <v>86</v>
      </c>
      <c r="E8109" s="199" t="s">
        <v>95</v>
      </c>
      <c r="F8109" s="199" t="s">
        <v>95</v>
      </c>
      <c r="G8109" s="275">
        <f>MROUND(H8109*L8109*I8109/K8109,0.0000000001)</f>
        <v>0.55812139810000005</v>
      </c>
      <c r="H8109" s="201">
        <f>H7269</f>
        <v>921.8</v>
      </c>
      <c r="I8109" s="159">
        <f>школы!$K$17</f>
        <v>6.8014359999999996E-2</v>
      </c>
      <c r="J8109" s="159"/>
      <c r="K8109" s="161">
        <f>школы!$G$17</f>
        <v>1348</v>
      </c>
      <c r="L8109" s="202">
        <v>12</v>
      </c>
      <c r="M8109" s="163" t="str">
        <f>CONCATENATE(H8109," ",F8109," ","в мес.","*",L8109,"мес.","*",I8109,"/",K8109,"чел.")</f>
        <v>921,8 шт.ед в мес.*12мес.*0,06801436/1348чел.</v>
      </c>
      <c r="N8109" s="164">
        <f>N7269</f>
        <v>12883.620739314385</v>
      </c>
      <c r="O8109" s="165">
        <f>MROUND(G8109*N8109,0.000000001)</f>
        <v>7190.6244196160005</v>
      </c>
      <c r="P8109" s="166"/>
      <c r="Q8109" s="166">
        <f t="shared" ref="Q8109" si="2332">O8109*K8109</f>
        <v>9692961.7176423687</v>
      </c>
      <c r="R8109" s="71"/>
    </row>
    <row r="8110" spans="1:18" s="62" customFormat="1" x14ac:dyDescent="0.25">
      <c r="A8110" s="358"/>
      <c r="B8110" s="361"/>
      <c r="C8110" s="203" t="s">
        <v>288</v>
      </c>
      <c r="D8110" s="203"/>
      <c r="E8110" s="204"/>
      <c r="F8110" s="204"/>
      <c r="G8110" s="205"/>
      <c r="H8110" s="206"/>
      <c r="I8110" s="206"/>
      <c r="J8110" s="206"/>
      <c r="K8110" s="207"/>
      <c r="L8110" s="208"/>
      <c r="M8110" s="209"/>
      <c r="N8110" s="210">
        <f>N8109</f>
        <v>12883.620739314385</v>
      </c>
      <c r="O8110" s="198">
        <f>O8109</f>
        <v>7190.6244196160005</v>
      </c>
      <c r="P8110" s="267"/>
      <c r="Q8110" s="166"/>
      <c r="R8110" s="71"/>
    </row>
    <row r="8111" spans="1:18" s="61" customFormat="1" x14ac:dyDescent="0.25">
      <c r="A8111" s="358"/>
      <c r="B8111" s="361"/>
      <c r="C8111" s="194">
        <v>213</v>
      </c>
      <c r="D8111" s="194" t="s">
        <v>87</v>
      </c>
      <c r="E8111" s="194" t="s">
        <v>88</v>
      </c>
      <c r="F8111" s="194"/>
      <c r="G8111" s="211">
        <v>30.2</v>
      </c>
      <c r="H8111" s="159"/>
      <c r="I8111" s="159"/>
      <c r="J8111" s="159"/>
      <c r="K8111" s="161">
        <f>K8109</f>
        <v>1348</v>
      </c>
      <c r="L8111" s="202"/>
      <c r="M8111" s="212"/>
      <c r="N8111" s="164"/>
      <c r="O8111" s="165">
        <f>MROUND(O8109*0.302,0.000001)</f>
        <v>2171.5685749999998</v>
      </c>
      <c r="P8111" s="166"/>
      <c r="Q8111" s="166">
        <f>O8111*K8111</f>
        <v>2927274.4390999996</v>
      </c>
      <c r="R8111" s="71"/>
    </row>
    <row r="8112" spans="1:18" s="62" customFormat="1" x14ac:dyDescent="0.25">
      <c r="A8112" s="358"/>
      <c r="B8112" s="361"/>
      <c r="C8112" s="203" t="s">
        <v>289</v>
      </c>
      <c r="D8112" s="203"/>
      <c r="E8112" s="203"/>
      <c r="F8112" s="203"/>
      <c r="G8112" s="213"/>
      <c r="H8112" s="214"/>
      <c r="I8112" s="206"/>
      <c r="J8112" s="214"/>
      <c r="K8112" s="207"/>
      <c r="L8112" s="215"/>
      <c r="M8112" s="216"/>
      <c r="N8112" s="210"/>
      <c r="O8112" s="198">
        <f>O8111</f>
        <v>2171.5685749999998</v>
      </c>
      <c r="P8112" s="267"/>
      <c r="Q8112" s="166"/>
      <c r="R8112" s="71"/>
    </row>
    <row r="8113" spans="1:18" s="61" customFormat="1" x14ac:dyDescent="0.25">
      <c r="A8113" s="358"/>
      <c r="B8113" s="361"/>
      <c r="C8113" s="194"/>
      <c r="D8113" s="356" t="s">
        <v>63</v>
      </c>
      <c r="E8113" s="356"/>
      <c r="F8113" s="356"/>
      <c r="G8113" s="356"/>
      <c r="H8113" s="195"/>
      <c r="I8113" s="159"/>
      <c r="J8113" s="195"/>
      <c r="K8113" s="161"/>
      <c r="L8113" s="196"/>
      <c r="M8113" s="197"/>
      <c r="N8113" s="164"/>
      <c r="O8113" s="165"/>
      <c r="P8113" s="166"/>
      <c r="Q8113" s="166"/>
      <c r="R8113" s="71"/>
    </row>
    <row r="8114" spans="1:18" s="61" customFormat="1" x14ac:dyDescent="0.25">
      <c r="A8114" s="358"/>
      <c r="B8114" s="361"/>
      <c r="C8114" s="194"/>
      <c r="D8114" s="194"/>
      <c r="E8114" s="194"/>
      <c r="F8114" s="194"/>
      <c r="G8114" s="217"/>
      <c r="H8114" s="195"/>
      <c r="I8114" s="159"/>
      <c r="J8114" s="195"/>
      <c r="K8114" s="161"/>
      <c r="L8114" s="196"/>
      <c r="M8114" s="197"/>
      <c r="N8114" s="164"/>
      <c r="O8114" s="165"/>
      <c r="P8114" s="166"/>
      <c r="Q8114" s="166"/>
      <c r="R8114" s="71"/>
    </row>
    <row r="8115" spans="1:18" s="61" customFormat="1" x14ac:dyDescent="0.25">
      <c r="A8115" s="358"/>
      <c r="B8115" s="361"/>
      <c r="C8115" s="194"/>
      <c r="D8115" s="350" t="s">
        <v>64</v>
      </c>
      <c r="E8115" s="350"/>
      <c r="F8115" s="350"/>
      <c r="G8115" s="350"/>
      <c r="H8115" s="195"/>
      <c r="I8115" s="159"/>
      <c r="J8115" s="195"/>
      <c r="K8115" s="161"/>
      <c r="L8115" s="196"/>
      <c r="M8115" s="197"/>
      <c r="N8115" s="164"/>
      <c r="O8115" s="165"/>
      <c r="P8115" s="166"/>
      <c r="Q8115" s="166"/>
      <c r="R8115" s="71"/>
    </row>
    <row r="8116" spans="1:18" s="61" customFormat="1" x14ac:dyDescent="0.25">
      <c r="A8116" s="358"/>
      <c r="B8116" s="361"/>
      <c r="C8116" s="194"/>
      <c r="D8116" s="194"/>
      <c r="E8116" s="194"/>
      <c r="F8116" s="194"/>
      <c r="G8116" s="217"/>
      <c r="H8116" s="195"/>
      <c r="I8116" s="159"/>
      <c r="J8116" s="195"/>
      <c r="K8116" s="161"/>
      <c r="L8116" s="196"/>
      <c r="M8116" s="197"/>
      <c r="N8116" s="164"/>
      <c r="O8116" s="165"/>
      <c r="P8116" s="166"/>
      <c r="Q8116" s="166"/>
      <c r="R8116" s="71"/>
    </row>
    <row r="8117" spans="1:18" s="61" customFormat="1" x14ac:dyDescent="0.25">
      <c r="A8117" s="358"/>
      <c r="B8117" s="361"/>
      <c r="C8117" s="194"/>
      <c r="D8117" s="355" t="s">
        <v>5</v>
      </c>
      <c r="E8117" s="355"/>
      <c r="F8117" s="355"/>
      <c r="G8117" s="355"/>
      <c r="H8117" s="195"/>
      <c r="I8117" s="159"/>
      <c r="J8117" s="195"/>
      <c r="K8117" s="161"/>
      <c r="L8117" s="196"/>
      <c r="M8117" s="197"/>
      <c r="N8117" s="164"/>
      <c r="O8117" s="198">
        <f>O8118+O8128+O8139+O8141+O8143+O8145+O8147</f>
        <v>15711.408020786861</v>
      </c>
      <c r="P8117" s="166"/>
      <c r="Q8117" s="166"/>
      <c r="R8117" s="71"/>
    </row>
    <row r="8118" spans="1:18" s="61" customFormat="1" x14ac:dyDescent="0.25">
      <c r="A8118" s="358"/>
      <c r="B8118" s="361"/>
      <c r="C8118" s="218" t="s">
        <v>70</v>
      </c>
      <c r="D8118" s="355" t="s">
        <v>6</v>
      </c>
      <c r="E8118" s="355"/>
      <c r="F8118" s="355"/>
      <c r="G8118" s="355"/>
      <c r="H8118" s="189"/>
      <c r="I8118" s="159"/>
      <c r="J8118" s="189"/>
      <c r="K8118" s="161"/>
      <c r="L8118" s="190"/>
      <c r="M8118" s="197"/>
      <c r="N8118" s="210"/>
      <c r="O8118" s="198">
        <f>O8127</f>
        <v>9495.5902605400006</v>
      </c>
      <c r="P8118" s="166"/>
      <c r="Q8118" s="166"/>
      <c r="R8118" s="71"/>
    </row>
    <row r="8119" spans="1:18" s="61" customFormat="1" ht="31.5" x14ac:dyDescent="0.25">
      <c r="A8119" s="358"/>
      <c r="B8119" s="361"/>
      <c r="C8119" s="221" t="s">
        <v>72</v>
      </c>
      <c r="D8119" s="222" t="s">
        <v>7</v>
      </c>
      <c r="E8119" s="223" t="s">
        <v>8</v>
      </c>
      <c r="F8119" s="223" t="s">
        <v>8</v>
      </c>
      <c r="G8119" s="238">
        <f>MROUND(H8119*L8119*I8119/K8119,0.00000000001)</f>
        <v>167.16604853197998</v>
      </c>
      <c r="H8119" s="160">
        <f>H7399</f>
        <v>3313121.4264326878</v>
      </c>
      <c r="I8119" s="159">
        <f>I8109</f>
        <v>6.8014359999999996E-2</v>
      </c>
      <c r="J8119" s="160"/>
      <c r="K8119" s="161">
        <f>K8109</f>
        <v>1348</v>
      </c>
      <c r="L8119" s="250">
        <v>1</v>
      </c>
      <c r="M8119" s="163" t="str">
        <f t="shared" ref="M8119:M8124" si="2333">CONCATENATE(H8119," ",F8119,"(лимиты выделенные УЖКХ) ","*",I8119,"/",K8119,"чел.")</f>
        <v>3313121,42643269 кВт час.(лимиты выделенные УЖКХ) *0,06801436/1348чел.</v>
      </c>
      <c r="N8119" s="164">
        <f>N7399</f>
        <v>11.333602475424668</v>
      </c>
      <c r="O8119" s="165">
        <f t="shared" ref="O8119:O8122" si="2334">MROUND(G8119*N8119,0.000001)</f>
        <v>1894.593541</v>
      </c>
      <c r="P8119" s="166"/>
      <c r="Q8119" s="166">
        <f t="shared" ref="Q8119:Q8126" si="2335">O8119*K8119</f>
        <v>2553912.0932680001</v>
      </c>
      <c r="R8119" s="71"/>
    </row>
    <row r="8120" spans="1:18" s="61" customFormat="1" ht="31.5" x14ac:dyDescent="0.25">
      <c r="A8120" s="358"/>
      <c r="B8120" s="361"/>
      <c r="C8120" s="221" t="s">
        <v>73</v>
      </c>
      <c r="D8120" s="222" t="s">
        <v>9</v>
      </c>
      <c r="E8120" s="223" t="s">
        <v>10</v>
      </c>
      <c r="F8120" s="223" t="s">
        <v>10</v>
      </c>
      <c r="G8120" s="238">
        <f>MROUND(H8120*L8120*I8120/K8120,0.00000000001)</f>
        <v>1.60940694846</v>
      </c>
      <c r="H8120" s="160">
        <f>H7040</f>
        <v>31897.39</v>
      </c>
      <c r="I8120" s="159">
        <f t="shared" ref="I8120:I8172" si="2336">I8119</f>
        <v>6.8014359999999996E-2</v>
      </c>
      <c r="J8120" s="160"/>
      <c r="K8120" s="161">
        <f t="shared" ref="K8120:K8126" si="2337">K8119</f>
        <v>1348</v>
      </c>
      <c r="L8120" s="250">
        <v>1</v>
      </c>
      <c r="M8120" s="163" t="str">
        <f t="shared" si="2333"/>
        <v>31897,39 Гкал(лимиты выделенные УЖКХ) *0,06801436/1348чел.</v>
      </c>
      <c r="N8120" s="164">
        <f>N7040</f>
        <v>3095.3018623153812</v>
      </c>
      <c r="O8120" s="165">
        <f t="shared" si="2334"/>
        <v>4981.6003249999994</v>
      </c>
      <c r="P8120" s="166"/>
      <c r="Q8120" s="166">
        <f t="shared" si="2335"/>
        <v>6715197.2380999988</v>
      </c>
      <c r="R8120" s="71"/>
    </row>
    <row r="8121" spans="1:18" s="61" customFormat="1" ht="31.5" x14ac:dyDescent="0.25">
      <c r="A8121" s="358"/>
      <c r="B8121" s="361"/>
      <c r="C8121" s="364" t="s">
        <v>74</v>
      </c>
      <c r="D8121" s="222" t="s">
        <v>12</v>
      </c>
      <c r="E8121" s="222" t="s">
        <v>11</v>
      </c>
      <c r="F8121" s="222" t="s">
        <v>11</v>
      </c>
      <c r="G8121" s="238">
        <f>MROUND(H8121*L8121*I8121/K8121,0.00000000001)</f>
        <v>9.3204482295600002</v>
      </c>
      <c r="H8121" s="224">
        <f>H6801</f>
        <v>184725.17</v>
      </c>
      <c r="I8121" s="159">
        <f t="shared" si="2336"/>
        <v>6.8014359999999996E-2</v>
      </c>
      <c r="J8121" s="160"/>
      <c r="K8121" s="161">
        <f t="shared" si="2337"/>
        <v>1348</v>
      </c>
      <c r="L8121" s="250">
        <v>1</v>
      </c>
      <c r="M8121" s="163" t="str">
        <f t="shared" si="2333"/>
        <v>184725,17 м3(лимиты выделенные УЖКХ) *0,06801436/1348чел.</v>
      </c>
      <c r="N8121" s="164">
        <f>N6801</f>
        <v>56.382747245543193</v>
      </c>
      <c r="O8121" s="165">
        <f t="shared" si="2334"/>
        <v>525.51247699999999</v>
      </c>
      <c r="P8121" s="166"/>
      <c r="Q8121" s="166">
        <f t="shared" si="2335"/>
        <v>708390.81899599999</v>
      </c>
      <c r="R8121" s="71"/>
    </row>
    <row r="8122" spans="1:18" s="61" customFormat="1" ht="47.25" x14ac:dyDescent="0.25">
      <c r="A8122" s="358"/>
      <c r="B8122" s="361"/>
      <c r="C8122" s="364"/>
      <c r="D8122" s="222" t="s">
        <v>17</v>
      </c>
      <c r="E8122" s="222" t="s">
        <v>11</v>
      </c>
      <c r="F8122" s="222" t="s">
        <v>11</v>
      </c>
      <c r="G8122" s="238">
        <f>MROUND(H8122*L8122*I8122/K8122,0.00000000001)</f>
        <v>9.3204482295600002</v>
      </c>
      <c r="H8122" s="160">
        <f>H7042</f>
        <v>184725.17</v>
      </c>
      <c r="I8122" s="159">
        <f t="shared" si="2336"/>
        <v>6.8014359999999996E-2</v>
      </c>
      <c r="J8122" s="160"/>
      <c r="K8122" s="161">
        <f t="shared" si="2337"/>
        <v>1348</v>
      </c>
      <c r="L8122" s="162">
        <f>$L$6802</f>
        <v>1</v>
      </c>
      <c r="M8122" s="163" t="str">
        <f t="shared" si="2333"/>
        <v>184725,17 м3(лимиты выделенные УЖКХ) *0,06801436/1348чел.</v>
      </c>
      <c r="N8122" s="164">
        <f>N6802</f>
        <v>85.679537612054773</v>
      </c>
      <c r="O8122" s="165">
        <f t="shared" si="2334"/>
        <v>798.57169499999998</v>
      </c>
      <c r="P8122" s="166"/>
      <c r="Q8122" s="166">
        <f t="shared" si="2335"/>
        <v>1076474.6448599999</v>
      </c>
      <c r="R8122" s="71"/>
    </row>
    <row r="8123" spans="1:18" s="61" customFormat="1" ht="31.5" x14ac:dyDescent="0.25">
      <c r="A8123" s="358"/>
      <c r="B8123" s="361"/>
      <c r="C8123" s="364"/>
      <c r="D8123" s="222" t="s">
        <v>13</v>
      </c>
      <c r="E8123" s="222" t="s">
        <v>11</v>
      </c>
      <c r="F8123" s="222" t="s">
        <v>11</v>
      </c>
      <c r="G8123" s="238">
        <f>MROUND(H8123*L8123*I8123/K8123,0.00000000001)</f>
        <v>9.3204482295600002</v>
      </c>
      <c r="H8123" s="160">
        <f>H6803</f>
        <v>184725.17</v>
      </c>
      <c r="I8123" s="159">
        <f t="shared" si="2336"/>
        <v>6.8014359999999996E-2</v>
      </c>
      <c r="J8123" s="160"/>
      <c r="K8123" s="161">
        <f t="shared" si="2337"/>
        <v>1348</v>
      </c>
      <c r="L8123" s="162">
        <v>1</v>
      </c>
      <c r="M8123" s="163" t="str">
        <f t="shared" si="2333"/>
        <v>184725,17 м3(лимиты выделенные УЖКХ) *0,06801436/1348чел.</v>
      </c>
      <c r="N8123" s="164">
        <f>N6803</f>
        <v>116.85554734686012</v>
      </c>
      <c r="O8123" s="165">
        <f>MROUND(G8123*N8123,0.00000001)</f>
        <v>1089.1460793799999</v>
      </c>
      <c r="P8123" s="166"/>
      <c r="Q8123" s="166">
        <f t="shared" si="2335"/>
        <v>1468168.9150042399</v>
      </c>
      <c r="R8123" s="71"/>
    </row>
    <row r="8124" spans="1:18" s="61" customFormat="1" ht="31.5" x14ac:dyDescent="0.25">
      <c r="A8124" s="358"/>
      <c r="B8124" s="361"/>
      <c r="C8124" s="221" t="s">
        <v>75</v>
      </c>
      <c r="D8124" s="222" t="s">
        <v>18</v>
      </c>
      <c r="E8124" s="222" t="s">
        <v>48</v>
      </c>
      <c r="F8124" s="222" t="s">
        <v>48</v>
      </c>
      <c r="G8124" s="238">
        <f>MROUND(H8124*L8124*I8124/K8124,0.0000000001)</f>
        <v>0.70070936640000003</v>
      </c>
      <c r="H8124" s="160">
        <f>H6804</f>
        <v>13887.6</v>
      </c>
      <c r="I8124" s="159">
        <f t="shared" si="2336"/>
        <v>6.8014359999999996E-2</v>
      </c>
      <c r="J8124" s="160"/>
      <c r="K8124" s="161">
        <f t="shared" si="2337"/>
        <v>1348</v>
      </c>
      <c r="L8124" s="250">
        <v>1</v>
      </c>
      <c r="M8124" s="163" t="str">
        <f t="shared" si="2333"/>
        <v>13887,6 тыс. м3(лимиты выделенные УЖКХ) *0,06801436/1348чел.</v>
      </c>
      <c r="N8124" s="164">
        <f>N6804</f>
        <v>31.799284973645559</v>
      </c>
      <c r="O8124" s="165">
        <f t="shared" ref="O8124" si="2338">MROUND(G8124*N8124,0.000001)</f>
        <v>22.282056999999998</v>
      </c>
      <c r="P8124" s="166"/>
      <c r="Q8124" s="166">
        <f t="shared" si="2335"/>
        <v>30036.212835999999</v>
      </c>
      <c r="R8124" s="71"/>
    </row>
    <row r="8125" spans="1:18" s="61" customFormat="1" x14ac:dyDescent="0.25">
      <c r="A8125" s="358"/>
      <c r="B8125" s="361"/>
      <c r="C8125" s="364" t="s">
        <v>216</v>
      </c>
      <c r="D8125" s="222" t="s">
        <v>23</v>
      </c>
      <c r="E8125" s="222" t="s">
        <v>11</v>
      </c>
      <c r="F8125" s="222" t="s">
        <v>11</v>
      </c>
      <c r="G8125" s="238">
        <f>MROUND(H8125*L8125*I8125/K8125,0.000000000001)</f>
        <v>0.16996728017099999</v>
      </c>
      <c r="H8125" s="160">
        <f>H6805</f>
        <v>3368.6400000000003</v>
      </c>
      <c r="I8125" s="159">
        <f t="shared" si="2336"/>
        <v>6.8014359999999996E-2</v>
      </c>
      <c r="J8125" s="160"/>
      <c r="K8125" s="161">
        <f t="shared" si="2337"/>
        <v>1348</v>
      </c>
      <c r="L8125" s="162">
        <f>L8124</f>
        <v>1</v>
      </c>
      <c r="M8125" s="163" t="str">
        <f>CONCATENATE(H8125," ",F8125," ","*",I8125,"/",K8125,"чел.")</f>
        <v>3368,64 м3 *0,06801436/1348чел.</v>
      </c>
      <c r="N8125" s="164">
        <f>N6805</f>
        <v>807.40973805452643</v>
      </c>
      <c r="O8125" s="165">
        <f>MROUND(G8125*N8125,0.00000001)</f>
        <v>137.23323716000002</v>
      </c>
      <c r="P8125" s="166"/>
      <c r="Q8125" s="166">
        <f t="shared" si="2335"/>
        <v>184990.40369168003</v>
      </c>
      <c r="R8125" s="71"/>
    </row>
    <row r="8126" spans="1:18" s="61" customFormat="1" ht="63" x14ac:dyDescent="0.25">
      <c r="A8126" s="358"/>
      <c r="B8126" s="361"/>
      <c r="C8126" s="364"/>
      <c r="D8126" s="222" t="s">
        <v>24</v>
      </c>
      <c r="E8126" s="222" t="s">
        <v>25</v>
      </c>
      <c r="F8126" s="222" t="s">
        <v>217</v>
      </c>
      <c r="G8126" s="238">
        <f>MROUND(H8126*L8126*I8126/K8126,0.000000000001)</f>
        <v>7.4169962309999999E-3</v>
      </c>
      <c r="H8126" s="160">
        <f>H7406</f>
        <v>147</v>
      </c>
      <c r="I8126" s="159">
        <f t="shared" si="2336"/>
        <v>6.8014359999999996E-2</v>
      </c>
      <c r="J8126" s="160"/>
      <c r="K8126" s="161">
        <f t="shared" si="2337"/>
        <v>1348</v>
      </c>
      <c r="L8126" s="250">
        <f>L8125</f>
        <v>1</v>
      </c>
      <c r="M8126" s="163" t="str">
        <f>CONCATENATE(H8126," ",F8126,"(потребность из расчета 4 контейнера для уборки территории весной и осенью на 1 учреждение)","*",I8126,"/",K8126,"чел.")</f>
        <v>147 контейнера(потребность из расчета 4 контейнера для уборки территории весной и осенью на 1 учреждение)*0,06801436/1348чел.</v>
      </c>
      <c r="N8126" s="164">
        <f>N7406</f>
        <v>6289.7226530612279</v>
      </c>
      <c r="O8126" s="165">
        <f t="shared" ref="O8126" si="2339">MROUND(G8126*N8126,0.000001)</f>
        <v>46.650849000000001</v>
      </c>
      <c r="P8126" s="166"/>
      <c r="Q8126" s="166">
        <f t="shared" si="2335"/>
        <v>62885.344452000005</v>
      </c>
      <c r="R8126" s="71"/>
    </row>
    <row r="8127" spans="1:18" s="62" customFormat="1" x14ac:dyDescent="0.25">
      <c r="A8127" s="358"/>
      <c r="B8127" s="361"/>
      <c r="C8127" s="218" t="s">
        <v>290</v>
      </c>
      <c r="D8127" s="226"/>
      <c r="E8127" s="226"/>
      <c r="F8127" s="226"/>
      <c r="G8127" s="227"/>
      <c r="H8127" s="228"/>
      <c r="I8127" s="206"/>
      <c r="J8127" s="228"/>
      <c r="K8127" s="207"/>
      <c r="L8127" s="257"/>
      <c r="M8127" s="209"/>
      <c r="N8127" s="210"/>
      <c r="O8127" s="198">
        <f>SUM(O8119:O8126)</f>
        <v>9495.5902605400006</v>
      </c>
      <c r="P8127" s="267"/>
      <c r="Q8127" s="166"/>
      <c r="R8127" s="71"/>
    </row>
    <row r="8128" spans="1:18" s="61" customFormat="1" x14ac:dyDescent="0.25">
      <c r="A8128" s="358"/>
      <c r="B8128" s="361"/>
      <c r="C8128" s="221"/>
      <c r="D8128" s="356" t="s">
        <v>14</v>
      </c>
      <c r="E8128" s="356"/>
      <c r="F8128" s="356"/>
      <c r="G8128" s="356"/>
      <c r="H8128" s="188"/>
      <c r="I8128" s="159"/>
      <c r="J8128" s="188"/>
      <c r="K8128" s="161"/>
      <c r="L8128" s="250"/>
      <c r="M8128" s="230"/>
      <c r="N8128" s="164"/>
      <c r="O8128" s="198">
        <f>O8136+O8137+O8132</f>
        <v>5046.1104974268592</v>
      </c>
      <c r="P8128" s="166"/>
      <c r="Q8128" s="166"/>
      <c r="R8128" s="71"/>
    </row>
    <row r="8129" spans="1:18" s="61" customFormat="1" x14ac:dyDescent="0.25">
      <c r="A8129" s="358"/>
      <c r="B8129" s="361"/>
      <c r="C8129" s="221" t="s">
        <v>379</v>
      </c>
      <c r="D8129" s="231" t="s">
        <v>49</v>
      </c>
      <c r="E8129" s="231" t="s">
        <v>22</v>
      </c>
      <c r="F8129" s="231" t="s">
        <v>22</v>
      </c>
      <c r="G8129" s="238">
        <f>MROUND(H8129*L8129*I8129/K8129,0.000000001)</f>
        <v>0</v>
      </c>
      <c r="H8129" s="160"/>
      <c r="I8129" s="159">
        <f>I8124</f>
        <v>6.8014359999999996E-2</v>
      </c>
      <c r="J8129" s="160"/>
      <c r="K8129" s="161">
        <f>K8124</f>
        <v>1348</v>
      </c>
      <c r="L8129" s="250"/>
      <c r="M8129" s="163"/>
      <c r="N8129" s="164"/>
      <c r="O8129" s="165">
        <f>MROUND(G8129*N8129,0.00000001)</f>
        <v>0</v>
      </c>
      <c r="P8129" s="166"/>
      <c r="Q8129" s="166">
        <f t="shared" ref="Q8129:Q8131" si="2340">O8129*K8129</f>
        <v>0</v>
      </c>
      <c r="R8129" s="71"/>
    </row>
    <row r="8130" spans="1:18" s="61" customFormat="1" x14ac:dyDescent="0.25">
      <c r="A8130" s="358"/>
      <c r="B8130" s="361"/>
      <c r="C8130" s="221" t="s">
        <v>379</v>
      </c>
      <c r="D8130" s="231" t="s">
        <v>49</v>
      </c>
      <c r="E8130" s="231" t="s">
        <v>28</v>
      </c>
      <c r="F8130" s="231" t="s">
        <v>28</v>
      </c>
      <c r="G8130" s="238">
        <f>MROUND(H8130*L8130*I8130/K8130,0.0000000000000001)</f>
        <v>0</v>
      </c>
      <c r="H8130" s="160"/>
      <c r="I8130" s="159">
        <f t="shared" si="2336"/>
        <v>6.8014359999999996E-2</v>
      </c>
      <c r="J8130" s="160"/>
      <c r="K8130" s="161">
        <f>K8129</f>
        <v>1348</v>
      </c>
      <c r="L8130" s="250">
        <v>1</v>
      </c>
      <c r="M8130" s="163"/>
      <c r="N8130" s="164"/>
      <c r="O8130" s="165">
        <f>MROUND(G8130*N8130,0.00000001)</f>
        <v>0</v>
      </c>
      <c r="P8130" s="166"/>
      <c r="Q8130" s="166">
        <f t="shared" si="2340"/>
        <v>0</v>
      </c>
      <c r="R8130" s="71"/>
    </row>
    <row r="8131" spans="1:18" s="61" customFormat="1" x14ac:dyDescent="0.25">
      <c r="A8131" s="358"/>
      <c r="B8131" s="361"/>
      <c r="C8131" s="221" t="s">
        <v>379</v>
      </c>
      <c r="D8131" s="231" t="s">
        <v>49</v>
      </c>
      <c r="E8131" s="231" t="s">
        <v>101</v>
      </c>
      <c r="F8131" s="231" t="s">
        <v>101</v>
      </c>
      <c r="G8131" s="238">
        <f>MROUND(H8131*L8131*I8131/K8131,0.000000001)</f>
        <v>0</v>
      </c>
      <c r="H8131" s="160"/>
      <c r="I8131" s="159">
        <f t="shared" si="2336"/>
        <v>6.8014359999999996E-2</v>
      </c>
      <c r="J8131" s="160"/>
      <c r="K8131" s="161">
        <f>K8130</f>
        <v>1348</v>
      </c>
      <c r="L8131" s="250"/>
      <c r="M8131" s="163"/>
      <c r="N8131" s="164"/>
      <c r="O8131" s="165">
        <f>MROUND(G8131*N8131,0.00000001)</f>
        <v>0</v>
      </c>
      <c r="P8131" s="166"/>
      <c r="Q8131" s="166">
        <f t="shared" si="2340"/>
        <v>0</v>
      </c>
      <c r="R8131" s="71"/>
    </row>
    <row r="8132" spans="1:18" s="62" customFormat="1" x14ac:dyDescent="0.25">
      <c r="A8132" s="358"/>
      <c r="B8132" s="361"/>
      <c r="C8132" s="218" t="s">
        <v>380</v>
      </c>
      <c r="D8132" s="232"/>
      <c r="E8132" s="232"/>
      <c r="F8132" s="232"/>
      <c r="G8132" s="227"/>
      <c r="H8132" s="228"/>
      <c r="I8132" s="206"/>
      <c r="J8132" s="228"/>
      <c r="K8132" s="207"/>
      <c r="L8132" s="257"/>
      <c r="M8132" s="209"/>
      <c r="N8132" s="210"/>
      <c r="O8132" s="198">
        <f>SUM(O8129:O8131)</f>
        <v>0</v>
      </c>
      <c r="P8132" s="267"/>
      <c r="Q8132" s="166"/>
      <c r="R8132" s="71"/>
    </row>
    <row r="8133" spans="1:18" s="61" customFormat="1" x14ac:dyDescent="0.25">
      <c r="A8133" s="358"/>
      <c r="B8133" s="361"/>
      <c r="C8133" s="221" t="s">
        <v>76</v>
      </c>
      <c r="D8133" s="231" t="s">
        <v>49</v>
      </c>
      <c r="E8133" s="231" t="s">
        <v>22</v>
      </c>
      <c r="F8133" s="231" t="s">
        <v>22</v>
      </c>
      <c r="G8133" s="238">
        <f>MROUND(H8133*L8133*I8133/K8133,0.000000000000001)</f>
        <v>1.2942406145103862</v>
      </c>
      <c r="H8133" s="160">
        <f>H7293</f>
        <v>25651</v>
      </c>
      <c r="I8133" s="159">
        <f>I8129</f>
        <v>6.8014359999999996E-2</v>
      </c>
      <c r="J8133" s="160"/>
      <c r="K8133" s="161">
        <f>K8131</f>
        <v>1348</v>
      </c>
      <c r="L8133" s="250">
        <v>1</v>
      </c>
      <c r="M8133" s="163" t="str">
        <f>CONCATENATE(H8133," ",F8133,"*",I8133,"/",K8133,"чел.")</f>
        <v>25651 м2*0,06801436/1348чел.</v>
      </c>
      <c r="N8133" s="164">
        <f>N7293</f>
        <v>2452.3410393356985</v>
      </c>
      <c r="O8133" s="165">
        <f>MROUND(G8133*N8133,0.00000000001)</f>
        <v>3173.9193737388696</v>
      </c>
      <c r="P8133" s="166"/>
      <c r="Q8133" s="166">
        <f t="shared" ref="Q8133:Q8135" si="2341">O8133*K8133</f>
        <v>4278443.3157999963</v>
      </c>
      <c r="R8133" s="71"/>
    </row>
    <row r="8134" spans="1:18" s="61" customFormat="1" x14ac:dyDescent="0.25">
      <c r="A8134" s="358"/>
      <c r="B8134" s="361"/>
      <c r="C8134" s="221"/>
      <c r="D8134" s="231" t="s">
        <v>49</v>
      </c>
      <c r="E8134" s="231" t="s">
        <v>28</v>
      </c>
      <c r="F8134" s="231" t="s">
        <v>28</v>
      </c>
      <c r="G8134" s="238">
        <f>MROUND(H8134*L8134*I8134/K8134,0.0000000000001)</f>
        <v>9.4200897715099999E-2</v>
      </c>
      <c r="H8134" s="160">
        <f>H7294</f>
        <v>1867</v>
      </c>
      <c r="I8134" s="159">
        <f t="shared" si="2336"/>
        <v>6.8014359999999996E-2</v>
      </c>
      <c r="J8134" s="160"/>
      <c r="K8134" s="161">
        <f>K8133</f>
        <v>1348</v>
      </c>
      <c r="L8134" s="250">
        <v>1</v>
      </c>
      <c r="M8134" s="163" t="str">
        <f>CONCATENATE(H8134," ",F8134,"*",I8134,"/",K8134,"чел.")</f>
        <v>1867 шт*0,06801436/1348чел.</v>
      </c>
      <c r="N8134" s="164">
        <f>N7294</f>
        <v>18299.732190680235</v>
      </c>
      <c r="O8134" s="165">
        <f>MROUND(G8134*N8134,0.00000000001)</f>
        <v>1723.85120030799</v>
      </c>
      <c r="P8134" s="166"/>
      <c r="Q8134" s="166">
        <f t="shared" si="2341"/>
        <v>2323751.4180151704</v>
      </c>
      <c r="R8134" s="71"/>
    </row>
    <row r="8135" spans="1:18" s="61" customFormat="1" x14ac:dyDescent="0.25">
      <c r="A8135" s="358"/>
      <c r="B8135" s="361"/>
      <c r="C8135" s="221"/>
      <c r="D8135" s="231" t="s">
        <v>49</v>
      </c>
      <c r="E8135" s="231" t="s">
        <v>101</v>
      </c>
      <c r="F8135" s="231" t="s">
        <v>101</v>
      </c>
      <c r="G8135" s="238">
        <f>MROUND(H8135*L8135*I8135/K8135,0.000000001)</f>
        <v>3.2291684000000001E-2</v>
      </c>
      <c r="H8135" s="160">
        <f>H7295</f>
        <v>640</v>
      </c>
      <c r="I8135" s="159">
        <f t="shared" si="2336"/>
        <v>6.8014359999999996E-2</v>
      </c>
      <c r="J8135" s="160"/>
      <c r="K8135" s="161">
        <f>K8134</f>
        <v>1348</v>
      </c>
      <c r="L8135" s="250">
        <v>1</v>
      </c>
      <c r="M8135" s="163" t="str">
        <f>CONCATENATE(H8135," ",F8135,"*",I8135,"/",K8135,"чел.")</f>
        <v>640 погон.м.*0,06801436/1348чел.</v>
      </c>
      <c r="N8135" s="164">
        <f>N7295</f>
        <v>4593.75</v>
      </c>
      <c r="O8135" s="165">
        <f>MROUND(G8135*N8135,0.00000001)</f>
        <v>148.33992338000002</v>
      </c>
      <c r="P8135" s="166"/>
      <c r="Q8135" s="166">
        <f t="shared" si="2341"/>
        <v>199962.21671624001</v>
      </c>
      <c r="R8135" s="71"/>
    </row>
    <row r="8136" spans="1:18" s="62" customFormat="1" x14ac:dyDescent="0.25">
      <c r="A8136" s="358"/>
      <c r="B8136" s="361"/>
      <c r="C8136" s="218" t="s">
        <v>291</v>
      </c>
      <c r="D8136" s="232"/>
      <c r="E8136" s="232"/>
      <c r="F8136" s="232"/>
      <c r="G8136" s="227"/>
      <c r="H8136" s="228"/>
      <c r="I8136" s="206"/>
      <c r="J8136" s="228"/>
      <c r="K8136" s="207"/>
      <c r="L8136" s="257"/>
      <c r="M8136" s="209"/>
      <c r="N8136" s="210"/>
      <c r="O8136" s="198">
        <f>SUM(O8133:O8135)</f>
        <v>5046.1104974268592</v>
      </c>
      <c r="P8136" s="267"/>
      <c r="Q8136" s="166"/>
      <c r="R8136" s="71"/>
    </row>
    <row r="8137" spans="1:18" s="61" customFormat="1" x14ac:dyDescent="0.25">
      <c r="A8137" s="358"/>
      <c r="B8137" s="361"/>
      <c r="C8137" s="221" t="s">
        <v>77</v>
      </c>
      <c r="D8137" s="231"/>
      <c r="E8137" s="231"/>
      <c r="F8137" s="231"/>
      <c r="G8137" s="238">
        <f>MROUND(H8137*L8137*I8137/K8137,0.00000000001)</f>
        <v>0</v>
      </c>
      <c r="H8137" s="160">
        <f>H7897</f>
        <v>0</v>
      </c>
      <c r="I8137" s="159">
        <f>I8135</f>
        <v>6.8014359999999996E-2</v>
      </c>
      <c r="J8137" s="160"/>
      <c r="K8137" s="161">
        <f>K8135</f>
        <v>1348</v>
      </c>
      <c r="L8137" s="250"/>
      <c r="M8137" s="163"/>
      <c r="N8137" s="164">
        <f>N7897</f>
        <v>0</v>
      </c>
      <c r="O8137" s="165">
        <f>MROUND(G8137*N8137,0.000000001)</f>
        <v>0</v>
      </c>
      <c r="P8137" s="166"/>
      <c r="Q8137" s="166">
        <f t="shared" ref="Q8137" si="2342">O8137*K8137</f>
        <v>0</v>
      </c>
      <c r="R8137" s="71"/>
    </row>
    <row r="8138" spans="1:18" s="62" customFormat="1" x14ac:dyDescent="0.25">
      <c r="A8138" s="358"/>
      <c r="B8138" s="361"/>
      <c r="C8138" s="218" t="s">
        <v>292</v>
      </c>
      <c r="D8138" s="232"/>
      <c r="E8138" s="232"/>
      <c r="F8138" s="232"/>
      <c r="G8138" s="227"/>
      <c r="H8138" s="228"/>
      <c r="I8138" s="206"/>
      <c r="J8138" s="228"/>
      <c r="K8138" s="207"/>
      <c r="L8138" s="257"/>
      <c r="M8138" s="209"/>
      <c r="N8138" s="210"/>
      <c r="O8138" s="198">
        <f>O8137</f>
        <v>0</v>
      </c>
      <c r="P8138" s="267"/>
      <c r="Q8138" s="166"/>
      <c r="R8138" s="71"/>
    </row>
    <row r="8139" spans="1:18" s="61" customFormat="1" x14ac:dyDescent="0.25">
      <c r="A8139" s="358"/>
      <c r="B8139" s="361"/>
      <c r="C8139" s="221"/>
      <c r="D8139" s="350" t="s">
        <v>65</v>
      </c>
      <c r="E8139" s="350"/>
      <c r="F8139" s="350"/>
      <c r="G8139" s="350"/>
      <c r="H8139" s="195"/>
      <c r="I8139" s="159"/>
      <c r="J8139" s="195"/>
      <c r="K8139" s="161"/>
      <c r="L8139" s="196"/>
      <c r="M8139" s="230"/>
      <c r="N8139" s="164"/>
      <c r="O8139" s="165">
        <f t="shared" ref="O8139:O8140" si="2343">MROUND(G8139*N8139,0.000001)</f>
        <v>0</v>
      </c>
      <c r="P8139" s="166"/>
      <c r="Q8139" s="166"/>
      <c r="R8139" s="71"/>
    </row>
    <row r="8140" spans="1:18" s="61" customFormat="1" x14ac:dyDescent="0.25">
      <c r="A8140" s="358"/>
      <c r="B8140" s="361"/>
      <c r="C8140" s="221"/>
      <c r="D8140" s="194"/>
      <c r="E8140" s="194"/>
      <c r="F8140" s="194"/>
      <c r="G8140" s="217"/>
      <c r="H8140" s="195"/>
      <c r="I8140" s="159"/>
      <c r="J8140" s="195"/>
      <c r="K8140" s="161"/>
      <c r="L8140" s="196"/>
      <c r="M8140" s="230"/>
      <c r="N8140" s="164"/>
      <c r="O8140" s="165">
        <f t="shared" si="2343"/>
        <v>0</v>
      </c>
      <c r="P8140" s="166"/>
      <c r="Q8140" s="166"/>
      <c r="R8140" s="71"/>
    </row>
    <row r="8141" spans="1:18" s="61" customFormat="1" x14ac:dyDescent="0.25">
      <c r="A8141" s="358"/>
      <c r="B8141" s="361"/>
      <c r="C8141" s="221" t="s">
        <v>357</v>
      </c>
      <c r="D8141" s="368" t="s">
        <v>66</v>
      </c>
      <c r="E8141" s="368"/>
      <c r="F8141" s="368"/>
      <c r="G8141" s="368"/>
      <c r="H8141" s="195"/>
      <c r="I8141" s="159"/>
      <c r="J8141" s="195"/>
      <c r="K8141" s="161"/>
      <c r="L8141" s="234"/>
      <c r="M8141" s="230"/>
      <c r="N8141" s="164"/>
      <c r="O8141" s="198">
        <f>O8142</f>
        <v>29.616524999999999</v>
      </c>
      <c r="P8141" s="166"/>
      <c r="Q8141" s="166"/>
      <c r="R8141" s="71"/>
    </row>
    <row r="8142" spans="1:18" s="61" customFormat="1" ht="47.25" x14ac:dyDescent="0.25">
      <c r="A8142" s="358"/>
      <c r="B8142" s="361"/>
      <c r="C8142" s="221"/>
      <c r="D8142" s="222" t="s">
        <v>374</v>
      </c>
      <c r="E8142" s="194" t="s">
        <v>28</v>
      </c>
      <c r="F8142" s="194" t="s">
        <v>28</v>
      </c>
      <c r="G8142" s="217">
        <f>MROUND(H8142*L8142*I8142/K8142,0.000000001)</f>
        <v>7.2656290000000009E-3</v>
      </c>
      <c r="H8142" s="201">
        <f>H7542</f>
        <v>36</v>
      </c>
      <c r="I8142" s="159">
        <f>I8137</f>
        <v>6.8014359999999996E-2</v>
      </c>
      <c r="J8142" s="195"/>
      <c r="K8142" s="161">
        <f>K8137</f>
        <v>1348</v>
      </c>
      <c r="L8142" s="235">
        <f>L7542</f>
        <v>4</v>
      </c>
      <c r="M8142" s="163" t="str">
        <f>CONCATENATE(H8142," ",F8142,"*",I8142,"/",K8142,"чел.")</f>
        <v>36 шт*0,06801436/1348чел.</v>
      </c>
      <c r="N8142" s="164">
        <f>N7542</f>
        <v>4076.2506250000024</v>
      </c>
      <c r="O8142" s="165">
        <f>MROUND(G8142*N8142,0.000001)</f>
        <v>29.616524999999999</v>
      </c>
      <c r="P8142" s="166"/>
      <c r="Q8142" s="166">
        <f t="shared" ref="Q8142" si="2344">O8142*K8142</f>
        <v>39923.075700000001</v>
      </c>
      <c r="R8142" s="71"/>
    </row>
    <row r="8143" spans="1:18" s="61" customFormat="1" x14ac:dyDescent="0.25">
      <c r="A8143" s="358"/>
      <c r="B8143" s="361"/>
      <c r="C8143" s="221"/>
      <c r="D8143" s="368" t="s">
        <v>67</v>
      </c>
      <c r="E8143" s="368"/>
      <c r="F8143" s="368"/>
      <c r="G8143" s="368"/>
      <c r="H8143" s="195"/>
      <c r="I8143" s="159"/>
      <c r="J8143" s="195"/>
      <c r="K8143" s="161"/>
      <c r="L8143" s="196"/>
      <c r="M8143" s="230"/>
      <c r="N8143" s="164"/>
      <c r="O8143" s="165">
        <f t="shared" ref="O8143:O8146" si="2345">MROUND(G8143*N8143,0.000001)</f>
        <v>0</v>
      </c>
      <c r="P8143" s="166"/>
      <c r="Q8143" s="166"/>
      <c r="R8143" s="71"/>
    </row>
    <row r="8144" spans="1:18" s="61" customFormat="1" x14ac:dyDescent="0.25">
      <c r="A8144" s="358"/>
      <c r="B8144" s="361"/>
      <c r="C8144" s="221"/>
      <c r="D8144" s="194"/>
      <c r="E8144" s="194"/>
      <c r="F8144" s="194"/>
      <c r="G8144" s="217"/>
      <c r="H8144" s="195"/>
      <c r="I8144" s="159"/>
      <c r="J8144" s="195"/>
      <c r="K8144" s="161"/>
      <c r="L8144" s="196"/>
      <c r="M8144" s="230"/>
      <c r="N8144" s="164"/>
      <c r="O8144" s="165">
        <f t="shared" si="2345"/>
        <v>0</v>
      </c>
      <c r="P8144" s="166"/>
      <c r="Q8144" s="166"/>
      <c r="R8144" s="71"/>
    </row>
    <row r="8145" spans="1:41" s="61" customFormat="1" x14ac:dyDescent="0.25">
      <c r="A8145" s="358"/>
      <c r="B8145" s="361"/>
      <c r="C8145" s="221"/>
      <c r="D8145" s="350" t="s">
        <v>68</v>
      </c>
      <c r="E8145" s="350"/>
      <c r="F8145" s="350"/>
      <c r="G8145" s="350"/>
      <c r="H8145" s="195"/>
      <c r="I8145" s="159"/>
      <c r="J8145" s="195"/>
      <c r="K8145" s="161"/>
      <c r="L8145" s="196"/>
      <c r="M8145" s="230"/>
      <c r="N8145" s="164"/>
      <c r="O8145" s="165">
        <f t="shared" si="2345"/>
        <v>0</v>
      </c>
      <c r="P8145" s="166"/>
      <c r="Q8145" s="166"/>
      <c r="R8145" s="71"/>
    </row>
    <row r="8146" spans="1:41" s="61" customFormat="1" x14ac:dyDescent="0.25">
      <c r="A8146" s="358"/>
      <c r="B8146" s="361"/>
      <c r="C8146" s="221"/>
      <c r="D8146" s="156"/>
      <c r="E8146" s="156"/>
      <c r="F8146" s="156"/>
      <c r="G8146" s="236"/>
      <c r="H8146" s="195"/>
      <c r="I8146" s="159"/>
      <c r="J8146" s="195"/>
      <c r="K8146" s="161"/>
      <c r="L8146" s="196"/>
      <c r="M8146" s="230"/>
      <c r="N8146" s="164"/>
      <c r="O8146" s="165">
        <f t="shared" si="2345"/>
        <v>0</v>
      </c>
      <c r="P8146" s="166"/>
      <c r="Q8146" s="166"/>
      <c r="R8146" s="71"/>
    </row>
    <row r="8147" spans="1:41" s="61" customFormat="1" x14ac:dyDescent="0.25">
      <c r="A8147" s="358"/>
      <c r="B8147" s="361"/>
      <c r="C8147" s="221"/>
      <c r="D8147" s="368" t="s">
        <v>69</v>
      </c>
      <c r="E8147" s="368"/>
      <c r="F8147" s="368"/>
      <c r="G8147" s="368"/>
      <c r="H8147" s="187"/>
      <c r="I8147" s="159"/>
      <c r="J8147" s="187"/>
      <c r="K8147" s="161"/>
      <c r="L8147" s="276"/>
      <c r="M8147" s="230"/>
      <c r="N8147" s="164"/>
      <c r="O8147" s="198">
        <f>O8149+O8156+O8173+O8175+O8190+O8192+O8194+O8219+O8221+O8226+O8223</f>
        <v>1140.09073782</v>
      </c>
      <c r="P8147" s="166"/>
      <c r="Q8147" s="166"/>
      <c r="R8147" s="71"/>
    </row>
    <row r="8148" spans="1:41" s="61" customFormat="1" x14ac:dyDescent="0.25">
      <c r="A8148" s="358"/>
      <c r="B8148" s="361"/>
      <c r="C8148" s="221">
        <v>224</v>
      </c>
      <c r="D8148" s="156" t="s">
        <v>21</v>
      </c>
      <c r="E8148" s="156" t="s">
        <v>22</v>
      </c>
      <c r="F8148" s="156" t="s">
        <v>22</v>
      </c>
      <c r="G8148" s="238">
        <f>MROUND(H8148*L8148*I8148/K8148,0.000001)</f>
        <v>0</v>
      </c>
      <c r="H8148" s="158"/>
      <c r="I8148" s="159">
        <f>I8142</f>
        <v>6.8014359999999996E-2</v>
      </c>
      <c r="J8148" s="160"/>
      <c r="K8148" s="161">
        <f>K8142</f>
        <v>1348</v>
      </c>
      <c r="L8148" s="250"/>
      <c r="M8148" s="163"/>
      <c r="N8148" s="164"/>
      <c r="O8148" s="165">
        <f>MROUND(G8148*N8148,0.000001)</f>
        <v>0</v>
      </c>
      <c r="P8148" s="166"/>
      <c r="Q8148" s="166">
        <f t="shared" ref="Q8148" si="2346">O8148*K8148</f>
        <v>0</v>
      </c>
      <c r="R8148" s="71"/>
    </row>
    <row r="8149" spans="1:41" s="62" customFormat="1" x14ac:dyDescent="0.25">
      <c r="A8149" s="358"/>
      <c r="B8149" s="361"/>
      <c r="C8149" s="218" t="s">
        <v>293</v>
      </c>
      <c r="D8149" s="240"/>
      <c r="E8149" s="240"/>
      <c r="F8149" s="240"/>
      <c r="G8149" s="227"/>
      <c r="H8149" s="241"/>
      <c r="I8149" s="206"/>
      <c r="J8149" s="228"/>
      <c r="K8149" s="207"/>
      <c r="L8149" s="257"/>
      <c r="M8149" s="209"/>
      <c r="N8149" s="210"/>
      <c r="O8149" s="198">
        <f>SUM(O8148)</f>
        <v>0</v>
      </c>
      <c r="P8149" s="267"/>
      <c r="Q8149" s="166"/>
      <c r="R8149" s="71"/>
    </row>
    <row r="8150" spans="1:41" s="61" customFormat="1" ht="31.5" x14ac:dyDescent="0.25">
      <c r="A8150" s="358"/>
      <c r="B8150" s="361"/>
      <c r="C8150" s="364" t="s">
        <v>78</v>
      </c>
      <c r="D8150" s="156" t="s">
        <v>26</v>
      </c>
      <c r="E8150" s="156" t="s">
        <v>22</v>
      </c>
      <c r="F8150" s="156" t="s">
        <v>22</v>
      </c>
      <c r="G8150" s="238">
        <f>MROUND(H8150*L8150*I8150/K8150,0.000001)</f>
        <v>15.645320999999999</v>
      </c>
      <c r="H8150" s="158">
        <f>H6830</f>
        <v>25840</v>
      </c>
      <c r="I8150" s="159">
        <f>I8148</f>
        <v>6.8014359999999996E-2</v>
      </c>
      <c r="J8150" s="160"/>
      <c r="K8150" s="161">
        <f>K8148</f>
        <v>1348</v>
      </c>
      <c r="L8150" s="250">
        <v>12</v>
      </c>
      <c r="M8150" s="163" t="str">
        <f>CONCATENATE(H8150," ",F8150,"(обрабатываемая площадь в мес.)","*",L8150,"мес.","*",I8150,"/",K8150,"чел.")</f>
        <v>25840 м2(обрабатываемая площадь в мес.)*12мес.*0,06801436/1348чел.</v>
      </c>
      <c r="N8150" s="164">
        <f>N6830</f>
        <v>1.2568903508771934</v>
      </c>
      <c r="O8150" s="165">
        <f t="shared" ref="O8150:O8155" si="2347">MROUND(G8150*N8150,0.000001)</f>
        <v>19.664452999999998</v>
      </c>
      <c r="P8150" s="166"/>
      <c r="Q8150" s="166">
        <f t="shared" ref="Q8150:Q8155" si="2348">O8150*K8150</f>
        <v>26507.682643999997</v>
      </c>
      <c r="R8150" s="71"/>
    </row>
    <row r="8151" spans="1:41" s="61" customFormat="1" ht="31.5" x14ac:dyDescent="0.25">
      <c r="A8151" s="358"/>
      <c r="B8151" s="361"/>
      <c r="C8151" s="364"/>
      <c r="D8151" s="156" t="s">
        <v>96</v>
      </c>
      <c r="E8151" s="156" t="s">
        <v>22</v>
      </c>
      <c r="F8151" s="156" t="s">
        <v>22</v>
      </c>
      <c r="G8151" s="238">
        <f>MROUND(H8151*L8151*I8151/K8151,0.000001)</f>
        <v>8.0981489999999994</v>
      </c>
      <c r="H8151" s="158">
        <f>H6831</f>
        <v>13375</v>
      </c>
      <c r="I8151" s="159">
        <f t="shared" si="2336"/>
        <v>6.8014359999999996E-2</v>
      </c>
      <c r="J8151" s="160"/>
      <c r="K8151" s="161">
        <f>K8150</f>
        <v>1348</v>
      </c>
      <c r="L8151" s="250">
        <v>12</v>
      </c>
      <c r="M8151" s="163" t="str">
        <f>CONCATENATE(H8151," ",F8151,"(обрабатываемая площадь в мес.)","*",L8151,"мес.","*",I8151,"/",K8151,"чел.")</f>
        <v>13375 м2(обрабатываемая площадь в мес.)*12мес.*0,06801436/1348чел.</v>
      </c>
      <c r="N8151" s="164">
        <f>N6831</f>
        <v>2.0157672274143299</v>
      </c>
      <c r="O8151" s="165">
        <f t="shared" si="2347"/>
        <v>16.323982999999998</v>
      </c>
      <c r="P8151" s="166"/>
      <c r="Q8151" s="166">
        <f t="shared" si="2348"/>
        <v>22004.729083999999</v>
      </c>
      <c r="R8151" s="71"/>
    </row>
    <row r="8152" spans="1:41" s="135" customFormat="1" ht="31.5" x14ac:dyDescent="0.25">
      <c r="A8152" s="358"/>
      <c r="B8152" s="361"/>
      <c r="C8152" s="364"/>
      <c r="D8152" s="156" t="s">
        <v>385</v>
      </c>
      <c r="E8152" s="156" t="s">
        <v>22</v>
      </c>
      <c r="F8152" s="156" t="s">
        <v>22</v>
      </c>
      <c r="G8152" s="238">
        <f>MROUND(H8152*L8152*I8152/K8152,0.000001)</f>
        <v>16.196297999999999</v>
      </c>
      <c r="H8152" s="242">
        <f>$H$55</f>
        <v>13375</v>
      </c>
      <c r="I8152" s="159">
        <f t="shared" si="2336"/>
        <v>6.8014359999999996E-2</v>
      </c>
      <c r="J8152" s="160"/>
      <c r="K8152" s="161">
        <f>K8151</f>
        <v>1348</v>
      </c>
      <c r="L8152" s="162">
        <v>24</v>
      </c>
      <c r="M8152" s="163" t="str">
        <f>CONCATENATE(H8152," ",F8152,"(обрабатываемая площадь в год)","*",L8152," раза в год.","*",I8152,"/",K8152,"чел.")</f>
        <v>13375 м2(обрабатываемая площадь в год)*24 раза в год.*0,06801436/1348чел.</v>
      </c>
      <c r="N8152" s="164">
        <f>$N$6832</f>
        <v>2.4900656074766365</v>
      </c>
      <c r="O8152" s="165">
        <f t="shared" si="2347"/>
        <v>40.329844999999999</v>
      </c>
      <c r="P8152" s="166"/>
      <c r="Q8152" s="166">
        <f t="shared" si="2348"/>
        <v>54364.63106</v>
      </c>
      <c r="R8152" s="71"/>
      <c r="S8152" s="61"/>
      <c r="T8152" s="61"/>
      <c r="U8152" s="61"/>
      <c r="V8152" s="61"/>
      <c r="W8152" s="61"/>
      <c r="X8152" s="61"/>
      <c r="Y8152" s="61"/>
      <c r="Z8152" s="61"/>
      <c r="AA8152" s="61"/>
      <c r="AB8152" s="61"/>
      <c r="AC8152" s="61"/>
      <c r="AD8152" s="61"/>
      <c r="AE8152" s="61"/>
      <c r="AF8152" s="61"/>
      <c r="AG8152" s="61"/>
      <c r="AH8152" s="61"/>
      <c r="AI8152" s="61"/>
      <c r="AJ8152" s="61"/>
      <c r="AK8152" s="61"/>
      <c r="AL8152" s="61"/>
      <c r="AM8152" s="61"/>
      <c r="AN8152" s="61"/>
      <c r="AO8152" s="61"/>
    </row>
    <row r="8153" spans="1:41" s="135" customFormat="1" ht="31.5" x14ac:dyDescent="0.25">
      <c r="A8153" s="358"/>
      <c r="B8153" s="361"/>
      <c r="C8153" s="364"/>
      <c r="D8153" s="156" t="s">
        <v>394</v>
      </c>
      <c r="E8153" s="156" t="s">
        <v>22</v>
      </c>
      <c r="F8153" s="156" t="s">
        <v>22</v>
      </c>
      <c r="G8153" s="238">
        <f>MROUND(H8153*L8153*I8153/K8153,0.000001)</f>
        <v>15.645320999999999</v>
      </c>
      <c r="H8153" s="243">
        <f>$H$56</f>
        <v>25840</v>
      </c>
      <c r="I8153" s="159">
        <f t="shared" si="2336"/>
        <v>6.8014359999999996E-2</v>
      </c>
      <c r="J8153" s="160"/>
      <c r="K8153" s="161">
        <f>K8152</f>
        <v>1348</v>
      </c>
      <c r="L8153" s="162">
        <v>12</v>
      </c>
      <c r="M8153" s="163" t="str">
        <f>CONCATENATE(H8153," ",F8153,"(обрабатываемая площадь в мес.)","*",L8153,"мес.","*",I8153,"/",K8153,"чел.")</f>
        <v>25840 м2(обрабатываемая площадь в мес.)*12мес.*0,06801436/1348чел.</v>
      </c>
      <c r="N8153" s="164">
        <f>$N$6833</f>
        <v>0.59287277476780176</v>
      </c>
      <c r="O8153" s="165">
        <f t="shared" si="2347"/>
        <v>9.2756849999999993</v>
      </c>
      <c r="P8153" s="166"/>
      <c r="Q8153" s="166">
        <f t="shared" si="2348"/>
        <v>12503.623379999999</v>
      </c>
      <c r="R8153" s="71"/>
      <c r="S8153" s="61"/>
      <c r="T8153" s="61"/>
      <c r="U8153" s="61"/>
      <c r="V8153" s="61"/>
      <c r="W8153" s="61"/>
      <c r="X8153" s="61"/>
      <c r="Y8153" s="61"/>
      <c r="Z8153" s="61"/>
      <c r="AA8153" s="61"/>
      <c r="AB8153" s="61"/>
      <c r="AC8153" s="61"/>
      <c r="AD8153" s="61"/>
      <c r="AE8153" s="61"/>
      <c r="AF8153" s="61"/>
      <c r="AG8153" s="61"/>
      <c r="AH8153" s="61"/>
      <c r="AI8153" s="61"/>
      <c r="AJ8153" s="61"/>
      <c r="AK8153" s="61"/>
      <c r="AL8153" s="61"/>
      <c r="AM8153" s="61"/>
      <c r="AN8153" s="61"/>
      <c r="AO8153" s="61"/>
    </row>
    <row r="8154" spans="1:41" s="135" customFormat="1" ht="31.5" x14ac:dyDescent="0.25">
      <c r="A8154" s="358"/>
      <c r="B8154" s="361"/>
      <c r="C8154" s="364"/>
      <c r="D8154" s="156" t="s">
        <v>395</v>
      </c>
      <c r="E8154" s="156" t="s">
        <v>98</v>
      </c>
      <c r="F8154" s="156" t="s">
        <v>98</v>
      </c>
      <c r="G8154" s="238">
        <f>MROUND(H8154*L8154*I8154/K8154,0.0000000001)</f>
        <v>9.5563199999999999E-4</v>
      </c>
      <c r="H8154" s="242">
        <f>$H$57</f>
        <v>18.939999999999998</v>
      </c>
      <c r="I8154" s="159">
        <f t="shared" si="2336"/>
        <v>6.8014359999999996E-2</v>
      </c>
      <c r="J8154" s="160"/>
      <c r="K8154" s="161">
        <f>K8153</f>
        <v>1348</v>
      </c>
      <c r="L8154" s="162">
        <v>1</v>
      </c>
      <c r="M8154" s="163" t="str">
        <f>CONCATENATE(H8154," ",F8154,"(обрабатываемая площадь в год)","*",L8154," раз в год","*",I8154,"/",K8154,"чел.")</f>
        <v>18,94 Га(обрабатываемая площадь в год)*1 раз в год*0,06801436/1348чел.</v>
      </c>
      <c r="N8154" s="164">
        <f>$N$6834</f>
        <v>592.87803590285125</v>
      </c>
      <c r="O8154" s="165">
        <f t="shared" si="2347"/>
        <v>0.56657299999999999</v>
      </c>
      <c r="P8154" s="166"/>
      <c r="Q8154" s="166">
        <f t="shared" si="2348"/>
        <v>763.74040400000001</v>
      </c>
      <c r="R8154" s="71"/>
      <c r="S8154" s="61"/>
      <c r="T8154" s="61"/>
      <c r="U8154" s="61"/>
      <c r="V8154" s="61"/>
      <c r="W8154" s="61"/>
      <c r="X8154" s="61"/>
      <c r="Y8154" s="61"/>
      <c r="Z8154" s="61"/>
      <c r="AA8154" s="61"/>
      <c r="AB8154" s="61"/>
      <c r="AC8154" s="61"/>
      <c r="AD8154" s="61"/>
      <c r="AE8154" s="61"/>
      <c r="AF8154" s="61"/>
      <c r="AG8154" s="61"/>
      <c r="AH8154" s="61"/>
      <c r="AI8154" s="61"/>
      <c r="AJ8154" s="61"/>
      <c r="AK8154" s="61"/>
      <c r="AL8154" s="61"/>
      <c r="AM8154" s="61"/>
      <c r="AN8154" s="61"/>
      <c r="AO8154" s="61"/>
    </row>
    <row r="8155" spans="1:41" s="61" customFormat="1" ht="31.5" x14ac:dyDescent="0.25">
      <c r="A8155" s="358"/>
      <c r="B8155" s="361"/>
      <c r="C8155" s="364"/>
      <c r="D8155" s="156" t="s">
        <v>97</v>
      </c>
      <c r="E8155" s="156" t="s">
        <v>98</v>
      </c>
      <c r="F8155" s="156" t="s">
        <v>98</v>
      </c>
      <c r="G8155" s="238">
        <f>MROUND(H8155*L8155*I8155/K8155,0.000000001)</f>
        <v>9.556320000000001E-4</v>
      </c>
      <c r="H8155" s="242">
        <f>H7075</f>
        <v>18.939999999999998</v>
      </c>
      <c r="I8155" s="244">
        <f>I8151</f>
        <v>6.8014359999999996E-2</v>
      </c>
      <c r="J8155" s="160"/>
      <c r="K8155" s="161">
        <f>K8151</f>
        <v>1348</v>
      </c>
      <c r="L8155" s="250">
        <v>1</v>
      </c>
      <c r="M8155" s="163" t="str">
        <f>CONCATENATE(H8155," ",F8155,"(обрабатываемая площадь в мес.)","*",L8155,"мес.","*",I8155,"/",K8155,"чел.")</f>
        <v>18,94 Га(обрабатываемая площадь в мес.)*1мес.*0,06801436/1348чел.</v>
      </c>
      <c r="N8155" s="164">
        <f>N7075</f>
        <v>3226.5021119324188</v>
      </c>
      <c r="O8155" s="165">
        <f t="shared" si="2347"/>
        <v>3.0833489999999997</v>
      </c>
      <c r="P8155" s="166"/>
      <c r="Q8155" s="166">
        <f t="shared" si="2348"/>
        <v>4156.3544519999996</v>
      </c>
      <c r="R8155" s="71"/>
    </row>
    <row r="8156" spans="1:41" s="62" customFormat="1" x14ac:dyDescent="0.25">
      <c r="A8156" s="358"/>
      <c r="B8156" s="361"/>
      <c r="C8156" s="245" t="s">
        <v>294</v>
      </c>
      <c r="D8156" s="240"/>
      <c r="E8156" s="240"/>
      <c r="F8156" s="240"/>
      <c r="G8156" s="227"/>
      <c r="H8156" s="241"/>
      <c r="I8156" s="206"/>
      <c r="J8156" s="228"/>
      <c r="K8156" s="207"/>
      <c r="L8156" s="257"/>
      <c r="M8156" s="209"/>
      <c r="N8156" s="210"/>
      <c r="O8156" s="198">
        <f>SUM(O8150:O8155)</f>
        <v>89.243887999999984</v>
      </c>
      <c r="P8156" s="267"/>
      <c r="Q8156" s="166"/>
      <c r="R8156" s="71"/>
    </row>
    <row r="8157" spans="1:41" s="61" customFormat="1" ht="63" x14ac:dyDescent="0.25">
      <c r="A8157" s="358"/>
      <c r="B8157" s="361"/>
      <c r="C8157" s="365" t="s">
        <v>77</v>
      </c>
      <c r="D8157" s="156" t="s">
        <v>29</v>
      </c>
      <c r="E8157" s="156" t="s">
        <v>58</v>
      </c>
      <c r="F8157" s="156" t="s">
        <v>218</v>
      </c>
      <c r="G8157" s="238">
        <f>MROUND(H8157*L8157*I8157/K8157,0.00000001)</f>
        <v>3.0273500000000003E-3</v>
      </c>
      <c r="H8157" s="158">
        <v>15</v>
      </c>
      <c r="I8157" s="159">
        <f>I8155</f>
        <v>6.8014359999999996E-2</v>
      </c>
      <c r="J8157" s="160"/>
      <c r="K8157" s="161">
        <f>K8155</f>
        <v>1348</v>
      </c>
      <c r="L8157" s="162">
        <v>4</v>
      </c>
      <c r="M8157" s="163" t="str">
        <f>CONCATENATE(H8157," ",F8157,"*",L8157," раза в год","*",I8157,"/",K8157,"чел.")</f>
        <v>15 установок*4 раза в год*0,06801436/1348чел.</v>
      </c>
      <c r="N8157" s="164">
        <f>N6837</f>
        <v>2355.4600000000005</v>
      </c>
      <c r="O8157" s="165">
        <f t="shared" ref="O8157:O8165" si="2349">MROUND(G8157*N8157,0.000001)</f>
        <v>7.1308020000000001</v>
      </c>
      <c r="P8157" s="166"/>
      <c r="Q8157" s="166">
        <f t="shared" ref="Q8157:Q8172" si="2350">O8157*K8157</f>
        <v>9612.3210959999997</v>
      </c>
      <c r="R8157" s="71"/>
    </row>
    <row r="8158" spans="1:41" s="61" customFormat="1" ht="47.25" x14ac:dyDescent="0.25">
      <c r="A8158" s="358"/>
      <c r="B8158" s="361"/>
      <c r="C8158" s="366"/>
      <c r="D8158" s="156" t="s">
        <v>30</v>
      </c>
      <c r="E8158" s="156" t="s">
        <v>58</v>
      </c>
      <c r="F8158" s="156" t="s">
        <v>218</v>
      </c>
      <c r="G8158" s="238">
        <f>MROUND(H8158*L8158*I8158/K8158,0.00000001)</f>
        <v>1.5136699999999999E-3</v>
      </c>
      <c r="H8158" s="158">
        <v>15</v>
      </c>
      <c r="I8158" s="159">
        <f t="shared" si="2336"/>
        <v>6.8014359999999996E-2</v>
      </c>
      <c r="J8158" s="160"/>
      <c r="K8158" s="161">
        <f t="shared" ref="K8158:K8166" si="2351">K8157</f>
        <v>1348</v>
      </c>
      <c r="L8158" s="250">
        <v>2</v>
      </c>
      <c r="M8158" s="163" t="str">
        <f>CONCATENATE(H8158," ",F8158,"*",L8158,"полуг.","*",I8158,"/",K8158,"чел.")</f>
        <v>15 установок*2полуг.*0,06801436/1348чел.</v>
      </c>
      <c r="N8158" s="164">
        <f>N7438</f>
        <v>4710.920000000001</v>
      </c>
      <c r="O8158" s="165">
        <f t="shared" si="2349"/>
        <v>7.1307779999999994</v>
      </c>
      <c r="P8158" s="166"/>
      <c r="Q8158" s="166">
        <f t="shared" si="2350"/>
        <v>9612.2887439999995</v>
      </c>
      <c r="R8158" s="71"/>
    </row>
    <row r="8159" spans="1:41" s="61" customFormat="1" x14ac:dyDescent="0.25">
      <c r="A8159" s="358"/>
      <c r="B8159" s="361"/>
      <c r="C8159" s="366"/>
      <c r="D8159" s="156" t="s">
        <v>397</v>
      </c>
      <c r="E8159" s="156" t="s">
        <v>433</v>
      </c>
      <c r="F8159" s="156" t="s">
        <v>433</v>
      </c>
      <c r="G8159" s="238">
        <f>MROUND(H8159*L8159*I8159/K8159,0.000001)</f>
        <v>0</v>
      </c>
      <c r="H8159" s="158">
        <f>H7079</f>
        <v>0</v>
      </c>
      <c r="I8159" s="159">
        <f t="shared" si="2336"/>
        <v>6.8014359999999996E-2</v>
      </c>
      <c r="J8159" s="160"/>
      <c r="K8159" s="161">
        <f t="shared" si="2351"/>
        <v>1348</v>
      </c>
      <c r="L8159" s="162">
        <v>1</v>
      </c>
      <c r="M8159" s="163"/>
      <c r="N8159" s="164">
        <f>N7079</f>
        <v>0</v>
      </c>
      <c r="O8159" s="165">
        <f t="shared" si="2349"/>
        <v>0</v>
      </c>
      <c r="P8159" s="166"/>
      <c r="Q8159" s="166">
        <f t="shared" si="2350"/>
        <v>0</v>
      </c>
      <c r="R8159" s="71"/>
    </row>
    <row r="8160" spans="1:41" s="61" customFormat="1" ht="47.25" x14ac:dyDescent="0.25">
      <c r="A8160" s="358"/>
      <c r="B8160" s="361"/>
      <c r="C8160" s="366"/>
      <c r="D8160" s="156" t="s">
        <v>32</v>
      </c>
      <c r="E8160" s="156" t="s">
        <v>55</v>
      </c>
      <c r="F8160" s="156" t="s">
        <v>219</v>
      </c>
      <c r="G8160" s="238">
        <f>MROUND(H8160*L8160*I8160/K8160,0.000000001)</f>
        <v>7.2656290000000009E-3</v>
      </c>
      <c r="H8160" s="158">
        <f>H7440</f>
        <v>36</v>
      </c>
      <c r="I8160" s="159">
        <f>I8159</f>
        <v>6.8014359999999996E-2</v>
      </c>
      <c r="J8160" s="160"/>
      <c r="K8160" s="161">
        <f t="shared" si="2351"/>
        <v>1348</v>
      </c>
      <c r="L8160" s="250">
        <v>4</v>
      </c>
      <c r="M8160" s="163" t="str">
        <f>CONCATENATE(H8160," ",F8160,"*",L8160,"кв.","*",I8160,"/",K8160,"чел.")</f>
        <v>36 системы*4кв.*0,06801436/1348чел.</v>
      </c>
      <c r="N8160" s="164">
        <f>N7440</f>
        <v>7532.7785416666693</v>
      </c>
      <c r="O8160" s="165">
        <f t="shared" si="2349"/>
        <v>54.730373999999998</v>
      </c>
      <c r="P8160" s="166"/>
      <c r="Q8160" s="166">
        <f t="shared" si="2350"/>
        <v>73776.544152000002</v>
      </c>
      <c r="R8160" s="71"/>
    </row>
    <row r="8161" spans="1:18" s="61" customFormat="1" ht="63" x14ac:dyDescent="0.25">
      <c r="A8161" s="358"/>
      <c r="B8161" s="361"/>
      <c r="C8161" s="366"/>
      <c r="D8161" s="156" t="s">
        <v>33</v>
      </c>
      <c r="E8161" s="156" t="s">
        <v>56</v>
      </c>
      <c r="F8161" s="156" t="s">
        <v>220</v>
      </c>
      <c r="G8161" s="238">
        <f>MROUND(H8161*L8161*I8161/K8161,0.000000001)</f>
        <v>1.8164070000000001E-3</v>
      </c>
      <c r="H8161" s="158">
        <f>$H$64</f>
        <v>36</v>
      </c>
      <c r="I8161" s="159">
        <f>I8160</f>
        <v>6.8014359999999996E-2</v>
      </c>
      <c r="J8161" s="160"/>
      <c r="K8161" s="161">
        <f t="shared" si="2351"/>
        <v>1348</v>
      </c>
      <c r="L8161" s="162">
        <v>1</v>
      </c>
      <c r="M8161" s="163" t="str">
        <f>CONCATENATE(H8161," ",F8161,"*",L8161," раз в год","*",I8161,"/",K8161,"чел.")</f>
        <v>36 дымоходов*1 раз в год*0,06801436/1348чел.</v>
      </c>
      <c r="N8161" s="164">
        <f>N6841</f>
        <v>7312.0941666666668</v>
      </c>
      <c r="O8161" s="165">
        <f t="shared" si="2349"/>
        <v>13.281739</v>
      </c>
      <c r="P8161" s="166"/>
      <c r="Q8161" s="166">
        <f t="shared" si="2350"/>
        <v>17903.784172</v>
      </c>
      <c r="R8161" s="71"/>
    </row>
    <row r="8162" spans="1:18" s="61" customFormat="1" x14ac:dyDescent="0.25">
      <c r="A8162" s="358"/>
      <c r="B8162" s="361"/>
      <c r="C8162" s="366"/>
      <c r="D8162" s="194" t="s">
        <v>398</v>
      </c>
      <c r="E8162" s="156" t="s">
        <v>60</v>
      </c>
      <c r="F8162" s="156" t="s">
        <v>60</v>
      </c>
      <c r="G8162" s="238">
        <f>MROUND(H8162*L8162*I8162/K8162,0.000000001)</f>
        <v>1.7659510000000002E-3</v>
      </c>
      <c r="H8162" s="246">
        <f>H6842</f>
        <v>35</v>
      </c>
      <c r="I8162" s="159">
        <f t="shared" si="2336"/>
        <v>6.8014359999999996E-2</v>
      </c>
      <c r="J8162" s="160"/>
      <c r="K8162" s="161">
        <f t="shared" si="2351"/>
        <v>1348</v>
      </c>
      <c r="L8162" s="250">
        <v>1</v>
      </c>
      <c r="M8162" s="163" t="str">
        <f>CONCATENATE(H8162," ",F8162,"*",I8162,"/",K8162,"чел.")</f>
        <v>35 шт.*0,06801436/1348чел.</v>
      </c>
      <c r="N8162" s="164">
        <f>N6842</f>
        <v>12660.374571428585</v>
      </c>
      <c r="O8162" s="165">
        <f t="shared" si="2349"/>
        <v>22.357600999999999</v>
      </c>
      <c r="P8162" s="166"/>
      <c r="Q8162" s="166">
        <f t="shared" si="2350"/>
        <v>30138.046147999998</v>
      </c>
      <c r="R8162" s="71"/>
    </row>
    <row r="8163" spans="1:18" s="61" customFormat="1" ht="47.25" x14ac:dyDescent="0.25">
      <c r="A8163" s="358"/>
      <c r="B8163" s="361"/>
      <c r="C8163" s="366"/>
      <c r="D8163" s="156" t="s">
        <v>401</v>
      </c>
      <c r="E8163" s="156" t="s">
        <v>60</v>
      </c>
      <c r="F8163" s="156" t="s">
        <v>402</v>
      </c>
      <c r="G8163" s="238">
        <f>MROUND(H8163*L8163*I8163/K8163,0.000001)</f>
        <v>3.532E-3</v>
      </c>
      <c r="H8163" s="246">
        <f>H6843</f>
        <v>35</v>
      </c>
      <c r="I8163" s="159">
        <f t="shared" si="2336"/>
        <v>6.8014359999999996E-2</v>
      </c>
      <c r="J8163" s="160"/>
      <c r="K8163" s="161">
        <f t="shared" si="2351"/>
        <v>1348</v>
      </c>
      <c r="L8163" s="162">
        <v>2</v>
      </c>
      <c r="M8163" s="163" t="str">
        <f>CONCATENATE(H8163," ",F8163,"*",L8163," раз в год","*",I8163,"/",K8163,"чел.")</f>
        <v>35 противопожарных водопроводов*2 раз в год*0,06801436/1348чел.</v>
      </c>
      <c r="N8163" s="164">
        <f>N6843</f>
        <v>5928.7300000000032</v>
      </c>
      <c r="O8163" s="165">
        <f t="shared" si="2349"/>
        <v>20.940273999999999</v>
      </c>
      <c r="P8163" s="166"/>
      <c r="Q8163" s="166">
        <f t="shared" si="2350"/>
        <v>28227.489351999997</v>
      </c>
      <c r="R8163" s="71"/>
    </row>
    <row r="8164" spans="1:18" s="61" customFormat="1" ht="31.5" x14ac:dyDescent="0.25">
      <c r="A8164" s="358"/>
      <c r="B8164" s="361"/>
      <c r="C8164" s="366"/>
      <c r="D8164" s="156" t="s">
        <v>221</v>
      </c>
      <c r="E8164" s="156" t="s">
        <v>60</v>
      </c>
      <c r="F8164" s="156" t="s">
        <v>60</v>
      </c>
      <c r="G8164" s="238">
        <f>MROUND(H8164*L8164*I8164/K8164,0.000000001)</f>
        <v>1.0898443000000001E-2</v>
      </c>
      <c r="H8164" s="158">
        <f>H6844</f>
        <v>18</v>
      </c>
      <c r="I8164" s="159">
        <f t="shared" si="2336"/>
        <v>6.8014359999999996E-2</v>
      </c>
      <c r="J8164" s="160"/>
      <c r="K8164" s="161">
        <f t="shared" si="2351"/>
        <v>1348</v>
      </c>
      <c r="L8164" s="250">
        <v>12</v>
      </c>
      <c r="M8164" s="163" t="str">
        <f>CONCATENATE(H8164," ",F8164,"*",L8164,"мес.","*",I8164,"/",K8164,"чел.")</f>
        <v>18 шт.*12мес.*0,06801436/1348чел.</v>
      </c>
      <c r="N8164" s="164">
        <f>N7084</f>
        <v>6840.4345833333346</v>
      </c>
      <c r="O8164" s="165">
        <f t="shared" si="2349"/>
        <v>74.550085999999993</v>
      </c>
      <c r="P8164" s="166"/>
      <c r="Q8164" s="166">
        <f t="shared" si="2350"/>
        <v>100493.51592799999</v>
      </c>
      <c r="R8164" s="71"/>
    </row>
    <row r="8165" spans="1:18" s="61" customFormat="1" ht="47.25" x14ac:dyDescent="0.25">
      <c r="A8165" s="358"/>
      <c r="B8165" s="361"/>
      <c r="C8165" s="366"/>
      <c r="D8165" s="156" t="s">
        <v>34</v>
      </c>
      <c r="E8165" s="156" t="s">
        <v>59</v>
      </c>
      <c r="F8165" s="156" t="s">
        <v>28</v>
      </c>
      <c r="G8165" s="238">
        <f>MROUND(H8165*L8165*I8165/K8165,0.0000000001)</f>
        <v>1.009115E-4</v>
      </c>
      <c r="H8165" s="158">
        <f>H6845</f>
        <v>2</v>
      </c>
      <c r="I8165" s="159">
        <f t="shared" si="2336"/>
        <v>6.8014359999999996E-2</v>
      </c>
      <c r="J8165" s="160"/>
      <c r="K8165" s="161">
        <f t="shared" si="2351"/>
        <v>1348</v>
      </c>
      <c r="L8165" s="250">
        <v>1</v>
      </c>
      <c r="M8165" s="163" t="str">
        <f>CONCATENATE(H8165," ",F8165,"*",I8165,"/",K8165,"чел.")</f>
        <v>2 шт*0,06801436/1348чел.</v>
      </c>
      <c r="N8165" s="164">
        <f>N6845</f>
        <v>8158.8</v>
      </c>
      <c r="O8165" s="165">
        <f t="shared" si="2349"/>
        <v>0.82331699999999997</v>
      </c>
      <c r="P8165" s="166"/>
      <c r="Q8165" s="166">
        <f t="shared" si="2350"/>
        <v>1109.831316</v>
      </c>
      <c r="R8165" s="71"/>
    </row>
    <row r="8166" spans="1:18" s="61" customFormat="1" ht="47.25" x14ac:dyDescent="0.25">
      <c r="A8166" s="358"/>
      <c r="B8166" s="361"/>
      <c r="C8166" s="366"/>
      <c r="D8166" s="156" t="s">
        <v>222</v>
      </c>
      <c r="E8166" s="156" t="s">
        <v>60</v>
      </c>
      <c r="F8166" s="156" t="s">
        <v>60</v>
      </c>
      <c r="G8166" s="238">
        <f>MROUND(H8166*L8166*I8166/K8166,0.00000000001)</f>
        <v>2.5227877999999996E-4</v>
      </c>
      <c r="H8166" s="248">
        <f>H7446</f>
        <v>5</v>
      </c>
      <c r="I8166" s="159">
        <f t="shared" si="2336"/>
        <v>6.8014359999999996E-2</v>
      </c>
      <c r="J8166" s="160"/>
      <c r="K8166" s="161">
        <f t="shared" si="2351"/>
        <v>1348</v>
      </c>
      <c r="L8166" s="250">
        <v>1</v>
      </c>
      <c r="M8166" s="163" t="str">
        <f>CONCATENATE(H8166," ",F8166,"*",I8166,"/",K8166,"чел.")</f>
        <v>5 шт.*0,06801436/1348чел.</v>
      </c>
      <c r="N8166" s="164">
        <f>N6846</f>
        <v>45611.39</v>
      </c>
      <c r="O8166" s="165">
        <f>MROUND(G8166*N8166,0.00000001)</f>
        <v>11.506785820000001</v>
      </c>
      <c r="P8166" s="166"/>
      <c r="Q8166" s="166">
        <f t="shared" si="2350"/>
        <v>15511.147285360001</v>
      </c>
      <c r="R8166" s="71"/>
    </row>
    <row r="8167" spans="1:18" s="61" customFormat="1" ht="31.5" x14ac:dyDescent="0.25">
      <c r="A8167" s="358"/>
      <c r="B8167" s="361"/>
      <c r="C8167" s="366"/>
      <c r="D8167" s="156" t="s">
        <v>35</v>
      </c>
      <c r="E8167" s="156" t="s">
        <v>102</v>
      </c>
      <c r="F8167" s="156" t="s">
        <v>223</v>
      </c>
      <c r="G8167" s="238">
        <f>MROUND(H8167*L8167*I8167/K8167,0.00000001)</f>
        <v>1.7659500000000001E-3</v>
      </c>
      <c r="H8167" s="158">
        <f>H6847</f>
        <v>35</v>
      </c>
      <c r="I8167" s="159">
        <f>I8165</f>
        <v>6.8014359999999996E-2</v>
      </c>
      <c r="J8167" s="160"/>
      <c r="K8167" s="161">
        <f>K8165</f>
        <v>1348</v>
      </c>
      <c r="L8167" s="250">
        <v>1</v>
      </c>
      <c r="M8167" s="163" t="str">
        <f>CONCATENATE(H8167," ",F8167,"*",I8167,"/",K8167,"чел.")</f>
        <v>35 замеров*0,06801436/1348чел.</v>
      </c>
      <c r="N8167" s="164">
        <f>N6847</f>
        <v>26000</v>
      </c>
      <c r="O8167" s="165">
        <f t="shared" ref="O8167:O8172" si="2352">MROUND(G8167*N8167,0.000001)</f>
        <v>45.914699999999996</v>
      </c>
      <c r="P8167" s="166"/>
      <c r="Q8167" s="166">
        <f t="shared" si="2350"/>
        <v>61893.015599999992</v>
      </c>
      <c r="R8167" s="71"/>
    </row>
    <row r="8168" spans="1:18" s="61" customFormat="1" ht="47.25" x14ac:dyDescent="0.25">
      <c r="A8168" s="358"/>
      <c r="B8168" s="361"/>
      <c r="C8168" s="366"/>
      <c r="D8168" s="156" t="s">
        <v>399</v>
      </c>
      <c r="E8168" s="156" t="s">
        <v>60</v>
      </c>
      <c r="F8168" s="156" t="s">
        <v>60</v>
      </c>
      <c r="G8168" s="238">
        <f>MROUND(H8168*L8168*I8168/K8168,0.000000001)</f>
        <v>1.7659515000000001E-2</v>
      </c>
      <c r="H8168" s="158">
        <f>H7568</f>
        <v>35</v>
      </c>
      <c r="I8168" s="159">
        <f t="shared" si="2336"/>
        <v>6.8014359999999996E-2</v>
      </c>
      <c r="J8168" s="160"/>
      <c r="K8168" s="161">
        <f>K8167</f>
        <v>1348</v>
      </c>
      <c r="L8168" s="250">
        <v>10</v>
      </c>
      <c r="M8168" s="163" t="str">
        <f>CONCATENATE(H8168," ",F8168,"*",L8168,"мес.","*",I8168,"/",K8168,"чел.")</f>
        <v>35 шт.*10мес.*0,06801436/1348чел.</v>
      </c>
      <c r="N8168" s="164">
        <f>N7568</f>
        <v>3380.9014857142843</v>
      </c>
      <c r="O8168" s="165">
        <f t="shared" si="2352"/>
        <v>59.705081</v>
      </c>
      <c r="P8168" s="166"/>
      <c r="Q8168" s="166">
        <f t="shared" si="2350"/>
        <v>80482.449187999999</v>
      </c>
      <c r="R8168" s="71"/>
    </row>
    <row r="8169" spans="1:18" s="61" customFormat="1" ht="47.25" x14ac:dyDescent="0.25">
      <c r="A8169" s="358"/>
      <c r="B8169" s="361"/>
      <c r="C8169" s="366"/>
      <c r="D8169" s="156" t="s">
        <v>36</v>
      </c>
      <c r="E8169" s="156" t="s">
        <v>31</v>
      </c>
      <c r="F8169" s="156" t="s">
        <v>224</v>
      </c>
      <c r="G8169" s="238">
        <f>MROUND(H8169*L8169*I8169/K8169,0.00000001)</f>
        <v>2.1796889999999999E-2</v>
      </c>
      <c r="H8169" s="158">
        <f>H7449</f>
        <v>36</v>
      </c>
      <c r="I8169" s="159">
        <f t="shared" si="2336"/>
        <v>6.8014359999999996E-2</v>
      </c>
      <c r="J8169" s="160"/>
      <c r="K8169" s="161">
        <f>K8168</f>
        <v>1348</v>
      </c>
      <c r="L8169" s="250">
        <v>12</v>
      </c>
      <c r="M8169" s="163" t="str">
        <f>CONCATENATE(H8169," ",F8169,"*",L8169,"мес.","*",I8169,"/",K8169,"чел.")</f>
        <v>36 устройств*12мес.*0,06801436/1348чел.</v>
      </c>
      <c r="N8169" s="164">
        <f>N6849</f>
        <v>1269.5381481481488</v>
      </c>
      <c r="O8169" s="165">
        <f t="shared" si="2352"/>
        <v>27.671982999999997</v>
      </c>
      <c r="P8169" s="166"/>
      <c r="Q8169" s="166">
        <f t="shared" si="2350"/>
        <v>37301.833083999998</v>
      </c>
      <c r="R8169" s="71"/>
    </row>
    <row r="8170" spans="1:18" s="61" customFormat="1" ht="31.5" x14ac:dyDescent="0.25">
      <c r="A8170" s="358"/>
      <c r="B8170" s="361"/>
      <c r="C8170" s="366"/>
      <c r="D8170" s="156" t="s">
        <v>99</v>
      </c>
      <c r="E8170" s="156" t="s">
        <v>103</v>
      </c>
      <c r="F8170" s="156" t="s">
        <v>225</v>
      </c>
      <c r="G8170" s="238">
        <f>MROUND(H8170*L8170*I8170/K8170,0.00000001)</f>
        <v>1.0141610000000001E-2</v>
      </c>
      <c r="H8170" s="158">
        <f>H6850</f>
        <v>201</v>
      </c>
      <c r="I8170" s="159">
        <f t="shared" si="2336"/>
        <v>6.8014359999999996E-2</v>
      </c>
      <c r="J8170" s="160"/>
      <c r="K8170" s="161">
        <f>K8169</f>
        <v>1348</v>
      </c>
      <c r="L8170" s="250">
        <v>1</v>
      </c>
      <c r="M8170" s="163" t="str">
        <f>CONCATENATE(H8170," ",F8170,"*",I8170,"/",K8170,"чел.")</f>
        <v>201 ед.*0,06801436/1348чел.</v>
      </c>
      <c r="N8170" s="164">
        <f>N6850</f>
        <v>15000</v>
      </c>
      <c r="O8170" s="165">
        <f t="shared" si="2352"/>
        <v>152.12414999999999</v>
      </c>
      <c r="P8170" s="166"/>
      <c r="Q8170" s="166">
        <f t="shared" si="2350"/>
        <v>205063.35419999997</v>
      </c>
      <c r="R8170" s="71"/>
    </row>
    <row r="8171" spans="1:18" s="61" customFormat="1" x14ac:dyDescent="0.25">
      <c r="A8171" s="358"/>
      <c r="B8171" s="361"/>
      <c r="C8171" s="366"/>
      <c r="D8171" s="156" t="s">
        <v>27</v>
      </c>
      <c r="E8171" s="156" t="s">
        <v>28</v>
      </c>
      <c r="F8171" s="156" t="s">
        <v>28</v>
      </c>
      <c r="G8171" s="238">
        <f>MROUND(H8171*L8171*I8171/K8171,0.0000000001)</f>
        <v>0.21140962050000001</v>
      </c>
      <c r="H8171" s="160">
        <f>H6851</f>
        <v>4190</v>
      </c>
      <c r="I8171" s="159">
        <f t="shared" si="2336"/>
        <v>6.8014359999999996E-2</v>
      </c>
      <c r="J8171" s="160"/>
      <c r="K8171" s="161">
        <f>K8170</f>
        <v>1348</v>
      </c>
      <c r="L8171" s="250">
        <v>1</v>
      </c>
      <c r="M8171" s="163" t="str">
        <f>CONCATENATE(H8171," ",F8171,"*",I8171,"/",K8171,"чел.")</f>
        <v>4190 шт*0,06801436/1348чел.</v>
      </c>
      <c r="N8171" s="164">
        <f>N6851</f>
        <v>435.13600000000008</v>
      </c>
      <c r="O8171" s="165">
        <f t="shared" si="2352"/>
        <v>91.991936999999993</v>
      </c>
      <c r="P8171" s="166"/>
      <c r="Q8171" s="166">
        <f t="shared" si="2350"/>
        <v>124005.13107599999</v>
      </c>
      <c r="R8171" s="71"/>
    </row>
    <row r="8172" spans="1:18" s="61" customFormat="1" ht="31.5" x14ac:dyDescent="0.25">
      <c r="A8172" s="358"/>
      <c r="B8172" s="361"/>
      <c r="C8172" s="367"/>
      <c r="D8172" s="156" t="s">
        <v>104</v>
      </c>
      <c r="E8172" s="156" t="s">
        <v>105</v>
      </c>
      <c r="F8172" s="156" t="s">
        <v>226</v>
      </c>
      <c r="G8172" s="238">
        <f>MROUND(H8172*L8172*I8172/K8172,0.00000001)</f>
        <v>1.8164100000000001E-3</v>
      </c>
      <c r="H8172" s="160">
        <f>H7092</f>
        <v>36</v>
      </c>
      <c r="I8172" s="159">
        <f t="shared" si="2336"/>
        <v>6.8014359999999996E-2</v>
      </c>
      <c r="J8172" s="160"/>
      <c r="K8172" s="161">
        <f>K8171</f>
        <v>1348</v>
      </c>
      <c r="L8172" s="250">
        <v>1</v>
      </c>
      <c r="M8172" s="163" t="str">
        <f>CONCATENATE(H8172," ",F8172,"*",I8172,"/",K8172,"чел.")</f>
        <v>36 отключений*0,06801436/1348чел.</v>
      </c>
      <c r="N8172" s="164">
        <f>N6852</f>
        <v>10671.710000000006</v>
      </c>
      <c r="O8172" s="165">
        <f t="shared" si="2352"/>
        <v>19.384200999999997</v>
      </c>
      <c r="P8172" s="166"/>
      <c r="Q8172" s="166">
        <f t="shared" si="2350"/>
        <v>26129.902947999995</v>
      </c>
      <c r="R8172" s="71"/>
    </row>
    <row r="8173" spans="1:18" s="62" customFormat="1" x14ac:dyDescent="0.25">
      <c r="A8173" s="358"/>
      <c r="B8173" s="361"/>
      <c r="C8173" s="249" t="s">
        <v>292</v>
      </c>
      <c r="D8173" s="240"/>
      <c r="E8173" s="240"/>
      <c r="F8173" s="240"/>
      <c r="G8173" s="227"/>
      <c r="H8173" s="228"/>
      <c r="I8173" s="206"/>
      <c r="J8173" s="228"/>
      <c r="K8173" s="207"/>
      <c r="L8173" s="257"/>
      <c r="M8173" s="209"/>
      <c r="N8173" s="210"/>
      <c r="O8173" s="198">
        <f>SUM(O8157:O8172)</f>
        <v>609.24380881999991</v>
      </c>
      <c r="P8173" s="267"/>
      <c r="Q8173" s="166"/>
      <c r="R8173" s="71"/>
    </row>
    <row r="8174" spans="1:18" s="61" customFormat="1" ht="31.5" x14ac:dyDescent="0.25">
      <c r="A8174" s="358"/>
      <c r="B8174" s="361"/>
      <c r="C8174" s="221" t="s">
        <v>79</v>
      </c>
      <c r="D8174" s="156" t="s">
        <v>37</v>
      </c>
      <c r="E8174" s="156" t="s">
        <v>61</v>
      </c>
      <c r="F8174" s="156" t="s">
        <v>227</v>
      </c>
      <c r="G8174" s="238">
        <f>MROUND(H8174*L8174*I8174/K8174,0.000000001)</f>
        <v>2.0182300000000001E-4</v>
      </c>
      <c r="H8174" s="158">
        <f>H6854</f>
        <v>4</v>
      </c>
      <c r="I8174" s="159">
        <f>I8172</f>
        <v>6.8014359999999996E-2</v>
      </c>
      <c r="J8174" s="160"/>
      <c r="K8174" s="161">
        <f>K8172</f>
        <v>1348</v>
      </c>
      <c r="L8174" s="250">
        <v>1</v>
      </c>
      <c r="M8174" s="163" t="str">
        <f>CONCATENATE(H8174," ",F8174,"*",I8174,"/",K8174,"чел.")</f>
        <v>4 автобуса*0,06801436/1348чел.</v>
      </c>
      <c r="N8174" s="164">
        <f>N6854</f>
        <v>37900.35</v>
      </c>
      <c r="O8174" s="165">
        <f>MROUND(G8174*N8174,0.000001)</f>
        <v>7.6491619999999996</v>
      </c>
      <c r="P8174" s="166"/>
      <c r="Q8174" s="166">
        <f t="shared" ref="Q8174" si="2353">O8174*K8174</f>
        <v>10311.070376</v>
      </c>
      <c r="R8174" s="71"/>
    </row>
    <row r="8175" spans="1:18" s="62" customFormat="1" x14ac:dyDescent="0.25">
      <c r="A8175" s="358"/>
      <c r="B8175" s="361"/>
      <c r="C8175" s="218" t="s">
        <v>295</v>
      </c>
      <c r="D8175" s="240"/>
      <c r="E8175" s="240"/>
      <c r="F8175" s="240"/>
      <c r="G8175" s="227"/>
      <c r="H8175" s="241"/>
      <c r="I8175" s="206"/>
      <c r="J8175" s="228"/>
      <c r="K8175" s="207"/>
      <c r="L8175" s="257"/>
      <c r="M8175" s="209"/>
      <c r="N8175" s="210"/>
      <c r="O8175" s="198">
        <f>SUM(O8174)</f>
        <v>7.6491619999999996</v>
      </c>
      <c r="P8175" s="267"/>
      <c r="Q8175" s="166"/>
      <c r="R8175" s="71"/>
    </row>
    <row r="8176" spans="1:18" s="61" customFormat="1" x14ac:dyDescent="0.25">
      <c r="A8176" s="358"/>
      <c r="B8176" s="361"/>
      <c r="C8176" s="364" t="s">
        <v>80</v>
      </c>
      <c r="D8176" s="156" t="s">
        <v>38</v>
      </c>
      <c r="E8176" s="156" t="s">
        <v>57</v>
      </c>
      <c r="F8176" s="156" t="s">
        <v>228</v>
      </c>
      <c r="G8176" s="238">
        <f>MROUND(H8176*L8176*I8176/K8176,0.0000000001)</f>
        <v>2.17968869E-2</v>
      </c>
      <c r="H8176" s="158">
        <f>H6856</f>
        <v>36</v>
      </c>
      <c r="I8176" s="159">
        <f>I8174</f>
        <v>6.8014359999999996E-2</v>
      </c>
      <c r="J8176" s="160"/>
      <c r="K8176" s="161">
        <f>K8174</f>
        <v>1348</v>
      </c>
      <c r="L8176" s="250">
        <v>12</v>
      </c>
      <c r="M8176" s="163" t="str">
        <f>CONCATENATE(H8176," ",F8176,"*",L8176,"мес.","*",I8176,"/",K8176,"чел.")</f>
        <v>36 зданий*12мес.*0,06801436/1348чел.</v>
      </c>
      <c r="N8176" s="164">
        <f t="shared" ref="N8176:N8184" si="2354">N6856</f>
        <v>5106.1928935185206</v>
      </c>
      <c r="O8176" s="165">
        <f>MROUND(G8176*N8176,0.000001)</f>
        <v>111.299109</v>
      </c>
      <c r="P8176" s="166"/>
      <c r="Q8176" s="166">
        <f t="shared" ref="Q8176:Q8189" si="2355">O8176*K8176</f>
        <v>150031.198932</v>
      </c>
      <c r="R8176" s="71"/>
    </row>
    <row r="8177" spans="1:18" s="61" customFormat="1" ht="47.25" x14ac:dyDescent="0.25">
      <c r="A8177" s="358"/>
      <c r="B8177" s="361"/>
      <c r="C8177" s="364"/>
      <c r="D8177" s="156" t="s">
        <v>229</v>
      </c>
      <c r="E8177" s="156" t="s">
        <v>60</v>
      </c>
      <c r="F8177" s="156" t="s">
        <v>60</v>
      </c>
      <c r="G8177" s="238">
        <f>MROUND(H8177*L8177*I8177/K8177,0.000001)</f>
        <v>0.120791</v>
      </c>
      <c r="H8177" s="158">
        <f>H6857</f>
        <v>2394</v>
      </c>
      <c r="I8177" s="159">
        <f>I8176</f>
        <v>6.8014359999999996E-2</v>
      </c>
      <c r="J8177" s="160"/>
      <c r="K8177" s="161">
        <f>K8176</f>
        <v>1348</v>
      </c>
      <c r="L8177" s="250">
        <v>1</v>
      </c>
      <c r="M8177" s="163" t="str">
        <f t="shared" ref="M8177:M8184" si="2356">CONCATENATE(H8177," ",F8177,"*",I8177,"/",K8177,"чел.")</f>
        <v>2394 шт.*0,06801436/1348чел.</v>
      </c>
      <c r="N8177" s="164">
        <f t="shared" si="2354"/>
        <v>177.86185045948207</v>
      </c>
      <c r="O8177" s="165">
        <f>MROUND(G8177*N8177,0.000001)</f>
        <v>21.484110999999999</v>
      </c>
      <c r="P8177" s="166"/>
      <c r="Q8177" s="166">
        <f t="shared" si="2355"/>
        <v>28960.581628</v>
      </c>
      <c r="R8177" s="71"/>
    </row>
    <row r="8178" spans="1:18" s="61" customFormat="1" ht="47.25" x14ac:dyDescent="0.25">
      <c r="A8178" s="358"/>
      <c r="B8178" s="361"/>
      <c r="C8178" s="364"/>
      <c r="D8178" s="156" t="s">
        <v>405</v>
      </c>
      <c r="E8178" s="156" t="s">
        <v>60</v>
      </c>
      <c r="F8178" s="156" t="s">
        <v>406</v>
      </c>
      <c r="G8178" s="238">
        <f>MROUND(H8178*L8178*I8178/K8178,0.00000001)</f>
        <v>1.8164100000000001E-3</v>
      </c>
      <c r="H8178" s="158">
        <f>H7098</f>
        <v>36</v>
      </c>
      <c r="I8178" s="159">
        <f>I8177</f>
        <v>6.8014359999999996E-2</v>
      </c>
      <c r="J8178" s="160"/>
      <c r="K8178" s="161">
        <f>K8177</f>
        <v>1348</v>
      </c>
      <c r="L8178" s="250">
        <v>1</v>
      </c>
      <c r="M8178" s="163" t="str">
        <f t="shared" si="2356"/>
        <v>36 лицензий*0,06801436/1348чел.</v>
      </c>
      <c r="N8178" s="164">
        <f t="shared" si="2354"/>
        <v>13043.200000000006</v>
      </c>
      <c r="O8178" s="165">
        <f t="shared" ref="O8178:O8187" si="2357">MROUND(G8178*N8178,0.000001)</f>
        <v>23.691799</v>
      </c>
      <c r="P8178" s="166"/>
      <c r="Q8178" s="166">
        <f t="shared" si="2355"/>
        <v>31936.545051999998</v>
      </c>
      <c r="R8178" s="71"/>
    </row>
    <row r="8179" spans="1:18" s="61" customFormat="1" ht="63" x14ac:dyDescent="0.25">
      <c r="A8179" s="358"/>
      <c r="B8179" s="361"/>
      <c r="C8179" s="364"/>
      <c r="D8179" s="156" t="s">
        <v>39</v>
      </c>
      <c r="E8179" s="156" t="s">
        <v>20</v>
      </c>
      <c r="F8179" s="156" t="s">
        <v>234</v>
      </c>
      <c r="G8179" s="238">
        <f>MROUND(H8179*L8179*I8179/K8179,0.000000001)</f>
        <v>5.9537790000000002E-3</v>
      </c>
      <c r="H8179" s="158">
        <f>H7699</f>
        <v>118</v>
      </c>
      <c r="I8179" s="159">
        <f>I8177</f>
        <v>6.8014359999999996E-2</v>
      </c>
      <c r="J8179" s="160"/>
      <c r="K8179" s="161">
        <f>K8177</f>
        <v>1348</v>
      </c>
      <c r="L8179" s="250">
        <v>1</v>
      </c>
      <c r="M8179" s="163" t="str">
        <f t="shared" si="2356"/>
        <v>118 чел(заявленная потребность руководителями учреждений)*0,06801436/1348чел.</v>
      </c>
      <c r="N8179" s="164">
        <f t="shared" si="2354"/>
        <v>830.02203389830515</v>
      </c>
      <c r="O8179" s="165">
        <f t="shared" si="2357"/>
        <v>4.9417679999999997</v>
      </c>
      <c r="P8179" s="166"/>
      <c r="Q8179" s="166">
        <f t="shared" si="2355"/>
        <v>6661.5032639999999</v>
      </c>
      <c r="R8179" s="71"/>
    </row>
    <row r="8180" spans="1:18" s="61" customFormat="1" ht="63" x14ac:dyDescent="0.25">
      <c r="A8180" s="358"/>
      <c r="B8180" s="361"/>
      <c r="C8180" s="364"/>
      <c r="D8180" s="156" t="s">
        <v>40</v>
      </c>
      <c r="E8180" s="156" t="s">
        <v>20</v>
      </c>
      <c r="F8180" s="156" t="s">
        <v>234</v>
      </c>
      <c r="G8180" s="238">
        <f>MROUND(H8180*L8180*I8180/K8180,0.000000001)</f>
        <v>4.8437530000000001E-3</v>
      </c>
      <c r="H8180" s="158">
        <f>H7700</f>
        <v>96</v>
      </c>
      <c r="I8180" s="159">
        <f t="shared" ref="I8180:I8187" si="2358">I8179</f>
        <v>6.8014359999999996E-2</v>
      </c>
      <c r="J8180" s="160"/>
      <c r="K8180" s="161">
        <f t="shared" ref="K8180:K8187" si="2359">K8179</f>
        <v>1348</v>
      </c>
      <c r="L8180" s="250">
        <v>1</v>
      </c>
      <c r="M8180" s="163" t="str">
        <f t="shared" si="2356"/>
        <v>96 чел(заявленная потребность руководителями учреждений)*0,06801436/1348чел.</v>
      </c>
      <c r="N8180" s="164">
        <f t="shared" si="2354"/>
        <v>1778.6189583333326</v>
      </c>
      <c r="O8180" s="165">
        <f t="shared" si="2357"/>
        <v>8.6151909999999994</v>
      </c>
      <c r="P8180" s="166"/>
      <c r="Q8180" s="166">
        <f t="shared" si="2355"/>
        <v>11613.277467999998</v>
      </c>
      <c r="R8180" s="71"/>
    </row>
    <row r="8181" spans="1:18" s="61" customFormat="1" ht="63" x14ac:dyDescent="0.25">
      <c r="A8181" s="358"/>
      <c r="B8181" s="361"/>
      <c r="C8181" s="364"/>
      <c r="D8181" s="156" t="s">
        <v>100</v>
      </c>
      <c r="E8181" s="156" t="s">
        <v>20</v>
      </c>
      <c r="F8181" s="156" t="s">
        <v>234</v>
      </c>
      <c r="G8181" s="238">
        <f>MROUND(H8181*L8181*I8181/K8181,0.0000000001)</f>
        <v>4.0869163E-3</v>
      </c>
      <c r="H8181" s="158">
        <f>H7701</f>
        <v>81</v>
      </c>
      <c r="I8181" s="159">
        <f t="shared" si="2358"/>
        <v>6.8014359999999996E-2</v>
      </c>
      <c r="J8181" s="160"/>
      <c r="K8181" s="161">
        <f t="shared" si="2359"/>
        <v>1348</v>
      </c>
      <c r="L8181" s="250">
        <v>1</v>
      </c>
      <c r="M8181" s="163" t="str">
        <f t="shared" si="2356"/>
        <v>81 чел(заявленная потребность руководителями учреждений)*0,06801436/1348чел.</v>
      </c>
      <c r="N8181" s="164">
        <f t="shared" si="2354"/>
        <v>3794.386419753087</v>
      </c>
      <c r="O8181" s="165">
        <f t="shared" si="2357"/>
        <v>15.507339999999999</v>
      </c>
      <c r="P8181" s="166"/>
      <c r="Q8181" s="166">
        <f t="shared" si="2355"/>
        <v>20903.894319999999</v>
      </c>
      <c r="R8181" s="71"/>
    </row>
    <row r="8182" spans="1:18" s="61" customFormat="1" ht="110.25" x14ac:dyDescent="0.25">
      <c r="A8182" s="358"/>
      <c r="B8182" s="361"/>
      <c r="C8182" s="364"/>
      <c r="D8182" s="156" t="s">
        <v>235</v>
      </c>
      <c r="E8182" s="156" t="s">
        <v>50</v>
      </c>
      <c r="F8182" s="156" t="s">
        <v>230</v>
      </c>
      <c r="G8182" s="238">
        <f>MROUND(H8182*L8182*I8182/K8182,0.00000001)</f>
        <v>1.8164100000000001E-3</v>
      </c>
      <c r="H8182" s="158">
        <f>H7942</f>
        <v>36</v>
      </c>
      <c r="I8182" s="159">
        <f t="shared" si="2358"/>
        <v>6.8014359999999996E-2</v>
      </c>
      <c r="J8182" s="160"/>
      <c r="K8182" s="161">
        <f t="shared" si="2359"/>
        <v>1348</v>
      </c>
      <c r="L8182" s="250">
        <v>1</v>
      </c>
      <c r="M8182" s="163" t="str">
        <f t="shared" si="2356"/>
        <v>36 отчетов*0,06801436/1348чел.</v>
      </c>
      <c r="N8182" s="164">
        <f t="shared" si="2354"/>
        <v>7114.47</v>
      </c>
      <c r="O8182" s="165">
        <f t="shared" si="2357"/>
        <v>12.922794</v>
      </c>
      <c r="P8182" s="166"/>
      <c r="Q8182" s="166">
        <f t="shared" si="2355"/>
        <v>17419.926312</v>
      </c>
      <c r="R8182" s="71"/>
    </row>
    <row r="8183" spans="1:18" s="61" customFormat="1" ht="63" x14ac:dyDescent="0.25">
      <c r="A8183" s="358"/>
      <c r="B8183" s="361"/>
      <c r="C8183" s="364"/>
      <c r="D8183" s="156" t="s">
        <v>42</v>
      </c>
      <c r="E8183" s="156" t="s">
        <v>51</v>
      </c>
      <c r="F8183" s="156" t="s">
        <v>407</v>
      </c>
      <c r="G8183" s="238">
        <f>MROUND(H8183*L8183*I8183/K8183,0.000001)</f>
        <v>1.0293E-2</v>
      </c>
      <c r="H8183" s="158">
        <f>H7703</f>
        <v>204</v>
      </c>
      <c r="I8183" s="159">
        <f t="shared" si="2358"/>
        <v>6.8014359999999996E-2</v>
      </c>
      <c r="J8183" s="160"/>
      <c r="K8183" s="161">
        <f t="shared" si="2359"/>
        <v>1348</v>
      </c>
      <c r="L8183" s="250">
        <v>1</v>
      </c>
      <c r="M8183" s="163" t="str">
        <f t="shared" si="2356"/>
        <v>204 ед (заявленная потребность руководителями учреждений)*0,06801436/1348чел.</v>
      </c>
      <c r="N8183" s="164">
        <f t="shared" si="2354"/>
        <v>1185.7454901960789</v>
      </c>
      <c r="O8183" s="165">
        <f t="shared" si="2357"/>
        <v>12.204877999999999</v>
      </c>
      <c r="P8183" s="166"/>
      <c r="Q8183" s="166">
        <f t="shared" si="2355"/>
        <v>16452.175543999998</v>
      </c>
      <c r="R8183" s="71"/>
    </row>
    <row r="8184" spans="1:18" s="61" customFormat="1" ht="31.5" x14ac:dyDescent="0.25">
      <c r="A8184" s="358"/>
      <c r="B8184" s="361"/>
      <c r="C8184" s="364"/>
      <c r="D8184" s="156" t="s">
        <v>43</v>
      </c>
      <c r="E8184" s="156" t="s">
        <v>52</v>
      </c>
      <c r="F8184" s="156" t="s">
        <v>231</v>
      </c>
      <c r="G8184" s="238">
        <f>MROUND(H8184*L8184*I8184/K8184,0.000000001)</f>
        <v>1.8164070000000001E-3</v>
      </c>
      <c r="H8184" s="158">
        <f>H7104</f>
        <v>36</v>
      </c>
      <c r="I8184" s="159">
        <f t="shared" si="2358"/>
        <v>6.8014359999999996E-2</v>
      </c>
      <c r="J8184" s="160"/>
      <c r="K8184" s="161">
        <f t="shared" si="2359"/>
        <v>1348</v>
      </c>
      <c r="L8184" s="250">
        <v>1</v>
      </c>
      <c r="M8184" s="163" t="str">
        <f t="shared" si="2356"/>
        <v>36 ЭЦП*0,06801436/1348чел.</v>
      </c>
      <c r="N8184" s="164">
        <f t="shared" si="2354"/>
        <v>8423.5400000000009</v>
      </c>
      <c r="O8184" s="165">
        <f t="shared" si="2357"/>
        <v>15.300576999999999</v>
      </c>
      <c r="P8184" s="166"/>
      <c r="Q8184" s="166">
        <f t="shared" si="2355"/>
        <v>20625.177796</v>
      </c>
      <c r="R8184" s="71"/>
    </row>
    <row r="8185" spans="1:18" s="61" customFormat="1" ht="47.25" x14ac:dyDescent="0.25">
      <c r="A8185" s="358"/>
      <c r="B8185" s="361"/>
      <c r="C8185" s="364"/>
      <c r="D8185" s="156" t="s">
        <v>44</v>
      </c>
      <c r="E8185" s="156" t="s">
        <v>85</v>
      </c>
      <c r="F8185" s="156" t="s">
        <v>232</v>
      </c>
      <c r="G8185" s="238">
        <f>MROUND(H8185*L8185*I8185/K8185,0.000001)</f>
        <v>6.1353999999999999E-2</v>
      </c>
      <c r="H8185" s="158">
        <f>H7105</f>
        <v>1216</v>
      </c>
      <c r="I8185" s="159">
        <f t="shared" si="2358"/>
        <v>6.8014359999999996E-2</v>
      </c>
      <c r="J8185" s="160"/>
      <c r="K8185" s="161">
        <f t="shared" si="2359"/>
        <v>1348</v>
      </c>
      <c r="L8185" s="250">
        <v>1</v>
      </c>
      <c r="M8185" s="163" t="str">
        <f>CONCATENATE(H8185," ",F8185,"*",L8185,"мес.","*",I8185,"/",K8185,"чел.")</f>
        <v>1216 мед.осмотров в мес.*1мес.*0,06801436/1348чел.</v>
      </c>
      <c r="N8185" s="164">
        <f>N7105</f>
        <v>61.65877467105264</v>
      </c>
      <c r="O8185" s="165">
        <f t="shared" si="2357"/>
        <v>3.7830119999999998</v>
      </c>
      <c r="P8185" s="166"/>
      <c r="Q8185" s="166">
        <f t="shared" si="2355"/>
        <v>5099.5001759999996</v>
      </c>
      <c r="R8185" s="71"/>
    </row>
    <row r="8186" spans="1:18" s="61" customFormat="1" ht="63" x14ac:dyDescent="0.25">
      <c r="A8186" s="358"/>
      <c r="B8186" s="361"/>
      <c r="C8186" s="364"/>
      <c r="D8186" s="156" t="s">
        <v>45</v>
      </c>
      <c r="E8186" s="156" t="s">
        <v>53</v>
      </c>
      <c r="F8186" s="156" t="s">
        <v>233</v>
      </c>
      <c r="G8186" s="238">
        <f>MROUND(H8186*L8186*I8186/K8186,0.000000001)</f>
        <v>2.4218760000000003E-3</v>
      </c>
      <c r="H8186" s="158">
        <f>H7706</f>
        <v>4</v>
      </c>
      <c r="I8186" s="159">
        <f t="shared" si="2358"/>
        <v>6.8014359999999996E-2</v>
      </c>
      <c r="J8186" s="160"/>
      <c r="K8186" s="161">
        <f t="shared" si="2359"/>
        <v>1348</v>
      </c>
      <c r="L8186" s="250">
        <v>12</v>
      </c>
      <c r="M8186" s="163" t="str">
        <f>CONCATENATE(H8186," ",F8186,"*",L8186,"мес.","*",I8186,"/",K8186,"чел.")</f>
        <v>4  машины, оборудованных системой ГЛОНАСС*12мес.*0,06801436/1348чел.</v>
      </c>
      <c r="N8186" s="164">
        <f>N6866</f>
        <v>958.08249999999998</v>
      </c>
      <c r="O8186" s="165">
        <f t="shared" si="2357"/>
        <v>2.320357</v>
      </c>
      <c r="P8186" s="166"/>
      <c r="Q8186" s="166">
        <f t="shared" si="2355"/>
        <v>3127.8412360000002</v>
      </c>
      <c r="R8186" s="71"/>
    </row>
    <row r="8187" spans="1:18" s="61" customFormat="1" ht="31.5" x14ac:dyDescent="0.25">
      <c r="A8187" s="358"/>
      <c r="B8187" s="361"/>
      <c r="C8187" s="364"/>
      <c r="D8187" s="156" t="s">
        <v>408</v>
      </c>
      <c r="E8187" s="156" t="s">
        <v>20</v>
      </c>
      <c r="F8187" s="156" t="s">
        <v>20</v>
      </c>
      <c r="G8187" s="238">
        <f>MROUND(H8187*L8187*I8187/K8187,0.0000000001)</f>
        <v>8.5623419100000001E-2</v>
      </c>
      <c r="H8187" s="158">
        <f>H6867</f>
        <v>1697</v>
      </c>
      <c r="I8187" s="159">
        <f t="shared" si="2358"/>
        <v>6.8014359999999996E-2</v>
      </c>
      <c r="J8187" s="160"/>
      <c r="K8187" s="161">
        <f t="shared" si="2359"/>
        <v>1348</v>
      </c>
      <c r="L8187" s="250">
        <v>1</v>
      </c>
      <c r="M8187" s="163" t="str">
        <f>CONCATENATE(H8187," ",F8187,"*",L8187," раз в год","*",I8187,"/",K8187,"чел.")</f>
        <v>1697 чел.*1 раз в год*0,06801436/1348чел.</v>
      </c>
      <c r="N8187" s="164">
        <f>N6867</f>
        <v>592.87278137890405</v>
      </c>
      <c r="O8187" s="165">
        <f t="shared" si="2357"/>
        <v>50.763794999999995</v>
      </c>
      <c r="P8187" s="166"/>
      <c r="Q8187" s="166">
        <f t="shared" si="2355"/>
        <v>68429.595659999992</v>
      </c>
      <c r="R8187" s="71"/>
    </row>
    <row r="8188" spans="1:18" s="61" customFormat="1" x14ac:dyDescent="0.25">
      <c r="A8188" s="358"/>
      <c r="B8188" s="361"/>
      <c r="C8188" s="364"/>
      <c r="D8188" s="156" t="s">
        <v>373</v>
      </c>
      <c r="E8188" s="156" t="s">
        <v>28</v>
      </c>
      <c r="F8188" s="156" t="s">
        <v>28</v>
      </c>
      <c r="G8188" s="157">
        <f>MROUND(H8188*L8188*I8188/K8188,0.000000001)</f>
        <v>1.8164070000000001E-3</v>
      </c>
      <c r="H8188" s="158">
        <f>H6869</f>
        <v>36</v>
      </c>
      <c r="I8188" s="159">
        <f>I8186</f>
        <v>6.8014359999999996E-2</v>
      </c>
      <c r="J8188" s="160"/>
      <c r="K8188" s="161">
        <f>K8186</f>
        <v>1348</v>
      </c>
      <c r="L8188" s="162">
        <v>1</v>
      </c>
      <c r="M8188" s="163" t="str">
        <f>CONCATENATE(H8188," ",F8188,"*",L8188,"мес.","*",I8188,"/",K8188,"чел.")</f>
        <v>36 шт*1мес.*0,06801436/1348чел.</v>
      </c>
      <c r="N8188" s="164">
        <f>N6869</f>
        <v>24000</v>
      </c>
      <c r="O8188" s="165">
        <f>MROUND(G8188*N8188,0.000000001)</f>
        <v>43.593768000000004</v>
      </c>
      <c r="P8188" s="166"/>
      <c r="Q8188" s="166">
        <f t="shared" si="2355"/>
        <v>58764.399264000007</v>
      </c>
      <c r="R8188" s="71"/>
    </row>
    <row r="8189" spans="1:18" s="61" customFormat="1" ht="31.5" x14ac:dyDescent="0.25">
      <c r="A8189" s="358"/>
      <c r="B8189" s="361"/>
      <c r="C8189" s="364"/>
      <c r="D8189" s="156" t="s">
        <v>106</v>
      </c>
      <c r="E8189" s="156" t="s">
        <v>107</v>
      </c>
      <c r="F8189" s="156"/>
      <c r="G8189" s="238">
        <f>MROUND(H8189*L8189*I8189/K8189,0.000000001)</f>
        <v>0</v>
      </c>
      <c r="H8189" s="158">
        <f>H6868</f>
        <v>0</v>
      </c>
      <c r="I8189" s="159">
        <f>I8186</f>
        <v>6.8014359999999996E-2</v>
      </c>
      <c r="J8189" s="160"/>
      <c r="K8189" s="161">
        <f>K8186</f>
        <v>1348</v>
      </c>
      <c r="L8189" s="250">
        <f>L7229</f>
        <v>0</v>
      </c>
      <c r="M8189" s="163"/>
      <c r="N8189" s="164">
        <f>N6868</f>
        <v>6.0000000000000002E-5</v>
      </c>
      <c r="O8189" s="165">
        <f>MROUND(G8189*N8189,0.000000001)</f>
        <v>0</v>
      </c>
      <c r="P8189" s="166"/>
      <c r="Q8189" s="166">
        <f t="shared" si="2355"/>
        <v>0</v>
      </c>
      <c r="R8189" s="71"/>
    </row>
    <row r="8190" spans="1:18" s="62" customFormat="1" x14ac:dyDescent="0.25">
      <c r="A8190" s="358"/>
      <c r="B8190" s="361"/>
      <c r="C8190" s="245" t="s">
        <v>296</v>
      </c>
      <c r="D8190" s="240"/>
      <c r="E8190" s="240"/>
      <c r="F8190" s="240"/>
      <c r="G8190" s="227"/>
      <c r="H8190" s="241"/>
      <c r="I8190" s="206"/>
      <c r="J8190" s="228"/>
      <c r="K8190" s="207"/>
      <c r="L8190" s="257"/>
      <c r="M8190" s="209"/>
      <c r="N8190" s="210"/>
      <c r="O8190" s="198">
        <f>SUM(O8176:O8189)</f>
        <v>326.42849900000004</v>
      </c>
      <c r="P8190" s="267"/>
      <c r="Q8190" s="166"/>
      <c r="R8190" s="71"/>
    </row>
    <row r="8191" spans="1:18" s="61" customFormat="1" ht="31.5" x14ac:dyDescent="0.25">
      <c r="A8191" s="358"/>
      <c r="B8191" s="361"/>
      <c r="C8191" s="252" t="s">
        <v>237</v>
      </c>
      <c r="D8191" s="156" t="s">
        <v>41</v>
      </c>
      <c r="E8191" s="156" t="s">
        <v>61</v>
      </c>
      <c r="F8191" s="156" t="s">
        <v>227</v>
      </c>
      <c r="G8191" s="238">
        <f>MROUND(H8191*L8191*I8191/K8191,0.000000001)</f>
        <v>2.0182300000000001E-4</v>
      </c>
      <c r="H8191" s="158">
        <f>H7111</f>
        <v>4</v>
      </c>
      <c r="I8191" s="159">
        <f>I8189</f>
        <v>6.8014359999999996E-2</v>
      </c>
      <c r="J8191" s="160"/>
      <c r="K8191" s="161">
        <f>K8189</f>
        <v>1348</v>
      </c>
      <c r="L8191" s="250">
        <v>1</v>
      </c>
      <c r="M8191" s="163" t="str">
        <f>CONCATENATE(H8191," ",F8191,"*",I8191,"/",K8191,"чел.")</f>
        <v>4 автобуса*0,06801436/1348чел.</v>
      </c>
      <c r="N8191" s="164">
        <f>N6871</f>
        <v>27983.595000000001</v>
      </c>
      <c r="O8191" s="165">
        <f>MROUND(G8191*N8191,0.000001)</f>
        <v>5.6477329999999997</v>
      </c>
      <c r="P8191" s="166"/>
      <c r="Q8191" s="166">
        <f t="shared" ref="Q8191" si="2360">O8191*K8191</f>
        <v>7613.1440839999996</v>
      </c>
      <c r="R8191" s="71"/>
    </row>
    <row r="8192" spans="1:18" s="62" customFormat="1" x14ac:dyDescent="0.25">
      <c r="A8192" s="358"/>
      <c r="B8192" s="361"/>
      <c r="C8192" s="245" t="s">
        <v>297</v>
      </c>
      <c r="D8192" s="240"/>
      <c r="E8192" s="240"/>
      <c r="F8192" s="240"/>
      <c r="G8192" s="227"/>
      <c r="H8192" s="241"/>
      <c r="I8192" s="206"/>
      <c r="J8192" s="228"/>
      <c r="K8192" s="207"/>
      <c r="L8192" s="257"/>
      <c r="M8192" s="209"/>
      <c r="N8192" s="210"/>
      <c r="O8192" s="198">
        <f>SUM(O8191)</f>
        <v>5.6477329999999997</v>
      </c>
      <c r="P8192" s="267"/>
      <c r="Q8192" s="166"/>
      <c r="R8192" s="71"/>
    </row>
    <row r="8193" spans="1:18" s="61" customFormat="1" ht="78.75" x14ac:dyDescent="0.25">
      <c r="A8193" s="358"/>
      <c r="B8193" s="361"/>
      <c r="C8193" s="221" t="s">
        <v>236</v>
      </c>
      <c r="D8193" s="156" t="s">
        <v>19</v>
      </c>
      <c r="E8193" s="181" t="s">
        <v>20</v>
      </c>
      <c r="F8193" s="181" t="s">
        <v>238</v>
      </c>
      <c r="G8193" s="238">
        <f>MROUND(H8193*L8193*I8193/K8193,0.000001)</f>
        <v>0</v>
      </c>
      <c r="H8193" s="158"/>
      <c r="I8193" s="159">
        <f>I8189</f>
        <v>6.8014359999999996E-2</v>
      </c>
      <c r="J8193" s="160"/>
      <c r="K8193" s="161">
        <f>K8189</f>
        <v>1348</v>
      </c>
      <c r="L8193" s="250"/>
      <c r="M8193" s="163"/>
      <c r="N8193" s="164"/>
      <c r="O8193" s="165">
        <f>MROUND(G8193*N8193,0.000001)</f>
        <v>0</v>
      </c>
      <c r="P8193" s="166"/>
      <c r="Q8193" s="166">
        <f t="shared" ref="Q8193" si="2361">O8193*K8193</f>
        <v>0</v>
      </c>
      <c r="R8193" s="71"/>
    </row>
    <row r="8194" spans="1:18" s="62" customFormat="1" x14ac:dyDescent="0.25">
      <c r="A8194" s="358"/>
      <c r="B8194" s="361"/>
      <c r="C8194" s="245" t="s">
        <v>298</v>
      </c>
      <c r="D8194" s="240"/>
      <c r="E8194" s="253"/>
      <c r="F8194" s="253"/>
      <c r="G8194" s="227"/>
      <c r="H8194" s="241"/>
      <c r="I8194" s="206"/>
      <c r="J8194" s="228"/>
      <c r="K8194" s="207"/>
      <c r="L8194" s="257"/>
      <c r="M8194" s="209"/>
      <c r="N8194" s="210"/>
      <c r="O8194" s="198">
        <f>SUM(O8193)</f>
        <v>0</v>
      </c>
      <c r="P8194" s="267"/>
      <c r="Q8194" s="166"/>
      <c r="R8194" s="71"/>
    </row>
    <row r="8195" spans="1:18" s="61" customFormat="1" ht="30" x14ac:dyDescent="0.25">
      <c r="A8195" s="358"/>
      <c r="B8195" s="361"/>
      <c r="C8195" s="365" t="s">
        <v>81</v>
      </c>
      <c r="D8195" s="254" t="s">
        <v>410</v>
      </c>
      <c r="E8195" s="156" t="s">
        <v>28</v>
      </c>
      <c r="F8195" s="156" t="s">
        <v>28</v>
      </c>
      <c r="G8195" s="238">
        <f>MROUND(H8195*L8195*I8195/K8195,0.0000000001)</f>
        <v>0</v>
      </c>
      <c r="H8195" s="158"/>
      <c r="I8195" s="159">
        <f>I8189</f>
        <v>6.8014359999999996E-2</v>
      </c>
      <c r="J8195" s="160"/>
      <c r="K8195" s="161">
        <f>K8189</f>
        <v>1348</v>
      </c>
      <c r="L8195" s="250">
        <v>1</v>
      </c>
      <c r="M8195" s="163"/>
      <c r="N8195" s="164"/>
      <c r="O8195" s="165">
        <f>MROUND(G8195*N8195,0.000001)</f>
        <v>0</v>
      </c>
      <c r="P8195" s="166"/>
      <c r="Q8195" s="166">
        <f t="shared" ref="Q8195:Q8218" si="2362">O8195*K8195</f>
        <v>0</v>
      </c>
      <c r="R8195" s="71"/>
    </row>
    <row r="8196" spans="1:18" s="61" customFormat="1" x14ac:dyDescent="0.25">
      <c r="A8196" s="358"/>
      <c r="B8196" s="361"/>
      <c r="C8196" s="366"/>
      <c r="D8196" s="254" t="s">
        <v>325</v>
      </c>
      <c r="E8196" s="156" t="s">
        <v>28</v>
      </c>
      <c r="F8196" s="156" t="s">
        <v>28</v>
      </c>
      <c r="G8196" s="157">
        <f>MROUND(H8196*L8196*I8196/K8196,0.0000000001)</f>
        <v>0</v>
      </c>
      <c r="H8196" s="158"/>
      <c r="I8196" s="159">
        <f>I8195</f>
        <v>6.8014359999999996E-2</v>
      </c>
      <c r="J8196" s="160"/>
      <c r="K8196" s="161">
        <f>K8195</f>
        <v>1348</v>
      </c>
      <c r="L8196" s="250">
        <v>1</v>
      </c>
      <c r="M8196" s="163"/>
      <c r="N8196" s="164"/>
      <c r="O8196" s="165">
        <f>MROUND(G8196*N8196,0.000001)</f>
        <v>0</v>
      </c>
      <c r="P8196" s="166"/>
      <c r="Q8196" s="166">
        <f t="shared" si="2362"/>
        <v>0</v>
      </c>
      <c r="R8196" s="71"/>
    </row>
    <row r="8197" spans="1:18" s="61" customFormat="1" ht="30" x14ac:dyDescent="0.25">
      <c r="A8197" s="358"/>
      <c r="B8197" s="361"/>
      <c r="C8197" s="366"/>
      <c r="D8197" s="254" t="s">
        <v>411</v>
      </c>
      <c r="E8197" s="156" t="s">
        <v>28</v>
      </c>
      <c r="F8197" s="156" t="s">
        <v>28</v>
      </c>
      <c r="G8197" s="238">
        <f>MROUND(H8197*L8197*I8197/K8197,0.00000001)</f>
        <v>0</v>
      </c>
      <c r="H8197" s="158"/>
      <c r="I8197" s="159">
        <f>I8195</f>
        <v>6.8014359999999996E-2</v>
      </c>
      <c r="J8197" s="160"/>
      <c r="K8197" s="161">
        <f>K8195</f>
        <v>1348</v>
      </c>
      <c r="L8197" s="250">
        <v>1</v>
      </c>
      <c r="M8197" s="163"/>
      <c r="N8197" s="164"/>
      <c r="O8197" s="165">
        <f t="shared" ref="O8197:O8218" si="2363">MROUND(G8197*N8197,0.000001)</f>
        <v>0</v>
      </c>
      <c r="P8197" s="166"/>
      <c r="Q8197" s="166">
        <f t="shared" si="2362"/>
        <v>0</v>
      </c>
      <c r="R8197" s="71"/>
    </row>
    <row r="8198" spans="1:18" s="61" customFormat="1" x14ac:dyDescent="0.25">
      <c r="A8198" s="358"/>
      <c r="B8198" s="361"/>
      <c r="C8198" s="366"/>
      <c r="D8198" s="255" t="s">
        <v>412</v>
      </c>
      <c r="E8198" s="156" t="s">
        <v>28</v>
      </c>
      <c r="F8198" s="156" t="s">
        <v>28</v>
      </c>
      <c r="G8198" s="238">
        <f>MROUND(H8198*L8198*I8198/K8198,0.00000001)</f>
        <v>0</v>
      </c>
      <c r="H8198" s="158"/>
      <c r="I8198" s="159">
        <f>I8197</f>
        <v>6.8014359999999996E-2</v>
      </c>
      <c r="J8198" s="160"/>
      <c r="K8198" s="161">
        <f>K8197</f>
        <v>1348</v>
      </c>
      <c r="L8198" s="250">
        <v>1</v>
      </c>
      <c r="M8198" s="163"/>
      <c r="N8198" s="164"/>
      <c r="O8198" s="165">
        <f t="shared" si="2363"/>
        <v>0</v>
      </c>
      <c r="P8198" s="166"/>
      <c r="Q8198" s="166">
        <f t="shared" si="2362"/>
        <v>0</v>
      </c>
      <c r="R8198" s="71"/>
    </row>
    <row r="8199" spans="1:18" s="61" customFormat="1" ht="31.5" x14ac:dyDescent="0.25">
      <c r="A8199" s="358"/>
      <c r="B8199" s="361"/>
      <c r="C8199" s="366"/>
      <c r="D8199" s="255" t="s">
        <v>413</v>
      </c>
      <c r="E8199" s="156" t="s">
        <v>28</v>
      </c>
      <c r="F8199" s="156" t="s">
        <v>28</v>
      </c>
      <c r="G8199" s="238">
        <f>MROUND(H8199*L8199*I8199/K8199,0.0000000001)</f>
        <v>0</v>
      </c>
      <c r="H8199" s="158"/>
      <c r="I8199" s="159">
        <f>I8198</f>
        <v>6.8014359999999996E-2</v>
      </c>
      <c r="J8199" s="160"/>
      <c r="K8199" s="161">
        <f>K8198</f>
        <v>1348</v>
      </c>
      <c r="L8199" s="250">
        <v>1</v>
      </c>
      <c r="M8199" s="163"/>
      <c r="N8199" s="164"/>
      <c r="O8199" s="165">
        <f t="shared" si="2363"/>
        <v>0</v>
      </c>
      <c r="P8199" s="166"/>
      <c r="Q8199" s="166">
        <f t="shared" si="2362"/>
        <v>0</v>
      </c>
      <c r="R8199" s="71"/>
    </row>
    <row r="8200" spans="1:18" s="61" customFormat="1" x14ac:dyDescent="0.25">
      <c r="A8200" s="358"/>
      <c r="B8200" s="361"/>
      <c r="C8200" s="366"/>
      <c r="D8200" s="254" t="s">
        <v>109</v>
      </c>
      <c r="E8200" s="156" t="s">
        <v>28</v>
      </c>
      <c r="F8200" s="156" t="s">
        <v>28</v>
      </c>
      <c r="G8200" s="238">
        <f>MROUND(H8200*L8200*I8200/K8200,0.0000000001)</f>
        <v>0</v>
      </c>
      <c r="H8200" s="158"/>
      <c r="I8200" s="159">
        <f>I8199</f>
        <v>6.8014359999999996E-2</v>
      </c>
      <c r="J8200" s="160"/>
      <c r="K8200" s="161">
        <f>K8199</f>
        <v>1348</v>
      </c>
      <c r="L8200" s="250">
        <v>1</v>
      </c>
      <c r="M8200" s="163"/>
      <c r="N8200" s="164"/>
      <c r="O8200" s="165">
        <f t="shared" si="2363"/>
        <v>0</v>
      </c>
      <c r="P8200" s="166"/>
      <c r="Q8200" s="166">
        <f t="shared" si="2362"/>
        <v>0</v>
      </c>
      <c r="R8200" s="71"/>
    </row>
    <row r="8201" spans="1:18" s="61" customFormat="1" x14ac:dyDescent="0.25">
      <c r="A8201" s="358"/>
      <c r="B8201" s="361"/>
      <c r="C8201" s="366"/>
      <c r="D8201" s="254" t="s">
        <v>414</v>
      </c>
      <c r="E8201" s="156" t="s">
        <v>28</v>
      </c>
      <c r="F8201" s="156" t="s">
        <v>28</v>
      </c>
      <c r="G8201" s="238">
        <f>MROUND(H8201*L8201*I8201/K8201,0.0000000001)</f>
        <v>0</v>
      </c>
      <c r="H8201" s="158"/>
      <c r="I8201" s="159">
        <f>I8199</f>
        <v>6.8014359999999996E-2</v>
      </c>
      <c r="J8201" s="160"/>
      <c r="K8201" s="161">
        <f>K8199</f>
        <v>1348</v>
      </c>
      <c r="L8201" s="250">
        <v>1</v>
      </c>
      <c r="M8201" s="163"/>
      <c r="N8201" s="164"/>
      <c r="O8201" s="165">
        <f t="shared" si="2363"/>
        <v>0</v>
      </c>
      <c r="P8201" s="166"/>
      <c r="Q8201" s="166">
        <f t="shared" si="2362"/>
        <v>0</v>
      </c>
      <c r="R8201" s="71"/>
    </row>
    <row r="8202" spans="1:18" s="61" customFormat="1" x14ac:dyDescent="0.25">
      <c r="A8202" s="358"/>
      <c r="B8202" s="361"/>
      <c r="C8202" s="366"/>
      <c r="D8202" s="254" t="s">
        <v>415</v>
      </c>
      <c r="E8202" s="156" t="s">
        <v>28</v>
      </c>
      <c r="F8202" s="156" t="s">
        <v>28</v>
      </c>
      <c r="G8202" s="238">
        <f>MROUND(H8202*L8202*I8202/K8202,0.00000001)</f>
        <v>0</v>
      </c>
      <c r="H8202" s="158"/>
      <c r="I8202" s="159">
        <f t="shared" ref="I8202:I8211" si="2364">I8200</f>
        <v>6.8014359999999996E-2</v>
      </c>
      <c r="J8202" s="160"/>
      <c r="K8202" s="161">
        <f t="shared" ref="K8202:K8211" si="2365">K8200</f>
        <v>1348</v>
      </c>
      <c r="L8202" s="250">
        <v>1</v>
      </c>
      <c r="M8202" s="163"/>
      <c r="N8202" s="164"/>
      <c r="O8202" s="165">
        <f t="shared" si="2363"/>
        <v>0</v>
      </c>
      <c r="P8202" s="166"/>
      <c r="Q8202" s="166">
        <f t="shared" si="2362"/>
        <v>0</v>
      </c>
      <c r="R8202" s="71"/>
    </row>
    <row r="8203" spans="1:18" s="61" customFormat="1" x14ac:dyDescent="0.25">
      <c r="A8203" s="358"/>
      <c r="B8203" s="361"/>
      <c r="C8203" s="366"/>
      <c r="D8203" s="254" t="s">
        <v>416</v>
      </c>
      <c r="E8203" s="156" t="s">
        <v>28</v>
      </c>
      <c r="F8203" s="156" t="s">
        <v>28</v>
      </c>
      <c r="G8203" s="238">
        <f>MROUND(H8203*L8203*I8203/K8203,0.000000001)</f>
        <v>0</v>
      </c>
      <c r="H8203" s="246"/>
      <c r="I8203" s="159">
        <f t="shared" si="2364"/>
        <v>6.8014359999999996E-2</v>
      </c>
      <c r="J8203" s="160"/>
      <c r="K8203" s="161">
        <f t="shared" si="2365"/>
        <v>1348</v>
      </c>
      <c r="L8203" s="250">
        <v>1</v>
      </c>
      <c r="M8203" s="163"/>
      <c r="N8203" s="164"/>
      <c r="O8203" s="165">
        <f t="shared" si="2363"/>
        <v>0</v>
      </c>
      <c r="P8203" s="166"/>
      <c r="Q8203" s="166">
        <f t="shared" si="2362"/>
        <v>0</v>
      </c>
      <c r="R8203" s="71"/>
    </row>
    <row r="8204" spans="1:18" s="61" customFormat="1" x14ac:dyDescent="0.25">
      <c r="A8204" s="358"/>
      <c r="B8204" s="361"/>
      <c r="C8204" s="366"/>
      <c r="D8204" s="254" t="s">
        <v>417</v>
      </c>
      <c r="E8204" s="156" t="s">
        <v>28</v>
      </c>
      <c r="F8204" s="156" t="s">
        <v>28</v>
      </c>
      <c r="G8204" s="238">
        <f>MROUND(H8204*L8204*I8204/K8204,0.00000001)</f>
        <v>0</v>
      </c>
      <c r="H8204" s="158"/>
      <c r="I8204" s="159">
        <f t="shared" si="2364"/>
        <v>6.8014359999999996E-2</v>
      </c>
      <c r="J8204" s="160"/>
      <c r="K8204" s="161">
        <f t="shared" si="2365"/>
        <v>1348</v>
      </c>
      <c r="L8204" s="250">
        <v>1</v>
      </c>
      <c r="M8204" s="163"/>
      <c r="N8204" s="164"/>
      <c r="O8204" s="165">
        <f t="shared" si="2363"/>
        <v>0</v>
      </c>
      <c r="P8204" s="166"/>
      <c r="Q8204" s="166">
        <f t="shared" si="2362"/>
        <v>0</v>
      </c>
      <c r="R8204" s="71"/>
    </row>
    <row r="8205" spans="1:18" s="61" customFormat="1" ht="30" x14ac:dyDescent="0.25">
      <c r="A8205" s="358"/>
      <c r="B8205" s="361"/>
      <c r="C8205" s="366"/>
      <c r="D8205" s="254" t="s">
        <v>418</v>
      </c>
      <c r="E8205" s="156" t="s">
        <v>28</v>
      </c>
      <c r="F8205" s="156" t="s">
        <v>28</v>
      </c>
      <c r="G8205" s="238">
        <f>MROUND(H8205*L8205*I8205/K8205,0.00000001)</f>
        <v>0</v>
      </c>
      <c r="H8205" s="158"/>
      <c r="I8205" s="159">
        <f t="shared" si="2364"/>
        <v>6.8014359999999996E-2</v>
      </c>
      <c r="J8205" s="160"/>
      <c r="K8205" s="161">
        <f t="shared" si="2365"/>
        <v>1348</v>
      </c>
      <c r="L8205" s="250">
        <v>1</v>
      </c>
      <c r="M8205" s="163"/>
      <c r="N8205" s="164"/>
      <c r="O8205" s="165">
        <f t="shared" si="2363"/>
        <v>0</v>
      </c>
      <c r="P8205" s="166"/>
      <c r="Q8205" s="166">
        <f t="shared" si="2362"/>
        <v>0</v>
      </c>
      <c r="R8205" s="71"/>
    </row>
    <row r="8206" spans="1:18" s="61" customFormat="1" x14ac:dyDescent="0.25">
      <c r="A8206" s="358"/>
      <c r="B8206" s="361"/>
      <c r="C8206" s="366"/>
      <c r="D8206" s="254" t="s">
        <v>324</v>
      </c>
      <c r="E8206" s="156" t="s">
        <v>28</v>
      </c>
      <c r="F8206" s="156" t="s">
        <v>28</v>
      </c>
      <c r="G8206" s="238">
        <f>MROUND(H8206*L8206*I8206/K8206,0.000000001)</f>
        <v>0</v>
      </c>
      <c r="H8206" s="158"/>
      <c r="I8206" s="159">
        <f t="shared" si="2364"/>
        <v>6.8014359999999996E-2</v>
      </c>
      <c r="J8206" s="160"/>
      <c r="K8206" s="161">
        <f t="shared" si="2365"/>
        <v>1348</v>
      </c>
      <c r="L8206" s="250">
        <v>1</v>
      </c>
      <c r="M8206" s="163"/>
      <c r="N8206" s="164"/>
      <c r="O8206" s="165">
        <f t="shared" si="2363"/>
        <v>0</v>
      </c>
      <c r="P8206" s="166"/>
      <c r="Q8206" s="166">
        <f t="shared" si="2362"/>
        <v>0</v>
      </c>
      <c r="R8206" s="71"/>
    </row>
    <row r="8207" spans="1:18" s="61" customFormat="1" x14ac:dyDescent="0.25">
      <c r="A8207" s="358"/>
      <c r="B8207" s="361"/>
      <c r="C8207" s="366"/>
      <c r="D8207" s="254" t="s">
        <v>419</v>
      </c>
      <c r="E8207" s="156" t="s">
        <v>28</v>
      </c>
      <c r="F8207" s="156" t="s">
        <v>28</v>
      </c>
      <c r="G8207" s="238">
        <f>MROUND(H8207*L8207*I8207/K8207,0.000000001)</f>
        <v>0</v>
      </c>
      <c r="H8207" s="246"/>
      <c r="I8207" s="159">
        <f t="shared" si="2364"/>
        <v>6.8014359999999996E-2</v>
      </c>
      <c r="J8207" s="160"/>
      <c r="K8207" s="161">
        <f t="shared" si="2365"/>
        <v>1348</v>
      </c>
      <c r="L8207" s="250">
        <v>1</v>
      </c>
      <c r="M8207" s="163"/>
      <c r="N8207" s="164"/>
      <c r="O8207" s="165">
        <f t="shared" si="2363"/>
        <v>0</v>
      </c>
      <c r="P8207" s="166"/>
      <c r="Q8207" s="166">
        <f t="shared" si="2362"/>
        <v>0</v>
      </c>
      <c r="R8207" s="71"/>
    </row>
    <row r="8208" spans="1:18" s="61" customFormat="1" x14ac:dyDescent="0.25">
      <c r="A8208" s="358"/>
      <c r="B8208" s="361"/>
      <c r="C8208" s="366"/>
      <c r="D8208" s="254" t="s">
        <v>420</v>
      </c>
      <c r="E8208" s="156" t="s">
        <v>28</v>
      </c>
      <c r="F8208" s="156" t="s">
        <v>28</v>
      </c>
      <c r="G8208" s="238">
        <f>MROUND(H8208*L8208*I8208/K8208,0.000000001)</f>
        <v>0</v>
      </c>
      <c r="H8208" s="158"/>
      <c r="I8208" s="159">
        <f t="shared" si="2364"/>
        <v>6.8014359999999996E-2</v>
      </c>
      <c r="J8208" s="160"/>
      <c r="K8208" s="161">
        <f t="shared" si="2365"/>
        <v>1348</v>
      </c>
      <c r="L8208" s="250">
        <v>1</v>
      </c>
      <c r="M8208" s="163"/>
      <c r="N8208" s="164"/>
      <c r="O8208" s="165">
        <f t="shared" si="2363"/>
        <v>0</v>
      </c>
      <c r="P8208" s="166"/>
      <c r="Q8208" s="166">
        <f t="shared" si="2362"/>
        <v>0</v>
      </c>
      <c r="R8208" s="71"/>
    </row>
    <row r="8209" spans="1:18" s="61" customFormat="1" x14ac:dyDescent="0.25">
      <c r="A8209" s="358"/>
      <c r="B8209" s="361"/>
      <c r="C8209" s="366"/>
      <c r="D8209" s="254" t="s">
        <v>421</v>
      </c>
      <c r="E8209" s="156" t="s">
        <v>28</v>
      </c>
      <c r="F8209" s="156" t="s">
        <v>28</v>
      </c>
      <c r="G8209" s="238">
        <f>MROUND(H8209*L8209*I8209/K8209,0.00000001)</f>
        <v>0</v>
      </c>
      <c r="H8209" s="158"/>
      <c r="I8209" s="159">
        <f t="shared" si="2364"/>
        <v>6.8014359999999996E-2</v>
      </c>
      <c r="J8209" s="160"/>
      <c r="K8209" s="161">
        <f t="shared" si="2365"/>
        <v>1348</v>
      </c>
      <c r="L8209" s="250">
        <v>1</v>
      </c>
      <c r="M8209" s="163"/>
      <c r="N8209" s="164"/>
      <c r="O8209" s="165">
        <f t="shared" si="2363"/>
        <v>0</v>
      </c>
      <c r="P8209" s="166"/>
      <c r="Q8209" s="166">
        <f t="shared" si="2362"/>
        <v>0</v>
      </c>
      <c r="R8209" s="71"/>
    </row>
    <row r="8210" spans="1:18" s="61" customFormat="1" ht="30" x14ac:dyDescent="0.25">
      <c r="A8210" s="358"/>
      <c r="B8210" s="361"/>
      <c r="C8210" s="366"/>
      <c r="D8210" s="254" t="s">
        <v>422</v>
      </c>
      <c r="E8210" s="156" t="s">
        <v>28</v>
      </c>
      <c r="F8210" s="156" t="s">
        <v>28</v>
      </c>
      <c r="G8210" s="266">
        <f>MROUND(H8210*L8210*I8210/K8210,0.00000001)</f>
        <v>0</v>
      </c>
      <c r="H8210" s="158"/>
      <c r="I8210" s="159">
        <f t="shared" si="2364"/>
        <v>6.8014359999999996E-2</v>
      </c>
      <c r="J8210" s="160"/>
      <c r="K8210" s="161">
        <f t="shared" si="2365"/>
        <v>1348</v>
      </c>
      <c r="L8210" s="250">
        <v>1</v>
      </c>
      <c r="M8210" s="163"/>
      <c r="N8210" s="164"/>
      <c r="O8210" s="165">
        <f t="shared" si="2363"/>
        <v>0</v>
      </c>
      <c r="P8210" s="166"/>
      <c r="Q8210" s="166">
        <f t="shared" si="2362"/>
        <v>0</v>
      </c>
      <c r="R8210" s="71"/>
    </row>
    <row r="8211" spans="1:18" s="61" customFormat="1" x14ac:dyDescent="0.25">
      <c r="A8211" s="358"/>
      <c r="B8211" s="361"/>
      <c r="C8211" s="366"/>
      <c r="D8211" s="254" t="s">
        <v>423</v>
      </c>
      <c r="E8211" s="156" t="s">
        <v>28</v>
      </c>
      <c r="F8211" s="156" t="s">
        <v>28</v>
      </c>
      <c r="G8211" s="238">
        <f>MROUND(H8211*L8211*I8211/K8211,0.000000001)</f>
        <v>0</v>
      </c>
      <c r="H8211" s="158"/>
      <c r="I8211" s="159">
        <f t="shared" si="2364"/>
        <v>6.8014359999999996E-2</v>
      </c>
      <c r="J8211" s="160"/>
      <c r="K8211" s="161">
        <f t="shared" si="2365"/>
        <v>1348</v>
      </c>
      <c r="L8211" s="250">
        <v>1</v>
      </c>
      <c r="M8211" s="163"/>
      <c r="N8211" s="164"/>
      <c r="O8211" s="165">
        <f t="shared" si="2363"/>
        <v>0</v>
      </c>
      <c r="P8211" s="166"/>
      <c r="Q8211" s="166">
        <f t="shared" si="2362"/>
        <v>0</v>
      </c>
      <c r="R8211" s="71"/>
    </row>
    <row r="8212" spans="1:18" s="61" customFormat="1" x14ac:dyDescent="0.25">
      <c r="A8212" s="358"/>
      <c r="B8212" s="361"/>
      <c r="C8212" s="366"/>
      <c r="D8212" s="254" t="s">
        <v>424</v>
      </c>
      <c r="E8212" s="156" t="s">
        <v>28</v>
      </c>
      <c r="F8212" s="156" t="s">
        <v>28</v>
      </c>
      <c r="G8212" s="238">
        <f t="shared" ref="G8212:G8218" si="2366">MROUND(H8212*L8212*I8212/K8212,0.00000001)</f>
        <v>0</v>
      </c>
      <c r="H8212" s="158"/>
      <c r="I8212" s="159">
        <f>I8201</f>
        <v>6.8014359999999996E-2</v>
      </c>
      <c r="J8212" s="160"/>
      <c r="K8212" s="161">
        <f>K8201</f>
        <v>1348</v>
      </c>
      <c r="L8212" s="250">
        <v>1</v>
      </c>
      <c r="M8212" s="163"/>
      <c r="N8212" s="164"/>
      <c r="O8212" s="165">
        <f t="shared" si="2363"/>
        <v>0</v>
      </c>
      <c r="P8212" s="166"/>
      <c r="Q8212" s="166">
        <f t="shared" si="2362"/>
        <v>0</v>
      </c>
      <c r="R8212" s="71"/>
    </row>
    <row r="8213" spans="1:18" s="61" customFormat="1" x14ac:dyDescent="0.25">
      <c r="A8213" s="358"/>
      <c r="B8213" s="361"/>
      <c r="C8213" s="366"/>
      <c r="D8213" s="254" t="s">
        <v>425</v>
      </c>
      <c r="E8213" s="156" t="s">
        <v>28</v>
      </c>
      <c r="F8213" s="156" t="s">
        <v>28</v>
      </c>
      <c r="G8213" s="277">
        <f t="shared" si="2366"/>
        <v>0</v>
      </c>
      <c r="H8213" s="158"/>
      <c r="I8213" s="159">
        <f t="shared" ref="I8213:I8218" si="2367">I8212</f>
        <v>6.8014359999999996E-2</v>
      </c>
      <c r="J8213" s="160"/>
      <c r="K8213" s="161">
        <f t="shared" ref="K8213:K8218" si="2368">K8212</f>
        <v>1348</v>
      </c>
      <c r="L8213" s="250">
        <v>1</v>
      </c>
      <c r="M8213" s="163"/>
      <c r="N8213" s="164"/>
      <c r="O8213" s="165">
        <f t="shared" si="2363"/>
        <v>0</v>
      </c>
      <c r="P8213" s="166"/>
      <c r="Q8213" s="166">
        <f t="shared" si="2362"/>
        <v>0</v>
      </c>
      <c r="R8213" s="71"/>
    </row>
    <row r="8214" spans="1:18" s="61" customFormat="1" x14ac:dyDescent="0.25">
      <c r="A8214" s="358"/>
      <c r="B8214" s="361"/>
      <c r="C8214" s="366"/>
      <c r="D8214" s="254" t="s">
        <v>108</v>
      </c>
      <c r="E8214" s="156" t="s">
        <v>28</v>
      </c>
      <c r="F8214" s="156" t="s">
        <v>28</v>
      </c>
      <c r="G8214" s="238">
        <f t="shared" si="2366"/>
        <v>0</v>
      </c>
      <c r="H8214" s="158"/>
      <c r="I8214" s="159">
        <f t="shared" si="2367"/>
        <v>6.8014359999999996E-2</v>
      </c>
      <c r="J8214" s="160"/>
      <c r="K8214" s="161">
        <f t="shared" si="2368"/>
        <v>1348</v>
      </c>
      <c r="L8214" s="250">
        <v>1</v>
      </c>
      <c r="M8214" s="163"/>
      <c r="N8214" s="164"/>
      <c r="O8214" s="165">
        <f t="shared" si="2363"/>
        <v>0</v>
      </c>
      <c r="P8214" s="166"/>
      <c r="Q8214" s="166">
        <f t="shared" si="2362"/>
        <v>0</v>
      </c>
      <c r="R8214" s="71"/>
    </row>
    <row r="8215" spans="1:18" s="61" customFormat="1" x14ac:dyDescent="0.25">
      <c r="A8215" s="358"/>
      <c r="B8215" s="361"/>
      <c r="C8215" s="366"/>
      <c r="D8215" s="254" t="s">
        <v>426</v>
      </c>
      <c r="E8215" s="156" t="s">
        <v>28</v>
      </c>
      <c r="F8215" s="156" t="s">
        <v>28</v>
      </c>
      <c r="G8215" s="238">
        <f t="shared" si="2366"/>
        <v>0</v>
      </c>
      <c r="H8215" s="158"/>
      <c r="I8215" s="159">
        <f t="shared" si="2367"/>
        <v>6.8014359999999996E-2</v>
      </c>
      <c r="J8215" s="160"/>
      <c r="K8215" s="161">
        <f t="shared" si="2368"/>
        <v>1348</v>
      </c>
      <c r="L8215" s="250">
        <v>1</v>
      </c>
      <c r="M8215" s="163"/>
      <c r="N8215" s="164"/>
      <c r="O8215" s="165">
        <f t="shared" si="2363"/>
        <v>0</v>
      </c>
      <c r="P8215" s="166"/>
      <c r="Q8215" s="166">
        <f t="shared" si="2362"/>
        <v>0</v>
      </c>
      <c r="R8215" s="71"/>
    </row>
    <row r="8216" spans="1:18" s="61" customFormat="1" x14ac:dyDescent="0.25">
      <c r="A8216" s="358"/>
      <c r="B8216" s="361"/>
      <c r="C8216" s="366"/>
      <c r="D8216" s="254" t="s">
        <v>427</v>
      </c>
      <c r="E8216" s="156" t="s">
        <v>28</v>
      </c>
      <c r="F8216" s="156" t="s">
        <v>28</v>
      </c>
      <c r="G8216" s="238">
        <f t="shared" si="2366"/>
        <v>0</v>
      </c>
      <c r="H8216" s="158"/>
      <c r="I8216" s="159">
        <f t="shared" si="2367"/>
        <v>6.8014359999999996E-2</v>
      </c>
      <c r="J8216" s="160"/>
      <c r="K8216" s="161">
        <f t="shared" si="2368"/>
        <v>1348</v>
      </c>
      <c r="L8216" s="250">
        <v>1</v>
      </c>
      <c r="M8216" s="163"/>
      <c r="N8216" s="164"/>
      <c r="O8216" s="165">
        <f t="shared" si="2363"/>
        <v>0</v>
      </c>
      <c r="P8216" s="166"/>
      <c r="Q8216" s="166">
        <f t="shared" si="2362"/>
        <v>0</v>
      </c>
      <c r="R8216" s="71"/>
    </row>
    <row r="8217" spans="1:18" s="61" customFormat="1" x14ac:dyDescent="0.25">
      <c r="A8217" s="358"/>
      <c r="B8217" s="361"/>
      <c r="C8217" s="366"/>
      <c r="D8217" s="254" t="s">
        <v>428</v>
      </c>
      <c r="E8217" s="156" t="s">
        <v>28</v>
      </c>
      <c r="F8217" s="156" t="s">
        <v>28</v>
      </c>
      <c r="G8217" s="238">
        <f t="shared" si="2366"/>
        <v>0</v>
      </c>
      <c r="H8217" s="158"/>
      <c r="I8217" s="159">
        <f t="shared" si="2367"/>
        <v>6.8014359999999996E-2</v>
      </c>
      <c r="J8217" s="160"/>
      <c r="K8217" s="161">
        <f t="shared" si="2368"/>
        <v>1348</v>
      </c>
      <c r="L8217" s="250">
        <v>1</v>
      </c>
      <c r="M8217" s="163"/>
      <c r="N8217" s="164"/>
      <c r="O8217" s="165">
        <f t="shared" si="2363"/>
        <v>0</v>
      </c>
      <c r="P8217" s="166"/>
      <c r="Q8217" s="166">
        <f t="shared" si="2362"/>
        <v>0</v>
      </c>
      <c r="R8217" s="71"/>
    </row>
    <row r="8218" spans="1:18" s="61" customFormat="1" x14ac:dyDescent="0.25">
      <c r="A8218" s="358"/>
      <c r="B8218" s="361"/>
      <c r="C8218" s="366"/>
      <c r="D8218" s="255" t="s">
        <v>429</v>
      </c>
      <c r="E8218" s="156" t="s">
        <v>28</v>
      </c>
      <c r="F8218" s="156" t="s">
        <v>28</v>
      </c>
      <c r="G8218" s="238">
        <f t="shared" si="2366"/>
        <v>0</v>
      </c>
      <c r="H8218" s="158"/>
      <c r="I8218" s="159">
        <f t="shared" si="2367"/>
        <v>6.8014359999999996E-2</v>
      </c>
      <c r="J8218" s="160"/>
      <c r="K8218" s="161">
        <f t="shared" si="2368"/>
        <v>1348</v>
      </c>
      <c r="L8218" s="250">
        <v>1</v>
      </c>
      <c r="M8218" s="163"/>
      <c r="N8218" s="164"/>
      <c r="O8218" s="165">
        <f t="shared" si="2363"/>
        <v>0</v>
      </c>
      <c r="P8218" s="166"/>
      <c r="Q8218" s="166">
        <f t="shared" si="2362"/>
        <v>0</v>
      </c>
      <c r="R8218" s="71"/>
    </row>
    <row r="8219" spans="1:18" s="62" customFormat="1" x14ac:dyDescent="0.25">
      <c r="A8219" s="358"/>
      <c r="B8219" s="361"/>
      <c r="C8219" s="249" t="s">
        <v>299</v>
      </c>
      <c r="D8219" s="256"/>
      <c r="E8219" s="240"/>
      <c r="F8219" s="240"/>
      <c r="G8219" s="227"/>
      <c r="H8219" s="241"/>
      <c r="I8219" s="206"/>
      <c r="J8219" s="228"/>
      <c r="K8219" s="207"/>
      <c r="L8219" s="257"/>
      <c r="M8219" s="209"/>
      <c r="N8219" s="210"/>
      <c r="O8219" s="198">
        <f>SUM(O8195:O8218)</f>
        <v>0</v>
      </c>
      <c r="P8219" s="267"/>
      <c r="Q8219" s="166"/>
      <c r="R8219" s="71"/>
    </row>
    <row r="8220" spans="1:18" s="61" customFormat="1" ht="110.25" x14ac:dyDescent="0.25">
      <c r="A8220" s="358"/>
      <c r="B8220" s="361"/>
      <c r="C8220" s="221" t="s">
        <v>82</v>
      </c>
      <c r="D8220" s="156" t="s">
        <v>46</v>
      </c>
      <c r="E8220" s="156" t="s">
        <v>54</v>
      </c>
      <c r="F8220" s="156" t="s">
        <v>285</v>
      </c>
      <c r="G8220" s="238">
        <f>MROUND(H8220*L8220*I8220/K8220,0.000001)</f>
        <v>0.57065500000000002</v>
      </c>
      <c r="H8220" s="242">
        <f>H7740</f>
        <v>1028.1818077549303</v>
      </c>
      <c r="I8220" s="159">
        <f>I8218</f>
        <v>6.8014359999999996E-2</v>
      </c>
      <c r="J8220" s="160"/>
      <c r="K8220" s="161">
        <f>K8218</f>
        <v>1348</v>
      </c>
      <c r="L8220" s="225">
        <f>L7980</f>
        <v>11</v>
      </c>
      <c r="M8220" s="163" t="str">
        <f>CONCATENATE(H8220," ",F8220,"*",L8220,"автобуса","*",I8220,"/",K8220,"чел.")</f>
        <v>1028,18180775493 л бензина АИ 92 (12,5л/день(зимой)*20дней*7мес+10л/день(летом)*20дней*4мес)*11автобуса*0,06801436/1348чел.</v>
      </c>
      <c r="N8220" s="164">
        <f>N6900</f>
        <v>59.28728000000001</v>
      </c>
      <c r="O8220" s="165">
        <f>MROUND(G8220*N8220,0.000001)</f>
        <v>33.832583</v>
      </c>
      <c r="P8220" s="166"/>
      <c r="Q8220" s="166">
        <f t="shared" ref="Q8220" si="2369">O8220*K8220</f>
        <v>45606.321883999997</v>
      </c>
      <c r="R8220" s="71"/>
    </row>
    <row r="8221" spans="1:18" s="62" customFormat="1" x14ac:dyDescent="0.25">
      <c r="A8221" s="358"/>
      <c r="B8221" s="361"/>
      <c r="C8221" s="218" t="s">
        <v>300</v>
      </c>
      <c r="D8221" s="240"/>
      <c r="E8221" s="240"/>
      <c r="F8221" s="240"/>
      <c r="G8221" s="227"/>
      <c r="H8221" s="241"/>
      <c r="I8221" s="206"/>
      <c r="J8221" s="228"/>
      <c r="K8221" s="207"/>
      <c r="L8221" s="257"/>
      <c r="M8221" s="209"/>
      <c r="N8221" s="210"/>
      <c r="O8221" s="198">
        <f>SUM(O8220)</f>
        <v>33.832583</v>
      </c>
      <c r="P8221" s="267"/>
      <c r="Q8221" s="166"/>
      <c r="R8221" s="71"/>
    </row>
    <row r="8222" spans="1:18" s="61" customFormat="1" ht="47.25" x14ac:dyDescent="0.25">
      <c r="A8222" s="358"/>
      <c r="B8222" s="361"/>
      <c r="C8222" s="221" t="s">
        <v>434</v>
      </c>
      <c r="D8222" s="156" t="s">
        <v>436</v>
      </c>
      <c r="E8222" s="156" t="s">
        <v>28</v>
      </c>
      <c r="F8222" s="156" t="s">
        <v>437</v>
      </c>
      <c r="G8222" s="157">
        <f>MROUND(H8222*L8222*I8222/K8222,0.000001)</f>
        <v>1.4631999999999999E-2</v>
      </c>
      <c r="H8222" s="242">
        <f>$H$125</f>
        <v>290</v>
      </c>
      <c r="I8222" s="159">
        <f>I8220</f>
        <v>6.8014359999999996E-2</v>
      </c>
      <c r="J8222" s="160"/>
      <c r="K8222" s="161">
        <f>K8220</f>
        <v>1348</v>
      </c>
      <c r="L8222" s="162">
        <v>1</v>
      </c>
      <c r="M8222" s="163" t="str">
        <f>CONCATENATE(H8222," ",F8222,"*",L8222,"автобуса","*",I8222,"/",K8222,"чел.")</f>
        <v>290 огнетушителей (потребность учреждений) *1автобуса*0,06801436/1348чел.</v>
      </c>
      <c r="N8222" s="164">
        <f>$N$125</f>
        <v>2000</v>
      </c>
      <c r="O8222" s="165">
        <f>MROUND(G8222*N8222,0.000001)</f>
        <v>29.263999999999999</v>
      </c>
      <c r="P8222" s="166"/>
      <c r="Q8222" s="166">
        <f t="shared" ref="Q8222" si="2370">O8222*K8222</f>
        <v>39447.871999999996</v>
      </c>
      <c r="R8222" s="71"/>
    </row>
    <row r="8223" spans="1:18" s="61" customFormat="1" x14ac:dyDescent="0.25">
      <c r="A8223" s="358"/>
      <c r="B8223" s="361"/>
      <c r="C8223" s="218" t="s">
        <v>435</v>
      </c>
      <c r="D8223" s="240"/>
      <c r="E8223" s="240"/>
      <c r="F8223" s="240"/>
      <c r="G8223" s="251"/>
      <c r="H8223" s="241"/>
      <c r="I8223" s="206"/>
      <c r="J8223" s="228"/>
      <c r="K8223" s="207"/>
      <c r="L8223" s="229"/>
      <c r="M8223" s="209"/>
      <c r="N8223" s="210"/>
      <c r="O8223" s="198">
        <f>SUM(O8222)</f>
        <v>29.263999999999999</v>
      </c>
      <c r="P8223" s="166"/>
      <c r="Q8223" s="166"/>
      <c r="R8223" s="71"/>
    </row>
    <row r="8224" spans="1:18" s="61" customFormat="1" ht="47.25" x14ac:dyDescent="0.25">
      <c r="A8224" s="358"/>
      <c r="B8224" s="361"/>
      <c r="C8224" s="364" t="s">
        <v>118</v>
      </c>
      <c r="D8224" s="156" t="s">
        <v>47</v>
      </c>
      <c r="E8224" s="156" t="s">
        <v>28</v>
      </c>
      <c r="F8224" s="156" t="s">
        <v>239</v>
      </c>
      <c r="G8224" s="238">
        <f>MROUND(H8224*L8224*I8224/K8224,0.00000001)</f>
        <v>7.0638100000000002E-3</v>
      </c>
      <c r="H8224" s="158">
        <f>H7144</f>
        <v>140</v>
      </c>
      <c r="I8224" s="159">
        <f>I8220</f>
        <v>6.8014359999999996E-2</v>
      </c>
      <c r="J8224" s="160"/>
      <c r="K8224" s="161">
        <f>K8220</f>
        <v>1348</v>
      </c>
      <c r="L8224" s="250">
        <v>1</v>
      </c>
      <c r="M8224" s="163" t="str">
        <f>CONCATENATE(H8224," ",F8224,"*",I8224,"/",K8224,"чел.")</f>
        <v>140 манометров (потребность учреждений) *0,06801436/1348чел.</v>
      </c>
      <c r="N8224" s="164">
        <f>N6904</f>
        <v>770.73500000000035</v>
      </c>
      <c r="O8224" s="165">
        <f>MROUND(G8224*N8224,0.000001)</f>
        <v>5.4443259999999993</v>
      </c>
      <c r="P8224" s="166"/>
      <c r="Q8224" s="166">
        <f t="shared" ref="Q8224:Q8225" si="2371">O8224*K8224</f>
        <v>7338.9514479999989</v>
      </c>
      <c r="R8224" s="71"/>
    </row>
    <row r="8225" spans="1:18" s="61" customFormat="1" ht="47.25" x14ac:dyDescent="0.25">
      <c r="A8225" s="358"/>
      <c r="B8225" s="361"/>
      <c r="C8225" s="364"/>
      <c r="D8225" s="255" t="s">
        <v>113</v>
      </c>
      <c r="E8225" s="156" t="s">
        <v>28</v>
      </c>
      <c r="F8225" s="156" t="s">
        <v>240</v>
      </c>
      <c r="G8225" s="238">
        <f>MROUND(H8225*L8225*I8225/K8225,0.00000001)</f>
        <v>0.28835464999999999</v>
      </c>
      <c r="H8225" s="158">
        <f>H6905</f>
        <v>5715</v>
      </c>
      <c r="I8225" s="159">
        <f>I8224</f>
        <v>6.8014359999999996E-2</v>
      </c>
      <c r="J8225" s="160"/>
      <c r="K8225" s="161">
        <f>K8224</f>
        <v>1348</v>
      </c>
      <c r="L8225" s="250">
        <v>1</v>
      </c>
      <c r="M8225" s="163" t="str">
        <f>CONCATENATE(H8225," ",F8225,"*",I8225,"/",K8225,"чел.")</f>
        <v>5715 светильников (потребность учреждений)*0,06801436/1348чел.</v>
      </c>
      <c r="N8225" s="164">
        <f>N6905</f>
        <v>115.61019597550306</v>
      </c>
      <c r="O8225" s="165">
        <f>MROUND(G8225*N8225,0.000001)</f>
        <v>33.336737999999997</v>
      </c>
      <c r="P8225" s="166"/>
      <c r="Q8225" s="166">
        <f t="shared" si="2371"/>
        <v>44937.922823999994</v>
      </c>
      <c r="R8225" s="71"/>
    </row>
    <row r="8226" spans="1:18" s="62" customFormat="1" x14ac:dyDescent="0.25">
      <c r="A8226" s="359"/>
      <c r="B8226" s="362"/>
      <c r="C8226" s="218" t="s">
        <v>301</v>
      </c>
      <c r="D8226" s="256"/>
      <c r="E8226" s="240"/>
      <c r="F8226" s="240"/>
      <c r="G8226" s="227"/>
      <c r="H8226" s="241"/>
      <c r="I8226" s="206"/>
      <c r="J8226" s="228"/>
      <c r="K8226" s="207"/>
      <c r="L8226" s="257"/>
      <c r="M8226" s="209"/>
      <c r="N8226" s="210"/>
      <c r="O8226" s="198">
        <f>SUM(O8224:O8225)</f>
        <v>38.781063999999994</v>
      </c>
      <c r="P8226" s="267"/>
      <c r="Q8226" s="166"/>
      <c r="R8226" s="71"/>
    </row>
    <row r="8227" spans="1:18" s="61" customFormat="1" x14ac:dyDescent="0.25">
      <c r="A8227" s="357" t="str">
        <f>CONCATENATE(школы!$B$19,", ",школы!$C$19,", ",школы!$D$19)</f>
        <v>Реализация основных общеобразовательных программ среднего общего образования, , дети-инвалиды</v>
      </c>
      <c r="B8227" s="360" t="str">
        <f>школы!$A$19</f>
        <v>802112О.99.0.ББ11АЭ08001</v>
      </c>
      <c r="C8227" s="194"/>
      <c r="D8227" s="363" t="s">
        <v>15</v>
      </c>
      <c r="E8227" s="363"/>
      <c r="F8227" s="363"/>
      <c r="G8227" s="363"/>
      <c r="H8227" s="195"/>
      <c r="I8227" s="195"/>
      <c r="J8227" s="195"/>
      <c r="K8227" s="195"/>
      <c r="L8227" s="196"/>
      <c r="M8227" s="197"/>
      <c r="N8227" s="164"/>
      <c r="O8227" s="198">
        <f>O8228+O8233+O8235</f>
        <v>9362.2845312459995</v>
      </c>
      <c r="P8227" s="166"/>
      <c r="Q8227" s="166"/>
      <c r="R8227" s="71"/>
    </row>
    <row r="8228" spans="1:18" s="61" customFormat="1" x14ac:dyDescent="0.25">
      <c r="A8228" s="358"/>
      <c r="B8228" s="361"/>
      <c r="C8228" s="194"/>
      <c r="D8228" s="350" t="s">
        <v>62</v>
      </c>
      <c r="E8228" s="350"/>
      <c r="F8228" s="350"/>
      <c r="G8228" s="350"/>
      <c r="H8228" s="195"/>
      <c r="I8228" s="195"/>
      <c r="J8228" s="195"/>
      <c r="K8228" s="195"/>
      <c r="L8228" s="196"/>
      <c r="M8228" s="197"/>
      <c r="N8228" s="164"/>
      <c r="O8228" s="165">
        <f>O8230+O8232</f>
        <v>9362.2845312459995</v>
      </c>
      <c r="P8228" s="166"/>
      <c r="Q8228" s="166"/>
      <c r="R8228" s="71"/>
    </row>
    <row r="8229" spans="1:18" s="61" customFormat="1" x14ac:dyDescent="0.25">
      <c r="A8229" s="358"/>
      <c r="B8229" s="361"/>
      <c r="C8229" s="194">
        <v>211</v>
      </c>
      <c r="D8229" s="194" t="s">
        <v>86</v>
      </c>
      <c r="E8229" s="199" t="s">
        <v>95</v>
      </c>
      <c r="F8229" s="199" t="s">
        <v>95</v>
      </c>
      <c r="G8229" s="275">
        <f>MROUND(H8229*L8229*I8229/K8229,0.0000000001)</f>
        <v>0.55812685500000003</v>
      </c>
      <c r="H8229" s="201">
        <f>H7389</f>
        <v>921.8</v>
      </c>
      <c r="I8229" s="159">
        <f>школы!$K$19</f>
        <v>4.0365000000000003E-4</v>
      </c>
      <c r="J8229" s="159"/>
      <c r="K8229" s="161">
        <f>школы!$G$19</f>
        <v>8</v>
      </c>
      <c r="L8229" s="202">
        <v>12</v>
      </c>
      <c r="M8229" s="163" t="str">
        <f>CONCATENATE(H8229," ",F8229," ","в мес.","*",L8229,"мес.","*",I8229,"/",K8229,"чел.")</f>
        <v>921,8 шт.ед в мес.*12мес.*0,00040365/8чел.</v>
      </c>
      <c r="N8229" s="164">
        <f>N7389</f>
        <v>12883.620739314385</v>
      </c>
      <c r="O8229" s="165">
        <f>MROUND(G8229*N8229,0.000000001)</f>
        <v>7190.6947242460001</v>
      </c>
      <c r="P8229" s="166"/>
      <c r="Q8229" s="166">
        <f t="shared" ref="Q8229" si="2372">O8229*K8229</f>
        <v>57525.557793968001</v>
      </c>
      <c r="R8229" s="71"/>
    </row>
    <row r="8230" spans="1:18" s="62" customFormat="1" x14ac:dyDescent="0.25">
      <c r="A8230" s="358"/>
      <c r="B8230" s="361"/>
      <c r="C8230" s="203" t="s">
        <v>288</v>
      </c>
      <c r="D8230" s="203"/>
      <c r="E8230" s="204"/>
      <c r="F8230" s="204"/>
      <c r="G8230" s="205"/>
      <c r="H8230" s="206"/>
      <c r="I8230" s="206"/>
      <c r="J8230" s="206"/>
      <c r="K8230" s="207"/>
      <c r="L8230" s="208"/>
      <c r="M8230" s="209"/>
      <c r="N8230" s="210">
        <f>N8229</f>
        <v>12883.620739314385</v>
      </c>
      <c r="O8230" s="198">
        <f>O8229</f>
        <v>7190.6947242460001</v>
      </c>
      <c r="P8230" s="267"/>
      <c r="Q8230" s="166"/>
      <c r="R8230" s="71"/>
    </row>
    <row r="8231" spans="1:18" s="61" customFormat="1" x14ac:dyDescent="0.25">
      <c r="A8231" s="358"/>
      <c r="B8231" s="361"/>
      <c r="C8231" s="194">
        <v>213</v>
      </c>
      <c r="D8231" s="194" t="s">
        <v>87</v>
      </c>
      <c r="E8231" s="194" t="s">
        <v>88</v>
      </c>
      <c r="F8231" s="194"/>
      <c r="G8231" s="211">
        <v>30.2</v>
      </c>
      <c r="H8231" s="159"/>
      <c r="I8231" s="159"/>
      <c r="J8231" s="159"/>
      <c r="K8231" s="161">
        <f>K8229</f>
        <v>8</v>
      </c>
      <c r="L8231" s="202"/>
      <c r="M8231" s="212"/>
      <c r="N8231" s="164"/>
      <c r="O8231" s="165">
        <f>MROUND(O8229*0.302,0.000001)</f>
        <v>2171.5898069999998</v>
      </c>
      <c r="P8231" s="166"/>
      <c r="Q8231" s="166">
        <f>O8231*K8231</f>
        <v>17372.718455999999</v>
      </c>
      <c r="R8231" s="71"/>
    </row>
    <row r="8232" spans="1:18" s="62" customFormat="1" x14ac:dyDescent="0.25">
      <c r="A8232" s="358"/>
      <c r="B8232" s="361"/>
      <c r="C8232" s="203" t="s">
        <v>289</v>
      </c>
      <c r="D8232" s="203"/>
      <c r="E8232" s="203"/>
      <c r="F8232" s="203"/>
      <c r="G8232" s="213"/>
      <c r="H8232" s="214"/>
      <c r="I8232" s="206"/>
      <c r="J8232" s="214"/>
      <c r="K8232" s="207"/>
      <c r="L8232" s="215"/>
      <c r="M8232" s="216"/>
      <c r="N8232" s="210"/>
      <c r="O8232" s="198">
        <f>O8231</f>
        <v>2171.5898069999998</v>
      </c>
      <c r="P8232" s="267"/>
      <c r="Q8232" s="166"/>
      <c r="R8232" s="71"/>
    </row>
    <row r="8233" spans="1:18" s="61" customFormat="1" x14ac:dyDescent="0.25">
      <c r="A8233" s="358"/>
      <c r="B8233" s="361"/>
      <c r="C8233" s="194"/>
      <c r="D8233" s="356" t="s">
        <v>63</v>
      </c>
      <c r="E8233" s="356"/>
      <c r="F8233" s="356"/>
      <c r="G8233" s="356"/>
      <c r="H8233" s="195"/>
      <c r="I8233" s="159"/>
      <c r="J8233" s="195"/>
      <c r="K8233" s="161"/>
      <c r="L8233" s="196"/>
      <c r="M8233" s="197"/>
      <c r="N8233" s="164"/>
      <c r="O8233" s="165"/>
      <c r="P8233" s="166"/>
      <c r="Q8233" s="166"/>
      <c r="R8233" s="71"/>
    </row>
    <row r="8234" spans="1:18" s="61" customFormat="1" x14ac:dyDescent="0.25">
      <c r="A8234" s="358"/>
      <c r="B8234" s="361"/>
      <c r="C8234" s="194"/>
      <c r="D8234" s="194"/>
      <c r="E8234" s="194"/>
      <c r="F8234" s="194"/>
      <c r="G8234" s="217"/>
      <c r="H8234" s="195"/>
      <c r="I8234" s="159"/>
      <c r="J8234" s="195"/>
      <c r="K8234" s="161"/>
      <c r="L8234" s="196"/>
      <c r="M8234" s="197"/>
      <c r="N8234" s="164"/>
      <c r="O8234" s="165"/>
      <c r="P8234" s="166"/>
      <c r="Q8234" s="166"/>
      <c r="R8234" s="71"/>
    </row>
    <row r="8235" spans="1:18" s="61" customFormat="1" x14ac:dyDescent="0.25">
      <c r="A8235" s="358"/>
      <c r="B8235" s="361"/>
      <c r="C8235" s="194"/>
      <c r="D8235" s="350" t="s">
        <v>64</v>
      </c>
      <c r="E8235" s="350"/>
      <c r="F8235" s="350"/>
      <c r="G8235" s="350"/>
      <c r="H8235" s="195"/>
      <c r="I8235" s="159"/>
      <c r="J8235" s="195"/>
      <c r="K8235" s="161"/>
      <c r="L8235" s="196"/>
      <c r="M8235" s="197"/>
      <c r="N8235" s="164"/>
      <c r="O8235" s="165"/>
      <c r="P8235" s="166"/>
      <c r="Q8235" s="166"/>
      <c r="R8235" s="71"/>
    </row>
    <row r="8236" spans="1:18" s="61" customFormat="1" x14ac:dyDescent="0.25">
      <c r="A8236" s="358"/>
      <c r="B8236" s="361"/>
      <c r="C8236" s="194"/>
      <c r="D8236" s="194"/>
      <c r="E8236" s="194"/>
      <c r="F8236" s="194"/>
      <c r="G8236" s="217"/>
      <c r="H8236" s="195"/>
      <c r="I8236" s="159"/>
      <c r="J8236" s="195"/>
      <c r="K8236" s="161"/>
      <c r="L8236" s="196"/>
      <c r="M8236" s="197"/>
      <c r="N8236" s="164"/>
      <c r="O8236" s="165"/>
      <c r="P8236" s="166"/>
      <c r="Q8236" s="166"/>
      <c r="R8236" s="71"/>
    </row>
    <row r="8237" spans="1:18" s="61" customFormat="1" x14ac:dyDescent="0.25">
      <c r="A8237" s="358"/>
      <c r="B8237" s="361"/>
      <c r="C8237" s="194"/>
      <c r="D8237" s="355" t="s">
        <v>5</v>
      </c>
      <c r="E8237" s="355"/>
      <c r="F8237" s="355"/>
      <c r="G8237" s="355"/>
      <c r="H8237" s="195"/>
      <c r="I8237" s="159"/>
      <c r="J8237" s="195"/>
      <c r="K8237" s="161"/>
      <c r="L8237" s="196"/>
      <c r="M8237" s="197"/>
      <c r="N8237" s="164"/>
      <c r="O8237" s="198">
        <f>O8238+O8248+O8259+O8261+O8263+O8265+O8267</f>
        <v>15711.561184009999</v>
      </c>
      <c r="P8237" s="166"/>
      <c r="Q8237" s="166"/>
      <c r="R8237" s="71"/>
    </row>
    <row r="8238" spans="1:18" s="61" customFormat="1" x14ac:dyDescent="0.25">
      <c r="A8238" s="358"/>
      <c r="B8238" s="361"/>
      <c r="C8238" s="218" t="s">
        <v>70</v>
      </c>
      <c r="D8238" s="355" t="s">
        <v>6</v>
      </c>
      <c r="E8238" s="355"/>
      <c r="F8238" s="355"/>
      <c r="G8238" s="355"/>
      <c r="H8238" s="189"/>
      <c r="I8238" s="159"/>
      <c r="J8238" s="189"/>
      <c r="K8238" s="161"/>
      <c r="L8238" s="190"/>
      <c r="M8238" s="197"/>
      <c r="N8238" s="210"/>
      <c r="O8238" s="198">
        <f>O8247</f>
        <v>9495.6831032799982</v>
      </c>
      <c r="P8238" s="166"/>
      <c r="Q8238" s="166"/>
      <c r="R8238" s="71"/>
    </row>
    <row r="8239" spans="1:18" s="61" customFormat="1" ht="31.5" x14ac:dyDescent="0.25">
      <c r="A8239" s="358"/>
      <c r="B8239" s="361"/>
      <c r="C8239" s="221" t="s">
        <v>72</v>
      </c>
      <c r="D8239" s="222" t="s">
        <v>7</v>
      </c>
      <c r="E8239" s="223" t="s">
        <v>8</v>
      </c>
      <c r="F8239" s="223" t="s">
        <v>8</v>
      </c>
      <c r="G8239" s="238">
        <f>MROUND(H8239*L8239*I8239/K8239,0.00000000001)</f>
        <v>167.16768297243999</v>
      </c>
      <c r="H8239" s="160">
        <f>H7519</f>
        <v>3313121.4264326878</v>
      </c>
      <c r="I8239" s="159">
        <f>I8229</f>
        <v>4.0365000000000003E-4</v>
      </c>
      <c r="J8239" s="160"/>
      <c r="K8239" s="161">
        <f>K8229</f>
        <v>8</v>
      </c>
      <c r="L8239" s="250">
        <v>1</v>
      </c>
      <c r="M8239" s="163" t="str">
        <f t="shared" ref="M8239:M8244" si="2373">CONCATENATE(H8239," ",F8239,"(лимиты выделенные УЖКХ) ","*",I8239,"/",K8239,"чел.")</f>
        <v>3313121,42643269 кВт час.(лимиты выделенные УЖКХ) *0,00040365/8чел.</v>
      </c>
      <c r="N8239" s="164">
        <f>N7519</f>
        <v>11.333602475424668</v>
      </c>
      <c r="O8239" s="165">
        <f t="shared" ref="O8239:O8242" si="2374">MROUND(G8239*N8239,0.000001)</f>
        <v>1894.6120659999999</v>
      </c>
      <c r="P8239" s="166"/>
      <c r="Q8239" s="166">
        <f t="shared" ref="Q8239:Q8246" si="2375">O8239*K8239</f>
        <v>15156.896527999999</v>
      </c>
      <c r="R8239" s="71"/>
    </row>
    <row r="8240" spans="1:18" s="61" customFormat="1" ht="31.5" x14ac:dyDescent="0.25">
      <c r="A8240" s="358"/>
      <c r="B8240" s="361"/>
      <c r="C8240" s="221" t="s">
        <v>73</v>
      </c>
      <c r="D8240" s="222" t="s">
        <v>9</v>
      </c>
      <c r="E8240" s="223" t="s">
        <v>10</v>
      </c>
      <c r="F8240" s="223" t="s">
        <v>10</v>
      </c>
      <c r="G8240" s="238">
        <f>MROUND(H8240*L8240*I8240/K8240,0.00000000001)</f>
        <v>1.6094226841899999</v>
      </c>
      <c r="H8240" s="160">
        <f>H7160</f>
        <v>31897.39</v>
      </c>
      <c r="I8240" s="159">
        <f t="shared" ref="I8240:I8292" si="2376">I8239</f>
        <v>4.0365000000000003E-4</v>
      </c>
      <c r="J8240" s="160"/>
      <c r="K8240" s="161">
        <f t="shared" ref="K8240:K8246" si="2377">K8239</f>
        <v>8</v>
      </c>
      <c r="L8240" s="250">
        <v>1</v>
      </c>
      <c r="M8240" s="163" t="str">
        <f t="shared" si="2373"/>
        <v>31897,39 Гкал(лимиты выделенные УЖКХ) *0,00040365/8чел.</v>
      </c>
      <c r="N8240" s="164">
        <f>N7160</f>
        <v>3095.3018623153812</v>
      </c>
      <c r="O8240" s="165">
        <f t="shared" si="2374"/>
        <v>4981.6490319999994</v>
      </c>
      <c r="P8240" s="166"/>
      <c r="Q8240" s="166">
        <f t="shared" si="2375"/>
        <v>39853.192255999995</v>
      </c>
      <c r="R8240" s="71"/>
    </row>
    <row r="8241" spans="1:18" s="61" customFormat="1" ht="31.5" x14ac:dyDescent="0.25">
      <c r="A8241" s="358"/>
      <c r="B8241" s="361"/>
      <c r="C8241" s="364" t="s">
        <v>74</v>
      </c>
      <c r="D8241" s="222" t="s">
        <v>12</v>
      </c>
      <c r="E8241" s="222" t="s">
        <v>11</v>
      </c>
      <c r="F8241" s="222" t="s">
        <v>11</v>
      </c>
      <c r="G8241" s="238">
        <f>MROUND(H8241*L8241*I8241/K8241,0.00000000001)</f>
        <v>9.3205393588099987</v>
      </c>
      <c r="H8241" s="224">
        <f>H6801</f>
        <v>184725.17</v>
      </c>
      <c r="I8241" s="159">
        <f t="shared" si="2376"/>
        <v>4.0365000000000003E-4</v>
      </c>
      <c r="J8241" s="160"/>
      <c r="K8241" s="161">
        <f t="shared" si="2377"/>
        <v>8</v>
      </c>
      <c r="L8241" s="250">
        <v>1</v>
      </c>
      <c r="M8241" s="163" t="str">
        <f t="shared" si="2373"/>
        <v>184725,17 м3(лимиты выделенные УЖКХ) *0,00040365/8чел.</v>
      </c>
      <c r="N8241" s="164">
        <f>N6801</f>
        <v>56.382747245543193</v>
      </c>
      <c r="O8241" s="165">
        <f t="shared" si="2374"/>
        <v>525.51761499999998</v>
      </c>
      <c r="P8241" s="166"/>
      <c r="Q8241" s="166">
        <f t="shared" si="2375"/>
        <v>4204.1409199999998</v>
      </c>
      <c r="R8241" s="71"/>
    </row>
    <row r="8242" spans="1:18" s="61" customFormat="1" ht="47.25" x14ac:dyDescent="0.25">
      <c r="A8242" s="358"/>
      <c r="B8242" s="361"/>
      <c r="C8242" s="364"/>
      <c r="D8242" s="222" t="s">
        <v>17</v>
      </c>
      <c r="E8242" s="222" t="s">
        <v>11</v>
      </c>
      <c r="F8242" s="222" t="s">
        <v>11</v>
      </c>
      <c r="G8242" s="238">
        <f>MROUND(H8242*L8242*I8242/K8242,0.00000000001)</f>
        <v>9.3205393588099987</v>
      </c>
      <c r="H8242" s="160">
        <f>H7162</f>
        <v>184725.17</v>
      </c>
      <c r="I8242" s="159">
        <f t="shared" si="2376"/>
        <v>4.0365000000000003E-4</v>
      </c>
      <c r="J8242" s="160"/>
      <c r="K8242" s="161">
        <f t="shared" si="2377"/>
        <v>8</v>
      </c>
      <c r="L8242" s="162">
        <f>$L$6802</f>
        <v>1</v>
      </c>
      <c r="M8242" s="163" t="str">
        <f t="shared" si="2373"/>
        <v>184725,17 м3(лимиты выделенные УЖКХ) *0,00040365/8чел.</v>
      </c>
      <c r="N8242" s="164">
        <f>N6802</f>
        <v>85.679537612054773</v>
      </c>
      <c r="O8242" s="165">
        <f t="shared" si="2374"/>
        <v>798.57950299999993</v>
      </c>
      <c r="P8242" s="166"/>
      <c r="Q8242" s="166">
        <f t="shared" si="2375"/>
        <v>6388.6360239999995</v>
      </c>
      <c r="R8242" s="71"/>
    </row>
    <row r="8243" spans="1:18" s="61" customFormat="1" ht="31.5" x14ac:dyDescent="0.25">
      <c r="A8243" s="358"/>
      <c r="B8243" s="361"/>
      <c r="C8243" s="364"/>
      <c r="D8243" s="222" t="s">
        <v>13</v>
      </c>
      <c r="E8243" s="222" t="s">
        <v>11</v>
      </c>
      <c r="F8243" s="222" t="s">
        <v>11</v>
      </c>
      <c r="G8243" s="238">
        <f>MROUND(H8243*L8243*I8243/K8243,0.00000000001)</f>
        <v>9.3205393588099987</v>
      </c>
      <c r="H8243" s="160">
        <f>H6803</f>
        <v>184725.17</v>
      </c>
      <c r="I8243" s="159">
        <f t="shared" si="2376"/>
        <v>4.0365000000000003E-4</v>
      </c>
      <c r="J8243" s="160"/>
      <c r="K8243" s="161">
        <f t="shared" si="2377"/>
        <v>8</v>
      </c>
      <c r="L8243" s="162">
        <v>1</v>
      </c>
      <c r="M8243" s="163" t="str">
        <f t="shared" si="2373"/>
        <v>184725,17 м3(лимиты выделенные УЖКХ) *0,00040365/8чел.</v>
      </c>
      <c r="N8243" s="164">
        <f>N6803</f>
        <v>116.85554734686012</v>
      </c>
      <c r="O8243" s="165">
        <f>MROUND(G8243*N8243,0.00000001)</f>
        <v>1089.15672834</v>
      </c>
      <c r="P8243" s="166"/>
      <c r="Q8243" s="166">
        <f t="shared" si="2375"/>
        <v>8713.2538267199998</v>
      </c>
      <c r="R8243" s="71"/>
    </row>
    <row r="8244" spans="1:18" s="61" customFormat="1" ht="31.5" x14ac:dyDescent="0.25">
      <c r="A8244" s="358"/>
      <c r="B8244" s="361"/>
      <c r="C8244" s="221" t="s">
        <v>75</v>
      </c>
      <c r="D8244" s="222" t="s">
        <v>18</v>
      </c>
      <c r="E8244" s="222" t="s">
        <v>48</v>
      </c>
      <c r="F8244" s="222" t="s">
        <v>48</v>
      </c>
      <c r="G8244" s="238">
        <f>MROUND(H8244*L8244*I8244/K8244,0.0000000001)</f>
        <v>0.70071621750000002</v>
      </c>
      <c r="H8244" s="160">
        <f>H6804</f>
        <v>13887.6</v>
      </c>
      <c r="I8244" s="159">
        <f t="shared" si="2376"/>
        <v>4.0365000000000003E-4</v>
      </c>
      <c r="J8244" s="160"/>
      <c r="K8244" s="161">
        <f t="shared" si="2377"/>
        <v>8</v>
      </c>
      <c r="L8244" s="250">
        <v>1</v>
      </c>
      <c r="M8244" s="163" t="str">
        <f t="shared" si="2373"/>
        <v>13887,6 тыс. м3(лимиты выделенные УЖКХ) *0,00040365/8чел.</v>
      </c>
      <c r="N8244" s="164">
        <f>N6804</f>
        <v>31.799284973645559</v>
      </c>
      <c r="O8244" s="165">
        <f t="shared" ref="O8244" si="2378">MROUND(G8244*N8244,0.000001)</f>
        <v>22.282274999999998</v>
      </c>
      <c r="P8244" s="166"/>
      <c r="Q8244" s="166">
        <f t="shared" si="2375"/>
        <v>178.25819999999999</v>
      </c>
      <c r="R8244" s="71"/>
    </row>
    <row r="8245" spans="1:18" s="61" customFormat="1" x14ac:dyDescent="0.25">
      <c r="A8245" s="358"/>
      <c r="B8245" s="361"/>
      <c r="C8245" s="364" t="s">
        <v>216</v>
      </c>
      <c r="D8245" s="222" t="s">
        <v>23</v>
      </c>
      <c r="E8245" s="222" t="s">
        <v>11</v>
      </c>
      <c r="F8245" s="222" t="s">
        <v>11</v>
      </c>
      <c r="G8245" s="238">
        <f>MROUND(H8245*L8245*I8245/K8245,0.000000000001)</f>
        <v>0.16996894199999998</v>
      </c>
      <c r="H8245" s="160">
        <f>H6805</f>
        <v>3368.6400000000003</v>
      </c>
      <c r="I8245" s="159">
        <f t="shared" si="2376"/>
        <v>4.0365000000000003E-4</v>
      </c>
      <c r="J8245" s="160"/>
      <c r="K8245" s="161">
        <f t="shared" si="2377"/>
        <v>8</v>
      </c>
      <c r="L8245" s="162">
        <f>L8244</f>
        <v>1</v>
      </c>
      <c r="M8245" s="163" t="str">
        <f>CONCATENATE(H8245," ",F8245," ","*",I8245,"/",K8245,"чел.")</f>
        <v>3368,64 м3 *0,00040365/8чел.</v>
      </c>
      <c r="N8245" s="164">
        <f>N6805</f>
        <v>807.40973805452643</v>
      </c>
      <c r="O8245" s="165">
        <f>MROUND(G8245*N8245,0.00000001)</f>
        <v>137.23457894000001</v>
      </c>
      <c r="P8245" s="166"/>
      <c r="Q8245" s="166">
        <f t="shared" si="2375"/>
        <v>1097.87663152</v>
      </c>
      <c r="R8245" s="71"/>
    </row>
    <row r="8246" spans="1:18" s="61" customFormat="1" ht="47.25" x14ac:dyDescent="0.25">
      <c r="A8246" s="358"/>
      <c r="B8246" s="361"/>
      <c r="C8246" s="364"/>
      <c r="D8246" s="222" t="s">
        <v>24</v>
      </c>
      <c r="E8246" s="222" t="s">
        <v>25</v>
      </c>
      <c r="F8246" s="222" t="s">
        <v>217</v>
      </c>
      <c r="G8246" s="238">
        <f>MROUND(H8246*L8246*I8246/K8246,0.000000000001)</f>
        <v>7.4170687500000002E-3</v>
      </c>
      <c r="H8246" s="160">
        <f>H7526</f>
        <v>147</v>
      </c>
      <c r="I8246" s="159">
        <f t="shared" si="2376"/>
        <v>4.0365000000000003E-4</v>
      </c>
      <c r="J8246" s="160"/>
      <c r="K8246" s="161">
        <f t="shared" si="2377"/>
        <v>8</v>
      </c>
      <c r="L8246" s="250">
        <f>L8245</f>
        <v>1</v>
      </c>
      <c r="M8246" s="163" t="str">
        <f>CONCATENATE(H8246," ",F8246,"(потребность из расчета 4 контейнера для уборки территории весной и осенью на 1 учреждение)","*",I8246,"/",K8246,"чел.")</f>
        <v>147 контейнера(потребность из расчета 4 контейнера для уборки территории весной и осенью на 1 учреждение)*0,00040365/8чел.</v>
      </c>
      <c r="N8246" s="164">
        <f>N7526</f>
        <v>6289.7226530612279</v>
      </c>
      <c r="O8246" s="165">
        <f t="shared" ref="O8246" si="2379">MROUND(G8246*N8246,0.000001)</f>
        <v>46.651305000000001</v>
      </c>
      <c r="P8246" s="166"/>
      <c r="Q8246" s="166">
        <f t="shared" si="2375"/>
        <v>373.21044000000001</v>
      </c>
      <c r="R8246" s="71"/>
    </row>
    <row r="8247" spans="1:18" s="62" customFormat="1" x14ac:dyDescent="0.25">
      <c r="A8247" s="358"/>
      <c r="B8247" s="361"/>
      <c r="C8247" s="218" t="s">
        <v>290</v>
      </c>
      <c r="D8247" s="226"/>
      <c r="E8247" s="226"/>
      <c r="F8247" s="226"/>
      <c r="G8247" s="227"/>
      <c r="H8247" s="228"/>
      <c r="I8247" s="206"/>
      <c r="J8247" s="228"/>
      <c r="K8247" s="207"/>
      <c r="L8247" s="257"/>
      <c r="M8247" s="209"/>
      <c r="N8247" s="210"/>
      <c r="O8247" s="198">
        <f>SUM(O8239:O8246)</f>
        <v>9495.6831032799982</v>
      </c>
      <c r="P8247" s="267"/>
      <c r="Q8247" s="166"/>
      <c r="R8247" s="71"/>
    </row>
    <row r="8248" spans="1:18" s="61" customFormat="1" x14ac:dyDescent="0.25">
      <c r="A8248" s="358"/>
      <c r="B8248" s="361"/>
      <c r="C8248" s="221"/>
      <c r="D8248" s="356" t="s">
        <v>14</v>
      </c>
      <c r="E8248" s="356"/>
      <c r="F8248" s="356"/>
      <c r="G8248" s="356"/>
      <c r="H8248" s="188"/>
      <c r="I8248" s="159"/>
      <c r="J8248" s="188"/>
      <c r="K8248" s="161"/>
      <c r="L8248" s="250"/>
      <c r="M8248" s="230"/>
      <c r="N8248" s="164"/>
      <c r="O8248" s="198">
        <f>O8256+O8257+O8252</f>
        <v>5046.1598362499999</v>
      </c>
      <c r="P8248" s="166"/>
      <c r="Q8248" s="166"/>
      <c r="R8248" s="71"/>
    </row>
    <row r="8249" spans="1:18" s="61" customFormat="1" x14ac:dyDescent="0.25">
      <c r="A8249" s="358"/>
      <c r="B8249" s="361"/>
      <c r="C8249" s="221" t="s">
        <v>379</v>
      </c>
      <c r="D8249" s="231" t="s">
        <v>49</v>
      </c>
      <c r="E8249" s="231" t="s">
        <v>22</v>
      </c>
      <c r="F8249" s="231" t="s">
        <v>22</v>
      </c>
      <c r="G8249" s="238">
        <f>MROUND(H8249*L8249*I8249/K8249,0.000000001)</f>
        <v>0</v>
      </c>
      <c r="H8249" s="160"/>
      <c r="I8249" s="159">
        <f>I8244</f>
        <v>4.0365000000000003E-4</v>
      </c>
      <c r="J8249" s="160"/>
      <c r="K8249" s="161">
        <f>K8244</f>
        <v>8</v>
      </c>
      <c r="L8249" s="250"/>
      <c r="M8249" s="163"/>
      <c r="N8249" s="164"/>
      <c r="O8249" s="165">
        <f>MROUND(G8249*N8249,0.00000001)</f>
        <v>0</v>
      </c>
      <c r="P8249" s="166"/>
      <c r="Q8249" s="166">
        <f t="shared" ref="Q8249:Q8251" si="2380">O8249*K8249</f>
        <v>0</v>
      </c>
      <c r="R8249" s="71"/>
    </row>
    <row r="8250" spans="1:18" s="61" customFormat="1" x14ac:dyDescent="0.25">
      <c r="A8250" s="358"/>
      <c r="B8250" s="361"/>
      <c r="C8250" s="221" t="s">
        <v>379</v>
      </c>
      <c r="D8250" s="231" t="s">
        <v>49</v>
      </c>
      <c r="E8250" s="231" t="s">
        <v>28</v>
      </c>
      <c r="F8250" s="231" t="s">
        <v>28</v>
      </c>
      <c r="G8250" s="238">
        <f>MROUND(H8250*L8250*I8250/K8250,0.000000000000001)</f>
        <v>0</v>
      </c>
      <c r="H8250" s="160"/>
      <c r="I8250" s="159">
        <f t="shared" si="2376"/>
        <v>4.0365000000000003E-4</v>
      </c>
      <c r="J8250" s="160"/>
      <c r="K8250" s="161">
        <f>K8249</f>
        <v>8</v>
      </c>
      <c r="L8250" s="250">
        <v>1</v>
      </c>
      <c r="M8250" s="163"/>
      <c r="N8250" s="164"/>
      <c r="O8250" s="165">
        <f>MROUND(G8250*N8250,0.00000001)</f>
        <v>0</v>
      </c>
      <c r="P8250" s="166"/>
      <c r="Q8250" s="166">
        <f t="shared" si="2380"/>
        <v>0</v>
      </c>
      <c r="R8250" s="71"/>
    </row>
    <row r="8251" spans="1:18" s="61" customFormat="1" x14ac:dyDescent="0.25">
      <c r="A8251" s="358"/>
      <c r="B8251" s="361"/>
      <c r="C8251" s="221" t="s">
        <v>379</v>
      </c>
      <c r="D8251" s="231" t="s">
        <v>49</v>
      </c>
      <c r="E8251" s="231" t="s">
        <v>101</v>
      </c>
      <c r="F8251" s="231" t="s">
        <v>101</v>
      </c>
      <c r="G8251" s="238">
        <f>MROUND(H8251*L8251*I8251/K8251,0.000000001)</f>
        <v>0</v>
      </c>
      <c r="H8251" s="160"/>
      <c r="I8251" s="159">
        <f t="shared" si="2376"/>
        <v>4.0365000000000003E-4</v>
      </c>
      <c r="J8251" s="160"/>
      <c r="K8251" s="161">
        <f>K8250</f>
        <v>8</v>
      </c>
      <c r="L8251" s="250"/>
      <c r="M8251" s="163"/>
      <c r="N8251" s="164"/>
      <c r="O8251" s="165">
        <f>MROUND(G8251*N8251,0.00000001)</f>
        <v>0</v>
      </c>
      <c r="P8251" s="166"/>
      <c r="Q8251" s="166">
        <f t="shared" si="2380"/>
        <v>0</v>
      </c>
      <c r="R8251" s="71"/>
    </row>
    <row r="8252" spans="1:18" s="62" customFormat="1" x14ac:dyDescent="0.25">
      <c r="A8252" s="358"/>
      <c r="B8252" s="361"/>
      <c r="C8252" s="218" t="s">
        <v>380</v>
      </c>
      <c r="D8252" s="232"/>
      <c r="E8252" s="232"/>
      <c r="F8252" s="232"/>
      <c r="G8252" s="227"/>
      <c r="H8252" s="228"/>
      <c r="I8252" s="206"/>
      <c r="J8252" s="228"/>
      <c r="K8252" s="207"/>
      <c r="L8252" s="257"/>
      <c r="M8252" s="209"/>
      <c r="N8252" s="210"/>
      <c r="O8252" s="198">
        <f>SUM(O8249:O8251)</f>
        <v>0</v>
      </c>
      <c r="P8252" s="267"/>
      <c r="Q8252" s="166"/>
      <c r="R8252" s="71"/>
    </row>
    <row r="8253" spans="1:18" s="61" customFormat="1" x14ac:dyDescent="0.25">
      <c r="A8253" s="358"/>
      <c r="B8253" s="361"/>
      <c r="C8253" s="221" t="s">
        <v>76</v>
      </c>
      <c r="D8253" s="231" t="s">
        <v>49</v>
      </c>
      <c r="E8253" s="231" t="s">
        <v>22</v>
      </c>
      <c r="F8253" s="231" t="s">
        <v>22</v>
      </c>
      <c r="G8253" s="238">
        <f>MROUND(H8253*L8253*I8253/K8253,0.000000000000001)</f>
        <v>1.2942532687500001</v>
      </c>
      <c r="H8253" s="160">
        <f>H7413</f>
        <v>25651</v>
      </c>
      <c r="I8253" s="159">
        <f>I8249</f>
        <v>4.0365000000000003E-4</v>
      </c>
      <c r="J8253" s="160"/>
      <c r="K8253" s="161">
        <f>K8251</f>
        <v>8</v>
      </c>
      <c r="L8253" s="250">
        <v>1</v>
      </c>
      <c r="M8253" s="163" t="str">
        <f>CONCATENATE(H8253," ",F8253,"*",I8253,"/",K8253,"чел.")</f>
        <v>25651 м2*0,00040365/8чел.</v>
      </c>
      <c r="N8253" s="164">
        <f>N7413</f>
        <v>2452.3410393356985</v>
      </c>
      <c r="O8253" s="165">
        <f>MROUND(G8253*N8253,0.00000000001)</f>
        <v>3173.95040625</v>
      </c>
      <c r="P8253" s="166"/>
      <c r="Q8253" s="166">
        <f t="shared" ref="Q8253:Q8255" si="2381">O8253*K8253</f>
        <v>25391.60325</v>
      </c>
      <c r="R8253" s="71"/>
    </row>
    <row r="8254" spans="1:18" s="61" customFormat="1" x14ac:dyDescent="0.25">
      <c r="A8254" s="358"/>
      <c r="B8254" s="361"/>
      <c r="C8254" s="221"/>
      <c r="D8254" s="231" t="s">
        <v>49</v>
      </c>
      <c r="E8254" s="231" t="s">
        <v>28</v>
      </c>
      <c r="F8254" s="231" t="s">
        <v>28</v>
      </c>
      <c r="G8254" s="238">
        <f>MROUND(H8254*L8254*I8254/K8254,0.0000000000001)</f>
        <v>9.4201818749999999E-2</v>
      </c>
      <c r="H8254" s="160">
        <f>H7414</f>
        <v>1867</v>
      </c>
      <c r="I8254" s="159">
        <f t="shared" si="2376"/>
        <v>4.0365000000000003E-4</v>
      </c>
      <c r="J8254" s="160"/>
      <c r="K8254" s="161">
        <f>K8253</f>
        <v>8</v>
      </c>
      <c r="L8254" s="250">
        <v>1</v>
      </c>
      <c r="M8254" s="163" t="str">
        <f>CONCATENATE(H8254," ",F8254,"*",I8254,"/",K8254,"чел.")</f>
        <v>1867 шт*0,00040365/8чел.</v>
      </c>
      <c r="N8254" s="164">
        <f>N7414</f>
        <v>18299.732190680235</v>
      </c>
      <c r="O8254" s="165">
        <f>MROUND(G8254*N8254,0.00000000001)</f>
        <v>1723.8680549999999</v>
      </c>
      <c r="P8254" s="166"/>
      <c r="Q8254" s="166">
        <f t="shared" si="2381"/>
        <v>13790.944439999999</v>
      </c>
      <c r="R8254" s="71"/>
    </row>
    <row r="8255" spans="1:18" s="61" customFormat="1" x14ac:dyDescent="0.25">
      <c r="A8255" s="358"/>
      <c r="B8255" s="361"/>
      <c r="C8255" s="221"/>
      <c r="D8255" s="231" t="s">
        <v>49</v>
      </c>
      <c r="E8255" s="231" t="s">
        <v>101</v>
      </c>
      <c r="F8255" s="231" t="s">
        <v>101</v>
      </c>
      <c r="G8255" s="238">
        <f>MROUND(H8255*L8255*I8255/K8255,0.000000001)</f>
        <v>3.2292000000000001E-2</v>
      </c>
      <c r="H8255" s="160">
        <f>H7415</f>
        <v>640</v>
      </c>
      <c r="I8255" s="159">
        <f t="shared" si="2376"/>
        <v>4.0365000000000003E-4</v>
      </c>
      <c r="J8255" s="160"/>
      <c r="K8255" s="161">
        <f>K8254</f>
        <v>8</v>
      </c>
      <c r="L8255" s="250">
        <v>1</v>
      </c>
      <c r="M8255" s="163" t="str">
        <f>CONCATENATE(H8255," ",F8255,"*",I8255,"/",K8255,"чел.")</f>
        <v>640 погон.м.*0,00040365/8чел.</v>
      </c>
      <c r="N8255" s="164">
        <f>N7415</f>
        <v>4593.75</v>
      </c>
      <c r="O8255" s="165">
        <f>MROUND(G8255*N8255,0.00000001)</f>
        <v>148.341375</v>
      </c>
      <c r="P8255" s="166"/>
      <c r="Q8255" s="166">
        <f t="shared" si="2381"/>
        <v>1186.731</v>
      </c>
      <c r="R8255" s="71"/>
    </row>
    <row r="8256" spans="1:18" s="62" customFormat="1" x14ac:dyDescent="0.25">
      <c r="A8256" s="358"/>
      <c r="B8256" s="361"/>
      <c r="C8256" s="218" t="s">
        <v>291</v>
      </c>
      <c r="D8256" s="232"/>
      <c r="E8256" s="232"/>
      <c r="F8256" s="232"/>
      <c r="G8256" s="227"/>
      <c r="H8256" s="228"/>
      <c r="I8256" s="206"/>
      <c r="J8256" s="228"/>
      <c r="K8256" s="207"/>
      <c r="L8256" s="257"/>
      <c r="M8256" s="209"/>
      <c r="N8256" s="210"/>
      <c r="O8256" s="198">
        <f>SUM(O8253:O8255)</f>
        <v>5046.1598362499999</v>
      </c>
      <c r="P8256" s="267"/>
      <c r="Q8256" s="166"/>
      <c r="R8256" s="71"/>
    </row>
    <row r="8257" spans="1:41" s="61" customFormat="1" x14ac:dyDescent="0.25">
      <c r="A8257" s="358"/>
      <c r="B8257" s="361"/>
      <c r="C8257" s="221" t="s">
        <v>77</v>
      </c>
      <c r="D8257" s="231"/>
      <c r="E8257" s="231"/>
      <c r="F8257" s="231"/>
      <c r="G8257" s="238">
        <f>MROUND(H8257*L8257*I8257/K8257,0.00000000001)</f>
        <v>0</v>
      </c>
      <c r="H8257" s="160">
        <f>H8017</f>
        <v>0</v>
      </c>
      <c r="I8257" s="159">
        <f>I8255</f>
        <v>4.0365000000000003E-4</v>
      </c>
      <c r="J8257" s="160"/>
      <c r="K8257" s="161">
        <f>K8255</f>
        <v>8</v>
      </c>
      <c r="L8257" s="250"/>
      <c r="M8257" s="163"/>
      <c r="N8257" s="164">
        <f>N8017</f>
        <v>0</v>
      </c>
      <c r="O8257" s="165">
        <f>MROUND(G8257*N8257,0.000000001)</f>
        <v>0</v>
      </c>
      <c r="P8257" s="166"/>
      <c r="Q8257" s="166">
        <f t="shared" ref="Q8257" si="2382">O8257*K8257</f>
        <v>0</v>
      </c>
      <c r="R8257" s="71"/>
    </row>
    <row r="8258" spans="1:41" s="62" customFormat="1" x14ac:dyDescent="0.25">
      <c r="A8258" s="358"/>
      <c r="B8258" s="361"/>
      <c r="C8258" s="218" t="s">
        <v>292</v>
      </c>
      <c r="D8258" s="232"/>
      <c r="E8258" s="232"/>
      <c r="F8258" s="232"/>
      <c r="G8258" s="227"/>
      <c r="H8258" s="228"/>
      <c r="I8258" s="206"/>
      <c r="J8258" s="228"/>
      <c r="K8258" s="207"/>
      <c r="L8258" s="257"/>
      <c r="M8258" s="209"/>
      <c r="N8258" s="210"/>
      <c r="O8258" s="198">
        <f>O8257</f>
        <v>0</v>
      </c>
      <c r="P8258" s="267"/>
      <c r="Q8258" s="166"/>
      <c r="R8258" s="71"/>
    </row>
    <row r="8259" spans="1:41" s="61" customFormat="1" x14ac:dyDescent="0.25">
      <c r="A8259" s="358"/>
      <c r="B8259" s="361"/>
      <c r="C8259" s="221"/>
      <c r="D8259" s="350" t="s">
        <v>65</v>
      </c>
      <c r="E8259" s="350"/>
      <c r="F8259" s="350"/>
      <c r="G8259" s="350"/>
      <c r="H8259" s="195"/>
      <c r="I8259" s="159"/>
      <c r="J8259" s="195"/>
      <c r="K8259" s="161"/>
      <c r="L8259" s="196"/>
      <c r="M8259" s="230"/>
      <c r="N8259" s="164"/>
      <c r="O8259" s="165">
        <f t="shared" ref="O8259:O8260" si="2383">MROUND(G8259*N8259,0.000001)</f>
        <v>0</v>
      </c>
      <c r="P8259" s="166"/>
      <c r="Q8259" s="166"/>
      <c r="R8259" s="71"/>
    </row>
    <row r="8260" spans="1:41" s="61" customFormat="1" x14ac:dyDescent="0.25">
      <c r="A8260" s="358"/>
      <c r="B8260" s="361"/>
      <c r="C8260" s="221"/>
      <c r="D8260" s="194"/>
      <c r="E8260" s="194"/>
      <c r="F8260" s="194"/>
      <c r="G8260" s="217"/>
      <c r="H8260" s="195"/>
      <c r="I8260" s="159"/>
      <c r="J8260" s="195"/>
      <c r="K8260" s="161"/>
      <c r="L8260" s="196"/>
      <c r="M8260" s="230"/>
      <c r="N8260" s="164"/>
      <c r="O8260" s="165">
        <f t="shared" si="2383"/>
        <v>0</v>
      </c>
      <c r="P8260" s="166"/>
      <c r="Q8260" s="166"/>
      <c r="R8260" s="71"/>
    </row>
    <row r="8261" spans="1:41" s="61" customFormat="1" x14ac:dyDescent="0.25">
      <c r="A8261" s="358"/>
      <c r="B8261" s="361"/>
      <c r="C8261" s="221" t="s">
        <v>357</v>
      </c>
      <c r="D8261" s="368" t="s">
        <v>66</v>
      </c>
      <c r="E8261" s="368"/>
      <c r="F8261" s="368"/>
      <c r="G8261" s="368"/>
      <c r="H8261" s="195"/>
      <c r="I8261" s="159"/>
      <c r="J8261" s="195"/>
      <c r="K8261" s="161"/>
      <c r="L8261" s="234"/>
      <c r="M8261" s="230"/>
      <c r="N8261" s="164"/>
      <c r="O8261" s="198">
        <f>O8262</f>
        <v>29.616813999999998</v>
      </c>
      <c r="P8261" s="166"/>
      <c r="Q8261" s="166"/>
      <c r="R8261" s="71"/>
    </row>
    <row r="8262" spans="1:41" s="61" customFormat="1" ht="47.25" x14ac:dyDescent="0.25">
      <c r="A8262" s="358"/>
      <c r="B8262" s="361"/>
      <c r="C8262" s="221"/>
      <c r="D8262" s="222" t="s">
        <v>374</v>
      </c>
      <c r="E8262" s="194" t="s">
        <v>28</v>
      </c>
      <c r="F8262" s="194" t="s">
        <v>28</v>
      </c>
      <c r="G8262" s="217">
        <f>MROUND(H8262*L8262*I8262/K8262,0.000000001)</f>
        <v>7.2657000000000008E-3</v>
      </c>
      <c r="H8262" s="201">
        <f>H7662</f>
        <v>36</v>
      </c>
      <c r="I8262" s="159">
        <f>I8257</f>
        <v>4.0365000000000003E-4</v>
      </c>
      <c r="J8262" s="195"/>
      <c r="K8262" s="161">
        <f>K8257</f>
        <v>8</v>
      </c>
      <c r="L8262" s="235">
        <f>L7662</f>
        <v>4</v>
      </c>
      <c r="M8262" s="163" t="str">
        <f>CONCATENATE(H8262," ",F8262,"*",I8262,"/",K8262,"чел.")</f>
        <v>36 шт*0,00040365/8чел.</v>
      </c>
      <c r="N8262" s="164">
        <f>N7662</f>
        <v>4076.2506250000024</v>
      </c>
      <c r="O8262" s="165">
        <f>MROUND(G8262*N8262,0.000001)</f>
        <v>29.616813999999998</v>
      </c>
      <c r="P8262" s="166"/>
      <c r="Q8262" s="166">
        <f t="shared" ref="Q8262" si="2384">O8262*K8262</f>
        <v>236.93451199999998</v>
      </c>
      <c r="R8262" s="71"/>
    </row>
    <row r="8263" spans="1:41" s="61" customFormat="1" x14ac:dyDescent="0.25">
      <c r="A8263" s="358"/>
      <c r="B8263" s="361"/>
      <c r="C8263" s="221"/>
      <c r="D8263" s="368" t="s">
        <v>67</v>
      </c>
      <c r="E8263" s="368"/>
      <c r="F8263" s="368"/>
      <c r="G8263" s="368"/>
      <c r="H8263" s="195"/>
      <c r="I8263" s="159"/>
      <c r="J8263" s="195"/>
      <c r="K8263" s="161"/>
      <c r="L8263" s="196"/>
      <c r="M8263" s="230"/>
      <c r="N8263" s="164"/>
      <c r="O8263" s="165">
        <f t="shared" ref="O8263:O8266" si="2385">MROUND(G8263*N8263,0.000001)</f>
        <v>0</v>
      </c>
      <c r="P8263" s="166"/>
      <c r="Q8263" s="166"/>
      <c r="R8263" s="71"/>
    </row>
    <row r="8264" spans="1:41" s="61" customFormat="1" x14ac:dyDescent="0.25">
      <c r="A8264" s="358"/>
      <c r="B8264" s="361"/>
      <c r="C8264" s="221"/>
      <c r="D8264" s="194"/>
      <c r="E8264" s="194"/>
      <c r="F8264" s="194"/>
      <c r="G8264" s="217"/>
      <c r="H8264" s="195"/>
      <c r="I8264" s="159"/>
      <c r="J8264" s="195"/>
      <c r="K8264" s="161"/>
      <c r="L8264" s="196"/>
      <c r="M8264" s="230"/>
      <c r="N8264" s="164"/>
      <c r="O8264" s="165">
        <f t="shared" si="2385"/>
        <v>0</v>
      </c>
      <c r="P8264" s="166"/>
      <c r="Q8264" s="166"/>
      <c r="R8264" s="71"/>
    </row>
    <row r="8265" spans="1:41" s="61" customFormat="1" x14ac:dyDescent="0.25">
      <c r="A8265" s="358"/>
      <c r="B8265" s="361"/>
      <c r="C8265" s="221"/>
      <c r="D8265" s="350" t="s">
        <v>68</v>
      </c>
      <c r="E8265" s="350"/>
      <c r="F8265" s="350"/>
      <c r="G8265" s="350"/>
      <c r="H8265" s="195"/>
      <c r="I8265" s="159"/>
      <c r="J8265" s="195"/>
      <c r="K8265" s="161"/>
      <c r="L8265" s="196"/>
      <c r="M8265" s="230"/>
      <c r="N8265" s="164"/>
      <c r="O8265" s="165">
        <f t="shared" si="2385"/>
        <v>0</v>
      </c>
      <c r="P8265" s="166"/>
      <c r="Q8265" s="166"/>
      <c r="R8265" s="71"/>
    </row>
    <row r="8266" spans="1:41" s="61" customFormat="1" x14ac:dyDescent="0.25">
      <c r="A8266" s="358"/>
      <c r="B8266" s="361"/>
      <c r="C8266" s="221"/>
      <c r="D8266" s="156"/>
      <c r="E8266" s="156"/>
      <c r="F8266" s="156"/>
      <c r="G8266" s="236"/>
      <c r="H8266" s="195"/>
      <c r="I8266" s="159"/>
      <c r="J8266" s="195"/>
      <c r="K8266" s="161"/>
      <c r="L8266" s="196"/>
      <c r="M8266" s="230"/>
      <c r="N8266" s="164"/>
      <c r="O8266" s="165">
        <f t="shared" si="2385"/>
        <v>0</v>
      </c>
      <c r="P8266" s="166"/>
      <c r="Q8266" s="166"/>
      <c r="R8266" s="71"/>
    </row>
    <row r="8267" spans="1:41" s="61" customFormat="1" x14ac:dyDescent="0.25">
      <c r="A8267" s="358"/>
      <c r="B8267" s="361"/>
      <c r="C8267" s="221"/>
      <c r="D8267" s="368" t="s">
        <v>69</v>
      </c>
      <c r="E8267" s="368"/>
      <c r="F8267" s="368"/>
      <c r="G8267" s="368"/>
      <c r="H8267" s="187"/>
      <c r="I8267" s="159"/>
      <c r="J8267" s="187"/>
      <c r="K8267" s="161"/>
      <c r="L8267" s="276"/>
      <c r="M8267" s="230"/>
      <c r="N8267" s="164"/>
      <c r="O8267" s="198">
        <f>O8269+O8276+O8293+O8295+O8310+O8312+O8314+O8339+O8341+O8346+O8343</f>
        <v>1140.1014304800001</v>
      </c>
      <c r="P8267" s="166"/>
      <c r="Q8267" s="166"/>
      <c r="R8267" s="71"/>
    </row>
    <row r="8268" spans="1:41" s="61" customFormat="1" x14ac:dyDescent="0.25">
      <c r="A8268" s="358"/>
      <c r="B8268" s="361"/>
      <c r="C8268" s="221">
        <v>224</v>
      </c>
      <c r="D8268" s="156" t="s">
        <v>21</v>
      </c>
      <c r="E8268" s="156" t="s">
        <v>22</v>
      </c>
      <c r="F8268" s="156" t="s">
        <v>22</v>
      </c>
      <c r="G8268" s="238">
        <f>MROUND(H8268*L8268*I8268/K8268,0.000001)</f>
        <v>0</v>
      </c>
      <c r="H8268" s="158"/>
      <c r="I8268" s="159">
        <f>I8262</f>
        <v>4.0365000000000003E-4</v>
      </c>
      <c r="J8268" s="160"/>
      <c r="K8268" s="161">
        <f>K8262</f>
        <v>8</v>
      </c>
      <c r="L8268" s="250"/>
      <c r="M8268" s="163"/>
      <c r="N8268" s="164"/>
      <c r="O8268" s="165">
        <f>MROUND(G8268*N8268,0.000001)</f>
        <v>0</v>
      </c>
      <c r="P8268" s="166"/>
      <c r="Q8268" s="166">
        <f t="shared" ref="Q8268" si="2386">O8268*K8268</f>
        <v>0</v>
      </c>
      <c r="R8268" s="71"/>
    </row>
    <row r="8269" spans="1:41" s="62" customFormat="1" x14ac:dyDescent="0.25">
      <c r="A8269" s="358"/>
      <c r="B8269" s="361"/>
      <c r="C8269" s="218" t="s">
        <v>293</v>
      </c>
      <c r="D8269" s="240"/>
      <c r="E8269" s="240"/>
      <c r="F8269" s="240"/>
      <c r="G8269" s="227"/>
      <c r="H8269" s="241"/>
      <c r="I8269" s="206"/>
      <c r="J8269" s="228"/>
      <c r="K8269" s="207"/>
      <c r="L8269" s="257"/>
      <c r="M8269" s="209"/>
      <c r="N8269" s="210"/>
      <c r="O8269" s="198">
        <f>SUM(O8268)</f>
        <v>0</v>
      </c>
      <c r="P8269" s="267"/>
      <c r="Q8269" s="166"/>
      <c r="R8269" s="71"/>
    </row>
    <row r="8270" spans="1:41" s="61" customFormat="1" ht="31.5" x14ac:dyDescent="0.25">
      <c r="A8270" s="358"/>
      <c r="B8270" s="361"/>
      <c r="C8270" s="364" t="s">
        <v>78</v>
      </c>
      <c r="D8270" s="156" t="s">
        <v>26</v>
      </c>
      <c r="E8270" s="156" t="s">
        <v>22</v>
      </c>
      <c r="F8270" s="156" t="s">
        <v>22</v>
      </c>
      <c r="G8270" s="238">
        <f>MROUND(H8270*L8270*I8270/K8270,0.000001)</f>
        <v>15.645474</v>
      </c>
      <c r="H8270" s="158">
        <f>H6830</f>
        <v>25840</v>
      </c>
      <c r="I8270" s="159">
        <f>I8268</f>
        <v>4.0365000000000003E-4</v>
      </c>
      <c r="J8270" s="160"/>
      <c r="K8270" s="161">
        <f>K8268</f>
        <v>8</v>
      </c>
      <c r="L8270" s="250">
        <v>12</v>
      </c>
      <c r="M8270" s="163" t="str">
        <f>CONCATENATE(H8270," ",F8270,"(обрабатываемая площадь в мес.)","*",L8270,"мес.","*",I8270,"/",K8270,"чел.")</f>
        <v>25840 м2(обрабатываемая площадь в мес.)*12мес.*0,00040365/8чел.</v>
      </c>
      <c r="N8270" s="164">
        <f>N6830</f>
        <v>1.2568903508771934</v>
      </c>
      <c r="O8270" s="165">
        <f t="shared" ref="O8270:O8275" si="2387">MROUND(G8270*N8270,0.000001)</f>
        <v>19.664645</v>
      </c>
      <c r="P8270" s="166"/>
      <c r="Q8270" s="166">
        <f t="shared" ref="Q8270:Q8275" si="2388">O8270*K8270</f>
        <v>157.31716</v>
      </c>
      <c r="R8270" s="71"/>
    </row>
    <row r="8271" spans="1:41" s="61" customFormat="1" ht="31.5" x14ac:dyDescent="0.25">
      <c r="A8271" s="358"/>
      <c r="B8271" s="361"/>
      <c r="C8271" s="364"/>
      <c r="D8271" s="156" t="s">
        <v>96</v>
      </c>
      <c r="E8271" s="156" t="s">
        <v>22</v>
      </c>
      <c r="F8271" s="156" t="s">
        <v>22</v>
      </c>
      <c r="G8271" s="238">
        <f>MROUND(H8271*L8271*I8271/K8271,0.000001)</f>
        <v>8.0982279999999989</v>
      </c>
      <c r="H8271" s="158">
        <f>H6831</f>
        <v>13375</v>
      </c>
      <c r="I8271" s="159">
        <f t="shared" si="2376"/>
        <v>4.0365000000000003E-4</v>
      </c>
      <c r="J8271" s="160"/>
      <c r="K8271" s="161">
        <f>K8270</f>
        <v>8</v>
      </c>
      <c r="L8271" s="250">
        <v>12</v>
      </c>
      <c r="M8271" s="163" t="str">
        <f>CONCATENATE(H8271," ",F8271,"(обрабатываемая площадь в мес.)","*",L8271,"мес.","*",I8271,"/",K8271,"чел.")</f>
        <v>13375 м2(обрабатываемая площадь в мес.)*12мес.*0,00040365/8чел.</v>
      </c>
      <c r="N8271" s="164">
        <f>N6831</f>
        <v>2.0157672274143299</v>
      </c>
      <c r="O8271" s="165">
        <f t="shared" si="2387"/>
        <v>16.324142999999999</v>
      </c>
      <c r="P8271" s="166"/>
      <c r="Q8271" s="166">
        <f t="shared" si="2388"/>
        <v>130.593144</v>
      </c>
      <c r="R8271" s="71"/>
    </row>
    <row r="8272" spans="1:41" s="135" customFormat="1" ht="31.5" x14ac:dyDescent="0.25">
      <c r="A8272" s="358"/>
      <c r="B8272" s="361"/>
      <c r="C8272" s="364"/>
      <c r="D8272" s="156" t="s">
        <v>385</v>
      </c>
      <c r="E8272" s="156" t="s">
        <v>22</v>
      </c>
      <c r="F8272" s="156" t="s">
        <v>22</v>
      </c>
      <c r="G8272" s="238">
        <f>MROUND(H8272*L8272*I8272/K8272,0.000001)</f>
        <v>16.196455999999998</v>
      </c>
      <c r="H8272" s="242">
        <f>$H$55</f>
        <v>13375</v>
      </c>
      <c r="I8272" s="159">
        <f t="shared" si="2376"/>
        <v>4.0365000000000003E-4</v>
      </c>
      <c r="J8272" s="160"/>
      <c r="K8272" s="161">
        <f>K8271</f>
        <v>8</v>
      </c>
      <c r="L8272" s="162">
        <v>24</v>
      </c>
      <c r="M8272" s="163" t="str">
        <f>CONCATENATE(H8272," ",F8272,"(обрабатываемая площадь в год)","*",L8272," раза в год.","*",I8272,"/",K8272,"чел.")</f>
        <v>13375 м2(обрабатываемая площадь в год)*24 раза в год.*0,00040365/8чел.</v>
      </c>
      <c r="N8272" s="164">
        <f>$N$6832</f>
        <v>2.4900656074766365</v>
      </c>
      <c r="O8272" s="165">
        <f t="shared" si="2387"/>
        <v>40.330238000000001</v>
      </c>
      <c r="P8272" s="166"/>
      <c r="Q8272" s="166">
        <f t="shared" si="2388"/>
        <v>322.64190400000001</v>
      </c>
      <c r="R8272" s="71"/>
      <c r="S8272" s="61"/>
      <c r="T8272" s="61"/>
      <c r="U8272" s="61"/>
      <c r="V8272" s="61"/>
      <c r="W8272" s="61"/>
      <c r="X8272" s="61"/>
      <c r="Y8272" s="61"/>
      <c r="Z8272" s="61"/>
      <c r="AA8272" s="61"/>
      <c r="AB8272" s="61"/>
      <c r="AC8272" s="61"/>
      <c r="AD8272" s="61"/>
      <c r="AE8272" s="61"/>
      <c r="AF8272" s="61"/>
      <c r="AG8272" s="61"/>
      <c r="AH8272" s="61"/>
      <c r="AI8272" s="61"/>
      <c r="AJ8272" s="61"/>
      <c r="AK8272" s="61"/>
      <c r="AL8272" s="61"/>
      <c r="AM8272" s="61"/>
      <c r="AN8272" s="61"/>
      <c r="AO8272" s="61"/>
    </row>
    <row r="8273" spans="1:41" s="135" customFormat="1" ht="31.5" x14ac:dyDescent="0.25">
      <c r="A8273" s="358"/>
      <c r="B8273" s="361"/>
      <c r="C8273" s="364"/>
      <c r="D8273" s="156" t="s">
        <v>394</v>
      </c>
      <c r="E8273" s="156" t="s">
        <v>22</v>
      </c>
      <c r="F8273" s="156" t="s">
        <v>22</v>
      </c>
      <c r="G8273" s="238">
        <f>MROUND(H8273*L8273*I8273/K8273,0.000001)</f>
        <v>15.645474</v>
      </c>
      <c r="H8273" s="243">
        <f>$H$56</f>
        <v>25840</v>
      </c>
      <c r="I8273" s="159">
        <f t="shared" si="2376"/>
        <v>4.0365000000000003E-4</v>
      </c>
      <c r="J8273" s="160"/>
      <c r="K8273" s="161">
        <f>K8272</f>
        <v>8</v>
      </c>
      <c r="L8273" s="162">
        <v>12</v>
      </c>
      <c r="M8273" s="163" t="str">
        <f>CONCATENATE(H8273," ",F8273,"(обрабатываемая площадь в мес.)","*",L8273,"мес.","*",I8273,"/",K8273,"чел.")</f>
        <v>25840 м2(обрабатываемая площадь в мес.)*12мес.*0,00040365/8чел.</v>
      </c>
      <c r="N8273" s="164">
        <f>$N$6833</f>
        <v>0.59287277476780176</v>
      </c>
      <c r="O8273" s="165">
        <f t="shared" si="2387"/>
        <v>9.2757760000000005</v>
      </c>
      <c r="P8273" s="166"/>
      <c r="Q8273" s="166">
        <f t="shared" si="2388"/>
        <v>74.206208000000004</v>
      </c>
      <c r="R8273" s="71"/>
      <c r="S8273" s="61"/>
      <c r="T8273" s="61"/>
      <c r="U8273" s="61"/>
      <c r="V8273" s="61"/>
      <c r="W8273" s="61"/>
      <c r="X8273" s="61"/>
      <c r="Y8273" s="61"/>
      <c r="Z8273" s="61"/>
      <c r="AA8273" s="61"/>
      <c r="AB8273" s="61"/>
      <c r="AC8273" s="61"/>
      <c r="AD8273" s="61"/>
      <c r="AE8273" s="61"/>
      <c r="AF8273" s="61"/>
      <c r="AG8273" s="61"/>
      <c r="AH8273" s="61"/>
      <c r="AI8273" s="61"/>
      <c r="AJ8273" s="61"/>
      <c r="AK8273" s="61"/>
      <c r="AL8273" s="61"/>
      <c r="AM8273" s="61"/>
      <c r="AN8273" s="61"/>
      <c r="AO8273" s="61"/>
    </row>
    <row r="8274" spans="1:41" s="135" customFormat="1" ht="31.5" x14ac:dyDescent="0.25">
      <c r="A8274" s="358"/>
      <c r="B8274" s="361"/>
      <c r="C8274" s="364"/>
      <c r="D8274" s="156" t="s">
        <v>395</v>
      </c>
      <c r="E8274" s="156" t="s">
        <v>98</v>
      </c>
      <c r="F8274" s="156" t="s">
        <v>98</v>
      </c>
      <c r="G8274" s="238">
        <f>MROUND(H8274*L8274*I8274/K8274,0.0000000001)</f>
        <v>9.5564140000000005E-4</v>
      </c>
      <c r="H8274" s="242">
        <f>$H$57</f>
        <v>18.939999999999998</v>
      </c>
      <c r="I8274" s="159">
        <f t="shared" si="2376"/>
        <v>4.0365000000000003E-4</v>
      </c>
      <c r="J8274" s="160"/>
      <c r="K8274" s="161">
        <f>K8273</f>
        <v>8</v>
      </c>
      <c r="L8274" s="162">
        <v>1</v>
      </c>
      <c r="M8274" s="163" t="str">
        <f>CONCATENATE(H8274," ",F8274,"(обрабатываемая площадь в год)","*",L8274," раз в год","*",I8274,"/",K8274,"чел.")</f>
        <v>18,94 Га(обрабатываемая площадь в год)*1 раз в год*0,00040365/8чел.</v>
      </c>
      <c r="N8274" s="164">
        <f>$N$6834</f>
        <v>592.87803590285125</v>
      </c>
      <c r="O8274" s="165">
        <f t="shared" si="2387"/>
        <v>0.56657899999999994</v>
      </c>
      <c r="P8274" s="166"/>
      <c r="Q8274" s="166">
        <f t="shared" si="2388"/>
        <v>4.5326319999999996</v>
      </c>
      <c r="R8274" s="71"/>
      <c r="S8274" s="61"/>
      <c r="T8274" s="61"/>
      <c r="U8274" s="61"/>
      <c r="V8274" s="61"/>
      <c r="W8274" s="61"/>
      <c r="X8274" s="61"/>
      <c r="Y8274" s="61"/>
      <c r="Z8274" s="61"/>
      <c r="AA8274" s="61"/>
      <c r="AB8274" s="61"/>
      <c r="AC8274" s="61"/>
      <c r="AD8274" s="61"/>
      <c r="AE8274" s="61"/>
      <c r="AF8274" s="61"/>
      <c r="AG8274" s="61"/>
      <c r="AH8274" s="61"/>
      <c r="AI8274" s="61"/>
      <c r="AJ8274" s="61"/>
      <c r="AK8274" s="61"/>
      <c r="AL8274" s="61"/>
      <c r="AM8274" s="61"/>
      <c r="AN8274" s="61"/>
      <c r="AO8274" s="61"/>
    </row>
    <row r="8275" spans="1:41" s="61" customFormat="1" ht="31.5" x14ac:dyDescent="0.25">
      <c r="A8275" s="358"/>
      <c r="B8275" s="361"/>
      <c r="C8275" s="364"/>
      <c r="D8275" s="156" t="s">
        <v>97</v>
      </c>
      <c r="E8275" s="156" t="s">
        <v>98</v>
      </c>
      <c r="F8275" s="156" t="s">
        <v>98</v>
      </c>
      <c r="G8275" s="238">
        <f>MROUND(H8275*L8275*I8275/K8275,0.000000001)</f>
        <v>9.5564100000000002E-4</v>
      </c>
      <c r="H8275" s="242">
        <f>H7195</f>
        <v>18.939999999999998</v>
      </c>
      <c r="I8275" s="244">
        <f>I8271</f>
        <v>4.0365000000000003E-4</v>
      </c>
      <c r="J8275" s="160"/>
      <c r="K8275" s="161">
        <f>K8271</f>
        <v>8</v>
      </c>
      <c r="L8275" s="250">
        <v>1</v>
      </c>
      <c r="M8275" s="163" t="str">
        <f>CONCATENATE(H8275," ",F8275,"(обрабатываемая площадь в мес.)","*",L8275,"мес.","*",I8275,"/",K8275,"чел.")</f>
        <v>18,94 Га(обрабатываемая площадь в мес.)*1мес.*0,00040365/8чел.</v>
      </c>
      <c r="N8275" s="164">
        <f>N7195</f>
        <v>3226.5021119324188</v>
      </c>
      <c r="O8275" s="165">
        <f t="shared" si="2387"/>
        <v>3.0833779999999997</v>
      </c>
      <c r="P8275" s="166"/>
      <c r="Q8275" s="166">
        <f t="shared" si="2388"/>
        <v>24.667023999999998</v>
      </c>
      <c r="R8275" s="71"/>
    </row>
    <row r="8276" spans="1:41" s="62" customFormat="1" x14ac:dyDescent="0.25">
      <c r="A8276" s="358"/>
      <c r="B8276" s="361"/>
      <c r="C8276" s="245" t="s">
        <v>294</v>
      </c>
      <c r="D8276" s="240"/>
      <c r="E8276" s="240"/>
      <c r="F8276" s="240"/>
      <c r="G8276" s="227"/>
      <c r="H8276" s="241"/>
      <c r="I8276" s="206"/>
      <c r="J8276" s="228"/>
      <c r="K8276" s="207"/>
      <c r="L8276" s="257"/>
      <c r="M8276" s="209"/>
      <c r="N8276" s="210"/>
      <c r="O8276" s="198">
        <f>SUM(O8270:O8275)</f>
        <v>89.244759000000016</v>
      </c>
      <c r="P8276" s="267"/>
      <c r="Q8276" s="166"/>
      <c r="R8276" s="71"/>
    </row>
    <row r="8277" spans="1:41" s="61" customFormat="1" ht="63" x14ac:dyDescent="0.25">
      <c r="A8277" s="358"/>
      <c r="B8277" s="361"/>
      <c r="C8277" s="365" t="s">
        <v>77</v>
      </c>
      <c r="D8277" s="156" t="s">
        <v>29</v>
      </c>
      <c r="E8277" s="156" t="s">
        <v>58</v>
      </c>
      <c r="F8277" s="156" t="s">
        <v>218</v>
      </c>
      <c r="G8277" s="157">
        <f>MROUND(H8277*L8277*I8277/K8277,0.00000001)</f>
        <v>3.0273800000000001E-3</v>
      </c>
      <c r="H8277" s="158">
        <v>15</v>
      </c>
      <c r="I8277" s="159">
        <f>I8275</f>
        <v>4.0365000000000003E-4</v>
      </c>
      <c r="J8277" s="160"/>
      <c r="K8277" s="161">
        <f>K8275</f>
        <v>8</v>
      </c>
      <c r="L8277" s="162">
        <v>4</v>
      </c>
      <c r="M8277" s="163" t="str">
        <f>CONCATENATE(H8277," ",F8277,"*",L8277," раза в год","*",I8277,"/",K8277,"чел.")</f>
        <v>15 установок*4 раза в год*0,00040365/8чел.</v>
      </c>
      <c r="N8277" s="164">
        <f>N6837</f>
        <v>2355.4600000000005</v>
      </c>
      <c r="O8277" s="165">
        <f t="shared" ref="O8277:O8285" si="2389">MROUND(G8277*N8277,0.000001)</f>
        <v>7.1308720000000001</v>
      </c>
      <c r="P8277" s="166"/>
      <c r="Q8277" s="166">
        <f t="shared" ref="Q8277:Q8292" si="2390">O8277*K8277</f>
        <v>57.046976000000001</v>
      </c>
      <c r="R8277" s="71"/>
    </row>
    <row r="8278" spans="1:41" s="61" customFormat="1" ht="47.25" x14ac:dyDescent="0.25">
      <c r="A8278" s="358"/>
      <c r="B8278" s="361"/>
      <c r="C8278" s="366"/>
      <c r="D8278" s="156" t="s">
        <v>30</v>
      </c>
      <c r="E8278" s="156" t="s">
        <v>58</v>
      </c>
      <c r="F8278" s="156" t="s">
        <v>218</v>
      </c>
      <c r="G8278" s="238">
        <f>MROUND(H8278*L8278*I8278/K8278,0.00000001)</f>
        <v>1.51369E-3</v>
      </c>
      <c r="H8278" s="158">
        <v>15</v>
      </c>
      <c r="I8278" s="159">
        <f t="shared" si="2376"/>
        <v>4.0365000000000003E-4</v>
      </c>
      <c r="J8278" s="160"/>
      <c r="K8278" s="161">
        <f t="shared" ref="K8278:K8286" si="2391">K8277</f>
        <v>8</v>
      </c>
      <c r="L8278" s="250">
        <v>2</v>
      </c>
      <c r="M8278" s="163" t="str">
        <f>CONCATENATE(H8278," ",F8278,"*",L8278,"полуг.","*",I8278,"/",K8278,"чел.")</f>
        <v>15 установок*2полуг.*0,00040365/8чел.</v>
      </c>
      <c r="N8278" s="164">
        <f>N7558</f>
        <v>4710.920000000001</v>
      </c>
      <c r="O8278" s="165">
        <f t="shared" si="2389"/>
        <v>7.1308720000000001</v>
      </c>
      <c r="P8278" s="166"/>
      <c r="Q8278" s="166">
        <f t="shared" si="2390"/>
        <v>57.046976000000001</v>
      </c>
      <c r="R8278" s="71"/>
    </row>
    <row r="8279" spans="1:41" s="61" customFormat="1" x14ac:dyDescent="0.25">
      <c r="A8279" s="358"/>
      <c r="B8279" s="361"/>
      <c r="C8279" s="366"/>
      <c r="D8279" s="156" t="s">
        <v>397</v>
      </c>
      <c r="E8279" s="156" t="s">
        <v>433</v>
      </c>
      <c r="F8279" s="156" t="s">
        <v>433</v>
      </c>
      <c r="G8279" s="238">
        <f>MROUND(H8279*L8279*I8279/K8279,0.000001)</f>
        <v>0</v>
      </c>
      <c r="H8279" s="158">
        <f>H7199</f>
        <v>0</v>
      </c>
      <c r="I8279" s="159">
        <f t="shared" si="2376"/>
        <v>4.0365000000000003E-4</v>
      </c>
      <c r="J8279" s="160"/>
      <c r="K8279" s="161">
        <f t="shared" si="2391"/>
        <v>8</v>
      </c>
      <c r="L8279" s="162">
        <v>1</v>
      </c>
      <c r="M8279" s="163"/>
      <c r="N8279" s="164">
        <f>N7199</f>
        <v>0</v>
      </c>
      <c r="O8279" s="165">
        <f t="shared" si="2389"/>
        <v>0</v>
      </c>
      <c r="P8279" s="166"/>
      <c r="Q8279" s="166">
        <f t="shared" si="2390"/>
        <v>0</v>
      </c>
      <c r="R8279" s="71"/>
    </row>
    <row r="8280" spans="1:41" s="61" customFormat="1" ht="47.25" x14ac:dyDescent="0.25">
      <c r="A8280" s="358"/>
      <c r="B8280" s="361"/>
      <c r="C8280" s="366"/>
      <c r="D8280" s="156" t="s">
        <v>32</v>
      </c>
      <c r="E8280" s="156" t="s">
        <v>55</v>
      </c>
      <c r="F8280" s="156" t="s">
        <v>219</v>
      </c>
      <c r="G8280" s="238">
        <f>MROUND(H8280*L8280*I8280/K8280,0.000000001)</f>
        <v>7.2657000000000008E-3</v>
      </c>
      <c r="H8280" s="158">
        <f>H7560</f>
        <v>36</v>
      </c>
      <c r="I8280" s="159">
        <f>I8279</f>
        <v>4.0365000000000003E-4</v>
      </c>
      <c r="J8280" s="160"/>
      <c r="K8280" s="161">
        <f t="shared" si="2391"/>
        <v>8</v>
      </c>
      <c r="L8280" s="250">
        <v>4</v>
      </c>
      <c r="M8280" s="163" t="str">
        <f>CONCATENATE(H8280," ",F8280,"*",L8280,"кв.","*",I8280,"/",K8280,"чел.")</f>
        <v>36 системы*4кв.*0,00040365/8чел.</v>
      </c>
      <c r="N8280" s="164">
        <f>N7560</f>
        <v>7532.7785416666693</v>
      </c>
      <c r="O8280" s="165">
        <f t="shared" si="2389"/>
        <v>54.730908999999997</v>
      </c>
      <c r="P8280" s="166"/>
      <c r="Q8280" s="166">
        <f t="shared" si="2390"/>
        <v>437.84727199999998</v>
      </c>
      <c r="R8280" s="71"/>
    </row>
    <row r="8281" spans="1:41" s="61" customFormat="1" ht="63" x14ac:dyDescent="0.25">
      <c r="A8281" s="358"/>
      <c r="B8281" s="361"/>
      <c r="C8281" s="366"/>
      <c r="D8281" s="156" t="s">
        <v>33</v>
      </c>
      <c r="E8281" s="156" t="s">
        <v>56</v>
      </c>
      <c r="F8281" s="156" t="s">
        <v>220</v>
      </c>
      <c r="G8281" s="238">
        <f>MROUND(H8281*L8281*I8281/K8281,0.000000001)</f>
        <v>1.8164250000000002E-3</v>
      </c>
      <c r="H8281" s="158">
        <f>$H$64</f>
        <v>36</v>
      </c>
      <c r="I8281" s="159">
        <f>I8280</f>
        <v>4.0365000000000003E-4</v>
      </c>
      <c r="J8281" s="160"/>
      <c r="K8281" s="161">
        <f t="shared" si="2391"/>
        <v>8</v>
      </c>
      <c r="L8281" s="162">
        <v>1</v>
      </c>
      <c r="M8281" s="163" t="str">
        <f>CONCATENATE(H8281," ",F8281,"*",L8281," раз в год","*",I8281,"/",K8281,"чел.")</f>
        <v>36 дымоходов*1 раз в год*0,00040365/8чел.</v>
      </c>
      <c r="N8281" s="164">
        <f>N6841</f>
        <v>7312.0941666666668</v>
      </c>
      <c r="O8281" s="165">
        <f t="shared" si="2389"/>
        <v>13.281870999999999</v>
      </c>
      <c r="P8281" s="166"/>
      <c r="Q8281" s="166">
        <f t="shared" si="2390"/>
        <v>106.25496799999999</v>
      </c>
      <c r="R8281" s="71"/>
    </row>
    <row r="8282" spans="1:41" s="61" customFormat="1" x14ac:dyDescent="0.25">
      <c r="A8282" s="358"/>
      <c r="B8282" s="361"/>
      <c r="C8282" s="366"/>
      <c r="D8282" s="194" t="s">
        <v>398</v>
      </c>
      <c r="E8282" s="156" t="s">
        <v>60</v>
      </c>
      <c r="F8282" s="156" t="s">
        <v>60</v>
      </c>
      <c r="G8282" s="238">
        <f>MROUND(H8282*L8282*I8282/K8282,0.000000001)</f>
        <v>1.765969E-3</v>
      </c>
      <c r="H8282" s="246">
        <f>H6842</f>
        <v>35</v>
      </c>
      <c r="I8282" s="159">
        <f t="shared" si="2376"/>
        <v>4.0365000000000003E-4</v>
      </c>
      <c r="J8282" s="160"/>
      <c r="K8282" s="161">
        <f t="shared" si="2391"/>
        <v>8</v>
      </c>
      <c r="L8282" s="250">
        <v>1</v>
      </c>
      <c r="M8282" s="163" t="str">
        <f>CONCATENATE(H8282," ",F8282,"*",I8282,"/",K8282,"чел.")</f>
        <v>35 шт.*0,00040365/8чел.</v>
      </c>
      <c r="N8282" s="164">
        <f>N6842</f>
        <v>12660.374571428585</v>
      </c>
      <c r="O8282" s="165">
        <f t="shared" si="2389"/>
        <v>22.357828999999999</v>
      </c>
      <c r="P8282" s="166"/>
      <c r="Q8282" s="166">
        <f t="shared" si="2390"/>
        <v>178.86263199999999</v>
      </c>
      <c r="R8282" s="71"/>
    </row>
    <row r="8283" spans="1:41" s="61" customFormat="1" ht="47.25" x14ac:dyDescent="0.25">
      <c r="A8283" s="358"/>
      <c r="B8283" s="361"/>
      <c r="C8283" s="366"/>
      <c r="D8283" s="156" t="s">
        <v>401</v>
      </c>
      <c r="E8283" s="156" t="s">
        <v>60</v>
      </c>
      <c r="F8283" s="156" t="s">
        <v>402</v>
      </c>
      <c r="G8283" s="238">
        <f>MROUND(H8283*L8283*I8283/K8283,0.000001)</f>
        <v>3.532E-3</v>
      </c>
      <c r="H8283" s="246">
        <f>H6843</f>
        <v>35</v>
      </c>
      <c r="I8283" s="159">
        <f t="shared" si="2376"/>
        <v>4.0365000000000003E-4</v>
      </c>
      <c r="J8283" s="160"/>
      <c r="K8283" s="161">
        <f t="shared" si="2391"/>
        <v>8</v>
      </c>
      <c r="L8283" s="162">
        <v>2</v>
      </c>
      <c r="M8283" s="163" t="str">
        <f>CONCATENATE(H8283," ",F8283,"*",L8283," раз в год","*",I8283,"/",K8283,"чел.")</f>
        <v>35 противопожарных водопроводов*2 раз в год*0,00040365/8чел.</v>
      </c>
      <c r="N8283" s="164">
        <f>N6843</f>
        <v>5928.7300000000032</v>
      </c>
      <c r="O8283" s="165">
        <f t="shared" si="2389"/>
        <v>20.940273999999999</v>
      </c>
      <c r="P8283" s="166"/>
      <c r="Q8283" s="166">
        <f t="shared" si="2390"/>
        <v>167.52219199999999</v>
      </c>
      <c r="R8283" s="71"/>
    </row>
    <row r="8284" spans="1:41" s="61" customFormat="1" ht="31.5" x14ac:dyDescent="0.25">
      <c r="A8284" s="358"/>
      <c r="B8284" s="361"/>
      <c r="C8284" s="366"/>
      <c r="D8284" s="156" t="s">
        <v>221</v>
      </c>
      <c r="E8284" s="156" t="s">
        <v>60</v>
      </c>
      <c r="F8284" s="156" t="s">
        <v>60</v>
      </c>
      <c r="G8284" s="238">
        <f>MROUND(H8284*L8284*I8284/K8284,0.00000001)</f>
        <v>1.089855E-2</v>
      </c>
      <c r="H8284" s="158">
        <f>H6844</f>
        <v>18</v>
      </c>
      <c r="I8284" s="159">
        <f t="shared" si="2376"/>
        <v>4.0365000000000003E-4</v>
      </c>
      <c r="J8284" s="160"/>
      <c r="K8284" s="161">
        <f t="shared" si="2391"/>
        <v>8</v>
      </c>
      <c r="L8284" s="250">
        <v>12</v>
      </c>
      <c r="M8284" s="163" t="str">
        <f>CONCATENATE(H8284," ",F8284,"*",L8284,"мес.","*",I8284,"/",K8284,"чел.")</f>
        <v>18 шт.*12мес.*0,00040365/8чел.</v>
      </c>
      <c r="N8284" s="164">
        <f>N7204</f>
        <v>6840.4345833333346</v>
      </c>
      <c r="O8284" s="165">
        <f t="shared" si="2389"/>
        <v>74.550817999999992</v>
      </c>
      <c r="P8284" s="166"/>
      <c r="Q8284" s="166">
        <f t="shared" si="2390"/>
        <v>596.40654399999994</v>
      </c>
      <c r="R8284" s="71"/>
    </row>
    <row r="8285" spans="1:41" s="61" customFormat="1" ht="47.25" x14ac:dyDescent="0.25">
      <c r="A8285" s="358"/>
      <c r="B8285" s="361"/>
      <c r="C8285" s="366"/>
      <c r="D8285" s="156" t="s">
        <v>34</v>
      </c>
      <c r="E8285" s="156" t="s">
        <v>59</v>
      </c>
      <c r="F8285" s="156" t="s">
        <v>28</v>
      </c>
      <c r="G8285" s="238">
        <f>MROUND(H8285*L8285*I8285/K8285,0.0000000001)</f>
        <v>1.0091250000000001E-4</v>
      </c>
      <c r="H8285" s="158">
        <f>H6845</f>
        <v>2</v>
      </c>
      <c r="I8285" s="159">
        <f t="shared" si="2376"/>
        <v>4.0365000000000003E-4</v>
      </c>
      <c r="J8285" s="160"/>
      <c r="K8285" s="161">
        <f t="shared" si="2391"/>
        <v>8</v>
      </c>
      <c r="L8285" s="250">
        <v>1</v>
      </c>
      <c r="M8285" s="163" t="str">
        <f>CONCATENATE(H8285," ",F8285,"*",I8285,"/",K8285,"чел.")</f>
        <v>2 шт*0,00040365/8чел.</v>
      </c>
      <c r="N8285" s="164">
        <f>N6845</f>
        <v>8158.8</v>
      </c>
      <c r="O8285" s="165">
        <f t="shared" si="2389"/>
        <v>0.82332499999999997</v>
      </c>
      <c r="P8285" s="166"/>
      <c r="Q8285" s="166">
        <f t="shared" si="2390"/>
        <v>6.5865999999999998</v>
      </c>
      <c r="R8285" s="71"/>
    </row>
    <row r="8286" spans="1:41" s="61" customFormat="1" ht="47.25" x14ac:dyDescent="0.25">
      <c r="A8286" s="358"/>
      <c r="B8286" s="361"/>
      <c r="C8286" s="366"/>
      <c r="D8286" s="156" t="s">
        <v>222</v>
      </c>
      <c r="E8286" s="156" t="s">
        <v>60</v>
      </c>
      <c r="F8286" s="156" t="s">
        <v>60</v>
      </c>
      <c r="G8286" s="238">
        <f>MROUND(H8286*L8286*I8286/K8286,0.00000000001)</f>
        <v>2.5228125000000001E-4</v>
      </c>
      <c r="H8286" s="248">
        <f>H7566</f>
        <v>5</v>
      </c>
      <c r="I8286" s="159">
        <f t="shared" si="2376"/>
        <v>4.0365000000000003E-4</v>
      </c>
      <c r="J8286" s="160"/>
      <c r="K8286" s="161">
        <f t="shared" si="2391"/>
        <v>8</v>
      </c>
      <c r="L8286" s="250">
        <v>1</v>
      </c>
      <c r="M8286" s="163" t="str">
        <f>CONCATENATE(H8286," ",F8286,"*",I8286,"/",K8286,"чел.")</f>
        <v>5 шт.*0,00040365/8чел.</v>
      </c>
      <c r="N8286" s="164">
        <f>N6846</f>
        <v>45611.39</v>
      </c>
      <c r="O8286" s="165">
        <f>MROUND(G8286*N8286,0.00000001)</f>
        <v>11.50689848</v>
      </c>
      <c r="P8286" s="166"/>
      <c r="Q8286" s="166">
        <f t="shared" si="2390"/>
        <v>92.055187840000002</v>
      </c>
      <c r="R8286" s="71"/>
    </row>
    <row r="8287" spans="1:41" s="61" customFormat="1" ht="31.5" x14ac:dyDescent="0.25">
      <c r="A8287" s="358"/>
      <c r="B8287" s="361"/>
      <c r="C8287" s="366"/>
      <c r="D8287" s="156" t="s">
        <v>35</v>
      </c>
      <c r="E8287" s="156" t="s">
        <v>102</v>
      </c>
      <c r="F8287" s="156" t="s">
        <v>223</v>
      </c>
      <c r="G8287" s="238">
        <f>MROUND(H8287*L8287*I8287/K8287,0.00000001)</f>
        <v>1.76597E-3</v>
      </c>
      <c r="H8287" s="158">
        <f>H6847</f>
        <v>35</v>
      </c>
      <c r="I8287" s="159">
        <f>I8285</f>
        <v>4.0365000000000003E-4</v>
      </c>
      <c r="J8287" s="160"/>
      <c r="K8287" s="161">
        <f>K8285</f>
        <v>8</v>
      </c>
      <c r="L8287" s="250">
        <v>1</v>
      </c>
      <c r="M8287" s="163" t="str">
        <f>CONCATENATE(H8287," ",F8287,"*",I8287,"/",K8287,"чел.")</f>
        <v>35 замеров*0,00040365/8чел.</v>
      </c>
      <c r="N8287" s="164">
        <f>N6847</f>
        <v>26000</v>
      </c>
      <c r="O8287" s="165">
        <f t="shared" ref="O8287:O8292" si="2392">MROUND(G8287*N8287,0.000001)</f>
        <v>45.915219999999998</v>
      </c>
      <c r="P8287" s="166"/>
      <c r="Q8287" s="166">
        <f t="shared" si="2390"/>
        <v>367.32175999999998</v>
      </c>
      <c r="R8287" s="71"/>
    </row>
    <row r="8288" spans="1:41" s="61" customFormat="1" ht="47.25" x14ac:dyDescent="0.25">
      <c r="A8288" s="358"/>
      <c r="B8288" s="361"/>
      <c r="C8288" s="366"/>
      <c r="D8288" s="156" t="s">
        <v>399</v>
      </c>
      <c r="E8288" s="156" t="s">
        <v>60</v>
      </c>
      <c r="F8288" s="156" t="s">
        <v>60</v>
      </c>
      <c r="G8288" s="238">
        <f>MROUND(H8288*L8288*I8288/K8288,0.000000001)</f>
        <v>1.7659688E-2</v>
      </c>
      <c r="H8288" s="158">
        <f>H7688</f>
        <v>35</v>
      </c>
      <c r="I8288" s="159">
        <f t="shared" si="2376"/>
        <v>4.0365000000000003E-4</v>
      </c>
      <c r="J8288" s="160"/>
      <c r="K8288" s="161">
        <f>K8287</f>
        <v>8</v>
      </c>
      <c r="L8288" s="250">
        <v>10</v>
      </c>
      <c r="M8288" s="163" t="str">
        <f>CONCATENATE(H8288," ",F8288,"*",L8288,"мес.","*",I8288,"/",K8288,"чел.")</f>
        <v>35 шт.*10мес.*0,00040365/8чел.</v>
      </c>
      <c r="N8288" s="164">
        <f>N7688</f>
        <v>3380.9014857142843</v>
      </c>
      <c r="O8288" s="165">
        <f t="shared" si="2392"/>
        <v>59.705664999999996</v>
      </c>
      <c r="P8288" s="166"/>
      <c r="Q8288" s="166">
        <f t="shared" si="2390"/>
        <v>477.64531999999997</v>
      </c>
      <c r="R8288" s="71"/>
    </row>
    <row r="8289" spans="1:18" s="61" customFormat="1" ht="47.25" x14ac:dyDescent="0.25">
      <c r="A8289" s="358"/>
      <c r="B8289" s="361"/>
      <c r="C8289" s="366"/>
      <c r="D8289" s="156" t="s">
        <v>36</v>
      </c>
      <c r="E8289" s="156" t="s">
        <v>31</v>
      </c>
      <c r="F8289" s="156" t="s">
        <v>224</v>
      </c>
      <c r="G8289" s="238">
        <f>MROUND(H8289*L8289*I8289/K8289,0.00000001)</f>
        <v>2.17971E-2</v>
      </c>
      <c r="H8289" s="158">
        <f>H7569</f>
        <v>36</v>
      </c>
      <c r="I8289" s="159">
        <f t="shared" si="2376"/>
        <v>4.0365000000000003E-4</v>
      </c>
      <c r="J8289" s="160"/>
      <c r="K8289" s="161">
        <f>K8288</f>
        <v>8</v>
      </c>
      <c r="L8289" s="250">
        <v>12</v>
      </c>
      <c r="M8289" s="163" t="str">
        <f>CONCATENATE(H8289," ",F8289,"*",L8289,"мес.","*",I8289,"/",K8289,"чел.")</f>
        <v>36 устройств*12мес.*0,00040365/8чел.</v>
      </c>
      <c r="N8289" s="164">
        <f>N6849</f>
        <v>1269.5381481481488</v>
      </c>
      <c r="O8289" s="165">
        <f t="shared" si="2392"/>
        <v>27.672249999999998</v>
      </c>
      <c r="P8289" s="166"/>
      <c r="Q8289" s="166">
        <f t="shared" si="2390"/>
        <v>221.37799999999999</v>
      </c>
      <c r="R8289" s="71"/>
    </row>
    <row r="8290" spans="1:18" s="61" customFormat="1" ht="31.5" x14ac:dyDescent="0.25">
      <c r="A8290" s="358"/>
      <c r="B8290" s="361"/>
      <c r="C8290" s="366"/>
      <c r="D8290" s="156" t="s">
        <v>99</v>
      </c>
      <c r="E8290" s="156" t="s">
        <v>103</v>
      </c>
      <c r="F8290" s="156" t="s">
        <v>225</v>
      </c>
      <c r="G8290" s="238">
        <f>MROUND(H8290*L8290*I8290/K8290,0.00000001)</f>
        <v>1.014171E-2</v>
      </c>
      <c r="H8290" s="158">
        <f>H6850</f>
        <v>201</v>
      </c>
      <c r="I8290" s="159">
        <f t="shared" si="2376"/>
        <v>4.0365000000000003E-4</v>
      </c>
      <c r="J8290" s="160"/>
      <c r="K8290" s="161">
        <f>K8289</f>
        <v>8</v>
      </c>
      <c r="L8290" s="250">
        <v>1</v>
      </c>
      <c r="M8290" s="163" t="str">
        <f>CONCATENATE(H8290," ",F8290,"*",I8290,"/",K8290,"чел.")</f>
        <v>201 ед.*0,00040365/8чел.</v>
      </c>
      <c r="N8290" s="164">
        <f>N6850</f>
        <v>15000</v>
      </c>
      <c r="O8290" s="165">
        <f t="shared" si="2392"/>
        <v>152.12564999999998</v>
      </c>
      <c r="P8290" s="166"/>
      <c r="Q8290" s="166">
        <f t="shared" si="2390"/>
        <v>1217.0051999999998</v>
      </c>
      <c r="R8290" s="71"/>
    </row>
    <row r="8291" spans="1:18" s="61" customFormat="1" x14ac:dyDescent="0.25">
      <c r="A8291" s="358"/>
      <c r="B8291" s="361"/>
      <c r="C8291" s="366"/>
      <c r="D8291" s="156" t="s">
        <v>27</v>
      </c>
      <c r="E8291" s="156" t="s">
        <v>28</v>
      </c>
      <c r="F8291" s="156" t="s">
        <v>28</v>
      </c>
      <c r="G8291" s="238">
        <f>MROUND(H8291*L8291*I8291/K8291,0.0000000001)</f>
        <v>0.2114116875</v>
      </c>
      <c r="H8291" s="160">
        <f>H6851</f>
        <v>4190</v>
      </c>
      <c r="I8291" s="159">
        <f t="shared" si="2376"/>
        <v>4.0365000000000003E-4</v>
      </c>
      <c r="J8291" s="160"/>
      <c r="K8291" s="161">
        <f>K8290</f>
        <v>8</v>
      </c>
      <c r="L8291" s="250">
        <v>1</v>
      </c>
      <c r="M8291" s="163" t="str">
        <f>CONCATENATE(H8291," ",F8291,"*",I8291,"/",K8291,"чел.")</f>
        <v>4190 шт*0,00040365/8чел.</v>
      </c>
      <c r="N8291" s="164">
        <f>N6851</f>
        <v>435.13600000000008</v>
      </c>
      <c r="O8291" s="165">
        <f t="shared" si="2392"/>
        <v>91.992835999999997</v>
      </c>
      <c r="P8291" s="166"/>
      <c r="Q8291" s="166">
        <f t="shared" si="2390"/>
        <v>735.94268799999998</v>
      </c>
      <c r="R8291" s="71"/>
    </row>
    <row r="8292" spans="1:18" s="61" customFormat="1" ht="31.5" x14ac:dyDescent="0.25">
      <c r="A8292" s="358"/>
      <c r="B8292" s="361"/>
      <c r="C8292" s="367"/>
      <c r="D8292" s="156" t="s">
        <v>104</v>
      </c>
      <c r="E8292" s="156" t="s">
        <v>105</v>
      </c>
      <c r="F8292" s="156" t="s">
        <v>226</v>
      </c>
      <c r="G8292" s="238">
        <f>MROUND(H8292*L8292*I8292/K8292,0.00000001)</f>
        <v>1.81643E-3</v>
      </c>
      <c r="H8292" s="160">
        <f>H7212</f>
        <v>36</v>
      </c>
      <c r="I8292" s="159">
        <f t="shared" si="2376"/>
        <v>4.0365000000000003E-4</v>
      </c>
      <c r="J8292" s="160"/>
      <c r="K8292" s="161">
        <f>K8291</f>
        <v>8</v>
      </c>
      <c r="L8292" s="250">
        <v>1</v>
      </c>
      <c r="M8292" s="163" t="str">
        <f>CONCATENATE(H8292," ",F8292,"*",I8292,"/",K8292,"чел.")</f>
        <v>36 отключений*0,00040365/8чел.</v>
      </c>
      <c r="N8292" s="164">
        <f>N6852</f>
        <v>10671.710000000006</v>
      </c>
      <c r="O8292" s="165">
        <f t="shared" si="2392"/>
        <v>19.384414</v>
      </c>
      <c r="P8292" s="166"/>
      <c r="Q8292" s="166">
        <f t="shared" si="2390"/>
        <v>155.075312</v>
      </c>
      <c r="R8292" s="71"/>
    </row>
    <row r="8293" spans="1:18" s="62" customFormat="1" x14ac:dyDescent="0.25">
      <c r="A8293" s="358"/>
      <c r="B8293" s="361"/>
      <c r="C8293" s="249" t="s">
        <v>292</v>
      </c>
      <c r="D8293" s="240"/>
      <c r="E8293" s="240"/>
      <c r="F8293" s="240"/>
      <c r="G8293" s="227"/>
      <c r="H8293" s="228"/>
      <c r="I8293" s="206"/>
      <c r="J8293" s="228"/>
      <c r="K8293" s="207"/>
      <c r="L8293" s="257"/>
      <c r="M8293" s="209"/>
      <c r="N8293" s="210"/>
      <c r="O8293" s="198">
        <f>SUM(O8277:O8292)</f>
        <v>609.24970347999999</v>
      </c>
      <c r="P8293" s="267"/>
      <c r="Q8293" s="166"/>
      <c r="R8293" s="71"/>
    </row>
    <row r="8294" spans="1:18" s="61" customFormat="1" ht="31.5" x14ac:dyDescent="0.25">
      <c r="A8294" s="358"/>
      <c r="B8294" s="361"/>
      <c r="C8294" s="221" t="s">
        <v>79</v>
      </c>
      <c r="D8294" s="156" t="s">
        <v>37</v>
      </c>
      <c r="E8294" s="156" t="s">
        <v>61</v>
      </c>
      <c r="F8294" s="156" t="s">
        <v>227</v>
      </c>
      <c r="G8294" s="238">
        <f>MROUND(H8294*L8294*I8294/K8294,0.000000001)</f>
        <v>2.0182500000000001E-4</v>
      </c>
      <c r="H8294" s="158">
        <f>H6854</f>
        <v>4</v>
      </c>
      <c r="I8294" s="159">
        <f>I8292</f>
        <v>4.0365000000000003E-4</v>
      </c>
      <c r="J8294" s="160"/>
      <c r="K8294" s="161">
        <f>K8292</f>
        <v>8</v>
      </c>
      <c r="L8294" s="250">
        <v>1</v>
      </c>
      <c r="M8294" s="163" t="str">
        <f>CONCATENATE(H8294," ",F8294,"*",I8294,"/",K8294,"чел.")</f>
        <v>4 автобуса*0,00040365/8чел.</v>
      </c>
      <c r="N8294" s="164">
        <f>N6854</f>
        <v>37900.35</v>
      </c>
      <c r="O8294" s="165">
        <f>MROUND(G8294*N8294,0.000001)</f>
        <v>7.6492379999999995</v>
      </c>
      <c r="P8294" s="166"/>
      <c r="Q8294" s="166">
        <f t="shared" ref="Q8294" si="2393">O8294*K8294</f>
        <v>61.193903999999996</v>
      </c>
      <c r="R8294" s="71"/>
    </row>
    <row r="8295" spans="1:18" s="62" customFormat="1" x14ac:dyDescent="0.25">
      <c r="A8295" s="358"/>
      <c r="B8295" s="361"/>
      <c r="C8295" s="218" t="s">
        <v>295</v>
      </c>
      <c r="D8295" s="240"/>
      <c r="E8295" s="240"/>
      <c r="F8295" s="240"/>
      <c r="G8295" s="227"/>
      <c r="H8295" s="241"/>
      <c r="I8295" s="206"/>
      <c r="J8295" s="228"/>
      <c r="K8295" s="207"/>
      <c r="L8295" s="257"/>
      <c r="M8295" s="209"/>
      <c r="N8295" s="210"/>
      <c r="O8295" s="198">
        <f>SUM(O8294)</f>
        <v>7.6492379999999995</v>
      </c>
      <c r="P8295" s="267"/>
      <c r="Q8295" s="166"/>
      <c r="R8295" s="71"/>
    </row>
    <row r="8296" spans="1:18" s="61" customFormat="1" x14ac:dyDescent="0.25">
      <c r="A8296" s="358"/>
      <c r="B8296" s="361"/>
      <c r="C8296" s="364" t="s">
        <v>80</v>
      </c>
      <c r="D8296" s="156" t="s">
        <v>38</v>
      </c>
      <c r="E8296" s="156" t="s">
        <v>57</v>
      </c>
      <c r="F8296" s="156" t="s">
        <v>228</v>
      </c>
      <c r="G8296" s="238">
        <f>MROUND(H8296*L8296*I8296/K8296,0.0000000001)</f>
        <v>2.17971E-2</v>
      </c>
      <c r="H8296" s="158">
        <f>H6856</f>
        <v>36</v>
      </c>
      <c r="I8296" s="159">
        <f>I8294</f>
        <v>4.0365000000000003E-4</v>
      </c>
      <c r="J8296" s="160"/>
      <c r="K8296" s="161">
        <f>K8294</f>
        <v>8</v>
      </c>
      <c r="L8296" s="250">
        <v>12</v>
      </c>
      <c r="M8296" s="163" t="str">
        <f>CONCATENATE(H8296," ",F8296,"*",L8296,"мес.","*",I8296,"/",K8296,"чел.")</f>
        <v>36 зданий*12мес.*0,00040365/8чел.</v>
      </c>
      <c r="N8296" s="164">
        <f t="shared" ref="N8296:N8304" si="2394">N6856</f>
        <v>5106.1928935185206</v>
      </c>
      <c r="O8296" s="165">
        <f>MROUND(G8296*N8296,0.000001)</f>
        <v>111.300197</v>
      </c>
      <c r="P8296" s="166"/>
      <c r="Q8296" s="166">
        <f t="shared" ref="Q8296:Q8309" si="2395">O8296*K8296</f>
        <v>890.40157599999998</v>
      </c>
      <c r="R8296" s="71"/>
    </row>
    <row r="8297" spans="1:18" s="61" customFormat="1" ht="47.25" x14ac:dyDescent="0.25">
      <c r="A8297" s="358"/>
      <c r="B8297" s="361"/>
      <c r="C8297" s="364"/>
      <c r="D8297" s="156" t="s">
        <v>229</v>
      </c>
      <c r="E8297" s="156" t="s">
        <v>60</v>
      </c>
      <c r="F8297" s="156" t="s">
        <v>60</v>
      </c>
      <c r="G8297" s="238">
        <f>MROUND(H8297*L8297*I8297/K8297,0.000001)</f>
        <v>0.120792</v>
      </c>
      <c r="H8297" s="158">
        <f>H6857</f>
        <v>2394</v>
      </c>
      <c r="I8297" s="159">
        <f>I8296</f>
        <v>4.0365000000000003E-4</v>
      </c>
      <c r="J8297" s="160"/>
      <c r="K8297" s="161">
        <f>K8296</f>
        <v>8</v>
      </c>
      <c r="L8297" s="250">
        <v>1</v>
      </c>
      <c r="M8297" s="163" t="str">
        <f t="shared" ref="M8297:M8304" si="2396">CONCATENATE(H8297," ",F8297,"*",I8297,"/",K8297,"чел.")</f>
        <v>2394 шт.*0,00040365/8чел.</v>
      </c>
      <c r="N8297" s="164">
        <f t="shared" si="2394"/>
        <v>177.86185045948207</v>
      </c>
      <c r="O8297" s="165">
        <f>MROUND(G8297*N8297,0.000001)</f>
        <v>21.484289</v>
      </c>
      <c r="P8297" s="166"/>
      <c r="Q8297" s="166">
        <f t="shared" si="2395"/>
        <v>171.874312</v>
      </c>
      <c r="R8297" s="71"/>
    </row>
    <row r="8298" spans="1:18" s="61" customFormat="1" ht="47.25" x14ac:dyDescent="0.25">
      <c r="A8298" s="358"/>
      <c r="B8298" s="361"/>
      <c r="C8298" s="364"/>
      <c r="D8298" s="156" t="s">
        <v>405</v>
      </c>
      <c r="E8298" s="156" t="s">
        <v>60</v>
      </c>
      <c r="F8298" s="156" t="s">
        <v>406</v>
      </c>
      <c r="G8298" s="238">
        <f>MROUND(H8298*L8298*I8298/K8298,0.00000001)</f>
        <v>1.81643E-3</v>
      </c>
      <c r="H8298" s="158">
        <f>H6978</f>
        <v>36</v>
      </c>
      <c r="I8298" s="159">
        <f>I8297</f>
        <v>4.0365000000000003E-4</v>
      </c>
      <c r="J8298" s="160"/>
      <c r="K8298" s="161">
        <f>K8297</f>
        <v>8</v>
      </c>
      <c r="L8298" s="250">
        <v>1</v>
      </c>
      <c r="M8298" s="163" t="str">
        <f t="shared" si="2396"/>
        <v>36 лицензий*0,00040365/8чел.</v>
      </c>
      <c r="N8298" s="164">
        <f t="shared" si="2394"/>
        <v>13043.200000000006</v>
      </c>
      <c r="O8298" s="165">
        <f t="shared" ref="O8298:O8307" si="2397">MROUND(G8298*N8298,0.000001)</f>
        <v>23.692059999999998</v>
      </c>
      <c r="P8298" s="166"/>
      <c r="Q8298" s="166">
        <f t="shared" si="2395"/>
        <v>189.53647999999998</v>
      </c>
      <c r="R8298" s="71"/>
    </row>
    <row r="8299" spans="1:18" s="61" customFormat="1" ht="63" x14ac:dyDescent="0.25">
      <c r="A8299" s="358"/>
      <c r="B8299" s="361"/>
      <c r="C8299" s="364"/>
      <c r="D8299" s="156" t="s">
        <v>39</v>
      </c>
      <c r="E8299" s="156" t="s">
        <v>20</v>
      </c>
      <c r="F8299" s="156" t="s">
        <v>234</v>
      </c>
      <c r="G8299" s="238">
        <f>MROUND(H8299*L8299*I8299/K8299,0.000000001)</f>
        <v>5.9538380000000004E-3</v>
      </c>
      <c r="H8299" s="158">
        <f>H7819</f>
        <v>118</v>
      </c>
      <c r="I8299" s="159">
        <f>I8297</f>
        <v>4.0365000000000003E-4</v>
      </c>
      <c r="J8299" s="160"/>
      <c r="K8299" s="161">
        <f>K8297</f>
        <v>8</v>
      </c>
      <c r="L8299" s="250">
        <v>1</v>
      </c>
      <c r="M8299" s="163" t="str">
        <f t="shared" si="2396"/>
        <v>118 чел(заявленная потребность руководителями учреждений)*0,00040365/8чел.</v>
      </c>
      <c r="N8299" s="164">
        <f t="shared" si="2394"/>
        <v>830.02203389830515</v>
      </c>
      <c r="O8299" s="165">
        <f t="shared" si="2397"/>
        <v>4.9418169999999995</v>
      </c>
      <c r="P8299" s="166"/>
      <c r="Q8299" s="166">
        <f t="shared" si="2395"/>
        <v>39.534535999999996</v>
      </c>
      <c r="R8299" s="71"/>
    </row>
    <row r="8300" spans="1:18" s="61" customFormat="1" ht="63" x14ac:dyDescent="0.25">
      <c r="A8300" s="358"/>
      <c r="B8300" s="361"/>
      <c r="C8300" s="364"/>
      <c r="D8300" s="156" t="s">
        <v>40</v>
      </c>
      <c r="E8300" s="156" t="s">
        <v>20</v>
      </c>
      <c r="F8300" s="156" t="s">
        <v>234</v>
      </c>
      <c r="G8300" s="238">
        <f>MROUND(H8300*L8300*I8300/K8300,0.000000001)</f>
        <v>4.8438000000000005E-3</v>
      </c>
      <c r="H8300" s="158">
        <f>H7820</f>
        <v>96</v>
      </c>
      <c r="I8300" s="159">
        <f t="shared" ref="I8300:I8307" si="2398">I8299</f>
        <v>4.0365000000000003E-4</v>
      </c>
      <c r="J8300" s="160"/>
      <c r="K8300" s="161">
        <f t="shared" ref="K8300:K8307" si="2399">K8299</f>
        <v>8</v>
      </c>
      <c r="L8300" s="250">
        <v>1</v>
      </c>
      <c r="M8300" s="163" t="str">
        <f t="shared" si="2396"/>
        <v>96 чел(заявленная потребность руководителями учреждений)*0,00040365/8чел.</v>
      </c>
      <c r="N8300" s="164">
        <f t="shared" si="2394"/>
        <v>1778.6189583333326</v>
      </c>
      <c r="O8300" s="165">
        <f t="shared" si="2397"/>
        <v>8.6152750000000005</v>
      </c>
      <c r="P8300" s="166"/>
      <c r="Q8300" s="166">
        <f t="shared" si="2395"/>
        <v>68.922200000000004</v>
      </c>
      <c r="R8300" s="71"/>
    </row>
    <row r="8301" spans="1:18" s="61" customFormat="1" ht="63" x14ac:dyDescent="0.25">
      <c r="A8301" s="358"/>
      <c r="B8301" s="361"/>
      <c r="C8301" s="364"/>
      <c r="D8301" s="156" t="s">
        <v>100</v>
      </c>
      <c r="E8301" s="156" t="s">
        <v>20</v>
      </c>
      <c r="F8301" s="156" t="s">
        <v>234</v>
      </c>
      <c r="G8301" s="238">
        <f>MROUND(H8301*L8301*I8301/K8301,0.0000000001)</f>
        <v>4.0869562999999998E-3</v>
      </c>
      <c r="H8301" s="158">
        <f>H7821</f>
        <v>81</v>
      </c>
      <c r="I8301" s="159">
        <f t="shared" si="2398"/>
        <v>4.0365000000000003E-4</v>
      </c>
      <c r="J8301" s="160"/>
      <c r="K8301" s="161">
        <f t="shared" si="2399"/>
        <v>8</v>
      </c>
      <c r="L8301" s="250">
        <v>1</v>
      </c>
      <c r="M8301" s="163" t="str">
        <f t="shared" si="2396"/>
        <v>81 чел(заявленная потребность руководителями учреждений)*0,00040365/8чел.</v>
      </c>
      <c r="N8301" s="164">
        <f t="shared" si="2394"/>
        <v>3794.386419753087</v>
      </c>
      <c r="O8301" s="165">
        <f t="shared" si="2397"/>
        <v>15.507491</v>
      </c>
      <c r="P8301" s="166"/>
      <c r="Q8301" s="166">
        <f t="shared" si="2395"/>
        <v>124.059928</v>
      </c>
      <c r="R8301" s="71"/>
    </row>
    <row r="8302" spans="1:18" s="61" customFormat="1" ht="110.25" x14ac:dyDescent="0.25">
      <c r="A8302" s="358"/>
      <c r="B8302" s="361"/>
      <c r="C8302" s="364"/>
      <c r="D8302" s="156" t="s">
        <v>235</v>
      </c>
      <c r="E8302" s="156" t="s">
        <v>50</v>
      </c>
      <c r="F8302" s="156" t="s">
        <v>230</v>
      </c>
      <c r="G8302" s="238">
        <f>MROUND(H8302*L8302*I8302/K8302,0.00000001)</f>
        <v>1.81643E-3</v>
      </c>
      <c r="H8302" s="158">
        <f>H8062</f>
        <v>36</v>
      </c>
      <c r="I8302" s="159">
        <f t="shared" si="2398"/>
        <v>4.0365000000000003E-4</v>
      </c>
      <c r="J8302" s="160"/>
      <c r="K8302" s="161">
        <f t="shared" si="2399"/>
        <v>8</v>
      </c>
      <c r="L8302" s="250">
        <v>1</v>
      </c>
      <c r="M8302" s="163" t="str">
        <f t="shared" si="2396"/>
        <v>36 отчетов*0,00040365/8чел.</v>
      </c>
      <c r="N8302" s="164">
        <f t="shared" si="2394"/>
        <v>7114.47</v>
      </c>
      <c r="O8302" s="165">
        <f t="shared" si="2397"/>
        <v>12.922936999999999</v>
      </c>
      <c r="P8302" s="166"/>
      <c r="Q8302" s="166">
        <f t="shared" si="2395"/>
        <v>103.38349599999999</v>
      </c>
      <c r="R8302" s="71"/>
    </row>
    <row r="8303" spans="1:18" s="61" customFormat="1" ht="63" x14ac:dyDescent="0.25">
      <c r="A8303" s="358"/>
      <c r="B8303" s="361"/>
      <c r="C8303" s="364"/>
      <c r="D8303" s="156" t="s">
        <v>42</v>
      </c>
      <c r="E8303" s="156" t="s">
        <v>51</v>
      </c>
      <c r="F8303" s="156" t="s">
        <v>407</v>
      </c>
      <c r="G8303" s="238">
        <f>MROUND(H8303*L8303*I8303/K8303,0.000001)</f>
        <v>1.0293E-2</v>
      </c>
      <c r="H8303" s="158">
        <f>H7823</f>
        <v>204</v>
      </c>
      <c r="I8303" s="159">
        <f t="shared" si="2398"/>
        <v>4.0365000000000003E-4</v>
      </c>
      <c r="J8303" s="160"/>
      <c r="K8303" s="161">
        <f t="shared" si="2399"/>
        <v>8</v>
      </c>
      <c r="L8303" s="250">
        <v>1</v>
      </c>
      <c r="M8303" s="163" t="str">
        <f t="shared" si="2396"/>
        <v>204 ед (заявленная потребность руководителями учреждений)*0,00040365/8чел.</v>
      </c>
      <c r="N8303" s="164">
        <f t="shared" si="2394"/>
        <v>1185.7454901960789</v>
      </c>
      <c r="O8303" s="165">
        <f t="shared" si="2397"/>
        <v>12.204877999999999</v>
      </c>
      <c r="P8303" s="166"/>
      <c r="Q8303" s="166">
        <f t="shared" si="2395"/>
        <v>97.639023999999992</v>
      </c>
      <c r="R8303" s="71"/>
    </row>
    <row r="8304" spans="1:18" s="61" customFormat="1" ht="31.5" x14ac:dyDescent="0.25">
      <c r="A8304" s="358"/>
      <c r="B8304" s="361"/>
      <c r="C8304" s="364"/>
      <c r="D8304" s="156" t="s">
        <v>43</v>
      </c>
      <c r="E8304" s="156" t="s">
        <v>52</v>
      </c>
      <c r="F8304" s="156" t="s">
        <v>231</v>
      </c>
      <c r="G8304" s="238">
        <f>MROUND(H8304*L8304*I8304/K8304,0.000000001)</f>
        <v>1.8164250000000002E-3</v>
      </c>
      <c r="H8304" s="158">
        <f>H7224</f>
        <v>36</v>
      </c>
      <c r="I8304" s="159">
        <f t="shared" si="2398"/>
        <v>4.0365000000000003E-4</v>
      </c>
      <c r="J8304" s="160"/>
      <c r="K8304" s="161">
        <f t="shared" si="2399"/>
        <v>8</v>
      </c>
      <c r="L8304" s="250">
        <v>1</v>
      </c>
      <c r="M8304" s="163" t="str">
        <f t="shared" si="2396"/>
        <v>36 ЭЦП*0,00040365/8чел.</v>
      </c>
      <c r="N8304" s="164">
        <f t="shared" si="2394"/>
        <v>8423.5400000000009</v>
      </c>
      <c r="O8304" s="165">
        <f t="shared" si="2397"/>
        <v>15.300728999999999</v>
      </c>
      <c r="P8304" s="166"/>
      <c r="Q8304" s="166">
        <f t="shared" si="2395"/>
        <v>122.40583199999999</v>
      </c>
      <c r="R8304" s="71"/>
    </row>
    <row r="8305" spans="1:18" s="61" customFormat="1" ht="47.25" x14ac:dyDescent="0.25">
      <c r="A8305" s="358"/>
      <c r="B8305" s="361"/>
      <c r="C8305" s="364"/>
      <c r="D8305" s="156" t="s">
        <v>44</v>
      </c>
      <c r="E8305" s="156" t="s">
        <v>85</v>
      </c>
      <c r="F8305" s="156" t="s">
        <v>232</v>
      </c>
      <c r="G8305" s="238">
        <f>MROUND(H8305*L8305*I8305/K8305,0.000001)</f>
        <v>6.1355E-2</v>
      </c>
      <c r="H8305" s="158">
        <f>H7225</f>
        <v>1216</v>
      </c>
      <c r="I8305" s="159">
        <f t="shared" si="2398"/>
        <v>4.0365000000000003E-4</v>
      </c>
      <c r="J8305" s="160"/>
      <c r="K8305" s="161">
        <f t="shared" si="2399"/>
        <v>8</v>
      </c>
      <c r="L8305" s="250">
        <v>1</v>
      </c>
      <c r="M8305" s="163" t="str">
        <f>CONCATENATE(H8305," ",F8305,"*",L8305,"мес.","*",I8305,"/",K8305,"чел.")</f>
        <v>1216 мед.осмотров в мес.*1мес.*0,00040365/8чел.</v>
      </c>
      <c r="N8305" s="164">
        <f>N7225</f>
        <v>61.65877467105264</v>
      </c>
      <c r="O8305" s="165">
        <f t="shared" si="2397"/>
        <v>3.783074</v>
      </c>
      <c r="P8305" s="166"/>
      <c r="Q8305" s="166">
        <f t="shared" si="2395"/>
        <v>30.264592</v>
      </c>
      <c r="R8305" s="71"/>
    </row>
    <row r="8306" spans="1:18" s="61" customFormat="1" ht="63" x14ac:dyDescent="0.25">
      <c r="A8306" s="358"/>
      <c r="B8306" s="361"/>
      <c r="C8306" s="364"/>
      <c r="D8306" s="156" t="s">
        <v>45</v>
      </c>
      <c r="E8306" s="156" t="s">
        <v>53</v>
      </c>
      <c r="F8306" s="156" t="s">
        <v>233</v>
      </c>
      <c r="G8306" s="238">
        <f>MROUND(H8306*L8306*I8306/K8306,0.000000001)</f>
        <v>2.4219000000000003E-3</v>
      </c>
      <c r="H8306" s="158">
        <f>H7826</f>
        <v>4</v>
      </c>
      <c r="I8306" s="159">
        <f t="shared" si="2398"/>
        <v>4.0365000000000003E-4</v>
      </c>
      <c r="J8306" s="160"/>
      <c r="K8306" s="161">
        <f t="shared" si="2399"/>
        <v>8</v>
      </c>
      <c r="L8306" s="250">
        <v>12</v>
      </c>
      <c r="M8306" s="163" t="str">
        <f>CONCATENATE(H8306," ",F8306,"*",L8306,"мес.","*",I8306,"/",K8306,"чел.")</f>
        <v>4  машины, оборудованных системой ГЛОНАСС*12мес.*0,00040365/8чел.</v>
      </c>
      <c r="N8306" s="164">
        <f>N6866</f>
        <v>958.08249999999998</v>
      </c>
      <c r="O8306" s="165">
        <f t="shared" si="2397"/>
        <v>2.3203800000000001</v>
      </c>
      <c r="P8306" s="166"/>
      <c r="Q8306" s="166">
        <f t="shared" si="2395"/>
        <v>18.563040000000001</v>
      </c>
      <c r="R8306" s="71"/>
    </row>
    <row r="8307" spans="1:18" s="61" customFormat="1" ht="31.5" x14ac:dyDescent="0.25">
      <c r="A8307" s="358"/>
      <c r="B8307" s="361"/>
      <c r="C8307" s="364"/>
      <c r="D8307" s="156" t="s">
        <v>408</v>
      </c>
      <c r="E8307" s="156" t="s">
        <v>20</v>
      </c>
      <c r="F8307" s="156" t="s">
        <v>20</v>
      </c>
      <c r="G8307" s="238">
        <f>MROUND(H8307*L8307*I8307/K8307,0.000000001)</f>
        <v>8.562425600000001E-2</v>
      </c>
      <c r="H8307" s="158">
        <f>H6867</f>
        <v>1697</v>
      </c>
      <c r="I8307" s="159">
        <f t="shared" si="2398"/>
        <v>4.0365000000000003E-4</v>
      </c>
      <c r="J8307" s="160"/>
      <c r="K8307" s="161">
        <f t="shared" si="2399"/>
        <v>8</v>
      </c>
      <c r="L8307" s="250">
        <v>1</v>
      </c>
      <c r="M8307" s="163" t="str">
        <f>CONCATENATE(H8307," ",F8307,"*",L8307," раз в год","*",I8307,"/",K8307,"чел.")</f>
        <v>1697 чел.*1 раз в год*0,00040365/8чел.</v>
      </c>
      <c r="N8307" s="164">
        <f>N6867</f>
        <v>592.87278137890405</v>
      </c>
      <c r="O8307" s="165">
        <f t="shared" si="2397"/>
        <v>50.764291</v>
      </c>
      <c r="P8307" s="166"/>
      <c r="Q8307" s="166">
        <f t="shared" si="2395"/>
        <v>406.114328</v>
      </c>
      <c r="R8307" s="71"/>
    </row>
    <row r="8308" spans="1:18" s="61" customFormat="1" x14ac:dyDescent="0.25">
      <c r="A8308" s="358"/>
      <c r="B8308" s="361"/>
      <c r="C8308" s="364"/>
      <c r="D8308" s="156" t="s">
        <v>373</v>
      </c>
      <c r="E8308" s="156" t="s">
        <v>28</v>
      </c>
      <c r="F8308" s="156" t="s">
        <v>28</v>
      </c>
      <c r="G8308" s="157">
        <f>MROUND(H8308*L8308*I8308/K8308,0.000000001)</f>
        <v>1.8164250000000002E-3</v>
      </c>
      <c r="H8308" s="158">
        <f>H6869</f>
        <v>36</v>
      </c>
      <c r="I8308" s="159">
        <f>I8306</f>
        <v>4.0365000000000003E-4</v>
      </c>
      <c r="J8308" s="160"/>
      <c r="K8308" s="161">
        <f>K8306</f>
        <v>8</v>
      </c>
      <c r="L8308" s="162">
        <v>1</v>
      </c>
      <c r="M8308" s="163" t="str">
        <f>CONCATENATE(H8308," ",F8308,"*",L8308,"мес.","*",I8308,"/",K8308,"чел.")</f>
        <v>36 шт*1мес.*0,00040365/8чел.</v>
      </c>
      <c r="N8308" s="164">
        <f>N6869</f>
        <v>24000</v>
      </c>
      <c r="O8308" s="165">
        <f>MROUND(G8308*N8308,0.000000001)</f>
        <v>43.594200000000001</v>
      </c>
      <c r="P8308" s="166"/>
      <c r="Q8308" s="166">
        <f t="shared" si="2395"/>
        <v>348.75360000000001</v>
      </c>
      <c r="R8308" s="71"/>
    </row>
    <row r="8309" spans="1:18" s="61" customFormat="1" ht="31.5" x14ac:dyDescent="0.25">
      <c r="A8309" s="358"/>
      <c r="B8309" s="361"/>
      <c r="C8309" s="364"/>
      <c r="D8309" s="156" t="s">
        <v>106</v>
      </c>
      <c r="E8309" s="156" t="s">
        <v>107</v>
      </c>
      <c r="F8309" s="156"/>
      <c r="G8309" s="238">
        <f>MROUND(H8309*L8309*I8309/K8309,0.000000001)</f>
        <v>0</v>
      </c>
      <c r="H8309" s="158">
        <f>H6868</f>
        <v>0</v>
      </c>
      <c r="I8309" s="159">
        <f>I8306</f>
        <v>4.0365000000000003E-4</v>
      </c>
      <c r="J8309" s="160"/>
      <c r="K8309" s="161">
        <f>K8306</f>
        <v>8</v>
      </c>
      <c r="L8309" s="250">
        <f>L7229</f>
        <v>0</v>
      </c>
      <c r="M8309" s="163"/>
      <c r="N8309" s="164">
        <f>N6868</f>
        <v>6.0000000000000002E-5</v>
      </c>
      <c r="O8309" s="165">
        <f>MROUND(G8309*N8309,0.000000001)</f>
        <v>0</v>
      </c>
      <c r="P8309" s="166"/>
      <c r="Q8309" s="166">
        <f t="shared" si="2395"/>
        <v>0</v>
      </c>
      <c r="R8309" s="71"/>
    </row>
    <row r="8310" spans="1:18" s="62" customFormat="1" x14ac:dyDescent="0.25">
      <c r="A8310" s="358"/>
      <c r="B8310" s="361"/>
      <c r="C8310" s="245" t="s">
        <v>296</v>
      </c>
      <c r="D8310" s="240"/>
      <c r="E8310" s="240"/>
      <c r="F8310" s="240"/>
      <c r="G8310" s="227"/>
      <c r="H8310" s="241"/>
      <c r="I8310" s="206"/>
      <c r="J8310" s="228"/>
      <c r="K8310" s="207"/>
      <c r="L8310" s="257"/>
      <c r="M8310" s="209"/>
      <c r="N8310" s="210"/>
      <c r="O8310" s="198">
        <f>SUM(O8296:O8309)</f>
        <v>326.43161799999996</v>
      </c>
      <c r="P8310" s="267"/>
      <c r="Q8310" s="166"/>
      <c r="R8310" s="71"/>
    </row>
    <row r="8311" spans="1:18" s="61" customFormat="1" ht="31.5" x14ac:dyDescent="0.25">
      <c r="A8311" s="358"/>
      <c r="B8311" s="361"/>
      <c r="C8311" s="252" t="s">
        <v>237</v>
      </c>
      <c r="D8311" s="156" t="s">
        <v>41</v>
      </c>
      <c r="E8311" s="156" t="s">
        <v>61</v>
      </c>
      <c r="F8311" s="156" t="s">
        <v>227</v>
      </c>
      <c r="G8311" s="238">
        <f>MROUND(H8311*L8311*I8311/K8311,0.000000001)</f>
        <v>2.0182500000000001E-4</v>
      </c>
      <c r="H8311" s="158">
        <f>H7231</f>
        <v>4</v>
      </c>
      <c r="I8311" s="159">
        <f>I8309</f>
        <v>4.0365000000000003E-4</v>
      </c>
      <c r="J8311" s="160"/>
      <c r="K8311" s="161">
        <f>K8309</f>
        <v>8</v>
      </c>
      <c r="L8311" s="250">
        <v>1</v>
      </c>
      <c r="M8311" s="163" t="str">
        <f>CONCATENATE(H8311," ",F8311,"*",I8311,"/",K8311,"чел.")</f>
        <v>4 автобуса*0,00040365/8чел.</v>
      </c>
      <c r="N8311" s="164">
        <f>N6871</f>
        <v>27983.595000000001</v>
      </c>
      <c r="O8311" s="165">
        <f>MROUND(G8311*N8311,0.000001)</f>
        <v>5.6477889999999995</v>
      </c>
      <c r="P8311" s="166"/>
      <c r="Q8311" s="166">
        <f t="shared" ref="Q8311" si="2400">O8311*K8311</f>
        <v>45.182311999999996</v>
      </c>
      <c r="R8311" s="71"/>
    </row>
    <row r="8312" spans="1:18" s="62" customFormat="1" x14ac:dyDescent="0.25">
      <c r="A8312" s="358"/>
      <c r="B8312" s="361"/>
      <c r="C8312" s="245" t="s">
        <v>297</v>
      </c>
      <c r="D8312" s="240"/>
      <c r="E8312" s="240"/>
      <c r="F8312" s="240"/>
      <c r="G8312" s="227"/>
      <c r="H8312" s="241"/>
      <c r="I8312" s="206"/>
      <c r="J8312" s="228"/>
      <c r="K8312" s="207"/>
      <c r="L8312" s="257"/>
      <c r="M8312" s="209"/>
      <c r="N8312" s="210"/>
      <c r="O8312" s="198">
        <f>SUM(O8311)</f>
        <v>5.6477889999999995</v>
      </c>
      <c r="P8312" s="267"/>
      <c r="Q8312" s="166"/>
      <c r="R8312" s="71"/>
    </row>
    <row r="8313" spans="1:18" s="61" customFormat="1" ht="78.75" x14ac:dyDescent="0.25">
      <c r="A8313" s="358"/>
      <c r="B8313" s="361"/>
      <c r="C8313" s="221" t="s">
        <v>236</v>
      </c>
      <c r="D8313" s="156" t="s">
        <v>19</v>
      </c>
      <c r="E8313" s="181" t="s">
        <v>20</v>
      </c>
      <c r="F8313" s="181" t="s">
        <v>238</v>
      </c>
      <c r="G8313" s="238">
        <f>MROUND(H8313*L8313*I8313/K8313,0.000001)</f>
        <v>0</v>
      </c>
      <c r="H8313" s="158"/>
      <c r="I8313" s="159">
        <f>I8309</f>
        <v>4.0365000000000003E-4</v>
      </c>
      <c r="J8313" s="160"/>
      <c r="K8313" s="161">
        <f>K8309</f>
        <v>8</v>
      </c>
      <c r="L8313" s="250"/>
      <c r="M8313" s="163"/>
      <c r="N8313" s="164"/>
      <c r="O8313" s="165">
        <f>MROUND(G8313*N8313,0.000001)</f>
        <v>0</v>
      </c>
      <c r="P8313" s="166"/>
      <c r="Q8313" s="166">
        <f t="shared" ref="Q8313" si="2401">O8313*K8313</f>
        <v>0</v>
      </c>
      <c r="R8313" s="71"/>
    </row>
    <row r="8314" spans="1:18" s="62" customFormat="1" x14ac:dyDescent="0.25">
      <c r="A8314" s="358"/>
      <c r="B8314" s="361"/>
      <c r="C8314" s="245" t="s">
        <v>298</v>
      </c>
      <c r="D8314" s="240"/>
      <c r="E8314" s="253"/>
      <c r="F8314" s="253"/>
      <c r="G8314" s="227"/>
      <c r="H8314" s="241"/>
      <c r="I8314" s="206"/>
      <c r="J8314" s="228"/>
      <c r="K8314" s="207"/>
      <c r="L8314" s="257"/>
      <c r="M8314" s="209"/>
      <c r="N8314" s="210"/>
      <c r="O8314" s="198">
        <f>SUM(O8313)</f>
        <v>0</v>
      </c>
      <c r="P8314" s="267"/>
      <c r="Q8314" s="166"/>
      <c r="R8314" s="71"/>
    </row>
    <row r="8315" spans="1:18" s="61" customFormat="1" ht="30" x14ac:dyDescent="0.25">
      <c r="A8315" s="358"/>
      <c r="B8315" s="361"/>
      <c r="C8315" s="365" t="s">
        <v>81</v>
      </c>
      <c r="D8315" s="254" t="s">
        <v>410</v>
      </c>
      <c r="E8315" s="156" t="s">
        <v>28</v>
      </c>
      <c r="F8315" s="156" t="s">
        <v>28</v>
      </c>
      <c r="G8315" s="238">
        <f>MROUND(H8315*L8315*I8315/K8315,0.0000000001)</f>
        <v>0</v>
      </c>
      <c r="H8315" s="158"/>
      <c r="I8315" s="159">
        <f>I8309</f>
        <v>4.0365000000000003E-4</v>
      </c>
      <c r="J8315" s="160"/>
      <c r="K8315" s="161">
        <f>K8309</f>
        <v>8</v>
      </c>
      <c r="L8315" s="250">
        <v>1</v>
      </c>
      <c r="M8315" s="163"/>
      <c r="N8315" s="164"/>
      <c r="O8315" s="165">
        <f>MROUND(G8315*N8315,0.000001)</f>
        <v>0</v>
      </c>
      <c r="P8315" s="166"/>
      <c r="Q8315" s="166">
        <f t="shared" ref="Q8315:Q8338" si="2402">O8315*K8315</f>
        <v>0</v>
      </c>
      <c r="R8315" s="71"/>
    </row>
    <row r="8316" spans="1:18" s="61" customFormat="1" x14ac:dyDescent="0.25">
      <c r="A8316" s="358"/>
      <c r="B8316" s="361"/>
      <c r="C8316" s="366"/>
      <c r="D8316" s="254" t="s">
        <v>325</v>
      </c>
      <c r="E8316" s="156" t="s">
        <v>28</v>
      </c>
      <c r="F8316" s="156" t="s">
        <v>28</v>
      </c>
      <c r="G8316" s="157">
        <f>MROUND(H8316*L8316*I8316/K8316,0.0000000001)</f>
        <v>0</v>
      </c>
      <c r="H8316" s="158"/>
      <c r="I8316" s="159">
        <f>I8315</f>
        <v>4.0365000000000003E-4</v>
      </c>
      <c r="J8316" s="160"/>
      <c r="K8316" s="161">
        <f>K8315</f>
        <v>8</v>
      </c>
      <c r="L8316" s="250">
        <v>1</v>
      </c>
      <c r="M8316" s="163"/>
      <c r="N8316" s="164"/>
      <c r="O8316" s="165">
        <f>MROUND(G8316*N8316,0.000001)</f>
        <v>0</v>
      </c>
      <c r="P8316" s="166"/>
      <c r="Q8316" s="166">
        <f t="shared" si="2402"/>
        <v>0</v>
      </c>
      <c r="R8316" s="71"/>
    </row>
    <row r="8317" spans="1:18" s="61" customFormat="1" ht="30" x14ac:dyDescent="0.25">
      <c r="A8317" s="358"/>
      <c r="B8317" s="361"/>
      <c r="C8317" s="366"/>
      <c r="D8317" s="254" t="s">
        <v>411</v>
      </c>
      <c r="E8317" s="156" t="s">
        <v>28</v>
      </c>
      <c r="F8317" s="156" t="s">
        <v>28</v>
      </c>
      <c r="G8317" s="238">
        <f>MROUND(H8317*L8317*I8317/K8317,0.00000001)</f>
        <v>0</v>
      </c>
      <c r="H8317" s="158"/>
      <c r="I8317" s="159">
        <f>I8315</f>
        <v>4.0365000000000003E-4</v>
      </c>
      <c r="J8317" s="160"/>
      <c r="K8317" s="161">
        <f>K8315</f>
        <v>8</v>
      </c>
      <c r="L8317" s="250">
        <v>1</v>
      </c>
      <c r="M8317" s="163"/>
      <c r="N8317" s="164"/>
      <c r="O8317" s="165">
        <f t="shared" ref="O8317:O8338" si="2403">MROUND(G8317*N8317,0.000001)</f>
        <v>0</v>
      </c>
      <c r="P8317" s="166"/>
      <c r="Q8317" s="166">
        <f t="shared" si="2402"/>
        <v>0</v>
      </c>
      <c r="R8317" s="71"/>
    </row>
    <row r="8318" spans="1:18" s="61" customFormat="1" x14ac:dyDescent="0.25">
      <c r="A8318" s="358"/>
      <c r="B8318" s="361"/>
      <c r="C8318" s="366"/>
      <c r="D8318" s="255" t="s">
        <v>412</v>
      </c>
      <c r="E8318" s="156" t="s">
        <v>28</v>
      </c>
      <c r="F8318" s="156" t="s">
        <v>28</v>
      </c>
      <c r="G8318" s="238">
        <f>MROUND(H8318*L8318*I8318/K8318,0.00000001)</f>
        <v>0</v>
      </c>
      <c r="H8318" s="158"/>
      <c r="I8318" s="159">
        <f>I8317</f>
        <v>4.0365000000000003E-4</v>
      </c>
      <c r="J8318" s="160"/>
      <c r="K8318" s="161">
        <f>K8317</f>
        <v>8</v>
      </c>
      <c r="L8318" s="250">
        <v>1</v>
      </c>
      <c r="M8318" s="163"/>
      <c r="N8318" s="164"/>
      <c r="O8318" s="165">
        <f t="shared" si="2403"/>
        <v>0</v>
      </c>
      <c r="P8318" s="166"/>
      <c r="Q8318" s="166">
        <f t="shared" si="2402"/>
        <v>0</v>
      </c>
      <c r="R8318" s="71"/>
    </row>
    <row r="8319" spans="1:18" s="61" customFormat="1" ht="31.5" x14ac:dyDescent="0.25">
      <c r="A8319" s="358"/>
      <c r="B8319" s="361"/>
      <c r="C8319" s="366"/>
      <c r="D8319" s="255" t="s">
        <v>413</v>
      </c>
      <c r="E8319" s="156" t="s">
        <v>28</v>
      </c>
      <c r="F8319" s="156" t="s">
        <v>28</v>
      </c>
      <c r="G8319" s="238">
        <f>MROUND(H8319*L8319*I8319/K8319,0.0000000001)</f>
        <v>0</v>
      </c>
      <c r="H8319" s="158"/>
      <c r="I8319" s="159">
        <f>I8318</f>
        <v>4.0365000000000003E-4</v>
      </c>
      <c r="J8319" s="160"/>
      <c r="K8319" s="161">
        <f>K8318</f>
        <v>8</v>
      </c>
      <c r="L8319" s="250">
        <v>1</v>
      </c>
      <c r="M8319" s="163"/>
      <c r="N8319" s="164"/>
      <c r="O8319" s="165">
        <f t="shared" si="2403"/>
        <v>0</v>
      </c>
      <c r="P8319" s="166"/>
      <c r="Q8319" s="166">
        <f t="shared" si="2402"/>
        <v>0</v>
      </c>
      <c r="R8319" s="71"/>
    </row>
    <row r="8320" spans="1:18" s="61" customFormat="1" x14ac:dyDescent="0.25">
      <c r="A8320" s="358"/>
      <c r="B8320" s="361"/>
      <c r="C8320" s="366"/>
      <c r="D8320" s="254" t="s">
        <v>109</v>
      </c>
      <c r="E8320" s="156" t="s">
        <v>28</v>
      </c>
      <c r="F8320" s="156" t="s">
        <v>28</v>
      </c>
      <c r="G8320" s="238">
        <f>MROUND(H8320*L8320*I8320/K8320,0.0000000001)</f>
        <v>0</v>
      </c>
      <c r="H8320" s="158"/>
      <c r="I8320" s="159">
        <f>I8319</f>
        <v>4.0365000000000003E-4</v>
      </c>
      <c r="J8320" s="160"/>
      <c r="K8320" s="161">
        <f>K8319</f>
        <v>8</v>
      </c>
      <c r="L8320" s="250">
        <v>1</v>
      </c>
      <c r="M8320" s="163"/>
      <c r="N8320" s="164"/>
      <c r="O8320" s="165">
        <f t="shared" si="2403"/>
        <v>0</v>
      </c>
      <c r="P8320" s="166"/>
      <c r="Q8320" s="166">
        <f t="shared" si="2402"/>
        <v>0</v>
      </c>
      <c r="R8320" s="71"/>
    </row>
    <row r="8321" spans="1:18" s="61" customFormat="1" x14ac:dyDescent="0.25">
      <c r="A8321" s="358"/>
      <c r="B8321" s="361"/>
      <c r="C8321" s="366"/>
      <c r="D8321" s="254" t="s">
        <v>414</v>
      </c>
      <c r="E8321" s="156" t="s">
        <v>28</v>
      </c>
      <c r="F8321" s="156" t="s">
        <v>28</v>
      </c>
      <c r="G8321" s="238">
        <f>MROUND(H8321*L8321*I8321/K8321,0.0000000001)</f>
        <v>0</v>
      </c>
      <c r="H8321" s="158"/>
      <c r="I8321" s="159">
        <f>I8319</f>
        <v>4.0365000000000003E-4</v>
      </c>
      <c r="J8321" s="160"/>
      <c r="K8321" s="161">
        <f>K8319</f>
        <v>8</v>
      </c>
      <c r="L8321" s="250">
        <v>1</v>
      </c>
      <c r="M8321" s="163"/>
      <c r="N8321" s="164"/>
      <c r="O8321" s="165">
        <f t="shared" si="2403"/>
        <v>0</v>
      </c>
      <c r="P8321" s="166"/>
      <c r="Q8321" s="166">
        <f t="shared" si="2402"/>
        <v>0</v>
      </c>
      <c r="R8321" s="71"/>
    </row>
    <row r="8322" spans="1:18" s="61" customFormat="1" x14ac:dyDescent="0.25">
      <c r="A8322" s="358"/>
      <c r="B8322" s="361"/>
      <c r="C8322" s="366"/>
      <c r="D8322" s="254" t="s">
        <v>415</v>
      </c>
      <c r="E8322" s="156" t="s">
        <v>28</v>
      </c>
      <c r="F8322" s="156" t="s">
        <v>28</v>
      </c>
      <c r="G8322" s="238">
        <f>MROUND(H8322*L8322*I8322/K8322,0.00000001)</f>
        <v>0</v>
      </c>
      <c r="H8322" s="158"/>
      <c r="I8322" s="159">
        <f t="shared" ref="I8322:I8331" si="2404">I8320</f>
        <v>4.0365000000000003E-4</v>
      </c>
      <c r="J8322" s="160"/>
      <c r="K8322" s="161">
        <f t="shared" ref="K8322:K8331" si="2405">K8320</f>
        <v>8</v>
      </c>
      <c r="L8322" s="250">
        <v>1</v>
      </c>
      <c r="M8322" s="163"/>
      <c r="N8322" s="164"/>
      <c r="O8322" s="165">
        <f t="shared" si="2403"/>
        <v>0</v>
      </c>
      <c r="P8322" s="166"/>
      <c r="Q8322" s="166">
        <f t="shared" si="2402"/>
        <v>0</v>
      </c>
      <c r="R8322" s="71"/>
    </row>
    <row r="8323" spans="1:18" s="61" customFormat="1" x14ac:dyDescent="0.25">
      <c r="A8323" s="358"/>
      <c r="B8323" s="361"/>
      <c r="C8323" s="366"/>
      <c r="D8323" s="254" t="s">
        <v>416</v>
      </c>
      <c r="E8323" s="156" t="s">
        <v>28</v>
      </c>
      <c r="F8323" s="156" t="s">
        <v>28</v>
      </c>
      <c r="G8323" s="238">
        <f>MROUND(H8323*L8323*I8323/K8323,0.000000001)</f>
        <v>0</v>
      </c>
      <c r="H8323" s="246"/>
      <c r="I8323" s="159">
        <f t="shared" si="2404"/>
        <v>4.0365000000000003E-4</v>
      </c>
      <c r="J8323" s="160"/>
      <c r="K8323" s="161">
        <f t="shared" si="2405"/>
        <v>8</v>
      </c>
      <c r="L8323" s="250">
        <v>1</v>
      </c>
      <c r="M8323" s="163"/>
      <c r="N8323" s="164"/>
      <c r="O8323" s="165">
        <f t="shared" si="2403"/>
        <v>0</v>
      </c>
      <c r="P8323" s="166"/>
      <c r="Q8323" s="166">
        <f t="shared" si="2402"/>
        <v>0</v>
      </c>
      <c r="R8323" s="71"/>
    </row>
    <row r="8324" spans="1:18" s="61" customFormat="1" x14ac:dyDescent="0.25">
      <c r="A8324" s="358"/>
      <c r="B8324" s="361"/>
      <c r="C8324" s="366"/>
      <c r="D8324" s="254" t="s">
        <v>417</v>
      </c>
      <c r="E8324" s="156" t="s">
        <v>28</v>
      </c>
      <c r="F8324" s="156" t="s">
        <v>28</v>
      </c>
      <c r="G8324" s="238">
        <f>MROUND(H8324*L8324*I8324/K8324,0.00000001)</f>
        <v>0</v>
      </c>
      <c r="H8324" s="158"/>
      <c r="I8324" s="159">
        <f t="shared" si="2404"/>
        <v>4.0365000000000003E-4</v>
      </c>
      <c r="J8324" s="160"/>
      <c r="K8324" s="161">
        <f t="shared" si="2405"/>
        <v>8</v>
      </c>
      <c r="L8324" s="250">
        <v>1</v>
      </c>
      <c r="M8324" s="163"/>
      <c r="N8324" s="164"/>
      <c r="O8324" s="165">
        <f t="shared" si="2403"/>
        <v>0</v>
      </c>
      <c r="P8324" s="166"/>
      <c r="Q8324" s="166">
        <f t="shared" si="2402"/>
        <v>0</v>
      </c>
      <c r="R8324" s="71"/>
    </row>
    <row r="8325" spans="1:18" s="61" customFormat="1" ht="30" x14ac:dyDescent="0.25">
      <c r="A8325" s="358"/>
      <c r="B8325" s="361"/>
      <c r="C8325" s="366"/>
      <c r="D8325" s="254" t="s">
        <v>418</v>
      </c>
      <c r="E8325" s="156" t="s">
        <v>28</v>
      </c>
      <c r="F8325" s="156" t="s">
        <v>28</v>
      </c>
      <c r="G8325" s="238">
        <f>MROUND(H8325*L8325*I8325/K8325,0.00000001)</f>
        <v>0</v>
      </c>
      <c r="H8325" s="158"/>
      <c r="I8325" s="159">
        <f t="shared" si="2404"/>
        <v>4.0365000000000003E-4</v>
      </c>
      <c r="J8325" s="160"/>
      <c r="K8325" s="161">
        <f t="shared" si="2405"/>
        <v>8</v>
      </c>
      <c r="L8325" s="250">
        <v>1</v>
      </c>
      <c r="M8325" s="163"/>
      <c r="N8325" s="164"/>
      <c r="O8325" s="165">
        <f t="shared" si="2403"/>
        <v>0</v>
      </c>
      <c r="P8325" s="166"/>
      <c r="Q8325" s="166">
        <f t="shared" si="2402"/>
        <v>0</v>
      </c>
      <c r="R8325" s="71"/>
    </row>
    <row r="8326" spans="1:18" s="61" customFormat="1" x14ac:dyDescent="0.25">
      <c r="A8326" s="358"/>
      <c r="B8326" s="361"/>
      <c r="C8326" s="366"/>
      <c r="D8326" s="254" t="s">
        <v>324</v>
      </c>
      <c r="E8326" s="156" t="s">
        <v>28</v>
      </c>
      <c r="F8326" s="156" t="s">
        <v>28</v>
      </c>
      <c r="G8326" s="238">
        <f>MROUND(H8326*L8326*I8326/K8326,0.000000001)</f>
        <v>0</v>
      </c>
      <c r="H8326" s="158"/>
      <c r="I8326" s="159">
        <f t="shared" si="2404"/>
        <v>4.0365000000000003E-4</v>
      </c>
      <c r="J8326" s="160"/>
      <c r="K8326" s="161">
        <f t="shared" si="2405"/>
        <v>8</v>
      </c>
      <c r="L8326" s="250">
        <v>1</v>
      </c>
      <c r="M8326" s="163"/>
      <c r="N8326" s="164"/>
      <c r="O8326" s="165">
        <f t="shared" si="2403"/>
        <v>0</v>
      </c>
      <c r="P8326" s="166"/>
      <c r="Q8326" s="166">
        <f t="shared" si="2402"/>
        <v>0</v>
      </c>
      <c r="R8326" s="71"/>
    </row>
    <row r="8327" spans="1:18" s="61" customFormat="1" x14ac:dyDescent="0.25">
      <c r="A8327" s="358"/>
      <c r="B8327" s="361"/>
      <c r="C8327" s="366"/>
      <c r="D8327" s="254" t="s">
        <v>419</v>
      </c>
      <c r="E8327" s="156" t="s">
        <v>28</v>
      </c>
      <c r="F8327" s="156" t="s">
        <v>28</v>
      </c>
      <c r="G8327" s="238">
        <f>MROUND(H8327*L8327*I8327/K8327,0.000000001)</f>
        <v>0</v>
      </c>
      <c r="H8327" s="246"/>
      <c r="I8327" s="159">
        <f t="shared" si="2404"/>
        <v>4.0365000000000003E-4</v>
      </c>
      <c r="J8327" s="160"/>
      <c r="K8327" s="161">
        <f t="shared" si="2405"/>
        <v>8</v>
      </c>
      <c r="L8327" s="250">
        <v>1</v>
      </c>
      <c r="M8327" s="163"/>
      <c r="N8327" s="164"/>
      <c r="O8327" s="165">
        <f t="shared" si="2403"/>
        <v>0</v>
      </c>
      <c r="P8327" s="166"/>
      <c r="Q8327" s="166">
        <f t="shared" si="2402"/>
        <v>0</v>
      </c>
      <c r="R8327" s="71"/>
    </row>
    <row r="8328" spans="1:18" s="61" customFormat="1" x14ac:dyDescent="0.25">
      <c r="A8328" s="358"/>
      <c r="B8328" s="361"/>
      <c r="C8328" s="366"/>
      <c r="D8328" s="254" t="s">
        <v>420</v>
      </c>
      <c r="E8328" s="156" t="s">
        <v>28</v>
      </c>
      <c r="F8328" s="156" t="s">
        <v>28</v>
      </c>
      <c r="G8328" s="238">
        <f>MROUND(H8328*L8328*I8328/K8328,0.000000001)</f>
        <v>0</v>
      </c>
      <c r="H8328" s="158"/>
      <c r="I8328" s="159">
        <f t="shared" si="2404"/>
        <v>4.0365000000000003E-4</v>
      </c>
      <c r="J8328" s="160"/>
      <c r="K8328" s="161">
        <f t="shared" si="2405"/>
        <v>8</v>
      </c>
      <c r="L8328" s="250">
        <v>1</v>
      </c>
      <c r="M8328" s="163"/>
      <c r="N8328" s="164"/>
      <c r="O8328" s="165">
        <f t="shared" si="2403"/>
        <v>0</v>
      </c>
      <c r="P8328" s="166"/>
      <c r="Q8328" s="166">
        <f t="shared" si="2402"/>
        <v>0</v>
      </c>
      <c r="R8328" s="71"/>
    </row>
    <row r="8329" spans="1:18" s="61" customFormat="1" x14ac:dyDescent="0.25">
      <c r="A8329" s="358"/>
      <c r="B8329" s="361"/>
      <c r="C8329" s="366"/>
      <c r="D8329" s="254" t="s">
        <v>421</v>
      </c>
      <c r="E8329" s="156" t="s">
        <v>28</v>
      </c>
      <c r="F8329" s="156" t="s">
        <v>28</v>
      </c>
      <c r="G8329" s="238">
        <f>MROUND(H8329*L8329*I8329/K8329,0.00000001)</f>
        <v>0</v>
      </c>
      <c r="H8329" s="158"/>
      <c r="I8329" s="159">
        <f t="shared" si="2404"/>
        <v>4.0365000000000003E-4</v>
      </c>
      <c r="J8329" s="160"/>
      <c r="K8329" s="161">
        <f t="shared" si="2405"/>
        <v>8</v>
      </c>
      <c r="L8329" s="250">
        <v>1</v>
      </c>
      <c r="M8329" s="163"/>
      <c r="N8329" s="164"/>
      <c r="O8329" s="165">
        <f t="shared" si="2403"/>
        <v>0</v>
      </c>
      <c r="P8329" s="166"/>
      <c r="Q8329" s="166">
        <f t="shared" si="2402"/>
        <v>0</v>
      </c>
      <c r="R8329" s="71"/>
    </row>
    <row r="8330" spans="1:18" s="61" customFormat="1" ht="30" x14ac:dyDescent="0.25">
      <c r="A8330" s="358"/>
      <c r="B8330" s="361"/>
      <c r="C8330" s="366"/>
      <c r="D8330" s="254" t="s">
        <v>422</v>
      </c>
      <c r="E8330" s="156" t="s">
        <v>28</v>
      </c>
      <c r="F8330" s="156" t="s">
        <v>28</v>
      </c>
      <c r="G8330" s="266">
        <f>MROUND(H8330*L8330*I8330/K8330,0.00000001)</f>
        <v>0</v>
      </c>
      <c r="H8330" s="158"/>
      <c r="I8330" s="159">
        <f t="shared" si="2404"/>
        <v>4.0365000000000003E-4</v>
      </c>
      <c r="J8330" s="160"/>
      <c r="K8330" s="161">
        <f t="shared" si="2405"/>
        <v>8</v>
      </c>
      <c r="L8330" s="250">
        <v>1</v>
      </c>
      <c r="M8330" s="163"/>
      <c r="N8330" s="164"/>
      <c r="O8330" s="165">
        <f t="shared" si="2403"/>
        <v>0</v>
      </c>
      <c r="P8330" s="166"/>
      <c r="Q8330" s="166">
        <f t="shared" si="2402"/>
        <v>0</v>
      </c>
      <c r="R8330" s="71"/>
    </row>
    <row r="8331" spans="1:18" s="61" customFormat="1" x14ac:dyDescent="0.25">
      <c r="A8331" s="358"/>
      <c r="B8331" s="361"/>
      <c r="C8331" s="366"/>
      <c r="D8331" s="254" t="s">
        <v>423</v>
      </c>
      <c r="E8331" s="156" t="s">
        <v>28</v>
      </c>
      <c r="F8331" s="156" t="s">
        <v>28</v>
      </c>
      <c r="G8331" s="238">
        <f>MROUND(H8331*L8331*I8331/K8331,0.000000001)</f>
        <v>0</v>
      </c>
      <c r="H8331" s="158"/>
      <c r="I8331" s="159">
        <f t="shared" si="2404"/>
        <v>4.0365000000000003E-4</v>
      </c>
      <c r="J8331" s="160"/>
      <c r="K8331" s="161">
        <f t="shared" si="2405"/>
        <v>8</v>
      </c>
      <c r="L8331" s="250">
        <v>1</v>
      </c>
      <c r="M8331" s="163"/>
      <c r="N8331" s="164"/>
      <c r="O8331" s="165">
        <f t="shared" si="2403"/>
        <v>0</v>
      </c>
      <c r="P8331" s="166"/>
      <c r="Q8331" s="166">
        <f t="shared" si="2402"/>
        <v>0</v>
      </c>
      <c r="R8331" s="71"/>
    </row>
    <row r="8332" spans="1:18" s="61" customFormat="1" x14ac:dyDescent="0.25">
      <c r="A8332" s="358"/>
      <c r="B8332" s="361"/>
      <c r="C8332" s="366"/>
      <c r="D8332" s="254" t="s">
        <v>424</v>
      </c>
      <c r="E8332" s="156" t="s">
        <v>28</v>
      </c>
      <c r="F8332" s="156" t="s">
        <v>28</v>
      </c>
      <c r="G8332" s="238">
        <f t="shared" ref="G8332:G8338" si="2406">MROUND(H8332*L8332*I8332/K8332,0.00000001)</f>
        <v>0</v>
      </c>
      <c r="H8332" s="158"/>
      <c r="I8332" s="159">
        <f>I8321</f>
        <v>4.0365000000000003E-4</v>
      </c>
      <c r="J8332" s="160"/>
      <c r="K8332" s="161">
        <f>K8321</f>
        <v>8</v>
      </c>
      <c r="L8332" s="250">
        <v>1</v>
      </c>
      <c r="M8332" s="163"/>
      <c r="N8332" s="164"/>
      <c r="O8332" s="165">
        <f t="shared" si="2403"/>
        <v>0</v>
      </c>
      <c r="P8332" s="166"/>
      <c r="Q8332" s="166">
        <f t="shared" si="2402"/>
        <v>0</v>
      </c>
      <c r="R8332" s="71"/>
    </row>
    <row r="8333" spans="1:18" s="61" customFormat="1" x14ac:dyDescent="0.25">
      <c r="A8333" s="358"/>
      <c r="B8333" s="361"/>
      <c r="C8333" s="366"/>
      <c r="D8333" s="254" t="s">
        <v>425</v>
      </c>
      <c r="E8333" s="156" t="s">
        <v>28</v>
      </c>
      <c r="F8333" s="156" t="s">
        <v>28</v>
      </c>
      <c r="G8333" s="277">
        <f t="shared" si="2406"/>
        <v>0</v>
      </c>
      <c r="H8333" s="158"/>
      <c r="I8333" s="159">
        <f t="shared" ref="I8333:I8338" si="2407">I8332</f>
        <v>4.0365000000000003E-4</v>
      </c>
      <c r="J8333" s="160"/>
      <c r="K8333" s="161">
        <f t="shared" ref="K8333:K8338" si="2408">K8332</f>
        <v>8</v>
      </c>
      <c r="L8333" s="250">
        <v>1</v>
      </c>
      <c r="M8333" s="163"/>
      <c r="N8333" s="164"/>
      <c r="O8333" s="165">
        <f t="shared" si="2403"/>
        <v>0</v>
      </c>
      <c r="P8333" s="166"/>
      <c r="Q8333" s="166">
        <f t="shared" si="2402"/>
        <v>0</v>
      </c>
      <c r="R8333" s="71"/>
    </row>
    <row r="8334" spans="1:18" s="61" customFormat="1" x14ac:dyDescent="0.25">
      <c r="A8334" s="358"/>
      <c r="B8334" s="361"/>
      <c r="C8334" s="366"/>
      <c r="D8334" s="254" t="s">
        <v>108</v>
      </c>
      <c r="E8334" s="156" t="s">
        <v>28</v>
      </c>
      <c r="F8334" s="156" t="s">
        <v>28</v>
      </c>
      <c r="G8334" s="238">
        <f t="shared" si="2406"/>
        <v>0</v>
      </c>
      <c r="H8334" s="158"/>
      <c r="I8334" s="159">
        <f t="shared" si="2407"/>
        <v>4.0365000000000003E-4</v>
      </c>
      <c r="J8334" s="160"/>
      <c r="K8334" s="161">
        <f t="shared" si="2408"/>
        <v>8</v>
      </c>
      <c r="L8334" s="250">
        <v>1</v>
      </c>
      <c r="M8334" s="163"/>
      <c r="N8334" s="164"/>
      <c r="O8334" s="165">
        <f t="shared" si="2403"/>
        <v>0</v>
      </c>
      <c r="P8334" s="166"/>
      <c r="Q8334" s="166">
        <f t="shared" si="2402"/>
        <v>0</v>
      </c>
      <c r="R8334" s="71"/>
    </row>
    <row r="8335" spans="1:18" s="61" customFormat="1" x14ac:dyDescent="0.25">
      <c r="A8335" s="358"/>
      <c r="B8335" s="361"/>
      <c r="C8335" s="366"/>
      <c r="D8335" s="254" t="s">
        <v>426</v>
      </c>
      <c r="E8335" s="156" t="s">
        <v>28</v>
      </c>
      <c r="F8335" s="156" t="s">
        <v>28</v>
      </c>
      <c r="G8335" s="238">
        <f t="shared" si="2406"/>
        <v>0</v>
      </c>
      <c r="H8335" s="158"/>
      <c r="I8335" s="159">
        <f t="shared" si="2407"/>
        <v>4.0365000000000003E-4</v>
      </c>
      <c r="J8335" s="160"/>
      <c r="K8335" s="161">
        <f t="shared" si="2408"/>
        <v>8</v>
      </c>
      <c r="L8335" s="250">
        <v>1</v>
      </c>
      <c r="M8335" s="163"/>
      <c r="N8335" s="164"/>
      <c r="O8335" s="165">
        <f t="shared" si="2403"/>
        <v>0</v>
      </c>
      <c r="P8335" s="166"/>
      <c r="Q8335" s="166">
        <f t="shared" si="2402"/>
        <v>0</v>
      </c>
      <c r="R8335" s="71"/>
    </row>
    <row r="8336" spans="1:18" s="61" customFormat="1" x14ac:dyDescent="0.25">
      <c r="A8336" s="358"/>
      <c r="B8336" s="361"/>
      <c r="C8336" s="366"/>
      <c r="D8336" s="254" t="s">
        <v>427</v>
      </c>
      <c r="E8336" s="156" t="s">
        <v>28</v>
      </c>
      <c r="F8336" s="156" t="s">
        <v>28</v>
      </c>
      <c r="G8336" s="238">
        <f t="shared" si="2406"/>
        <v>0</v>
      </c>
      <c r="H8336" s="158"/>
      <c r="I8336" s="159">
        <f t="shared" si="2407"/>
        <v>4.0365000000000003E-4</v>
      </c>
      <c r="J8336" s="160"/>
      <c r="K8336" s="161">
        <f t="shared" si="2408"/>
        <v>8</v>
      </c>
      <c r="L8336" s="250">
        <v>1</v>
      </c>
      <c r="M8336" s="163"/>
      <c r="N8336" s="164"/>
      <c r="O8336" s="165">
        <f t="shared" si="2403"/>
        <v>0</v>
      </c>
      <c r="P8336" s="166"/>
      <c r="Q8336" s="166">
        <f t="shared" si="2402"/>
        <v>0</v>
      </c>
      <c r="R8336" s="71"/>
    </row>
    <row r="8337" spans="1:18" s="61" customFormat="1" x14ac:dyDescent="0.25">
      <c r="A8337" s="358"/>
      <c r="B8337" s="361"/>
      <c r="C8337" s="366"/>
      <c r="D8337" s="254" t="s">
        <v>428</v>
      </c>
      <c r="E8337" s="156" t="s">
        <v>28</v>
      </c>
      <c r="F8337" s="156" t="s">
        <v>28</v>
      </c>
      <c r="G8337" s="238">
        <f t="shared" si="2406"/>
        <v>0</v>
      </c>
      <c r="H8337" s="158"/>
      <c r="I8337" s="159">
        <f t="shared" si="2407"/>
        <v>4.0365000000000003E-4</v>
      </c>
      <c r="J8337" s="160"/>
      <c r="K8337" s="161">
        <f t="shared" si="2408"/>
        <v>8</v>
      </c>
      <c r="L8337" s="250">
        <v>1</v>
      </c>
      <c r="M8337" s="163"/>
      <c r="N8337" s="164"/>
      <c r="O8337" s="165">
        <f t="shared" si="2403"/>
        <v>0</v>
      </c>
      <c r="P8337" s="166"/>
      <c r="Q8337" s="166">
        <f t="shared" si="2402"/>
        <v>0</v>
      </c>
      <c r="R8337" s="71"/>
    </row>
    <row r="8338" spans="1:18" s="61" customFormat="1" x14ac:dyDescent="0.25">
      <c r="A8338" s="358"/>
      <c r="B8338" s="361"/>
      <c r="C8338" s="366"/>
      <c r="D8338" s="255" t="s">
        <v>429</v>
      </c>
      <c r="E8338" s="156" t="s">
        <v>28</v>
      </c>
      <c r="F8338" s="156" t="s">
        <v>28</v>
      </c>
      <c r="G8338" s="238">
        <f t="shared" si="2406"/>
        <v>0</v>
      </c>
      <c r="H8338" s="158"/>
      <c r="I8338" s="159">
        <f t="shared" si="2407"/>
        <v>4.0365000000000003E-4</v>
      </c>
      <c r="J8338" s="160"/>
      <c r="K8338" s="161">
        <f t="shared" si="2408"/>
        <v>8</v>
      </c>
      <c r="L8338" s="250">
        <v>1</v>
      </c>
      <c r="M8338" s="163"/>
      <c r="N8338" s="164"/>
      <c r="O8338" s="165">
        <f t="shared" si="2403"/>
        <v>0</v>
      </c>
      <c r="P8338" s="166"/>
      <c r="Q8338" s="166">
        <f t="shared" si="2402"/>
        <v>0</v>
      </c>
      <c r="R8338" s="71"/>
    </row>
    <row r="8339" spans="1:18" s="62" customFormat="1" x14ac:dyDescent="0.25">
      <c r="A8339" s="358"/>
      <c r="B8339" s="361"/>
      <c r="C8339" s="249" t="s">
        <v>299</v>
      </c>
      <c r="D8339" s="256"/>
      <c r="E8339" s="240"/>
      <c r="F8339" s="240"/>
      <c r="G8339" s="227"/>
      <c r="H8339" s="241"/>
      <c r="I8339" s="206"/>
      <c r="J8339" s="228"/>
      <c r="K8339" s="207"/>
      <c r="L8339" s="257"/>
      <c r="M8339" s="209"/>
      <c r="N8339" s="210"/>
      <c r="O8339" s="198">
        <f>SUM(O8315:O8338)</f>
        <v>0</v>
      </c>
      <c r="P8339" s="267"/>
      <c r="Q8339" s="166"/>
      <c r="R8339" s="71"/>
    </row>
    <row r="8340" spans="1:18" s="61" customFormat="1" ht="110.25" x14ac:dyDescent="0.25">
      <c r="A8340" s="358"/>
      <c r="B8340" s="361"/>
      <c r="C8340" s="221" t="s">
        <v>82</v>
      </c>
      <c r="D8340" s="156" t="s">
        <v>46</v>
      </c>
      <c r="E8340" s="156" t="s">
        <v>54</v>
      </c>
      <c r="F8340" s="156" t="s">
        <v>285</v>
      </c>
      <c r="G8340" s="238">
        <f>MROUND(H8340*L8340*I8340/K8340,0.000001)</f>
        <v>0.57065999999999995</v>
      </c>
      <c r="H8340" s="242">
        <f>H7860</f>
        <v>1028.1818077549303</v>
      </c>
      <c r="I8340" s="159">
        <f>I8338</f>
        <v>4.0365000000000003E-4</v>
      </c>
      <c r="J8340" s="160"/>
      <c r="K8340" s="161">
        <f>K8338</f>
        <v>8</v>
      </c>
      <c r="L8340" s="225">
        <f>L8100</f>
        <v>11</v>
      </c>
      <c r="M8340" s="163" t="str">
        <f>CONCATENATE(H8340," ",F8340,"*",L8340,"автобуса","*",I8340,"/",K8340,"чел.")</f>
        <v>1028,18180775493 л бензина АИ 92 (12,5л/день(зимой)*20дней*7мес+10л/день(летом)*20дней*4мес)*11автобуса*0,00040365/8чел.</v>
      </c>
      <c r="N8340" s="164">
        <f>N6900</f>
        <v>59.28728000000001</v>
      </c>
      <c r="O8340" s="165">
        <f>MROUND(G8340*N8340,0.000001)</f>
        <v>33.832878999999998</v>
      </c>
      <c r="P8340" s="166"/>
      <c r="Q8340" s="166">
        <f t="shared" ref="Q8340" si="2409">O8340*K8340</f>
        <v>270.66303199999999</v>
      </c>
      <c r="R8340" s="71"/>
    </row>
    <row r="8341" spans="1:18" s="62" customFormat="1" x14ac:dyDescent="0.25">
      <c r="A8341" s="358"/>
      <c r="B8341" s="361"/>
      <c r="C8341" s="218" t="s">
        <v>300</v>
      </c>
      <c r="D8341" s="240"/>
      <c r="E8341" s="240"/>
      <c r="F8341" s="240"/>
      <c r="G8341" s="227"/>
      <c r="H8341" s="241"/>
      <c r="I8341" s="206"/>
      <c r="J8341" s="228"/>
      <c r="K8341" s="207"/>
      <c r="L8341" s="257"/>
      <c r="M8341" s="209"/>
      <c r="N8341" s="210"/>
      <c r="O8341" s="198">
        <f>SUM(O8340)</f>
        <v>33.832878999999998</v>
      </c>
      <c r="P8341" s="267"/>
      <c r="Q8341" s="166"/>
      <c r="R8341" s="71"/>
    </row>
    <row r="8342" spans="1:18" s="61" customFormat="1" ht="47.25" x14ac:dyDescent="0.25">
      <c r="A8342" s="358"/>
      <c r="B8342" s="361"/>
      <c r="C8342" s="221" t="s">
        <v>434</v>
      </c>
      <c r="D8342" s="156" t="s">
        <v>436</v>
      </c>
      <c r="E8342" s="156" t="s">
        <v>28</v>
      </c>
      <c r="F8342" s="156" t="s">
        <v>437</v>
      </c>
      <c r="G8342" s="157">
        <f>MROUND(H8342*L8342*I8342/K8342,0.000001)</f>
        <v>1.4631999999999999E-2</v>
      </c>
      <c r="H8342" s="242">
        <f>$H$125</f>
        <v>290</v>
      </c>
      <c r="I8342" s="159">
        <f>I8340</f>
        <v>4.0365000000000003E-4</v>
      </c>
      <c r="J8342" s="160"/>
      <c r="K8342" s="161">
        <f>K8340</f>
        <v>8</v>
      </c>
      <c r="L8342" s="162">
        <v>1</v>
      </c>
      <c r="M8342" s="163" t="str">
        <f>CONCATENATE(H8342," ",F8342,"*",L8342,"автобуса","*",I8342,"/",K8342,"чел.")</f>
        <v>290 огнетушителей (потребность учреждений) *1автобуса*0,00040365/8чел.</v>
      </c>
      <c r="N8342" s="164">
        <f>$N$125</f>
        <v>2000</v>
      </c>
      <c r="O8342" s="165">
        <f>MROUND(G8342*N8342,0.000001)</f>
        <v>29.263999999999999</v>
      </c>
      <c r="P8342" s="166"/>
      <c r="Q8342" s="166">
        <f t="shared" ref="Q8342" si="2410">O8342*K8342</f>
        <v>234.11199999999999</v>
      </c>
      <c r="R8342" s="71"/>
    </row>
    <row r="8343" spans="1:18" s="61" customFormat="1" x14ac:dyDescent="0.25">
      <c r="A8343" s="358"/>
      <c r="B8343" s="361"/>
      <c r="C8343" s="218" t="s">
        <v>435</v>
      </c>
      <c r="D8343" s="240"/>
      <c r="E8343" s="240"/>
      <c r="F8343" s="240"/>
      <c r="G8343" s="251"/>
      <c r="H8343" s="241"/>
      <c r="I8343" s="206"/>
      <c r="J8343" s="228"/>
      <c r="K8343" s="207"/>
      <c r="L8343" s="229"/>
      <c r="M8343" s="209"/>
      <c r="N8343" s="210"/>
      <c r="O8343" s="198">
        <f>SUM(O8342)</f>
        <v>29.263999999999999</v>
      </c>
      <c r="P8343" s="166"/>
      <c r="Q8343" s="166"/>
      <c r="R8343" s="71"/>
    </row>
    <row r="8344" spans="1:18" s="61" customFormat="1" ht="47.25" x14ac:dyDescent="0.25">
      <c r="A8344" s="358"/>
      <c r="B8344" s="361"/>
      <c r="C8344" s="364" t="s">
        <v>118</v>
      </c>
      <c r="D8344" s="156" t="s">
        <v>47</v>
      </c>
      <c r="E8344" s="156" t="s">
        <v>28</v>
      </c>
      <c r="F8344" s="156" t="s">
        <v>239</v>
      </c>
      <c r="G8344" s="238">
        <f>MROUND(H8344*L8344*I8344/K8344,0.00000001)</f>
        <v>7.0638799999999998E-3</v>
      </c>
      <c r="H8344" s="158">
        <f>H7264</f>
        <v>140</v>
      </c>
      <c r="I8344" s="159">
        <f>I8340</f>
        <v>4.0365000000000003E-4</v>
      </c>
      <c r="J8344" s="160"/>
      <c r="K8344" s="161">
        <f>K8340</f>
        <v>8</v>
      </c>
      <c r="L8344" s="250">
        <v>1</v>
      </c>
      <c r="M8344" s="163" t="str">
        <f>CONCATENATE(H8344," ",F8344,"*",I8344,"/",K8344,"чел.")</f>
        <v>140 манометров (потребность учреждений) *0,00040365/8чел.</v>
      </c>
      <c r="N8344" s="164">
        <f>N6904</f>
        <v>770.73500000000035</v>
      </c>
      <c r="O8344" s="165">
        <f>MROUND(G8344*N8344,0.000001)</f>
        <v>5.4443799999999998</v>
      </c>
      <c r="P8344" s="166"/>
      <c r="Q8344" s="166">
        <f t="shared" ref="Q8344:Q8345" si="2411">O8344*K8344</f>
        <v>43.555039999999998</v>
      </c>
      <c r="R8344" s="71"/>
    </row>
    <row r="8345" spans="1:18" s="61" customFormat="1" ht="47.25" x14ac:dyDescent="0.25">
      <c r="A8345" s="358"/>
      <c r="B8345" s="361"/>
      <c r="C8345" s="364"/>
      <c r="D8345" s="255" t="s">
        <v>113</v>
      </c>
      <c r="E8345" s="156" t="s">
        <v>28</v>
      </c>
      <c r="F8345" s="156" t="s">
        <v>240</v>
      </c>
      <c r="G8345" s="238">
        <f>MROUND(H8345*L8345*I8345/K8345,0.00000001)</f>
        <v>0.28835747</v>
      </c>
      <c r="H8345" s="158">
        <f>H6905</f>
        <v>5715</v>
      </c>
      <c r="I8345" s="159">
        <f>I8344</f>
        <v>4.0365000000000003E-4</v>
      </c>
      <c r="J8345" s="160"/>
      <c r="K8345" s="161">
        <f>K8344</f>
        <v>8</v>
      </c>
      <c r="L8345" s="250">
        <v>1</v>
      </c>
      <c r="M8345" s="163" t="str">
        <f>CONCATENATE(H8345," ",F8345,"*",I8345,"/",K8345,"чел.")</f>
        <v>5715 светильников (потребность учреждений)*0,00040365/8чел.</v>
      </c>
      <c r="N8345" s="164">
        <f>N6905</f>
        <v>115.61019597550306</v>
      </c>
      <c r="O8345" s="165">
        <f>MROUND(G8345*N8345,0.000001)</f>
        <v>33.337063999999998</v>
      </c>
      <c r="P8345" s="166"/>
      <c r="Q8345" s="166">
        <f t="shared" si="2411"/>
        <v>266.69651199999998</v>
      </c>
      <c r="R8345" s="71"/>
    </row>
    <row r="8346" spans="1:18" s="62" customFormat="1" x14ac:dyDescent="0.25">
      <c r="A8346" s="359"/>
      <c r="B8346" s="362"/>
      <c r="C8346" s="218" t="s">
        <v>301</v>
      </c>
      <c r="D8346" s="256"/>
      <c r="E8346" s="240"/>
      <c r="F8346" s="240"/>
      <c r="G8346" s="227"/>
      <c r="H8346" s="241"/>
      <c r="I8346" s="206"/>
      <c r="J8346" s="228"/>
      <c r="K8346" s="207"/>
      <c r="L8346" s="257"/>
      <c r="M8346" s="209"/>
      <c r="N8346" s="210"/>
      <c r="O8346" s="198">
        <f>SUM(O8344:O8345)</f>
        <v>38.781444</v>
      </c>
      <c r="P8346" s="267"/>
      <c r="Q8346" s="166"/>
      <c r="R8346" s="71"/>
    </row>
    <row r="8347" spans="1:18" s="61" customFormat="1" x14ac:dyDescent="0.25">
      <c r="A8347" s="357" t="str">
        <f>CONCATENATE(школы!$B$20,", ",школы!$C$20,", ",школы!$D$20)</f>
        <v xml:space="preserve">Реализация основных общеобразовательных программ среднего общего образования, , </v>
      </c>
      <c r="B8347" s="360" t="str">
        <f>школы!$A$20</f>
        <v>802112О.99.0.ББ11АЮ58001</v>
      </c>
      <c r="C8347" s="194"/>
      <c r="D8347" s="363" t="s">
        <v>15</v>
      </c>
      <c r="E8347" s="363"/>
      <c r="F8347" s="363"/>
      <c r="G8347" s="363"/>
      <c r="H8347" s="195"/>
      <c r="I8347" s="195"/>
      <c r="J8347" s="195"/>
      <c r="K8347" s="195"/>
      <c r="L8347" s="196"/>
      <c r="M8347" s="197"/>
      <c r="N8347" s="164"/>
      <c r="O8347" s="198">
        <f>O8348+O8353+O8355</f>
        <v>9362.1939256570004</v>
      </c>
      <c r="P8347" s="166"/>
      <c r="Q8347" s="166"/>
      <c r="R8347" s="71"/>
    </row>
    <row r="8348" spans="1:18" s="61" customFormat="1" x14ac:dyDescent="0.25">
      <c r="A8348" s="358"/>
      <c r="B8348" s="361"/>
      <c r="C8348" s="194"/>
      <c r="D8348" s="350" t="s">
        <v>62</v>
      </c>
      <c r="E8348" s="350"/>
      <c r="F8348" s="350"/>
      <c r="G8348" s="350"/>
      <c r="H8348" s="195"/>
      <c r="I8348" s="195"/>
      <c r="J8348" s="195"/>
      <c r="K8348" s="195"/>
      <c r="L8348" s="196"/>
      <c r="M8348" s="197"/>
      <c r="N8348" s="164"/>
      <c r="O8348" s="165">
        <f>O8350+O8352</f>
        <v>9362.1939256570004</v>
      </c>
      <c r="P8348" s="166"/>
      <c r="Q8348" s="166"/>
      <c r="R8348" s="71"/>
    </row>
    <row r="8349" spans="1:18" s="61" customFormat="1" ht="31.5" x14ac:dyDescent="0.25">
      <c r="A8349" s="358"/>
      <c r="B8349" s="361"/>
      <c r="C8349" s="194">
        <v>211</v>
      </c>
      <c r="D8349" s="194" t="s">
        <v>86</v>
      </c>
      <c r="E8349" s="199" t="s">
        <v>95</v>
      </c>
      <c r="F8349" s="199" t="s">
        <v>95</v>
      </c>
      <c r="G8349" s="275">
        <f>MROUND(H8349*L8349*I8349/K8349,0.0000000001)</f>
        <v>0.55812145359999998</v>
      </c>
      <c r="H8349" s="201">
        <f>H7509</f>
        <v>921.8</v>
      </c>
      <c r="I8349" s="159">
        <f>школы!$K$20</f>
        <v>5.9285520000000001E-2</v>
      </c>
      <c r="J8349" s="159"/>
      <c r="K8349" s="161">
        <f>школы!$G$20</f>
        <v>1175</v>
      </c>
      <c r="L8349" s="202">
        <v>12</v>
      </c>
      <c r="M8349" s="163" t="str">
        <f>CONCATENATE(H8349," ",F8349," ","в мес.","*",L8349,"мес.","*",I8349,"/",K8349,"чел.")</f>
        <v>921,8 шт.ед в мес.*12мес.*0,05928552/1175чел.</v>
      </c>
      <c r="N8349" s="164">
        <f>N7509</f>
        <v>12883.620739314385</v>
      </c>
      <c r="O8349" s="165">
        <f>MROUND(G8349*N8349,0.000000001)</f>
        <v>7190.6251346570007</v>
      </c>
      <c r="P8349" s="166"/>
      <c r="Q8349" s="166">
        <f t="shared" ref="Q8349" si="2412">O8349*K8349</f>
        <v>8448984.533221975</v>
      </c>
      <c r="R8349" s="71"/>
    </row>
    <row r="8350" spans="1:18" s="62" customFormat="1" x14ac:dyDescent="0.25">
      <c r="A8350" s="358"/>
      <c r="B8350" s="361"/>
      <c r="C8350" s="203" t="s">
        <v>288</v>
      </c>
      <c r="D8350" s="203"/>
      <c r="E8350" s="204"/>
      <c r="F8350" s="204"/>
      <c r="G8350" s="205"/>
      <c r="H8350" s="206"/>
      <c r="I8350" s="206"/>
      <c r="J8350" s="206"/>
      <c r="K8350" s="207"/>
      <c r="L8350" s="208"/>
      <c r="M8350" s="209"/>
      <c r="N8350" s="210">
        <f>N8349</f>
        <v>12883.620739314385</v>
      </c>
      <c r="O8350" s="198">
        <f>O8349</f>
        <v>7190.6251346570007</v>
      </c>
      <c r="P8350" s="267"/>
      <c r="Q8350" s="166"/>
      <c r="R8350" s="71"/>
    </row>
    <row r="8351" spans="1:18" s="61" customFormat="1" x14ac:dyDescent="0.25">
      <c r="A8351" s="358"/>
      <c r="B8351" s="361"/>
      <c r="C8351" s="194">
        <v>213</v>
      </c>
      <c r="D8351" s="194" t="s">
        <v>87</v>
      </c>
      <c r="E8351" s="194" t="s">
        <v>88</v>
      </c>
      <c r="F8351" s="194"/>
      <c r="G8351" s="211">
        <v>30.2</v>
      </c>
      <c r="H8351" s="159"/>
      <c r="I8351" s="159"/>
      <c r="J8351" s="159"/>
      <c r="K8351" s="161">
        <f>K8349</f>
        <v>1175</v>
      </c>
      <c r="L8351" s="202"/>
      <c r="M8351" s="212"/>
      <c r="N8351" s="164"/>
      <c r="O8351" s="165">
        <f>MROUND(O8349*0.302,0.000001)</f>
        <v>2171.5687909999997</v>
      </c>
      <c r="P8351" s="166"/>
      <c r="Q8351" s="166">
        <f>O8351*K8351</f>
        <v>2551593.3294249997</v>
      </c>
      <c r="R8351" s="71"/>
    </row>
    <row r="8352" spans="1:18" s="62" customFormat="1" x14ac:dyDescent="0.25">
      <c r="A8352" s="358"/>
      <c r="B8352" s="361"/>
      <c r="C8352" s="203" t="s">
        <v>289</v>
      </c>
      <c r="D8352" s="203"/>
      <c r="E8352" s="203"/>
      <c r="F8352" s="203"/>
      <c r="G8352" s="213"/>
      <c r="H8352" s="214"/>
      <c r="I8352" s="206"/>
      <c r="J8352" s="214"/>
      <c r="K8352" s="207"/>
      <c r="L8352" s="215"/>
      <c r="M8352" s="216"/>
      <c r="N8352" s="210"/>
      <c r="O8352" s="198">
        <f>O8351</f>
        <v>2171.5687909999997</v>
      </c>
      <c r="P8352" s="267"/>
      <c r="Q8352" s="166"/>
      <c r="R8352" s="71"/>
    </row>
    <row r="8353" spans="1:18" s="61" customFormat="1" x14ac:dyDescent="0.25">
      <c r="A8353" s="358"/>
      <c r="B8353" s="361"/>
      <c r="C8353" s="194"/>
      <c r="D8353" s="356" t="s">
        <v>63</v>
      </c>
      <c r="E8353" s="356"/>
      <c r="F8353" s="356"/>
      <c r="G8353" s="356"/>
      <c r="H8353" s="195"/>
      <c r="I8353" s="159"/>
      <c r="J8353" s="195"/>
      <c r="K8353" s="161"/>
      <c r="L8353" s="196"/>
      <c r="M8353" s="197"/>
      <c r="N8353" s="164"/>
      <c r="O8353" s="165"/>
      <c r="P8353" s="166"/>
      <c r="Q8353" s="166"/>
      <c r="R8353" s="71"/>
    </row>
    <row r="8354" spans="1:18" s="61" customFormat="1" x14ac:dyDescent="0.25">
      <c r="A8354" s="358"/>
      <c r="B8354" s="361"/>
      <c r="C8354" s="194"/>
      <c r="D8354" s="194"/>
      <c r="E8354" s="194"/>
      <c r="F8354" s="194"/>
      <c r="G8354" s="217"/>
      <c r="H8354" s="195"/>
      <c r="I8354" s="159"/>
      <c r="J8354" s="195"/>
      <c r="K8354" s="161"/>
      <c r="L8354" s="196"/>
      <c r="M8354" s="197"/>
      <c r="N8354" s="164"/>
      <c r="O8354" s="165"/>
      <c r="P8354" s="166"/>
      <c r="Q8354" s="166"/>
      <c r="R8354" s="71"/>
    </row>
    <row r="8355" spans="1:18" s="61" customFormat="1" x14ac:dyDescent="0.25">
      <c r="A8355" s="358"/>
      <c r="B8355" s="361"/>
      <c r="C8355" s="194"/>
      <c r="D8355" s="350" t="s">
        <v>64</v>
      </c>
      <c r="E8355" s="350"/>
      <c r="F8355" s="350"/>
      <c r="G8355" s="350"/>
      <c r="H8355" s="195"/>
      <c r="I8355" s="159"/>
      <c r="J8355" s="195"/>
      <c r="K8355" s="161"/>
      <c r="L8355" s="196"/>
      <c r="M8355" s="197"/>
      <c r="N8355" s="164"/>
      <c r="O8355" s="165"/>
      <c r="P8355" s="166"/>
      <c r="Q8355" s="166"/>
      <c r="R8355" s="71"/>
    </row>
    <row r="8356" spans="1:18" s="61" customFormat="1" x14ac:dyDescent="0.25">
      <c r="A8356" s="358"/>
      <c r="B8356" s="361"/>
      <c r="C8356" s="194"/>
      <c r="D8356" s="194"/>
      <c r="E8356" s="194"/>
      <c r="F8356" s="194"/>
      <c r="G8356" s="217"/>
      <c r="H8356" s="195"/>
      <c r="I8356" s="159"/>
      <c r="J8356" s="195"/>
      <c r="K8356" s="161"/>
      <c r="L8356" s="196"/>
      <c r="M8356" s="197"/>
      <c r="N8356" s="164"/>
      <c r="O8356" s="165"/>
      <c r="P8356" s="166"/>
      <c r="Q8356" s="166"/>
      <c r="R8356" s="71"/>
    </row>
    <row r="8357" spans="1:18" s="61" customFormat="1" x14ac:dyDescent="0.25">
      <c r="A8357" s="358"/>
      <c r="B8357" s="361"/>
      <c r="C8357" s="194"/>
      <c r="D8357" s="355" t="s">
        <v>5</v>
      </c>
      <c r="E8357" s="355"/>
      <c r="F8357" s="355"/>
      <c r="G8357" s="355"/>
      <c r="H8357" s="195"/>
      <c r="I8357" s="159"/>
      <c r="J8357" s="195"/>
      <c r="K8357" s="161"/>
      <c r="L8357" s="196"/>
      <c r="M8357" s="197"/>
      <c r="N8357" s="164"/>
      <c r="O8357" s="198">
        <f>O8358+O8368+O8379+O8381+O8383+O8385+O8387</f>
        <v>15711.409712933058</v>
      </c>
      <c r="P8357" s="166"/>
      <c r="Q8357" s="166"/>
      <c r="R8357" s="71"/>
    </row>
    <row r="8358" spans="1:18" s="61" customFormat="1" x14ac:dyDescent="0.25">
      <c r="A8358" s="358"/>
      <c r="B8358" s="361"/>
      <c r="C8358" s="218" t="s">
        <v>70</v>
      </c>
      <c r="D8358" s="355" t="s">
        <v>6</v>
      </c>
      <c r="E8358" s="355"/>
      <c r="F8358" s="355"/>
      <c r="G8358" s="355"/>
      <c r="H8358" s="189"/>
      <c r="I8358" s="159"/>
      <c r="J8358" s="189"/>
      <c r="K8358" s="161"/>
      <c r="L8358" s="190"/>
      <c r="M8358" s="197"/>
      <c r="N8358" s="210"/>
      <c r="O8358" s="198">
        <f>O8367</f>
        <v>9495.5912056999987</v>
      </c>
      <c r="P8358" s="166"/>
      <c r="Q8358" s="166"/>
      <c r="R8358" s="71"/>
    </row>
    <row r="8359" spans="1:18" s="61" customFormat="1" ht="31.5" x14ac:dyDescent="0.25">
      <c r="A8359" s="358"/>
      <c r="B8359" s="361"/>
      <c r="C8359" s="221" t="s">
        <v>72</v>
      </c>
      <c r="D8359" s="222" t="s">
        <v>7</v>
      </c>
      <c r="E8359" s="223" t="s">
        <v>8</v>
      </c>
      <c r="F8359" s="223" t="s">
        <v>8</v>
      </c>
      <c r="G8359" s="238">
        <f>MROUND(H8359*L8359*I8359/K8359,0.00000000001)</f>
        <v>167.1660651823</v>
      </c>
      <c r="H8359" s="160">
        <f>H7639</f>
        <v>3313121.4264326878</v>
      </c>
      <c r="I8359" s="159">
        <f>I8349</f>
        <v>5.9285520000000001E-2</v>
      </c>
      <c r="J8359" s="160"/>
      <c r="K8359" s="161">
        <f>K8349</f>
        <v>1175</v>
      </c>
      <c r="L8359" s="250">
        <v>1</v>
      </c>
      <c r="M8359" s="163" t="str">
        <f t="shared" ref="M8359:M8364" si="2413">CONCATENATE(H8359," ",F8359,"(лимиты выделенные УЖКХ) ","*",I8359,"/",K8359,"чел.")</f>
        <v>3313121,42643269 кВт час.(лимиты выделенные УЖКХ) *0,05928552/1175чел.</v>
      </c>
      <c r="N8359" s="164">
        <f>N7639</f>
        <v>11.333602475424668</v>
      </c>
      <c r="O8359" s="165">
        <f t="shared" ref="O8359:O8362" si="2414">MROUND(G8359*N8359,0.000001)</f>
        <v>1894.5937299999998</v>
      </c>
      <c r="P8359" s="166"/>
      <c r="Q8359" s="166">
        <f t="shared" ref="Q8359:Q8366" si="2415">O8359*K8359</f>
        <v>2226147.6327499999</v>
      </c>
      <c r="R8359" s="71"/>
    </row>
    <row r="8360" spans="1:18" s="61" customFormat="1" ht="31.5" x14ac:dyDescent="0.25">
      <c r="A8360" s="358"/>
      <c r="B8360" s="361"/>
      <c r="C8360" s="221" t="s">
        <v>73</v>
      </c>
      <c r="D8360" s="222" t="s">
        <v>9</v>
      </c>
      <c r="E8360" s="223" t="s">
        <v>10</v>
      </c>
      <c r="F8360" s="223" t="s">
        <v>10</v>
      </c>
      <c r="G8360" s="238">
        <f>MROUND(H8360*L8360*I8360/K8360,0.00000000001)</f>
        <v>1.6094071087599999</v>
      </c>
      <c r="H8360" s="160">
        <f>H7280</f>
        <v>31897.39</v>
      </c>
      <c r="I8360" s="159">
        <f t="shared" ref="I8360:I8412" si="2416">I8359</f>
        <v>5.9285520000000001E-2</v>
      </c>
      <c r="J8360" s="160"/>
      <c r="K8360" s="161">
        <f t="shared" ref="K8360:K8366" si="2417">K8359</f>
        <v>1175</v>
      </c>
      <c r="L8360" s="250">
        <v>1</v>
      </c>
      <c r="M8360" s="163" t="str">
        <f t="shared" si="2413"/>
        <v>31897,39 Гкал(лимиты выделенные УЖКХ) *0,05928552/1175чел.</v>
      </c>
      <c r="N8360" s="164">
        <f>N7280</f>
        <v>3095.3018623153812</v>
      </c>
      <c r="O8360" s="165">
        <f t="shared" si="2414"/>
        <v>4981.600821</v>
      </c>
      <c r="P8360" s="166"/>
      <c r="Q8360" s="166">
        <f t="shared" si="2415"/>
        <v>5853380.9646749999</v>
      </c>
      <c r="R8360" s="71"/>
    </row>
    <row r="8361" spans="1:18" s="61" customFormat="1" ht="31.5" x14ac:dyDescent="0.25">
      <c r="A8361" s="358"/>
      <c r="B8361" s="361"/>
      <c r="C8361" s="364" t="s">
        <v>74</v>
      </c>
      <c r="D8361" s="222" t="s">
        <v>12</v>
      </c>
      <c r="E8361" s="222" t="s">
        <v>11</v>
      </c>
      <c r="F8361" s="222" t="s">
        <v>11</v>
      </c>
      <c r="G8361" s="238">
        <f>MROUND(H8361*L8361*I8361/K8361,0.00000000001)</f>
        <v>9.3204491579099997</v>
      </c>
      <c r="H8361" s="224">
        <f>H6801</f>
        <v>184725.17</v>
      </c>
      <c r="I8361" s="159">
        <f t="shared" si="2416"/>
        <v>5.9285520000000001E-2</v>
      </c>
      <c r="J8361" s="160"/>
      <c r="K8361" s="161">
        <f t="shared" si="2417"/>
        <v>1175</v>
      </c>
      <c r="L8361" s="250">
        <v>1</v>
      </c>
      <c r="M8361" s="163" t="str">
        <f t="shared" si="2413"/>
        <v>184725,17 м3(лимиты выделенные УЖКХ) *0,05928552/1175чел.</v>
      </c>
      <c r="N8361" s="164">
        <f>N6801</f>
        <v>56.382747245543193</v>
      </c>
      <c r="O8361" s="165">
        <f t="shared" si="2414"/>
        <v>525.51252899999997</v>
      </c>
      <c r="P8361" s="166"/>
      <c r="Q8361" s="166">
        <f t="shared" si="2415"/>
        <v>617477.22157499997</v>
      </c>
      <c r="R8361" s="71"/>
    </row>
    <row r="8362" spans="1:18" s="61" customFormat="1" ht="47.25" x14ac:dyDescent="0.25">
      <c r="A8362" s="358"/>
      <c r="B8362" s="361"/>
      <c r="C8362" s="364"/>
      <c r="D8362" s="222" t="s">
        <v>17</v>
      </c>
      <c r="E8362" s="222" t="s">
        <v>11</v>
      </c>
      <c r="F8362" s="222" t="s">
        <v>11</v>
      </c>
      <c r="G8362" s="238">
        <f>MROUND(H8362*L8362*I8362/K8362,0.00000000001)</f>
        <v>9.3204491579099997</v>
      </c>
      <c r="H8362" s="160">
        <f>H7282</f>
        <v>184725.17</v>
      </c>
      <c r="I8362" s="159">
        <f t="shared" si="2416"/>
        <v>5.9285520000000001E-2</v>
      </c>
      <c r="J8362" s="160"/>
      <c r="K8362" s="161">
        <f t="shared" si="2417"/>
        <v>1175</v>
      </c>
      <c r="L8362" s="162">
        <f>$L$6802</f>
        <v>1</v>
      </c>
      <c r="M8362" s="163" t="str">
        <f t="shared" si="2413"/>
        <v>184725,17 м3(лимиты выделенные УЖКХ) *0,05928552/1175чел.</v>
      </c>
      <c r="N8362" s="164">
        <f>N6802</f>
        <v>85.679537612054773</v>
      </c>
      <c r="O8362" s="165">
        <f t="shared" si="2414"/>
        <v>798.571774</v>
      </c>
      <c r="P8362" s="166"/>
      <c r="Q8362" s="166">
        <f t="shared" si="2415"/>
        <v>938321.83444999997</v>
      </c>
      <c r="R8362" s="71"/>
    </row>
    <row r="8363" spans="1:18" s="61" customFormat="1" ht="31.5" x14ac:dyDescent="0.25">
      <c r="A8363" s="358"/>
      <c r="B8363" s="361"/>
      <c r="C8363" s="364"/>
      <c r="D8363" s="222" t="s">
        <v>13</v>
      </c>
      <c r="E8363" s="222" t="s">
        <v>11</v>
      </c>
      <c r="F8363" s="222" t="s">
        <v>11</v>
      </c>
      <c r="G8363" s="238">
        <f>MROUND(H8363*L8363*I8363/K8363,0.00000000001)</f>
        <v>9.3204491579099997</v>
      </c>
      <c r="H8363" s="160">
        <f>H6803</f>
        <v>184725.17</v>
      </c>
      <c r="I8363" s="159">
        <f t="shared" si="2416"/>
        <v>5.9285520000000001E-2</v>
      </c>
      <c r="J8363" s="160"/>
      <c r="K8363" s="161">
        <f t="shared" si="2417"/>
        <v>1175</v>
      </c>
      <c r="L8363" s="162">
        <v>1</v>
      </c>
      <c r="M8363" s="163" t="str">
        <f t="shared" si="2413"/>
        <v>184725,17 м3(лимиты выделенные УЖКХ) *0,05928552/1175чел.</v>
      </c>
      <c r="N8363" s="164">
        <f>N6803</f>
        <v>116.85554734686012</v>
      </c>
      <c r="O8363" s="165">
        <f>MROUND(G8363*N8363,0.00000001)</f>
        <v>1089.1461878699999</v>
      </c>
      <c r="P8363" s="166"/>
      <c r="Q8363" s="166">
        <f t="shared" si="2415"/>
        <v>1279746.7707472499</v>
      </c>
      <c r="R8363" s="71"/>
    </row>
    <row r="8364" spans="1:18" s="61" customFormat="1" ht="31.5" x14ac:dyDescent="0.25">
      <c r="A8364" s="358"/>
      <c r="B8364" s="361"/>
      <c r="C8364" s="221" t="s">
        <v>75</v>
      </c>
      <c r="D8364" s="222" t="s">
        <v>18</v>
      </c>
      <c r="E8364" s="222" t="s">
        <v>48</v>
      </c>
      <c r="F8364" s="222" t="s">
        <v>48</v>
      </c>
      <c r="G8364" s="238">
        <f>MROUND(H8364*L8364*I8364/K8364,0.0000000001)</f>
        <v>0.70070943620000004</v>
      </c>
      <c r="H8364" s="160">
        <f>H6804</f>
        <v>13887.6</v>
      </c>
      <c r="I8364" s="159">
        <f t="shared" si="2416"/>
        <v>5.9285520000000001E-2</v>
      </c>
      <c r="J8364" s="160"/>
      <c r="K8364" s="161">
        <f t="shared" si="2417"/>
        <v>1175</v>
      </c>
      <c r="L8364" s="250">
        <v>1</v>
      </c>
      <c r="M8364" s="163" t="str">
        <f t="shared" si="2413"/>
        <v>13887,6 тыс. м3(лимиты выделенные УЖКХ) *0,05928552/1175чел.</v>
      </c>
      <c r="N8364" s="164">
        <f>N6804</f>
        <v>31.799284973645559</v>
      </c>
      <c r="O8364" s="165">
        <f t="shared" ref="O8364" si="2418">MROUND(G8364*N8364,0.000001)</f>
        <v>22.282059</v>
      </c>
      <c r="P8364" s="166"/>
      <c r="Q8364" s="166">
        <f t="shared" si="2415"/>
        <v>26181.419324999999</v>
      </c>
      <c r="R8364" s="71"/>
    </row>
    <row r="8365" spans="1:18" s="61" customFormat="1" x14ac:dyDescent="0.25">
      <c r="A8365" s="358"/>
      <c r="B8365" s="361"/>
      <c r="C8365" s="364" t="s">
        <v>216</v>
      </c>
      <c r="D8365" s="222" t="s">
        <v>23</v>
      </c>
      <c r="E8365" s="222" t="s">
        <v>11</v>
      </c>
      <c r="F8365" s="222" t="s">
        <v>11</v>
      </c>
      <c r="G8365" s="238">
        <f>MROUND(H8365*L8365*I8365/K8365,0.000000000001)</f>
        <v>0.1699672971</v>
      </c>
      <c r="H8365" s="160">
        <f>H6805</f>
        <v>3368.6400000000003</v>
      </c>
      <c r="I8365" s="159">
        <f t="shared" si="2416"/>
        <v>5.9285520000000001E-2</v>
      </c>
      <c r="J8365" s="160"/>
      <c r="K8365" s="161">
        <f t="shared" si="2417"/>
        <v>1175</v>
      </c>
      <c r="L8365" s="162">
        <f>L8364</f>
        <v>1</v>
      </c>
      <c r="M8365" s="163" t="str">
        <f>CONCATENATE(H8365," ",F8365," ","*",I8365,"/",K8365,"чел.")</f>
        <v>3368,64 м3 *0,05928552/1175чел.</v>
      </c>
      <c r="N8365" s="164">
        <f>N6805</f>
        <v>807.40973805452643</v>
      </c>
      <c r="O8365" s="165">
        <f>MROUND(G8365*N8365,0.00000001)</f>
        <v>137.23325083</v>
      </c>
      <c r="P8365" s="166"/>
      <c r="Q8365" s="166">
        <f t="shared" si="2415"/>
        <v>161249.06972525001</v>
      </c>
      <c r="R8365" s="71"/>
    </row>
    <row r="8366" spans="1:18" s="61" customFormat="1" ht="63" x14ac:dyDescent="0.25">
      <c r="A8366" s="358"/>
      <c r="B8366" s="361"/>
      <c r="C8366" s="364"/>
      <c r="D8366" s="222" t="s">
        <v>24</v>
      </c>
      <c r="E8366" s="222" t="s">
        <v>25</v>
      </c>
      <c r="F8366" s="222" t="s">
        <v>217</v>
      </c>
      <c r="G8366" s="238">
        <f>MROUND(H8366*L8366*I8366/K8366,0.000000000001)</f>
        <v>7.4169969699999999E-3</v>
      </c>
      <c r="H8366" s="160">
        <f>H7646</f>
        <v>147</v>
      </c>
      <c r="I8366" s="159">
        <f t="shared" si="2416"/>
        <v>5.9285520000000001E-2</v>
      </c>
      <c r="J8366" s="160"/>
      <c r="K8366" s="161">
        <f t="shared" si="2417"/>
        <v>1175</v>
      </c>
      <c r="L8366" s="250">
        <f>L8365</f>
        <v>1</v>
      </c>
      <c r="M8366" s="163" t="str">
        <f>CONCATENATE(H8366," ",F8366,"(потребность из расчета 4 контейнера для уборки территории весной и осенью на 1 учреждение)","*",I8366,"/",K8366,"чел.")</f>
        <v>147 контейнера(потребность из расчета 4 контейнера для уборки территории весной и осенью на 1 учреждение)*0,05928552/1175чел.</v>
      </c>
      <c r="N8366" s="164">
        <f>N7646</f>
        <v>6289.7226530612279</v>
      </c>
      <c r="O8366" s="165">
        <f t="shared" ref="O8366" si="2419">MROUND(G8366*N8366,0.000001)</f>
        <v>46.650853999999995</v>
      </c>
      <c r="P8366" s="166"/>
      <c r="Q8366" s="166">
        <f t="shared" si="2415"/>
        <v>54814.753449999997</v>
      </c>
      <c r="R8366" s="71"/>
    </row>
    <row r="8367" spans="1:18" s="62" customFormat="1" x14ac:dyDescent="0.25">
      <c r="A8367" s="358"/>
      <c r="B8367" s="361"/>
      <c r="C8367" s="218" t="s">
        <v>290</v>
      </c>
      <c r="D8367" s="226"/>
      <c r="E8367" s="226"/>
      <c r="F8367" s="226"/>
      <c r="G8367" s="227"/>
      <c r="H8367" s="228"/>
      <c r="I8367" s="206"/>
      <c r="J8367" s="228"/>
      <c r="K8367" s="207"/>
      <c r="L8367" s="257"/>
      <c r="M8367" s="209"/>
      <c r="N8367" s="210"/>
      <c r="O8367" s="198">
        <f>SUM(O8359:O8366)</f>
        <v>9495.5912056999987</v>
      </c>
      <c r="P8367" s="267"/>
      <c r="Q8367" s="166"/>
      <c r="R8367" s="71"/>
    </row>
    <row r="8368" spans="1:18" s="61" customFormat="1" x14ac:dyDescent="0.25">
      <c r="A8368" s="358"/>
      <c r="B8368" s="361"/>
      <c r="C8368" s="221"/>
      <c r="D8368" s="356" t="s">
        <v>14</v>
      </c>
      <c r="E8368" s="356"/>
      <c r="F8368" s="356"/>
      <c r="G8368" s="356"/>
      <c r="H8368" s="188"/>
      <c r="I8368" s="159"/>
      <c r="J8368" s="188"/>
      <c r="K8368" s="161"/>
      <c r="L8368" s="250"/>
      <c r="M8368" s="230"/>
      <c r="N8368" s="164"/>
      <c r="O8368" s="198">
        <f>O8376+O8377+O8372</f>
        <v>5046.1109990430596</v>
      </c>
      <c r="P8368" s="166"/>
      <c r="Q8368" s="166"/>
      <c r="R8368" s="71"/>
    </row>
    <row r="8369" spans="1:18" s="61" customFormat="1" x14ac:dyDescent="0.25">
      <c r="A8369" s="358"/>
      <c r="B8369" s="361"/>
      <c r="C8369" s="221" t="s">
        <v>379</v>
      </c>
      <c r="D8369" s="231" t="s">
        <v>49</v>
      </c>
      <c r="E8369" s="231" t="s">
        <v>22</v>
      </c>
      <c r="F8369" s="231" t="s">
        <v>22</v>
      </c>
      <c r="G8369" s="238">
        <f>MROUND(H8369*L8369*I8369/K8369,0.000000001)</f>
        <v>0</v>
      </c>
      <c r="H8369" s="160"/>
      <c r="I8369" s="159">
        <f>I8364</f>
        <v>5.9285520000000001E-2</v>
      </c>
      <c r="J8369" s="160"/>
      <c r="K8369" s="161">
        <f>K8364</f>
        <v>1175</v>
      </c>
      <c r="L8369" s="250"/>
      <c r="M8369" s="163"/>
      <c r="N8369" s="164"/>
      <c r="O8369" s="165">
        <f>MROUND(G8369*N8369,0.00000001)</f>
        <v>0</v>
      </c>
      <c r="P8369" s="166"/>
      <c r="Q8369" s="166">
        <f t="shared" ref="Q8369:Q8371" si="2420">O8369*K8369</f>
        <v>0</v>
      </c>
      <c r="R8369" s="71"/>
    </row>
    <row r="8370" spans="1:18" s="61" customFormat="1" x14ac:dyDescent="0.25">
      <c r="A8370" s="358"/>
      <c r="B8370" s="361"/>
      <c r="C8370" s="221" t="s">
        <v>379</v>
      </c>
      <c r="D8370" s="231" t="s">
        <v>49</v>
      </c>
      <c r="E8370" s="231" t="s">
        <v>28</v>
      </c>
      <c r="F8370" s="231" t="s">
        <v>28</v>
      </c>
      <c r="G8370" s="238">
        <f>MROUND(H8370*L8370*I8370/K8370,0.000000000000001)</f>
        <v>0</v>
      </c>
      <c r="H8370" s="160"/>
      <c r="I8370" s="159">
        <f t="shared" si="2416"/>
        <v>5.9285520000000001E-2</v>
      </c>
      <c r="J8370" s="160"/>
      <c r="K8370" s="161">
        <f>K8369</f>
        <v>1175</v>
      </c>
      <c r="L8370" s="250">
        <v>1</v>
      </c>
      <c r="M8370" s="163"/>
      <c r="N8370" s="164"/>
      <c r="O8370" s="165">
        <f>MROUND(G8370*N8370,0.00000001)</f>
        <v>0</v>
      </c>
      <c r="P8370" s="166"/>
      <c r="Q8370" s="166">
        <f t="shared" si="2420"/>
        <v>0</v>
      </c>
      <c r="R8370" s="71"/>
    </row>
    <row r="8371" spans="1:18" s="61" customFormat="1" x14ac:dyDescent="0.25">
      <c r="A8371" s="358"/>
      <c r="B8371" s="361"/>
      <c r="C8371" s="221" t="s">
        <v>379</v>
      </c>
      <c r="D8371" s="231" t="s">
        <v>49</v>
      </c>
      <c r="E8371" s="231" t="s">
        <v>101</v>
      </c>
      <c r="F8371" s="231" t="s">
        <v>101</v>
      </c>
      <c r="G8371" s="238">
        <f>MROUND(H8371*L8371*I8371/K8371,0.000000001)</f>
        <v>0</v>
      </c>
      <c r="H8371" s="160"/>
      <c r="I8371" s="159">
        <f t="shared" si="2416"/>
        <v>5.9285520000000001E-2</v>
      </c>
      <c r="J8371" s="160"/>
      <c r="K8371" s="161">
        <f>K8370</f>
        <v>1175</v>
      </c>
      <c r="L8371" s="250"/>
      <c r="M8371" s="163"/>
      <c r="N8371" s="164"/>
      <c r="O8371" s="165">
        <f>MROUND(G8371*N8371,0.00000001)</f>
        <v>0</v>
      </c>
      <c r="P8371" s="166"/>
      <c r="Q8371" s="166">
        <f t="shared" si="2420"/>
        <v>0</v>
      </c>
      <c r="R8371" s="71"/>
    </row>
    <row r="8372" spans="1:18" s="62" customFormat="1" x14ac:dyDescent="0.25">
      <c r="A8372" s="358"/>
      <c r="B8372" s="361"/>
      <c r="C8372" s="218" t="s">
        <v>380</v>
      </c>
      <c r="D8372" s="232"/>
      <c r="E8372" s="232"/>
      <c r="F8372" s="232"/>
      <c r="G8372" s="227"/>
      <c r="H8372" s="228"/>
      <c r="I8372" s="206"/>
      <c r="J8372" s="228"/>
      <c r="K8372" s="207"/>
      <c r="L8372" s="257"/>
      <c r="M8372" s="209"/>
      <c r="N8372" s="210"/>
      <c r="O8372" s="198">
        <f>SUM(O8369:O8371)</f>
        <v>0</v>
      </c>
      <c r="P8372" s="267"/>
      <c r="Q8372" s="166"/>
      <c r="R8372" s="71"/>
    </row>
    <row r="8373" spans="1:18" s="61" customFormat="1" x14ac:dyDescent="0.25">
      <c r="A8373" s="358"/>
      <c r="B8373" s="361"/>
      <c r="C8373" s="221" t="s">
        <v>76</v>
      </c>
      <c r="D8373" s="231" t="s">
        <v>49</v>
      </c>
      <c r="E8373" s="231" t="s">
        <v>22</v>
      </c>
      <c r="F8373" s="231" t="s">
        <v>22</v>
      </c>
      <c r="G8373" s="238">
        <f>MROUND(H8373*L8373*I8373/K8373,0.000000000000001)</f>
        <v>1.294240743421277</v>
      </c>
      <c r="H8373" s="160">
        <f>H7533</f>
        <v>25651</v>
      </c>
      <c r="I8373" s="159">
        <f>I8369</f>
        <v>5.9285520000000001E-2</v>
      </c>
      <c r="J8373" s="160"/>
      <c r="K8373" s="161">
        <f>K8371</f>
        <v>1175</v>
      </c>
      <c r="L8373" s="250">
        <v>1</v>
      </c>
      <c r="M8373" s="163" t="str">
        <f>CONCATENATE(H8373," ",F8373,"*",I8373,"/",K8373,"чел.")</f>
        <v>25651 м2*0,05928552/1175чел.</v>
      </c>
      <c r="N8373" s="164">
        <f>N7533</f>
        <v>2452.3410393356985</v>
      </c>
      <c r="O8373" s="165">
        <f>MROUND(G8373*N8373,0.00000000001)</f>
        <v>3173.9196898723399</v>
      </c>
      <c r="P8373" s="166"/>
      <c r="Q8373" s="166">
        <f t="shared" ref="Q8373:Q8375" si="2421">O8373*K8373</f>
        <v>3729355.6355999992</v>
      </c>
      <c r="R8373" s="71"/>
    </row>
    <row r="8374" spans="1:18" s="61" customFormat="1" x14ac:dyDescent="0.25">
      <c r="A8374" s="358"/>
      <c r="B8374" s="361"/>
      <c r="C8374" s="221"/>
      <c r="D8374" s="231" t="s">
        <v>49</v>
      </c>
      <c r="E8374" s="231" t="s">
        <v>28</v>
      </c>
      <c r="F8374" s="231" t="s">
        <v>28</v>
      </c>
      <c r="G8374" s="238">
        <f>MROUND(H8374*L8374*I8374/K8374,0.0000000000001)</f>
        <v>9.4200907097900008E-2</v>
      </c>
      <c r="H8374" s="160">
        <f>H7534</f>
        <v>1867</v>
      </c>
      <c r="I8374" s="159">
        <f t="shared" si="2416"/>
        <v>5.9285520000000001E-2</v>
      </c>
      <c r="J8374" s="160"/>
      <c r="K8374" s="161">
        <f>K8373</f>
        <v>1175</v>
      </c>
      <c r="L8374" s="250">
        <v>1</v>
      </c>
      <c r="M8374" s="163" t="str">
        <f>CONCATENATE(H8374," ",F8374,"*",I8374,"/",K8374,"чел.")</f>
        <v>1867 шт*0,05928552/1175чел.</v>
      </c>
      <c r="N8374" s="164">
        <f>N7534</f>
        <v>18299.732190680235</v>
      </c>
      <c r="O8374" s="165">
        <f>MROUND(G8374*N8374,0.00000000001)</f>
        <v>1723.8513720107198</v>
      </c>
      <c r="P8374" s="166"/>
      <c r="Q8374" s="166">
        <f t="shared" si="2421"/>
        <v>2025525.3621125957</v>
      </c>
      <c r="R8374" s="71"/>
    </row>
    <row r="8375" spans="1:18" s="61" customFormat="1" x14ac:dyDescent="0.25">
      <c r="A8375" s="358"/>
      <c r="B8375" s="361"/>
      <c r="C8375" s="221"/>
      <c r="D8375" s="231" t="s">
        <v>49</v>
      </c>
      <c r="E8375" s="231" t="s">
        <v>101</v>
      </c>
      <c r="F8375" s="231" t="s">
        <v>101</v>
      </c>
      <c r="G8375" s="238">
        <f>MROUND(H8375*L8375*I8375/K8375,0.000000001)</f>
        <v>3.2291686999999999E-2</v>
      </c>
      <c r="H8375" s="160">
        <f>H7535</f>
        <v>640</v>
      </c>
      <c r="I8375" s="159">
        <f t="shared" si="2416"/>
        <v>5.9285520000000001E-2</v>
      </c>
      <c r="J8375" s="160"/>
      <c r="K8375" s="161">
        <f>K8374</f>
        <v>1175</v>
      </c>
      <c r="L8375" s="250">
        <v>1</v>
      </c>
      <c r="M8375" s="163" t="str">
        <f>CONCATENATE(H8375," ",F8375,"*",I8375,"/",K8375,"чел.")</f>
        <v>640 погон.м.*0,05928552/1175чел.</v>
      </c>
      <c r="N8375" s="164">
        <f>N7535</f>
        <v>4593.75</v>
      </c>
      <c r="O8375" s="165">
        <f>MROUND(G8375*N8375,0.00000001)</f>
        <v>148.33993716000001</v>
      </c>
      <c r="P8375" s="166"/>
      <c r="Q8375" s="166">
        <f t="shared" si="2421"/>
        <v>174299.426163</v>
      </c>
      <c r="R8375" s="71"/>
    </row>
    <row r="8376" spans="1:18" s="62" customFormat="1" x14ac:dyDescent="0.25">
      <c r="A8376" s="358"/>
      <c r="B8376" s="361"/>
      <c r="C8376" s="218" t="s">
        <v>291</v>
      </c>
      <c r="D8376" s="232"/>
      <c r="E8376" s="232"/>
      <c r="F8376" s="232"/>
      <c r="G8376" s="227"/>
      <c r="H8376" s="228"/>
      <c r="I8376" s="206"/>
      <c r="J8376" s="228"/>
      <c r="K8376" s="207"/>
      <c r="L8376" s="257"/>
      <c r="M8376" s="209"/>
      <c r="N8376" s="210"/>
      <c r="O8376" s="198">
        <f>SUM(O8373:O8375)</f>
        <v>5046.1109990430596</v>
      </c>
      <c r="P8376" s="267"/>
      <c r="Q8376" s="166"/>
      <c r="R8376" s="71"/>
    </row>
    <row r="8377" spans="1:18" s="61" customFormat="1" x14ac:dyDescent="0.25">
      <c r="A8377" s="358"/>
      <c r="B8377" s="361"/>
      <c r="C8377" s="221" t="s">
        <v>77</v>
      </c>
      <c r="D8377" s="231"/>
      <c r="E8377" s="231"/>
      <c r="F8377" s="231"/>
      <c r="G8377" s="238">
        <f>MROUND(H8377*L8377*I8377/K8377,0.00000000001)</f>
        <v>0</v>
      </c>
      <c r="H8377" s="160">
        <f>H8137</f>
        <v>0</v>
      </c>
      <c r="I8377" s="159">
        <f>I8375</f>
        <v>5.9285520000000001E-2</v>
      </c>
      <c r="J8377" s="160"/>
      <c r="K8377" s="161">
        <f>K8375</f>
        <v>1175</v>
      </c>
      <c r="L8377" s="250"/>
      <c r="M8377" s="163"/>
      <c r="N8377" s="164">
        <f>N8137</f>
        <v>0</v>
      </c>
      <c r="O8377" s="165">
        <f>MROUND(G8377*N8377,0.000000001)</f>
        <v>0</v>
      </c>
      <c r="P8377" s="166"/>
      <c r="Q8377" s="166">
        <f t="shared" ref="Q8377" si="2422">O8377*K8377</f>
        <v>0</v>
      </c>
      <c r="R8377" s="71"/>
    </row>
    <row r="8378" spans="1:18" s="62" customFormat="1" x14ac:dyDescent="0.25">
      <c r="A8378" s="358"/>
      <c r="B8378" s="361"/>
      <c r="C8378" s="218" t="s">
        <v>292</v>
      </c>
      <c r="D8378" s="232"/>
      <c r="E8378" s="232"/>
      <c r="F8378" s="232"/>
      <c r="G8378" s="227"/>
      <c r="H8378" s="228"/>
      <c r="I8378" s="206"/>
      <c r="J8378" s="228"/>
      <c r="K8378" s="207"/>
      <c r="L8378" s="257"/>
      <c r="M8378" s="209"/>
      <c r="N8378" s="210"/>
      <c r="O8378" s="198">
        <f>O8377</f>
        <v>0</v>
      </c>
      <c r="P8378" s="267"/>
      <c r="Q8378" s="166"/>
      <c r="R8378" s="71"/>
    </row>
    <row r="8379" spans="1:18" s="61" customFormat="1" x14ac:dyDescent="0.25">
      <c r="A8379" s="358"/>
      <c r="B8379" s="361"/>
      <c r="C8379" s="221"/>
      <c r="D8379" s="350" t="s">
        <v>65</v>
      </c>
      <c r="E8379" s="350"/>
      <c r="F8379" s="350"/>
      <c r="G8379" s="350"/>
      <c r="H8379" s="195"/>
      <c r="I8379" s="159"/>
      <c r="J8379" s="195"/>
      <c r="K8379" s="161"/>
      <c r="L8379" s="196"/>
      <c r="M8379" s="230"/>
      <c r="N8379" s="164"/>
      <c r="O8379" s="165">
        <f t="shared" ref="O8379:O8380" si="2423">MROUND(G8379*N8379,0.000001)</f>
        <v>0</v>
      </c>
      <c r="P8379" s="166"/>
      <c r="Q8379" s="166"/>
      <c r="R8379" s="71"/>
    </row>
    <row r="8380" spans="1:18" s="61" customFormat="1" x14ac:dyDescent="0.25">
      <c r="A8380" s="358"/>
      <c r="B8380" s="361"/>
      <c r="C8380" s="221"/>
      <c r="D8380" s="194"/>
      <c r="E8380" s="194"/>
      <c r="F8380" s="194"/>
      <c r="G8380" s="217"/>
      <c r="H8380" s="195"/>
      <c r="I8380" s="159"/>
      <c r="J8380" s="195"/>
      <c r="K8380" s="161"/>
      <c r="L8380" s="196"/>
      <c r="M8380" s="230"/>
      <c r="N8380" s="164"/>
      <c r="O8380" s="165">
        <f t="shared" si="2423"/>
        <v>0</v>
      </c>
      <c r="P8380" s="166"/>
      <c r="Q8380" s="166"/>
      <c r="R8380" s="71"/>
    </row>
    <row r="8381" spans="1:18" s="61" customFormat="1" x14ac:dyDescent="0.25">
      <c r="A8381" s="358"/>
      <c r="B8381" s="361"/>
      <c r="C8381" s="221" t="s">
        <v>357</v>
      </c>
      <c r="D8381" s="368" t="s">
        <v>66</v>
      </c>
      <c r="E8381" s="368"/>
      <c r="F8381" s="368"/>
      <c r="G8381" s="368"/>
      <c r="H8381" s="195"/>
      <c r="I8381" s="159"/>
      <c r="J8381" s="195"/>
      <c r="K8381" s="161"/>
      <c r="L8381" s="234"/>
      <c r="M8381" s="230"/>
      <c r="N8381" s="164"/>
      <c r="O8381" s="198">
        <f>O8382</f>
        <v>29.616529</v>
      </c>
      <c r="P8381" s="166"/>
      <c r="Q8381" s="166"/>
      <c r="R8381" s="71"/>
    </row>
    <row r="8382" spans="1:18" s="61" customFormat="1" ht="47.25" x14ac:dyDescent="0.25">
      <c r="A8382" s="358"/>
      <c r="B8382" s="361"/>
      <c r="C8382" s="221"/>
      <c r="D8382" s="222" t="s">
        <v>374</v>
      </c>
      <c r="E8382" s="194" t="s">
        <v>28</v>
      </c>
      <c r="F8382" s="194" t="s">
        <v>28</v>
      </c>
      <c r="G8382" s="217">
        <f>MROUND(H8382*L8382*I8382/K8382,0.000000001)</f>
        <v>7.2656300000000004E-3</v>
      </c>
      <c r="H8382" s="201">
        <f>H7782</f>
        <v>36</v>
      </c>
      <c r="I8382" s="159">
        <f>I8377</f>
        <v>5.9285520000000001E-2</v>
      </c>
      <c r="J8382" s="195"/>
      <c r="K8382" s="161">
        <f>K8377</f>
        <v>1175</v>
      </c>
      <c r="L8382" s="235">
        <f>L7782</f>
        <v>4</v>
      </c>
      <c r="M8382" s="163" t="str">
        <f>CONCATENATE(H8382," ",F8382,"*",I8382,"/",K8382,"чел.")</f>
        <v>36 шт*0,05928552/1175чел.</v>
      </c>
      <c r="N8382" s="164">
        <f>N7782</f>
        <v>4076.2506250000024</v>
      </c>
      <c r="O8382" s="165">
        <f>MROUND(G8382*N8382,0.000001)</f>
        <v>29.616529</v>
      </c>
      <c r="P8382" s="166"/>
      <c r="Q8382" s="166">
        <f t="shared" ref="Q8382" si="2424">O8382*K8382</f>
        <v>34799.421575</v>
      </c>
      <c r="R8382" s="71"/>
    </row>
    <row r="8383" spans="1:18" s="61" customFormat="1" x14ac:dyDescent="0.25">
      <c r="A8383" s="358"/>
      <c r="B8383" s="361"/>
      <c r="C8383" s="221"/>
      <c r="D8383" s="368" t="s">
        <v>67</v>
      </c>
      <c r="E8383" s="368"/>
      <c r="F8383" s="368"/>
      <c r="G8383" s="368"/>
      <c r="H8383" s="195"/>
      <c r="I8383" s="159"/>
      <c r="J8383" s="195"/>
      <c r="K8383" s="161"/>
      <c r="L8383" s="196"/>
      <c r="M8383" s="230"/>
      <c r="N8383" s="164"/>
      <c r="O8383" s="165">
        <f t="shared" ref="O8383:O8386" si="2425">MROUND(G8383*N8383,0.000001)</f>
        <v>0</v>
      </c>
      <c r="P8383" s="166"/>
      <c r="Q8383" s="166"/>
      <c r="R8383" s="71"/>
    </row>
    <row r="8384" spans="1:18" s="61" customFormat="1" x14ac:dyDescent="0.25">
      <c r="A8384" s="358"/>
      <c r="B8384" s="361"/>
      <c r="C8384" s="221"/>
      <c r="D8384" s="194"/>
      <c r="E8384" s="194"/>
      <c r="F8384" s="194"/>
      <c r="G8384" s="217"/>
      <c r="H8384" s="195"/>
      <c r="I8384" s="159"/>
      <c r="J8384" s="195"/>
      <c r="K8384" s="161"/>
      <c r="L8384" s="196"/>
      <c r="M8384" s="230"/>
      <c r="N8384" s="164"/>
      <c r="O8384" s="165">
        <f t="shared" si="2425"/>
        <v>0</v>
      </c>
      <c r="P8384" s="166"/>
      <c r="Q8384" s="166"/>
      <c r="R8384" s="71"/>
    </row>
    <row r="8385" spans="1:41" s="61" customFormat="1" x14ac:dyDescent="0.25">
      <c r="A8385" s="358"/>
      <c r="B8385" s="361"/>
      <c r="C8385" s="221"/>
      <c r="D8385" s="350" t="s">
        <v>68</v>
      </c>
      <c r="E8385" s="350"/>
      <c r="F8385" s="350"/>
      <c r="G8385" s="350"/>
      <c r="H8385" s="195"/>
      <c r="I8385" s="159"/>
      <c r="J8385" s="195"/>
      <c r="K8385" s="161"/>
      <c r="L8385" s="196"/>
      <c r="M8385" s="230"/>
      <c r="N8385" s="164"/>
      <c r="O8385" s="165">
        <f t="shared" si="2425"/>
        <v>0</v>
      </c>
      <c r="P8385" s="166"/>
      <c r="Q8385" s="166"/>
      <c r="R8385" s="71"/>
    </row>
    <row r="8386" spans="1:41" s="61" customFormat="1" x14ac:dyDescent="0.25">
      <c r="A8386" s="358"/>
      <c r="B8386" s="361"/>
      <c r="C8386" s="221"/>
      <c r="D8386" s="156"/>
      <c r="E8386" s="156"/>
      <c r="F8386" s="156"/>
      <c r="G8386" s="236"/>
      <c r="H8386" s="195"/>
      <c r="I8386" s="159"/>
      <c r="J8386" s="195"/>
      <c r="K8386" s="161"/>
      <c r="L8386" s="196"/>
      <c r="M8386" s="230"/>
      <c r="N8386" s="164"/>
      <c r="O8386" s="165">
        <f t="shared" si="2425"/>
        <v>0</v>
      </c>
      <c r="P8386" s="166"/>
      <c r="Q8386" s="166"/>
      <c r="R8386" s="71"/>
    </row>
    <row r="8387" spans="1:41" s="61" customFormat="1" x14ac:dyDescent="0.25">
      <c r="A8387" s="358"/>
      <c r="B8387" s="361"/>
      <c r="C8387" s="221"/>
      <c r="D8387" s="368" t="s">
        <v>69</v>
      </c>
      <c r="E8387" s="368"/>
      <c r="F8387" s="368"/>
      <c r="G8387" s="368"/>
      <c r="H8387" s="187"/>
      <c r="I8387" s="159"/>
      <c r="J8387" s="187"/>
      <c r="K8387" s="161"/>
      <c r="L8387" s="276"/>
      <c r="M8387" s="230"/>
      <c r="N8387" s="164"/>
      <c r="O8387" s="198">
        <f>O8389+O8396+O8413+O8415+O8430+O8432+O8434+O8459+O8461+O8466+O8463</f>
        <v>1140.0909791900001</v>
      </c>
      <c r="P8387" s="166"/>
      <c r="Q8387" s="166"/>
      <c r="R8387" s="71"/>
    </row>
    <row r="8388" spans="1:41" s="61" customFormat="1" x14ac:dyDescent="0.25">
      <c r="A8388" s="358"/>
      <c r="B8388" s="361"/>
      <c r="C8388" s="221">
        <v>224</v>
      </c>
      <c r="D8388" s="156" t="s">
        <v>21</v>
      </c>
      <c r="E8388" s="156" t="s">
        <v>22</v>
      </c>
      <c r="F8388" s="156" t="s">
        <v>22</v>
      </c>
      <c r="G8388" s="238">
        <f>MROUND(H8388*L8388*I8388/K8388,0.000001)</f>
        <v>0</v>
      </c>
      <c r="H8388" s="158"/>
      <c r="I8388" s="159">
        <f>I8382</f>
        <v>5.9285520000000001E-2</v>
      </c>
      <c r="J8388" s="160"/>
      <c r="K8388" s="161">
        <f>K8382</f>
        <v>1175</v>
      </c>
      <c r="L8388" s="250"/>
      <c r="M8388" s="163"/>
      <c r="N8388" s="164"/>
      <c r="O8388" s="165">
        <f>MROUND(G8388*N8388,0.000001)</f>
        <v>0</v>
      </c>
      <c r="P8388" s="166"/>
      <c r="Q8388" s="166">
        <f t="shared" ref="Q8388" si="2426">O8388*K8388</f>
        <v>0</v>
      </c>
      <c r="R8388" s="71"/>
    </row>
    <row r="8389" spans="1:41" s="62" customFormat="1" x14ac:dyDescent="0.25">
      <c r="A8389" s="358"/>
      <c r="B8389" s="361"/>
      <c r="C8389" s="218" t="s">
        <v>293</v>
      </c>
      <c r="D8389" s="240"/>
      <c r="E8389" s="240"/>
      <c r="F8389" s="240"/>
      <c r="G8389" s="227"/>
      <c r="H8389" s="241"/>
      <c r="I8389" s="206"/>
      <c r="J8389" s="228"/>
      <c r="K8389" s="207"/>
      <c r="L8389" s="257"/>
      <c r="M8389" s="209"/>
      <c r="N8389" s="210"/>
      <c r="O8389" s="198">
        <f>SUM(O8388)</f>
        <v>0</v>
      </c>
      <c r="P8389" s="267"/>
      <c r="Q8389" s="166"/>
      <c r="R8389" s="71"/>
    </row>
    <row r="8390" spans="1:41" s="61" customFormat="1" ht="31.5" x14ac:dyDescent="0.25">
      <c r="A8390" s="358"/>
      <c r="B8390" s="361"/>
      <c r="C8390" s="364" t="s">
        <v>78</v>
      </c>
      <c r="D8390" s="156" t="s">
        <v>26</v>
      </c>
      <c r="E8390" s="156" t="s">
        <v>22</v>
      </c>
      <c r="F8390" s="156" t="s">
        <v>22</v>
      </c>
      <c r="G8390" s="238">
        <f>MROUND(H8390*L8390*I8390/K8390,0.000001)</f>
        <v>15.645322999999999</v>
      </c>
      <c r="H8390" s="158">
        <f>H6830</f>
        <v>25840</v>
      </c>
      <c r="I8390" s="159">
        <f>I8388</f>
        <v>5.9285520000000001E-2</v>
      </c>
      <c r="J8390" s="160"/>
      <c r="K8390" s="161">
        <f>K8388</f>
        <v>1175</v>
      </c>
      <c r="L8390" s="250">
        <v>12</v>
      </c>
      <c r="M8390" s="163" t="str">
        <f>CONCATENATE(H8390," ",F8390,"(обрабатываемая площадь в мес.)","*",L8390,"мес.","*",I8390,"/",K8390,"чел.")</f>
        <v>25840 м2(обрабатываемая площадь в мес.)*12мес.*0,05928552/1175чел.</v>
      </c>
      <c r="N8390" s="164">
        <f>N6830</f>
        <v>1.2568903508771934</v>
      </c>
      <c r="O8390" s="165">
        <f t="shared" ref="O8390:O8395" si="2427">MROUND(G8390*N8390,0.000001)</f>
        <v>19.664455999999998</v>
      </c>
      <c r="P8390" s="166"/>
      <c r="Q8390" s="166">
        <f t="shared" ref="Q8390:Q8395" si="2428">O8390*K8390</f>
        <v>23105.735799999999</v>
      </c>
      <c r="R8390" s="71"/>
    </row>
    <row r="8391" spans="1:41" s="61" customFormat="1" ht="31.5" x14ac:dyDescent="0.25">
      <c r="A8391" s="358"/>
      <c r="B8391" s="361"/>
      <c r="C8391" s="364"/>
      <c r="D8391" s="156" t="s">
        <v>96</v>
      </c>
      <c r="E8391" s="156" t="s">
        <v>22</v>
      </c>
      <c r="F8391" s="156" t="s">
        <v>22</v>
      </c>
      <c r="G8391" s="238">
        <f>MROUND(H8391*L8391*I8391/K8391,0.000001)</f>
        <v>8.0981500000000004</v>
      </c>
      <c r="H8391" s="158">
        <f>H6831</f>
        <v>13375</v>
      </c>
      <c r="I8391" s="159">
        <f t="shared" si="2416"/>
        <v>5.9285520000000001E-2</v>
      </c>
      <c r="J8391" s="160"/>
      <c r="K8391" s="161">
        <f>K8390</f>
        <v>1175</v>
      </c>
      <c r="L8391" s="250">
        <v>12</v>
      </c>
      <c r="M8391" s="163" t="str">
        <f>CONCATENATE(H8391," ",F8391,"(обрабатываемая площадь в мес.)","*",L8391,"мес.","*",I8391,"/",K8391,"чел.")</f>
        <v>13375 м2(обрабатываемая площадь в мес.)*12мес.*0,05928552/1175чел.</v>
      </c>
      <c r="N8391" s="164">
        <f>N6831</f>
        <v>2.0157672274143299</v>
      </c>
      <c r="O8391" s="165">
        <f t="shared" si="2427"/>
        <v>16.323985</v>
      </c>
      <c r="P8391" s="166"/>
      <c r="Q8391" s="166">
        <f t="shared" si="2428"/>
        <v>19180.682375</v>
      </c>
      <c r="R8391" s="71"/>
    </row>
    <row r="8392" spans="1:41" s="135" customFormat="1" ht="31.5" x14ac:dyDescent="0.25">
      <c r="A8392" s="358"/>
      <c r="B8392" s="361"/>
      <c r="C8392" s="364"/>
      <c r="D8392" s="156" t="s">
        <v>385</v>
      </c>
      <c r="E8392" s="156" t="s">
        <v>22</v>
      </c>
      <c r="F8392" s="156" t="s">
        <v>22</v>
      </c>
      <c r="G8392" s="238">
        <f>MROUND(H8392*L8392*I8392/K8392,0.000001)</f>
        <v>16.196300000000001</v>
      </c>
      <c r="H8392" s="242">
        <f>$H$55</f>
        <v>13375</v>
      </c>
      <c r="I8392" s="159">
        <f t="shared" si="2416"/>
        <v>5.9285520000000001E-2</v>
      </c>
      <c r="J8392" s="160"/>
      <c r="K8392" s="161">
        <f>K8391</f>
        <v>1175</v>
      </c>
      <c r="L8392" s="162">
        <v>24</v>
      </c>
      <c r="M8392" s="163" t="str">
        <f>CONCATENATE(H8392," ",F8392,"(обрабатываемая площадь в год)","*",L8392," раза в год.","*",I8392,"/",K8392,"чел.")</f>
        <v>13375 м2(обрабатываемая площадь в год)*24 раза в год.*0,05928552/1175чел.</v>
      </c>
      <c r="N8392" s="164">
        <f>$N$6832</f>
        <v>2.4900656074766365</v>
      </c>
      <c r="O8392" s="165">
        <f t="shared" si="2427"/>
        <v>40.32985</v>
      </c>
      <c r="P8392" s="166"/>
      <c r="Q8392" s="166">
        <f t="shared" si="2428"/>
        <v>47387.573750000003</v>
      </c>
      <c r="R8392" s="71"/>
      <c r="S8392" s="61"/>
      <c r="T8392" s="61"/>
      <c r="U8392" s="61"/>
      <c r="V8392" s="61"/>
      <c r="W8392" s="61"/>
      <c r="X8392" s="61"/>
      <c r="Y8392" s="61"/>
      <c r="Z8392" s="61"/>
      <c r="AA8392" s="61"/>
      <c r="AB8392" s="61"/>
      <c r="AC8392" s="61"/>
      <c r="AD8392" s="61"/>
      <c r="AE8392" s="61"/>
      <c r="AF8392" s="61"/>
      <c r="AG8392" s="61"/>
      <c r="AH8392" s="61"/>
      <c r="AI8392" s="61"/>
      <c r="AJ8392" s="61"/>
      <c r="AK8392" s="61"/>
      <c r="AL8392" s="61"/>
      <c r="AM8392" s="61"/>
      <c r="AN8392" s="61"/>
      <c r="AO8392" s="61"/>
    </row>
    <row r="8393" spans="1:41" s="135" customFormat="1" ht="31.5" x14ac:dyDescent="0.25">
      <c r="A8393" s="358"/>
      <c r="B8393" s="361"/>
      <c r="C8393" s="364"/>
      <c r="D8393" s="156" t="s">
        <v>394</v>
      </c>
      <c r="E8393" s="156" t="s">
        <v>22</v>
      </c>
      <c r="F8393" s="156" t="s">
        <v>22</v>
      </c>
      <c r="G8393" s="238">
        <f>MROUND(H8393*L8393*I8393/K8393,0.000001)</f>
        <v>15.645322999999999</v>
      </c>
      <c r="H8393" s="243">
        <f>$H$56</f>
        <v>25840</v>
      </c>
      <c r="I8393" s="159">
        <f t="shared" si="2416"/>
        <v>5.9285520000000001E-2</v>
      </c>
      <c r="J8393" s="160"/>
      <c r="K8393" s="161">
        <f>K8392</f>
        <v>1175</v>
      </c>
      <c r="L8393" s="162">
        <v>12</v>
      </c>
      <c r="M8393" s="163" t="str">
        <f>CONCATENATE(H8393," ",F8393,"(обрабатываемая площадь в мес.)","*",L8393,"мес.","*",I8393,"/",K8393,"чел.")</f>
        <v>25840 м2(обрабатываемая площадь в мес.)*12мес.*0,05928552/1175чел.</v>
      </c>
      <c r="N8393" s="164">
        <f>$N$6833</f>
        <v>0.59287277476780176</v>
      </c>
      <c r="O8393" s="165">
        <f t="shared" si="2427"/>
        <v>9.2756860000000003</v>
      </c>
      <c r="P8393" s="166"/>
      <c r="Q8393" s="166">
        <f t="shared" si="2428"/>
        <v>10898.931050000001</v>
      </c>
      <c r="R8393" s="71"/>
      <c r="S8393" s="61"/>
      <c r="T8393" s="61"/>
      <c r="U8393" s="61"/>
      <c r="V8393" s="61"/>
      <c r="W8393" s="61"/>
      <c r="X8393" s="61"/>
      <c r="Y8393" s="61"/>
      <c r="Z8393" s="61"/>
      <c r="AA8393" s="61"/>
      <c r="AB8393" s="61"/>
      <c r="AC8393" s="61"/>
      <c r="AD8393" s="61"/>
      <c r="AE8393" s="61"/>
      <c r="AF8393" s="61"/>
      <c r="AG8393" s="61"/>
      <c r="AH8393" s="61"/>
      <c r="AI8393" s="61"/>
      <c r="AJ8393" s="61"/>
      <c r="AK8393" s="61"/>
      <c r="AL8393" s="61"/>
      <c r="AM8393" s="61"/>
      <c r="AN8393" s="61"/>
      <c r="AO8393" s="61"/>
    </row>
    <row r="8394" spans="1:41" s="135" customFormat="1" ht="31.5" x14ac:dyDescent="0.25">
      <c r="A8394" s="358"/>
      <c r="B8394" s="361"/>
      <c r="C8394" s="364"/>
      <c r="D8394" s="156" t="s">
        <v>395</v>
      </c>
      <c r="E8394" s="156" t="s">
        <v>98</v>
      </c>
      <c r="F8394" s="156" t="s">
        <v>98</v>
      </c>
      <c r="G8394" s="238">
        <f>MROUND(H8394*L8394*I8394/K8394,0.0000000001)</f>
        <v>9.5563210000000002E-4</v>
      </c>
      <c r="H8394" s="242">
        <f>$H$57</f>
        <v>18.939999999999998</v>
      </c>
      <c r="I8394" s="159">
        <f t="shared" si="2416"/>
        <v>5.9285520000000001E-2</v>
      </c>
      <c r="J8394" s="160"/>
      <c r="K8394" s="161">
        <f>K8393</f>
        <v>1175</v>
      </c>
      <c r="L8394" s="162">
        <v>1</v>
      </c>
      <c r="M8394" s="163" t="str">
        <f>CONCATENATE(H8394," ",F8394,"(обрабатываемая площадь в год)","*",L8394," раз в год","*",I8394,"/",K8394,"чел.")</f>
        <v>18,94 Га(обрабатываемая площадь в год)*1 раз в год*0,05928552/1175чел.</v>
      </c>
      <c r="N8394" s="164">
        <f>$N$6834</f>
        <v>592.87803590285125</v>
      </c>
      <c r="O8394" s="165">
        <f t="shared" si="2427"/>
        <v>0.56657299999999999</v>
      </c>
      <c r="P8394" s="166"/>
      <c r="Q8394" s="166">
        <f t="shared" si="2428"/>
        <v>665.72327499999994</v>
      </c>
      <c r="R8394" s="71"/>
      <c r="S8394" s="61"/>
      <c r="T8394" s="61"/>
      <c r="U8394" s="61"/>
      <c r="V8394" s="61"/>
      <c r="W8394" s="61"/>
      <c r="X8394" s="61"/>
      <c r="Y8394" s="61"/>
      <c r="Z8394" s="61"/>
      <c r="AA8394" s="61"/>
      <c r="AB8394" s="61"/>
      <c r="AC8394" s="61"/>
      <c r="AD8394" s="61"/>
      <c r="AE8394" s="61"/>
      <c r="AF8394" s="61"/>
      <c r="AG8394" s="61"/>
      <c r="AH8394" s="61"/>
      <c r="AI8394" s="61"/>
      <c r="AJ8394" s="61"/>
      <c r="AK8394" s="61"/>
      <c r="AL8394" s="61"/>
      <c r="AM8394" s="61"/>
      <c r="AN8394" s="61"/>
      <c r="AO8394" s="61"/>
    </row>
    <row r="8395" spans="1:41" s="61" customFormat="1" ht="31.5" x14ac:dyDescent="0.25">
      <c r="A8395" s="358"/>
      <c r="B8395" s="361"/>
      <c r="C8395" s="364"/>
      <c r="D8395" s="156" t="s">
        <v>97</v>
      </c>
      <c r="E8395" s="156" t="s">
        <v>98</v>
      </c>
      <c r="F8395" s="156" t="s">
        <v>98</v>
      </c>
      <c r="G8395" s="238">
        <f>MROUND(H8395*L8395*I8395/K8395,0.000000001)</f>
        <v>9.556320000000001E-4</v>
      </c>
      <c r="H8395" s="242">
        <f>H7315</f>
        <v>18.939999999999998</v>
      </c>
      <c r="I8395" s="244">
        <f>I8391</f>
        <v>5.9285520000000001E-2</v>
      </c>
      <c r="J8395" s="160"/>
      <c r="K8395" s="161">
        <f>K8391</f>
        <v>1175</v>
      </c>
      <c r="L8395" s="250">
        <v>1</v>
      </c>
      <c r="M8395" s="163" t="str">
        <f>CONCATENATE(H8395," ",F8395,"(обрабатываемая площадь в мес.)","*",L8395,"мес.","*",I8395,"/",K8395,"чел.")</f>
        <v>18,94 Га(обрабатываемая площадь в мес.)*1мес.*0,05928552/1175чел.</v>
      </c>
      <c r="N8395" s="164">
        <f>N7315</f>
        <v>3226.5021119324188</v>
      </c>
      <c r="O8395" s="165">
        <f t="shared" si="2427"/>
        <v>3.0833489999999997</v>
      </c>
      <c r="P8395" s="166"/>
      <c r="Q8395" s="166">
        <f t="shared" si="2428"/>
        <v>3622.9350749999994</v>
      </c>
      <c r="R8395" s="71"/>
    </row>
    <row r="8396" spans="1:41" s="62" customFormat="1" x14ac:dyDescent="0.25">
      <c r="A8396" s="358"/>
      <c r="B8396" s="361"/>
      <c r="C8396" s="245" t="s">
        <v>294</v>
      </c>
      <c r="D8396" s="240"/>
      <c r="E8396" s="240"/>
      <c r="F8396" s="240"/>
      <c r="G8396" s="227"/>
      <c r="H8396" s="241"/>
      <c r="I8396" s="206"/>
      <c r="J8396" s="228"/>
      <c r="K8396" s="207"/>
      <c r="L8396" s="257"/>
      <c r="M8396" s="209"/>
      <c r="N8396" s="210"/>
      <c r="O8396" s="198">
        <f>SUM(O8390:O8395)</f>
        <v>89.243898999999999</v>
      </c>
      <c r="P8396" s="267"/>
      <c r="Q8396" s="166"/>
      <c r="R8396" s="71"/>
    </row>
    <row r="8397" spans="1:41" s="61" customFormat="1" ht="63" x14ac:dyDescent="0.25">
      <c r="A8397" s="358"/>
      <c r="B8397" s="361"/>
      <c r="C8397" s="365" t="s">
        <v>77</v>
      </c>
      <c r="D8397" s="156" t="s">
        <v>29</v>
      </c>
      <c r="E8397" s="156" t="s">
        <v>58</v>
      </c>
      <c r="F8397" s="156" t="s">
        <v>218</v>
      </c>
      <c r="G8397" s="238">
        <f>MROUND(H8397*L8397*I8397/K8397,0.00000001)</f>
        <v>3.0273500000000003E-3</v>
      </c>
      <c r="H8397" s="158">
        <v>15</v>
      </c>
      <c r="I8397" s="159">
        <f>I8395</f>
        <v>5.9285520000000001E-2</v>
      </c>
      <c r="J8397" s="160"/>
      <c r="K8397" s="161">
        <f>K8395</f>
        <v>1175</v>
      </c>
      <c r="L8397" s="162">
        <v>4</v>
      </c>
      <c r="M8397" s="163" t="str">
        <f>CONCATENATE(H8397," ",F8397,"*",L8397," раза в год","*",I8397,"/",K8397,"чел.")</f>
        <v>15 установок*4 раза в год*0,05928552/1175чел.</v>
      </c>
      <c r="N8397" s="164">
        <f>N6837</f>
        <v>2355.4600000000005</v>
      </c>
      <c r="O8397" s="165">
        <f t="shared" ref="O8397:O8405" si="2429">MROUND(G8397*N8397,0.000001)</f>
        <v>7.1308020000000001</v>
      </c>
      <c r="P8397" s="166"/>
      <c r="Q8397" s="166">
        <f t="shared" ref="Q8397:Q8412" si="2430">O8397*K8397</f>
        <v>8378.6923499999994</v>
      </c>
      <c r="R8397" s="71"/>
    </row>
    <row r="8398" spans="1:41" s="61" customFormat="1" ht="47.25" x14ac:dyDescent="0.25">
      <c r="A8398" s="358"/>
      <c r="B8398" s="361"/>
      <c r="C8398" s="366"/>
      <c r="D8398" s="156" t="s">
        <v>30</v>
      </c>
      <c r="E8398" s="156" t="s">
        <v>58</v>
      </c>
      <c r="F8398" s="156" t="s">
        <v>218</v>
      </c>
      <c r="G8398" s="238">
        <f>MROUND(H8398*L8398*I8398/K8398,0.00000001)</f>
        <v>1.5136699999999999E-3</v>
      </c>
      <c r="H8398" s="158">
        <v>15</v>
      </c>
      <c r="I8398" s="159">
        <f t="shared" si="2416"/>
        <v>5.9285520000000001E-2</v>
      </c>
      <c r="J8398" s="160"/>
      <c r="K8398" s="161">
        <f t="shared" ref="K8398:K8406" si="2431">K8397</f>
        <v>1175</v>
      </c>
      <c r="L8398" s="250">
        <v>2</v>
      </c>
      <c r="M8398" s="163" t="str">
        <f>CONCATENATE(H8398," ",F8398,"*",L8398,"полуг.","*",I8398,"/",K8398,"чел.")</f>
        <v>15 установок*2полуг.*0,05928552/1175чел.</v>
      </c>
      <c r="N8398" s="164">
        <f>N7678</f>
        <v>4710.920000000001</v>
      </c>
      <c r="O8398" s="165">
        <f t="shared" si="2429"/>
        <v>7.1307779999999994</v>
      </c>
      <c r="P8398" s="166"/>
      <c r="Q8398" s="166">
        <f t="shared" si="2430"/>
        <v>8378.6641499999987</v>
      </c>
      <c r="R8398" s="71"/>
    </row>
    <row r="8399" spans="1:41" s="61" customFormat="1" x14ac:dyDescent="0.25">
      <c r="A8399" s="358"/>
      <c r="B8399" s="361"/>
      <c r="C8399" s="366"/>
      <c r="D8399" s="156" t="s">
        <v>397</v>
      </c>
      <c r="E8399" s="156" t="s">
        <v>433</v>
      </c>
      <c r="F8399" s="156" t="s">
        <v>433</v>
      </c>
      <c r="G8399" s="238">
        <f>MROUND(H8399*L8399*I8399/K8399,0.000001)</f>
        <v>0</v>
      </c>
      <c r="H8399" s="158">
        <f>H7319</f>
        <v>0</v>
      </c>
      <c r="I8399" s="159">
        <f t="shared" si="2416"/>
        <v>5.9285520000000001E-2</v>
      </c>
      <c r="J8399" s="160"/>
      <c r="K8399" s="161">
        <f t="shared" si="2431"/>
        <v>1175</v>
      </c>
      <c r="L8399" s="162">
        <v>1</v>
      </c>
      <c r="M8399" s="163"/>
      <c r="N8399" s="164">
        <f>N7319</f>
        <v>0</v>
      </c>
      <c r="O8399" s="165">
        <f t="shared" si="2429"/>
        <v>0</v>
      </c>
      <c r="P8399" s="166"/>
      <c r="Q8399" s="166">
        <f t="shared" si="2430"/>
        <v>0</v>
      </c>
      <c r="R8399" s="71"/>
    </row>
    <row r="8400" spans="1:41" s="61" customFormat="1" ht="47.25" x14ac:dyDescent="0.25">
      <c r="A8400" s="358"/>
      <c r="B8400" s="361"/>
      <c r="C8400" s="366"/>
      <c r="D8400" s="156" t="s">
        <v>32</v>
      </c>
      <c r="E8400" s="156" t="s">
        <v>55</v>
      </c>
      <c r="F8400" s="156" t="s">
        <v>219</v>
      </c>
      <c r="G8400" s="238">
        <f>MROUND(H8400*L8400*I8400/K8400,0.000000001)</f>
        <v>7.2656300000000004E-3</v>
      </c>
      <c r="H8400" s="158">
        <f>H7680</f>
        <v>36</v>
      </c>
      <c r="I8400" s="159">
        <f>I8399</f>
        <v>5.9285520000000001E-2</v>
      </c>
      <c r="J8400" s="160"/>
      <c r="K8400" s="161">
        <f t="shared" si="2431"/>
        <v>1175</v>
      </c>
      <c r="L8400" s="250">
        <v>4</v>
      </c>
      <c r="M8400" s="163" t="str">
        <f>CONCATENATE(H8400," ",F8400,"*",L8400,"кв.","*",I8400,"/",K8400,"чел.")</f>
        <v>36 системы*4кв.*0,05928552/1175чел.</v>
      </c>
      <c r="N8400" s="164">
        <f>N7680</f>
        <v>7532.7785416666693</v>
      </c>
      <c r="O8400" s="165">
        <f t="shared" si="2429"/>
        <v>54.730381999999999</v>
      </c>
      <c r="P8400" s="166"/>
      <c r="Q8400" s="166">
        <f t="shared" si="2430"/>
        <v>64308.198850000001</v>
      </c>
      <c r="R8400" s="71"/>
    </row>
    <row r="8401" spans="1:18" s="61" customFormat="1" ht="63" x14ac:dyDescent="0.25">
      <c r="A8401" s="358"/>
      <c r="B8401" s="361"/>
      <c r="C8401" s="366"/>
      <c r="D8401" s="156" t="s">
        <v>33</v>
      </c>
      <c r="E8401" s="156" t="s">
        <v>56</v>
      </c>
      <c r="F8401" s="156" t="s">
        <v>220</v>
      </c>
      <c r="G8401" s="238">
        <f>MROUND(H8401*L8401*I8401/K8401,0.000000001)</f>
        <v>1.8164070000000001E-3</v>
      </c>
      <c r="H8401" s="158">
        <f>$H$64</f>
        <v>36</v>
      </c>
      <c r="I8401" s="159">
        <f>I8400</f>
        <v>5.9285520000000001E-2</v>
      </c>
      <c r="J8401" s="160"/>
      <c r="K8401" s="161">
        <f t="shared" si="2431"/>
        <v>1175</v>
      </c>
      <c r="L8401" s="162">
        <v>1</v>
      </c>
      <c r="M8401" s="163" t="str">
        <f>CONCATENATE(H8401," ",F8401,"*",L8401," раз в год","*",I8401,"/",K8401,"чел.")</f>
        <v>36 дымоходов*1 раз в год*0,05928552/1175чел.</v>
      </c>
      <c r="N8401" s="164">
        <f>N6841</f>
        <v>7312.0941666666668</v>
      </c>
      <c r="O8401" s="165">
        <f t="shared" si="2429"/>
        <v>13.281739</v>
      </c>
      <c r="P8401" s="166"/>
      <c r="Q8401" s="166">
        <f t="shared" si="2430"/>
        <v>15606.043325000001</v>
      </c>
      <c r="R8401" s="71"/>
    </row>
    <row r="8402" spans="1:18" s="61" customFormat="1" x14ac:dyDescent="0.25">
      <c r="A8402" s="358"/>
      <c r="B8402" s="361"/>
      <c r="C8402" s="366"/>
      <c r="D8402" s="194" t="s">
        <v>398</v>
      </c>
      <c r="E8402" s="156" t="s">
        <v>60</v>
      </c>
      <c r="F8402" s="156" t="s">
        <v>60</v>
      </c>
      <c r="G8402" s="238">
        <f>MROUND(H8402*L8402*I8402/K8402,0.000000001)</f>
        <v>1.7659520000000001E-3</v>
      </c>
      <c r="H8402" s="246">
        <f>H6842</f>
        <v>35</v>
      </c>
      <c r="I8402" s="159">
        <f t="shared" si="2416"/>
        <v>5.9285520000000001E-2</v>
      </c>
      <c r="J8402" s="160"/>
      <c r="K8402" s="161">
        <f t="shared" si="2431"/>
        <v>1175</v>
      </c>
      <c r="L8402" s="250">
        <v>1</v>
      </c>
      <c r="M8402" s="163" t="str">
        <f>CONCATENATE(H8402," ",F8402,"*",I8402,"/",K8402,"чел.")</f>
        <v>35 шт.*0,05928552/1175чел.</v>
      </c>
      <c r="N8402" s="164">
        <f>N6842</f>
        <v>12660.374571428585</v>
      </c>
      <c r="O8402" s="165">
        <f t="shared" si="2429"/>
        <v>22.357613999999998</v>
      </c>
      <c r="P8402" s="166"/>
      <c r="Q8402" s="166">
        <f t="shared" si="2430"/>
        <v>26270.196449999999</v>
      </c>
      <c r="R8402" s="71"/>
    </row>
    <row r="8403" spans="1:18" s="61" customFormat="1" ht="47.25" x14ac:dyDescent="0.25">
      <c r="A8403" s="358"/>
      <c r="B8403" s="361"/>
      <c r="C8403" s="366"/>
      <c r="D8403" s="156" t="s">
        <v>401</v>
      </c>
      <c r="E8403" s="156" t="s">
        <v>60</v>
      </c>
      <c r="F8403" s="156" t="s">
        <v>402</v>
      </c>
      <c r="G8403" s="238">
        <f>MROUND(H8403*L8403*I8403/K8403,0.000001)</f>
        <v>3.532E-3</v>
      </c>
      <c r="H8403" s="246">
        <f>H6843</f>
        <v>35</v>
      </c>
      <c r="I8403" s="159">
        <f t="shared" si="2416"/>
        <v>5.9285520000000001E-2</v>
      </c>
      <c r="J8403" s="160"/>
      <c r="K8403" s="161">
        <f t="shared" si="2431"/>
        <v>1175</v>
      </c>
      <c r="L8403" s="162">
        <v>2</v>
      </c>
      <c r="M8403" s="163" t="str">
        <f>CONCATENATE(H8403," ",F8403,"*",L8403," раз в год","*",I8403,"/",K8403,"чел.")</f>
        <v>35 противопожарных водопроводов*2 раз в год*0,05928552/1175чел.</v>
      </c>
      <c r="N8403" s="164">
        <f>N6843</f>
        <v>5928.7300000000032</v>
      </c>
      <c r="O8403" s="165">
        <f t="shared" si="2429"/>
        <v>20.940273999999999</v>
      </c>
      <c r="P8403" s="166"/>
      <c r="Q8403" s="166">
        <f t="shared" si="2430"/>
        <v>24604.821949999998</v>
      </c>
      <c r="R8403" s="71"/>
    </row>
    <row r="8404" spans="1:18" s="61" customFormat="1" ht="31.5" x14ac:dyDescent="0.25">
      <c r="A8404" s="358"/>
      <c r="B8404" s="361"/>
      <c r="C8404" s="366"/>
      <c r="D8404" s="156" t="s">
        <v>221</v>
      </c>
      <c r="E8404" s="156" t="s">
        <v>60</v>
      </c>
      <c r="F8404" s="156" t="s">
        <v>60</v>
      </c>
      <c r="G8404" s="238">
        <f>MROUND(H8404*L8404*I8404/K8404,0.000000001)</f>
        <v>1.0898445000000001E-2</v>
      </c>
      <c r="H8404" s="158">
        <f>H6844</f>
        <v>18</v>
      </c>
      <c r="I8404" s="159">
        <f t="shared" si="2416"/>
        <v>5.9285520000000001E-2</v>
      </c>
      <c r="J8404" s="160"/>
      <c r="K8404" s="161">
        <f t="shared" si="2431"/>
        <v>1175</v>
      </c>
      <c r="L8404" s="250">
        <v>12</v>
      </c>
      <c r="M8404" s="163" t="str">
        <f>CONCATENATE(H8404," ",F8404,"*",L8404,"мес.","*",I8404,"/",K8404,"чел.")</f>
        <v>18 шт.*12мес.*0,05928552/1175чел.</v>
      </c>
      <c r="N8404" s="164">
        <f>N7324</f>
        <v>6840.4345833333346</v>
      </c>
      <c r="O8404" s="165">
        <f t="shared" si="2429"/>
        <v>74.5501</v>
      </c>
      <c r="P8404" s="166"/>
      <c r="Q8404" s="166">
        <f t="shared" si="2430"/>
        <v>87596.367500000008</v>
      </c>
      <c r="R8404" s="71"/>
    </row>
    <row r="8405" spans="1:18" s="61" customFormat="1" ht="47.25" x14ac:dyDescent="0.25">
      <c r="A8405" s="358"/>
      <c r="B8405" s="361"/>
      <c r="C8405" s="366"/>
      <c r="D8405" s="156" t="s">
        <v>34</v>
      </c>
      <c r="E8405" s="156" t="s">
        <v>59</v>
      </c>
      <c r="F8405" s="156" t="s">
        <v>28</v>
      </c>
      <c r="G8405" s="238">
        <f>MROUND(H8405*L8405*I8405/K8405,0.0000000001)</f>
        <v>1.009115E-4</v>
      </c>
      <c r="H8405" s="158">
        <f>H6965</f>
        <v>2</v>
      </c>
      <c r="I8405" s="159">
        <f t="shared" si="2416"/>
        <v>5.9285520000000001E-2</v>
      </c>
      <c r="J8405" s="160"/>
      <c r="K8405" s="161">
        <f t="shared" si="2431"/>
        <v>1175</v>
      </c>
      <c r="L8405" s="250">
        <v>1</v>
      </c>
      <c r="M8405" s="163" t="str">
        <f>CONCATENATE(H8405," ",F8405,"*",I8405,"/",K8405,"чел.")</f>
        <v>2 шт*0,05928552/1175чел.</v>
      </c>
      <c r="N8405" s="164">
        <f>N6845</f>
        <v>8158.8</v>
      </c>
      <c r="O8405" s="165">
        <f t="shared" si="2429"/>
        <v>0.82331699999999997</v>
      </c>
      <c r="P8405" s="166"/>
      <c r="Q8405" s="166">
        <f t="shared" si="2430"/>
        <v>967.39747499999999</v>
      </c>
      <c r="R8405" s="71"/>
    </row>
    <row r="8406" spans="1:18" s="61" customFormat="1" ht="47.25" x14ac:dyDescent="0.25">
      <c r="A8406" s="358"/>
      <c r="B8406" s="361"/>
      <c r="C8406" s="366"/>
      <c r="D8406" s="156" t="s">
        <v>222</v>
      </c>
      <c r="E8406" s="156" t="s">
        <v>60</v>
      </c>
      <c r="F8406" s="156" t="s">
        <v>60</v>
      </c>
      <c r="G8406" s="238">
        <f>MROUND(H8406*L8406*I8406/K8406,0.00000000001)</f>
        <v>2.5227881E-4</v>
      </c>
      <c r="H8406" s="248">
        <f>H7686</f>
        <v>5</v>
      </c>
      <c r="I8406" s="159">
        <f t="shared" si="2416"/>
        <v>5.9285520000000001E-2</v>
      </c>
      <c r="J8406" s="160"/>
      <c r="K8406" s="161">
        <f t="shared" si="2431"/>
        <v>1175</v>
      </c>
      <c r="L8406" s="250">
        <v>1</v>
      </c>
      <c r="M8406" s="163" t="str">
        <f>CONCATENATE(H8406," ",F8406,"*",I8406,"/",K8406,"чел.")</f>
        <v>5 шт.*0,05928552/1175чел.</v>
      </c>
      <c r="N8406" s="164">
        <f>N6846</f>
        <v>45611.39</v>
      </c>
      <c r="O8406" s="165">
        <f>MROUND(G8406*N8406,0.00000001)</f>
        <v>11.506787190000001</v>
      </c>
      <c r="P8406" s="166"/>
      <c r="Q8406" s="166">
        <f t="shared" si="2430"/>
        <v>13520.474948250001</v>
      </c>
      <c r="R8406" s="71"/>
    </row>
    <row r="8407" spans="1:18" s="61" customFormat="1" ht="31.5" x14ac:dyDescent="0.25">
      <c r="A8407" s="358"/>
      <c r="B8407" s="361"/>
      <c r="C8407" s="366"/>
      <c r="D8407" s="156" t="s">
        <v>35</v>
      </c>
      <c r="E8407" s="156" t="s">
        <v>102</v>
      </c>
      <c r="F8407" s="156" t="s">
        <v>223</v>
      </c>
      <c r="G8407" s="238">
        <f>MROUND(H8407*L8407*I8407/K8407,0.00000001)</f>
        <v>1.7659500000000001E-3</v>
      </c>
      <c r="H8407" s="158">
        <f>H6847</f>
        <v>35</v>
      </c>
      <c r="I8407" s="159">
        <f>I8405</f>
        <v>5.9285520000000001E-2</v>
      </c>
      <c r="J8407" s="160"/>
      <c r="K8407" s="161">
        <f>K8405</f>
        <v>1175</v>
      </c>
      <c r="L8407" s="250">
        <v>1</v>
      </c>
      <c r="M8407" s="163" t="str">
        <f>CONCATENATE(H8407," ",F8407,"*",I8407,"/",K8407,"чел.")</f>
        <v>35 замеров*0,05928552/1175чел.</v>
      </c>
      <c r="N8407" s="164">
        <f>N6847</f>
        <v>26000</v>
      </c>
      <c r="O8407" s="165">
        <f t="shared" ref="O8407:O8412" si="2432">MROUND(G8407*N8407,0.000001)</f>
        <v>45.914699999999996</v>
      </c>
      <c r="P8407" s="166"/>
      <c r="Q8407" s="166">
        <f t="shared" si="2430"/>
        <v>53949.772499999999</v>
      </c>
      <c r="R8407" s="71"/>
    </row>
    <row r="8408" spans="1:18" s="61" customFormat="1" ht="47.25" x14ac:dyDescent="0.25">
      <c r="A8408" s="358"/>
      <c r="B8408" s="361"/>
      <c r="C8408" s="366"/>
      <c r="D8408" s="156" t="s">
        <v>399</v>
      </c>
      <c r="E8408" s="156" t="s">
        <v>60</v>
      </c>
      <c r="F8408" s="156" t="s">
        <v>60</v>
      </c>
      <c r="G8408" s="238">
        <f>MROUND(H8408*L8408*I8408/K8408,0.000000001)</f>
        <v>1.7659517E-2</v>
      </c>
      <c r="H8408" s="158">
        <f>H7808</f>
        <v>35</v>
      </c>
      <c r="I8408" s="159">
        <f t="shared" si="2416"/>
        <v>5.9285520000000001E-2</v>
      </c>
      <c r="J8408" s="160"/>
      <c r="K8408" s="161">
        <f>K8407</f>
        <v>1175</v>
      </c>
      <c r="L8408" s="250">
        <v>10</v>
      </c>
      <c r="M8408" s="163" t="str">
        <f>CONCATENATE(H8408," ",F8408,"*",L8408,"мес.","*",I8408,"/",K8408,"чел.")</f>
        <v>35 шт.*10мес.*0,05928552/1175чел.</v>
      </c>
      <c r="N8408" s="164">
        <f>N7808</f>
        <v>3380.9014857142843</v>
      </c>
      <c r="O8408" s="165">
        <f t="shared" si="2432"/>
        <v>59.705086999999999</v>
      </c>
      <c r="P8408" s="166"/>
      <c r="Q8408" s="166">
        <f t="shared" si="2430"/>
        <v>70153.477224999995</v>
      </c>
      <c r="R8408" s="71"/>
    </row>
    <row r="8409" spans="1:18" s="61" customFormat="1" ht="47.25" x14ac:dyDescent="0.25">
      <c r="A8409" s="358"/>
      <c r="B8409" s="361"/>
      <c r="C8409" s="366"/>
      <c r="D8409" s="156" t="s">
        <v>36</v>
      </c>
      <c r="E8409" s="156" t="s">
        <v>31</v>
      </c>
      <c r="F8409" s="156" t="s">
        <v>224</v>
      </c>
      <c r="G8409" s="238">
        <f>MROUND(H8409*L8409*I8409/K8409,0.00000001)</f>
        <v>2.1796889999999999E-2</v>
      </c>
      <c r="H8409" s="158">
        <f>H7689</f>
        <v>36</v>
      </c>
      <c r="I8409" s="159">
        <f t="shared" si="2416"/>
        <v>5.9285520000000001E-2</v>
      </c>
      <c r="J8409" s="160"/>
      <c r="K8409" s="161">
        <f>K8408</f>
        <v>1175</v>
      </c>
      <c r="L8409" s="250">
        <v>12</v>
      </c>
      <c r="M8409" s="163" t="str">
        <f>CONCATENATE(H8409," ",F8409,"*",L8409,"мес.","*",I8409,"/",K8409,"чел.")</f>
        <v>36 устройств*12мес.*0,05928552/1175чел.</v>
      </c>
      <c r="N8409" s="164">
        <f>N6849</f>
        <v>1269.5381481481488</v>
      </c>
      <c r="O8409" s="165">
        <f t="shared" si="2432"/>
        <v>27.671982999999997</v>
      </c>
      <c r="P8409" s="166"/>
      <c r="Q8409" s="166">
        <f t="shared" si="2430"/>
        <v>32514.580024999996</v>
      </c>
      <c r="R8409" s="71"/>
    </row>
    <row r="8410" spans="1:18" s="61" customFormat="1" ht="31.5" x14ac:dyDescent="0.25">
      <c r="A8410" s="358"/>
      <c r="B8410" s="361"/>
      <c r="C8410" s="366"/>
      <c r="D8410" s="156" t="s">
        <v>99</v>
      </c>
      <c r="E8410" s="156" t="s">
        <v>103</v>
      </c>
      <c r="F8410" s="156" t="s">
        <v>225</v>
      </c>
      <c r="G8410" s="238">
        <f>MROUND(H8410*L8410*I8410/K8410,0.00000001)</f>
        <v>1.0141610000000001E-2</v>
      </c>
      <c r="H8410" s="158">
        <f>H6850</f>
        <v>201</v>
      </c>
      <c r="I8410" s="159">
        <f t="shared" si="2416"/>
        <v>5.9285520000000001E-2</v>
      </c>
      <c r="J8410" s="160"/>
      <c r="K8410" s="161">
        <f>K8409</f>
        <v>1175</v>
      </c>
      <c r="L8410" s="250">
        <v>1</v>
      </c>
      <c r="M8410" s="163" t="str">
        <f>CONCATENATE(H8410," ",F8410,"*",I8410,"/",K8410,"чел.")</f>
        <v>201 ед.*0,05928552/1175чел.</v>
      </c>
      <c r="N8410" s="164">
        <f>N6850</f>
        <v>15000</v>
      </c>
      <c r="O8410" s="165">
        <f t="shared" si="2432"/>
        <v>152.12414999999999</v>
      </c>
      <c r="P8410" s="166"/>
      <c r="Q8410" s="166">
        <f t="shared" si="2430"/>
        <v>178745.87624999997</v>
      </c>
      <c r="R8410" s="71"/>
    </row>
    <row r="8411" spans="1:18" s="61" customFormat="1" x14ac:dyDescent="0.25">
      <c r="A8411" s="358"/>
      <c r="B8411" s="361"/>
      <c r="C8411" s="366"/>
      <c r="D8411" s="156" t="s">
        <v>27</v>
      </c>
      <c r="E8411" s="156" t="s">
        <v>28</v>
      </c>
      <c r="F8411" s="156" t="s">
        <v>28</v>
      </c>
      <c r="G8411" s="238">
        <f>MROUND(H8411*L8411*I8411/K8411,0.000001)</f>
        <v>0.21140999999999999</v>
      </c>
      <c r="H8411" s="160">
        <f>H6851</f>
        <v>4190</v>
      </c>
      <c r="I8411" s="159">
        <f t="shared" si="2416"/>
        <v>5.9285520000000001E-2</v>
      </c>
      <c r="J8411" s="160"/>
      <c r="K8411" s="161">
        <f>K8410</f>
        <v>1175</v>
      </c>
      <c r="L8411" s="250">
        <v>1</v>
      </c>
      <c r="M8411" s="163" t="str">
        <f>CONCATENATE(H8411," ",F8411,"*",I8411,"/",K8411,"чел.")</f>
        <v>4190 шт*0,05928552/1175чел.</v>
      </c>
      <c r="N8411" s="164">
        <f>N6851</f>
        <v>435.13600000000008</v>
      </c>
      <c r="O8411" s="165">
        <f t="shared" si="2432"/>
        <v>91.992102000000003</v>
      </c>
      <c r="P8411" s="166"/>
      <c r="Q8411" s="166">
        <f t="shared" si="2430"/>
        <v>108090.71985000001</v>
      </c>
      <c r="R8411" s="71"/>
    </row>
    <row r="8412" spans="1:18" s="61" customFormat="1" ht="31.5" x14ac:dyDescent="0.25">
      <c r="A8412" s="358"/>
      <c r="B8412" s="361"/>
      <c r="C8412" s="367"/>
      <c r="D8412" s="156" t="s">
        <v>104</v>
      </c>
      <c r="E8412" s="156" t="s">
        <v>105</v>
      </c>
      <c r="F8412" s="156" t="s">
        <v>226</v>
      </c>
      <c r="G8412" s="238">
        <f>MROUND(H8412*L8412*I8412/K8412,0.00000001)</f>
        <v>1.8164100000000001E-3</v>
      </c>
      <c r="H8412" s="160">
        <f>H7332</f>
        <v>36</v>
      </c>
      <c r="I8412" s="159">
        <f t="shared" si="2416"/>
        <v>5.9285520000000001E-2</v>
      </c>
      <c r="J8412" s="160"/>
      <c r="K8412" s="161">
        <f>K8411</f>
        <v>1175</v>
      </c>
      <c r="L8412" s="250">
        <v>1</v>
      </c>
      <c r="M8412" s="163" t="str">
        <f>CONCATENATE(H8412," ",F8412,"*",I8412,"/",K8412,"чел.")</f>
        <v>36 отключений*0,05928552/1175чел.</v>
      </c>
      <c r="N8412" s="164">
        <f>N6852</f>
        <v>10671.710000000006</v>
      </c>
      <c r="O8412" s="165">
        <f t="shared" si="2432"/>
        <v>19.384200999999997</v>
      </c>
      <c r="P8412" s="166"/>
      <c r="Q8412" s="166">
        <f t="shared" si="2430"/>
        <v>22776.436174999995</v>
      </c>
      <c r="R8412" s="71"/>
    </row>
    <row r="8413" spans="1:18" s="62" customFormat="1" x14ac:dyDescent="0.25">
      <c r="A8413" s="358"/>
      <c r="B8413" s="361"/>
      <c r="C8413" s="249" t="s">
        <v>292</v>
      </c>
      <c r="D8413" s="240"/>
      <c r="E8413" s="240"/>
      <c r="F8413" s="240"/>
      <c r="G8413" s="227"/>
      <c r="H8413" s="228"/>
      <c r="I8413" s="206"/>
      <c r="J8413" s="228"/>
      <c r="K8413" s="207"/>
      <c r="L8413" s="257"/>
      <c r="M8413" s="209"/>
      <c r="N8413" s="210"/>
      <c r="O8413" s="198">
        <f>SUM(O8397:O8412)</f>
        <v>609.24401619000002</v>
      </c>
      <c r="P8413" s="267"/>
      <c r="Q8413" s="166"/>
      <c r="R8413" s="71"/>
    </row>
    <row r="8414" spans="1:18" s="61" customFormat="1" ht="31.5" x14ac:dyDescent="0.25">
      <c r="A8414" s="358"/>
      <c r="B8414" s="361"/>
      <c r="C8414" s="221" t="s">
        <v>79</v>
      </c>
      <c r="D8414" s="156" t="s">
        <v>37</v>
      </c>
      <c r="E8414" s="156" t="s">
        <v>61</v>
      </c>
      <c r="F8414" s="156" t="s">
        <v>227</v>
      </c>
      <c r="G8414" s="238">
        <f>MROUND(H8414*L8414*I8414/K8414,0.000000001)</f>
        <v>2.0182300000000001E-4</v>
      </c>
      <c r="H8414" s="158">
        <f>H6854</f>
        <v>4</v>
      </c>
      <c r="I8414" s="159">
        <f>I8412</f>
        <v>5.9285520000000001E-2</v>
      </c>
      <c r="J8414" s="160"/>
      <c r="K8414" s="161">
        <f>K8412</f>
        <v>1175</v>
      </c>
      <c r="L8414" s="250">
        <v>1</v>
      </c>
      <c r="M8414" s="163" t="str">
        <f>CONCATENATE(H8414," ",F8414,"*",I8414,"/",K8414,"чел.")</f>
        <v>4 автобуса*0,05928552/1175чел.</v>
      </c>
      <c r="N8414" s="164">
        <f>N6854</f>
        <v>37900.35</v>
      </c>
      <c r="O8414" s="165">
        <f>MROUND(G8414*N8414,0.000001)</f>
        <v>7.6491619999999996</v>
      </c>
      <c r="P8414" s="166"/>
      <c r="Q8414" s="166">
        <f t="shared" ref="Q8414" si="2433">O8414*K8414</f>
        <v>8987.7653499999997</v>
      </c>
      <c r="R8414" s="71"/>
    </row>
    <row r="8415" spans="1:18" s="62" customFormat="1" x14ac:dyDescent="0.25">
      <c r="A8415" s="358"/>
      <c r="B8415" s="361"/>
      <c r="C8415" s="218" t="s">
        <v>295</v>
      </c>
      <c r="D8415" s="240"/>
      <c r="E8415" s="240"/>
      <c r="F8415" s="240"/>
      <c r="G8415" s="227"/>
      <c r="H8415" s="241"/>
      <c r="I8415" s="206"/>
      <c r="J8415" s="228"/>
      <c r="K8415" s="207"/>
      <c r="L8415" s="257"/>
      <c r="M8415" s="209"/>
      <c r="N8415" s="210"/>
      <c r="O8415" s="198">
        <f>SUM(O8414)</f>
        <v>7.6491619999999996</v>
      </c>
      <c r="P8415" s="267"/>
      <c r="Q8415" s="166"/>
      <c r="R8415" s="71"/>
    </row>
    <row r="8416" spans="1:18" s="61" customFormat="1" x14ac:dyDescent="0.25">
      <c r="A8416" s="358"/>
      <c r="B8416" s="361"/>
      <c r="C8416" s="364" t="s">
        <v>80</v>
      </c>
      <c r="D8416" s="156" t="s">
        <v>38</v>
      </c>
      <c r="E8416" s="156" t="s">
        <v>57</v>
      </c>
      <c r="F8416" s="156" t="s">
        <v>228</v>
      </c>
      <c r="G8416" s="238">
        <f>MROUND(H8416*L8416*I8416/K8416,0.0000000001)</f>
        <v>2.1796889100000001E-2</v>
      </c>
      <c r="H8416" s="158">
        <f>H6856</f>
        <v>36</v>
      </c>
      <c r="I8416" s="159">
        <f>I8414</f>
        <v>5.9285520000000001E-2</v>
      </c>
      <c r="J8416" s="160"/>
      <c r="K8416" s="161">
        <f>K8414</f>
        <v>1175</v>
      </c>
      <c r="L8416" s="250">
        <v>12</v>
      </c>
      <c r="M8416" s="163" t="str">
        <f>CONCATENATE(H8416," ",F8416,"*",L8416,"мес.","*",I8416,"/",K8416,"чел.")</f>
        <v>36 зданий*12мес.*0,05928552/1175чел.</v>
      </c>
      <c r="N8416" s="164">
        <f t="shared" ref="N8416:N8424" si="2434">N6856</f>
        <v>5106.1928935185206</v>
      </c>
      <c r="O8416" s="165">
        <f>MROUND(G8416*N8416,0.000001)</f>
        <v>111.29912</v>
      </c>
      <c r="P8416" s="166"/>
      <c r="Q8416" s="166">
        <f t="shared" ref="Q8416:Q8429" si="2435">O8416*K8416</f>
        <v>130776.466</v>
      </c>
      <c r="R8416" s="71"/>
    </row>
    <row r="8417" spans="1:18" s="61" customFormat="1" ht="47.25" x14ac:dyDescent="0.25">
      <c r="A8417" s="358"/>
      <c r="B8417" s="361"/>
      <c r="C8417" s="364"/>
      <c r="D8417" s="156" t="s">
        <v>229</v>
      </c>
      <c r="E8417" s="156" t="s">
        <v>60</v>
      </c>
      <c r="F8417" s="156" t="s">
        <v>60</v>
      </c>
      <c r="G8417" s="238">
        <f>MROUND(H8417*L8417*I8417/K8417,0.000001)</f>
        <v>0.120791</v>
      </c>
      <c r="H8417" s="158">
        <f>H6977</f>
        <v>2394</v>
      </c>
      <c r="I8417" s="159">
        <f>I8416</f>
        <v>5.9285520000000001E-2</v>
      </c>
      <c r="J8417" s="160"/>
      <c r="K8417" s="161">
        <f>K8416</f>
        <v>1175</v>
      </c>
      <c r="L8417" s="250">
        <v>1</v>
      </c>
      <c r="M8417" s="163" t="str">
        <f t="shared" ref="M8417:M8424" si="2436">CONCATENATE(H8417," ",F8417,"*",I8417,"/",K8417,"чел.")</f>
        <v>2394 шт.*0,05928552/1175чел.</v>
      </c>
      <c r="N8417" s="164">
        <f t="shared" si="2434"/>
        <v>177.86185045948207</v>
      </c>
      <c r="O8417" s="165">
        <f>MROUND(G8417*N8417,0.000001)</f>
        <v>21.484110999999999</v>
      </c>
      <c r="P8417" s="166"/>
      <c r="Q8417" s="166">
        <f t="shared" si="2435"/>
        <v>25243.830425</v>
      </c>
      <c r="R8417" s="71"/>
    </row>
    <row r="8418" spans="1:18" s="61" customFormat="1" ht="47.25" x14ac:dyDescent="0.25">
      <c r="A8418" s="358"/>
      <c r="B8418" s="361"/>
      <c r="C8418" s="364"/>
      <c r="D8418" s="156" t="s">
        <v>405</v>
      </c>
      <c r="E8418" s="156" t="s">
        <v>60</v>
      </c>
      <c r="F8418" s="156" t="s">
        <v>406</v>
      </c>
      <c r="G8418" s="238">
        <f>MROUND(H8418*L8418*I8418/K8418,0.00000001)</f>
        <v>1.8164100000000001E-3</v>
      </c>
      <c r="H8418" s="158">
        <f>H6978</f>
        <v>36</v>
      </c>
      <c r="I8418" s="159">
        <f>I8417</f>
        <v>5.9285520000000001E-2</v>
      </c>
      <c r="J8418" s="160"/>
      <c r="K8418" s="161">
        <f>K8417</f>
        <v>1175</v>
      </c>
      <c r="L8418" s="250">
        <v>1</v>
      </c>
      <c r="M8418" s="163" t="str">
        <f t="shared" si="2436"/>
        <v>36 лицензий*0,05928552/1175чел.</v>
      </c>
      <c r="N8418" s="164">
        <f t="shared" si="2434"/>
        <v>13043.200000000006</v>
      </c>
      <c r="O8418" s="165">
        <f t="shared" ref="O8418:O8427" si="2437">MROUND(G8418*N8418,0.000001)</f>
        <v>23.691799</v>
      </c>
      <c r="P8418" s="166"/>
      <c r="Q8418" s="166">
        <f t="shared" si="2435"/>
        <v>27837.863825</v>
      </c>
      <c r="R8418" s="71"/>
    </row>
    <row r="8419" spans="1:18" s="61" customFormat="1" ht="63" x14ac:dyDescent="0.25">
      <c r="A8419" s="358"/>
      <c r="B8419" s="361"/>
      <c r="C8419" s="364"/>
      <c r="D8419" s="156" t="s">
        <v>39</v>
      </c>
      <c r="E8419" s="156" t="s">
        <v>20</v>
      </c>
      <c r="F8419" s="156" t="s">
        <v>234</v>
      </c>
      <c r="G8419" s="238">
        <f>MROUND(H8419*L8419*I8419/K8419,0.000000001)</f>
        <v>5.9537800000000005E-3</v>
      </c>
      <c r="H8419" s="158">
        <f>H7939</f>
        <v>118</v>
      </c>
      <c r="I8419" s="159">
        <f>I8417</f>
        <v>5.9285520000000001E-2</v>
      </c>
      <c r="J8419" s="160"/>
      <c r="K8419" s="161">
        <f>K8417</f>
        <v>1175</v>
      </c>
      <c r="L8419" s="250">
        <v>1</v>
      </c>
      <c r="M8419" s="163" t="str">
        <f t="shared" si="2436"/>
        <v>118 чел(заявленная потребность руководителями учреждений)*0,05928552/1175чел.</v>
      </c>
      <c r="N8419" s="164">
        <f t="shared" si="2434"/>
        <v>830.02203389830515</v>
      </c>
      <c r="O8419" s="165">
        <f t="shared" si="2437"/>
        <v>4.9417689999999999</v>
      </c>
      <c r="P8419" s="166"/>
      <c r="Q8419" s="166">
        <f t="shared" si="2435"/>
        <v>5806.5785749999995</v>
      </c>
      <c r="R8419" s="71"/>
    </row>
    <row r="8420" spans="1:18" s="61" customFormat="1" ht="63" x14ac:dyDescent="0.25">
      <c r="A8420" s="358"/>
      <c r="B8420" s="361"/>
      <c r="C8420" s="364"/>
      <c r="D8420" s="156" t="s">
        <v>40</v>
      </c>
      <c r="E8420" s="156" t="s">
        <v>20</v>
      </c>
      <c r="F8420" s="156" t="s">
        <v>234</v>
      </c>
      <c r="G8420" s="238">
        <f>MROUND(H8420*L8420*I8420/K8420,0.000000001)</f>
        <v>4.8437530000000001E-3</v>
      </c>
      <c r="H8420" s="158">
        <f>H7940</f>
        <v>96</v>
      </c>
      <c r="I8420" s="159">
        <f t="shared" ref="I8420:I8427" si="2438">I8419</f>
        <v>5.9285520000000001E-2</v>
      </c>
      <c r="J8420" s="160"/>
      <c r="K8420" s="161">
        <f t="shared" ref="K8420:K8427" si="2439">K8419</f>
        <v>1175</v>
      </c>
      <c r="L8420" s="250">
        <v>1</v>
      </c>
      <c r="M8420" s="163" t="str">
        <f t="shared" si="2436"/>
        <v>96 чел(заявленная потребность руководителями учреждений)*0,05928552/1175чел.</v>
      </c>
      <c r="N8420" s="164">
        <f t="shared" si="2434"/>
        <v>1778.6189583333326</v>
      </c>
      <c r="O8420" s="165">
        <f t="shared" si="2437"/>
        <v>8.6151909999999994</v>
      </c>
      <c r="P8420" s="166"/>
      <c r="Q8420" s="166">
        <f t="shared" si="2435"/>
        <v>10122.849424999999</v>
      </c>
      <c r="R8420" s="71"/>
    </row>
    <row r="8421" spans="1:18" s="61" customFormat="1" ht="63" x14ac:dyDescent="0.25">
      <c r="A8421" s="358"/>
      <c r="B8421" s="361"/>
      <c r="C8421" s="364"/>
      <c r="D8421" s="156" t="s">
        <v>100</v>
      </c>
      <c r="E8421" s="156" t="s">
        <v>20</v>
      </c>
      <c r="F8421" s="156" t="s">
        <v>234</v>
      </c>
      <c r="G8421" s="238">
        <f>MROUND(H8421*L8421*I8421/K8421,0.000000001)</f>
        <v>4.0869170000000007E-3</v>
      </c>
      <c r="H8421" s="158">
        <f>H7941</f>
        <v>81</v>
      </c>
      <c r="I8421" s="159">
        <f t="shared" si="2438"/>
        <v>5.9285520000000001E-2</v>
      </c>
      <c r="J8421" s="160"/>
      <c r="K8421" s="161">
        <f t="shared" si="2439"/>
        <v>1175</v>
      </c>
      <c r="L8421" s="250">
        <v>1</v>
      </c>
      <c r="M8421" s="163" t="str">
        <f t="shared" si="2436"/>
        <v>81 чел(заявленная потребность руководителями учреждений)*0,05928552/1175чел.</v>
      </c>
      <c r="N8421" s="164">
        <f t="shared" si="2434"/>
        <v>3794.386419753087</v>
      </c>
      <c r="O8421" s="165">
        <f t="shared" si="2437"/>
        <v>15.507342</v>
      </c>
      <c r="P8421" s="166"/>
      <c r="Q8421" s="166">
        <f t="shared" si="2435"/>
        <v>18221.126850000001</v>
      </c>
      <c r="R8421" s="71"/>
    </row>
    <row r="8422" spans="1:18" s="61" customFormat="1" ht="110.25" x14ac:dyDescent="0.25">
      <c r="A8422" s="358"/>
      <c r="B8422" s="361"/>
      <c r="C8422" s="364"/>
      <c r="D8422" s="156" t="s">
        <v>235</v>
      </c>
      <c r="E8422" s="156" t="s">
        <v>50</v>
      </c>
      <c r="F8422" s="156" t="s">
        <v>230</v>
      </c>
      <c r="G8422" s="238">
        <f>MROUND(H8422*L8422*I8422/K8422,0.00000001)</f>
        <v>1.8164100000000001E-3</v>
      </c>
      <c r="H8422" s="158">
        <f>H8182</f>
        <v>36</v>
      </c>
      <c r="I8422" s="159">
        <f t="shared" si="2438"/>
        <v>5.9285520000000001E-2</v>
      </c>
      <c r="J8422" s="160"/>
      <c r="K8422" s="161">
        <f t="shared" si="2439"/>
        <v>1175</v>
      </c>
      <c r="L8422" s="250">
        <v>1</v>
      </c>
      <c r="M8422" s="163" t="str">
        <f t="shared" si="2436"/>
        <v>36 отчетов*0,05928552/1175чел.</v>
      </c>
      <c r="N8422" s="164">
        <f t="shared" si="2434"/>
        <v>7114.47</v>
      </c>
      <c r="O8422" s="165">
        <f t="shared" si="2437"/>
        <v>12.922794</v>
      </c>
      <c r="P8422" s="166"/>
      <c r="Q8422" s="166">
        <f t="shared" si="2435"/>
        <v>15184.282949999999</v>
      </c>
      <c r="R8422" s="71"/>
    </row>
    <row r="8423" spans="1:18" s="61" customFormat="1" ht="63" x14ac:dyDescent="0.25">
      <c r="A8423" s="358"/>
      <c r="B8423" s="361"/>
      <c r="C8423" s="364"/>
      <c r="D8423" s="156" t="s">
        <v>42</v>
      </c>
      <c r="E8423" s="156" t="s">
        <v>51</v>
      </c>
      <c r="F8423" s="156" t="s">
        <v>407</v>
      </c>
      <c r="G8423" s="238">
        <f>MROUND(H8423*L8423*I8423/K8423,0.000001)</f>
        <v>1.0293E-2</v>
      </c>
      <c r="H8423" s="158">
        <f>H7943</f>
        <v>204</v>
      </c>
      <c r="I8423" s="159">
        <f t="shared" si="2438"/>
        <v>5.9285520000000001E-2</v>
      </c>
      <c r="J8423" s="160"/>
      <c r="K8423" s="161">
        <f t="shared" si="2439"/>
        <v>1175</v>
      </c>
      <c r="L8423" s="250">
        <v>1</v>
      </c>
      <c r="M8423" s="163" t="str">
        <f t="shared" si="2436"/>
        <v>204 ед (заявленная потребность руководителями учреждений)*0,05928552/1175чел.</v>
      </c>
      <c r="N8423" s="164">
        <f t="shared" si="2434"/>
        <v>1185.7454901960789</v>
      </c>
      <c r="O8423" s="165">
        <f t="shared" si="2437"/>
        <v>12.204877999999999</v>
      </c>
      <c r="P8423" s="166"/>
      <c r="Q8423" s="166">
        <f t="shared" si="2435"/>
        <v>14340.73165</v>
      </c>
      <c r="R8423" s="71"/>
    </row>
    <row r="8424" spans="1:18" s="61" customFormat="1" ht="31.5" x14ac:dyDescent="0.25">
      <c r="A8424" s="358"/>
      <c r="B8424" s="361"/>
      <c r="C8424" s="364"/>
      <c r="D8424" s="156" t="s">
        <v>43</v>
      </c>
      <c r="E8424" s="156" t="s">
        <v>52</v>
      </c>
      <c r="F8424" s="156" t="s">
        <v>231</v>
      </c>
      <c r="G8424" s="238">
        <f>MROUND(H8424*L8424*I8424/K8424,0.000000001)</f>
        <v>1.8164070000000001E-3</v>
      </c>
      <c r="H8424" s="158">
        <f>H7344</f>
        <v>36</v>
      </c>
      <c r="I8424" s="159">
        <f t="shared" si="2438"/>
        <v>5.9285520000000001E-2</v>
      </c>
      <c r="J8424" s="160"/>
      <c r="K8424" s="161">
        <f t="shared" si="2439"/>
        <v>1175</v>
      </c>
      <c r="L8424" s="250">
        <v>1</v>
      </c>
      <c r="M8424" s="163" t="str">
        <f t="shared" si="2436"/>
        <v>36 ЭЦП*0,05928552/1175чел.</v>
      </c>
      <c r="N8424" s="164">
        <f t="shared" si="2434"/>
        <v>8423.5400000000009</v>
      </c>
      <c r="O8424" s="165">
        <f t="shared" si="2437"/>
        <v>15.300576999999999</v>
      </c>
      <c r="P8424" s="166"/>
      <c r="Q8424" s="166">
        <f t="shared" si="2435"/>
        <v>17978.177974999999</v>
      </c>
      <c r="R8424" s="71"/>
    </row>
    <row r="8425" spans="1:18" s="61" customFormat="1" ht="47.25" x14ac:dyDescent="0.25">
      <c r="A8425" s="358"/>
      <c r="B8425" s="361"/>
      <c r="C8425" s="364"/>
      <c r="D8425" s="156" t="s">
        <v>44</v>
      </c>
      <c r="E8425" s="156" t="s">
        <v>85</v>
      </c>
      <c r="F8425" s="156" t="s">
        <v>232</v>
      </c>
      <c r="G8425" s="238">
        <f>MROUND(H8425*L8425*I8425/K8425,0.000001)</f>
        <v>6.1353999999999999E-2</v>
      </c>
      <c r="H8425" s="158">
        <f>H7345</f>
        <v>1216</v>
      </c>
      <c r="I8425" s="159">
        <f t="shared" si="2438"/>
        <v>5.9285520000000001E-2</v>
      </c>
      <c r="J8425" s="160"/>
      <c r="K8425" s="161">
        <f t="shared" si="2439"/>
        <v>1175</v>
      </c>
      <c r="L8425" s="250">
        <v>1</v>
      </c>
      <c r="M8425" s="163" t="str">
        <f>CONCATENATE(H8425," ",F8425,"*",L8425,"мес.","*",I8425,"/",K8425,"чел.")</f>
        <v>1216 мед.осмотров в мес.*1мес.*0,05928552/1175чел.</v>
      </c>
      <c r="N8425" s="164">
        <f>N7345</f>
        <v>61.65877467105264</v>
      </c>
      <c r="O8425" s="165">
        <f t="shared" si="2437"/>
        <v>3.7830119999999998</v>
      </c>
      <c r="P8425" s="166"/>
      <c r="Q8425" s="166">
        <f t="shared" si="2435"/>
        <v>4445.0391</v>
      </c>
      <c r="R8425" s="71"/>
    </row>
    <row r="8426" spans="1:18" s="61" customFormat="1" ht="63" x14ac:dyDescent="0.25">
      <c r="A8426" s="358"/>
      <c r="B8426" s="361"/>
      <c r="C8426" s="364"/>
      <c r="D8426" s="156" t="s">
        <v>45</v>
      </c>
      <c r="E8426" s="156" t="s">
        <v>53</v>
      </c>
      <c r="F8426" s="156" t="s">
        <v>233</v>
      </c>
      <c r="G8426" s="238">
        <f>MROUND(H8426*L8426*I8426/K8426,0.000000001)</f>
        <v>2.4218770000000002E-3</v>
      </c>
      <c r="H8426" s="158">
        <f>H7946</f>
        <v>4</v>
      </c>
      <c r="I8426" s="159">
        <f t="shared" si="2438"/>
        <v>5.9285520000000001E-2</v>
      </c>
      <c r="J8426" s="160"/>
      <c r="K8426" s="161">
        <f t="shared" si="2439"/>
        <v>1175</v>
      </c>
      <c r="L8426" s="250">
        <v>12</v>
      </c>
      <c r="M8426" s="163" t="str">
        <f>CONCATENATE(H8426," ",F8426,"*",L8426,"мес.","*",I8426,"/",K8426,"чел.")</f>
        <v>4  машины, оборудованных системой ГЛОНАСС*12мес.*0,05928552/1175чел.</v>
      </c>
      <c r="N8426" s="164">
        <f>N6866</f>
        <v>958.08249999999998</v>
      </c>
      <c r="O8426" s="165">
        <f t="shared" si="2437"/>
        <v>2.3203579999999997</v>
      </c>
      <c r="P8426" s="166"/>
      <c r="Q8426" s="166">
        <f t="shared" si="2435"/>
        <v>2726.4206499999996</v>
      </c>
      <c r="R8426" s="71"/>
    </row>
    <row r="8427" spans="1:18" s="61" customFormat="1" ht="31.5" x14ac:dyDescent="0.25">
      <c r="A8427" s="358"/>
      <c r="B8427" s="361"/>
      <c r="C8427" s="364"/>
      <c r="D8427" s="156" t="s">
        <v>408</v>
      </c>
      <c r="E8427" s="156" t="s">
        <v>20</v>
      </c>
      <c r="F8427" s="156" t="s">
        <v>20</v>
      </c>
      <c r="G8427" s="238">
        <f>MROUND(H8427*L8427*I8427/K8427,0.000000001)</f>
        <v>8.5623428000000001E-2</v>
      </c>
      <c r="H8427" s="158">
        <f>H6867</f>
        <v>1697</v>
      </c>
      <c r="I8427" s="159">
        <f t="shared" si="2438"/>
        <v>5.9285520000000001E-2</v>
      </c>
      <c r="J8427" s="160"/>
      <c r="K8427" s="161">
        <f t="shared" si="2439"/>
        <v>1175</v>
      </c>
      <c r="L8427" s="250">
        <v>1</v>
      </c>
      <c r="M8427" s="163" t="str">
        <f>CONCATENATE(H8427," ",F8427,"*",L8427," раз в год","*",I8427,"/",K8427,"чел.")</f>
        <v>1697 чел.*1 раз в год*0,05928552/1175чел.</v>
      </c>
      <c r="N8427" s="164">
        <f>N6867</f>
        <v>592.87278137890405</v>
      </c>
      <c r="O8427" s="165">
        <f t="shared" si="2437"/>
        <v>50.763799999999996</v>
      </c>
      <c r="P8427" s="166"/>
      <c r="Q8427" s="166">
        <f t="shared" si="2435"/>
        <v>59647.464999999997</v>
      </c>
      <c r="R8427" s="71"/>
    </row>
    <row r="8428" spans="1:18" s="61" customFormat="1" x14ac:dyDescent="0.25">
      <c r="A8428" s="358"/>
      <c r="B8428" s="361"/>
      <c r="C8428" s="364"/>
      <c r="D8428" s="156" t="s">
        <v>373</v>
      </c>
      <c r="E8428" s="156" t="s">
        <v>28</v>
      </c>
      <c r="F8428" s="156" t="s">
        <v>28</v>
      </c>
      <c r="G8428" s="157">
        <f>MROUND(H8428*L8428*I8428/K8428,0.000000001)</f>
        <v>1.8164070000000001E-3</v>
      </c>
      <c r="H8428" s="158">
        <f>H6869</f>
        <v>36</v>
      </c>
      <c r="I8428" s="159">
        <f>I8426</f>
        <v>5.9285520000000001E-2</v>
      </c>
      <c r="J8428" s="160"/>
      <c r="K8428" s="161">
        <f>K8426</f>
        <v>1175</v>
      </c>
      <c r="L8428" s="162">
        <v>1</v>
      </c>
      <c r="M8428" s="163" t="str">
        <f>CONCATENATE(H8428," ",F8428,"*",L8428,"мес.","*",I8428,"/",K8428,"чел.")</f>
        <v>36 шт*1мес.*0,05928552/1175чел.</v>
      </c>
      <c r="N8428" s="164">
        <f>N6869</f>
        <v>24000</v>
      </c>
      <c r="O8428" s="165">
        <f>MROUND(G8428*N8428,0.000000001)</f>
        <v>43.593768000000004</v>
      </c>
      <c r="P8428" s="166"/>
      <c r="Q8428" s="166">
        <f t="shared" si="2435"/>
        <v>51222.677400000008</v>
      </c>
      <c r="R8428" s="71"/>
    </row>
    <row r="8429" spans="1:18" s="61" customFormat="1" ht="31.5" x14ac:dyDescent="0.25">
      <c r="A8429" s="358"/>
      <c r="B8429" s="361"/>
      <c r="C8429" s="364"/>
      <c r="D8429" s="156" t="s">
        <v>106</v>
      </c>
      <c r="E8429" s="156" t="s">
        <v>107</v>
      </c>
      <c r="F8429" s="156"/>
      <c r="G8429" s="238">
        <f>MROUND(H8429*L8429*I8429/K8429,0.000000001)</f>
        <v>0</v>
      </c>
      <c r="H8429" s="158">
        <f>H6868</f>
        <v>0</v>
      </c>
      <c r="I8429" s="159">
        <f>I8426</f>
        <v>5.9285520000000001E-2</v>
      </c>
      <c r="J8429" s="160"/>
      <c r="K8429" s="161">
        <f>K8426</f>
        <v>1175</v>
      </c>
      <c r="L8429" s="250">
        <f>L7229</f>
        <v>0</v>
      </c>
      <c r="M8429" s="163"/>
      <c r="N8429" s="164">
        <f>N6868</f>
        <v>6.0000000000000002E-5</v>
      </c>
      <c r="O8429" s="165">
        <f>MROUND(G8429*N8429,0.000000001)</f>
        <v>0</v>
      </c>
      <c r="P8429" s="166"/>
      <c r="Q8429" s="166">
        <f t="shared" si="2435"/>
        <v>0</v>
      </c>
      <c r="R8429" s="71"/>
    </row>
    <row r="8430" spans="1:18" s="62" customFormat="1" x14ac:dyDescent="0.25">
      <c r="A8430" s="358"/>
      <c r="B8430" s="361"/>
      <c r="C8430" s="245" t="s">
        <v>296</v>
      </c>
      <c r="D8430" s="240"/>
      <c r="E8430" s="240"/>
      <c r="F8430" s="240"/>
      <c r="G8430" s="227"/>
      <c r="H8430" s="241"/>
      <c r="I8430" s="206"/>
      <c r="J8430" s="228"/>
      <c r="K8430" s="207"/>
      <c r="L8430" s="257"/>
      <c r="M8430" s="209"/>
      <c r="N8430" s="210"/>
      <c r="O8430" s="198">
        <f>SUM(O8416:O8429)</f>
        <v>326.42851900000005</v>
      </c>
      <c r="P8430" s="267"/>
      <c r="Q8430" s="166"/>
      <c r="R8430" s="71"/>
    </row>
    <row r="8431" spans="1:18" s="61" customFormat="1" ht="31.5" x14ac:dyDescent="0.25">
      <c r="A8431" s="358"/>
      <c r="B8431" s="361"/>
      <c r="C8431" s="252" t="s">
        <v>237</v>
      </c>
      <c r="D8431" s="156" t="s">
        <v>41</v>
      </c>
      <c r="E8431" s="156" t="s">
        <v>61</v>
      </c>
      <c r="F8431" s="156" t="s">
        <v>227</v>
      </c>
      <c r="G8431" s="238">
        <f>MROUND(H8431*L8431*I8431/K8431,0.000000001)</f>
        <v>2.0182300000000001E-4</v>
      </c>
      <c r="H8431" s="158">
        <f>H7351</f>
        <v>4</v>
      </c>
      <c r="I8431" s="159">
        <f>I8429</f>
        <v>5.9285520000000001E-2</v>
      </c>
      <c r="J8431" s="160"/>
      <c r="K8431" s="161">
        <f>K8429</f>
        <v>1175</v>
      </c>
      <c r="L8431" s="250">
        <v>1</v>
      </c>
      <c r="M8431" s="163" t="str">
        <f>CONCATENATE(H8431," ",F8431,"*",I8431,"/",K8431,"чел.")</f>
        <v>4 автобуса*0,05928552/1175чел.</v>
      </c>
      <c r="N8431" s="164">
        <f>N6871</f>
        <v>27983.595000000001</v>
      </c>
      <c r="O8431" s="165">
        <f>MROUND(G8431*N8431,0.000001)</f>
        <v>5.6477329999999997</v>
      </c>
      <c r="P8431" s="166"/>
      <c r="Q8431" s="166">
        <f t="shared" ref="Q8431" si="2440">O8431*K8431</f>
        <v>6636.0862749999997</v>
      </c>
      <c r="R8431" s="71"/>
    </row>
    <row r="8432" spans="1:18" s="62" customFormat="1" x14ac:dyDescent="0.25">
      <c r="A8432" s="358"/>
      <c r="B8432" s="361"/>
      <c r="C8432" s="245" t="s">
        <v>297</v>
      </c>
      <c r="D8432" s="240"/>
      <c r="E8432" s="240"/>
      <c r="F8432" s="240"/>
      <c r="G8432" s="227"/>
      <c r="H8432" s="241"/>
      <c r="I8432" s="206"/>
      <c r="J8432" s="228"/>
      <c r="K8432" s="207"/>
      <c r="L8432" s="257"/>
      <c r="M8432" s="209"/>
      <c r="N8432" s="210"/>
      <c r="O8432" s="198">
        <f>SUM(O8431)</f>
        <v>5.6477329999999997</v>
      </c>
      <c r="P8432" s="267"/>
      <c r="Q8432" s="166"/>
      <c r="R8432" s="71"/>
    </row>
    <row r="8433" spans="1:18" s="61" customFormat="1" ht="78.75" x14ac:dyDescent="0.25">
      <c r="A8433" s="358"/>
      <c r="B8433" s="361"/>
      <c r="C8433" s="221" t="s">
        <v>236</v>
      </c>
      <c r="D8433" s="156" t="s">
        <v>19</v>
      </c>
      <c r="E8433" s="181" t="s">
        <v>20</v>
      </c>
      <c r="F8433" s="181" t="s">
        <v>238</v>
      </c>
      <c r="G8433" s="238">
        <f>MROUND(H8433*L8433*I8433/K8433,0.000001)</f>
        <v>0</v>
      </c>
      <c r="H8433" s="158"/>
      <c r="I8433" s="159">
        <f>I8429</f>
        <v>5.9285520000000001E-2</v>
      </c>
      <c r="J8433" s="160"/>
      <c r="K8433" s="161">
        <f>K8429</f>
        <v>1175</v>
      </c>
      <c r="L8433" s="250"/>
      <c r="M8433" s="163"/>
      <c r="N8433" s="164"/>
      <c r="O8433" s="165">
        <f>MROUND(G8433*N8433,0.000001)</f>
        <v>0</v>
      </c>
      <c r="P8433" s="166"/>
      <c r="Q8433" s="166">
        <f t="shared" ref="Q8433" si="2441">O8433*K8433</f>
        <v>0</v>
      </c>
      <c r="R8433" s="71"/>
    </row>
    <row r="8434" spans="1:18" s="62" customFormat="1" x14ac:dyDescent="0.25">
      <c r="A8434" s="358"/>
      <c r="B8434" s="361"/>
      <c r="C8434" s="245" t="s">
        <v>298</v>
      </c>
      <c r="D8434" s="240"/>
      <c r="E8434" s="253"/>
      <c r="F8434" s="253"/>
      <c r="G8434" s="227"/>
      <c r="H8434" s="241"/>
      <c r="I8434" s="206"/>
      <c r="J8434" s="228"/>
      <c r="K8434" s="207"/>
      <c r="L8434" s="257"/>
      <c r="M8434" s="209"/>
      <c r="N8434" s="210"/>
      <c r="O8434" s="198">
        <f>SUM(O8433)</f>
        <v>0</v>
      </c>
      <c r="P8434" s="267"/>
      <c r="Q8434" s="166"/>
      <c r="R8434" s="71"/>
    </row>
    <row r="8435" spans="1:18" s="61" customFormat="1" ht="30" x14ac:dyDescent="0.25">
      <c r="A8435" s="358"/>
      <c r="B8435" s="361"/>
      <c r="C8435" s="365" t="s">
        <v>81</v>
      </c>
      <c r="D8435" s="254" t="s">
        <v>410</v>
      </c>
      <c r="E8435" s="156" t="s">
        <v>28</v>
      </c>
      <c r="F8435" s="156" t="s">
        <v>28</v>
      </c>
      <c r="G8435" s="238">
        <f>MROUND(H8435*L8435*I8435/K8435,0.0000000001)</f>
        <v>0</v>
      </c>
      <c r="H8435" s="158"/>
      <c r="I8435" s="159">
        <f>I8429</f>
        <v>5.9285520000000001E-2</v>
      </c>
      <c r="J8435" s="160"/>
      <c r="K8435" s="161">
        <f>K8429</f>
        <v>1175</v>
      </c>
      <c r="L8435" s="250">
        <v>1</v>
      </c>
      <c r="M8435" s="163"/>
      <c r="N8435" s="164"/>
      <c r="O8435" s="165">
        <f>MROUND(G8435*N8435,0.000001)</f>
        <v>0</v>
      </c>
      <c r="P8435" s="166"/>
      <c r="Q8435" s="166">
        <f t="shared" ref="Q8435:Q8458" si="2442">O8435*K8435</f>
        <v>0</v>
      </c>
      <c r="R8435" s="71"/>
    </row>
    <row r="8436" spans="1:18" s="61" customFormat="1" x14ac:dyDescent="0.25">
      <c r="A8436" s="358"/>
      <c r="B8436" s="361"/>
      <c r="C8436" s="366"/>
      <c r="D8436" s="254" t="s">
        <v>325</v>
      </c>
      <c r="E8436" s="156" t="s">
        <v>28</v>
      </c>
      <c r="F8436" s="156" t="s">
        <v>28</v>
      </c>
      <c r="G8436" s="157">
        <f>MROUND(H8436*L8436*I8436/K8436,0.0000000001)</f>
        <v>0</v>
      </c>
      <c r="H8436" s="158"/>
      <c r="I8436" s="159">
        <f>I8435</f>
        <v>5.9285520000000001E-2</v>
      </c>
      <c r="J8436" s="160"/>
      <c r="K8436" s="161">
        <f>K8435</f>
        <v>1175</v>
      </c>
      <c r="L8436" s="250">
        <v>1</v>
      </c>
      <c r="M8436" s="163"/>
      <c r="N8436" s="164"/>
      <c r="O8436" s="165">
        <f>MROUND(G8436*N8436,0.000001)</f>
        <v>0</v>
      </c>
      <c r="P8436" s="166"/>
      <c r="Q8436" s="166">
        <f t="shared" si="2442"/>
        <v>0</v>
      </c>
      <c r="R8436" s="71"/>
    </row>
    <row r="8437" spans="1:18" s="61" customFormat="1" ht="30" x14ac:dyDescent="0.25">
      <c r="A8437" s="358"/>
      <c r="B8437" s="361"/>
      <c r="C8437" s="366"/>
      <c r="D8437" s="254" t="s">
        <v>411</v>
      </c>
      <c r="E8437" s="156" t="s">
        <v>28</v>
      </c>
      <c r="F8437" s="156" t="s">
        <v>28</v>
      </c>
      <c r="G8437" s="238">
        <f>MROUND(H8437*L8437*I8437/K8437,0.00000001)</f>
        <v>0</v>
      </c>
      <c r="H8437" s="158"/>
      <c r="I8437" s="159">
        <f>I8435</f>
        <v>5.9285520000000001E-2</v>
      </c>
      <c r="J8437" s="160"/>
      <c r="K8437" s="161">
        <f>K8435</f>
        <v>1175</v>
      </c>
      <c r="L8437" s="250">
        <v>1</v>
      </c>
      <c r="M8437" s="163"/>
      <c r="N8437" s="164"/>
      <c r="O8437" s="165">
        <f t="shared" ref="O8437:O8458" si="2443">MROUND(G8437*N8437,0.000001)</f>
        <v>0</v>
      </c>
      <c r="P8437" s="166"/>
      <c r="Q8437" s="166">
        <f t="shared" si="2442"/>
        <v>0</v>
      </c>
      <c r="R8437" s="71"/>
    </row>
    <row r="8438" spans="1:18" s="61" customFormat="1" x14ac:dyDescent="0.25">
      <c r="A8438" s="358"/>
      <c r="B8438" s="361"/>
      <c r="C8438" s="366"/>
      <c r="D8438" s="255" t="s">
        <v>412</v>
      </c>
      <c r="E8438" s="156" t="s">
        <v>28</v>
      </c>
      <c r="F8438" s="156" t="s">
        <v>28</v>
      </c>
      <c r="G8438" s="238">
        <f>MROUND(H8438*L8438*I8438/K8438,0.00000001)</f>
        <v>0</v>
      </c>
      <c r="H8438" s="158"/>
      <c r="I8438" s="159">
        <f>I8437</f>
        <v>5.9285520000000001E-2</v>
      </c>
      <c r="J8438" s="160"/>
      <c r="K8438" s="161">
        <f>K8437</f>
        <v>1175</v>
      </c>
      <c r="L8438" s="250">
        <v>1</v>
      </c>
      <c r="M8438" s="163"/>
      <c r="N8438" s="164"/>
      <c r="O8438" s="165">
        <f t="shared" si="2443"/>
        <v>0</v>
      </c>
      <c r="P8438" s="166"/>
      <c r="Q8438" s="166">
        <f t="shared" si="2442"/>
        <v>0</v>
      </c>
      <c r="R8438" s="71"/>
    </row>
    <row r="8439" spans="1:18" s="61" customFormat="1" ht="31.5" x14ac:dyDescent="0.25">
      <c r="A8439" s="358"/>
      <c r="B8439" s="361"/>
      <c r="C8439" s="366"/>
      <c r="D8439" s="255" t="s">
        <v>413</v>
      </c>
      <c r="E8439" s="156" t="s">
        <v>28</v>
      </c>
      <c r="F8439" s="156" t="s">
        <v>28</v>
      </c>
      <c r="G8439" s="238">
        <f>MROUND(H8439*L8439*I8439/K8439,0.0000000001)</f>
        <v>0</v>
      </c>
      <c r="H8439" s="158"/>
      <c r="I8439" s="159">
        <f>I8438</f>
        <v>5.9285520000000001E-2</v>
      </c>
      <c r="J8439" s="160"/>
      <c r="K8439" s="161">
        <f>K8438</f>
        <v>1175</v>
      </c>
      <c r="L8439" s="250">
        <v>1</v>
      </c>
      <c r="M8439" s="163"/>
      <c r="N8439" s="164"/>
      <c r="O8439" s="165">
        <f t="shared" si="2443"/>
        <v>0</v>
      </c>
      <c r="P8439" s="166"/>
      <c r="Q8439" s="166">
        <f t="shared" si="2442"/>
        <v>0</v>
      </c>
      <c r="R8439" s="71"/>
    </row>
    <row r="8440" spans="1:18" s="61" customFormat="1" x14ac:dyDescent="0.25">
      <c r="A8440" s="358"/>
      <c r="B8440" s="361"/>
      <c r="C8440" s="366"/>
      <c r="D8440" s="254" t="s">
        <v>109</v>
      </c>
      <c r="E8440" s="156" t="s">
        <v>28</v>
      </c>
      <c r="F8440" s="156" t="s">
        <v>28</v>
      </c>
      <c r="G8440" s="238">
        <f>MROUND(H8440*L8440*I8440/K8440,0.0000000001)</f>
        <v>0</v>
      </c>
      <c r="H8440" s="158"/>
      <c r="I8440" s="159">
        <f>I8439</f>
        <v>5.9285520000000001E-2</v>
      </c>
      <c r="J8440" s="160"/>
      <c r="K8440" s="161">
        <f>K8439</f>
        <v>1175</v>
      </c>
      <c r="L8440" s="250">
        <v>1</v>
      </c>
      <c r="M8440" s="163"/>
      <c r="N8440" s="164"/>
      <c r="O8440" s="165">
        <f t="shared" si="2443"/>
        <v>0</v>
      </c>
      <c r="P8440" s="166"/>
      <c r="Q8440" s="166">
        <f t="shared" si="2442"/>
        <v>0</v>
      </c>
      <c r="R8440" s="71"/>
    </row>
    <row r="8441" spans="1:18" s="61" customFormat="1" x14ac:dyDescent="0.25">
      <c r="A8441" s="358"/>
      <c r="B8441" s="361"/>
      <c r="C8441" s="366"/>
      <c r="D8441" s="254" t="s">
        <v>414</v>
      </c>
      <c r="E8441" s="156" t="s">
        <v>28</v>
      </c>
      <c r="F8441" s="156" t="s">
        <v>28</v>
      </c>
      <c r="G8441" s="238">
        <f>MROUND(H8441*L8441*I8441/K8441,0.0000000001)</f>
        <v>0</v>
      </c>
      <c r="H8441" s="158"/>
      <c r="I8441" s="159">
        <f>I8439</f>
        <v>5.9285520000000001E-2</v>
      </c>
      <c r="J8441" s="160"/>
      <c r="K8441" s="161">
        <f>K8439</f>
        <v>1175</v>
      </c>
      <c r="L8441" s="250">
        <v>1</v>
      </c>
      <c r="M8441" s="163"/>
      <c r="N8441" s="164"/>
      <c r="O8441" s="165">
        <f t="shared" si="2443"/>
        <v>0</v>
      </c>
      <c r="P8441" s="166"/>
      <c r="Q8441" s="166">
        <f t="shared" si="2442"/>
        <v>0</v>
      </c>
      <c r="R8441" s="71"/>
    </row>
    <row r="8442" spans="1:18" s="61" customFormat="1" x14ac:dyDescent="0.25">
      <c r="A8442" s="358"/>
      <c r="B8442" s="361"/>
      <c r="C8442" s="366"/>
      <c r="D8442" s="254" t="s">
        <v>415</v>
      </c>
      <c r="E8442" s="156" t="s">
        <v>28</v>
      </c>
      <c r="F8442" s="156" t="s">
        <v>28</v>
      </c>
      <c r="G8442" s="238">
        <f>MROUND(H8442*L8442*I8442/K8442,0.00000001)</f>
        <v>0</v>
      </c>
      <c r="H8442" s="158"/>
      <c r="I8442" s="159">
        <f t="shared" ref="I8442:I8451" si="2444">I8440</f>
        <v>5.9285520000000001E-2</v>
      </c>
      <c r="J8442" s="160"/>
      <c r="K8442" s="161">
        <f t="shared" ref="K8442:K8451" si="2445">K8440</f>
        <v>1175</v>
      </c>
      <c r="L8442" s="250">
        <v>1</v>
      </c>
      <c r="M8442" s="163"/>
      <c r="N8442" s="164"/>
      <c r="O8442" s="165">
        <f t="shared" si="2443"/>
        <v>0</v>
      </c>
      <c r="P8442" s="166"/>
      <c r="Q8442" s="166">
        <f t="shared" si="2442"/>
        <v>0</v>
      </c>
      <c r="R8442" s="71"/>
    </row>
    <row r="8443" spans="1:18" s="61" customFormat="1" x14ac:dyDescent="0.25">
      <c r="A8443" s="358"/>
      <c r="B8443" s="361"/>
      <c r="C8443" s="366"/>
      <c r="D8443" s="254" t="s">
        <v>416</v>
      </c>
      <c r="E8443" s="156" t="s">
        <v>28</v>
      </c>
      <c r="F8443" s="156" t="s">
        <v>28</v>
      </c>
      <c r="G8443" s="238">
        <f>MROUND(H8443*L8443*I8443/K8443,0.000000001)</f>
        <v>0</v>
      </c>
      <c r="H8443" s="246"/>
      <c r="I8443" s="159">
        <f t="shared" si="2444"/>
        <v>5.9285520000000001E-2</v>
      </c>
      <c r="J8443" s="160"/>
      <c r="K8443" s="161">
        <f t="shared" si="2445"/>
        <v>1175</v>
      </c>
      <c r="L8443" s="250">
        <v>1</v>
      </c>
      <c r="M8443" s="163"/>
      <c r="N8443" s="164"/>
      <c r="O8443" s="165">
        <f t="shared" si="2443"/>
        <v>0</v>
      </c>
      <c r="P8443" s="166"/>
      <c r="Q8443" s="166">
        <f t="shared" si="2442"/>
        <v>0</v>
      </c>
      <c r="R8443" s="71"/>
    </row>
    <row r="8444" spans="1:18" s="61" customFormat="1" x14ac:dyDescent="0.25">
      <c r="A8444" s="358"/>
      <c r="B8444" s="361"/>
      <c r="C8444" s="366"/>
      <c r="D8444" s="254" t="s">
        <v>417</v>
      </c>
      <c r="E8444" s="156" t="s">
        <v>28</v>
      </c>
      <c r="F8444" s="156" t="s">
        <v>28</v>
      </c>
      <c r="G8444" s="238">
        <f>MROUND(H8444*L8444*I8444/K8444,0.00000001)</f>
        <v>0</v>
      </c>
      <c r="H8444" s="158"/>
      <c r="I8444" s="159">
        <f t="shared" si="2444"/>
        <v>5.9285520000000001E-2</v>
      </c>
      <c r="J8444" s="160"/>
      <c r="K8444" s="161">
        <f t="shared" si="2445"/>
        <v>1175</v>
      </c>
      <c r="L8444" s="250">
        <v>1</v>
      </c>
      <c r="M8444" s="163"/>
      <c r="N8444" s="164"/>
      <c r="O8444" s="165">
        <f t="shared" si="2443"/>
        <v>0</v>
      </c>
      <c r="P8444" s="166"/>
      <c r="Q8444" s="166">
        <f t="shared" si="2442"/>
        <v>0</v>
      </c>
      <c r="R8444" s="71"/>
    </row>
    <row r="8445" spans="1:18" s="61" customFormat="1" ht="30" x14ac:dyDescent="0.25">
      <c r="A8445" s="358"/>
      <c r="B8445" s="361"/>
      <c r="C8445" s="366"/>
      <c r="D8445" s="254" t="s">
        <v>418</v>
      </c>
      <c r="E8445" s="156" t="s">
        <v>28</v>
      </c>
      <c r="F8445" s="156" t="s">
        <v>28</v>
      </c>
      <c r="G8445" s="238">
        <f>MROUND(H8445*L8445*I8445/K8445,0.00000001)</f>
        <v>0</v>
      </c>
      <c r="H8445" s="158"/>
      <c r="I8445" s="159">
        <f t="shared" si="2444"/>
        <v>5.9285520000000001E-2</v>
      </c>
      <c r="J8445" s="160"/>
      <c r="K8445" s="161">
        <f t="shared" si="2445"/>
        <v>1175</v>
      </c>
      <c r="L8445" s="250">
        <v>1</v>
      </c>
      <c r="M8445" s="163"/>
      <c r="N8445" s="164"/>
      <c r="O8445" s="165">
        <f t="shared" si="2443"/>
        <v>0</v>
      </c>
      <c r="P8445" s="166"/>
      <c r="Q8445" s="166">
        <f t="shared" si="2442"/>
        <v>0</v>
      </c>
      <c r="R8445" s="71"/>
    </row>
    <row r="8446" spans="1:18" s="61" customFormat="1" x14ac:dyDescent="0.25">
      <c r="A8446" s="358"/>
      <c r="B8446" s="361"/>
      <c r="C8446" s="366"/>
      <c r="D8446" s="254" t="s">
        <v>324</v>
      </c>
      <c r="E8446" s="156" t="s">
        <v>28</v>
      </c>
      <c r="F8446" s="156" t="s">
        <v>28</v>
      </c>
      <c r="G8446" s="238">
        <f>MROUND(H8446*L8446*I8446/K8446,0.000000001)</f>
        <v>0</v>
      </c>
      <c r="H8446" s="158"/>
      <c r="I8446" s="159">
        <f t="shared" si="2444"/>
        <v>5.9285520000000001E-2</v>
      </c>
      <c r="J8446" s="160"/>
      <c r="K8446" s="161">
        <f t="shared" si="2445"/>
        <v>1175</v>
      </c>
      <c r="L8446" s="250">
        <v>1</v>
      </c>
      <c r="M8446" s="163"/>
      <c r="N8446" s="164"/>
      <c r="O8446" s="165">
        <f t="shared" si="2443"/>
        <v>0</v>
      </c>
      <c r="P8446" s="166"/>
      <c r="Q8446" s="166">
        <f t="shared" si="2442"/>
        <v>0</v>
      </c>
      <c r="R8446" s="71"/>
    </row>
    <row r="8447" spans="1:18" s="61" customFormat="1" x14ac:dyDescent="0.25">
      <c r="A8447" s="358"/>
      <c r="B8447" s="361"/>
      <c r="C8447" s="366"/>
      <c r="D8447" s="254" t="s">
        <v>419</v>
      </c>
      <c r="E8447" s="156" t="s">
        <v>28</v>
      </c>
      <c r="F8447" s="156" t="s">
        <v>28</v>
      </c>
      <c r="G8447" s="238">
        <f>MROUND(H8447*L8447*I8447/K8447,0.000000001)</f>
        <v>0</v>
      </c>
      <c r="H8447" s="246"/>
      <c r="I8447" s="159">
        <f t="shared" si="2444"/>
        <v>5.9285520000000001E-2</v>
      </c>
      <c r="J8447" s="160"/>
      <c r="K8447" s="161">
        <f t="shared" si="2445"/>
        <v>1175</v>
      </c>
      <c r="L8447" s="250">
        <v>1</v>
      </c>
      <c r="M8447" s="163"/>
      <c r="N8447" s="164"/>
      <c r="O8447" s="165">
        <f t="shared" si="2443"/>
        <v>0</v>
      </c>
      <c r="P8447" s="166"/>
      <c r="Q8447" s="166">
        <f t="shared" si="2442"/>
        <v>0</v>
      </c>
      <c r="R8447" s="71"/>
    </row>
    <row r="8448" spans="1:18" s="61" customFormat="1" x14ac:dyDescent="0.25">
      <c r="A8448" s="358"/>
      <c r="B8448" s="361"/>
      <c r="C8448" s="366"/>
      <c r="D8448" s="254" t="s">
        <v>420</v>
      </c>
      <c r="E8448" s="156" t="s">
        <v>28</v>
      </c>
      <c r="F8448" s="156" t="s">
        <v>28</v>
      </c>
      <c r="G8448" s="238">
        <f>MROUND(H8448*L8448*I8448/K8448,0.000000001)</f>
        <v>0</v>
      </c>
      <c r="H8448" s="158"/>
      <c r="I8448" s="159">
        <f t="shared" si="2444"/>
        <v>5.9285520000000001E-2</v>
      </c>
      <c r="J8448" s="160"/>
      <c r="K8448" s="161">
        <f t="shared" si="2445"/>
        <v>1175</v>
      </c>
      <c r="L8448" s="250">
        <v>1</v>
      </c>
      <c r="M8448" s="163"/>
      <c r="N8448" s="164"/>
      <c r="O8448" s="165">
        <f t="shared" si="2443"/>
        <v>0</v>
      </c>
      <c r="P8448" s="166"/>
      <c r="Q8448" s="166">
        <f t="shared" si="2442"/>
        <v>0</v>
      </c>
      <c r="R8448" s="71"/>
    </row>
    <row r="8449" spans="1:18" s="61" customFormat="1" x14ac:dyDescent="0.25">
      <c r="A8449" s="358"/>
      <c r="B8449" s="361"/>
      <c r="C8449" s="366"/>
      <c r="D8449" s="254" t="s">
        <v>421</v>
      </c>
      <c r="E8449" s="156" t="s">
        <v>28</v>
      </c>
      <c r="F8449" s="156" t="s">
        <v>28</v>
      </c>
      <c r="G8449" s="238">
        <f>MROUND(H8449*L8449*I8449/K8449,0.00000001)</f>
        <v>0</v>
      </c>
      <c r="H8449" s="158"/>
      <c r="I8449" s="159">
        <f t="shared" si="2444"/>
        <v>5.9285520000000001E-2</v>
      </c>
      <c r="J8449" s="160"/>
      <c r="K8449" s="161">
        <f t="shared" si="2445"/>
        <v>1175</v>
      </c>
      <c r="L8449" s="250">
        <v>1</v>
      </c>
      <c r="M8449" s="163"/>
      <c r="N8449" s="164"/>
      <c r="O8449" s="165">
        <f t="shared" si="2443"/>
        <v>0</v>
      </c>
      <c r="P8449" s="166"/>
      <c r="Q8449" s="166">
        <f t="shared" si="2442"/>
        <v>0</v>
      </c>
      <c r="R8449" s="71"/>
    </row>
    <row r="8450" spans="1:18" s="61" customFormat="1" ht="30" x14ac:dyDescent="0.25">
      <c r="A8450" s="358"/>
      <c r="B8450" s="361"/>
      <c r="C8450" s="366"/>
      <c r="D8450" s="254" t="s">
        <v>422</v>
      </c>
      <c r="E8450" s="156" t="s">
        <v>28</v>
      </c>
      <c r="F8450" s="156" t="s">
        <v>28</v>
      </c>
      <c r="G8450" s="266">
        <f>MROUND(H8450*L8450*I8450/K8450,0.00000001)</f>
        <v>0</v>
      </c>
      <c r="H8450" s="158"/>
      <c r="I8450" s="159">
        <f t="shared" si="2444"/>
        <v>5.9285520000000001E-2</v>
      </c>
      <c r="J8450" s="160"/>
      <c r="K8450" s="161">
        <f t="shared" si="2445"/>
        <v>1175</v>
      </c>
      <c r="L8450" s="250">
        <v>1</v>
      </c>
      <c r="M8450" s="163"/>
      <c r="N8450" s="164"/>
      <c r="O8450" s="165">
        <f t="shared" si="2443"/>
        <v>0</v>
      </c>
      <c r="P8450" s="166"/>
      <c r="Q8450" s="166">
        <f t="shared" si="2442"/>
        <v>0</v>
      </c>
      <c r="R8450" s="71"/>
    </row>
    <row r="8451" spans="1:18" s="61" customFormat="1" x14ac:dyDescent="0.25">
      <c r="A8451" s="358"/>
      <c r="B8451" s="361"/>
      <c r="C8451" s="366"/>
      <c r="D8451" s="254" t="s">
        <v>423</v>
      </c>
      <c r="E8451" s="156" t="s">
        <v>28</v>
      </c>
      <c r="F8451" s="156" t="s">
        <v>28</v>
      </c>
      <c r="G8451" s="238">
        <f>MROUND(H8451*L8451*I8451/K8451,0.000000001)</f>
        <v>0</v>
      </c>
      <c r="H8451" s="158"/>
      <c r="I8451" s="159">
        <f t="shared" si="2444"/>
        <v>5.9285520000000001E-2</v>
      </c>
      <c r="J8451" s="160"/>
      <c r="K8451" s="161">
        <f t="shared" si="2445"/>
        <v>1175</v>
      </c>
      <c r="L8451" s="250">
        <v>1</v>
      </c>
      <c r="M8451" s="163"/>
      <c r="N8451" s="164"/>
      <c r="O8451" s="165">
        <f t="shared" si="2443"/>
        <v>0</v>
      </c>
      <c r="P8451" s="166"/>
      <c r="Q8451" s="166">
        <f t="shared" si="2442"/>
        <v>0</v>
      </c>
      <c r="R8451" s="71"/>
    </row>
    <row r="8452" spans="1:18" s="61" customFormat="1" x14ac:dyDescent="0.25">
      <c r="A8452" s="358"/>
      <c r="B8452" s="361"/>
      <c r="C8452" s="366"/>
      <c r="D8452" s="254" t="s">
        <v>424</v>
      </c>
      <c r="E8452" s="156" t="s">
        <v>28</v>
      </c>
      <c r="F8452" s="156" t="s">
        <v>28</v>
      </c>
      <c r="G8452" s="238">
        <f t="shared" ref="G8452:G8458" si="2446">MROUND(H8452*L8452*I8452/K8452,0.00000001)</f>
        <v>0</v>
      </c>
      <c r="H8452" s="158"/>
      <c r="I8452" s="159">
        <f>I8441</f>
        <v>5.9285520000000001E-2</v>
      </c>
      <c r="J8452" s="160"/>
      <c r="K8452" s="161">
        <f>K8441</f>
        <v>1175</v>
      </c>
      <c r="L8452" s="250">
        <v>1</v>
      </c>
      <c r="M8452" s="163"/>
      <c r="N8452" s="164"/>
      <c r="O8452" s="165">
        <f t="shared" si="2443"/>
        <v>0</v>
      </c>
      <c r="P8452" s="166"/>
      <c r="Q8452" s="166">
        <f t="shared" si="2442"/>
        <v>0</v>
      </c>
      <c r="R8452" s="71"/>
    </row>
    <row r="8453" spans="1:18" s="61" customFormat="1" x14ac:dyDescent="0.25">
      <c r="A8453" s="358"/>
      <c r="B8453" s="361"/>
      <c r="C8453" s="366"/>
      <c r="D8453" s="254" t="s">
        <v>425</v>
      </c>
      <c r="E8453" s="156" t="s">
        <v>28</v>
      </c>
      <c r="F8453" s="156" t="s">
        <v>28</v>
      </c>
      <c r="G8453" s="277">
        <f t="shared" si="2446"/>
        <v>0</v>
      </c>
      <c r="H8453" s="158"/>
      <c r="I8453" s="159">
        <f t="shared" ref="I8453:I8458" si="2447">I8452</f>
        <v>5.9285520000000001E-2</v>
      </c>
      <c r="J8453" s="160"/>
      <c r="K8453" s="161">
        <f t="shared" ref="K8453:K8458" si="2448">K8452</f>
        <v>1175</v>
      </c>
      <c r="L8453" s="250">
        <v>1</v>
      </c>
      <c r="M8453" s="163"/>
      <c r="N8453" s="164"/>
      <c r="O8453" s="165">
        <f t="shared" si="2443"/>
        <v>0</v>
      </c>
      <c r="P8453" s="166"/>
      <c r="Q8453" s="166">
        <f t="shared" si="2442"/>
        <v>0</v>
      </c>
      <c r="R8453" s="71"/>
    </row>
    <row r="8454" spans="1:18" s="61" customFormat="1" x14ac:dyDescent="0.25">
      <c r="A8454" s="358"/>
      <c r="B8454" s="361"/>
      <c r="C8454" s="366"/>
      <c r="D8454" s="254" t="s">
        <v>108</v>
      </c>
      <c r="E8454" s="156" t="s">
        <v>28</v>
      </c>
      <c r="F8454" s="156" t="s">
        <v>28</v>
      </c>
      <c r="G8454" s="238">
        <f t="shared" si="2446"/>
        <v>0</v>
      </c>
      <c r="H8454" s="158"/>
      <c r="I8454" s="159">
        <f t="shared" si="2447"/>
        <v>5.9285520000000001E-2</v>
      </c>
      <c r="J8454" s="160"/>
      <c r="K8454" s="161">
        <f t="shared" si="2448"/>
        <v>1175</v>
      </c>
      <c r="L8454" s="250">
        <v>1</v>
      </c>
      <c r="M8454" s="163"/>
      <c r="N8454" s="164"/>
      <c r="O8454" s="165">
        <f t="shared" si="2443"/>
        <v>0</v>
      </c>
      <c r="P8454" s="166"/>
      <c r="Q8454" s="166">
        <f t="shared" si="2442"/>
        <v>0</v>
      </c>
      <c r="R8454" s="71"/>
    </row>
    <row r="8455" spans="1:18" s="61" customFormat="1" x14ac:dyDescent="0.25">
      <c r="A8455" s="358"/>
      <c r="B8455" s="361"/>
      <c r="C8455" s="366"/>
      <c r="D8455" s="254" t="s">
        <v>426</v>
      </c>
      <c r="E8455" s="156" t="s">
        <v>28</v>
      </c>
      <c r="F8455" s="156" t="s">
        <v>28</v>
      </c>
      <c r="G8455" s="238">
        <f t="shared" si="2446"/>
        <v>0</v>
      </c>
      <c r="H8455" s="158"/>
      <c r="I8455" s="159">
        <f t="shared" si="2447"/>
        <v>5.9285520000000001E-2</v>
      </c>
      <c r="J8455" s="160"/>
      <c r="K8455" s="161">
        <f t="shared" si="2448"/>
        <v>1175</v>
      </c>
      <c r="L8455" s="250">
        <v>1</v>
      </c>
      <c r="M8455" s="163"/>
      <c r="N8455" s="164"/>
      <c r="O8455" s="165">
        <f t="shared" si="2443"/>
        <v>0</v>
      </c>
      <c r="P8455" s="166"/>
      <c r="Q8455" s="166">
        <f t="shared" si="2442"/>
        <v>0</v>
      </c>
      <c r="R8455" s="71"/>
    </row>
    <row r="8456" spans="1:18" s="61" customFormat="1" x14ac:dyDescent="0.25">
      <c r="A8456" s="358"/>
      <c r="B8456" s="361"/>
      <c r="C8456" s="366"/>
      <c r="D8456" s="254" t="s">
        <v>427</v>
      </c>
      <c r="E8456" s="156" t="s">
        <v>28</v>
      </c>
      <c r="F8456" s="156" t="s">
        <v>28</v>
      </c>
      <c r="G8456" s="238">
        <f t="shared" si="2446"/>
        <v>0</v>
      </c>
      <c r="H8456" s="158"/>
      <c r="I8456" s="159">
        <f t="shared" si="2447"/>
        <v>5.9285520000000001E-2</v>
      </c>
      <c r="J8456" s="160"/>
      <c r="K8456" s="161">
        <f t="shared" si="2448"/>
        <v>1175</v>
      </c>
      <c r="L8456" s="250">
        <v>1</v>
      </c>
      <c r="M8456" s="163"/>
      <c r="N8456" s="164"/>
      <c r="O8456" s="165">
        <f t="shared" si="2443"/>
        <v>0</v>
      </c>
      <c r="P8456" s="166"/>
      <c r="Q8456" s="166">
        <f t="shared" si="2442"/>
        <v>0</v>
      </c>
      <c r="R8456" s="71"/>
    </row>
    <row r="8457" spans="1:18" s="61" customFormat="1" x14ac:dyDescent="0.25">
      <c r="A8457" s="358"/>
      <c r="B8457" s="361"/>
      <c r="C8457" s="366"/>
      <c r="D8457" s="254" t="s">
        <v>428</v>
      </c>
      <c r="E8457" s="156" t="s">
        <v>28</v>
      </c>
      <c r="F8457" s="156" t="s">
        <v>28</v>
      </c>
      <c r="G8457" s="238">
        <f t="shared" si="2446"/>
        <v>0</v>
      </c>
      <c r="H8457" s="158"/>
      <c r="I8457" s="159">
        <f t="shared" si="2447"/>
        <v>5.9285520000000001E-2</v>
      </c>
      <c r="J8457" s="160"/>
      <c r="K8457" s="161">
        <f t="shared" si="2448"/>
        <v>1175</v>
      </c>
      <c r="L8457" s="250">
        <v>1</v>
      </c>
      <c r="M8457" s="163"/>
      <c r="N8457" s="164"/>
      <c r="O8457" s="165">
        <f t="shared" si="2443"/>
        <v>0</v>
      </c>
      <c r="P8457" s="166"/>
      <c r="Q8457" s="166">
        <f t="shared" si="2442"/>
        <v>0</v>
      </c>
      <c r="R8457" s="71"/>
    </row>
    <row r="8458" spans="1:18" s="61" customFormat="1" x14ac:dyDescent="0.25">
      <c r="A8458" s="358"/>
      <c r="B8458" s="361"/>
      <c r="C8458" s="366"/>
      <c r="D8458" s="255" t="s">
        <v>429</v>
      </c>
      <c r="E8458" s="156" t="s">
        <v>28</v>
      </c>
      <c r="F8458" s="156" t="s">
        <v>28</v>
      </c>
      <c r="G8458" s="238">
        <f t="shared" si="2446"/>
        <v>0</v>
      </c>
      <c r="H8458" s="158"/>
      <c r="I8458" s="159">
        <f t="shared" si="2447"/>
        <v>5.9285520000000001E-2</v>
      </c>
      <c r="J8458" s="160"/>
      <c r="K8458" s="161">
        <f t="shared" si="2448"/>
        <v>1175</v>
      </c>
      <c r="L8458" s="250">
        <v>1</v>
      </c>
      <c r="M8458" s="163"/>
      <c r="N8458" s="164"/>
      <c r="O8458" s="165">
        <f t="shared" si="2443"/>
        <v>0</v>
      </c>
      <c r="P8458" s="166"/>
      <c r="Q8458" s="166">
        <f t="shared" si="2442"/>
        <v>0</v>
      </c>
      <c r="R8458" s="71"/>
    </row>
    <row r="8459" spans="1:18" s="62" customFormat="1" x14ac:dyDescent="0.25">
      <c r="A8459" s="358"/>
      <c r="B8459" s="361"/>
      <c r="C8459" s="249" t="s">
        <v>299</v>
      </c>
      <c r="D8459" s="256"/>
      <c r="E8459" s="240"/>
      <c r="F8459" s="240"/>
      <c r="G8459" s="227"/>
      <c r="H8459" s="241"/>
      <c r="I8459" s="206"/>
      <c r="J8459" s="228"/>
      <c r="K8459" s="207"/>
      <c r="L8459" s="257"/>
      <c r="M8459" s="209"/>
      <c r="N8459" s="210"/>
      <c r="O8459" s="198">
        <f>SUM(O8435:O8458)</f>
        <v>0</v>
      </c>
      <c r="P8459" s="267"/>
      <c r="Q8459" s="166"/>
      <c r="R8459" s="71"/>
    </row>
    <row r="8460" spans="1:18" s="61" customFormat="1" ht="110.25" x14ac:dyDescent="0.25">
      <c r="A8460" s="358"/>
      <c r="B8460" s="361"/>
      <c r="C8460" s="221" t="s">
        <v>82</v>
      </c>
      <c r="D8460" s="156" t="s">
        <v>46</v>
      </c>
      <c r="E8460" s="156" t="s">
        <v>54</v>
      </c>
      <c r="F8460" s="156" t="s">
        <v>285</v>
      </c>
      <c r="G8460" s="238">
        <f>MROUND(H8460*L8460*I8460/K8460,0.000001)</f>
        <v>0.57065500000000002</v>
      </c>
      <c r="H8460" s="242">
        <f>H7980</f>
        <v>1028.1818077549303</v>
      </c>
      <c r="I8460" s="159">
        <f>I8458</f>
        <v>5.9285520000000001E-2</v>
      </c>
      <c r="J8460" s="160"/>
      <c r="K8460" s="161">
        <f>K8458</f>
        <v>1175</v>
      </c>
      <c r="L8460" s="225">
        <f>L8220</f>
        <v>11</v>
      </c>
      <c r="M8460" s="163" t="str">
        <f>CONCATENATE(H8460," ",F8460,"*",L8460,"автобуса","*",I8460,"/",K8460,"чел.")</f>
        <v>1028,18180775493 л бензина АИ 92 (12,5л/день(зимой)*20дней*7мес+10л/день(летом)*20дней*4мес)*11автобуса*0,05928552/1175чел.</v>
      </c>
      <c r="N8460" s="164">
        <f>N6900</f>
        <v>59.28728000000001</v>
      </c>
      <c r="O8460" s="165">
        <f>MROUND(G8460*N8460,0.000001)</f>
        <v>33.832583</v>
      </c>
      <c r="P8460" s="166"/>
      <c r="Q8460" s="166">
        <f t="shared" ref="Q8460" si="2449">O8460*K8460</f>
        <v>39753.285024999997</v>
      </c>
      <c r="R8460" s="71"/>
    </row>
    <row r="8461" spans="1:18" s="62" customFormat="1" x14ac:dyDescent="0.25">
      <c r="A8461" s="358"/>
      <c r="B8461" s="361"/>
      <c r="C8461" s="218" t="s">
        <v>300</v>
      </c>
      <c r="D8461" s="240"/>
      <c r="E8461" s="240"/>
      <c r="F8461" s="240"/>
      <c r="G8461" s="227"/>
      <c r="H8461" s="241"/>
      <c r="I8461" s="206"/>
      <c r="J8461" s="228"/>
      <c r="K8461" s="207"/>
      <c r="L8461" s="257"/>
      <c r="M8461" s="209"/>
      <c r="N8461" s="210"/>
      <c r="O8461" s="198">
        <f>SUM(O8460)</f>
        <v>33.832583</v>
      </c>
      <c r="P8461" s="267"/>
      <c r="Q8461" s="166"/>
      <c r="R8461" s="71"/>
    </row>
    <row r="8462" spans="1:18" s="61" customFormat="1" ht="47.25" x14ac:dyDescent="0.25">
      <c r="A8462" s="358"/>
      <c r="B8462" s="361"/>
      <c r="C8462" s="221" t="s">
        <v>434</v>
      </c>
      <c r="D8462" s="156" t="s">
        <v>436</v>
      </c>
      <c r="E8462" s="156" t="s">
        <v>28</v>
      </c>
      <c r="F8462" s="156" t="s">
        <v>437</v>
      </c>
      <c r="G8462" s="157">
        <f>MROUND(H8462*L8462*I8462/K8462,0.000001)</f>
        <v>1.4631999999999999E-2</v>
      </c>
      <c r="H8462" s="242">
        <f>$H$125</f>
        <v>290</v>
      </c>
      <c r="I8462" s="159">
        <f>I8460</f>
        <v>5.9285520000000001E-2</v>
      </c>
      <c r="J8462" s="160"/>
      <c r="K8462" s="161">
        <f>K8460</f>
        <v>1175</v>
      </c>
      <c r="L8462" s="162">
        <v>1</v>
      </c>
      <c r="M8462" s="163" t="str">
        <f>CONCATENATE(H8462," ",F8462,"*",L8462,"автобуса","*",I8462,"/",K8462,"чел.")</f>
        <v>290 огнетушителей (потребность учреждений) *1автобуса*0,05928552/1175чел.</v>
      </c>
      <c r="N8462" s="164">
        <f>$N$125</f>
        <v>2000</v>
      </c>
      <c r="O8462" s="165">
        <f>MROUND(G8462*N8462,0.000001)</f>
        <v>29.263999999999999</v>
      </c>
      <c r="P8462" s="166"/>
      <c r="Q8462" s="166">
        <f t="shared" ref="Q8462" si="2450">O8462*K8462</f>
        <v>34385.199999999997</v>
      </c>
      <c r="R8462" s="71"/>
    </row>
    <row r="8463" spans="1:18" s="61" customFormat="1" x14ac:dyDescent="0.25">
      <c r="A8463" s="358"/>
      <c r="B8463" s="361"/>
      <c r="C8463" s="218" t="s">
        <v>435</v>
      </c>
      <c r="D8463" s="240"/>
      <c r="E8463" s="240"/>
      <c r="F8463" s="240"/>
      <c r="G8463" s="251"/>
      <c r="H8463" s="241"/>
      <c r="I8463" s="206"/>
      <c r="J8463" s="228"/>
      <c r="K8463" s="207"/>
      <c r="L8463" s="229"/>
      <c r="M8463" s="209"/>
      <c r="N8463" s="210"/>
      <c r="O8463" s="198">
        <f>SUM(O8462)</f>
        <v>29.263999999999999</v>
      </c>
      <c r="P8463" s="166"/>
      <c r="Q8463" s="166"/>
      <c r="R8463" s="71"/>
    </row>
    <row r="8464" spans="1:18" s="61" customFormat="1" ht="47.25" x14ac:dyDescent="0.25">
      <c r="A8464" s="358"/>
      <c r="B8464" s="361"/>
      <c r="C8464" s="364" t="s">
        <v>118</v>
      </c>
      <c r="D8464" s="156" t="s">
        <v>47</v>
      </c>
      <c r="E8464" s="156" t="s">
        <v>28</v>
      </c>
      <c r="F8464" s="156" t="s">
        <v>239</v>
      </c>
      <c r="G8464" s="238">
        <f>MROUND(H8464*L8464*I8464/K8464,0.00000001)</f>
        <v>7.0638100000000002E-3</v>
      </c>
      <c r="H8464" s="158">
        <f>H7384</f>
        <v>140</v>
      </c>
      <c r="I8464" s="159">
        <f>I8460</f>
        <v>5.9285520000000001E-2</v>
      </c>
      <c r="J8464" s="160"/>
      <c r="K8464" s="161">
        <f>K8460</f>
        <v>1175</v>
      </c>
      <c r="L8464" s="250">
        <v>1</v>
      </c>
      <c r="M8464" s="163" t="str">
        <f>CONCATENATE(H8464," ",F8464,"*",I8464,"/",K8464,"чел.")</f>
        <v>140 манометров (потребность учреждений) *0,05928552/1175чел.</v>
      </c>
      <c r="N8464" s="164">
        <f>N6904</f>
        <v>770.73500000000035</v>
      </c>
      <c r="O8464" s="165">
        <f>MROUND(G8464*N8464,0.000001)</f>
        <v>5.4443259999999993</v>
      </c>
      <c r="P8464" s="166"/>
      <c r="Q8464" s="166">
        <f t="shared" ref="Q8464:Q8465" si="2451">O8464*K8464</f>
        <v>6397.0830499999993</v>
      </c>
      <c r="R8464" s="71"/>
    </row>
    <row r="8465" spans="1:18" s="61" customFormat="1" ht="47.25" x14ac:dyDescent="0.25">
      <c r="A8465" s="358"/>
      <c r="B8465" s="361"/>
      <c r="C8465" s="364"/>
      <c r="D8465" s="255" t="s">
        <v>113</v>
      </c>
      <c r="E8465" s="156" t="s">
        <v>28</v>
      </c>
      <c r="F8465" s="156" t="s">
        <v>240</v>
      </c>
      <c r="G8465" s="238">
        <f>MROUND(H8465*L8465*I8465/K8465,0.00000001)</f>
        <v>0.28835468000000003</v>
      </c>
      <c r="H8465" s="158">
        <f>H7025</f>
        <v>5715</v>
      </c>
      <c r="I8465" s="159">
        <f>I8464</f>
        <v>5.9285520000000001E-2</v>
      </c>
      <c r="J8465" s="160"/>
      <c r="K8465" s="161">
        <f>K8464</f>
        <v>1175</v>
      </c>
      <c r="L8465" s="250">
        <v>1</v>
      </c>
      <c r="M8465" s="163" t="str">
        <f>CONCATENATE(H8465," ",F8465,"*",I8465,"/",K8465,"чел.")</f>
        <v>5715 светильников (потребность учреждений)*0,05928552/1175чел.</v>
      </c>
      <c r="N8465" s="164">
        <f>N6905</f>
        <v>115.61019597550306</v>
      </c>
      <c r="O8465" s="165">
        <f>MROUND(G8465*N8465,0.000001)</f>
        <v>33.336740999999996</v>
      </c>
      <c r="P8465" s="166"/>
      <c r="Q8465" s="166">
        <f t="shared" si="2451"/>
        <v>39170.670674999994</v>
      </c>
      <c r="R8465" s="71"/>
    </row>
    <row r="8466" spans="1:18" s="62" customFormat="1" x14ac:dyDescent="0.25">
      <c r="A8466" s="359"/>
      <c r="B8466" s="362"/>
      <c r="C8466" s="218" t="s">
        <v>301</v>
      </c>
      <c r="D8466" s="256"/>
      <c r="E8466" s="240"/>
      <c r="F8466" s="240"/>
      <c r="G8466" s="227"/>
      <c r="H8466" s="241"/>
      <c r="I8466" s="206"/>
      <c r="J8466" s="228"/>
      <c r="K8466" s="207"/>
      <c r="L8466" s="257"/>
      <c r="M8466" s="209"/>
      <c r="N8466" s="210"/>
      <c r="O8466" s="198">
        <f>SUM(O8464:O8465)</f>
        <v>38.781066999999993</v>
      </c>
      <c r="P8466" s="267"/>
      <c r="Q8466" s="166"/>
      <c r="R8466" s="71"/>
    </row>
    <row r="8467" spans="1:18" s="61" customFormat="1" x14ac:dyDescent="0.25">
      <c r="A8467" s="357" t="str">
        <f>CONCATENATE(школы!$B$21,", ",школы!$C$21,", ",школы!$D$21,"очно-заочная")</f>
        <v>Реализация основных общеобразовательных программ среднего общего образования, очно-заочная, , очно-заочная</v>
      </c>
      <c r="B8467" s="360" t="str">
        <f>школы!$A$21</f>
        <v>802112О.99.0.ББ11АЮ62001</v>
      </c>
      <c r="C8467" s="194"/>
      <c r="D8467" s="363" t="s">
        <v>15</v>
      </c>
      <c r="E8467" s="363"/>
      <c r="F8467" s="363"/>
      <c r="G8467" s="363"/>
      <c r="H8467" s="195"/>
      <c r="I8467" s="195"/>
      <c r="J8467" s="195"/>
      <c r="K8467" s="195"/>
      <c r="L8467" s="196"/>
      <c r="M8467" s="197"/>
      <c r="N8467" s="164"/>
      <c r="O8467" s="198">
        <f>O8468+O8473+O8475</f>
        <v>3477.3779988189999</v>
      </c>
      <c r="P8467" s="166"/>
      <c r="Q8467" s="166"/>
      <c r="R8467" s="71"/>
    </row>
    <row r="8468" spans="1:18" s="61" customFormat="1" x14ac:dyDescent="0.25">
      <c r="A8468" s="358"/>
      <c r="B8468" s="361"/>
      <c r="C8468" s="194"/>
      <c r="D8468" s="350" t="s">
        <v>62</v>
      </c>
      <c r="E8468" s="350"/>
      <c r="F8468" s="350"/>
      <c r="G8468" s="350"/>
      <c r="H8468" s="195"/>
      <c r="I8468" s="195"/>
      <c r="J8468" s="195"/>
      <c r="K8468" s="195"/>
      <c r="L8468" s="196"/>
      <c r="M8468" s="197"/>
      <c r="N8468" s="164"/>
      <c r="O8468" s="165">
        <f>O8470+O8472</f>
        <v>3477.3779988189999</v>
      </c>
      <c r="P8468" s="166"/>
      <c r="Q8468" s="166"/>
      <c r="R8468" s="71"/>
    </row>
    <row r="8469" spans="1:18" s="61" customFormat="1" x14ac:dyDescent="0.25">
      <c r="A8469" s="358"/>
      <c r="B8469" s="361"/>
      <c r="C8469" s="194">
        <v>211</v>
      </c>
      <c r="D8469" s="194" t="s">
        <v>86</v>
      </c>
      <c r="E8469" s="199" t="s">
        <v>95</v>
      </c>
      <c r="F8469" s="199" t="s">
        <v>95</v>
      </c>
      <c r="G8469" s="275">
        <f>MROUND(H8469*L8469*I8469/K8469,0.0000000001)</f>
        <v>0.20730175840000001</v>
      </c>
      <c r="H8469" s="201">
        <f>H7629</f>
        <v>921.8</v>
      </c>
      <c r="I8469" s="159">
        <f>школы!$K$21</f>
        <v>8.4332999999999999E-4</v>
      </c>
      <c r="J8469" s="159"/>
      <c r="K8469" s="161">
        <f>школы!$G$21</f>
        <v>45</v>
      </c>
      <c r="L8469" s="202">
        <v>12</v>
      </c>
      <c r="M8469" s="163" t="str">
        <f>CONCATENATE(H8469," ",F8469," ","в мес.","*",L8469,"мес.","*",I8469,"/",K8469,"чел.")</f>
        <v>921,8 шт.ед в мес.*12мес.*0,00084333/45чел.</v>
      </c>
      <c r="N8469" s="164">
        <f>N7629</f>
        <v>12883.620739314385</v>
      </c>
      <c r="O8469" s="165">
        <f>MROUND(G8469*N8469,0.000000001)</f>
        <v>2670.7972338190002</v>
      </c>
      <c r="P8469" s="166"/>
      <c r="Q8469" s="166">
        <f t="shared" ref="Q8469" si="2452">O8469*K8469</f>
        <v>120185.87552185501</v>
      </c>
      <c r="R8469" s="71"/>
    </row>
    <row r="8470" spans="1:18" s="62" customFormat="1" x14ac:dyDescent="0.25">
      <c r="A8470" s="358"/>
      <c r="B8470" s="361"/>
      <c r="C8470" s="203" t="s">
        <v>288</v>
      </c>
      <c r="D8470" s="203"/>
      <c r="E8470" s="204"/>
      <c r="F8470" s="204"/>
      <c r="G8470" s="205"/>
      <c r="H8470" s="206"/>
      <c r="I8470" s="206"/>
      <c r="J8470" s="206"/>
      <c r="K8470" s="207"/>
      <c r="L8470" s="208"/>
      <c r="M8470" s="209"/>
      <c r="N8470" s="210">
        <f>N8469</f>
        <v>12883.620739314385</v>
      </c>
      <c r="O8470" s="198">
        <f>O8469</f>
        <v>2670.7972338190002</v>
      </c>
      <c r="P8470" s="267"/>
      <c r="Q8470" s="166"/>
      <c r="R8470" s="71"/>
    </row>
    <row r="8471" spans="1:18" s="61" customFormat="1" x14ac:dyDescent="0.25">
      <c r="A8471" s="358"/>
      <c r="B8471" s="361"/>
      <c r="C8471" s="194">
        <v>213</v>
      </c>
      <c r="D8471" s="194" t="s">
        <v>87</v>
      </c>
      <c r="E8471" s="194" t="s">
        <v>88</v>
      </c>
      <c r="F8471" s="194"/>
      <c r="G8471" s="211">
        <v>30.2</v>
      </c>
      <c r="H8471" s="159"/>
      <c r="I8471" s="159"/>
      <c r="J8471" s="159"/>
      <c r="K8471" s="161">
        <f>K8469</f>
        <v>45</v>
      </c>
      <c r="L8471" s="202"/>
      <c r="M8471" s="212"/>
      <c r="N8471" s="164"/>
      <c r="O8471" s="165">
        <f>MROUND(O8469*0.302,0.000001)</f>
        <v>806.58076499999993</v>
      </c>
      <c r="P8471" s="166"/>
      <c r="Q8471" s="166">
        <f>O8471*K8471</f>
        <v>36296.134424999997</v>
      </c>
      <c r="R8471" s="71"/>
    </row>
    <row r="8472" spans="1:18" s="62" customFormat="1" x14ac:dyDescent="0.25">
      <c r="A8472" s="358"/>
      <c r="B8472" s="361"/>
      <c r="C8472" s="203" t="s">
        <v>289</v>
      </c>
      <c r="D8472" s="203"/>
      <c r="E8472" s="203"/>
      <c r="F8472" s="203"/>
      <c r="G8472" s="213"/>
      <c r="H8472" s="214"/>
      <c r="I8472" s="206"/>
      <c r="J8472" s="214"/>
      <c r="K8472" s="207"/>
      <c r="L8472" s="215"/>
      <c r="M8472" s="216"/>
      <c r="N8472" s="210"/>
      <c r="O8472" s="198">
        <f>O8471</f>
        <v>806.58076499999993</v>
      </c>
      <c r="P8472" s="267"/>
      <c r="Q8472" s="166"/>
      <c r="R8472" s="71"/>
    </row>
    <row r="8473" spans="1:18" s="61" customFormat="1" x14ac:dyDescent="0.25">
      <c r="A8473" s="358"/>
      <c r="B8473" s="361"/>
      <c r="C8473" s="194"/>
      <c r="D8473" s="356" t="s">
        <v>63</v>
      </c>
      <c r="E8473" s="356"/>
      <c r="F8473" s="356"/>
      <c r="G8473" s="356"/>
      <c r="H8473" s="195"/>
      <c r="I8473" s="159"/>
      <c r="J8473" s="195"/>
      <c r="K8473" s="161"/>
      <c r="L8473" s="196"/>
      <c r="M8473" s="197"/>
      <c r="N8473" s="164"/>
      <c r="O8473" s="165"/>
      <c r="P8473" s="166"/>
      <c r="Q8473" s="166"/>
      <c r="R8473" s="71"/>
    </row>
    <row r="8474" spans="1:18" s="61" customFormat="1" x14ac:dyDescent="0.25">
      <c r="A8474" s="358"/>
      <c r="B8474" s="361"/>
      <c r="C8474" s="194"/>
      <c r="D8474" s="194"/>
      <c r="E8474" s="194"/>
      <c r="F8474" s="194"/>
      <c r="G8474" s="217"/>
      <c r="H8474" s="195"/>
      <c r="I8474" s="159"/>
      <c r="J8474" s="195"/>
      <c r="K8474" s="161"/>
      <c r="L8474" s="196"/>
      <c r="M8474" s="197"/>
      <c r="N8474" s="164"/>
      <c r="O8474" s="165"/>
      <c r="P8474" s="166"/>
      <c r="Q8474" s="166"/>
      <c r="R8474" s="71"/>
    </row>
    <row r="8475" spans="1:18" s="61" customFormat="1" x14ac:dyDescent="0.25">
      <c r="A8475" s="358"/>
      <c r="B8475" s="361"/>
      <c r="C8475" s="194"/>
      <c r="D8475" s="350" t="s">
        <v>64</v>
      </c>
      <c r="E8475" s="350"/>
      <c r="F8475" s="350"/>
      <c r="G8475" s="350"/>
      <c r="H8475" s="195"/>
      <c r="I8475" s="159"/>
      <c r="J8475" s="195"/>
      <c r="K8475" s="161"/>
      <c r="L8475" s="196"/>
      <c r="M8475" s="197"/>
      <c r="N8475" s="164"/>
      <c r="O8475" s="165"/>
      <c r="P8475" s="166"/>
      <c r="Q8475" s="166"/>
      <c r="R8475" s="71"/>
    </row>
    <row r="8476" spans="1:18" s="61" customFormat="1" x14ac:dyDescent="0.25">
      <c r="A8476" s="358"/>
      <c r="B8476" s="361"/>
      <c r="C8476" s="194"/>
      <c r="D8476" s="194"/>
      <c r="E8476" s="194"/>
      <c r="F8476" s="194"/>
      <c r="G8476" s="217"/>
      <c r="H8476" s="195"/>
      <c r="I8476" s="159"/>
      <c r="J8476" s="195"/>
      <c r="K8476" s="161"/>
      <c r="L8476" s="196"/>
      <c r="M8476" s="197"/>
      <c r="N8476" s="164"/>
      <c r="O8476" s="165"/>
      <c r="P8476" s="166"/>
      <c r="Q8476" s="166"/>
      <c r="R8476" s="71"/>
    </row>
    <row r="8477" spans="1:18" s="61" customFormat="1" x14ac:dyDescent="0.25">
      <c r="A8477" s="358"/>
      <c r="B8477" s="361"/>
      <c r="C8477" s="194"/>
      <c r="D8477" s="355" t="s">
        <v>5</v>
      </c>
      <c r="E8477" s="355"/>
      <c r="F8477" s="355"/>
      <c r="G8477" s="355"/>
      <c r="H8477" s="195"/>
      <c r="I8477" s="159"/>
      <c r="J8477" s="195"/>
      <c r="K8477" s="161"/>
      <c r="L8477" s="196"/>
      <c r="M8477" s="197"/>
      <c r="N8477" s="164"/>
      <c r="O8477" s="198">
        <f>O8478+O8488+O8499+O8501+O8503+O8505+O8507</f>
        <v>5835.6533188894409</v>
      </c>
      <c r="P8477" s="166"/>
      <c r="Q8477" s="166"/>
      <c r="R8477" s="71"/>
    </row>
    <row r="8478" spans="1:18" s="61" customFormat="1" x14ac:dyDescent="0.25">
      <c r="A8478" s="358"/>
      <c r="B8478" s="361"/>
      <c r="C8478" s="218" t="s">
        <v>70</v>
      </c>
      <c r="D8478" s="355" t="s">
        <v>6</v>
      </c>
      <c r="E8478" s="355"/>
      <c r="F8478" s="355"/>
      <c r="G8478" s="355"/>
      <c r="H8478" s="189"/>
      <c r="I8478" s="159"/>
      <c r="J8478" s="189"/>
      <c r="K8478" s="161"/>
      <c r="L8478" s="190"/>
      <c r="M8478" s="197"/>
      <c r="N8478" s="210"/>
      <c r="O8478" s="198">
        <f>O8487</f>
        <v>3526.9254424900005</v>
      </c>
      <c r="P8478" s="166"/>
      <c r="Q8478" s="166"/>
      <c r="R8478" s="71"/>
    </row>
    <row r="8479" spans="1:18" s="61" customFormat="1" ht="31.5" x14ac:dyDescent="0.25">
      <c r="A8479" s="358"/>
      <c r="B8479" s="361"/>
      <c r="C8479" s="221" t="s">
        <v>72</v>
      </c>
      <c r="D8479" s="222" t="s">
        <v>7</v>
      </c>
      <c r="E8479" s="223" t="s">
        <v>8</v>
      </c>
      <c r="F8479" s="223" t="s">
        <v>8</v>
      </c>
      <c r="G8479" s="238">
        <f>MROUND(H8479*L8479*I8479/K8479,0.00000000001)</f>
        <v>62.090104278969996</v>
      </c>
      <c r="H8479" s="160">
        <f>H7759</f>
        <v>3313121.4264326878</v>
      </c>
      <c r="I8479" s="159">
        <f>I8469</f>
        <v>8.4332999999999999E-4</v>
      </c>
      <c r="J8479" s="160"/>
      <c r="K8479" s="161">
        <f>K8469</f>
        <v>45</v>
      </c>
      <c r="L8479" s="250">
        <v>1</v>
      </c>
      <c r="M8479" s="163" t="str">
        <f t="shared" ref="M8479:M8484" si="2453">CONCATENATE(H8479," ",F8479,"(лимиты выделенные УЖКХ) ","*",I8479,"/",K8479,"чел.")</f>
        <v>3313121,42643269 кВт час.(лимиты выделенные УЖКХ) *0,00084333/45чел.</v>
      </c>
      <c r="N8479" s="164">
        <f>N7759</f>
        <v>11.333602475424668</v>
      </c>
      <c r="O8479" s="165">
        <f t="shared" ref="O8479:O8482" si="2454">MROUND(G8479*N8479,0.000001)</f>
        <v>703.70456000000001</v>
      </c>
      <c r="P8479" s="166"/>
      <c r="Q8479" s="166">
        <f t="shared" ref="Q8479:Q8486" si="2455">O8479*K8479</f>
        <v>31666.7052</v>
      </c>
      <c r="R8479" s="71"/>
    </row>
    <row r="8480" spans="1:18" s="61" customFormat="1" ht="31.5" x14ac:dyDescent="0.25">
      <c r="A8480" s="358"/>
      <c r="B8480" s="361"/>
      <c r="C8480" s="221" t="s">
        <v>73</v>
      </c>
      <c r="D8480" s="222" t="s">
        <v>9</v>
      </c>
      <c r="E8480" s="223" t="s">
        <v>10</v>
      </c>
      <c r="F8480" s="223" t="s">
        <v>10</v>
      </c>
      <c r="G8480" s="238">
        <f>MROUND(H8480*L8480*I8480/K8480,0.00000000001)</f>
        <v>0.59777835352999997</v>
      </c>
      <c r="H8480" s="160">
        <f>H7400</f>
        <v>31897.39</v>
      </c>
      <c r="I8480" s="159">
        <f t="shared" ref="I8480:I8532" si="2456">I8479</f>
        <v>8.4332999999999999E-4</v>
      </c>
      <c r="J8480" s="160"/>
      <c r="K8480" s="161">
        <f t="shared" ref="K8480:K8486" si="2457">K8479</f>
        <v>45</v>
      </c>
      <c r="L8480" s="250">
        <v>1</v>
      </c>
      <c r="M8480" s="163" t="str">
        <f t="shared" si="2453"/>
        <v>31897,39 Гкал(лимиты выделенные УЖКХ) *0,00084333/45чел.</v>
      </c>
      <c r="N8480" s="164">
        <f>N7400</f>
        <v>3095.3018623153812</v>
      </c>
      <c r="O8480" s="165">
        <f t="shared" si="2454"/>
        <v>1850.304451</v>
      </c>
      <c r="P8480" s="166"/>
      <c r="Q8480" s="166">
        <f t="shared" si="2455"/>
        <v>83263.700295000002</v>
      </c>
      <c r="R8480" s="71"/>
    </row>
    <row r="8481" spans="1:18" s="61" customFormat="1" ht="31.5" x14ac:dyDescent="0.25">
      <c r="A8481" s="358"/>
      <c r="B8481" s="361"/>
      <c r="C8481" s="364" t="s">
        <v>74</v>
      </c>
      <c r="D8481" s="222" t="s">
        <v>12</v>
      </c>
      <c r="E8481" s="222" t="s">
        <v>11</v>
      </c>
      <c r="F8481" s="222" t="s">
        <v>11</v>
      </c>
      <c r="G8481" s="238">
        <f>MROUND(H8481*L8481*I8481/K8481,0.00000000001)</f>
        <v>3.4618728359099999</v>
      </c>
      <c r="H8481" s="224">
        <f>H6801</f>
        <v>184725.17</v>
      </c>
      <c r="I8481" s="159">
        <f t="shared" si="2456"/>
        <v>8.4332999999999999E-4</v>
      </c>
      <c r="J8481" s="160"/>
      <c r="K8481" s="161">
        <f t="shared" si="2457"/>
        <v>45</v>
      </c>
      <c r="L8481" s="250">
        <v>1</v>
      </c>
      <c r="M8481" s="163" t="str">
        <f t="shared" si="2453"/>
        <v>184725,17 м3(лимиты выделенные УЖКХ) *0,00084333/45чел.</v>
      </c>
      <c r="N8481" s="164">
        <f>N6801</f>
        <v>56.382747245543193</v>
      </c>
      <c r="O8481" s="165">
        <f t="shared" si="2454"/>
        <v>195.18990099999999</v>
      </c>
      <c r="P8481" s="166"/>
      <c r="Q8481" s="166">
        <f t="shared" si="2455"/>
        <v>8783.545544999999</v>
      </c>
      <c r="R8481" s="71"/>
    </row>
    <row r="8482" spans="1:18" s="61" customFormat="1" ht="47.25" x14ac:dyDescent="0.25">
      <c r="A8482" s="358"/>
      <c r="B8482" s="361"/>
      <c r="C8482" s="364"/>
      <c r="D8482" s="222" t="s">
        <v>17</v>
      </c>
      <c r="E8482" s="222" t="s">
        <v>11</v>
      </c>
      <c r="F8482" s="222" t="s">
        <v>11</v>
      </c>
      <c r="G8482" s="238">
        <f>MROUND(H8482*L8482*I8482/K8482,0.00000000001)</f>
        <v>3.4618728359099999</v>
      </c>
      <c r="H8482" s="160">
        <f>H7402</f>
        <v>184725.17</v>
      </c>
      <c r="I8482" s="159">
        <f t="shared" si="2456"/>
        <v>8.4332999999999999E-4</v>
      </c>
      <c r="J8482" s="160"/>
      <c r="K8482" s="161">
        <f t="shared" si="2457"/>
        <v>45</v>
      </c>
      <c r="L8482" s="162">
        <f>$L$6802</f>
        <v>1</v>
      </c>
      <c r="M8482" s="163" t="str">
        <f t="shared" si="2453"/>
        <v>184725,17 м3(лимиты выделенные УЖКХ) *0,00084333/45чел.</v>
      </c>
      <c r="N8482" s="164">
        <f>N6802</f>
        <v>85.679537612054773</v>
      </c>
      <c r="O8482" s="165">
        <f t="shared" si="2454"/>
        <v>296.61166399999996</v>
      </c>
      <c r="P8482" s="166"/>
      <c r="Q8482" s="166">
        <f t="shared" si="2455"/>
        <v>13347.524879999999</v>
      </c>
      <c r="R8482" s="71"/>
    </row>
    <row r="8483" spans="1:18" s="61" customFormat="1" ht="31.5" x14ac:dyDescent="0.25">
      <c r="A8483" s="358"/>
      <c r="B8483" s="361"/>
      <c r="C8483" s="364"/>
      <c r="D8483" s="222" t="s">
        <v>13</v>
      </c>
      <c r="E8483" s="222" t="s">
        <v>11</v>
      </c>
      <c r="F8483" s="222" t="s">
        <v>11</v>
      </c>
      <c r="G8483" s="238">
        <f>MROUND(H8483*L8483*I8483/K8483,0.00000000001)</f>
        <v>3.4618728359099999</v>
      </c>
      <c r="H8483" s="160">
        <f>H6803</f>
        <v>184725.17</v>
      </c>
      <c r="I8483" s="159">
        <f t="shared" si="2456"/>
        <v>8.4332999999999999E-4</v>
      </c>
      <c r="J8483" s="160"/>
      <c r="K8483" s="161">
        <f t="shared" si="2457"/>
        <v>45</v>
      </c>
      <c r="L8483" s="162">
        <v>1</v>
      </c>
      <c r="M8483" s="163" t="str">
        <f t="shared" si="2453"/>
        <v>184725,17 м3(лимиты выделенные УЖКХ) *0,00084333/45чел.</v>
      </c>
      <c r="N8483" s="164">
        <f>N6803</f>
        <v>116.85554734686012</v>
      </c>
      <c r="O8483" s="165">
        <f>MROUND(G8483*N8483,0.00000001)</f>
        <v>404.53904509</v>
      </c>
      <c r="P8483" s="166"/>
      <c r="Q8483" s="166">
        <f t="shared" si="2455"/>
        <v>18204.257029050001</v>
      </c>
      <c r="R8483" s="71"/>
    </row>
    <row r="8484" spans="1:18" s="61" customFormat="1" ht="31.5" x14ac:dyDescent="0.25">
      <c r="A8484" s="358"/>
      <c r="B8484" s="361"/>
      <c r="C8484" s="221" t="s">
        <v>75</v>
      </c>
      <c r="D8484" s="222" t="s">
        <v>18</v>
      </c>
      <c r="E8484" s="222" t="s">
        <v>48</v>
      </c>
      <c r="F8484" s="222" t="s">
        <v>48</v>
      </c>
      <c r="G8484" s="238">
        <f>MROUND(H8484*L8484*I8484/K8484,0.0000000001)</f>
        <v>0.26026288240000001</v>
      </c>
      <c r="H8484" s="160">
        <f>H6804</f>
        <v>13887.6</v>
      </c>
      <c r="I8484" s="159">
        <f t="shared" si="2456"/>
        <v>8.4332999999999999E-4</v>
      </c>
      <c r="J8484" s="160"/>
      <c r="K8484" s="161">
        <f t="shared" si="2457"/>
        <v>45</v>
      </c>
      <c r="L8484" s="250">
        <v>1</v>
      </c>
      <c r="M8484" s="163" t="str">
        <f t="shared" si="2453"/>
        <v>13887,6 тыс. м3(лимиты выделенные УЖКХ) *0,00084333/45чел.</v>
      </c>
      <c r="N8484" s="164">
        <f>N6804</f>
        <v>31.799284973645559</v>
      </c>
      <c r="O8484" s="165">
        <f t="shared" ref="O8484" si="2458">MROUND(G8484*N8484,0.000001)</f>
        <v>8.2761739999999993</v>
      </c>
      <c r="P8484" s="166"/>
      <c r="Q8484" s="166">
        <f t="shared" si="2455"/>
        <v>372.42782999999997</v>
      </c>
      <c r="R8484" s="71"/>
    </row>
    <row r="8485" spans="1:18" s="61" customFormat="1" x14ac:dyDescent="0.25">
      <c r="A8485" s="358"/>
      <c r="B8485" s="361"/>
      <c r="C8485" s="364" t="s">
        <v>216</v>
      </c>
      <c r="D8485" s="222" t="s">
        <v>23</v>
      </c>
      <c r="E8485" s="222" t="s">
        <v>11</v>
      </c>
      <c r="F8485" s="222" t="s">
        <v>11</v>
      </c>
      <c r="G8485" s="238">
        <f>MROUND(H8485*L8485*I8485/K8485,0.000000000001)</f>
        <v>6.3130559360000005E-2</v>
      </c>
      <c r="H8485" s="160">
        <f>H6805</f>
        <v>3368.6400000000003</v>
      </c>
      <c r="I8485" s="159">
        <f t="shared" si="2456"/>
        <v>8.4332999999999999E-4</v>
      </c>
      <c r="J8485" s="160"/>
      <c r="K8485" s="161">
        <f t="shared" si="2457"/>
        <v>45</v>
      </c>
      <c r="L8485" s="162">
        <f>L8484</f>
        <v>1</v>
      </c>
      <c r="M8485" s="163" t="str">
        <f>CONCATENATE(H8485," ",F8485," ","*",I8485,"/",K8485,"чел.")</f>
        <v>3368,64 м3 *0,00084333/45чел.</v>
      </c>
      <c r="N8485" s="164">
        <f>N6805</f>
        <v>807.40973805452643</v>
      </c>
      <c r="O8485" s="165">
        <f>MROUND(G8485*N8485,0.00000001)</f>
        <v>50.972228399999999</v>
      </c>
      <c r="P8485" s="166"/>
      <c r="Q8485" s="166">
        <f t="shared" si="2455"/>
        <v>2293.750278</v>
      </c>
      <c r="R8485" s="71"/>
    </row>
    <row r="8486" spans="1:18" s="61" customFormat="1" ht="47.25" x14ac:dyDescent="0.25">
      <c r="A8486" s="358"/>
      <c r="B8486" s="361"/>
      <c r="C8486" s="364"/>
      <c r="D8486" s="222" t="s">
        <v>24</v>
      </c>
      <c r="E8486" s="222" t="s">
        <v>25</v>
      </c>
      <c r="F8486" s="222" t="s">
        <v>217</v>
      </c>
      <c r="G8486" s="238">
        <f>MROUND(H8486*L8486*I8486/K8486,0.000000000001)</f>
        <v>2.7548780000000001E-3</v>
      </c>
      <c r="H8486" s="160">
        <f>H7766</f>
        <v>147</v>
      </c>
      <c r="I8486" s="159">
        <f t="shared" si="2456"/>
        <v>8.4332999999999999E-4</v>
      </c>
      <c r="J8486" s="160"/>
      <c r="K8486" s="161">
        <f t="shared" si="2457"/>
        <v>45</v>
      </c>
      <c r="L8486" s="250">
        <f>L8485</f>
        <v>1</v>
      </c>
      <c r="M8486" s="163" t="str">
        <f>CONCATENATE(H8486," ",F8486,"(потребность из расчета 4 контейнера для уборки территории весной и осенью на 1 учреждение)","*",I8486,"/",K8486,"чел.")</f>
        <v>147 контейнера(потребность из расчета 4 контейнера для уборки территории весной и осенью на 1 учреждение)*0,00084333/45чел.</v>
      </c>
      <c r="N8486" s="164">
        <f>N7766</f>
        <v>6289.7226530612279</v>
      </c>
      <c r="O8486" s="165">
        <f t="shared" ref="O8486" si="2459">MROUND(G8486*N8486,0.000001)</f>
        <v>17.327418999999999</v>
      </c>
      <c r="P8486" s="166"/>
      <c r="Q8486" s="166">
        <f t="shared" si="2455"/>
        <v>779.73385499999995</v>
      </c>
      <c r="R8486" s="71"/>
    </row>
    <row r="8487" spans="1:18" s="62" customFormat="1" x14ac:dyDescent="0.25">
      <c r="A8487" s="358"/>
      <c r="B8487" s="361"/>
      <c r="C8487" s="218" t="s">
        <v>290</v>
      </c>
      <c r="D8487" s="226"/>
      <c r="E8487" s="226"/>
      <c r="F8487" s="226"/>
      <c r="G8487" s="227"/>
      <c r="H8487" s="228"/>
      <c r="I8487" s="206"/>
      <c r="J8487" s="228"/>
      <c r="K8487" s="207"/>
      <c r="L8487" s="257"/>
      <c r="M8487" s="209"/>
      <c r="N8487" s="210"/>
      <c r="O8487" s="198">
        <f>SUM(O8479:O8486)</f>
        <v>3526.9254424900005</v>
      </c>
      <c r="P8487" s="267"/>
      <c r="Q8487" s="166"/>
      <c r="R8487" s="71"/>
    </row>
    <row r="8488" spans="1:18" s="61" customFormat="1" x14ac:dyDescent="0.25">
      <c r="A8488" s="358"/>
      <c r="B8488" s="361"/>
      <c r="C8488" s="221"/>
      <c r="D8488" s="356" t="s">
        <v>14</v>
      </c>
      <c r="E8488" s="356"/>
      <c r="F8488" s="356"/>
      <c r="G8488" s="356"/>
      <c r="H8488" s="188"/>
      <c r="I8488" s="159"/>
      <c r="J8488" s="188"/>
      <c r="K8488" s="161"/>
      <c r="L8488" s="250"/>
      <c r="M8488" s="230"/>
      <c r="N8488" s="164"/>
      <c r="O8488" s="198">
        <f>O8496+O8497+O8492</f>
        <v>1874.2653192694397</v>
      </c>
      <c r="P8488" s="166"/>
      <c r="Q8488" s="166"/>
      <c r="R8488" s="71"/>
    </row>
    <row r="8489" spans="1:18" s="61" customFormat="1" x14ac:dyDescent="0.25">
      <c r="A8489" s="358"/>
      <c r="B8489" s="361"/>
      <c r="C8489" s="221" t="s">
        <v>379</v>
      </c>
      <c r="D8489" s="231" t="s">
        <v>49</v>
      </c>
      <c r="E8489" s="231" t="s">
        <v>22</v>
      </c>
      <c r="F8489" s="231" t="s">
        <v>22</v>
      </c>
      <c r="G8489" s="238">
        <f>MROUND(H8489*L8489*I8489/K8489,0.000000001)</f>
        <v>0</v>
      </c>
      <c r="H8489" s="160"/>
      <c r="I8489" s="159">
        <f>I8484</f>
        <v>8.4332999999999999E-4</v>
      </c>
      <c r="J8489" s="160"/>
      <c r="K8489" s="161">
        <f>K8484</f>
        <v>45</v>
      </c>
      <c r="L8489" s="250"/>
      <c r="M8489" s="163"/>
      <c r="N8489" s="164"/>
      <c r="O8489" s="165">
        <f>MROUND(G8489*N8489,0.00000001)</f>
        <v>0</v>
      </c>
      <c r="P8489" s="166"/>
      <c r="Q8489" s="166">
        <f t="shared" ref="Q8489:Q8491" si="2460">O8489*K8489</f>
        <v>0</v>
      </c>
      <c r="R8489" s="71"/>
    </row>
    <row r="8490" spans="1:18" s="61" customFormat="1" x14ac:dyDescent="0.25">
      <c r="A8490" s="358"/>
      <c r="B8490" s="361"/>
      <c r="C8490" s="221" t="s">
        <v>379</v>
      </c>
      <c r="D8490" s="231" t="s">
        <v>49</v>
      </c>
      <c r="E8490" s="231" t="s">
        <v>28</v>
      </c>
      <c r="F8490" s="231" t="s">
        <v>28</v>
      </c>
      <c r="G8490" s="238">
        <f>MROUND(H8490*L8490*I8490/K8490,0.000000001)</f>
        <v>0</v>
      </c>
      <c r="H8490" s="160"/>
      <c r="I8490" s="159">
        <f t="shared" si="2456"/>
        <v>8.4332999999999999E-4</v>
      </c>
      <c r="J8490" s="160"/>
      <c r="K8490" s="161">
        <f>K8489</f>
        <v>45</v>
      </c>
      <c r="L8490" s="250">
        <v>1</v>
      </c>
      <c r="M8490" s="163"/>
      <c r="N8490" s="164"/>
      <c r="O8490" s="165">
        <f>MROUND(G8490*N8490,0.00000001)</f>
        <v>0</v>
      </c>
      <c r="P8490" s="166"/>
      <c r="Q8490" s="166">
        <f t="shared" si="2460"/>
        <v>0</v>
      </c>
      <c r="R8490" s="71"/>
    </row>
    <row r="8491" spans="1:18" s="61" customFormat="1" x14ac:dyDescent="0.25">
      <c r="A8491" s="358"/>
      <c r="B8491" s="361"/>
      <c r="C8491" s="221" t="s">
        <v>379</v>
      </c>
      <c r="D8491" s="231" t="s">
        <v>49</v>
      </c>
      <c r="E8491" s="231" t="s">
        <v>101</v>
      </c>
      <c r="F8491" s="231" t="s">
        <v>101</v>
      </c>
      <c r="G8491" s="238">
        <f>MROUND(H8491*L8491*I8491/K8491,0.000000001)</f>
        <v>0</v>
      </c>
      <c r="H8491" s="160"/>
      <c r="I8491" s="159">
        <f t="shared" si="2456"/>
        <v>8.4332999999999999E-4</v>
      </c>
      <c r="J8491" s="160"/>
      <c r="K8491" s="161">
        <f>K8490</f>
        <v>45</v>
      </c>
      <c r="L8491" s="250"/>
      <c r="M8491" s="163"/>
      <c r="N8491" s="164"/>
      <c r="O8491" s="165">
        <f>MROUND(G8491*N8491,0.00000001)</f>
        <v>0</v>
      </c>
      <c r="P8491" s="166"/>
      <c r="Q8491" s="166">
        <f t="shared" si="2460"/>
        <v>0</v>
      </c>
      <c r="R8491" s="71"/>
    </row>
    <row r="8492" spans="1:18" s="62" customFormat="1" x14ac:dyDescent="0.25">
      <c r="A8492" s="358"/>
      <c r="B8492" s="361"/>
      <c r="C8492" s="218" t="s">
        <v>380</v>
      </c>
      <c r="D8492" s="232"/>
      <c r="E8492" s="232"/>
      <c r="F8492" s="232"/>
      <c r="G8492" s="227"/>
      <c r="H8492" s="228"/>
      <c r="I8492" s="206"/>
      <c r="J8492" s="228"/>
      <c r="K8492" s="207"/>
      <c r="L8492" s="257"/>
      <c r="M8492" s="209"/>
      <c r="N8492" s="210"/>
      <c r="O8492" s="198">
        <f>SUM(O8489:O8491)</f>
        <v>0</v>
      </c>
      <c r="P8492" s="267"/>
      <c r="Q8492" s="166"/>
      <c r="R8492" s="71"/>
    </row>
    <row r="8493" spans="1:18" s="61" customFormat="1" x14ac:dyDescent="0.25">
      <c r="A8493" s="358"/>
      <c r="B8493" s="361"/>
      <c r="C8493" s="221" t="s">
        <v>76</v>
      </c>
      <c r="D8493" s="231" t="s">
        <v>49</v>
      </c>
      <c r="E8493" s="231" t="s">
        <v>22</v>
      </c>
      <c r="F8493" s="231" t="s">
        <v>22</v>
      </c>
      <c r="G8493" s="238">
        <f>MROUND(H8493*L8493*I8493/K8493,0.000000000000001)</f>
        <v>0.48071684066666703</v>
      </c>
      <c r="H8493" s="160">
        <f>H7653</f>
        <v>25651</v>
      </c>
      <c r="I8493" s="159">
        <f>I8489</f>
        <v>8.4332999999999999E-4</v>
      </c>
      <c r="J8493" s="160"/>
      <c r="K8493" s="161">
        <f>K8491</f>
        <v>45</v>
      </c>
      <c r="L8493" s="250">
        <v>1</v>
      </c>
      <c r="M8493" s="163" t="str">
        <f>CONCATENATE(H8493," ",F8493,"*",I8493,"/",K8493,"чел.")</f>
        <v>25651 м2*0,00084333/45чел.</v>
      </c>
      <c r="N8493" s="164">
        <f>N7653</f>
        <v>2452.3410393356985</v>
      </c>
      <c r="O8493" s="165">
        <f>MROUND(G8493*N8493,0.00000000001)</f>
        <v>1178.8816366666699</v>
      </c>
      <c r="P8493" s="166"/>
      <c r="Q8493" s="166">
        <f t="shared" ref="Q8493:Q8495" si="2461">O8493*K8493</f>
        <v>53049.67365000015</v>
      </c>
      <c r="R8493" s="71"/>
    </row>
    <row r="8494" spans="1:18" s="61" customFormat="1" x14ac:dyDescent="0.25">
      <c r="A8494" s="358"/>
      <c r="B8494" s="361"/>
      <c r="C8494" s="221"/>
      <c r="D8494" s="231" t="s">
        <v>49</v>
      </c>
      <c r="E8494" s="231" t="s">
        <v>28</v>
      </c>
      <c r="F8494" s="231" t="s">
        <v>28</v>
      </c>
      <c r="G8494" s="238">
        <f>MROUND(H8494*L8494*I8494/K8494,0.000000000001)</f>
        <v>3.4988824666999999E-2</v>
      </c>
      <c r="H8494" s="160">
        <f>H7654</f>
        <v>1867</v>
      </c>
      <c r="I8494" s="159">
        <f t="shared" si="2456"/>
        <v>8.4332999999999999E-4</v>
      </c>
      <c r="J8494" s="160"/>
      <c r="K8494" s="161">
        <f>K8493</f>
        <v>45</v>
      </c>
      <c r="L8494" s="250">
        <v>1</v>
      </c>
      <c r="M8494" s="163" t="str">
        <f>CONCATENATE(H8494," ",F8494,"*",I8494,"/",K8494,"чел.")</f>
        <v>1867 шт*0,00084333/45чел.</v>
      </c>
      <c r="N8494" s="164">
        <f>N7654</f>
        <v>18299.732190680235</v>
      </c>
      <c r="O8494" s="165">
        <f>MROUND(G8494*N8494,0.00000000001)</f>
        <v>640.28612107277002</v>
      </c>
      <c r="P8494" s="166"/>
      <c r="Q8494" s="166">
        <f t="shared" si="2461"/>
        <v>28812.875448274652</v>
      </c>
      <c r="R8494" s="71"/>
    </row>
    <row r="8495" spans="1:18" s="61" customFormat="1" x14ac:dyDescent="0.25">
      <c r="A8495" s="358"/>
      <c r="B8495" s="361"/>
      <c r="C8495" s="221"/>
      <c r="D8495" s="231" t="s">
        <v>49</v>
      </c>
      <c r="E8495" s="231" t="s">
        <v>101</v>
      </c>
      <c r="F8495" s="231" t="s">
        <v>101</v>
      </c>
      <c r="G8495" s="238">
        <f>MROUND(H8495*L8495*I8495/K8495,0.000000001)</f>
        <v>1.1994027000000001E-2</v>
      </c>
      <c r="H8495" s="160">
        <f>H7655</f>
        <v>640</v>
      </c>
      <c r="I8495" s="159">
        <f t="shared" si="2456"/>
        <v>8.4332999999999999E-4</v>
      </c>
      <c r="J8495" s="160"/>
      <c r="K8495" s="161">
        <f>K8494</f>
        <v>45</v>
      </c>
      <c r="L8495" s="250">
        <v>1</v>
      </c>
      <c r="M8495" s="163" t="str">
        <f>CONCATENATE(H8495," ",F8495,"*",I8495,"/",K8495,"чел.")</f>
        <v>640 погон.м.*0,00084333/45чел.</v>
      </c>
      <c r="N8495" s="164">
        <f>N7655</f>
        <v>4593.75</v>
      </c>
      <c r="O8495" s="165">
        <f>MROUND(G8495*N8495,0.00000001)</f>
        <v>55.09756153</v>
      </c>
      <c r="P8495" s="166"/>
      <c r="Q8495" s="166">
        <f t="shared" si="2461"/>
        <v>2479.3902688500002</v>
      </c>
      <c r="R8495" s="71"/>
    </row>
    <row r="8496" spans="1:18" s="62" customFormat="1" x14ac:dyDescent="0.25">
      <c r="A8496" s="358"/>
      <c r="B8496" s="361"/>
      <c r="C8496" s="218" t="s">
        <v>291</v>
      </c>
      <c r="D8496" s="232"/>
      <c r="E8496" s="232"/>
      <c r="F8496" s="232"/>
      <c r="G8496" s="227"/>
      <c r="H8496" s="228"/>
      <c r="I8496" s="206"/>
      <c r="J8496" s="228"/>
      <c r="K8496" s="207"/>
      <c r="L8496" s="257"/>
      <c r="M8496" s="209"/>
      <c r="N8496" s="210"/>
      <c r="O8496" s="198">
        <f>SUM(O8493:O8495)</f>
        <v>1874.2653192694397</v>
      </c>
      <c r="P8496" s="267"/>
      <c r="Q8496" s="166"/>
      <c r="R8496" s="71"/>
    </row>
    <row r="8497" spans="1:41" s="61" customFormat="1" x14ac:dyDescent="0.25">
      <c r="A8497" s="358"/>
      <c r="B8497" s="361"/>
      <c r="C8497" s="221" t="s">
        <v>77</v>
      </c>
      <c r="D8497" s="231"/>
      <c r="E8497" s="231"/>
      <c r="F8497" s="231"/>
      <c r="G8497" s="238">
        <f>MROUND(H8497*L8497*I8497/K8497,0.00000000001)</f>
        <v>0</v>
      </c>
      <c r="H8497" s="160">
        <f>H8257</f>
        <v>0</v>
      </c>
      <c r="I8497" s="159">
        <f>I8495</f>
        <v>8.4332999999999999E-4</v>
      </c>
      <c r="J8497" s="160"/>
      <c r="K8497" s="161">
        <f>K8495</f>
        <v>45</v>
      </c>
      <c r="L8497" s="250"/>
      <c r="M8497" s="163"/>
      <c r="N8497" s="164">
        <f>N8257</f>
        <v>0</v>
      </c>
      <c r="O8497" s="165">
        <f>MROUND(G8497*N8497,0.000000001)</f>
        <v>0</v>
      </c>
      <c r="P8497" s="166"/>
      <c r="Q8497" s="166">
        <f t="shared" ref="Q8497" si="2462">O8497*K8497</f>
        <v>0</v>
      </c>
      <c r="R8497" s="71"/>
    </row>
    <row r="8498" spans="1:41" s="62" customFormat="1" x14ac:dyDescent="0.25">
      <c r="A8498" s="358"/>
      <c r="B8498" s="361"/>
      <c r="C8498" s="218" t="s">
        <v>292</v>
      </c>
      <c r="D8498" s="232"/>
      <c r="E8498" s="232"/>
      <c r="F8498" s="232"/>
      <c r="G8498" s="227"/>
      <c r="H8498" s="228"/>
      <c r="I8498" s="206"/>
      <c r="J8498" s="228"/>
      <c r="K8498" s="207"/>
      <c r="L8498" s="257"/>
      <c r="M8498" s="209"/>
      <c r="N8498" s="210"/>
      <c r="O8498" s="198">
        <f>O8497</f>
        <v>0</v>
      </c>
      <c r="P8498" s="267"/>
      <c r="Q8498" s="166"/>
      <c r="R8498" s="71"/>
    </row>
    <row r="8499" spans="1:41" s="61" customFormat="1" x14ac:dyDescent="0.25">
      <c r="A8499" s="358"/>
      <c r="B8499" s="361"/>
      <c r="C8499" s="221"/>
      <c r="D8499" s="350" t="s">
        <v>65</v>
      </c>
      <c r="E8499" s="350"/>
      <c r="F8499" s="350"/>
      <c r="G8499" s="350"/>
      <c r="H8499" s="195"/>
      <c r="I8499" s="159"/>
      <c r="J8499" s="195"/>
      <c r="K8499" s="161"/>
      <c r="L8499" s="196"/>
      <c r="M8499" s="230"/>
      <c r="N8499" s="164"/>
      <c r="O8499" s="165">
        <f t="shared" ref="O8499:O8500" si="2463">MROUND(G8499*N8499,0.000001)</f>
        <v>0</v>
      </c>
      <c r="P8499" s="166"/>
      <c r="Q8499" s="166"/>
      <c r="R8499" s="71"/>
    </row>
    <row r="8500" spans="1:41" s="61" customFormat="1" x14ac:dyDescent="0.25">
      <c r="A8500" s="358"/>
      <c r="B8500" s="361"/>
      <c r="C8500" s="221"/>
      <c r="D8500" s="194"/>
      <c r="E8500" s="194"/>
      <c r="F8500" s="194"/>
      <c r="G8500" s="217"/>
      <c r="H8500" s="195"/>
      <c r="I8500" s="159"/>
      <c r="J8500" s="195"/>
      <c r="K8500" s="161"/>
      <c r="L8500" s="196"/>
      <c r="M8500" s="230"/>
      <c r="N8500" s="164"/>
      <c r="O8500" s="165">
        <f t="shared" si="2463"/>
        <v>0</v>
      </c>
      <c r="P8500" s="166"/>
      <c r="Q8500" s="166"/>
      <c r="R8500" s="71"/>
    </row>
    <row r="8501" spans="1:41" s="61" customFormat="1" x14ac:dyDescent="0.25">
      <c r="A8501" s="358"/>
      <c r="B8501" s="361"/>
      <c r="C8501" s="221" t="s">
        <v>357</v>
      </c>
      <c r="D8501" s="368" t="s">
        <v>66</v>
      </c>
      <c r="E8501" s="368"/>
      <c r="F8501" s="368"/>
      <c r="G8501" s="368"/>
      <c r="H8501" s="195"/>
      <c r="I8501" s="159"/>
      <c r="J8501" s="195"/>
      <c r="K8501" s="161"/>
      <c r="L8501" s="234"/>
      <c r="M8501" s="230"/>
      <c r="N8501" s="164"/>
      <c r="O8501" s="198">
        <f>O8502</f>
        <v>11.000397999999999</v>
      </c>
      <c r="P8501" s="166"/>
      <c r="Q8501" s="166"/>
      <c r="R8501" s="71"/>
    </row>
    <row r="8502" spans="1:41" s="61" customFormat="1" ht="47.25" x14ac:dyDescent="0.25">
      <c r="A8502" s="358"/>
      <c r="B8502" s="361"/>
      <c r="C8502" s="221"/>
      <c r="D8502" s="222" t="s">
        <v>374</v>
      </c>
      <c r="E8502" s="194" t="s">
        <v>28</v>
      </c>
      <c r="F8502" s="194" t="s">
        <v>28</v>
      </c>
      <c r="G8502" s="217">
        <f>MROUND(H8502*L8502*I8502/K8502,0.000000001)</f>
        <v>2.6986560000000002E-3</v>
      </c>
      <c r="H8502" s="201">
        <f>H7902</f>
        <v>36</v>
      </c>
      <c r="I8502" s="159">
        <f>I8497</f>
        <v>8.4332999999999999E-4</v>
      </c>
      <c r="J8502" s="195"/>
      <c r="K8502" s="161">
        <f>K8497</f>
        <v>45</v>
      </c>
      <c r="L8502" s="235">
        <f>L7902</f>
        <v>4</v>
      </c>
      <c r="M8502" s="163" t="str">
        <f>CONCATENATE(H8502," ",F8502,"*",I8502,"/",K8502,"чел.")</f>
        <v>36 шт*0,00084333/45чел.</v>
      </c>
      <c r="N8502" s="164">
        <f>N7902</f>
        <v>4076.2506250000024</v>
      </c>
      <c r="O8502" s="165">
        <f>MROUND(G8502*N8502,0.000001)</f>
        <v>11.000397999999999</v>
      </c>
      <c r="P8502" s="166"/>
      <c r="Q8502" s="166">
        <f t="shared" ref="Q8502" si="2464">O8502*K8502</f>
        <v>495.01790999999997</v>
      </c>
      <c r="R8502" s="71"/>
    </row>
    <row r="8503" spans="1:41" s="61" customFormat="1" x14ac:dyDescent="0.25">
      <c r="A8503" s="358"/>
      <c r="B8503" s="361"/>
      <c r="C8503" s="221"/>
      <c r="D8503" s="368" t="s">
        <v>67</v>
      </c>
      <c r="E8503" s="368"/>
      <c r="F8503" s="368"/>
      <c r="G8503" s="368"/>
      <c r="H8503" s="195"/>
      <c r="I8503" s="159"/>
      <c r="J8503" s="195"/>
      <c r="K8503" s="161"/>
      <c r="L8503" s="196"/>
      <c r="M8503" s="230"/>
      <c r="N8503" s="164"/>
      <c r="O8503" s="165">
        <f t="shared" ref="O8503:O8506" si="2465">MROUND(G8503*N8503,0.000001)</f>
        <v>0</v>
      </c>
      <c r="P8503" s="166"/>
      <c r="Q8503" s="166"/>
      <c r="R8503" s="71"/>
    </row>
    <row r="8504" spans="1:41" s="61" customFormat="1" x14ac:dyDescent="0.25">
      <c r="A8504" s="358"/>
      <c r="B8504" s="361"/>
      <c r="C8504" s="221"/>
      <c r="D8504" s="194"/>
      <c r="E8504" s="194"/>
      <c r="F8504" s="194"/>
      <c r="G8504" s="217"/>
      <c r="H8504" s="195"/>
      <c r="I8504" s="159"/>
      <c r="J8504" s="195"/>
      <c r="K8504" s="161"/>
      <c r="L8504" s="196"/>
      <c r="M8504" s="230"/>
      <c r="N8504" s="164"/>
      <c r="O8504" s="165">
        <f t="shared" si="2465"/>
        <v>0</v>
      </c>
      <c r="P8504" s="166"/>
      <c r="Q8504" s="166"/>
      <c r="R8504" s="71"/>
    </row>
    <row r="8505" spans="1:41" s="61" customFormat="1" x14ac:dyDescent="0.25">
      <c r="A8505" s="358"/>
      <c r="B8505" s="361"/>
      <c r="C8505" s="221"/>
      <c r="D8505" s="350" t="s">
        <v>68</v>
      </c>
      <c r="E8505" s="350"/>
      <c r="F8505" s="350"/>
      <c r="G8505" s="350"/>
      <c r="H8505" s="195"/>
      <c r="I8505" s="159"/>
      <c r="J8505" s="195"/>
      <c r="K8505" s="161"/>
      <c r="L8505" s="196"/>
      <c r="M8505" s="230"/>
      <c r="N8505" s="164"/>
      <c r="O8505" s="165">
        <f t="shared" si="2465"/>
        <v>0</v>
      </c>
      <c r="P8505" s="166"/>
      <c r="Q8505" s="166"/>
      <c r="R8505" s="71"/>
    </row>
    <row r="8506" spans="1:41" s="61" customFormat="1" x14ac:dyDescent="0.25">
      <c r="A8506" s="358"/>
      <c r="B8506" s="361"/>
      <c r="C8506" s="221"/>
      <c r="D8506" s="156"/>
      <c r="E8506" s="156"/>
      <c r="F8506" s="156"/>
      <c r="G8506" s="236"/>
      <c r="H8506" s="195"/>
      <c r="I8506" s="159"/>
      <c r="J8506" s="195"/>
      <c r="K8506" s="161"/>
      <c r="L8506" s="196"/>
      <c r="M8506" s="230"/>
      <c r="N8506" s="164"/>
      <c r="O8506" s="165">
        <f t="shared" si="2465"/>
        <v>0</v>
      </c>
      <c r="P8506" s="166"/>
      <c r="Q8506" s="166"/>
      <c r="R8506" s="71"/>
    </row>
    <row r="8507" spans="1:41" s="61" customFormat="1" x14ac:dyDescent="0.25">
      <c r="A8507" s="358"/>
      <c r="B8507" s="361"/>
      <c r="C8507" s="221"/>
      <c r="D8507" s="368" t="s">
        <v>69</v>
      </c>
      <c r="E8507" s="368"/>
      <c r="F8507" s="368"/>
      <c r="G8507" s="368"/>
      <c r="H8507" s="187"/>
      <c r="I8507" s="159"/>
      <c r="J8507" s="187"/>
      <c r="K8507" s="161"/>
      <c r="L8507" s="276"/>
      <c r="M8507" s="230"/>
      <c r="N8507" s="164"/>
      <c r="O8507" s="198">
        <f>O8509+O8516+O8533+O8535+O8550+O8552+O8554+O8579+O8581+O8586+O8583</f>
        <v>423.46215912999997</v>
      </c>
      <c r="P8507" s="166"/>
      <c r="Q8507" s="166"/>
      <c r="R8507" s="71"/>
    </row>
    <row r="8508" spans="1:41" s="61" customFormat="1" x14ac:dyDescent="0.25">
      <c r="A8508" s="358"/>
      <c r="B8508" s="361"/>
      <c r="C8508" s="221">
        <v>224</v>
      </c>
      <c r="D8508" s="156" t="s">
        <v>21</v>
      </c>
      <c r="E8508" s="156" t="s">
        <v>22</v>
      </c>
      <c r="F8508" s="156" t="s">
        <v>22</v>
      </c>
      <c r="G8508" s="238">
        <f>MROUND(H8508*L8508*I8508/K8508,0.000001)</f>
        <v>0</v>
      </c>
      <c r="H8508" s="158"/>
      <c r="I8508" s="159">
        <f>I8502</f>
        <v>8.4332999999999999E-4</v>
      </c>
      <c r="J8508" s="160"/>
      <c r="K8508" s="161">
        <f>K8502</f>
        <v>45</v>
      </c>
      <c r="L8508" s="250"/>
      <c r="M8508" s="163"/>
      <c r="N8508" s="164"/>
      <c r="O8508" s="165">
        <f>MROUND(G8508*N8508,0.000001)</f>
        <v>0</v>
      </c>
      <c r="P8508" s="166"/>
      <c r="Q8508" s="166">
        <f t="shared" ref="Q8508" si="2466">O8508*K8508</f>
        <v>0</v>
      </c>
      <c r="R8508" s="71"/>
    </row>
    <row r="8509" spans="1:41" s="62" customFormat="1" x14ac:dyDescent="0.25">
      <c r="A8509" s="358"/>
      <c r="B8509" s="361"/>
      <c r="C8509" s="218" t="s">
        <v>293</v>
      </c>
      <c r="D8509" s="240"/>
      <c r="E8509" s="240"/>
      <c r="F8509" s="240"/>
      <c r="G8509" s="227"/>
      <c r="H8509" s="241"/>
      <c r="I8509" s="206"/>
      <c r="J8509" s="228"/>
      <c r="K8509" s="207"/>
      <c r="L8509" s="257"/>
      <c r="M8509" s="209"/>
      <c r="N8509" s="210"/>
      <c r="O8509" s="198">
        <f>SUM(O8508)</f>
        <v>0</v>
      </c>
      <c r="P8509" s="267"/>
      <c r="Q8509" s="166"/>
      <c r="R8509" s="71"/>
    </row>
    <row r="8510" spans="1:41" s="61" customFormat="1" ht="31.5" x14ac:dyDescent="0.25">
      <c r="A8510" s="358"/>
      <c r="B8510" s="361"/>
      <c r="C8510" s="364" t="s">
        <v>78</v>
      </c>
      <c r="D8510" s="156" t="s">
        <v>26</v>
      </c>
      <c r="E8510" s="156" t="s">
        <v>22</v>
      </c>
      <c r="F8510" s="156" t="s">
        <v>22</v>
      </c>
      <c r="G8510" s="238">
        <f>MROUND(H8510*L8510*I8510/K8510,0.000001)</f>
        <v>5.8111059999999997</v>
      </c>
      <c r="H8510" s="158">
        <f>H6830</f>
        <v>25840</v>
      </c>
      <c r="I8510" s="159">
        <f>I8508</f>
        <v>8.4332999999999999E-4</v>
      </c>
      <c r="J8510" s="160"/>
      <c r="K8510" s="161">
        <f>K8508</f>
        <v>45</v>
      </c>
      <c r="L8510" s="250">
        <v>12</v>
      </c>
      <c r="M8510" s="163" t="str">
        <f>CONCATENATE(H8510," ",F8510,"(обрабатываемая площадь в мес.)","*",L8510,"мес.","*",I8510,"/",K8510,"чел.")</f>
        <v>25840 м2(обрабатываемая площадь в мес.)*12мес.*0,00084333/45чел.</v>
      </c>
      <c r="N8510" s="164">
        <f>N6830</f>
        <v>1.2568903508771934</v>
      </c>
      <c r="O8510" s="165">
        <f t="shared" ref="O8510:O8515" si="2467">MROUND(G8510*N8510,0.000001)</f>
        <v>7.3039229999999993</v>
      </c>
      <c r="P8510" s="166"/>
      <c r="Q8510" s="166">
        <f t="shared" ref="Q8510:Q8515" si="2468">O8510*K8510</f>
        <v>328.67653499999994</v>
      </c>
      <c r="R8510" s="71"/>
    </row>
    <row r="8511" spans="1:41" s="61" customFormat="1" ht="31.5" x14ac:dyDescent="0.25">
      <c r="A8511" s="358"/>
      <c r="B8511" s="361"/>
      <c r="C8511" s="364"/>
      <c r="D8511" s="156" t="s">
        <v>96</v>
      </c>
      <c r="E8511" s="156" t="s">
        <v>22</v>
      </c>
      <c r="F8511" s="156" t="s">
        <v>22</v>
      </c>
      <c r="G8511" s="238">
        <f>MROUND(H8511*L8511*I8511/K8511,0.000001)</f>
        <v>3.0078769999999997</v>
      </c>
      <c r="H8511" s="158">
        <f>H6831</f>
        <v>13375</v>
      </c>
      <c r="I8511" s="159">
        <f t="shared" si="2456"/>
        <v>8.4332999999999999E-4</v>
      </c>
      <c r="J8511" s="160"/>
      <c r="K8511" s="161">
        <f>K8510</f>
        <v>45</v>
      </c>
      <c r="L8511" s="250">
        <v>12</v>
      </c>
      <c r="M8511" s="163" t="str">
        <f>CONCATENATE(H8511," ",F8511,"(обрабатываемая площадь в мес.)","*",L8511,"мес.","*",I8511,"/",K8511,"чел.")</f>
        <v>13375 м2(обрабатываемая площадь в мес.)*12мес.*0,00084333/45чел.</v>
      </c>
      <c r="N8511" s="164">
        <f>N6831</f>
        <v>2.0157672274143299</v>
      </c>
      <c r="O8511" s="165">
        <f t="shared" si="2467"/>
        <v>6.06318</v>
      </c>
      <c r="P8511" s="166"/>
      <c r="Q8511" s="166">
        <f t="shared" si="2468"/>
        <v>272.84309999999999</v>
      </c>
      <c r="R8511" s="71"/>
    </row>
    <row r="8512" spans="1:41" s="135" customFormat="1" ht="31.5" x14ac:dyDescent="0.25">
      <c r="A8512" s="358"/>
      <c r="B8512" s="361"/>
      <c r="C8512" s="364"/>
      <c r="D8512" s="156" t="s">
        <v>385</v>
      </c>
      <c r="E8512" s="156" t="s">
        <v>22</v>
      </c>
      <c r="F8512" s="156" t="s">
        <v>22</v>
      </c>
      <c r="G8512" s="238">
        <f>MROUND(H8512*L8512*I8512/K8512,0.000001)</f>
        <v>6.0157539999999994</v>
      </c>
      <c r="H8512" s="242">
        <f>$H$55</f>
        <v>13375</v>
      </c>
      <c r="I8512" s="159">
        <f t="shared" si="2456"/>
        <v>8.4332999999999999E-4</v>
      </c>
      <c r="J8512" s="160"/>
      <c r="K8512" s="161">
        <f>K8511</f>
        <v>45</v>
      </c>
      <c r="L8512" s="162">
        <v>24</v>
      </c>
      <c r="M8512" s="163" t="str">
        <f>CONCATENATE(H8512," ",F8512,"(обрабатываемая площадь в год)","*",L8512," раза в год.","*",I8512,"/",K8512,"чел.")</f>
        <v>13375 м2(обрабатываемая площадь в год)*24 раза в год.*0,00084333/45чел.</v>
      </c>
      <c r="N8512" s="164">
        <f>$N$6832</f>
        <v>2.4900656074766365</v>
      </c>
      <c r="O8512" s="165">
        <f t="shared" si="2467"/>
        <v>14.979621999999999</v>
      </c>
      <c r="P8512" s="166"/>
      <c r="Q8512" s="166">
        <f t="shared" si="2468"/>
        <v>674.08299</v>
      </c>
      <c r="R8512" s="71"/>
      <c r="S8512" s="61"/>
      <c r="T8512" s="61"/>
      <c r="U8512" s="61"/>
      <c r="V8512" s="61"/>
      <c r="W8512" s="61"/>
      <c r="X8512" s="61"/>
      <c r="Y8512" s="61"/>
      <c r="Z8512" s="61"/>
      <c r="AA8512" s="61"/>
      <c r="AB8512" s="61"/>
      <c r="AC8512" s="61"/>
      <c r="AD8512" s="61"/>
      <c r="AE8512" s="61"/>
      <c r="AF8512" s="61"/>
      <c r="AG8512" s="61"/>
      <c r="AH8512" s="61"/>
      <c r="AI8512" s="61"/>
      <c r="AJ8512" s="61"/>
      <c r="AK8512" s="61"/>
      <c r="AL8512" s="61"/>
      <c r="AM8512" s="61"/>
      <c r="AN8512" s="61"/>
      <c r="AO8512" s="61"/>
    </row>
    <row r="8513" spans="1:41" s="135" customFormat="1" ht="31.5" x14ac:dyDescent="0.25">
      <c r="A8513" s="358"/>
      <c r="B8513" s="361"/>
      <c r="C8513" s="364"/>
      <c r="D8513" s="156" t="s">
        <v>394</v>
      </c>
      <c r="E8513" s="156" t="s">
        <v>22</v>
      </c>
      <c r="F8513" s="156" t="s">
        <v>22</v>
      </c>
      <c r="G8513" s="238">
        <f>MROUND(H8513*L8513*I8513/K8513,0.000001)</f>
        <v>5.8111059999999997</v>
      </c>
      <c r="H8513" s="243">
        <f>$H$56</f>
        <v>25840</v>
      </c>
      <c r="I8513" s="159">
        <f t="shared" si="2456"/>
        <v>8.4332999999999999E-4</v>
      </c>
      <c r="J8513" s="160"/>
      <c r="K8513" s="161">
        <f>K8512</f>
        <v>45</v>
      </c>
      <c r="L8513" s="162">
        <v>12</v>
      </c>
      <c r="M8513" s="163" t="str">
        <f>CONCATENATE(H8513," ",F8513,"(обрабатываемая площадь в мес.)","*",L8513,"мес.","*",I8513,"/",K8513,"чел.")</f>
        <v>25840 м2(обрабатываемая площадь в мес.)*12мес.*0,00084333/45чел.</v>
      </c>
      <c r="N8513" s="164">
        <f>$N$6833</f>
        <v>0.59287277476780176</v>
      </c>
      <c r="O8513" s="165">
        <f t="shared" si="2467"/>
        <v>3.4452469999999997</v>
      </c>
      <c r="P8513" s="166"/>
      <c r="Q8513" s="166">
        <f t="shared" si="2468"/>
        <v>155.036115</v>
      </c>
      <c r="R8513" s="71"/>
      <c r="S8513" s="61"/>
      <c r="T8513" s="61"/>
      <c r="U8513" s="61"/>
      <c r="V8513" s="61"/>
      <c r="W8513" s="61"/>
      <c r="X8513" s="61"/>
      <c r="Y8513" s="61"/>
      <c r="Z8513" s="61"/>
      <c r="AA8513" s="61"/>
      <c r="AB8513" s="61"/>
      <c r="AC8513" s="61"/>
      <c r="AD8513" s="61"/>
      <c r="AE8513" s="61"/>
      <c r="AF8513" s="61"/>
      <c r="AG8513" s="61"/>
      <c r="AH8513" s="61"/>
      <c r="AI8513" s="61"/>
      <c r="AJ8513" s="61"/>
      <c r="AK8513" s="61"/>
      <c r="AL8513" s="61"/>
      <c r="AM8513" s="61"/>
      <c r="AN8513" s="61"/>
      <c r="AO8513" s="61"/>
    </row>
    <row r="8514" spans="1:41" s="135" customFormat="1" ht="31.5" x14ac:dyDescent="0.25">
      <c r="A8514" s="358"/>
      <c r="B8514" s="361"/>
      <c r="C8514" s="364"/>
      <c r="D8514" s="156" t="s">
        <v>395</v>
      </c>
      <c r="E8514" s="156" t="s">
        <v>98</v>
      </c>
      <c r="F8514" s="156" t="s">
        <v>98</v>
      </c>
      <c r="G8514" s="238">
        <f>MROUND(H8514*L8514*I8514/K8514,0.000001)</f>
        <v>3.5500000000000001E-4</v>
      </c>
      <c r="H8514" s="242">
        <f>$H$57</f>
        <v>18.939999999999998</v>
      </c>
      <c r="I8514" s="159">
        <f t="shared" si="2456"/>
        <v>8.4332999999999999E-4</v>
      </c>
      <c r="J8514" s="160"/>
      <c r="K8514" s="161">
        <f>K8513</f>
        <v>45</v>
      </c>
      <c r="L8514" s="162">
        <v>1</v>
      </c>
      <c r="M8514" s="163" t="str">
        <f>CONCATENATE(H8514," ",F8514,"(обрабатываемая площадь в год)","*",L8514," раз в год","*",I8514,"/",K8514,"чел.")</f>
        <v>18,94 Га(обрабатываемая площадь в год)*1 раз в год*0,00084333/45чел.</v>
      </c>
      <c r="N8514" s="164">
        <f>$N$6834</f>
        <v>592.87803590285125</v>
      </c>
      <c r="O8514" s="165">
        <f t="shared" si="2467"/>
        <v>0.21047199999999999</v>
      </c>
      <c r="P8514" s="166"/>
      <c r="Q8514" s="166">
        <f t="shared" si="2468"/>
        <v>9.4712399999999999</v>
      </c>
      <c r="R8514" s="71"/>
      <c r="S8514" s="61"/>
      <c r="T8514" s="61"/>
      <c r="U8514" s="61"/>
      <c r="V8514" s="61"/>
      <c r="W8514" s="61"/>
      <c r="X8514" s="61"/>
      <c r="Y8514" s="61"/>
      <c r="Z8514" s="61"/>
      <c r="AA8514" s="61"/>
      <c r="AB8514" s="61"/>
      <c r="AC8514" s="61"/>
      <c r="AD8514" s="61"/>
      <c r="AE8514" s="61"/>
      <c r="AF8514" s="61"/>
      <c r="AG8514" s="61"/>
      <c r="AH8514" s="61"/>
      <c r="AI8514" s="61"/>
      <c r="AJ8514" s="61"/>
      <c r="AK8514" s="61"/>
      <c r="AL8514" s="61"/>
      <c r="AM8514" s="61"/>
      <c r="AN8514" s="61"/>
      <c r="AO8514" s="61"/>
    </row>
    <row r="8515" spans="1:41" s="61" customFormat="1" ht="31.5" x14ac:dyDescent="0.25">
      <c r="A8515" s="358"/>
      <c r="B8515" s="361"/>
      <c r="C8515" s="364"/>
      <c r="D8515" s="156" t="s">
        <v>97</v>
      </c>
      <c r="E8515" s="156" t="s">
        <v>98</v>
      </c>
      <c r="F8515" s="156" t="s">
        <v>98</v>
      </c>
      <c r="G8515" s="238">
        <f>MROUND(H8515*L8515*I8515/K8515,0.0000000001)</f>
        <v>3.5494820000000002E-4</v>
      </c>
      <c r="H8515" s="242">
        <f>H7435</f>
        <v>18.939999999999998</v>
      </c>
      <c r="I8515" s="244">
        <f>I8511</f>
        <v>8.4332999999999999E-4</v>
      </c>
      <c r="J8515" s="160"/>
      <c r="K8515" s="161">
        <f>K8511</f>
        <v>45</v>
      </c>
      <c r="L8515" s="250">
        <v>1</v>
      </c>
      <c r="M8515" s="163" t="str">
        <f>CONCATENATE(H8515," ",F8515,"(обрабатываемая площадь в мес.)","*",L8515,"мес.","*",I8515,"/",K8515,"чел.")</f>
        <v>18,94 Га(обрабатываемая площадь в мес.)*1мес.*0,00084333/45чел.</v>
      </c>
      <c r="N8515" s="164">
        <f>N7435</f>
        <v>3226.5021119324188</v>
      </c>
      <c r="O8515" s="165">
        <f t="shared" si="2467"/>
        <v>1.145241</v>
      </c>
      <c r="P8515" s="166"/>
      <c r="Q8515" s="166">
        <f t="shared" si="2468"/>
        <v>51.535844999999995</v>
      </c>
      <c r="R8515" s="71"/>
    </row>
    <row r="8516" spans="1:41" s="62" customFormat="1" x14ac:dyDescent="0.25">
      <c r="A8516" s="358"/>
      <c r="B8516" s="361"/>
      <c r="C8516" s="245" t="s">
        <v>294</v>
      </c>
      <c r="D8516" s="240"/>
      <c r="E8516" s="240"/>
      <c r="F8516" s="240"/>
      <c r="G8516" s="227"/>
      <c r="H8516" s="241"/>
      <c r="I8516" s="206"/>
      <c r="J8516" s="228"/>
      <c r="K8516" s="207"/>
      <c r="L8516" s="257"/>
      <c r="M8516" s="209"/>
      <c r="N8516" s="210"/>
      <c r="O8516" s="198">
        <f>SUM(O8510:O8515)</f>
        <v>33.147684999999996</v>
      </c>
      <c r="P8516" s="267"/>
      <c r="Q8516" s="166"/>
      <c r="R8516" s="71"/>
    </row>
    <row r="8517" spans="1:41" s="61" customFormat="1" ht="63" x14ac:dyDescent="0.25">
      <c r="A8517" s="358"/>
      <c r="B8517" s="361"/>
      <c r="C8517" s="365" t="s">
        <v>77</v>
      </c>
      <c r="D8517" s="156" t="s">
        <v>29</v>
      </c>
      <c r="E8517" s="156" t="s">
        <v>58</v>
      </c>
      <c r="F8517" s="156" t="s">
        <v>218</v>
      </c>
      <c r="G8517" s="238">
        <f>MROUND(H8517*L8517*I8517/K8517,0.00000001)</f>
        <v>1.12444E-3</v>
      </c>
      <c r="H8517" s="158">
        <v>15</v>
      </c>
      <c r="I8517" s="159">
        <f>I8515</f>
        <v>8.4332999999999999E-4</v>
      </c>
      <c r="J8517" s="160"/>
      <c r="K8517" s="161">
        <f>K8515</f>
        <v>45</v>
      </c>
      <c r="L8517" s="162">
        <v>4</v>
      </c>
      <c r="M8517" s="163" t="str">
        <f>CONCATENATE(H8517," ",F8517,"*",L8517," раза в год","*",I8517,"/",K8517,"чел.")</f>
        <v>15 установок*4 раза в год*0,00084333/45чел.</v>
      </c>
      <c r="N8517" s="164">
        <f>N6837</f>
        <v>2355.4600000000005</v>
      </c>
      <c r="O8517" s="165">
        <f t="shared" ref="O8517:O8525" si="2469">MROUND(G8517*N8517,0.000001)</f>
        <v>2.6485729999999998</v>
      </c>
      <c r="P8517" s="166"/>
      <c r="Q8517" s="166">
        <f t="shared" ref="Q8517:Q8532" si="2470">O8517*K8517</f>
        <v>119.185785</v>
      </c>
      <c r="R8517" s="71"/>
    </row>
    <row r="8518" spans="1:41" s="61" customFormat="1" ht="47.25" x14ac:dyDescent="0.25">
      <c r="A8518" s="358"/>
      <c r="B8518" s="361"/>
      <c r="C8518" s="366"/>
      <c r="D8518" s="156" t="s">
        <v>30</v>
      </c>
      <c r="E8518" s="156" t="s">
        <v>58</v>
      </c>
      <c r="F8518" s="156" t="s">
        <v>218</v>
      </c>
      <c r="G8518" s="238">
        <f>MROUND(H8518*L8518*I8518/K8518,0.00000001)</f>
        <v>5.6221999999999999E-4</v>
      </c>
      <c r="H8518" s="158">
        <v>15</v>
      </c>
      <c r="I8518" s="159">
        <f t="shared" si="2456"/>
        <v>8.4332999999999999E-4</v>
      </c>
      <c r="J8518" s="160"/>
      <c r="K8518" s="161">
        <f t="shared" ref="K8518:K8526" si="2471">K8517</f>
        <v>45</v>
      </c>
      <c r="L8518" s="250">
        <v>2</v>
      </c>
      <c r="M8518" s="163" t="str">
        <f>CONCATENATE(H8518," ",F8518,"*",L8518,"полуг.","*",I8518,"/",K8518,"чел.")</f>
        <v>15 установок*2полуг.*0,00084333/45чел.</v>
      </c>
      <c r="N8518" s="164">
        <f>N7798</f>
        <v>4710.920000000001</v>
      </c>
      <c r="O8518" s="165">
        <f t="shared" si="2469"/>
        <v>2.6485729999999998</v>
      </c>
      <c r="P8518" s="166"/>
      <c r="Q8518" s="166">
        <f t="shared" si="2470"/>
        <v>119.185785</v>
      </c>
      <c r="R8518" s="71"/>
    </row>
    <row r="8519" spans="1:41" s="61" customFormat="1" x14ac:dyDescent="0.25">
      <c r="A8519" s="358"/>
      <c r="B8519" s="361"/>
      <c r="C8519" s="366"/>
      <c r="D8519" s="156" t="s">
        <v>397</v>
      </c>
      <c r="E8519" s="156" t="s">
        <v>433</v>
      </c>
      <c r="F8519" s="156" t="s">
        <v>433</v>
      </c>
      <c r="G8519" s="238">
        <f>MROUND(H8519*L8519*I8519/K8519,0.000001)</f>
        <v>0</v>
      </c>
      <c r="H8519" s="158">
        <f>H7439</f>
        <v>0</v>
      </c>
      <c r="I8519" s="159">
        <f t="shared" si="2456"/>
        <v>8.4332999999999999E-4</v>
      </c>
      <c r="J8519" s="160"/>
      <c r="K8519" s="161">
        <f t="shared" si="2471"/>
        <v>45</v>
      </c>
      <c r="L8519" s="162">
        <v>1</v>
      </c>
      <c r="M8519" s="163"/>
      <c r="N8519" s="164">
        <f>N7439</f>
        <v>0</v>
      </c>
      <c r="O8519" s="165">
        <f t="shared" si="2469"/>
        <v>0</v>
      </c>
      <c r="P8519" s="166"/>
      <c r="Q8519" s="166">
        <f t="shared" si="2470"/>
        <v>0</v>
      </c>
      <c r="R8519" s="71"/>
    </row>
    <row r="8520" spans="1:41" s="61" customFormat="1" ht="47.25" x14ac:dyDescent="0.25">
      <c r="A8520" s="358"/>
      <c r="B8520" s="361"/>
      <c r="C8520" s="366"/>
      <c r="D8520" s="156" t="s">
        <v>32</v>
      </c>
      <c r="E8520" s="156" t="s">
        <v>55</v>
      </c>
      <c r="F8520" s="156" t="s">
        <v>219</v>
      </c>
      <c r="G8520" s="238">
        <f>MROUND(H8520*L8520*I8520/K8520,0.000000001)</f>
        <v>2.6986560000000002E-3</v>
      </c>
      <c r="H8520" s="158">
        <f>H7800</f>
        <v>36</v>
      </c>
      <c r="I8520" s="159">
        <f>I8519</f>
        <v>8.4332999999999999E-4</v>
      </c>
      <c r="J8520" s="160"/>
      <c r="K8520" s="161">
        <f t="shared" si="2471"/>
        <v>45</v>
      </c>
      <c r="L8520" s="250">
        <v>4</v>
      </c>
      <c r="M8520" s="163" t="str">
        <f>CONCATENATE(H8520," ",F8520,"*",L8520,"кв.","*",I8520,"/",K8520,"чел.")</f>
        <v>36 системы*4кв.*0,00084333/45чел.</v>
      </c>
      <c r="N8520" s="164">
        <f>N7800</f>
        <v>7532.7785416666693</v>
      </c>
      <c r="O8520" s="165">
        <f t="shared" si="2469"/>
        <v>20.328378000000001</v>
      </c>
      <c r="P8520" s="166"/>
      <c r="Q8520" s="166">
        <f t="shared" si="2470"/>
        <v>914.77701000000002</v>
      </c>
      <c r="R8520" s="71"/>
    </row>
    <row r="8521" spans="1:41" s="61" customFormat="1" ht="63" x14ac:dyDescent="0.25">
      <c r="A8521" s="358"/>
      <c r="B8521" s="361"/>
      <c r="C8521" s="366"/>
      <c r="D8521" s="156" t="s">
        <v>33</v>
      </c>
      <c r="E8521" s="156" t="s">
        <v>56</v>
      </c>
      <c r="F8521" s="156" t="s">
        <v>220</v>
      </c>
      <c r="G8521" s="238">
        <f>MROUND(H8521*L8521*I8521/K8521,0.000000001)</f>
        <v>6.7466400000000006E-4</v>
      </c>
      <c r="H8521" s="158">
        <f>$H$64</f>
        <v>36</v>
      </c>
      <c r="I8521" s="159">
        <f>I8520</f>
        <v>8.4332999999999999E-4</v>
      </c>
      <c r="J8521" s="160"/>
      <c r="K8521" s="161">
        <f t="shared" si="2471"/>
        <v>45</v>
      </c>
      <c r="L8521" s="162">
        <v>1</v>
      </c>
      <c r="M8521" s="163" t="str">
        <f>CONCATENATE(H8521," ",F8521,"*",L8521," раз в год","*",I8521,"/",K8521,"чел.")</f>
        <v>36 дымоходов*1 раз в год*0,00084333/45чел.</v>
      </c>
      <c r="N8521" s="164">
        <f>N6841</f>
        <v>7312.0941666666668</v>
      </c>
      <c r="O8521" s="165">
        <f t="shared" si="2469"/>
        <v>4.9332069999999995</v>
      </c>
      <c r="P8521" s="166"/>
      <c r="Q8521" s="166">
        <f t="shared" si="2470"/>
        <v>221.99431499999997</v>
      </c>
      <c r="R8521" s="71"/>
    </row>
    <row r="8522" spans="1:41" s="61" customFormat="1" x14ac:dyDescent="0.25">
      <c r="A8522" s="358"/>
      <c r="B8522" s="361"/>
      <c r="C8522" s="366"/>
      <c r="D8522" s="194" t="s">
        <v>398</v>
      </c>
      <c r="E8522" s="156" t="s">
        <v>60</v>
      </c>
      <c r="F8522" s="156" t="s">
        <v>60</v>
      </c>
      <c r="G8522" s="238">
        <f>MROUND(H8522*L8522*I8522/K8522,0.000000001)</f>
        <v>6.5592299999999999E-4</v>
      </c>
      <c r="H8522" s="246">
        <f>H6842</f>
        <v>35</v>
      </c>
      <c r="I8522" s="159">
        <f t="shared" si="2456"/>
        <v>8.4332999999999999E-4</v>
      </c>
      <c r="J8522" s="160"/>
      <c r="K8522" s="161">
        <f t="shared" si="2471"/>
        <v>45</v>
      </c>
      <c r="L8522" s="250">
        <v>1</v>
      </c>
      <c r="M8522" s="163" t="str">
        <f>CONCATENATE(H8522," ",F8522,"*",I8522,"/",K8522,"чел.")</f>
        <v>35 шт.*0,00084333/45чел.</v>
      </c>
      <c r="N8522" s="164">
        <f>N6842</f>
        <v>12660.374571428585</v>
      </c>
      <c r="O8522" s="165">
        <f t="shared" si="2469"/>
        <v>8.3042309999999997</v>
      </c>
      <c r="P8522" s="166"/>
      <c r="Q8522" s="166">
        <f t="shared" si="2470"/>
        <v>373.69039499999997</v>
      </c>
      <c r="R8522" s="71"/>
    </row>
    <row r="8523" spans="1:41" s="61" customFormat="1" ht="47.25" x14ac:dyDescent="0.25">
      <c r="A8523" s="358"/>
      <c r="B8523" s="361"/>
      <c r="C8523" s="366"/>
      <c r="D8523" s="156" t="s">
        <v>401</v>
      </c>
      <c r="E8523" s="156" t="s">
        <v>60</v>
      </c>
      <c r="F8523" s="156" t="s">
        <v>402</v>
      </c>
      <c r="G8523" s="238">
        <f>MROUND(H8523*L8523*I8523/K8523,0.000001)</f>
        <v>1.312E-3</v>
      </c>
      <c r="H8523" s="246">
        <f>H6843</f>
        <v>35</v>
      </c>
      <c r="I8523" s="159">
        <f t="shared" si="2456"/>
        <v>8.4332999999999999E-4</v>
      </c>
      <c r="J8523" s="160"/>
      <c r="K8523" s="161">
        <f t="shared" si="2471"/>
        <v>45</v>
      </c>
      <c r="L8523" s="162">
        <v>2</v>
      </c>
      <c r="M8523" s="163" t="str">
        <f>CONCATENATE(H8523," ",F8523,"*",L8523," раз в год","*",I8523,"/",K8523,"чел.")</f>
        <v>35 противопожарных водопроводов*2 раз в год*0,00084333/45чел.</v>
      </c>
      <c r="N8523" s="164">
        <f>N6843</f>
        <v>5928.7300000000032</v>
      </c>
      <c r="O8523" s="165">
        <f t="shared" si="2469"/>
        <v>7.7784939999999994</v>
      </c>
      <c r="P8523" s="166"/>
      <c r="Q8523" s="166">
        <f t="shared" si="2470"/>
        <v>350.03222999999997</v>
      </c>
      <c r="R8523" s="71"/>
    </row>
    <row r="8524" spans="1:41" s="61" customFormat="1" ht="31.5" x14ac:dyDescent="0.25">
      <c r="A8524" s="358"/>
      <c r="B8524" s="361"/>
      <c r="C8524" s="366"/>
      <c r="D8524" s="156" t="s">
        <v>221</v>
      </c>
      <c r="E8524" s="156" t="s">
        <v>60</v>
      </c>
      <c r="F8524" s="156" t="s">
        <v>60</v>
      </c>
      <c r="G8524" s="238">
        <f>MROUND(H8524*L8524*I8524/K8524,0.0000000001)</f>
        <v>4.0479840000000001E-3</v>
      </c>
      <c r="H8524" s="158">
        <f>H6844</f>
        <v>18</v>
      </c>
      <c r="I8524" s="159">
        <f t="shared" si="2456"/>
        <v>8.4332999999999999E-4</v>
      </c>
      <c r="J8524" s="160"/>
      <c r="K8524" s="161">
        <f t="shared" si="2471"/>
        <v>45</v>
      </c>
      <c r="L8524" s="250">
        <v>12</v>
      </c>
      <c r="M8524" s="163" t="str">
        <f>CONCATENATE(H8524," ",F8524,"*",L8524,"мес.","*",I8524,"/",K8524,"чел.")</f>
        <v>18 шт.*12мес.*0,00084333/45чел.</v>
      </c>
      <c r="N8524" s="164">
        <f>N7444</f>
        <v>6840.4345833333346</v>
      </c>
      <c r="O8524" s="165">
        <f t="shared" si="2469"/>
        <v>27.689969999999999</v>
      </c>
      <c r="P8524" s="166"/>
      <c r="Q8524" s="166">
        <f t="shared" si="2470"/>
        <v>1246.04865</v>
      </c>
      <c r="R8524" s="71"/>
    </row>
    <row r="8525" spans="1:41" s="61" customFormat="1" ht="47.25" x14ac:dyDescent="0.25">
      <c r="A8525" s="358"/>
      <c r="B8525" s="361"/>
      <c r="C8525" s="366"/>
      <c r="D8525" s="156" t="s">
        <v>34</v>
      </c>
      <c r="E8525" s="156" t="s">
        <v>59</v>
      </c>
      <c r="F8525" s="156" t="s">
        <v>28</v>
      </c>
      <c r="G8525" s="238">
        <f>MROUND(H8525*L8525*I8525/K8525,0.0000000001)</f>
        <v>3.7481300000000003E-5</v>
      </c>
      <c r="H8525" s="158">
        <f>H7085</f>
        <v>2</v>
      </c>
      <c r="I8525" s="159">
        <f t="shared" si="2456"/>
        <v>8.4332999999999999E-4</v>
      </c>
      <c r="J8525" s="160"/>
      <c r="K8525" s="161">
        <f t="shared" si="2471"/>
        <v>45</v>
      </c>
      <c r="L8525" s="250">
        <v>1</v>
      </c>
      <c r="M8525" s="163" t="str">
        <f>CONCATENATE(H8525," ",F8525,"*",I8525,"/",K8525,"чел.")</f>
        <v>2 шт*0,00084333/45чел.</v>
      </c>
      <c r="N8525" s="164">
        <f>N6845</f>
        <v>8158.8</v>
      </c>
      <c r="O8525" s="165">
        <f t="shared" si="2469"/>
        <v>0.30580199999999996</v>
      </c>
      <c r="P8525" s="166"/>
      <c r="Q8525" s="166">
        <f t="shared" si="2470"/>
        <v>13.761089999999998</v>
      </c>
      <c r="R8525" s="71"/>
    </row>
    <row r="8526" spans="1:41" s="61" customFormat="1" ht="47.25" x14ac:dyDescent="0.25">
      <c r="A8526" s="358"/>
      <c r="B8526" s="361"/>
      <c r="C8526" s="366"/>
      <c r="D8526" s="156" t="s">
        <v>222</v>
      </c>
      <c r="E8526" s="156" t="s">
        <v>60</v>
      </c>
      <c r="F8526" s="156" t="s">
        <v>60</v>
      </c>
      <c r="G8526" s="238">
        <f>MROUND(H8526*L8526*I8526/K8526,0.00000000001)</f>
        <v>9.370332999999999E-5</v>
      </c>
      <c r="H8526" s="248">
        <f>H7806</f>
        <v>5</v>
      </c>
      <c r="I8526" s="159">
        <f t="shared" si="2456"/>
        <v>8.4332999999999999E-4</v>
      </c>
      <c r="J8526" s="160"/>
      <c r="K8526" s="161">
        <f t="shared" si="2471"/>
        <v>45</v>
      </c>
      <c r="L8526" s="250">
        <v>1</v>
      </c>
      <c r="M8526" s="163" t="str">
        <f>CONCATENATE(H8526," ",F8526,"*",I8526,"/",K8526,"чел.")</f>
        <v>5 шт.*0,00084333/45чел.</v>
      </c>
      <c r="N8526" s="164">
        <f>N6846</f>
        <v>45611.39</v>
      </c>
      <c r="O8526" s="165">
        <f>MROUND(G8526*N8526,0.00000001)</f>
        <v>4.2739391300000005</v>
      </c>
      <c r="P8526" s="166"/>
      <c r="Q8526" s="166">
        <f t="shared" si="2470"/>
        <v>192.32726085000002</v>
      </c>
      <c r="R8526" s="71"/>
    </row>
    <row r="8527" spans="1:41" s="61" customFormat="1" ht="31.5" x14ac:dyDescent="0.25">
      <c r="A8527" s="358"/>
      <c r="B8527" s="361"/>
      <c r="C8527" s="366"/>
      <c r="D8527" s="156" t="s">
        <v>35</v>
      </c>
      <c r="E8527" s="156" t="s">
        <v>102</v>
      </c>
      <c r="F8527" s="156" t="s">
        <v>223</v>
      </c>
      <c r="G8527" s="238">
        <f>MROUND(H8527*L8527*I8527/K8527,0.00000001)</f>
        <v>6.5592000000000005E-4</v>
      </c>
      <c r="H8527" s="158">
        <f>H6847</f>
        <v>35</v>
      </c>
      <c r="I8527" s="159">
        <f>I8525</f>
        <v>8.4332999999999999E-4</v>
      </c>
      <c r="J8527" s="160"/>
      <c r="K8527" s="161">
        <f>K8525</f>
        <v>45</v>
      </c>
      <c r="L8527" s="250">
        <v>1</v>
      </c>
      <c r="M8527" s="163" t="str">
        <f>CONCATENATE(H8527," ",F8527,"*",I8527,"/",K8527,"чел.")</f>
        <v>35 замеров*0,00084333/45чел.</v>
      </c>
      <c r="N8527" s="164">
        <f>N6847</f>
        <v>26000</v>
      </c>
      <c r="O8527" s="165">
        <f t="shared" ref="O8527:O8532" si="2472">MROUND(G8527*N8527,0.000001)</f>
        <v>17.053919999999998</v>
      </c>
      <c r="P8527" s="166"/>
      <c r="Q8527" s="166">
        <f t="shared" si="2470"/>
        <v>767.42639999999994</v>
      </c>
      <c r="R8527" s="71"/>
    </row>
    <row r="8528" spans="1:41" s="61" customFormat="1" ht="47.25" x14ac:dyDescent="0.25">
      <c r="A8528" s="358"/>
      <c r="B8528" s="361"/>
      <c r="C8528" s="366"/>
      <c r="D8528" s="156" t="s">
        <v>399</v>
      </c>
      <c r="E8528" s="156" t="s">
        <v>60</v>
      </c>
      <c r="F8528" s="156" t="s">
        <v>60</v>
      </c>
      <c r="G8528" s="238">
        <f>MROUND(H8528*L8528*I8528/K8528,0.000000001)</f>
        <v>6.5592330000000003E-3</v>
      </c>
      <c r="H8528" s="158">
        <f>H7928</f>
        <v>35</v>
      </c>
      <c r="I8528" s="159">
        <f t="shared" si="2456"/>
        <v>8.4332999999999999E-4</v>
      </c>
      <c r="J8528" s="160"/>
      <c r="K8528" s="161">
        <f>K8527</f>
        <v>45</v>
      </c>
      <c r="L8528" s="250">
        <v>10</v>
      </c>
      <c r="M8528" s="163" t="str">
        <f>CONCATENATE(H8528," ",F8528,"*",L8528,"мес.","*",I8528,"/",K8528,"чел.")</f>
        <v>35 шт.*10мес.*0,00084333/45чел.</v>
      </c>
      <c r="N8528" s="164">
        <f>N7928</f>
        <v>3380.9014857142843</v>
      </c>
      <c r="O8528" s="165">
        <f t="shared" si="2472"/>
        <v>22.176120999999998</v>
      </c>
      <c r="P8528" s="166"/>
      <c r="Q8528" s="166">
        <f t="shared" si="2470"/>
        <v>997.92544499999997</v>
      </c>
      <c r="R8528" s="71"/>
    </row>
    <row r="8529" spans="1:18" s="61" customFormat="1" ht="47.25" x14ac:dyDescent="0.25">
      <c r="A8529" s="358"/>
      <c r="B8529" s="361"/>
      <c r="C8529" s="366"/>
      <c r="D8529" s="156" t="s">
        <v>36</v>
      </c>
      <c r="E8529" s="156" t="s">
        <v>31</v>
      </c>
      <c r="F8529" s="156" t="s">
        <v>224</v>
      </c>
      <c r="G8529" s="238">
        <f>MROUND(H8529*L8529*I8529/K8529,0.00000001)</f>
        <v>8.0959700000000009E-3</v>
      </c>
      <c r="H8529" s="158">
        <f>H7809</f>
        <v>36</v>
      </c>
      <c r="I8529" s="159">
        <f t="shared" si="2456"/>
        <v>8.4332999999999999E-4</v>
      </c>
      <c r="J8529" s="160"/>
      <c r="K8529" s="161">
        <f>K8528</f>
        <v>45</v>
      </c>
      <c r="L8529" s="250">
        <v>12</v>
      </c>
      <c r="M8529" s="163" t="str">
        <f>CONCATENATE(H8529," ",F8529,"*",L8529,"мес.","*",I8529,"/",K8529,"чел.")</f>
        <v>36 устройств*12мес.*0,00084333/45чел.</v>
      </c>
      <c r="N8529" s="164">
        <f>N6849</f>
        <v>1269.5381481481488</v>
      </c>
      <c r="O8529" s="165">
        <f t="shared" si="2472"/>
        <v>10.278143</v>
      </c>
      <c r="P8529" s="166"/>
      <c r="Q8529" s="166">
        <f t="shared" si="2470"/>
        <v>462.516435</v>
      </c>
      <c r="R8529" s="71"/>
    </row>
    <row r="8530" spans="1:18" s="61" customFormat="1" ht="31.5" x14ac:dyDescent="0.25">
      <c r="A8530" s="358"/>
      <c r="B8530" s="361"/>
      <c r="C8530" s="366"/>
      <c r="D8530" s="156" t="s">
        <v>99</v>
      </c>
      <c r="E8530" s="156" t="s">
        <v>103</v>
      </c>
      <c r="F8530" s="156" t="s">
        <v>225</v>
      </c>
      <c r="G8530" s="238">
        <f>MROUND(H8530*L8530*I8530/K8530,0.00000001)</f>
        <v>3.7668700000000003E-3</v>
      </c>
      <c r="H8530" s="158">
        <f>H6850</f>
        <v>201</v>
      </c>
      <c r="I8530" s="159">
        <f t="shared" si="2456"/>
        <v>8.4332999999999999E-4</v>
      </c>
      <c r="J8530" s="160"/>
      <c r="K8530" s="161">
        <f>K8529</f>
        <v>45</v>
      </c>
      <c r="L8530" s="250">
        <v>1</v>
      </c>
      <c r="M8530" s="163" t="str">
        <f>CONCATENATE(H8530," ",F8530,"*",I8530,"/",K8530,"чел.")</f>
        <v>201 ед.*0,00084333/45чел.</v>
      </c>
      <c r="N8530" s="164">
        <f>N6850</f>
        <v>15000</v>
      </c>
      <c r="O8530" s="165">
        <f t="shared" si="2472"/>
        <v>56.503049999999995</v>
      </c>
      <c r="P8530" s="166"/>
      <c r="Q8530" s="166">
        <f t="shared" si="2470"/>
        <v>2542.6372499999998</v>
      </c>
      <c r="R8530" s="71"/>
    </row>
    <row r="8531" spans="1:18" s="61" customFormat="1" x14ac:dyDescent="0.25">
      <c r="A8531" s="358"/>
      <c r="B8531" s="361"/>
      <c r="C8531" s="366"/>
      <c r="D8531" s="156" t="s">
        <v>27</v>
      </c>
      <c r="E8531" s="156" t="s">
        <v>28</v>
      </c>
      <c r="F8531" s="156" t="s">
        <v>28</v>
      </c>
      <c r="G8531" s="238">
        <f>MROUND(H8531*L8531*I8531/K8531,0.000000001)</f>
        <v>7.8523393000000011E-2</v>
      </c>
      <c r="H8531" s="160">
        <f>H6851</f>
        <v>4190</v>
      </c>
      <c r="I8531" s="159">
        <f t="shared" si="2456"/>
        <v>8.4332999999999999E-4</v>
      </c>
      <c r="J8531" s="160"/>
      <c r="K8531" s="161">
        <f>K8530</f>
        <v>45</v>
      </c>
      <c r="L8531" s="250">
        <v>1</v>
      </c>
      <c r="M8531" s="163" t="str">
        <f>CONCATENATE(H8531," ",F8531,"*",I8531,"/",K8531,"чел.")</f>
        <v>4190 шт*0,00084333/45чел.</v>
      </c>
      <c r="N8531" s="164">
        <f>N6851</f>
        <v>435.13600000000008</v>
      </c>
      <c r="O8531" s="165">
        <f t="shared" si="2472"/>
        <v>34.168354999999998</v>
      </c>
      <c r="P8531" s="166"/>
      <c r="Q8531" s="166">
        <f t="shared" si="2470"/>
        <v>1537.575975</v>
      </c>
      <c r="R8531" s="71"/>
    </row>
    <row r="8532" spans="1:18" s="61" customFormat="1" ht="31.5" x14ac:dyDescent="0.25">
      <c r="A8532" s="358"/>
      <c r="B8532" s="361"/>
      <c r="C8532" s="367"/>
      <c r="D8532" s="156" t="s">
        <v>104</v>
      </c>
      <c r="E8532" s="156" t="s">
        <v>105</v>
      </c>
      <c r="F8532" s="156" t="s">
        <v>226</v>
      </c>
      <c r="G8532" s="238">
        <f>MROUND(H8532*L8532*I8532/K8532,0.00000001)</f>
        <v>6.7465999999999999E-4</v>
      </c>
      <c r="H8532" s="160">
        <f>H7452</f>
        <v>36</v>
      </c>
      <c r="I8532" s="159">
        <f t="shared" si="2456"/>
        <v>8.4332999999999999E-4</v>
      </c>
      <c r="J8532" s="160"/>
      <c r="K8532" s="161">
        <f>K8531</f>
        <v>45</v>
      </c>
      <c r="L8532" s="250">
        <v>1</v>
      </c>
      <c r="M8532" s="163" t="str">
        <f>CONCATENATE(H8532," ",F8532,"*",I8532,"/",K8532,"чел.")</f>
        <v>36 отключений*0,00084333/45чел.</v>
      </c>
      <c r="N8532" s="164">
        <f>N6852</f>
        <v>10671.710000000006</v>
      </c>
      <c r="O8532" s="165">
        <f t="shared" si="2472"/>
        <v>7.199776</v>
      </c>
      <c r="P8532" s="166"/>
      <c r="Q8532" s="166">
        <f t="shared" si="2470"/>
        <v>323.98991999999998</v>
      </c>
      <c r="R8532" s="71"/>
    </row>
    <row r="8533" spans="1:18" s="62" customFormat="1" x14ac:dyDescent="0.25">
      <c r="A8533" s="358"/>
      <c r="B8533" s="361"/>
      <c r="C8533" s="249" t="s">
        <v>292</v>
      </c>
      <c r="D8533" s="240"/>
      <c r="E8533" s="240"/>
      <c r="F8533" s="240"/>
      <c r="G8533" s="227"/>
      <c r="H8533" s="228"/>
      <c r="I8533" s="206"/>
      <c r="J8533" s="228"/>
      <c r="K8533" s="207"/>
      <c r="L8533" s="257"/>
      <c r="M8533" s="209"/>
      <c r="N8533" s="210"/>
      <c r="O8533" s="198">
        <f>SUM(O8517:O8532)</f>
        <v>226.29053212999997</v>
      </c>
      <c r="P8533" s="267"/>
      <c r="Q8533" s="166"/>
      <c r="R8533" s="71"/>
    </row>
    <row r="8534" spans="1:18" s="61" customFormat="1" ht="31.5" x14ac:dyDescent="0.25">
      <c r="A8534" s="358"/>
      <c r="B8534" s="361"/>
      <c r="C8534" s="221" t="s">
        <v>79</v>
      </c>
      <c r="D8534" s="156" t="s">
        <v>37</v>
      </c>
      <c r="E8534" s="156" t="s">
        <v>61</v>
      </c>
      <c r="F8534" s="156" t="s">
        <v>227</v>
      </c>
      <c r="G8534" s="238">
        <f>MROUND(H8534*L8534*I8534/K8534,0.000000001)</f>
        <v>7.4963000000000007E-5</v>
      </c>
      <c r="H8534" s="158">
        <f>H6854</f>
        <v>4</v>
      </c>
      <c r="I8534" s="159">
        <f>I8532</f>
        <v>8.4332999999999999E-4</v>
      </c>
      <c r="J8534" s="160"/>
      <c r="K8534" s="161">
        <f>K8532</f>
        <v>45</v>
      </c>
      <c r="L8534" s="250">
        <v>1</v>
      </c>
      <c r="M8534" s="163" t="str">
        <f>CONCATENATE(H8534," ",F8534,"*",I8534,"/",K8534,"чел.")</f>
        <v>4 автобуса*0,00084333/45чел.</v>
      </c>
      <c r="N8534" s="164">
        <f>N6854</f>
        <v>37900.35</v>
      </c>
      <c r="O8534" s="165">
        <f>MROUND(G8534*N8534,0.000001)</f>
        <v>2.8411239999999998</v>
      </c>
      <c r="P8534" s="166"/>
      <c r="Q8534" s="166">
        <f t="shared" ref="Q8534" si="2473">O8534*K8534</f>
        <v>127.85057999999999</v>
      </c>
      <c r="R8534" s="71"/>
    </row>
    <row r="8535" spans="1:18" s="62" customFormat="1" x14ac:dyDescent="0.25">
      <c r="A8535" s="358"/>
      <c r="B8535" s="361"/>
      <c r="C8535" s="218" t="s">
        <v>295</v>
      </c>
      <c r="D8535" s="240"/>
      <c r="E8535" s="240"/>
      <c r="F8535" s="240"/>
      <c r="G8535" s="227"/>
      <c r="H8535" s="241"/>
      <c r="I8535" s="206"/>
      <c r="J8535" s="228"/>
      <c r="K8535" s="207"/>
      <c r="L8535" s="257"/>
      <c r="M8535" s="209"/>
      <c r="N8535" s="210"/>
      <c r="O8535" s="198">
        <f>SUM(O8534)</f>
        <v>2.8411239999999998</v>
      </c>
      <c r="P8535" s="267"/>
      <c r="Q8535" s="166"/>
      <c r="R8535" s="71"/>
    </row>
    <row r="8536" spans="1:18" s="61" customFormat="1" x14ac:dyDescent="0.25">
      <c r="A8536" s="358"/>
      <c r="B8536" s="361"/>
      <c r="C8536" s="364" t="s">
        <v>80</v>
      </c>
      <c r="D8536" s="156" t="s">
        <v>38</v>
      </c>
      <c r="E8536" s="156" t="s">
        <v>57</v>
      </c>
      <c r="F8536" s="156" t="s">
        <v>228</v>
      </c>
      <c r="G8536" s="238">
        <f>MROUND(H8536*L8536*I8536/K8536,0.0000000001)</f>
        <v>8.0959680000000003E-3</v>
      </c>
      <c r="H8536" s="158">
        <f>H6856</f>
        <v>36</v>
      </c>
      <c r="I8536" s="159">
        <f>I8534</f>
        <v>8.4332999999999999E-4</v>
      </c>
      <c r="J8536" s="160"/>
      <c r="K8536" s="161">
        <f>K8534</f>
        <v>45</v>
      </c>
      <c r="L8536" s="250">
        <v>12</v>
      </c>
      <c r="M8536" s="163" t="str">
        <f>CONCATENATE(H8536," ",F8536,"*",L8536,"мес.","*",I8536,"/",K8536,"чел.")</f>
        <v>36 зданий*12мес.*0,00084333/45чел.</v>
      </c>
      <c r="N8536" s="164">
        <f t="shared" ref="N8536:N8544" si="2474">N6856</f>
        <v>5106.1928935185206</v>
      </c>
      <c r="O8536" s="165">
        <f>MROUND(G8536*N8536,0.000001)</f>
        <v>41.339573999999999</v>
      </c>
      <c r="P8536" s="166"/>
      <c r="Q8536" s="166">
        <f t="shared" ref="Q8536:Q8549" si="2475">O8536*K8536</f>
        <v>1860.2808299999999</v>
      </c>
      <c r="R8536" s="71"/>
    </row>
    <row r="8537" spans="1:18" s="61" customFormat="1" ht="47.25" x14ac:dyDescent="0.25">
      <c r="A8537" s="358"/>
      <c r="B8537" s="361"/>
      <c r="C8537" s="364"/>
      <c r="D8537" s="156" t="s">
        <v>229</v>
      </c>
      <c r="E8537" s="156" t="s">
        <v>60</v>
      </c>
      <c r="F8537" s="156" t="s">
        <v>60</v>
      </c>
      <c r="G8537" s="238">
        <f>MROUND(H8537*L8537*I8537/K8537,0.000001)</f>
        <v>4.4864999999999995E-2</v>
      </c>
      <c r="H8537" s="158">
        <f>H7097</f>
        <v>2394</v>
      </c>
      <c r="I8537" s="159">
        <f>I8536</f>
        <v>8.4332999999999999E-4</v>
      </c>
      <c r="J8537" s="160"/>
      <c r="K8537" s="161">
        <f>K8536</f>
        <v>45</v>
      </c>
      <c r="L8537" s="250">
        <v>1</v>
      </c>
      <c r="M8537" s="163" t="str">
        <f t="shared" ref="M8537:M8544" si="2476">CONCATENATE(H8537," ",F8537,"*",I8537,"/",K8537,"чел.")</f>
        <v>2394 шт.*0,00084333/45чел.</v>
      </c>
      <c r="N8537" s="164">
        <f t="shared" si="2474"/>
        <v>177.86185045948207</v>
      </c>
      <c r="O8537" s="165">
        <f>MROUND(G8537*N8537,0.000001)</f>
        <v>7.9797719999999996</v>
      </c>
      <c r="P8537" s="166"/>
      <c r="Q8537" s="166">
        <f t="shared" si="2475"/>
        <v>359.08974000000001</v>
      </c>
      <c r="R8537" s="71"/>
    </row>
    <row r="8538" spans="1:18" s="61" customFormat="1" ht="47.25" x14ac:dyDescent="0.25">
      <c r="A8538" s="358"/>
      <c r="B8538" s="361"/>
      <c r="C8538" s="364"/>
      <c r="D8538" s="156" t="s">
        <v>405</v>
      </c>
      <c r="E8538" s="156" t="s">
        <v>60</v>
      </c>
      <c r="F8538" s="156" t="s">
        <v>406</v>
      </c>
      <c r="G8538" s="238">
        <f>MROUND(H8538*L8538*I8538/K8538,0.00000001)</f>
        <v>6.7465999999999999E-4</v>
      </c>
      <c r="H8538" s="158">
        <f>H6978</f>
        <v>36</v>
      </c>
      <c r="I8538" s="159">
        <f>I8537</f>
        <v>8.4332999999999999E-4</v>
      </c>
      <c r="J8538" s="160"/>
      <c r="K8538" s="161">
        <f>K8537</f>
        <v>45</v>
      </c>
      <c r="L8538" s="250">
        <v>1</v>
      </c>
      <c r="M8538" s="163" t="str">
        <f t="shared" si="2476"/>
        <v>36 лицензий*0,00084333/45чел.</v>
      </c>
      <c r="N8538" s="164">
        <f t="shared" si="2474"/>
        <v>13043.200000000006</v>
      </c>
      <c r="O8538" s="165">
        <f t="shared" ref="O8538:O8547" si="2477">MROUND(G8538*N8538,0.000001)</f>
        <v>8.7997250000000005</v>
      </c>
      <c r="P8538" s="166"/>
      <c r="Q8538" s="166">
        <f t="shared" si="2475"/>
        <v>395.98762500000004</v>
      </c>
      <c r="R8538" s="71"/>
    </row>
    <row r="8539" spans="1:18" s="61" customFormat="1" ht="63" x14ac:dyDescent="0.25">
      <c r="A8539" s="358"/>
      <c r="B8539" s="361"/>
      <c r="C8539" s="364"/>
      <c r="D8539" s="156" t="s">
        <v>39</v>
      </c>
      <c r="E8539" s="156" t="s">
        <v>20</v>
      </c>
      <c r="F8539" s="156" t="s">
        <v>234</v>
      </c>
      <c r="G8539" s="238">
        <f>MROUND(H8539*L8539*I8539/K8539,0.000000001)</f>
        <v>2.2113990000000002E-3</v>
      </c>
      <c r="H8539" s="158">
        <f>H8059</f>
        <v>118</v>
      </c>
      <c r="I8539" s="159">
        <f>I8537</f>
        <v>8.4332999999999999E-4</v>
      </c>
      <c r="J8539" s="160"/>
      <c r="K8539" s="161">
        <f>K8537</f>
        <v>45</v>
      </c>
      <c r="L8539" s="250">
        <v>1</v>
      </c>
      <c r="M8539" s="163" t="str">
        <f t="shared" si="2476"/>
        <v>118 чел(заявленная потребность руководителями учреждений)*0,00084333/45чел.</v>
      </c>
      <c r="N8539" s="164">
        <f t="shared" si="2474"/>
        <v>830.02203389830515</v>
      </c>
      <c r="O8539" s="165">
        <f t="shared" si="2477"/>
        <v>1.83551</v>
      </c>
      <c r="P8539" s="166"/>
      <c r="Q8539" s="166">
        <f t="shared" si="2475"/>
        <v>82.597949999999997</v>
      </c>
      <c r="R8539" s="71"/>
    </row>
    <row r="8540" spans="1:18" s="61" customFormat="1" ht="63" x14ac:dyDescent="0.25">
      <c r="A8540" s="358"/>
      <c r="B8540" s="361"/>
      <c r="C8540" s="364"/>
      <c r="D8540" s="156" t="s">
        <v>40</v>
      </c>
      <c r="E8540" s="156" t="s">
        <v>20</v>
      </c>
      <c r="F8540" s="156" t="s">
        <v>234</v>
      </c>
      <c r="G8540" s="238">
        <f>MROUND(H8540*L8540*I8540/K8540,0.000000001)</f>
        <v>1.7991040000000002E-3</v>
      </c>
      <c r="H8540" s="158">
        <f>H8060</f>
        <v>96</v>
      </c>
      <c r="I8540" s="159">
        <f t="shared" ref="I8540:I8547" si="2478">I8539</f>
        <v>8.4332999999999999E-4</v>
      </c>
      <c r="J8540" s="160"/>
      <c r="K8540" s="161">
        <f t="shared" ref="K8540:K8547" si="2479">K8539</f>
        <v>45</v>
      </c>
      <c r="L8540" s="250">
        <v>1</v>
      </c>
      <c r="M8540" s="163" t="str">
        <f t="shared" si="2476"/>
        <v>96 чел(заявленная потребность руководителями учреждений)*0,00084333/45чел.</v>
      </c>
      <c r="N8540" s="164">
        <f t="shared" si="2474"/>
        <v>1778.6189583333326</v>
      </c>
      <c r="O8540" s="165">
        <f t="shared" si="2477"/>
        <v>3.1999199999999997</v>
      </c>
      <c r="P8540" s="166"/>
      <c r="Q8540" s="166">
        <f t="shared" si="2475"/>
        <v>143.99639999999999</v>
      </c>
      <c r="R8540" s="71"/>
    </row>
    <row r="8541" spans="1:18" s="61" customFormat="1" ht="63" x14ac:dyDescent="0.25">
      <c r="A8541" s="358"/>
      <c r="B8541" s="361"/>
      <c r="C8541" s="364"/>
      <c r="D8541" s="156" t="s">
        <v>100</v>
      </c>
      <c r="E8541" s="156" t="s">
        <v>20</v>
      </c>
      <c r="F8541" s="156" t="s">
        <v>234</v>
      </c>
      <c r="G8541" s="238">
        <f>MROUND(H8541*L8541*I8541/K8541,0.0000000001)</f>
        <v>1.5179940000000002E-3</v>
      </c>
      <c r="H8541" s="158">
        <f>H8061</f>
        <v>81</v>
      </c>
      <c r="I8541" s="159">
        <f t="shared" si="2478"/>
        <v>8.4332999999999999E-4</v>
      </c>
      <c r="J8541" s="160"/>
      <c r="K8541" s="161">
        <f t="shared" si="2479"/>
        <v>45</v>
      </c>
      <c r="L8541" s="250">
        <v>1</v>
      </c>
      <c r="M8541" s="163" t="str">
        <f t="shared" si="2476"/>
        <v>81 чел(заявленная потребность руководителями учреждений)*0,00084333/45чел.</v>
      </c>
      <c r="N8541" s="164">
        <f t="shared" si="2474"/>
        <v>3794.386419753087</v>
      </c>
      <c r="O8541" s="165">
        <f t="shared" si="2477"/>
        <v>5.7598560000000001</v>
      </c>
      <c r="P8541" s="166"/>
      <c r="Q8541" s="166">
        <f t="shared" si="2475"/>
        <v>259.19351999999998</v>
      </c>
      <c r="R8541" s="71"/>
    </row>
    <row r="8542" spans="1:18" s="61" customFormat="1" ht="110.25" x14ac:dyDescent="0.25">
      <c r="A8542" s="358"/>
      <c r="B8542" s="361"/>
      <c r="C8542" s="364"/>
      <c r="D8542" s="156" t="s">
        <v>235</v>
      </c>
      <c r="E8542" s="156" t="s">
        <v>50</v>
      </c>
      <c r="F8542" s="156" t="s">
        <v>230</v>
      </c>
      <c r="G8542" s="238">
        <f>MROUND(H8542*L8542*I8542/K8542,0.00000001)</f>
        <v>6.7465999999999999E-4</v>
      </c>
      <c r="H8542" s="158">
        <f>H8302</f>
        <v>36</v>
      </c>
      <c r="I8542" s="159">
        <f t="shared" si="2478"/>
        <v>8.4332999999999999E-4</v>
      </c>
      <c r="J8542" s="160"/>
      <c r="K8542" s="161">
        <f t="shared" si="2479"/>
        <v>45</v>
      </c>
      <c r="L8542" s="250">
        <v>1</v>
      </c>
      <c r="M8542" s="163" t="str">
        <f t="shared" si="2476"/>
        <v>36 отчетов*0,00084333/45чел.</v>
      </c>
      <c r="N8542" s="164">
        <f t="shared" si="2474"/>
        <v>7114.47</v>
      </c>
      <c r="O8542" s="165">
        <f t="shared" si="2477"/>
        <v>4.7998479999999999</v>
      </c>
      <c r="P8542" s="166"/>
      <c r="Q8542" s="166">
        <f t="shared" si="2475"/>
        <v>215.99315999999999</v>
      </c>
      <c r="R8542" s="71"/>
    </row>
    <row r="8543" spans="1:18" s="61" customFormat="1" ht="63" x14ac:dyDescent="0.25">
      <c r="A8543" s="358"/>
      <c r="B8543" s="361"/>
      <c r="C8543" s="364"/>
      <c r="D8543" s="156" t="s">
        <v>42</v>
      </c>
      <c r="E8543" s="156" t="s">
        <v>51</v>
      </c>
      <c r="F8543" s="156" t="s">
        <v>407</v>
      </c>
      <c r="G8543" s="238">
        <f>MROUND(H8543*L8543*I8543/K8543,0.000001)</f>
        <v>3.823E-3</v>
      </c>
      <c r="H8543" s="158">
        <f>H8063</f>
        <v>204</v>
      </c>
      <c r="I8543" s="159">
        <f t="shared" si="2478"/>
        <v>8.4332999999999999E-4</v>
      </c>
      <c r="J8543" s="160"/>
      <c r="K8543" s="161">
        <f t="shared" si="2479"/>
        <v>45</v>
      </c>
      <c r="L8543" s="250">
        <v>1</v>
      </c>
      <c r="M8543" s="163" t="str">
        <f t="shared" si="2476"/>
        <v>204 ед (заявленная потребность руководителями учреждений)*0,00084333/45чел.</v>
      </c>
      <c r="N8543" s="164">
        <f t="shared" si="2474"/>
        <v>1185.7454901960789</v>
      </c>
      <c r="O8543" s="165">
        <f t="shared" si="2477"/>
        <v>4.5331049999999999</v>
      </c>
      <c r="P8543" s="166"/>
      <c r="Q8543" s="166">
        <f t="shared" si="2475"/>
        <v>203.98972499999999</v>
      </c>
      <c r="R8543" s="71"/>
    </row>
    <row r="8544" spans="1:18" s="61" customFormat="1" ht="31.5" x14ac:dyDescent="0.25">
      <c r="A8544" s="358"/>
      <c r="B8544" s="361"/>
      <c r="C8544" s="364"/>
      <c r="D8544" s="156" t="s">
        <v>43</v>
      </c>
      <c r="E8544" s="156" t="s">
        <v>52</v>
      </c>
      <c r="F8544" s="156" t="s">
        <v>231</v>
      </c>
      <c r="G8544" s="238">
        <f>MROUND(H8544*L8544*I8544/K8544,0.000000001)</f>
        <v>6.7466400000000006E-4</v>
      </c>
      <c r="H8544" s="158">
        <f>H7464</f>
        <v>36</v>
      </c>
      <c r="I8544" s="159">
        <f t="shared" si="2478"/>
        <v>8.4332999999999999E-4</v>
      </c>
      <c r="J8544" s="160"/>
      <c r="K8544" s="161">
        <f t="shared" si="2479"/>
        <v>45</v>
      </c>
      <c r="L8544" s="250">
        <v>1</v>
      </c>
      <c r="M8544" s="163" t="str">
        <f t="shared" si="2476"/>
        <v>36 ЭЦП*0,00084333/45чел.</v>
      </c>
      <c r="N8544" s="164">
        <f t="shared" si="2474"/>
        <v>8423.5400000000009</v>
      </c>
      <c r="O8544" s="165">
        <f t="shared" si="2477"/>
        <v>5.6830590000000001</v>
      </c>
      <c r="P8544" s="166"/>
      <c r="Q8544" s="166">
        <f t="shared" si="2475"/>
        <v>255.73765500000002</v>
      </c>
      <c r="R8544" s="71"/>
    </row>
    <row r="8545" spans="1:18" s="61" customFormat="1" ht="47.25" x14ac:dyDescent="0.25">
      <c r="A8545" s="358"/>
      <c r="B8545" s="361"/>
      <c r="C8545" s="364"/>
      <c r="D8545" s="156" t="s">
        <v>44</v>
      </c>
      <c r="E8545" s="156" t="s">
        <v>85</v>
      </c>
      <c r="F8545" s="156" t="s">
        <v>232</v>
      </c>
      <c r="G8545" s="238">
        <f>MROUND(H8545*L8545*I8545/K8545,0.000001)</f>
        <v>2.2789E-2</v>
      </c>
      <c r="H8545" s="158">
        <f>H7465</f>
        <v>1216</v>
      </c>
      <c r="I8545" s="159">
        <f t="shared" si="2478"/>
        <v>8.4332999999999999E-4</v>
      </c>
      <c r="J8545" s="160"/>
      <c r="K8545" s="161">
        <f t="shared" si="2479"/>
        <v>45</v>
      </c>
      <c r="L8545" s="250">
        <v>1</v>
      </c>
      <c r="M8545" s="163" t="str">
        <f>CONCATENATE(H8545," ",F8545,"*",L8545,"мес.","*",I8545,"/",K8545,"чел.")</f>
        <v>1216 мед.осмотров в мес.*1мес.*0,00084333/45чел.</v>
      </c>
      <c r="N8545" s="164">
        <f>N7465</f>
        <v>61.65877467105264</v>
      </c>
      <c r="O8545" s="165">
        <f t="shared" si="2477"/>
        <v>1.4051419999999999</v>
      </c>
      <c r="P8545" s="166"/>
      <c r="Q8545" s="166">
        <f t="shared" si="2475"/>
        <v>63.231389999999998</v>
      </c>
      <c r="R8545" s="71"/>
    </row>
    <row r="8546" spans="1:18" s="61" customFormat="1" ht="63" x14ac:dyDescent="0.25">
      <c r="A8546" s="358"/>
      <c r="B8546" s="361"/>
      <c r="C8546" s="364"/>
      <c r="D8546" s="156" t="s">
        <v>45</v>
      </c>
      <c r="E8546" s="156" t="s">
        <v>53</v>
      </c>
      <c r="F8546" s="156" t="s">
        <v>233</v>
      </c>
      <c r="G8546" s="238">
        <f>MROUND(H8546*L8546*I8546/K8546,0.000000001)</f>
        <v>8.9955200000000008E-4</v>
      </c>
      <c r="H8546" s="158">
        <f>H8066</f>
        <v>4</v>
      </c>
      <c r="I8546" s="159">
        <f t="shared" si="2478"/>
        <v>8.4332999999999999E-4</v>
      </c>
      <c r="J8546" s="160"/>
      <c r="K8546" s="161">
        <f t="shared" si="2479"/>
        <v>45</v>
      </c>
      <c r="L8546" s="250">
        <v>12</v>
      </c>
      <c r="M8546" s="163" t="str">
        <f>CONCATENATE(H8546," ",F8546,"*",L8546,"мес.","*",I8546,"/",K8546,"чел.")</f>
        <v>4  машины, оборудованных системой ГЛОНАСС*12мес.*0,00084333/45чел.</v>
      </c>
      <c r="N8546" s="164">
        <f>N6866</f>
        <v>958.08249999999998</v>
      </c>
      <c r="O8546" s="165">
        <f t="shared" si="2477"/>
        <v>0.86184499999999997</v>
      </c>
      <c r="P8546" s="166"/>
      <c r="Q8546" s="166">
        <f t="shared" si="2475"/>
        <v>38.783025000000002</v>
      </c>
      <c r="R8546" s="71"/>
    </row>
    <row r="8547" spans="1:18" s="61" customFormat="1" ht="31.5" x14ac:dyDescent="0.25">
      <c r="A8547" s="358"/>
      <c r="B8547" s="361"/>
      <c r="C8547" s="364"/>
      <c r="D8547" s="156" t="s">
        <v>408</v>
      </c>
      <c r="E8547" s="156" t="s">
        <v>20</v>
      </c>
      <c r="F8547" s="156" t="s">
        <v>20</v>
      </c>
      <c r="G8547" s="238">
        <f>MROUND(H8547*L8547*I8547/K8547,0.0000000001)</f>
        <v>3.18029113E-2</v>
      </c>
      <c r="H8547" s="158">
        <f>H6867</f>
        <v>1697</v>
      </c>
      <c r="I8547" s="159">
        <f t="shared" si="2478"/>
        <v>8.4332999999999999E-4</v>
      </c>
      <c r="J8547" s="160"/>
      <c r="K8547" s="161">
        <f t="shared" si="2479"/>
        <v>45</v>
      </c>
      <c r="L8547" s="250">
        <v>1</v>
      </c>
      <c r="M8547" s="163" t="str">
        <f>CONCATENATE(H8547," ",F8547,"*",L8547," раз в год","*",I8547,"/",K8547,"чел.")</f>
        <v>1697 чел.*1 раз в год*0,00084333/45чел.</v>
      </c>
      <c r="N8547" s="164">
        <f>N6867</f>
        <v>592.87278137890405</v>
      </c>
      <c r="O8547" s="165">
        <f t="shared" si="2477"/>
        <v>18.855079999999997</v>
      </c>
      <c r="P8547" s="166"/>
      <c r="Q8547" s="166">
        <f t="shared" si="2475"/>
        <v>848.47859999999991</v>
      </c>
      <c r="R8547" s="71"/>
    </row>
    <row r="8548" spans="1:18" s="61" customFormat="1" x14ac:dyDescent="0.25">
      <c r="A8548" s="358"/>
      <c r="B8548" s="361"/>
      <c r="C8548" s="364"/>
      <c r="D8548" s="156" t="s">
        <v>373</v>
      </c>
      <c r="E8548" s="156" t="s">
        <v>28</v>
      </c>
      <c r="F8548" s="156" t="s">
        <v>28</v>
      </c>
      <c r="G8548" s="157">
        <f>MROUND(H8548*L8548*I8548/K8548,0.000000001)</f>
        <v>6.7466400000000006E-4</v>
      </c>
      <c r="H8548" s="158">
        <f>H6869</f>
        <v>36</v>
      </c>
      <c r="I8548" s="159">
        <f>I8546</f>
        <v>8.4332999999999999E-4</v>
      </c>
      <c r="J8548" s="160"/>
      <c r="K8548" s="161">
        <f>K8546</f>
        <v>45</v>
      </c>
      <c r="L8548" s="162">
        <v>1</v>
      </c>
      <c r="M8548" s="163" t="str">
        <f>CONCATENATE(H8548," ",F8548,"*",L8548,"мес.","*",I8548,"/",K8548,"чел.")</f>
        <v>36 шт*1мес.*0,00084333/45чел.</v>
      </c>
      <c r="N8548" s="164">
        <f>N6869</f>
        <v>24000</v>
      </c>
      <c r="O8548" s="165">
        <f>MROUND(G8548*N8548,0.000000001)</f>
        <v>16.191936000000002</v>
      </c>
      <c r="P8548" s="166"/>
      <c r="Q8548" s="166">
        <f t="shared" si="2475"/>
        <v>728.6371200000001</v>
      </c>
      <c r="R8548" s="71"/>
    </row>
    <row r="8549" spans="1:18" s="61" customFormat="1" ht="31.5" x14ac:dyDescent="0.25">
      <c r="A8549" s="358"/>
      <c r="B8549" s="361"/>
      <c r="C8549" s="364"/>
      <c r="D8549" s="156" t="s">
        <v>106</v>
      </c>
      <c r="E8549" s="156" t="s">
        <v>107</v>
      </c>
      <c r="F8549" s="156"/>
      <c r="G8549" s="238">
        <f>MROUND(H8549*L8549*I8549/K8549,0.000000001)</f>
        <v>0</v>
      </c>
      <c r="H8549" s="158">
        <f>H6868</f>
        <v>0</v>
      </c>
      <c r="I8549" s="159">
        <f>I8546</f>
        <v>8.4332999999999999E-4</v>
      </c>
      <c r="J8549" s="160"/>
      <c r="K8549" s="161">
        <f>K8546</f>
        <v>45</v>
      </c>
      <c r="L8549" s="250">
        <f>L7229</f>
        <v>0</v>
      </c>
      <c r="M8549" s="163"/>
      <c r="N8549" s="164">
        <f>N6868</f>
        <v>6.0000000000000002E-5</v>
      </c>
      <c r="O8549" s="165">
        <f>MROUND(G8549*N8549,0.000000001)</f>
        <v>0</v>
      </c>
      <c r="P8549" s="166"/>
      <c r="Q8549" s="166">
        <f t="shared" si="2475"/>
        <v>0</v>
      </c>
      <c r="R8549" s="71"/>
    </row>
    <row r="8550" spans="1:18" s="62" customFormat="1" x14ac:dyDescent="0.25">
      <c r="A8550" s="358"/>
      <c r="B8550" s="361"/>
      <c r="C8550" s="245" t="s">
        <v>296</v>
      </c>
      <c r="D8550" s="240"/>
      <c r="E8550" s="240"/>
      <c r="F8550" s="240"/>
      <c r="G8550" s="227"/>
      <c r="H8550" s="241"/>
      <c r="I8550" s="206"/>
      <c r="J8550" s="228"/>
      <c r="K8550" s="207"/>
      <c r="L8550" s="257"/>
      <c r="M8550" s="209"/>
      <c r="N8550" s="210"/>
      <c r="O8550" s="198">
        <f>SUM(O8536:O8549)</f>
        <v>121.244372</v>
      </c>
      <c r="P8550" s="267"/>
      <c r="Q8550" s="166"/>
      <c r="R8550" s="71"/>
    </row>
    <row r="8551" spans="1:18" s="61" customFormat="1" ht="31.5" x14ac:dyDescent="0.25">
      <c r="A8551" s="358"/>
      <c r="B8551" s="361"/>
      <c r="C8551" s="252" t="s">
        <v>237</v>
      </c>
      <c r="D8551" s="156" t="s">
        <v>41</v>
      </c>
      <c r="E8551" s="156" t="s">
        <v>61</v>
      </c>
      <c r="F8551" s="156" t="s">
        <v>227</v>
      </c>
      <c r="G8551" s="238">
        <f>MROUND(H8551*L8551*I8551/K8551,0.000000001)</f>
        <v>7.4963000000000007E-5</v>
      </c>
      <c r="H8551" s="158">
        <f>H7471</f>
        <v>4</v>
      </c>
      <c r="I8551" s="159">
        <f>I8549</f>
        <v>8.4332999999999999E-4</v>
      </c>
      <c r="J8551" s="160"/>
      <c r="K8551" s="161">
        <f>K8549</f>
        <v>45</v>
      </c>
      <c r="L8551" s="250">
        <v>1</v>
      </c>
      <c r="M8551" s="163" t="str">
        <f>CONCATENATE(H8551," ",F8551,"*",I8551,"/",K8551,"чел.")</f>
        <v>4 автобуса*0,00084333/45чел.</v>
      </c>
      <c r="N8551" s="164">
        <f>N6871</f>
        <v>27983.595000000001</v>
      </c>
      <c r="O8551" s="165">
        <f>MROUND(G8551*N8551,0.000001)</f>
        <v>2.097734</v>
      </c>
      <c r="P8551" s="166"/>
      <c r="Q8551" s="166">
        <f t="shared" ref="Q8551" si="2480">O8551*K8551</f>
        <v>94.398030000000006</v>
      </c>
      <c r="R8551" s="71"/>
    </row>
    <row r="8552" spans="1:18" s="62" customFormat="1" x14ac:dyDescent="0.25">
      <c r="A8552" s="358"/>
      <c r="B8552" s="361"/>
      <c r="C8552" s="245" t="s">
        <v>297</v>
      </c>
      <c r="D8552" s="240"/>
      <c r="E8552" s="240"/>
      <c r="F8552" s="240"/>
      <c r="G8552" s="227"/>
      <c r="H8552" s="241"/>
      <c r="I8552" s="206"/>
      <c r="J8552" s="228"/>
      <c r="K8552" s="207"/>
      <c r="L8552" s="257"/>
      <c r="M8552" s="209"/>
      <c r="N8552" s="210"/>
      <c r="O8552" s="198">
        <f>SUM(O8551)</f>
        <v>2.097734</v>
      </c>
      <c r="P8552" s="267"/>
      <c r="Q8552" s="166"/>
      <c r="R8552" s="71"/>
    </row>
    <row r="8553" spans="1:18" s="61" customFormat="1" ht="78.75" x14ac:dyDescent="0.25">
      <c r="A8553" s="358"/>
      <c r="B8553" s="361"/>
      <c r="C8553" s="221" t="s">
        <v>236</v>
      </c>
      <c r="D8553" s="156" t="s">
        <v>19</v>
      </c>
      <c r="E8553" s="181" t="s">
        <v>20</v>
      </c>
      <c r="F8553" s="181" t="s">
        <v>238</v>
      </c>
      <c r="G8553" s="238">
        <f>MROUND(H8553*L8553*I8553/K8553,0.000001)</f>
        <v>0</v>
      </c>
      <c r="H8553" s="158"/>
      <c r="I8553" s="159">
        <f>I8549</f>
        <v>8.4332999999999999E-4</v>
      </c>
      <c r="J8553" s="160"/>
      <c r="K8553" s="161">
        <f>K8549</f>
        <v>45</v>
      </c>
      <c r="L8553" s="250"/>
      <c r="M8553" s="163"/>
      <c r="N8553" s="164"/>
      <c r="O8553" s="165">
        <f>MROUND(G8553*N8553,0.000001)</f>
        <v>0</v>
      </c>
      <c r="P8553" s="166"/>
      <c r="Q8553" s="166">
        <f t="shared" ref="Q8553" si="2481">O8553*K8553</f>
        <v>0</v>
      </c>
      <c r="R8553" s="71"/>
    </row>
    <row r="8554" spans="1:18" s="62" customFormat="1" x14ac:dyDescent="0.25">
      <c r="A8554" s="358"/>
      <c r="B8554" s="361"/>
      <c r="C8554" s="245" t="s">
        <v>298</v>
      </c>
      <c r="D8554" s="240"/>
      <c r="E8554" s="253"/>
      <c r="F8554" s="253"/>
      <c r="G8554" s="227"/>
      <c r="H8554" s="241"/>
      <c r="I8554" s="206"/>
      <c r="J8554" s="228"/>
      <c r="K8554" s="207"/>
      <c r="L8554" s="257"/>
      <c r="M8554" s="209"/>
      <c r="N8554" s="210"/>
      <c r="O8554" s="198">
        <f>SUM(O8553)</f>
        <v>0</v>
      </c>
      <c r="P8554" s="267"/>
      <c r="Q8554" s="166"/>
      <c r="R8554" s="71"/>
    </row>
    <row r="8555" spans="1:18" s="61" customFormat="1" ht="30" x14ac:dyDescent="0.25">
      <c r="A8555" s="358"/>
      <c r="B8555" s="361"/>
      <c r="C8555" s="365" t="s">
        <v>81</v>
      </c>
      <c r="D8555" s="254" t="s">
        <v>410</v>
      </c>
      <c r="E8555" s="156" t="s">
        <v>28</v>
      </c>
      <c r="F8555" s="156" t="s">
        <v>28</v>
      </c>
      <c r="G8555" s="238">
        <f>MROUND(H8555*L8555*I8555/K8555,0.0000000001)</f>
        <v>0</v>
      </c>
      <c r="H8555" s="158"/>
      <c r="I8555" s="159">
        <f>I8549</f>
        <v>8.4332999999999999E-4</v>
      </c>
      <c r="J8555" s="160"/>
      <c r="K8555" s="161">
        <f>K8549</f>
        <v>45</v>
      </c>
      <c r="L8555" s="250">
        <v>1</v>
      </c>
      <c r="M8555" s="163"/>
      <c r="N8555" s="164"/>
      <c r="O8555" s="165">
        <f>MROUND(G8555*N8555,0.000001)</f>
        <v>0</v>
      </c>
      <c r="P8555" s="166"/>
      <c r="Q8555" s="166">
        <f t="shared" ref="Q8555:Q8578" si="2482">O8555*K8555</f>
        <v>0</v>
      </c>
      <c r="R8555" s="71"/>
    </row>
    <row r="8556" spans="1:18" s="61" customFormat="1" x14ac:dyDescent="0.25">
      <c r="A8556" s="358"/>
      <c r="B8556" s="361"/>
      <c r="C8556" s="366"/>
      <c r="D8556" s="254" t="s">
        <v>325</v>
      </c>
      <c r="E8556" s="156" t="s">
        <v>28</v>
      </c>
      <c r="F8556" s="156" t="s">
        <v>28</v>
      </c>
      <c r="G8556" s="157">
        <f>MROUND(H8556*L8556*I8556/K8556,0.0000000001)</f>
        <v>0</v>
      </c>
      <c r="H8556" s="158"/>
      <c r="I8556" s="159">
        <f>I8555</f>
        <v>8.4332999999999999E-4</v>
      </c>
      <c r="J8556" s="160"/>
      <c r="K8556" s="161">
        <f>K8555</f>
        <v>45</v>
      </c>
      <c r="L8556" s="250">
        <v>1</v>
      </c>
      <c r="M8556" s="163"/>
      <c r="N8556" s="164"/>
      <c r="O8556" s="165">
        <f>MROUND(G8556*N8556,0.000001)</f>
        <v>0</v>
      </c>
      <c r="P8556" s="166"/>
      <c r="Q8556" s="166">
        <f t="shared" si="2482"/>
        <v>0</v>
      </c>
      <c r="R8556" s="71"/>
    </row>
    <row r="8557" spans="1:18" s="61" customFormat="1" ht="30" x14ac:dyDescent="0.25">
      <c r="A8557" s="358"/>
      <c r="B8557" s="361"/>
      <c r="C8557" s="366"/>
      <c r="D8557" s="254" t="s">
        <v>411</v>
      </c>
      <c r="E8557" s="156" t="s">
        <v>28</v>
      </c>
      <c r="F8557" s="156" t="s">
        <v>28</v>
      </c>
      <c r="G8557" s="238">
        <f>MROUND(H8557*L8557*I8557/K8557,0.00000001)</f>
        <v>0</v>
      </c>
      <c r="H8557" s="158"/>
      <c r="I8557" s="159">
        <f>I8555</f>
        <v>8.4332999999999999E-4</v>
      </c>
      <c r="J8557" s="160"/>
      <c r="K8557" s="161">
        <f>K8555</f>
        <v>45</v>
      </c>
      <c r="L8557" s="250">
        <v>1</v>
      </c>
      <c r="M8557" s="163"/>
      <c r="N8557" s="164"/>
      <c r="O8557" s="165">
        <f t="shared" ref="O8557:O8578" si="2483">MROUND(G8557*N8557,0.000001)</f>
        <v>0</v>
      </c>
      <c r="P8557" s="166"/>
      <c r="Q8557" s="166">
        <f t="shared" si="2482"/>
        <v>0</v>
      </c>
      <c r="R8557" s="71"/>
    </row>
    <row r="8558" spans="1:18" s="61" customFormat="1" x14ac:dyDescent="0.25">
      <c r="A8558" s="358"/>
      <c r="B8558" s="361"/>
      <c r="C8558" s="366"/>
      <c r="D8558" s="255" t="s">
        <v>412</v>
      </c>
      <c r="E8558" s="156" t="s">
        <v>28</v>
      </c>
      <c r="F8558" s="156" t="s">
        <v>28</v>
      </c>
      <c r="G8558" s="238">
        <f>MROUND(H8558*L8558*I8558/K8558,0.00000001)</f>
        <v>0</v>
      </c>
      <c r="H8558" s="158"/>
      <c r="I8558" s="159">
        <f>I8557</f>
        <v>8.4332999999999999E-4</v>
      </c>
      <c r="J8558" s="160"/>
      <c r="K8558" s="161">
        <f>K8557</f>
        <v>45</v>
      </c>
      <c r="L8558" s="250">
        <v>1</v>
      </c>
      <c r="M8558" s="163"/>
      <c r="N8558" s="164"/>
      <c r="O8558" s="165">
        <f t="shared" si="2483"/>
        <v>0</v>
      </c>
      <c r="P8558" s="166"/>
      <c r="Q8558" s="166">
        <f t="shared" si="2482"/>
        <v>0</v>
      </c>
      <c r="R8558" s="71"/>
    </row>
    <row r="8559" spans="1:18" s="61" customFormat="1" ht="31.5" x14ac:dyDescent="0.25">
      <c r="A8559" s="358"/>
      <c r="B8559" s="361"/>
      <c r="C8559" s="366"/>
      <c r="D8559" s="255" t="s">
        <v>413</v>
      </c>
      <c r="E8559" s="156" t="s">
        <v>28</v>
      </c>
      <c r="F8559" s="156" t="s">
        <v>28</v>
      </c>
      <c r="G8559" s="238">
        <f>MROUND(H8559*L8559*I8559/K8559,0.0000000001)</f>
        <v>0</v>
      </c>
      <c r="H8559" s="158"/>
      <c r="I8559" s="159">
        <f>I8558</f>
        <v>8.4332999999999999E-4</v>
      </c>
      <c r="J8559" s="160"/>
      <c r="K8559" s="161">
        <f>K8558</f>
        <v>45</v>
      </c>
      <c r="L8559" s="250">
        <v>1</v>
      </c>
      <c r="M8559" s="163"/>
      <c r="N8559" s="164"/>
      <c r="O8559" s="165">
        <f t="shared" si="2483"/>
        <v>0</v>
      </c>
      <c r="P8559" s="166"/>
      <c r="Q8559" s="166">
        <f t="shared" si="2482"/>
        <v>0</v>
      </c>
      <c r="R8559" s="71"/>
    </row>
    <row r="8560" spans="1:18" s="61" customFormat="1" x14ac:dyDescent="0.25">
      <c r="A8560" s="358"/>
      <c r="B8560" s="361"/>
      <c r="C8560" s="366"/>
      <c r="D8560" s="254" t="s">
        <v>109</v>
      </c>
      <c r="E8560" s="156" t="s">
        <v>28</v>
      </c>
      <c r="F8560" s="156" t="s">
        <v>28</v>
      </c>
      <c r="G8560" s="238">
        <f>MROUND(H8560*L8560*I8560/K8560,0.0000000001)</f>
        <v>0</v>
      </c>
      <c r="H8560" s="158"/>
      <c r="I8560" s="159">
        <f>I8559</f>
        <v>8.4332999999999999E-4</v>
      </c>
      <c r="J8560" s="160"/>
      <c r="K8560" s="161">
        <f>K8559</f>
        <v>45</v>
      </c>
      <c r="L8560" s="250">
        <v>1</v>
      </c>
      <c r="M8560" s="163"/>
      <c r="N8560" s="164"/>
      <c r="O8560" s="165">
        <f t="shared" si="2483"/>
        <v>0</v>
      </c>
      <c r="P8560" s="166"/>
      <c r="Q8560" s="166">
        <f t="shared" si="2482"/>
        <v>0</v>
      </c>
      <c r="R8560" s="71"/>
    </row>
    <row r="8561" spans="1:18" s="61" customFormat="1" x14ac:dyDescent="0.25">
      <c r="A8561" s="358"/>
      <c r="B8561" s="361"/>
      <c r="C8561" s="366"/>
      <c r="D8561" s="254" t="s">
        <v>414</v>
      </c>
      <c r="E8561" s="156" t="s">
        <v>28</v>
      </c>
      <c r="F8561" s="156" t="s">
        <v>28</v>
      </c>
      <c r="G8561" s="238">
        <f>MROUND(H8561*L8561*I8561/K8561,0.0000000001)</f>
        <v>0</v>
      </c>
      <c r="H8561" s="158"/>
      <c r="I8561" s="159">
        <f>I8559</f>
        <v>8.4332999999999999E-4</v>
      </c>
      <c r="J8561" s="160"/>
      <c r="K8561" s="161">
        <f>K8559</f>
        <v>45</v>
      </c>
      <c r="L8561" s="250">
        <v>1</v>
      </c>
      <c r="M8561" s="163"/>
      <c r="N8561" s="164"/>
      <c r="O8561" s="165">
        <f t="shared" si="2483"/>
        <v>0</v>
      </c>
      <c r="P8561" s="166"/>
      <c r="Q8561" s="166">
        <f t="shared" si="2482"/>
        <v>0</v>
      </c>
      <c r="R8561" s="71"/>
    </row>
    <row r="8562" spans="1:18" s="61" customFormat="1" x14ac:dyDescent="0.25">
      <c r="A8562" s="358"/>
      <c r="B8562" s="361"/>
      <c r="C8562" s="366"/>
      <c r="D8562" s="254" t="s">
        <v>415</v>
      </c>
      <c r="E8562" s="156" t="s">
        <v>28</v>
      </c>
      <c r="F8562" s="156" t="s">
        <v>28</v>
      </c>
      <c r="G8562" s="238">
        <f>MROUND(H8562*L8562*I8562/K8562,0.00000001)</f>
        <v>0</v>
      </c>
      <c r="H8562" s="158"/>
      <c r="I8562" s="159">
        <f t="shared" ref="I8562:I8571" si="2484">I8560</f>
        <v>8.4332999999999999E-4</v>
      </c>
      <c r="J8562" s="160"/>
      <c r="K8562" s="161">
        <f t="shared" ref="K8562:K8571" si="2485">K8560</f>
        <v>45</v>
      </c>
      <c r="L8562" s="250">
        <v>1</v>
      </c>
      <c r="M8562" s="163"/>
      <c r="N8562" s="164"/>
      <c r="O8562" s="165">
        <f t="shared" si="2483"/>
        <v>0</v>
      </c>
      <c r="P8562" s="166"/>
      <c r="Q8562" s="166">
        <f t="shared" si="2482"/>
        <v>0</v>
      </c>
      <c r="R8562" s="71"/>
    </row>
    <row r="8563" spans="1:18" s="61" customFormat="1" x14ac:dyDescent="0.25">
      <c r="A8563" s="358"/>
      <c r="B8563" s="361"/>
      <c r="C8563" s="366"/>
      <c r="D8563" s="254" t="s">
        <v>416</v>
      </c>
      <c r="E8563" s="156" t="s">
        <v>28</v>
      </c>
      <c r="F8563" s="156" t="s">
        <v>28</v>
      </c>
      <c r="G8563" s="238">
        <f>MROUND(H8563*L8563*I8563/K8563,0.000000001)</f>
        <v>0</v>
      </c>
      <c r="H8563" s="246"/>
      <c r="I8563" s="159">
        <f t="shared" si="2484"/>
        <v>8.4332999999999999E-4</v>
      </c>
      <c r="J8563" s="160"/>
      <c r="K8563" s="161">
        <f t="shared" si="2485"/>
        <v>45</v>
      </c>
      <c r="L8563" s="250">
        <v>1</v>
      </c>
      <c r="M8563" s="163"/>
      <c r="N8563" s="164"/>
      <c r="O8563" s="165">
        <f t="shared" si="2483"/>
        <v>0</v>
      </c>
      <c r="P8563" s="166"/>
      <c r="Q8563" s="166">
        <f t="shared" si="2482"/>
        <v>0</v>
      </c>
      <c r="R8563" s="71"/>
    </row>
    <row r="8564" spans="1:18" s="61" customFormat="1" x14ac:dyDescent="0.25">
      <c r="A8564" s="358"/>
      <c r="B8564" s="361"/>
      <c r="C8564" s="366"/>
      <c r="D8564" s="254" t="s">
        <v>417</v>
      </c>
      <c r="E8564" s="156" t="s">
        <v>28</v>
      </c>
      <c r="F8564" s="156" t="s">
        <v>28</v>
      </c>
      <c r="G8564" s="238">
        <f>MROUND(H8564*L8564*I8564/K8564,0.00000001)</f>
        <v>0</v>
      </c>
      <c r="H8564" s="158"/>
      <c r="I8564" s="159">
        <f t="shared" si="2484"/>
        <v>8.4332999999999999E-4</v>
      </c>
      <c r="J8564" s="160"/>
      <c r="K8564" s="161">
        <f t="shared" si="2485"/>
        <v>45</v>
      </c>
      <c r="L8564" s="250">
        <v>1</v>
      </c>
      <c r="M8564" s="163"/>
      <c r="N8564" s="164"/>
      <c r="O8564" s="165">
        <f t="shared" si="2483"/>
        <v>0</v>
      </c>
      <c r="P8564" s="166"/>
      <c r="Q8564" s="166">
        <f t="shared" si="2482"/>
        <v>0</v>
      </c>
      <c r="R8564" s="71"/>
    </row>
    <row r="8565" spans="1:18" s="61" customFormat="1" ht="30" x14ac:dyDescent="0.25">
      <c r="A8565" s="358"/>
      <c r="B8565" s="361"/>
      <c r="C8565" s="366"/>
      <c r="D8565" s="254" t="s">
        <v>418</v>
      </c>
      <c r="E8565" s="156" t="s">
        <v>28</v>
      </c>
      <c r="F8565" s="156" t="s">
        <v>28</v>
      </c>
      <c r="G8565" s="238">
        <f>MROUND(H8565*L8565*I8565/K8565,0.00000001)</f>
        <v>0</v>
      </c>
      <c r="H8565" s="158"/>
      <c r="I8565" s="159">
        <f t="shared" si="2484"/>
        <v>8.4332999999999999E-4</v>
      </c>
      <c r="J8565" s="160"/>
      <c r="K8565" s="161">
        <f t="shared" si="2485"/>
        <v>45</v>
      </c>
      <c r="L8565" s="250">
        <v>1</v>
      </c>
      <c r="M8565" s="163"/>
      <c r="N8565" s="164"/>
      <c r="O8565" s="165">
        <f t="shared" si="2483"/>
        <v>0</v>
      </c>
      <c r="P8565" s="166"/>
      <c r="Q8565" s="166">
        <f t="shared" si="2482"/>
        <v>0</v>
      </c>
      <c r="R8565" s="71"/>
    </row>
    <row r="8566" spans="1:18" s="61" customFormat="1" x14ac:dyDescent="0.25">
      <c r="A8566" s="358"/>
      <c r="B8566" s="361"/>
      <c r="C8566" s="366"/>
      <c r="D8566" s="254" t="s">
        <v>324</v>
      </c>
      <c r="E8566" s="156" t="s">
        <v>28</v>
      </c>
      <c r="F8566" s="156" t="s">
        <v>28</v>
      </c>
      <c r="G8566" s="238">
        <f>MROUND(H8566*L8566*I8566/K8566,0.000000001)</f>
        <v>0</v>
      </c>
      <c r="H8566" s="158"/>
      <c r="I8566" s="159">
        <f t="shared" si="2484"/>
        <v>8.4332999999999999E-4</v>
      </c>
      <c r="J8566" s="160"/>
      <c r="K8566" s="161">
        <f t="shared" si="2485"/>
        <v>45</v>
      </c>
      <c r="L8566" s="250">
        <v>1</v>
      </c>
      <c r="M8566" s="163"/>
      <c r="N8566" s="164"/>
      <c r="O8566" s="165">
        <f t="shared" si="2483"/>
        <v>0</v>
      </c>
      <c r="P8566" s="166"/>
      <c r="Q8566" s="166">
        <f t="shared" si="2482"/>
        <v>0</v>
      </c>
      <c r="R8566" s="71"/>
    </row>
    <row r="8567" spans="1:18" s="61" customFormat="1" x14ac:dyDescent="0.25">
      <c r="A8567" s="358"/>
      <c r="B8567" s="361"/>
      <c r="C8567" s="366"/>
      <c r="D8567" s="254" t="s">
        <v>419</v>
      </c>
      <c r="E8567" s="156" t="s">
        <v>28</v>
      </c>
      <c r="F8567" s="156" t="s">
        <v>28</v>
      </c>
      <c r="G8567" s="238">
        <f>MROUND(H8567*L8567*I8567/K8567,0.000000001)</f>
        <v>0</v>
      </c>
      <c r="H8567" s="246"/>
      <c r="I8567" s="159">
        <f t="shared" si="2484"/>
        <v>8.4332999999999999E-4</v>
      </c>
      <c r="J8567" s="160"/>
      <c r="K8567" s="161">
        <f t="shared" si="2485"/>
        <v>45</v>
      </c>
      <c r="L8567" s="250">
        <v>1</v>
      </c>
      <c r="M8567" s="163"/>
      <c r="N8567" s="164"/>
      <c r="O8567" s="165">
        <f t="shared" si="2483"/>
        <v>0</v>
      </c>
      <c r="P8567" s="166"/>
      <c r="Q8567" s="166">
        <f t="shared" si="2482"/>
        <v>0</v>
      </c>
      <c r="R8567" s="71"/>
    </row>
    <row r="8568" spans="1:18" s="61" customFormat="1" x14ac:dyDescent="0.25">
      <c r="A8568" s="358"/>
      <c r="B8568" s="361"/>
      <c r="C8568" s="366"/>
      <c r="D8568" s="254" t="s">
        <v>420</v>
      </c>
      <c r="E8568" s="156" t="s">
        <v>28</v>
      </c>
      <c r="F8568" s="156" t="s">
        <v>28</v>
      </c>
      <c r="G8568" s="238">
        <f>MROUND(H8568*L8568*I8568/K8568,0.000000001)</f>
        <v>0</v>
      </c>
      <c r="H8568" s="158"/>
      <c r="I8568" s="159">
        <f t="shared" si="2484"/>
        <v>8.4332999999999999E-4</v>
      </c>
      <c r="J8568" s="160"/>
      <c r="K8568" s="161">
        <f t="shared" si="2485"/>
        <v>45</v>
      </c>
      <c r="L8568" s="250">
        <v>1</v>
      </c>
      <c r="M8568" s="163"/>
      <c r="N8568" s="164"/>
      <c r="O8568" s="165">
        <f t="shared" si="2483"/>
        <v>0</v>
      </c>
      <c r="P8568" s="166"/>
      <c r="Q8568" s="166">
        <f t="shared" si="2482"/>
        <v>0</v>
      </c>
      <c r="R8568" s="71"/>
    </row>
    <row r="8569" spans="1:18" s="61" customFormat="1" x14ac:dyDescent="0.25">
      <c r="A8569" s="358"/>
      <c r="B8569" s="361"/>
      <c r="C8569" s="366"/>
      <c r="D8569" s="254" t="s">
        <v>421</v>
      </c>
      <c r="E8569" s="156" t="s">
        <v>28</v>
      </c>
      <c r="F8569" s="156" t="s">
        <v>28</v>
      </c>
      <c r="G8569" s="238">
        <f>MROUND(H8569*L8569*I8569/K8569,0.00000001)</f>
        <v>0</v>
      </c>
      <c r="H8569" s="158"/>
      <c r="I8569" s="159">
        <f t="shared" si="2484"/>
        <v>8.4332999999999999E-4</v>
      </c>
      <c r="J8569" s="160"/>
      <c r="K8569" s="161">
        <f t="shared" si="2485"/>
        <v>45</v>
      </c>
      <c r="L8569" s="250">
        <v>1</v>
      </c>
      <c r="M8569" s="163"/>
      <c r="N8569" s="164"/>
      <c r="O8569" s="165">
        <f t="shared" si="2483"/>
        <v>0</v>
      </c>
      <c r="P8569" s="166"/>
      <c r="Q8569" s="166">
        <f t="shared" si="2482"/>
        <v>0</v>
      </c>
      <c r="R8569" s="71"/>
    </row>
    <row r="8570" spans="1:18" s="61" customFormat="1" ht="30" x14ac:dyDescent="0.25">
      <c r="A8570" s="358"/>
      <c r="B8570" s="361"/>
      <c r="C8570" s="366"/>
      <c r="D8570" s="254" t="s">
        <v>422</v>
      </c>
      <c r="E8570" s="156" t="s">
        <v>28</v>
      </c>
      <c r="F8570" s="156" t="s">
        <v>28</v>
      </c>
      <c r="G8570" s="266">
        <f>MROUND(H8570*L8570*I8570/K8570,0.00000001)</f>
        <v>0</v>
      </c>
      <c r="H8570" s="158"/>
      <c r="I8570" s="159">
        <f t="shared" si="2484"/>
        <v>8.4332999999999999E-4</v>
      </c>
      <c r="J8570" s="160"/>
      <c r="K8570" s="161">
        <f t="shared" si="2485"/>
        <v>45</v>
      </c>
      <c r="L8570" s="250">
        <v>1</v>
      </c>
      <c r="M8570" s="163"/>
      <c r="N8570" s="164"/>
      <c r="O8570" s="165">
        <f t="shared" si="2483"/>
        <v>0</v>
      </c>
      <c r="P8570" s="166"/>
      <c r="Q8570" s="166">
        <f t="shared" si="2482"/>
        <v>0</v>
      </c>
      <c r="R8570" s="71"/>
    </row>
    <row r="8571" spans="1:18" s="61" customFormat="1" x14ac:dyDescent="0.25">
      <c r="A8571" s="358"/>
      <c r="B8571" s="361"/>
      <c r="C8571" s="366"/>
      <c r="D8571" s="254" t="s">
        <v>423</v>
      </c>
      <c r="E8571" s="156" t="s">
        <v>28</v>
      </c>
      <c r="F8571" s="156" t="s">
        <v>28</v>
      </c>
      <c r="G8571" s="238">
        <f>MROUND(H8571*L8571*I8571/K8571,0.000000001)</f>
        <v>0</v>
      </c>
      <c r="H8571" s="158"/>
      <c r="I8571" s="159">
        <f t="shared" si="2484"/>
        <v>8.4332999999999999E-4</v>
      </c>
      <c r="J8571" s="160"/>
      <c r="K8571" s="161">
        <f t="shared" si="2485"/>
        <v>45</v>
      </c>
      <c r="L8571" s="250">
        <v>1</v>
      </c>
      <c r="M8571" s="163"/>
      <c r="N8571" s="164"/>
      <c r="O8571" s="165">
        <f t="shared" si="2483"/>
        <v>0</v>
      </c>
      <c r="P8571" s="166"/>
      <c r="Q8571" s="166">
        <f t="shared" si="2482"/>
        <v>0</v>
      </c>
      <c r="R8571" s="71"/>
    </row>
    <row r="8572" spans="1:18" s="61" customFormat="1" x14ac:dyDescent="0.25">
      <c r="A8572" s="358"/>
      <c r="B8572" s="361"/>
      <c r="C8572" s="366"/>
      <c r="D8572" s="254" t="s">
        <v>424</v>
      </c>
      <c r="E8572" s="156" t="s">
        <v>28</v>
      </c>
      <c r="F8572" s="156" t="s">
        <v>28</v>
      </c>
      <c r="G8572" s="238">
        <f t="shared" ref="G8572:G8578" si="2486">MROUND(H8572*L8572*I8572/K8572,0.00000001)</f>
        <v>0</v>
      </c>
      <c r="H8572" s="158"/>
      <c r="I8572" s="159">
        <f>I8561</f>
        <v>8.4332999999999999E-4</v>
      </c>
      <c r="J8572" s="160"/>
      <c r="K8572" s="161">
        <f>K8561</f>
        <v>45</v>
      </c>
      <c r="L8572" s="250">
        <v>1</v>
      </c>
      <c r="M8572" s="163"/>
      <c r="N8572" s="164"/>
      <c r="O8572" s="165">
        <f t="shared" si="2483"/>
        <v>0</v>
      </c>
      <c r="P8572" s="166"/>
      <c r="Q8572" s="166">
        <f t="shared" si="2482"/>
        <v>0</v>
      </c>
      <c r="R8572" s="71"/>
    </row>
    <row r="8573" spans="1:18" s="61" customFormat="1" x14ac:dyDescent="0.25">
      <c r="A8573" s="358"/>
      <c r="B8573" s="361"/>
      <c r="C8573" s="366"/>
      <c r="D8573" s="254" t="s">
        <v>425</v>
      </c>
      <c r="E8573" s="156" t="s">
        <v>28</v>
      </c>
      <c r="F8573" s="156" t="s">
        <v>28</v>
      </c>
      <c r="G8573" s="277">
        <f t="shared" si="2486"/>
        <v>0</v>
      </c>
      <c r="H8573" s="158"/>
      <c r="I8573" s="159">
        <f t="shared" ref="I8573:I8578" si="2487">I8572</f>
        <v>8.4332999999999999E-4</v>
      </c>
      <c r="J8573" s="160"/>
      <c r="K8573" s="161">
        <f t="shared" ref="K8573:K8578" si="2488">K8572</f>
        <v>45</v>
      </c>
      <c r="L8573" s="250">
        <v>1</v>
      </c>
      <c r="M8573" s="163"/>
      <c r="N8573" s="164"/>
      <c r="O8573" s="165">
        <f t="shared" si="2483"/>
        <v>0</v>
      </c>
      <c r="P8573" s="166"/>
      <c r="Q8573" s="166">
        <f t="shared" si="2482"/>
        <v>0</v>
      </c>
      <c r="R8573" s="71"/>
    </row>
    <row r="8574" spans="1:18" s="61" customFormat="1" x14ac:dyDescent="0.25">
      <c r="A8574" s="358"/>
      <c r="B8574" s="361"/>
      <c r="C8574" s="366"/>
      <c r="D8574" s="254" t="s">
        <v>108</v>
      </c>
      <c r="E8574" s="156" t="s">
        <v>28</v>
      </c>
      <c r="F8574" s="156" t="s">
        <v>28</v>
      </c>
      <c r="G8574" s="238">
        <f t="shared" si="2486"/>
        <v>0</v>
      </c>
      <c r="H8574" s="158"/>
      <c r="I8574" s="159">
        <f t="shared" si="2487"/>
        <v>8.4332999999999999E-4</v>
      </c>
      <c r="J8574" s="160"/>
      <c r="K8574" s="161">
        <f t="shared" si="2488"/>
        <v>45</v>
      </c>
      <c r="L8574" s="250">
        <v>1</v>
      </c>
      <c r="M8574" s="163"/>
      <c r="N8574" s="164"/>
      <c r="O8574" s="165">
        <f t="shared" si="2483"/>
        <v>0</v>
      </c>
      <c r="P8574" s="166"/>
      <c r="Q8574" s="166">
        <f t="shared" si="2482"/>
        <v>0</v>
      </c>
      <c r="R8574" s="71"/>
    </row>
    <row r="8575" spans="1:18" s="61" customFormat="1" x14ac:dyDescent="0.25">
      <c r="A8575" s="358"/>
      <c r="B8575" s="361"/>
      <c r="C8575" s="366"/>
      <c r="D8575" s="254" t="s">
        <v>426</v>
      </c>
      <c r="E8575" s="156" t="s">
        <v>28</v>
      </c>
      <c r="F8575" s="156" t="s">
        <v>28</v>
      </c>
      <c r="G8575" s="238">
        <f t="shared" si="2486"/>
        <v>0</v>
      </c>
      <c r="H8575" s="158"/>
      <c r="I8575" s="159">
        <f t="shared" si="2487"/>
        <v>8.4332999999999999E-4</v>
      </c>
      <c r="J8575" s="160"/>
      <c r="K8575" s="161">
        <f t="shared" si="2488"/>
        <v>45</v>
      </c>
      <c r="L8575" s="250">
        <v>1</v>
      </c>
      <c r="M8575" s="163"/>
      <c r="N8575" s="164"/>
      <c r="O8575" s="165">
        <f t="shared" si="2483"/>
        <v>0</v>
      </c>
      <c r="P8575" s="166"/>
      <c r="Q8575" s="166">
        <f t="shared" si="2482"/>
        <v>0</v>
      </c>
      <c r="R8575" s="71"/>
    </row>
    <row r="8576" spans="1:18" s="61" customFormat="1" x14ac:dyDescent="0.25">
      <c r="A8576" s="358"/>
      <c r="B8576" s="361"/>
      <c r="C8576" s="366"/>
      <c r="D8576" s="254" t="s">
        <v>427</v>
      </c>
      <c r="E8576" s="156" t="s">
        <v>28</v>
      </c>
      <c r="F8576" s="156" t="s">
        <v>28</v>
      </c>
      <c r="G8576" s="238">
        <f t="shared" si="2486"/>
        <v>0</v>
      </c>
      <c r="H8576" s="158"/>
      <c r="I8576" s="159">
        <f t="shared" si="2487"/>
        <v>8.4332999999999999E-4</v>
      </c>
      <c r="J8576" s="160"/>
      <c r="K8576" s="161">
        <f t="shared" si="2488"/>
        <v>45</v>
      </c>
      <c r="L8576" s="250">
        <v>1</v>
      </c>
      <c r="M8576" s="163"/>
      <c r="N8576" s="164"/>
      <c r="O8576" s="165">
        <f t="shared" si="2483"/>
        <v>0</v>
      </c>
      <c r="P8576" s="166"/>
      <c r="Q8576" s="166">
        <f t="shared" si="2482"/>
        <v>0</v>
      </c>
      <c r="R8576" s="71"/>
    </row>
    <row r="8577" spans="1:18" s="61" customFormat="1" x14ac:dyDescent="0.25">
      <c r="A8577" s="358"/>
      <c r="B8577" s="361"/>
      <c r="C8577" s="366"/>
      <c r="D8577" s="254" t="s">
        <v>428</v>
      </c>
      <c r="E8577" s="156" t="s">
        <v>28</v>
      </c>
      <c r="F8577" s="156" t="s">
        <v>28</v>
      </c>
      <c r="G8577" s="238">
        <f t="shared" si="2486"/>
        <v>0</v>
      </c>
      <c r="H8577" s="158"/>
      <c r="I8577" s="159">
        <f t="shared" si="2487"/>
        <v>8.4332999999999999E-4</v>
      </c>
      <c r="J8577" s="160"/>
      <c r="K8577" s="161">
        <f t="shared" si="2488"/>
        <v>45</v>
      </c>
      <c r="L8577" s="250">
        <v>1</v>
      </c>
      <c r="M8577" s="163"/>
      <c r="N8577" s="164"/>
      <c r="O8577" s="165">
        <f t="shared" si="2483"/>
        <v>0</v>
      </c>
      <c r="P8577" s="166"/>
      <c r="Q8577" s="166">
        <f t="shared" si="2482"/>
        <v>0</v>
      </c>
      <c r="R8577" s="71"/>
    </row>
    <row r="8578" spans="1:18" s="61" customFormat="1" x14ac:dyDescent="0.25">
      <c r="A8578" s="358"/>
      <c r="B8578" s="361"/>
      <c r="C8578" s="366"/>
      <c r="D8578" s="255" t="s">
        <v>429</v>
      </c>
      <c r="E8578" s="156" t="s">
        <v>28</v>
      </c>
      <c r="F8578" s="156" t="s">
        <v>28</v>
      </c>
      <c r="G8578" s="238">
        <f t="shared" si="2486"/>
        <v>0</v>
      </c>
      <c r="H8578" s="158"/>
      <c r="I8578" s="159">
        <f t="shared" si="2487"/>
        <v>8.4332999999999999E-4</v>
      </c>
      <c r="J8578" s="160"/>
      <c r="K8578" s="161">
        <f t="shared" si="2488"/>
        <v>45</v>
      </c>
      <c r="L8578" s="250">
        <v>1</v>
      </c>
      <c r="M8578" s="163"/>
      <c r="N8578" s="164"/>
      <c r="O8578" s="165">
        <f t="shared" si="2483"/>
        <v>0</v>
      </c>
      <c r="P8578" s="166"/>
      <c r="Q8578" s="166">
        <f t="shared" si="2482"/>
        <v>0</v>
      </c>
      <c r="R8578" s="71"/>
    </row>
    <row r="8579" spans="1:18" s="62" customFormat="1" x14ac:dyDescent="0.25">
      <c r="A8579" s="358"/>
      <c r="B8579" s="361"/>
      <c r="C8579" s="249" t="s">
        <v>299</v>
      </c>
      <c r="D8579" s="256"/>
      <c r="E8579" s="240"/>
      <c r="F8579" s="240"/>
      <c r="G8579" s="227"/>
      <c r="H8579" s="241"/>
      <c r="I8579" s="206"/>
      <c r="J8579" s="228"/>
      <c r="K8579" s="207"/>
      <c r="L8579" s="257"/>
      <c r="M8579" s="209"/>
      <c r="N8579" s="210"/>
      <c r="O8579" s="198">
        <f>SUM(O8555:O8578)</f>
        <v>0</v>
      </c>
      <c r="P8579" s="267"/>
      <c r="Q8579" s="166"/>
      <c r="R8579" s="71"/>
    </row>
    <row r="8580" spans="1:18" s="61" customFormat="1" ht="110.25" x14ac:dyDescent="0.25">
      <c r="A8580" s="358"/>
      <c r="B8580" s="361"/>
      <c r="C8580" s="221" t="s">
        <v>82</v>
      </c>
      <c r="D8580" s="156" t="s">
        <v>46</v>
      </c>
      <c r="E8580" s="156" t="s">
        <v>54</v>
      </c>
      <c r="F8580" s="156" t="s">
        <v>285</v>
      </c>
      <c r="G8580" s="238">
        <f>MROUND(H8580*L8580*I8580/K8580,0.000001)</f>
        <v>0.21195699999999998</v>
      </c>
      <c r="H8580" s="242">
        <f>H8100</f>
        <v>1028.1818077549303</v>
      </c>
      <c r="I8580" s="159">
        <f>I8578</f>
        <v>8.4332999999999999E-4</v>
      </c>
      <c r="J8580" s="160"/>
      <c r="K8580" s="161">
        <f>K8578</f>
        <v>45</v>
      </c>
      <c r="L8580" s="225">
        <f>L8340</f>
        <v>11</v>
      </c>
      <c r="M8580" s="163" t="str">
        <f>CONCATENATE(H8580," ",F8580,"*",L8580,"автобуса","*",I8580,"/",K8580,"чел.")</f>
        <v>1028,18180775493 л бензина АИ 92 (12,5л/день(зимой)*20дней*7мес+10л/день(летом)*20дней*4мес)*11автобуса*0,00084333/45чел.</v>
      </c>
      <c r="N8580" s="164">
        <f>N6900</f>
        <v>59.28728000000001</v>
      </c>
      <c r="O8580" s="165">
        <f>MROUND(G8580*N8580,0.000001)</f>
        <v>12.566353999999999</v>
      </c>
      <c r="P8580" s="166"/>
      <c r="Q8580" s="166">
        <f t="shared" ref="Q8580" si="2489">O8580*K8580</f>
        <v>565.48592999999994</v>
      </c>
      <c r="R8580" s="71"/>
    </row>
    <row r="8581" spans="1:18" s="62" customFormat="1" x14ac:dyDescent="0.25">
      <c r="A8581" s="358"/>
      <c r="B8581" s="361"/>
      <c r="C8581" s="218" t="s">
        <v>300</v>
      </c>
      <c r="D8581" s="240"/>
      <c r="E8581" s="240"/>
      <c r="F8581" s="240"/>
      <c r="G8581" s="227"/>
      <c r="H8581" s="241"/>
      <c r="I8581" s="206"/>
      <c r="J8581" s="228"/>
      <c r="K8581" s="207"/>
      <c r="L8581" s="257"/>
      <c r="M8581" s="209"/>
      <c r="N8581" s="210"/>
      <c r="O8581" s="198">
        <f>SUM(O8580)</f>
        <v>12.566353999999999</v>
      </c>
      <c r="P8581" s="267"/>
      <c r="Q8581" s="166"/>
      <c r="R8581" s="71"/>
    </row>
    <row r="8582" spans="1:18" s="61" customFormat="1" ht="47.25" x14ac:dyDescent="0.25">
      <c r="A8582" s="358"/>
      <c r="B8582" s="361"/>
      <c r="C8582" s="221" t="s">
        <v>434</v>
      </c>
      <c r="D8582" s="156" t="s">
        <v>436</v>
      </c>
      <c r="E8582" s="156" t="s">
        <v>28</v>
      </c>
      <c r="F8582" s="156" t="s">
        <v>437</v>
      </c>
      <c r="G8582" s="157">
        <f>MROUND(H8582*L8582*I8582/K8582,0.000001)</f>
        <v>5.4349999999999997E-3</v>
      </c>
      <c r="H8582" s="242">
        <f>$H$125</f>
        <v>290</v>
      </c>
      <c r="I8582" s="159">
        <f>I8580</f>
        <v>8.4332999999999999E-4</v>
      </c>
      <c r="J8582" s="160"/>
      <c r="K8582" s="161">
        <f>K8580</f>
        <v>45</v>
      </c>
      <c r="L8582" s="162">
        <v>1</v>
      </c>
      <c r="M8582" s="163" t="str">
        <f>CONCATENATE(H8582," ",F8582,"*",L8582,"автобуса","*",I8582,"/",K8582,"чел.")</f>
        <v>290 огнетушителей (потребность учреждений) *1автобуса*0,00084333/45чел.</v>
      </c>
      <c r="N8582" s="164">
        <f>$N$125</f>
        <v>2000</v>
      </c>
      <c r="O8582" s="165">
        <f>MROUND(G8582*N8582,0.000001)</f>
        <v>10.87</v>
      </c>
      <c r="P8582" s="166"/>
      <c r="Q8582" s="166">
        <f t="shared" ref="Q8582" si="2490">O8582*K8582</f>
        <v>489.15</v>
      </c>
      <c r="R8582" s="71"/>
    </row>
    <row r="8583" spans="1:18" s="61" customFormat="1" x14ac:dyDescent="0.25">
      <c r="A8583" s="358"/>
      <c r="B8583" s="361"/>
      <c r="C8583" s="218" t="s">
        <v>435</v>
      </c>
      <c r="D8583" s="240"/>
      <c r="E8583" s="240"/>
      <c r="F8583" s="240"/>
      <c r="G8583" s="251"/>
      <c r="H8583" s="241"/>
      <c r="I8583" s="206"/>
      <c r="J8583" s="228"/>
      <c r="K8583" s="207"/>
      <c r="L8583" s="229"/>
      <c r="M8583" s="209"/>
      <c r="N8583" s="210"/>
      <c r="O8583" s="198">
        <f>SUM(O8582)</f>
        <v>10.87</v>
      </c>
      <c r="P8583" s="166"/>
      <c r="Q8583" s="166"/>
      <c r="R8583" s="71"/>
    </row>
    <row r="8584" spans="1:18" s="61" customFormat="1" ht="47.25" x14ac:dyDescent="0.25">
      <c r="A8584" s="358"/>
      <c r="B8584" s="361"/>
      <c r="C8584" s="364" t="s">
        <v>118</v>
      </c>
      <c r="D8584" s="156" t="s">
        <v>47</v>
      </c>
      <c r="E8584" s="156" t="s">
        <v>28</v>
      </c>
      <c r="F8584" s="156" t="s">
        <v>239</v>
      </c>
      <c r="G8584" s="238">
        <f>MROUND(H8584*L8584*I8584/K8584,0.00000001)</f>
        <v>2.6236900000000001E-3</v>
      </c>
      <c r="H8584" s="158">
        <f>H7504</f>
        <v>140</v>
      </c>
      <c r="I8584" s="159">
        <f>I8580</f>
        <v>8.4332999999999999E-4</v>
      </c>
      <c r="J8584" s="160"/>
      <c r="K8584" s="161">
        <f>K8580</f>
        <v>45</v>
      </c>
      <c r="L8584" s="250">
        <v>1</v>
      </c>
      <c r="M8584" s="163" t="str">
        <f>CONCATENATE(H8584," ",F8584,"*",I8584,"/",K8584,"чел.")</f>
        <v>140 манометров (потребность учреждений) *0,00084333/45чел.</v>
      </c>
      <c r="N8584" s="164">
        <f>N6904</f>
        <v>770.73500000000035</v>
      </c>
      <c r="O8584" s="165">
        <f>MROUND(G8584*N8584,0.000001)</f>
        <v>2.02217</v>
      </c>
      <c r="P8584" s="166"/>
      <c r="Q8584" s="166">
        <f t="shared" ref="Q8584:Q8585" si="2491">O8584*K8584</f>
        <v>90.997650000000007</v>
      </c>
      <c r="R8584" s="71"/>
    </row>
    <row r="8585" spans="1:18" s="61" customFormat="1" ht="47.25" x14ac:dyDescent="0.25">
      <c r="A8585" s="358"/>
      <c r="B8585" s="361"/>
      <c r="C8585" s="364"/>
      <c r="D8585" s="255" t="s">
        <v>113</v>
      </c>
      <c r="E8585" s="156" t="s">
        <v>28</v>
      </c>
      <c r="F8585" s="156" t="s">
        <v>240</v>
      </c>
      <c r="G8585" s="238">
        <f>MROUND(H8585*L8585*I8585/K8585,0.00000001)</f>
        <v>0.10710291</v>
      </c>
      <c r="H8585" s="158">
        <f>H7145</f>
        <v>5715</v>
      </c>
      <c r="I8585" s="159">
        <f>I8584</f>
        <v>8.4332999999999999E-4</v>
      </c>
      <c r="J8585" s="160"/>
      <c r="K8585" s="161">
        <f>K8584</f>
        <v>45</v>
      </c>
      <c r="L8585" s="250">
        <v>1</v>
      </c>
      <c r="M8585" s="163" t="str">
        <f>CONCATENATE(H8585," ",F8585,"*",I8585,"/",K8585,"чел.")</f>
        <v>5715 светильников (потребность учреждений)*0,00084333/45чел.</v>
      </c>
      <c r="N8585" s="164">
        <f>N6905</f>
        <v>115.61019597550306</v>
      </c>
      <c r="O8585" s="165">
        <f>MROUND(G8585*N8585,0.000001)</f>
        <v>12.382187999999999</v>
      </c>
      <c r="P8585" s="166"/>
      <c r="Q8585" s="166">
        <f t="shared" si="2491"/>
        <v>557.19845999999995</v>
      </c>
      <c r="R8585" s="71"/>
    </row>
    <row r="8586" spans="1:18" s="62" customFormat="1" x14ac:dyDescent="0.25">
      <c r="A8586" s="359"/>
      <c r="B8586" s="362"/>
      <c r="C8586" s="218" t="s">
        <v>301</v>
      </c>
      <c r="D8586" s="256"/>
      <c r="E8586" s="240"/>
      <c r="F8586" s="240"/>
      <c r="G8586" s="227"/>
      <c r="H8586" s="241"/>
      <c r="I8586" s="206"/>
      <c r="J8586" s="228"/>
      <c r="K8586" s="207"/>
      <c r="L8586" s="257"/>
      <c r="M8586" s="209"/>
      <c r="N8586" s="210"/>
      <c r="O8586" s="198">
        <f>SUM(O8584:O8585)</f>
        <v>14.404357999999998</v>
      </c>
      <c r="P8586" s="267"/>
      <c r="Q8586" s="166"/>
      <c r="R8586" s="71"/>
    </row>
    <row r="8587" spans="1:18" s="61" customFormat="1" x14ac:dyDescent="0.25">
      <c r="A8587" s="357" t="str">
        <f>CONCATENATE(школы!$B$22,", ",школы!$C$22,", ",школы!$D$22)</f>
        <v>Реализация основных общеобразовательных программ среднего общего образования, образовательная программа, обеспечивающая углубленное изучение отдельных учебных предметов, предметных областей (профильное обучение), дети-инвалиды</v>
      </c>
      <c r="B8587" s="360" t="str">
        <f>школы!$A$22</f>
        <v>802112О.99.0.ББ11АО26001</v>
      </c>
      <c r="C8587" s="194"/>
      <c r="D8587" s="363" t="s">
        <v>15</v>
      </c>
      <c r="E8587" s="363"/>
      <c r="F8587" s="363"/>
      <c r="G8587" s="363"/>
      <c r="H8587" s="195"/>
      <c r="I8587" s="195"/>
      <c r="J8587" s="195"/>
      <c r="K8587" s="195"/>
      <c r="L8587" s="196"/>
      <c r="M8587" s="197"/>
      <c r="N8587" s="164"/>
      <c r="O8587" s="198">
        <f>O8588+O8593+O8595</f>
        <v>9897.1860686689997</v>
      </c>
      <c r="P8587" s="166"/>
      <c r="Q8587" s="166"/>
      <c r="R8587" s="71"/>
    </row>
    <row r="8588" spans="1:18" s="61" customFormat="1" x14ac:dyDescent="0.25">
      <c r="A8588" s="358"/>
      <c r="B8588" s="361"/>
      <c r="C8588" s="194"/>
      <c r="D8588" s="350" t="s">
        <v>62</v>
      </c>
      <c r="E8588" s="350"/>
      <c r="F8588" s="350"/>
      <c r="G8588" s="350"/>
      <c r="H8588" s="195"/>
      <c r="I8588" s="195"/>
      <c r="J8588" s="195"/>
      <c r="K8588" s="195"/>
      <c r="L8588" s="196"/>
      <c r="M8588" s="197"/>
      <c r="N8588" s="164"/>
      <c r="O8588" s="165">
        <f>O8590+O8592</f>
        <v>9897.1860686689997</v>
      </c>
      <c r="P8588" s="166"/>
      <c r="Q8588" s="166"/>
      <c r="R8588" s="71"/>
    </row>
    <row r="8589" spans="1:18" s="61" customFormat="1" x14ac:dyDescent="0.25">
      <c r="A8589" s="358"/>
      <c r="B8589" s="361"/>
      <c r="C8589" s="194">
        <v>211</v>
      </c>
      <c r="D8589" s="194" t="s">
        <v>86</v>
      </c>
      <c r="E8589" s="199" t="s">
        <v>95</v>
      </c>
      <c r="F8589" s="199" t="s">
        <v>95</v>
      </c>
      <c r="G8589" s="275">
        <f>MROUND(H8589*L8589*I8589/K8589,0.0000000001)</f>
        <v>0.59001468239999999</v>
      </c>
      <c r="H8589" s="201">
        <f>H7749</f>
        <v>921.8</v>
      </c>
      <c r="I8589" s="159">
        <f>школы!$K$22</f>
        <v>5.3339000000000001E-4</v>
      </c>
      <c r="J8589" s="159"/>
      <c r="K8589" s="161">
        <f>школы!$G$22</f>
        <v>10</v>
      </c>
      <c r="L8589" s="202">
        <v>12</v>
      </c>
      <c r="M8589" s="163" t="str">
        <f>CONCATENATE(H8589," ",F8589," ","в мес.","*",L8589,"мес.","*",I8589,"/",K8589,"чел.")</f>
        <v>921,8 шт.ед в мес.*12мес.*0,00053339/10чел.</v>
      </c>
      <c r="N8589" s="164">
        <f>N7749</f>
        <v>12883.620739314385</v>
      </c>
      <c r="O8589" s="165">
        <f>MROUND(G8589*N8589,0.000000001)</f>
        <v>7601.5253986690004</v>
      </c>
      <c r="P8589" s="166"/>
      <c r="Q8589" s="166">
        <f t="shared" ref="Q8589" si="2492">O8589*K8589</f>
        <v>76015.253986690004</v>
      </c>
      <c r="R8589" s="71"/>
    </row>
    <row r="8590" spans="1:18" s="62" customFormat="1" x14ac:dyDescent="0.25">
      <c r="A8590" s="358"/>
      <c r="B8590" s="361"/>
      <c r="C8590" s="203" t="s">
        <v>288</v>
      </c>
      <c r="D8590" s="203"/>
      <c r="E8590" s="204"/>
      <c r="F8590" s="204"/>
      <c r="G8590" s="205"/>
      <c r="H8590" s="206"/>
      <c r="I8590" s="206"/>
      <c r="J8590" s="206"/>
      <c r="K8590" s="207"/>
      <c r="L8590" s="208"/>
      <c r="M8590" s="209"/>
      <c r="N8590" s="210">
        <f>N8589</f>
        <v>12883.620739314385</v>
      </c>
      <c r="O8590" s="198">
        <f>O8589</f>
        <v>7601.5253986690004</v>
      </c>
      <c r="P8590" s="267"/>
      <c r="Q8590" s="166"/>
      <c r="R8590" s="71"/>
    </row>
    <row r="8591" spans="1:18" s="61" customFormat="1" x14ac:dyDescent="0.25">
      <c r="A8591" s="358"/>
      <c r="B8591" s="361"/>
      <c r="C8591" s="194">
        <v>213</v>
      </c>
      <c r="D8591" s="194" t="s">
        <v>87</v>
      </c>
      <c r="E8591" s="194" t="s">
        <v>88</v>
      </c>
      <c r="F8591" s="194"/>
      <c r="G8591" s="211">
        <v>30.2</v>
      </c>
      <c r="H8591" s="159"/>
      <c r="I8591" s="159"/>
      <c r="J8591" s="159"/>
      <c r="K8591" s="161">
        <f>K8589</f>
        <v>10</v>
      </c>
      <c r="L8591" s="202"/>
      <c r="M8591" s="212"/>
      <c r="N8591" s="164"/>
      <c r="O8591" s="165">
        <f>MROUND(O8589*0.302,0.000001)</f>
        <v>2295.6606699999998</v>
      </c>
      <c r="P8591" s="166"/>
      <c r="Q8591" s="166">
        <f>O8591*K8591</f>
        <v>22956.606699999997</v>
      </c>
      <c r="R8591" s="71"/>
    </row>
    <row r="8592" spans="1:18" s="62" customFormat="1" x14ac:dyDescent="0.25">
      <c r="A8592" s="358"/>
      <c r="B8592" s="361"/>
      <c r="C8592" s="203" t="s">
        <v>289</v>
      </c>
      <c r="D8592" s="203"/>
      <c r="E8592" s="203"/>
      <c r="F8592" s="203"/>
      <c r="G8592" s="213"/>
      <c r="H8592" s="214"/>
      <c r="I8592" s="206"/>
      <c r="J8592" s="214"/>
      <c r="K8592" s="207"/>
      <c r="L8592" s="215"/>
      <c r="M8592" s="216"/>
      <c r="N8592" s="210"/>
      <c r="O8592" s="198">
        <f>O8591</f>
        <v>2295.6606699999998</v>
      </c>
      <c r="P8592" s="267"/>
      <c r="Q8592" s="166"/>
      <c r="R8592" s="71"/>
    </row>
    <row r="8593" spans="1:18" s="61" customFormat="1" x14ac:dyDescent="0.25">
      <c r="A8593" s="358"/>
      <c r="B8593" s="361"/>
      <c r="C8593" s="194"/>
      <c r="D8593" s="356" t="s">
        <v>63</v>
      </c>
      <c r="E8593" s="356"/>
      <c r="F8593" s="356"/>
      <c r="G8593" s="356"/>
      <c r="H8593" s="195"/>
      <c r="I8593" s="159"/>
      <c r="J8593" s="195"/>
      <c r="K8593" s="161"/>
      <c r="L8593" s="196"/>
      <c r="M8593" s="197"/>
      <c r="N8593" s="164"/>
      <c r="O8593" s="165"/>
      <c r="P8593" s="166"/>
      <c r="Q8593" s="166"/>
      <c r="R8593" s="71"/>
    </row>
    <row r="8594" spans="1:18" s="61" customFormat="1" x14ac:dyDescent="0.25">
      <c r="A8594" s="358"/>
      <c r="B8594" s="361"/>
      <c r="C8594" s="194"/>
      <c r="D8594" s="194"/>
      <c r="E8594" s="194"/>
      <c r="F8594" s="194"/>
      <c r="G8594" s="217"/>
      <c r="H8594" s="195"/>
      <c r="I8594" s="159"/>
      <c r="J8594" s="195"/>
      <c r="K8594" s="161"/>
      <c r="L8594" s="196"/>
      <c r="M8594" s="197"/>
      <c r="N8594" s="164"/>
      <c r="O8594" s="165"/>
      <c r="P8594" s="166"/>
      <c r="Q8594" s="166"/>
      <c r="R8594" s="71"/>
    </row>
    <row r="8595" spans="1:18" s="61" customFormat="1" x14ac:dyDescent="0.25">
      <c r="A8595" s="358"/>
      <c r="B8595" s="361"/>
      <c r="C8595" s="194"/>
      <c r="D8595" s="350" t="s">
        <v>64</v>
      </c>
      <c r="E8595" s="350"/>
      <c r="F8595" s="350"/>
      <c r="G8595" s="350"/>
      <c r="H8595" s="195"/>
      <c r="I8595" s="159"/>
      <c r="J8595" s="195"/>
      <c r="K8595" s="161"/>
      <c r="L8595" s="196"/>
      <c r="M8595" s="197"/>
      <c r="N8595" s="164"/>
      <c r="O8595" s="165"/>
      <c r="P8595" s="166"/>
      <c r="Q8595" s="166"/>
      <c r="R8595" s="71"/>
    </row>
    <row r="8596" spans="1:18" s="61" customFormat="1" x14ac:dyDescent="0.25">
      <c r="A8596" s="358"/>
      <c r="B8596" s="361"/>
      <c r="C8596" s="194"/>
      <c r="D8596" s="194"/>
      <c r="E8596" s="194"/>
      <c r="F8596" s="194"/>
      <c r="G8596" s="217"/>
      <c r="H8596" s="195"/>
      <c r="I8596" s="159"/>
      <c r="J8596" s="195"/>
      <c r="K8596" s="161"/>
      <c r="L8596" s="196"/>
      <c r="M8596" s="197"/>
      <c r="N8596" s="164"/>
      <c r="O8596" s="165"/>
      <c r="P8596" s="166"/>
      <c r="Q8596" s="166"/>
      <c r="R8596" s="71"/>
    </row>
    <row r="8597" spans="1:18" s="61" customFormat="1" x14ac:dyDescent="0.25">
      <c r="A8597" s="358"/>
      <c r="B8597" s="361"/>
      <c r="C8597" s="194"/>
      <c r="D8597" s="355" t="s">
        <v>5</v>
      </c>
      <c r="E8597" s="355"/>
      <c r="F8597" s="355"/>
      <c r="G8597" s="355"/>
      <c r="H8597" s="195"/>
      <c r="I8597" s="159"/>
      <c r="J8597" s="195"/>
      <c r="K8597" s="161"/>
      <c r="L8597" s="196"/>
      <c r="M8597" s="197"/>
      <c r="N8597" s="164"/>
      <c r="O8597" s="198">
        <f>O8598+O8608+O8619+O8621+O8623+O8625+O8627</f>
        <v>16609.220962669999</v>
      </c>
      <c r="P8597" s="166"/>
      <c r="Q8597" s="166"/>
      <c r="R8597" s="71"/>
    </row>
    <row r="8598" spans="1:18" s="61" customFormat="1" x14ac:dyDescent="0.25">
      <c r="A8598" s="358"/>
      <c r="B8598" s="361"/>
      <c r="C8598" s="218" t="s">
        <v>70</v>
      </c>
      <c r="D8598" s="355" t="s">
        <v>6</v>
      </c>
      <c r="E8598" s="355"/>
      <c r="F8598" s="355"/>
      <c r="G8598" s="355"/>
      <c r="H8598" s="189"/>
      <c r="I8598" s="159"/>
      <c r="J8598" s="189"/>
      <c r="K8598" s="161"/>
      <c r="L8598" s="190"/>
      <c r="M8598" s="197"/>
      <c r="N8598" s="210"/>
      <c r="O8598" s="198">
        <f>O8607</f>
        <v>10038.20618761</v>
      </c>
      <c r="P8598" s="166"/>
      <c r="Q8598" s="166"/>
      <c r="R8598" s="71"/>
    </row>
    <row r="8599" spans="1:18" s="61" customFormat="1" ht="31.5" x14ac:dyDescent="0.25">
      <c r="A8599" s="358"/>
      <c r="B8599" s="361"/>
      <c r="C8599" s="221" t="s">
        <v>72</v>
      </c>
      <c r="D8599" s="222" t="s">
        <v>7</v>
      </c>
      <c r="E8599" s="223" t="s">
        <v>8</v>
      </c>
      <c r="F8599" s="223" t="s">
        <v>8</v>
      </c>
      <c r="G8599" s="238">
        <f>MROUND(H8599*L8599*I8599/K8599,0.00000000001)</f>
        <v>176.71858376448998</v>
      </c>
      <c r="H8599" s="160">
        <f>H7879</f>
        <v>3313121.4264326878</v>
      </c>
      <c r="I8599" s="159">
        <f>I8589</f>
        <v>5.3339000000000001E-4</v>
      </c>
      <c r="J8599" s="160"/>
      <c r="K8599" s="161">
        <f>K8589</f>
        <v>10</v>
      </c>
      <c r="L8599" s="250">
        <v>1</v>
      </c>
      <c r="M8599" s="163" t="str">
        <f t="shared" ref="M8599:M8604" si="2493">CONCATENATE(H8599," ",F8599,"(лимиты выделенные УЖКХ) ","*",I8599,"/",K8599,"чел.")</f>
        <v>3313121,42643269 кВт час.(лимиты выделенные УЖКХ) *0,00053339/10чел.</v>
      </c>
      <c r="N8599" s="164">
        <f>N7879</f>
        <v>11.333602475424668</v>
      </c>
      <c r="O8599" s="165">
        <f t="shared" ref="O8599:O8602" si="2494">MROUND(G8599*N8599,0.000001)</f>
        <v>2002.858178</v>
      </c>
      <c r="P8599" s="166"/>
      <c r="Q8599" s="166">
        <f t="shared" ref="Q8599:Q8606" si="2495">O8599*K8599</f>
        <v>20028.58178</v>
      </c>
      <c r="R8599" s="71"/>
    </row>
    <row r="8600" spans="1:18" s="61" customFormat="1" ht="31.5" x14ac:dyDescent="0.25">
      <c r="A8600" s="358"/>
      <c r="B8600" s="361"/>
      <c r="C8600" s="221" t="s">
        <v>73</v>
      </c>
      <c r="D8600" s="222" t="s">
        <v>9</v>
      </c>
      <c r="E8600" s="223" t="s">
        <v>10</v>
      </c>
      <c r="F8600" s="223" t="s">
        <v>10</v>
      </c>
      <c r="G8600" s="238">
        <f>MROUND(H8600*L8600*I8600/K8600,0.00000000001)</f>
        <v>1.7013748852099999</v>
      </c>
      <c r="H8600" s="160">
        <f>H7520</f>
        <v>31897.39</v>
      </c>
      <c r="I8600" s="159">
        <f t="shared" ref="I8600:I8652" si="2496">I8599</f>
        <v>5.3339000000000001E-4</v>
      </c>
      <c r="J8600" s="160"/>
      <c r="K8600" s="161">
        <f t="shared" ref="K8600:K8606" si="2497">K8599</f>
        <v>10</v>
      </c>
      <c r="L8600" s="250">
        <v>1</v>
      </c>
      <c r="M8600" s="163" t="str">
        <f t="shared" si="2493"/>
        <v>31897,39 Гкал(лимиты выделенные УЖКХ) *0,00053339/10чел.</v>
      </c>
      <c r="N8600" s="164">
        <f>N7520</f>
        <v>3095.3018623153812</v>
      </c>
      <c r="O8600" s="165">
        <f t="shared" si="2494"/>
        <v>5266.2688509999998</v>
      </c>
      <c r="P8600" s="166"/>
      <c r="Q8600" s="166">
        <f t="shared" si="2495"/>
        <v>52662.68851</v>
      </c>
      <c r="R8600" s="71"/>
    </row>
    <row r="8601" spans="1:18" s="61" customFormat="1" ht="31.5" x14ac:dyDescent="0.25">
      <c r="A8601" s="358"/>
      <c r="B8601" s="361"/>
      <c r="C8601" s="364" t="s">
        <v>74</v>
      </c>
      <c r="D8601" s="222" t="s">
        <v>12</v>
      </c>
      <c r="E8601" s="222" t="s">
        <v>11</v>
      </c>
      <c r="F8601" s="222" t="s">
        <v>11</v>
      </c>
      <c r="G8601" s="238">
        <f>MROUND(H8601*L8601*I8601/K8601,0.00000000001)</f>
        <v>9.853055842629999</v>
      </c>
      <c r="H8601" s="224">
        <f>H6801</f>
        <v>184725.17</v>
      </c>
      <c r="I8601" s="159">
        <f t="shared" si="2496"/>
        <v>5.3339000000000001E-4</v>
      </c>
      <c r="J8601" s="160"/>
      <c r="K8601" s="161">
        <f t="shared" si="2497"/>
        <v>10</v>
      </c>
      <c r="L8601" s="250">
        <v>1</v>
      </c>
      <c r="M8601" s="163" t="str">
        <f t="shared" si="2493"/>
        <v>184725,17 м3(лимиты выделенные УЖКХ) *0,00053339/10чел.</v>
      </c>
      <c r="N8601" s="164">
        <f>N6801</f>
        <v>56.382747245543193</v>
      </c>
      <c r="O8601" s="165">
        <f t="shared" si="2494"/>
        <v>555.54235699999992</v>
      </c>
      <c r="P8601" s="166"/>
      <c r="Q8601" s="166">
        <f t="shared" si="2495"/>
        <v>5555.423569999999</v>
      </c>
      <c r="R8601" s="71"/>
    </row>
    <row r="8602" spans="1:18" s="61" customFormat="1" ht="47.25" x14ac:dyDescent="0.25">
      <c r="A8602" s="358"/>
      <c r="B8602" s="361"/>
      <c r="C8602" s="364"/>
      <c r="D8602" s="222" t="s">
        <v>17</v>
      </c>
      <c r="E8602" s="222" t="s">
        <v>11</v>
      </c>
      <c r="F8602" s="222" t="s">
        <v>11</v>
      </c>
      <c r="G8602" s="238">
        <f>MROUND(H8602*L8602*I8602/K8602,0.00000000001)</f>
        <v>9.853055842629999</v>
      </c>
      <c r="H8602" s="160">
        <f>H7522</f>
        <v>184725.17</v>
      </c>
      <c r="I8602" s="159">
        <f t="shared" si="2496"/>
        <v>5.3339000000000001E-4</v>
      </c>
      <c r="J8602" s="160"/>
      <c r="K8602" s="161">
        <f t="shared" si="2497"/>
        <v>10</v>
      </c>
      <c r="L8602" s="162">
        <f>$L$6802</f>
        <v>1</v>
      </c>
      <c r="M8602" s="163" t="str">
        <f t="shared" si="2493"/>
        <v>184725,17 м3(лимиты выделенные УЖКХ) *0,00053339/10чел.</v>
      </c>
      <c r="N8602" s="164">
        <f>N6802</f>
        <v>85.679537612054773</v>
      </c>
      <c r="O8602" s="165">
        <f t="shared" si="2494"/>
        <v>844.20526899999993</v>
      </c>
      <c r="P8602" s="166"/>
      <c r="Q8602" s="166">
        <f t="shared" si="2495"/>
        <v>8442.0526899999986</v>
      </c>
      <c r="R8602" s="71"/>
    </row>
    <row r="8603" spans="1:18" s="61" customFormat="1" ht="31.5" x14ac:dyDescent="0.25">
      <c r="A8603" s="358"/>
      <c r="B8603" s="361"/>
      <c r="C8603" s="364"/>
      <c r="D8603" s="222" t="s">
        <v>13</v>
      </c>
      <c r="E8603" s="222" t="s">
        <v>11</v>
      </c>
      <c r="F8603" s="222" t="s">
        <v>11</v>
      </c>
      <c r="G8603" s="238">
        <f>MROUND(H8603*L8603*I8603/K8603,0.00000000001)</f>
        <v>9.853055842629999</v>
      </c>
      <c r="H8603" s="160">
        <f>H6803</f>
        <v>184725.17</v>
      </c>
      <c r="I8603" s="159">
        <f t="shared" si="2496"/>
        <v>5.3339000000000001E-4</v>
      </c>
      <c r="J8603" s="160"/>
      <c r="K8603" s="161">
        <f t="shared" si="2497"/>
        <v>10</v>
      </c>
      <c r="L8603" s="162">
        <v>1</v>
      </c>
      <c r="M8603" s="163" t="str">
        <f t="shared" si="2493"/>
        <v>184725,17 м3(лимиты выделенные УЖКХ) *0,00053339/10чел.</v>
      </c>
      <c r="N8603" s="164">
        <f>N6803</f>
        <v>116.85554734686012</v>
      </c>
      <c r="O8603" s="165">
        <f>MROUND(G8603*N8603,0.00000001)</f>
        <v>1151.3842335300001</v>
      </c>
      <c r="P8603" s="166"/>
      <c r="Q8603" s="166">
        <f t="shared" si="2495"/>
        <v>11513.8423353</v>
      </c>
      <c r="R8603" s="71"/>
    </row>
    <row r="8604" spans="1:18" s="61" customFormat="1" ht="31.5" x14ac:dyDescent="0.25">
      <c r="A8604" s="358"/>
      <c r="B8604" s="361"/>
      <c r="C8604" s="221" t="s">
        <v>75</v>
      </c>
      <c r="D8604" s="222" t="s">
        <v>18</v>
      </c>
      <c r="E8604" s="222" t="s">
        <v>48</v>
      </c>
      <c r="F8604" s="222" t="s">
        <v>48</v>
      </c>
      <c r="G8604" s="238">
        <f>MROUND(H8604*L8604*I8604/K8604,0.0000000001)</f>
        <v>0.74075069640000002</v>
      </c>
      <c r="H8604" s="160">
        <f>H6804</f>
        <v>13887.6</v>
      </c>
      <c r="I8604" s="159">
        <f t="shared" si="2496"/>
        <v>5.3339000000000001E-4</v>
      </c>
      <c r="J8604" s="160"/>
      <c r="K8604" s="161">
        <f t="shared" si="2497"/>
        <v>10</v>
      </c>
      <c r="L8604" s="250">
        <v>1</v>
      </c>
      <c r="M8604" s="163" t="str">
        <f t="shared" si="2493"/>
        <v>13887,6 тыс. м3(лимиты выделенные УЖКХ) *0,00053339/10чел.</v>
      </c>
      <c r="N8604" s="164">
        <f>N6804</f>
        <v>31.799284973645559</v>
      </c>
      <c r="O8604" s="165">
        <f t="shared" ref="O8604" si="2498">MROUND(G8604*N8604,0.000001)</f>
        <v>23.555342</v>
      </c>
      <c r="P8604" s="166"/>
      <c r="Q8604" s="166">
        <f t="shared" si="2495"/>
        <v>235.55341999999999</v>
      </c>
      <c r="R8604" s="71"/>
    </row>
    <row r="8605" spans="1:18" s="61" customFormat="1" x14ac:dyDescent="0.25">
      <c r="A8605" s="358"/>
      <c r="B8605" s="361"/>
      <c r="C8605" s="364" t="s">
        <v>216</v>
      </c>
      <c r="D8605" s="222" t="s">
        <v>23</v>
      </c>
      <c r="E8605" s="222" t="s">
        <v>11</v>
      </c>
      <c r="F8605" s="222" t="s">
        <v>11</v>
      </c>
      <c r="G8605" s="238">
        <f>MROUND(H8605*L8605*I8605/K8605,0.000000000001)</f>
        <v>0.17967988896000001</v>
      </c>
      <c r="H8605" s="160">
        <f>H6805</f>
        <v>3368.6400000000003</v>
      </c>
      <c r="I8605" s="159">
        <f t="shared" si="2496"/>
        <v>5.3339000000000001E-4</v>
      </c>
      <c r="J8605" s="160"/>
      <c r="K8605" s="161">
        <f t="shared" si="2497"/>
        <v>10</v>
      </c>
      <c r="L8605" s="162">
        <f>L8604</f>
        <v>1</v>
      </c>
      <c r="M8605" s="163" t="str">
        <f>CONCATENATE(H8605," ",F8605," ","*",I8605,"/",K8605,"чел.")</f>
        <v>3368,64 м3 *0,00053339/10чел.</v>
      </c>
      <c r="N8605" s="164">
        <f>N6805</f>
        <v>807.40973805452643</v>
      </c>
      <c r="O8605" s="165">
        <f>MROUND(G8605*N8605,0.00000001)</f>
        <v>145.07529208</v>
      </c>
      <c r="P8605" s="166"/>
      <c r="Q8605" s="166">
        <f t="shared" si="2495"/>
        <v>1450.7529208000001</v>
      </c>
      <c r="R8605" s="71"/>
    </row>
    <row r="8606" spans="1:18" s="61" customFormat="1" ht="47.25" x14ac:dyDescent="0.25">
      <c r="A8606" s="358"/>
      <c r="B8606" s="361"/>
      <c r="C8606" s="364"/>
      <c r="D8606" s="222" t="s">
        <v>24</v>
      </c>
      <c r="E8606" s="222" t="s">
        <v>25</v>
      </c>
      <c r="F8606" s="222" t="s">
        <v>217</v>
      </c>
      <c r="G8606" s="238">
        <f>MROUND(H8606*L8606*I8606/K8606,0.000000000001)</f>
        <v>7.8408330000000002E-3</v>
      </c>
      <c r="H8606" s="160">
        <f>H7886</f>
        <v>147</v>
      </c>
      <c r="I8606" s="159">
        <f t="shared" si="2496"/>
        <v>5.3339000000000001E-4</v>
      </c>
      <c r="J8606" s="160"/>
      <c r="K8606" s="161">
        <f t="shared" si="2497"/>
        <v>10</v>
      </c>
      <c r="L8606" s="250">
        <f>L8605</f>
        <v>1</v>
      </c>
      <c r="M8606" s="163" t="str">
        <f>CONCATENATE(H8606," ",F8606,"(потребность из расчета 4 контейнера для уборки территории весной и осенью на 1 учреждение)","*",I8606,"/",K8606,"чел.")</f>
        <v>147 контейнера(потребность из расчета 4 контейнера для уборки территории весной и осенью на 1 учреждение)*0,00053339/10чел.</v>
      </c>
      <c r="N8606" s="164">
        <f>N7886</f>
        <v>6289.7226530612279</v>
      </c>
      <c r="O8606" s="165">
        <f t="shared" ref="O8606" si="2499">MROUND(G8606*N8606,0.000001)</f>
        <v>49.316665</v>
      </c>
      <c r="P8606" s="166"/>
      <c r="Q8606" s="166">
        <f t="shared" si="2495"/>
        <v>493.16665</v>
      </c>
      <c r="R8606" s="71"/>
    </row>
    <row r="8607" spans="1:18" s="62" customFormat="1" x14ac:dyDescent="0.25">
      <c r="A8607" s="358"/>
      <c r="B8607" s="361"/>
      <c r="C8607" s="218" t="s">
        <v>290</v>
      </c>
      <c r="D8607" s="226"/>
      <c r="E8607" s="226"/>
      <c r="F8607" s="226"/>
      <c r="G8607" s="227"/>
      <c r="H8607" s="228"/>
      <c r="I8607" s="206"/>
      <c r="J8607" s="228"/>
      <c r="K8607" s="207"/>
      <c r="L8607" s="257"/>
      <c r="M8607" s="209"/>
      <c r="N8607" s="210"/>
      <c r="O8607" s="198">
        <f>SUM(O8599:O8606)</f>
        <v>10038.20618761</v>
      </c>
      <c r="P8607" s="267"/>
      <c r="Q8607" s="166"/>
      <c r="R8607" s="71"/>
    </row>
    <row r="8608" spans="1:18" s="61" customFormat="1" x14ac:dyDescent="0.25">
      <c r="A8608" s="358"/>
      <c r="B8608" s="361"/>
      <c r="C8608" s="221"/>
      <c r="D8608" s="356" t="s">
        <v>14</v>
      </c>
      <c r="E8608" s="356"/>
      <c r="F8608" s="356"/>
      <c r="G8608" s="356"/>
      <c r="H8608" s="188"/>
      <c r="I8608" s="159"/>
      <c r="J8608" s="188"/>
      <c r="K8608" s="161"/>
      <c r="L8608" s="250"/>
      <c r="M8608" s="230"/>
      <c r="N8608" s="164"/>
      <c r="O8608" s="198">
        <f>O8616+O8617+O8612</f>
        <v>5334.4653933999998</v>
      </c>
      <c r="P8608" s="166"/>
      <c r="Q8608" s="166"/>
      <c r="R8608" s="71"/>
    </row>
    <row r="8609" spans="1:18" s="61" customFormat="1" x14ac:dyDescent="0.25">
      <c r="A8609" s="358"/>
      <c r="B8609" s="361"/>
      <c r="C8609" s="221" t="s">
        <v>379</v>
      </c>
      <c r="D8609" s="231" t="s">
        <v>49</v>
      </c>
      <c r="E8609" s="231" t="s">
        <v>22</v>
      </c>
      <c r="F8609" s="231" t="s">
        <v>22</v>
      </c>
      <c r="G8609" s="238">
        <f>MROUND(H8609*L8609*I8609/K8609,0.000000001)</f>
        <v>0</v>
      </c>
      <c r="H8609" s="160"/>
      <c r="I8609" s="159">
        <f>I8604</f>
        <v>5.3339000000000001E-4</v>
      </c>
      <c r="J8609" s="160"/>
      <c r="K8609" s="161">
        <f>K8604</f>
        <v>10</v>
      </c>
      <c r="L8609" s="250"/>
      <c r="M8609" s="163"/>
      <c r="N8609" s="164"/>
      <c r="O8609" s="165">
        <f>MROUND(G8609*N8609,0.00000001)</f>
        <v>0</v>
      </c>
      <c r="P8609" s="166"/>
      <c r="Q8609" s="166">
        <f t="shared" ref="Q8609:Q8611" si="2500">O8609*K8609</f>
        <v>0</v>
      </c>
      <c r="R8609" s="71"/>
    </row>
    <row r="8610" spans="1:18" s="61" customFormat="1" x14ac:dyDescent="0.25">
      <c r="A8610" s="358"/>
      <c r="B8610" s="361"/>
      <c r="C8610" s="221" t="s">
        <v>379</v>
      </c>
      <c r="D8610" s="231" t="s">
        <v>49</v>
      </c>
      <c r="E8610" s="231" t="s">
        <v>28</v>
      </c>
      <c r="F8610" s="231" t="s">
        <v>28</v>
      </c>
      <c r="G8610" s="238">
        <f>MROUND(H8610*L8610*I8610/K8610,0.000000001)</f>
        <v>0</v>
      </c>
      <c r="H8610" s="160"/>
      <c r="I8610" s="159">
        <f t="shared" si="2496"/>
        <v>5.3339000000000001E-4</v>
      </c>
      <c r="J8610" s="160"/>
      <c r="K8610" s="161">
        <f>K8609</f>
        <v>10</v>
      </c>
      <c r="L8610" s="250">
        <v>1</v>
      </c>
      <c r="M8610" s="163"/>
      <c r="N8610" s="164"/>
      <c r="O8610" s="165">
        <f>MROUND(G8610*N8610,0.00000001)</f>
        <v>0</v>
      </c>
      <c r="P8610" s="166"/>
      <c r="Q8610" s="166">
        <f t="shared" si="2500"/>
        <v>0</v>
      </c>
      <c r="R8610" s="71"/>
    </row>
    <row r="8611" spans="1:18" s="61" customFormat="1" x14ac:dyDescent="0.25">
      <c r="A8611" s="358"/>
      <c r="B8611" s="361"/>
      <c r="C8611" s="221" t="s">
        <v>379</v>
      </c>
      <c r="D8611" s="231" t="s">
        <v>49</v>
      </c>
      <c r="E8611" s="231" t="s">
        <v>101</v>
      </c>
      <c r="F8611" s="231" t="s">
        <v>101</v>
      </c>
      <c r="G8611" s="238">
        <f>MROUND(H8611*L8611*I8611/K8611,0.000000001)</f>
        <v>0</v>
      </c>
      <c r="H8611" s="160"/>
      <c r="I8611" s="159">
        <f t="shared" si="2496"/>
        <v>5.3339000000000001E-4</v>
      </c>
      <c r="J8611" s="160"/>
      <c r="K8611" s="161">
        <f>K8610</f>
        <v>10</v>
      </c>
      <c r="L8611" s="250"/>
      <c r="M8611" s="163"/>
      <c r="N8611" s="164"/>
      <c r="O8611" s="165">
        <f>MROUND(G8611*N8611,0.00000001)</f>
        <v>0</v>
      </c>
      <c r="P8611" s="166"/>
      <c r="Q8611" s="166">
        <f t="shared" si="2500"/>
        <v>0</v>
      </c>
      <c r="R8611" s="71"/>
    </row>
    <row r="8612" spans="1:18" s="62" customFormat="1" x14ac:dyDescent="0.25">
      <c r="A8612" s="358"/>
      <c r="B8612" s="361"/>
      <c r="C8612" s="218" t="s">
        <v>380</v>
      </c>
      <c r="D8612" s="232"/>
      <c r="E8612" s="232"/>
      <c r="F8612" s="232"/>
      <c r="G8612" s="227"/>
      <c r="H8612" s="228"/>
      <c r="I8612" s="206"/>
      <c r="J8612" s="228"/>
      <c r="K8612" s="207"/>
      <c r="L8612" s="257"/>
      <c r="M8612" s="209"/>
      <c r="N8612" s="210"/>
      <c r="O8612" s="198">
        <f>SUM(O8609:O8611)</f>
        <v>0</v>
      </c>
      <c r="P8612" s="267"/>
      <c r="Q8612" s="166"/>
      <c r="R8612" s="71"/>
    </row>
    <row r="8613" spans="1:18" s="61" customFormat="1" x14ac:dyDescent="0.25">
      <c r="A8613" s="358"/>
      <c r="B8613" s="361"/>
      <c r="C8613" s="221" t="s">
        <v>76</v>
      </c>
      <c r="D8613" s="231" t="s">
        <v>49</v>
      </c>
      <c r="E8613" s="231" t="s">
        <v>22</v>
      </c>
      <c r="F8613" s="231" t="s">
        <v>22</v>
      </c>
      <c r="G8613" s="238">
        <f>MROUND(H8613*L8613*I8613/K8613,0.000000000000001)</f>
        <v>1.3681986890000002</v>
      </c>
      <c r="H8613" s="160">
        <f>H7773</f>
        <v>25651</v>
      </c>
      <c r="I8613" s="159">
        <f>I8609</f>
        <v>5.3339000000000001E-4</v>
      </c>
      <c r="J8613" s="160"/>
      <c r="K8613" s="161">
        <f>K8611</f>
        <v>10</v>
      </c>
      <c r="L8613" s="250">
        <v>1</v>
      </c>
      <c r="M8613" s="163" t="str">
        <f>CONCATENATE(H8613," ",F8613,"*",I8613,"/",K8613,"чел.")</f>
        <v>25651 м2*0,00053339/10чел.</v>
      </c>
      <c r="N8613" s="164">
        <f>N7773</f>
        <v>2452.3410393356985</v>
      </c>
      <c r="O8613" s="165">
        <f>MROUND(G8613*N8613,0.00000000001)</f>
        <v>3355.2897949999997</v>
      </c>
      <c r="P8613" s="166"/>
      <c r="Q8613" s="166">
        <f t="shared" ref="Q8613:Q8615" si="2501">O8613*K8613</f>
        <v>33552.897949999999</v>
      </c>
      <c r="R8613" s="71"/>
    </row>
    <row r="8614" spans="1:18" s="61" customFormat="1" x14ac:dyDescent="0.25">
      <c r="A8614" s="358"/>
      <c r="B8614" s="361"/>
      <c r="C8614" s="221"/>
      <c r="D8614" s="231" t="s">
        <v>49</v>
      </c>
      <c r="E8614" s="231" t="s">
        <v>28</v>
      </c>
      <c r="F8614" s="231" t="s">
        <v>28</v>
      </c>
      <c r="G8614" s="238">
        <f>MROUND(H8614*L8614*I8614/K8614,0.00000000001)</f>
        <v>9.9583912999999996E-2</v>
      </c>
      <c r="H8614" s="160">
        <f>H7774</f>
        <v>1867</v>
      </c>
      <c r="I8614" s="159">
        <f t="shared" si="2496"/>
        <v>5.3339000000000001E-4</v>
      </c>
      <c r="J8614" s="160"/>
      <c r="K8614" s="161">
        <f>K8613</f>
        <v>10</v>
      </c>
      <c r="L8614" s="250">
        <v>1</v>
      </c>
      <c r="M8614" s="163" t="str">
        <f>CONCATENATE(H8614," ",F8614,"*",I8614,"/",K8614,"чел.")</f>
        <v>1867 шт*0,00053339/10чел.</v>
      </c>
      <c r="N8614" s="164">
        <f>N7774</f>
        <v>18299.732190680235</v>
      </c>
      <c r="O8614" s="165">
        <f>MROUND(G8614*N8614,0.00000000001)</f>
        <v>1822.3589383999999</v>
      </c>
      <c r="P8614" s="166"/>
      <c r="Q8614" s="166">
        <f t="shared" si="2501"/>
        <v>18223.589383999999</v>
      </c>
      <c r="R8614" s="71"/>
    </row>
    <row r="8615" spans="1:18" s="61" customFormat="1" x14ac:dyDescent="0.25">
      <c r="A8615" s="358"/>
      <c r="B8615" s="361"/>
      <c r="C8615" s="221"/>
      <c r="D8615" s="231" t="s">
        <v>49</v>
      </c>
      <c r="E8615" s="231" t="s">
        <v>101</v>
      </c>
      <c r="F8615" s="231" t="s">
        <v>101</v>
      </c>
      <c r="G8615" s="238">
        <f>MROUND(H8615*L8615*I8615/K8615,0.000000001)</f>
        <v>3.4136960000000001E-2</v>
      </c>
      <c r="H8615" s="160">
        <f>H7775</f>
        <v>640</v>
      </c>
      <c r="I8615" s="159">
        <f t="shared" si="2496"/>
        <v>5.3339000000000001E-4</v>
      </c>
      <c r="J8615" s="160"/>
      <c r="K8615" s="161">
        <f>K8614</f>
        <v>10</v>
      </c>
      <c r="L8615" s="250">
        <v>1</v>
      </c>
      <c r="M8615" s="163" t="str">
        <f>CONCATENATE(H8615," ",F8615,"*",I8615,"/",K8615,"чел.")</f>
        <v>640 погон.м.*0,00053339/10чел.</v>
      </c>
      <c r="N8615" s="164">
        <f>N7775</f>
        <v>4593.75</v>
      </c>
      <c r="O8615" s="165">
        <f>MROUND(G8615*N8615,0.00000001)</f>
        <v>156.81666000000001</v>
      </c>
      <c r="P8615" s="166"/>
      <c r="Q8615" s="166">
        <f t="shared" si="2501"/>
        <v>1568.1666</v>
      </c>
      <c r="R8615" s="71"/>
    </row>
    <row r="8616" spans="1:18" s="62" customFormat="1" x14ac:dyDescent="0.25">
      <c r="A8616" s="358"/>
      <c r="B8616" s="361"/>
      <c r="C8616" s="218" t="s">
        <v>291</v>
      </c>
      <c r="D8616" s="232"/>
      <c r="E8616" s="232"/>
      <c r="F8616" s="232"/>
      <c r="G8616" s="227"/>
      <c r="H8616" s="228"/>
      <c r="I8616" s="206"/>
      <c r="J8616" s="228"/>
      <c r="K8616" s="207"/>
      <c r="L8616" s="257"/>
      <c r="M8616" s="209"/>
      <c r="N8616" s="210"/>
      <c r="O8616" s="198">
        <f>SUM(O8613:O8615)</f>
        <v>5334.4653933999998</v>
      </c>
      <c r="P8616" s="267"/>
      <c r="Q8616" s="166"/>
      <c r="R8616" s="71"/>
    </row>
    <row r="8617" spans="1:18" s="61" customFormat="1" x14ac:dyDescent="0.25">
      <c r="A8617" s="358"/>
      <c r="B8617" s="361"/>
      <c r="C8617" s="221" t="s">
        <v>77</v>
      </c>
      <c r="D8617" s="231"/>
      <c r="E8617" s="231"/>
      <c r="F8617" s="231"/>
      <c r="G8617" s="238">
        <f>MROUND(H8617*L8617*I8617/K8617,0.00000000001)</f>
        <v>0</v>
      </c>
      <c r="H8617" s="160">
        <f>H8377</f>
        <v>0</v>
      </c>
      <c r="I8617" s="159">
        <f>I8615</f>
        <v>5.3339000000000001E-4</v>
      </c>
      <c r="J8617" s="160"/>
      <c r="K8617" s="161">
        <f>K8615</f>
        <v>10</v>
      </c>
      <c r="L8617" s="250"/>
      <c r="M8617" s="163"/>
      <c r="N8617" s="164">
        <f>N8377</f>
        <v>0</v>
      </c>
      <c r="O8617" s="165">
        <f>MROUND(G8617*N8617,0.000000001)</f>
        <v>0</v>
      </c>
      <c r="P8617" s="166"/>
      <c r="Q8617" s="166">
        <f t="shared" ref="Q8617" si="2502">O8617*K8617</f>
        <v>0</v>
      </c>
      <c r="R8617" s="71"/>
    </row>
    <row r="8618" spans="1:18" s="62" customFormat="1" x14ac:dyDescent="0.25">
      <c r="A8618" s="358"/>
      <c r="B8618" s="361"/>
      <c r="C8618" s="218" t="s">
        <v>292</v>
      </c>
      <c r="D8618" s="232"/>
      <c r="E8618" s="232"/>
      <c r="F8618" s="232"/>
      <c r="G8618" s="227"/>
      <c r="H8618" s="228"/>
      <c r="I8618" s="206"/>
      <c r="J8618" s="228"/>
      <c r="K8618" s="207"/>
      <c r="L8618" s="257"/>
      <c r="M8618" s="209"/>
      <c r="N8618" s="210"/>
      <c r="O8618" s="198">
        <f>O8617</f>
        <v>0</v>
      </c>
      <c r="P8618" s="267"/>
      <c r="Q8618" s="166"/>
      <c r="R8618" s="71"/>
    </row>
    <row r="8619" spans="1:18" s="61" customFormat="1" x14ac:dyDescent="0.25">
      <c r="A8619" s="358"/>
      <c r="B8619" s="361"/>
      <c r="C8619" s="221"/>
      <c r="D8619" s="350" t="s">
        <v>65</v>
      </c>
      <c r="E8619" s="350"/>
      <c r="F8619" s="350"/>
      <c r="G8619" s="350"/>
      <c r="H8619" s="195"/>
      <c r="I8619" s="159"/>
      <c r="J8619" s="195"/>
      <c r="K8619" s="161"/>
      <c r="L8619" s="196"/>
      <c r="M8619" s="230"/>
      <c r="N8619" s="164"/>
      <c r="O8619" s="165">
        <f t="shared" ref="O8619:O8620" si="2503">MROUND(G8619*N8619,0.000001)</f>
        <v>0</v>
      </c>
      <c r="P8619" s="166"/>
      <c r="Q8619" s="166"/>
      <c r="R8619" s="71"/>
    </row>
    <row r="8620" spans="1:18" s="61" customFormat="1" x14ac:dyDescent="0.25">
      <c r="A8620" s="358"/>
      <c r="B8620" s="361"/>
      <c r="C8620" s="221"/>
      <c r="D8620" s="194"/>
      <c r="E8620" s="194"/>
      <c r="F8620" s="194"/>
      <c r="G8620" s="217"/>
      <c r="H8620" s="195"/>
      <c r="I8620" s="159"/>
      <c r="J8620" s="195"/>
      <c r="K8620" s="161"/>
      <c r="L8620" s="196"/>
      <c r="M8620" s="230"/>
      <c r="N8620" s="164"/>
      <c r="O8620" s="165">
        <f t="shared" si="2503"/>
        <v>0</v>
      </c>
      <c r="P8620" s="166"/>
      <c r="Q8620" s="166"/>
      <c r="R8620" s="71"/>
    </row>
    <row r="8621" spans="1:18" s="61" customFormat="1" x14ac:dyDescent="0.25">
      <c r="A8621" s="358"/>
      <c r="B8621" s="361"/>
      <c r="C8621" s="221" t="s">
        <v>357</v>
      </c>
      <c r="D8621" s="368" t="s">
        <v>66</v>
      </c>
      <c r="E8621" s="368"/>
      <c r="F8621" s="368"/>
      <c r="G8621" s="368"/>
      <c r="H8621" s="195"/>
      <c r="I8621" s="159"/>
      <c r="J8621" s="195"/>
      <c r="K8621" s="161"/>
      <c r="L8621" s="234"/>
      <c r="M8621" s="230"/>
      <c r="N8621" s="164"/>
      <c r="O8621" s="198">
        <f>O8622</f>
        <v>31.308930999999998</v>
      </c>
      <c r="P8621" s="166"/>
      <c r="Q8621" s="166"/>
      <c r="R8621" s="71"/>
    </row>
    <row r="8622" spans="1:18" s="61" customFormat="1" ht="47.25" x14ac:dyDescent="0.25">
      <c r="A8622" s="358"/>
      <c r="B8622" s="361"/>
      <c r="C8622" s="221"/>
      <c r="D8622" s="222" t="s">
        <v>374</v>
      </c>
      <c r="E8622" s="194" t="s">
        <v>28</v>
      </c>
      <c r="F8622" s="194" t="s">
        <v>28</v>
      </c>
      <c r="G8622" s="217">
        <f>MROUND(H8622*L8622*I8622/K8622,0.000000001)</f>
        <v>7.6808160000000009E-3</v>
      </c>
      <c r="H8622" s="201">
        <f>H8022</f>
        <v>36</v>
      </c>
      <c r="I8622" s="159">
        <f>I8617</f>
        <v>5.3339000000000001E-4</v>
      </c>
      <c r="J8622" s="195"/>
      <c r="K8622" s="161">
        <f>K8617</f>
        <v>10</v>
      </c>
      <c r="L8622" s="235">
        <f>L8022</f>
        <v>4</v>
      </c>
      <c r="M8622" s="163" t="str">
        <f>CONCATENATE(H8622," ",F8622,"*",I8622,"/",K8622,"чел.")</f>
        <v>36 шт*0,00053339/10чел.</v>
      </c>
      <c r="N8622" s="164">
        <f>N8022</f>
        <v>4076.2506250000024</v>
      </c>
      <c r="O8622" s="165">
        <f>MROUND(G8622*N8622,0.000001)</f>
        <v>31.308930999999998</v>
      </c>
      <c r="P8622" s="166"/>
      <c r="Q8622" s="166">
        <f t="shared" ref="Q8622" si="2504">O8622*K8622</f>
        <v>313.08930999999995</v>
      </c>
      <c r="R8622" s="71"/>
    </row>
    <row r="8623" spans="1:18" s="61" customFormat="1" x14ac:dyDescent="0.25">
      <c r="A8623" s="358"/>
      <c r="B8623" s="361"/>
      <c r="C8623" s="221"/>
      <c r="D8623" s="368" t="s">
        <v>67</v>
      </c>
      <c r="E8623" s="368"/>
      <c r="F8623" s="368"/>
      <c r="G8623" s="368"/>
      <c r="H8623" s="195"/>
      <c r="I8623" s="159"/>
      <c r="J8623" s="195"/>
      <c r="K8623" s="161"/>
      <c r="L8623" s="196"/>
      <c r="M8623" s="230"/>
      <c r="N8623" s="164"/>
      <c r="O8623" s="165">
        <f t="shared" ref="O8623:O8626" si="2505">MROUND(G8623*N8623,0.000001)</f>
        <v>0</v>
      </c>
      <c r="P8623" s="166"/>
      <c r="Q8623" s="166"/>
      <c r="R8623" s="71"/>
    </row>
    <row r="8624" spans="1:18" s="61" customFormat="1" x14ac:dyDescent="0.25">
      <c r="A8624" s="358"/>
      <c r="B8624" s="361"/>
      <c r="C8624" s="221"/>
      <c r="D8624" s="194"/>
      <c r="E8624" s="194"/>
      <c r="F8624" s="194"/>
      <c r="G8624" s="217"/>
      <c r="H8624" s="195"/>
      <c r="I8624" s="159"/>
      <c r="J8624" s="195"/>
      <c r="K8624" s="161"/>
      <c r="L8624" s="196"/>
      <c r="M8624" s="230"/>
      <c r="N8624" s="164"/>
      <c r="O8624" s="165">
        <f t="shared" si="2505"/>
        <v>0</v>
      </c>
      <c r="P8624" s="166"/>
      <c r="Q8624" s="166"/>
      <c r="R8624" s="71"/>
    </row>
    <row r="8625" spans="1:41" s="61" customFormat="1" x14ac:dyDescent="0.25">
      <c r="A8625" s="358"/>
      <c r="B8625" s="361"/>
      <c r="C8625" s="221"/>
      <c r="D8625" s="350" t="s">
        <v>68</v>
      </c>
      <c r="E8625" s="350"/>
      <c r="F8625" s="350"/>
      <c r="G8625" s="350"/>
      <c r="H8625" s="195"/>
      <c r="I8625" s="159"/>
      <c r="J8625" s="195"/>
      <c r="K8625" s="161"/>
      <c r="L8625" s="196"/>
      <c r="M8625" s="230"/>
      <c r="N8625" s="164"/>
      <c r="O8625" s="165">
        <f t="shared" si="2505"/>
        <v>0</v>
      </c>
      <c r="P8625" s="166"/>
      <c r="Q8625" s="166"/>
      <c r="R8625" s="71"/>
    </row>
    <row r="8626" spans="1:41" s="61" customFormat="1" x14ac:dyDescent="0.25">
      <c r="A8626" s="358"/>
      <c r="B8626" s="361"/>
      <c r="C8626" s="221"/>
      <c r="D8626" s="156"/>
      <c r="E8626" s="156"/>
      <c r="F8626" s="156"/>
      <c r="G8626" s="236"/>
      <c r="H8626" s="195"/>
      <c r="I8626" s="159"/>
      <c r="J8626" s="195"/>
      <c r="K8626" s="161"/>
      <c r="L8626" s="196"/>
      <c r="M8626" s="230"/>
      <c r="N8626" s="164"/>
      <c r="O8626" s="165">
        <f t="shared" si="2505"/>
        <v>0</v>
      </c>
      <c r="P8626" s="166"/>
      <c r="Q8626" s="166"/>
      <c r="R8626" s="71"/>
    </row>
    <row r="8627" spans="1:41" s="61" customFormat="1" x14ac:dyDescent="0.25">
      <c r="A8627" s="358"/>
      <c r="B8627" s="361"/>
      <c r="C8627" s="221"/>
      <c r="D8627" s="368" t="s">
        <v>69</v>
      </c>
      <c r="E8627" s="368"/>
      <c r="F8627" s="368"/>
      <c r="G8627" s="368"/>
      <c r="H8627" s="187"/>
      <c r="I8627" s="159"/>
      <c r="J8627" s="187"/>
      <c r="K8627" s="161"/>
      <c r="L8627" s="276"/>
      <c r="M8627" s="230"/>
      <c r="N8627" s="164"/>
      <c r="O8627" s="198">
        <f>O8629+O8636+O8653+O8655+O8670+O8672+O8674+O8699+O8701+O8706+O8703</f>
        <v>1205.2404506599999</v>
      </c>
      <c r="P8627" s="166"/>
      <c r="Q8627" s="166"/>
      <c r="R8627" s="71"/>
    </row>
    <row r="8628" spans="1:41" s="61" customFormat="1" x14ac:dyDescent="0.25">
      <c r="A8628" s="358"/>
      <c r="B8628" s="361"/>
      <c r="C8628" s="221">
        <v>224</v>
      </c>
      <c r="D8628" s="156" t="s">
        <v>21</v>
      </c>
      <c r="E8628" s="156" t="s">
        <v>22</v>
      </c>
      <c r="F8628" s="156" t="s">
        <v>22</v>
      </c>
      <c r="G8628" s="238">
        <f>MROUND(H8628*L8628*I8628/K8628,0.000001)</f>
        <v>0</v>
      </c>
      <c r="H8628" s="158"/>
      <c r="I8628" s="159">
        <f>I8622</f>
        <v>5.3339000000000001E-4</v>
      </c>
      <c r="J8628" s="160"/>
      <c r="K8628" s="161">
        <f>K8622</f>
        <v>10</v>
      </c>
      <c r="L8628" s="250"/>
      <c r="M8628" s="163"/>
      <c r="N8628" s="164"/>
      <c r="O8628" s="165">
        <f>MROUND(G8628*N8628,0.000001)</f>
        <v>0</v>
      </c>
      <c r="P8628" s="166"/>
      <c r="Q8628" s="166">
        <f t="shared" ref="Q8628" si="2506">O8628*K8628</f>
        <v>0</v>
      </c>
      <c r="R8628" s="71"/>
    </row>
    <row r="8629" spans="1:41" s="62" customFormat="1" x14ac:dyDescent="0.25">
      <c r="A8629" s="358"/>
      <c r="B8629" s="361"/>
      <c r="C8629" s="218" t="s">
        <v>293</v>
      </c>
      <c r="D8629" s="240"/>
      <c r="E8629" s="240"/>
      <c r="F8629" s="240"/>
      <c r="G8629" s="227"/>
      <c r="H8629" s="241"/>
      <c r="I8629" s="206"/>
      <c r="J8629" s="228"/>
      <c r="K8629" s="207"/>
      <c r="L8629" s="257"/>
      <c r="M8629" s="209"/>
      <c r="N8629" s="210"/>
      <c r="O8629" s="198">
        <f>SUM(O8628)</f>
        <v>0</v>
      </c>
      <c r="P8629" s="267"/>
      <c r="Q8629" s="166"/>
      <c r="R8629" s="71"/>
    </row>
    <row r="8630" spans="1:41" s="61" customFormat="1" ht="31.5" x14ac:dyDescent="0.25">
      <c r="A8630" s="358"/>
      <c r="B8630" s="361"/>
      <c r="C8630" s="364" t="s">
        <v>78</v>
      </c>
      <c r="D8630" s="156" t="s">
        <v>26</v>
      </c>
      <c r="E8630" s="156" t="s">
        <v>22</v>
      </c>
      <c r="F8630" s="156" t="s">
        <v>22</v>
      </c>
      <c r="G8630" s="238">
        <f>MROUND(H8630*L8630*I8630/K8630,0.000001)</f>
        <v>16.539356999999999</v>
      </c>
      <c r="H8630" s="158">
        <f>H6830</f>
        <v>25840</v>
      </c>
      <c r="I8630" s="159">
        <f>I8628</f>
        <v>5.3339000000000001E-4</v>
      </c>
      <c r="J8630" s="160"/>
      <c r="K8630" s="161">
        <f>K8628</f>
        <v>10</v>
      </c>
      <c r="L8630" s="250">
        <v>12</v>
      </c>
      <c r="M8630" s="163" t="str">
        <f>CONCATENATE(H8630," ",F8630,"(обрабатываемая площадь в мес.)","*",L8630,"мес.","*",I8630,"/",K8630,"чел.")</f>
        <v>25840 м2(обрабатываемая площадь в мес.)*12мес.*0,00053339/10чел.</v>
      </c>
      <c r="N8630" s="164">
        <f>N6830</f>
        <v>1.2568903508771934</v>
      </c>
      <c r="O8630" s="165">
        <f t="shared" ref="O8630:O8635" si="2507">MROUND(G8630*N8630,0.000001)</f>
        <v>20.788157999999999</v>
      </c>
      <c r="P8630" s="166"/>
      <c r="Q8630" s="166">
        <f t="shared" ref="Q8630:Q8635" si="2508">O8630*K8630</f>
        <v>207.88157999999999</v>
      </c>
      <c r="R8630" s="71"/>
    </row>
    <row r="8631" spans="1:41" s="61" customFormat="1" ht="31.5" x14ac:dyDescent="0.25">
      <c r="A8631" s="358"/>
      <c r="B8631" s="361"/>
      <c r="C8631" s="364"/>
      <c r="D8631" s="156" t="s">
        <v>96</v>
      </c>
      <c r="E8631" s="156" t="s">
        <v>22</v>
      </c>
      <c r="F8631" s="156" t="s">
        <v>22</v>
      </c>
      <c r="G8631" s="238">
        <f>MROUND(H8631*L8631*I8631/K8631,0.000001)</f>
        <v>8.5609099999999998</v>
      </c>
      <c r="H8631" s="158">
        <f>H6831</f>
        <v>13375</v>
      </c>
      <c r="I8631" s="159">
        <f t="shared" si="2496"/>
        <v>5.3339000000000001E-4</v>
      </c>
      <c r="J8631" s="160"/>
      <c r="K8631" s="161">
        <f>K8630</f>
        <v>10</v>
      </c>
      <c r="L8631" s="250">
        <v>12</v>
      </c>
      <c r="M8631" s="163" t="str">
        <f>CONCATENATE(H8631," ",F8631,"(обрабатываемая площадь в мес.)","*",L8631,"мес.","*",I8631,"/",K8631,"чел.")</f>
        <v>13375 м2(обрабатываемая площадь в мес.)*12мес.*0,00053339/10чел.</v>
      </c>
      <c r="N8631" s="164">
        <f>N6831</f>
        <v>2.0157672274143299</v>
      </c>
      <c r="O8631" s="165">
        <f t="shared" si="2507"/>
        <v>17.256802</v>
      </c>
      <c r="P8631" s="166"/>
      <c r="Q8631" s="166">
        <f t="shared" si="2508"/>
        <v>172.56801999999999</v>
      </c>
      <c r="R8631" s="71"/>
    </row>
    <row r="8632" spans="1:41" s="135" customFormat="1" ht="31.5" x14ac:dyDescent="0.25">
      <c r="A8632" s="358"/>
      <c r="B8632" s="361"/>
      <c r="C8632" s="364"/>
      <c r="D8632" s="156" t="s">
        <v>385</v>
      </c>
      <c r="E8632" s="156" t="s">
        <v>22</v>
      </c>
      <c r="F8632" s="156" t="s">
        <v>22</v>
      </c>
      <c r="G8632" s="238">
        <f>MROUND(H8632*L8632*I8632/K8632,0.000001)</f>
        <v>17.121818999999999</v>
      </c>
      <c r="H8632" s="242">
        <f>$H$55</f>
        <v>13375</v>
      </c>
      <c r="I8632" s="159">
        <f t="shared" si="2496"/>
        <v>5.3339000000000001E-4</v>
      </c>
      <c r="J8632" s="160"/>
      <c r="K8632" s="161">
        <f>K8631</f>
        <v>10</v>
      </c>
      <c r="L8632" s="162">
        <v>24</v>
      </c>
      <c r="M8632" s="163" t="str">
        <f>CONCATENATE(H8632," ",F8632,"(обрабатываемая площадь в год)","*",L8632," раза в год.","*",I8632,"/",K8632,"чел.")</f>
        <v>13375 м2(обрабатываемая площадь в год)*24 раза в год.*0,00053339/10чел.</v>
      </c>
      <c r="N8632" s="164">
        <f>$N$6832</f>
        <v>2.4900656074766365</v>
      </c>
      <c r="O8632" s="165">
        <f t="shared" si="2507"/>
        <v>42.634453000000001</v>
      </c>
      <c r="P8632" s="166"/>
      <c r="Q8632" s="166">
        <f t="shared" si="2508"/>
        <v>426.34453000000002</v>
      </c>
      <c r="R8632" s="71"/>
      <c r="S8632" s="61"/>
      <c r="T8632" s="61"/>
      <c r="U8632" s="61"/>
      <c r="V8632" s="61"/>
      <c r="W8632" s="61"/>
      <c r="X8632" s="61"/>
      <c r="Y8632" s="61"/>
      <c r="Z8632" s="61"/>
      <c r="AA8632" s="61"/>
      <c r="AB8632" s="61"/>
      <c r="AC8632" s="61"/>
      <c r="AD8632" s="61"/>
      <c r="AE8632" s="61"/>
      <c r="AF8632" s="61"/>
      <c r="AG8632" s="61"/>
      <c r="AH8632" s="61"/>
      <c r="AI8632" s="61"/>
      <c r="AJ8632" s="61"/>
      <c r="AK8632" s="61"/>
      <c r="AL8632" s="61"/>
      <c r="AM8632" s="61"/>
      <c r="AN8632" s="61"/>
      <c r="AO8632" s="61"/>
    </row>
    <row r="8633" spans="1:41" s="135" customFormat="1" ht="31.5" x14ac:dyDescent="0.25">
      <c r="A8633" s="358"/>
      <c r="B8633" s="361"/>
      <c r="C8633" s="364"/>
      <c r="D8633" s="156" t="s">
        <v>394</v>
      </c>
      <c r="E8633" s="156" t="s">
        <v>22</v>
      </c>
      <c r="F8633" s="156" t="s">
        <v>22</v>
      </c>
      <c r="G8633" s="238">
        <f>MROUND(H8633*L8633*I8633/K8633,0.000001)</f>
        <v>16.539356999999999</v>
      </c>
      <c r="H8633" s="243">
        <f>$H$56</f>
        <v>25840</v>
      </c>
      <c r="I8633" s="159">
        <f t="shared" si="2496"/>
        <v>5.3339000000000001E-4</v>
      </c>
      <c r="J8633" s="160"/>
      <c r="K8633" s="161">
        <f>K8632</f>
        <v>10</v>
      </c>
      <c r="L8633" s="162">
        <v>12</v>
      </c>
      <c r="M8633" s="163" t="str">
        <f>CONCATENATE(H8633," ",F8633,"(обрабатываемая площадь в мес.)","*",L8633,"мес.","*",I8633,"/",K8633,"чел.")</f>
        <v>25840 м2(обрабатываемая площадь в мес.)*12мес.*0,00053339/10чел.</v>
      </c>
      <c r="N8633" s="164">
        <f>$N$6833</f>
        <v>0.59287277476780176</v>
      </c>
      <c r="O8633" s="165">
        <f t="shared" si="2507"/>
        <v>9.8057339999999993</v>
      </c>
      <c r="P8633" s="166"/>
      <c r="Q8633" s="166">
        <f t="shared" si="2508"/>
        <v>98.057339999999996</v>
      </c>
      <c r="R8633" s="71"/>
      <c r="S8633" s="61"/>
      <c r="T8633" s="61"/>
      <c r="U8633" s="61"/>
      <c r="V8633" s="61"/>
      <c r="W8633" s="61"/>
      <c r="X8633" s="61"/>
      <c r="Y8633" s="61"/>
      <c r="Z8633" s="61"/>
      <c r="AA8633" s="61"/>
      <c r="AB8633" s="61"/>
      <c r="AC8633" s="61"/>
      <c r="AD8633" s="61"/>
      <c r="AE8633" s="61"/>
      <c r="AF8633" s="61"/>
      <c r="AG8633" s="61"/>
      <c r="AH8633" s="61"/>
      <c r="AI8633" s="61"/>
      <c r="AJ8633" s="61"/>
      <c r="AK8633" s="61"/>
      <c r="AL8633" s="61"/>
      <c r="AM8633" s="61"/>
      <c r="AN8633" s="61"/>
      <c r="AO8633" s="61"/>
    </row>
    <row r="8634" spans="1:41" s="135" customFormat="1" ht="31.5" x14ac:dyDescent="0.25">
      <c r="A8634" s="358"/>
      <c r="B8634" s="361"/>
      <c r="C8634" s="364"/>
      <c r="D8634" s="156" t="s">
        <v>395</v>
      </c>
      <c r="E8634" s="156" t="s">
        <v>98</v>
      </c>
      <c r="F8634" s="156" t="s">
        <v>98</v>
      </c>
      <c r="G8634" s="238">
        <f>MROUND(H8634*L8634*I8634/K8634,0.000001)</f>
        <v>1.01E-3</v>
      </c>
      <c r="H8634" s="242">
        <f>$H$57</f>
        <v>18.939999999999998</v>
      </c>
      <c r="I8634" s="159">
        <f t="shared" si="2496"/>
        <v>5.3339000000000001E-4</v>
      </c>
      <c r="J8634" s="160"/>
      <c r="K8634" s="161">
        <f>K8633</f>
        <v>10</v>
      </c>
      <c r="L8634" s="162">
        <v>1</v>
      </c>
      <c r="M8634" s="163" t="str">
        <f>CONCATENATE(H8634," ",F8634,"(обрабатываемая площадь в год)","*",L8634," раз в год","*",I8634,"/",K8634,"чел.")</f>
        <v>18,94 Га(обрабатываемая площадь в год)*1 раз в год*0,00053339/10чел.</v>
      </c>
      <c r="N8634" s="164">
        <f>$N$6834</f>
        <v>592.87803590285125</v>
      </c>
      <c r="O8634" s="165">
        <f t="shared" si="2507"/>
        <v>0.59880699999999998</v>
      </c>
      <c r="P8634" s="166"/>
      <c r="Q8634" s="166">
        <f t="shared" si="2508"/>
        <v>5.9880699999999996</v>
      </c>
      <c r="R8634" s="71"/>
      <c r="S8634" s="61"/>
      <c r="T8634" s="61"/>
      <c r="U8634" s="61"/>
      <c r="V8634" s="61"/>
      <c r="W8634" s="61"/>
      <c r="X8634" s="61"/>
      <c r="Y8634" s="61"/>
      <c r="Z8634" s="61"/>
      <c r="AA8634" s="61"/>
      <c r="AB8634" s="61"/>
      <c r="AC8634" s="61"/>
      <c r="AD8634" s="61"/>
      <c r="AE8634" s="61"/>
      <c r="AF8634" s="61"/>
      <c r="AG8634" s="61"/>
      <c r="AH8634" s="61"/>
      <c r="AI8634" s="61"/>
      <c r="AJ8634" s="61"/>
      <c r="AK8634" s="61"/>
      <c r="AL8634" s="61"/>
      <c r="AM8634" s="61"/>
      <c r="AN8634" s="61"/>
      <c r="AO8634" s="61"/>
    </row>
    <row r="8635" spans="1:41" s="61" customFormat="1" ht="31.5" x14ac:dyDescent="0.25">
      <c r="A8635" s="358"/>
      <c r="B8635" s="361"/>
      <c r="C8635" s="364"/>
      <c r="D8635" s="156" t="s">
        <v>97</v>
      </c>
      <c r="E8635" s="156" t="s">
        <v>98</v>
      </c>
      <c r="F8635" s="156" t="s">
        <v>98</v>
      </c>
      <c r="G8635" s="238">
        <f>MROUND(H8635*L8635*I8635/K8635,0.000000001)</f>
        <v>1.010241E-3</v>
      </c>
      <c r="H8635" s="242">
        <f>H7555</f>
        <v>18.939999999999998</v>
      </c>
      <c r="I8635" s="244">
        <f>I8631</f>
        <v>5.3339000000000001E-4</v>
      </c>
      <c r="J8635" s="160"/>
      <c r="K8635" s="161">
        <f>K8631</f>
        <v>10</v>
      </c>
      <c r="L8635" s="250">
        <v>1</v>
      </c>
      <c r="M8635" s="163" t="str">
        <f>CONCATENATE(H8635," ",F8635,"(обрабатываемая площадь в мес.)","*",L8635,"мес.","*",I8635,"/",K8635,"чел.")</f>
        <v>18,94 Га(обрабатываемая площадь в мес.)*1мес.*0,00053339/10чел.</v>
      </c>
      <c r="N8635" s="164">
        <f>N7555</f>
        <v>3226.5021119324188</v>
      </c>
      <c r="O8635" s="165">
        <f t="shared" si="2507"/>
        <v>3.2595449999999997</v>
      </c>
      <c r="P8635" s="166"/>
      <c r="Q8635" s="166">
        <f t="shared" si="2508"/>
        <v>32.59545</v>
      </c>
      <c r="R8635" s="71"/>
    </row>
    <row r="8636" spans="1:41" s="62" customFormat="1" x14ac:dyDescent="0.25">
      <c r="A8636" s="358"/>
      <c r="B8636" s="361"/>
      <c r="C8636" s="245" t="s">
        <v>294</v>
      </c>
      <c r="D8636" s="240"/>
      <c r="E8636" s="240"/>
      <c r="F8636" s="240"/>
      <c r="G8636" s="227"/>
      <c r="H8636" s="241"/>
      <c r="I8636" s="206"/>
      <c r="J8636" s="228"/>
      <c r="K8636" s="207"/>
      <c r="L8636" s="257"/>
      <c r="M8636" s="209"/>
      <c r="N8636" s="210"/>
      <c r="O8636" s="198">
        <f>SUM(O8630:O8635)</f>
        <v>94.343499000000008</v>
      </c>
      <c r="P8636" s="267"/>
      <c r="Q8636" s="166"/>
      <c r="R8636" s="71"/>
    </row>
    <row r="8637" spans="1:41" s="61" customFormat="1" ht="63" x14ac:dyDescent="0.25">
      <c r="A8637" s="358"/>
      <c r="B8637" s="361"/>
      <c r="C8637" s="365" t="s">
        <v>77</v>
      </c>
      <c r="D8637" s="156" t="s">
        <v>29</v>
      </c>
      <c r="E8637" s="156" t="s">
        <v>58</v>
      </c>
      <c r="F8637" s="156" t="s">
        <v>218</v>
      </c>
      <c r="G8637" s="238">
        <f>MROUND(H8637*L8637*I8637/K8637,0.00000001)</f>
        <v>3.2003399999999999E-3</v>
      </c>
      <c r="H8637" s="158">
        <v>15</v>
      </c>
      <c r="I8637" s="159">
        <f>I8635</f>
        <v>5.3339000000000001E-4</v>
      </c>
      <c r="J8637" s="160"/>
      <c r="K8637" s="161">
        <f>K8635</f>
        <v>10</v>
      </c>
      <c r="L8637" s="162">
        <v>4</v>
      </c>
      <c r="M8637" s="163" t="str">
        <f>CONCATENATE(H8637," ",F8637,"*",L8637," раза в год","*",I8637,"/",K8637,"чел.")</f>
        <v>15 установок*4 раза в год*0,00053339/10чел.</v>
      </c>
      <c r="N8637" s="164">
        <f>N6837</f>
        <v>2355.4600000000005</v>
      </c>
      <c r="O8637" s="165">
        <f t="shared" ref="O8637:O8645" si="2509">MROUND(G8637*N8637,0.000001)</f>
        <v>7.5382729999999993</v>
      </c>
      <c r="P8637" s="166"/>
      <c r="Q8637" s="166">
        <f t="shared" ref="Q8637:Q8652" si="2510">O8637*K8637</f>
        <v>75.382729999999995</v>
      </c>
      <c r="R8637" s="71"/>
    </row>
    <row r="8638" spans="1:41" s="61" customFormat="1" ht="47.25" x14ac:dyDescent="0.25">
      <c r="A8638" s="358"/>
      <c r="B8638" s="361"/>
      <c r="C8638" s="366"/>
      <c r="D8638" s="156" t="s">
        <v>30</v>
      </c>
      <c r="E8638" s="156" t="s">
        <v>58</v>
      </c>
      <c r="F8638" s="156" t="s">
        <v>218</v>
      </c>
      <c r="G8638" s="238">
        <f>MROUND(H8638*L8638*I8638/K8638,0.00000001)</f>
        <v>1.6001699999999999E-3</v>
      </c>
      <c r="H8638" s="158">
        <v>15</v>
      </c>
      <c r="I8638" s="159">
        <f t="shared" si="2496"/>
        <v>5.3339000000000001E-4</v>
      </c>
      <c r="J8638" s="160"/>
      <c r="K8638" s="161">
        <f t="shared" ref="K8638:K8646" si="2511">K8637</f>
        <v>10</v>
      </c>
      <c r="L8638" s="250">
        <v>2</v>
      </c>
      <c r="M8638" s="163" t="str">
        <f>CONCATENATE(H8638," ",F8638,"*",L8638,"полуг.","*",I8638,"/",K8638,"чел.")</f>
        <v>15 установок*2полуг.*0,00053339/10чел.</v>
      </c>
      <c r="N8638" s="164">
        <f>N7918</f>
        <v>4710.920000000001</v>
      </c>
      <c r="O8638" s="165">
        <f t="shared" si="2509"/>
        <v>7.5382729999999993</v>
      </c>
      <c r="P8638" s="166"/>
      <c r="Q8638" s="166">
        <f t="shared" si="2510"/>
        <v>75.382729999999995</v>
      </c>
      <c r="R8638" s="71"/>
    </row>
    <row r="8639" spans="1:41" s="61" customFormat="1" x14ac:dyDescent="0.25">
      <c r="A8639" s="358"/>
      <c r="B8639" s="361"/>
      <c r="C8639" s="366"/>
      <c r="D8639" s="156" t="s">
        <v>397</v>
      </c>
      <c r="E8639" s="156" t="s">
        <v>433</v>
      </c>
      <c r="F8639" s="156" t="s">
        <v>433</v>
      </c>
      <c r="G8639" s="238">
        <f>MROUND(H8639*L8639*I8639/K8639,0.000001)</f>
        <v>0</v>
      </c>
      <c r="H8639" s="158">
        <f>H7559</f>
        <v>0</v>
      </c>
      <c r="I8639" s="159">
        <f t="shared" si="2496"/>
        <v>5.3339000000000001E-4</v>
      </c>
      <c r="J8639" s="160"/>
      <c r="K8639" s="161">
        <f t="shared" si="2511"/>
        <v>10</v>
      </c>
      <c r="L8639" s="162">
        <v>1</v>
      </c>
      <c r="M8639" s="163"/>
      <c r="N8639" s="164">
        <f>N7559</f>
        <v>0</v>
      </c>
      <c r="O8639" s="165">
        <f t="shared" si="2509"/>
        <v>0</v>
      </c>
      <c r="P8639" s="166"/>
      <c r="Q8639" s="166">
        <f t="shared" si="2510"/>
        <v>0</v>
      </c>
      <c r="R8639" s="71"/>
    </row>
    <row r="8640" spans="1:41" s="61" customFormat="1" ht="47.25" x14ac:dyDescent="0.25">
      <c r="A8640" s="358"/>
      <c r="B8640" s="361"/>
      <c r="C8640" s="366"/>
      <c r="D8640" s="156" t="s">
        <v>32</v>
      </c>
      <c r="E8640" s="156" t="s">
        <v>55</v>
      </c>
      <c r="F8640" s="156" t="s">
        <v>219</v>
      </c>
      <c r="G8640" s="238">
        <f>MROUND(H8640*L8640*I8640/K8640,0.000000001)</f>
        <v>7.6808160000000009E-3</v>
      </c>
      <c r="H8640" s="158">
        <f>H7920</f>
        <v>36</v>
      </c>
      <c r="I8640" s="159">
        <f>I8639</f>
        <v>5.3339000000000001E-4</v>
      </c>
      <c r="J8640" s="160"/>
      <c r="K8640" s="161">
        <f t="shared" si="2511"/>
        <v>10</v>
      </c>
      <c r="L8640" s="250">
        <v>4</v>
      </c>
      <c r="M8640" s="163" t="str">
        <f>CONCATENATE(H8640," ",F8640,"*",L8640,"кв.","*",I8640,"/",K8640,"чел.")</f>
        <v>36 системы*4кв.*0,00053339/10чел.</v>
      </c>
      <c r="N8640" s="164">
        <f>N7920</f>
        <v>7532.7785416666693</v>
      </c>
      <c r="O8640" s="165">
        <f t="shared" si="2509"/>
        <v>57.857886000000001</v>
      </c>
      <c r="P8640" s="166"/>
      <c r="Q8640" s="166">
        <f t="shared" si="2510"/>
        <v>578.57885999999996</v>
      </c>
      <c r="R8640" s="71"/>
    </row>
    <row r="8641" spans="1:18" s="61" customFormat="1" ht="63" x14ac:dyDescent="0.25">
      <c r="A8641" s="358"/>
      <c r="B8641" s="361"/>
      <c r="C8641" s="366"/>
      <c r="D8641" s="156" t="s">
        <v>33</v>
      </c>
      <c r="E8641" s="156" t="s">
        <v>56</v>
      </c>
      <c r="F8641" s="156" t="s">
        <v>220</v>
      </c>
      <c r="G8641" s="238">
        <f>MROUND(H8641*L8641*I8641/K8641,0.000000001)</f>
        <v>1.9202040000000002E-3</v>
      </c>
      <c r="H8641" s="158">
        <f>$H$64</f>
        <v>36</v>
      </c>
      <c r="I8641" s="159">
        <f>I8640</f>
        <v>5.3339000000000001E-4</v>
      </c>
      <c r="J8641" s="160"/>
      <c r="K8641" s="161">
        <f t="shared" si="2511"/>
        <v>10</v>
      </c>
      <c r="L8641" s="162">
        <v>1</v>
      </c>
      <c r="M8641" s="163" t="str">
        <f>CONCATENATE(H8641," ",F8641,"*",L8641," раз в год","*",I8641,"/",K8641,"чел.")</f>
        <v>36 дымоходов*1 раз в год*0,00053339/10чел.</v>
      </c>
      <c r="N8641" s="164">
        <f>N6841</f>
        <v>7312.0941666666668</v>
      </c>
      <c r="O8641" s="165">
        <f t="shared" si="2509"/>
        <v>14.040711999999999</v>
      </c>
      <c r="P8641" s="166"/>
      <c r="Q8641" s="166">
        <f t="shared" si="2510"/>
        <v>140.40711999999999</v>
      </c>
      <c r="R8641" s="71"/>
    </row>
    <row r="8642" spans="1:18" s="61" customFormat="1" x14ac:dyDescent="0.25">
      <c r="A8642" s="358"/>
      <c r="B8642" s="361"/>
      <c r="C8642" s="366"/>
      <c r="D8642" s="194" t="s">
        <v>398</v>
      </c>
      <c r="E8642" s="156" t="s">
        <v>60</v>
      </c>
      <c r="F8642" s="156" t="s">
        <v>60</v>
      </c>
      <c r="G8642" s="238">
        <f>MROUND(H8642*L8642*I8642/K8642,0.000000001)</f>
        <v>1.8668650000000001E-3</v>
      </c>
      <c r="H8642" s="246">
        <f>H6842</f>
        <v>35</v>
      </c>
      <c r="I8642" s="159">
        <f t="shared" si="2496"/>
        <v>5.3339000000000001E-4</v>
      </c>
      <c r="J8642" s="160"/>
      <c r="K8642" s="161">
        <f t="shared" si="2511"/>
        <v>10</v>
      </c>
      <c r="L8642" s="250">
        <v>1</v>
      </c>
      <c r="M8642" s="163" t="str">
        <f>CONCATENATE(H8642," ",F8642,"*",I8642,"/",K8642,"чел.")</f>
        <v>35 шт.*0,00053339/10чел.</v>
      </c>
      <c r="N8642" s="164">
        <f>N6842</f>
        <v>12660.374571428585</v>
      </c>
      <c r="O8642" s="165">
        <f t="shared" si="2509"/>
        <v>23.635209999999997</v>
      </c>
      <c r="P8642" s="166"/>
      <c r="Q8642" s="166">
        <f t="shared" si="2510"/>
        <v>236.35209999999998</v>
      </c>
      <c r="R8642" s="71"/>
    </row>
    <row r="8643" spans="1:18" s="61" customFormat="1" ht="47.25" x14ac:dyDescent="0.25">
      <c r="A8643" s="358"/>
      <c r="B8643" s="361"/>
      <c r="C8643" s="366"/>
      <c r="D8643" s="156" t="s">
        <v>401</v>
      </c>
      <c r="E8643" s="156" t="s">
        <v>60</v>
      </c>
      <c r="F8643" s="156" t="s">
        <v>402</v>
      </c>
      <c r="G8643" s="238">
        <f>MROUND(H8643*L8643*I8643/K8643,0.000001)</f>
        <v>3.7339999999999999E-3</v>
      </c>
      <c r="H8643" s="246">
        <f>H6843</f>
        <v>35</v>
      </c>
      <c r="I8643" s="159">
        <f t="shared" si="2496"/>
        <v>5.3339000000000001E-4</v>
      </c>
      <c r="J8643" s="160"/>
      <c r="K8643" s="161">
        <f t="shared" si="2511"/>
        <v>10</v>
      </c>
      <c r="L8643" s="162">
        <v>2</v>
      </c>
      <c r="M8643" s="163" t="str">
        <f>CONCATENATE(H8643," ",F8643,"*",L8643," раз в год","*",I8643,"/",K8643,"чел.")</f>
        <v>35 противопожарных водопроводов*2 раз в год*0,00053339/10чел.</v>
      </c>
      <c r="N8643" s="164">
        <f>N6843</f>
        <v>5928.7300000000032</v>
      </c>
      <c r="O8643" s="165">
        <f t="shared" si="2509"/>
        <v>22.137878000000001</v>
      </c>
      <c r="P8643" s="166"/>
      <c r="Q8643" s="166">
        <f t="shared" si="2510"/>
        <v>221.37878000000001</v>
      </c>
      <c r="R8643" s="71"/>
    </row>
    <row r="8644" spans="1:18" s="61" customFormat="1" ht="31.5" x14ac:dyDescent="0.25">
      <c r="A8644" s="358"/>
      <c r="B8644" s="361"/>
      <c r="C8644" s="366"/>
      <c r="D8644" s="156" t="s">
        <v>221</v>
      </c>
      <c r="E8644" s="156" t="s">
        <v>60</v>
      </c>
      <c r="F8644" s="156" t="s">
        <v>60</v>
      </c>
      <c r="G8644" s="238">
        <f>MROUND(H8644*L8644*I8644/K8644,0.0000000001)</f>
        <v>1.1521224E-2</v>
      </c>
      <c r="H8644" s="158">
        <f>H6844</f>
        <v>18</v>
      </c>
      <c r="I8644" s="159">
        <f t="shared" si="2496"/>
        <v>5.3339000000000001E-4</v>
      </c>
      <c r="J8644" s="160"/>
      <c r="K8644" s="161">
        <f t="shared" si="2511"/>
        <v>10</v>
      </c>
      <c r="L8644" s="250">
        <v>12</v>
      </c>
      <c r="M8644" s="163" t="str">
        <f>CONCATENATE(H8644," ",F8644,"*",L8644,"мес.","*",I8644,"/",K8644,"чел.")</f>
        <v>18 шт.*12мес.*0,00053339/10чел.</v>
      </c>
      <c r="N8644" s="164">
        <f>N7564</f>
        <v>6840.4345833333346</v>
      </c>
      <c r="O8644" s="165">
        <f t="shared" si="2509"/>
        <v>78.810178999999991</v>
      </c>
      <c r="P8644" s="166"/>
      <c r="Q8644" s="166">
        <f t="shared" si="2510"/>
        <v>788.10178999999994</v>
      </c>
      <c r="R8644" s="71"/>
    </row>
    <row r="8645" spans="1:18" s="61" customFormat="1" ht="47.25" x14ac:dyDescent="0.25">
      <c r="A8645" s="358"/>
      <c r="B8645" s="361"/>
      <c r="C8645" s="366"/>
      <c r="D8645" s="156" t="s">
        <v>34</v>
      </c>
      <c r="E8645" s="156" t="s">
        <v>59</v>
      </c>
      <c r="F8645" s="156" t="s">
        <v>28</v>
      </c>
      <c r="G8645" s="238">
        <f>MROUND(H8645*L8645*I8645/K8645,0.0000000001)</f>
        <v>1.06678E-4</v>
      </c>
      <c r="H8645" s="158">
        <f>H7205</f>
        <v>2</v>
      </c>
      <c r="I8645" s="159">
        <f t="shared" si="2496"/>
        <v>5.3339000000000001E-4</v>
      </c>
      <c r="J8645" s="160"/>
      <c r="K8645" s="161">
        <f t="shared" si="2511"/>
        <v>10</v>
      </c>
      <c r="L8645" s="250">
        <v>1</v>
      </c>
      <c r="M8645" s="163" t="str">
        <f>CONCATENATE(H8645," ",F8645,"*",I8645,"/",K8645,"чел.")</f>
        <v>2 шт*0,00053339/10чел.</v>
      </c>
      <c r="N8645" s="164">
        <f>N6845</f>
        <v>8158.8</v>
      </c>
      <c r="O8645" s="165">
        <f t="shared" si="2509"/>
        <v>0.87036399999999992</v>
      </c>
      <c r="P8645" s="166"/>
      <c r="Q8645" s="166">
        <f t="shared" si="2510"/>
        <v>8.70364</v>
      </c>
      <c r="R8645" s="71"/>
    </row>
    <row r="8646" spans="1:18" s="61" customFormat="1" ht="47.25" x14ac:dyDescent="0.25">
      <c r="A8646" s="358"/>
      <c r="B8646" s="361"/>
      <c r="C8646" s="366"/>
      <c r="D8646" s="156" t="s">
        <v>222</v>
      </c>
      <c r="E8646" s="156" t="s">
        <v>60</v>
      </c>
      <c r="F8646" s="156" t="s">
        <v>60</v>
      </c>
      <c r="G8646" s="238">
        <f>MROUND(H8646*L8646*I8646/K8646,0.00000000001)</f>
        <v>2.6669500000000001E-4</v>
      </c>
      <c r="H8646" s="248">
        <f>H7926</f>
        <v>5</v>
      </c>
      <c r="I8646" s="159">
        <f t="shared" si="2496"/>
        <v>5.3339000000000001E-4</v>
      </c>
      <c r="J8646" s="160"/>
      <c r="K8646" s="161">
        <f t="shared" si="2511"/>
        <v>10</v>
      </c>
      <c r="L8646" s="250">
        <v>1</v>
      </c>
      <c r="M8646" s="163" t="str">
        <f>CONCATENATE(H8646," ",F8646,"*",I8646,"/",K8646,"чел.")</f>
        <v>5 шт.*0,00053339/10чел.</v>
      </c>
      <c r="N8646" s="164">
        <f>N6846</f>
        <v>45611.39</v>
      </c>
      <c r="O8646" s="165">
        <f>MROUND(G8646*N8646,0.00000001)</f>
        <v>12.16432966</v>
      </c>
      <c r="P8646" s="166"/>
      <c r="Q8646" s="166">
        <f t="shared" si="2510"/>
        <v>121.6432966</v>
      </c>
      <c r="R8646" s="71"/>
    </row>
    <row r="8647" spans="1:18" s="61" customFormat="1" ht="31.5" x14ac:dyDescent="0.25">
      <c r="A8647" s="358"/>
      <c r="B8647" s="361"/>
      <c r="C8647" s="366"/>
      <c r="D8647" s="156" t="s">
        <v>35</v>
      </c>
      <c r="E8647" s="156" t="s">
        <v>102</v>
      </c>
      <c r="F8647" s="156" t="s">
        <v>223</v>
      </c>
      <c r="G8647" s="238">
        <f>MROUND(H8647*L8647*I8647/K8647,0.00000001)</f>
        <v>1.8668700000000001E-3</v>
      </c>
      <c r="H8647" s="158">
        <f>H6847</f>
        <v>35</v>
      </c>
      <c r="I8647" s="159">
        <f>I8645</f>
        <v>5.3339000000000001E-4</v>
      </c>
      <c r="J8647" s="160"/>
      <c r="K8647" s="161">
        <f>K8645</f>
        <v>10</v>
      </c>
      <c r="L8647" s="250">
        <v>1</v>
      </c>
      <c r="M8647" s="163" t="str">
        <f>CONCATENATE(H8647," ",F8647,"*",I8647,"/",K8647,"чел.")</f>
        <v>35 замеров*0,00053339/10чел.</v>
      </c>
      <c r="N8647" s="164">
        <f>N6847</f>
        <v>26000</v>
      </c>
      <c r="O8647" s="165">
        <f t="shared" ref="O8647:O8652" si="2512">MROUND(G8647*N8647,0.000001)</f>
        <v>48.538619999999995</v>
      </c>
      <c r="P8647" s="166"/>
      <c r="Q8647" s="166">
        <f t="shared" si="2510"/>
        <v>485.38619999999992</v>
      </c>
      <c r="R8647" s="71"/>
    </row>
    <row r="8648" spans="1:18" s="61" customFormat="1" ht="47.25" x14ac:dyDescent="0.25">
      <c r="A8648" s="358"/>
      <c r="B8648" s="361"/>
      <c r="C8648" s="366"/>
      <c r="D8648" s="156" t="s">
        <v>399</v>
      </c>
      <c r="E8648" s="156" t="s">
        <v>60</v>
      </c>
      <c r="F8648" s="156" t="s">
        <v>60</v>
      </c>
      <c r="G8648" s="238">
        <f>MROUND(H8648*L8648*I8648/K8648,0.000000001)</f>
        <v>1.8668650000000002E-2</v>
      </c>
      <c r="H8648" s="158">
        <f>H8048</f>
        <v>35</v>
      </c>
      <c r="I8648" s="159">
        <f t="shared" si="2496"/>
        <v>5.3339000000000001E-4</v>
      </c>
      <c r="J8648" s="160"/>
      <c r="K8648" s="161">
        <f>K8647</f>
        <v>10</v>
      </c>
      <c r="L8648" s="250">
        <v>10</v>
      </c>
      <c r="M8648" s="163" t="str">
        <f>CONCATENATE(H8648," ",F8648,"*",L8648,"мес.","*",I8648,"/",K8648,"чел.")</f>
        <v>35 шт.*10мес.*0,00053339/10чел.</v>
      </c>
      <c r="N8648" s="164">
        <f>N8048</f>
        <v>3380.9014857142843</v>
      </c>
      <c r="O8648" s="165">
        <f t="shared" si="2512"/>
        <v>63.116866999999999</v>
      </c>
      <c r="P8648" s="166"/>
      <c r="Q8648" s="166">
        <f t="shared" si="2510"/>
        <v>631.16867000000002</v>
      </c>
      <c r="R8648" s="71"/>
    </row>
    <row r="8649" spans="1:18" s="61" customFormat="1" ht="47.25" x14ac:dyDescent="0.25">
      <c r="A8649" s="358"/>
      <c r="B8649" s="361"/>
      <c r="C8649" s="366"/>
      <c r="D8649" s="156" t="s">
        <v>36</v>
      </c>
      <c r="E8649" s="156" t="s">
        <v>31</v>
      </c>
      <c r="F8649" s="156" t="s">
        <v>224</v>
      </c>
      <c r="G8649" s="238">
        <f>MROUND(H8649*L8649*I8649/K8649,0.00000001)</f>
        <v>2.3042449999999999E-2</v>
      </c>
      <c r="H8649" s="158">
        <f>H7929</f>
        <v>36</v>
      </c>
      <c r="I8649" s="159">
        <f t="shared" si="2496"/>
        <v>5.3339000000000001E-4</v>
      </c>
      <c r="J8649" s="160"/>
      <c r="K8649" s="161">
        <f>K8648</f>
        <v>10</v>
      </c>
      <c r="L8649" s="250">
        <v>12</v>
      </c>
      <c r="M8649" s="163" t="str">
        <f>CONCATENATE(H8649," ",F8649,"*",L8649,"мес.","*",I8649,"/",K8649,"чел.")</f>
        <v>36 устройств*12мес.*0,00053339/10чел.</v>
      </c>
      <c r="N8649" s="164">
        <f>N6849</f>
        <v>1269.5381481481488</v>
      </c>
      <c r="O8649" s="165">
        <f t="shared" si="2512"/>
        <v>29.253269</v>
      </c>
      <c r="P8649" s="166"/>
      <c r="Q8649" s="166">
        <f t="shared" si="2510"/>
        <v>292.53269</v>
      </c>
      <c r="R8649" s="71"/>
    </row>
    <row r="8650" spans="1:18" s="61" customFormat="1" ht="31.5" x14ac:dyDescent="0.25">
      <c r="A8650" s="358"/>
      <c r="B8650" s="361"/>
      <c r="C8650" s="366"/>
      <c r="D8650" s="156" t="s">
        <v>99</v>
      </c>
      <c r="E8650" s="156" t="s">
        <v>103</v>
      </c>
      <c r="F8650" s="156" t="s">
        <v>225</v>
      </c>
      <c r="G8650" s="238">
        <f>MROUND(H8650*L8650*I8650/K8650,0.00000001)</f>
        <v>1.0721140000000001E-2</v>
      </c>
      <c r="H8650" s="158">
        <f>H6850</f>
        <v>201</v>
      </c>
      <c r="I8650" s="159">
        <f t="shared" si="2496"/>
        <v>5.3339000000000001E-4</v>
      </c>
      <c r="J8650" s="160"/>
      <c r="K8650" s="161">
        <f>K8649</f>
        <v>10</v>
      </c>
      <c r="L8650" s="250">
        <v>1</v>
      </c>
      <c r="M8650" s="163" t="str">
        <f>CONCATENATE(H8650," ",F8650,"*",I8650,"/",K8650,"чел.")</f>
        <v>201 ед.*0,00053339/10чел.</v>
      </c>
      <c r="N8650" s="164">
        <f>N6850</f>
        <v>15000</v>
      </c>
      <c r="O8650" s="165">
        <f t="shared" si="2512"/>
        <v>160.81709999999998</v>
      </c>
      <c r="P8650" s="166"/>
      <c r="Q8650" s="166">
        <f t="shared" si="2510"/>
        <v>1608.1709999999998</v>
      </c>
      <c r="R8650" s="71"/>
    </row>
    <row r="8651" spans="1:18" s="61" customFormat="1" x14ac:dyDescent="0.25">
      <c r="A8651" s="358"/>
      <c r="B8651" s="361"/>
      <c r="C8651" s="366"/>
      <c r="D8651" s="156" t="s">
        <v>27</v>
      </c>
      <c r="E8651" s="156" t="s">
        <v>28</v>
      </c>
      <c r="F8651" s="156" t="s">
        <v>28</v>
      </c>
      <c r="G8651" s="238">
        <f>MROUND(H8651*L8651*I8651/K8651,0.000000001)</f>
        <v>0.22349041</v>
      </c>
      <c r="H8651" s="160">
        <f>H6851</f>
        <v>4190</v>
      </c>
      <c r="I8651" s="159">
        <f t="shared" si="2496"/>
        <v>5.3339000000000001E-4</v>
      </c>
      <c r="J8651" s="160"/>
      <c r="K8651" s="161">
        <f>K8650</f>
        <v>10</v>
      </c>
      <c r="L8651" s="250">
        <v>1</v>
      </c>
      <c r="M8651" s="163" t="str">
        <f>CONCATENATE(H8651," ",F8651,"*",I8651,"/",K8651,"чел.")</f>
        <v>4190 шт*0,00053339/10чел.</v>
      </c>
      <c r="N8651" s="164">
        <f>N6851</f>
        <v>435.13600000000008</v>
      </c>
      <c r="O8651" s="165">
        <f t="shared" si="2512"/>
        <v>97.248722999999998</v>
      </c>
      <c r="P8651" s="166"/>
      <c r="Q8651" s="166">
        <f t="shared" si="2510"/>
        <v>972.48722999999995</v>
      </c>
      <c r="R8651" s="71"/>
    </row>
    <row r="8652" spans="1:18" s="61" customFormat="1" ht="31.5" x14ac:dyDescent="0.25">
      <c r="A8652" s="358"/>
      <c r="B8652" s="361"/>
      <c r="C8652" s="367"/>
      <c r="D8652" s="156" t="s">
        <v>104</v>
      </c>
      <c r="E8652" s="156" t="s">
        <v>105</v>
      </c>
      <c r="F8652" s="156" t="s">
        <v>226</v>
      </c>
      <c r="G8652" s="238">
        <f>MROUND(H8652*L8652*I8652/K8652,0.00000001)</f>
        <v>1.9201999999999999E-3</v>
      </c>
      <c r="H8652" s="160">
        <f>H7572</f>
        <v>36</v>
      </c>
      <c r="I8652" s="159">
        <f t="shared" si="2496"/>
        <v>5.3339000000000001E-4</v>
      </c>
      <c r="J8652" s="160"/>
      <c r="K8652" s="161">
        <f>K8651</f>
        <v>10</v>
      </c>
      <c r="L8652" s="250">
        <v>1</v>
      </c>
      <c r="M8652" s="163" t="str">
        <f>CONCATENATE(H8652," ",F8652,"*",I8652,"/",K8652,"чел.")</f>
        <v>36 отключений*0,00053339/10чел.</v>
      </c>
      <c r="N8652" s="164">
        <f>N6852</f>
        <v>10671.710000000006</v>
      </c>
      <c r="O8652" s="165">
        <f t="shared" si="2512"/>
        <v>20.491817999999999</v>
      </c>
      <c r="P8652" s="166"/>
      <c r="Q8652" s="166">
        <f t="shared" si="2510"/>
        <v>204.91817999999998</v>
      </c>
      <c r="R8652" s="71"/>
    </row>
    <row r="8653" spans="1:18" s="62" customFormat="1" x14ac:dyDescent="0.25">
      <c r="A8653" s="358"/>
      <c r="B8653" s="361"/>
      <c r="C8653" s="249" t="s">
        <v>292</v>
      </c>
      <c r="D8653" s="240"/>
      <c r="E8653" s="240"/>
      <c r="F8653" s="240"/>
      <c r="G8653" s="227"/>
      <c r="H8653" s="228"/>
      <c r="I8653" s="206"/>
      <c r="J8653" s="228"/>
      <c r="K8653" s="207"/>
      <c r="L8653" s="257"/>
      <c r="M8653" s="209"/>
      <c r="N8653" s="210"/>
      <c r="O8653" s="198">
        <f>SUM(O8637:O8652)</f>
        <v>644.05950165999991</v>
      </c>
      <c r="P8653" s="267"/>
      <c r="Q8653" s="166"/>
      <c r="R8653" s="71"/>
    </row>
    <row r="8654" spans="1:18" s="61" customFormat="1" ht="31.5" x14ac:dyDescent="0.25">
      <c r="A8654" s="358"/>
      <c r="B8654" s="361"/>
      <c r="C8654" s="221" t="s">
        <v>79</v>
      </c>
      <c r="D8654" s="156" t="s">
        <v>37</v>
      </c>
      <c r="E8654" s="156" t="s">
        <v>61</v>
      </c>
      <c r="F8654" s="156" t="s">
        <v>227</v>
      </c>
      <c r="G8654" s="238">
        <f>MROUND(H8654*L8654*I8654/K8654,0.000000001)</f>
        <v>2.1335600000000002E-4</v>
      </c>
      <c r="H8654" s="158">
        <f>H6854</f>
        <v>4</v>
      </c>
      <c r="I8654" s="159">
        <f>I8652</f>
        <v>5.3339000000000001E-4</v>
      </c>
      <c r="J8654" s="160"/>
      <c r="K8654" s="161">
        <f>K8652</f>
        <v>10</v>
      </c>
      <c r="L8654" s="250">
        <v>1</v>
      </c>
      <c r="M8654" s="163" t="str">
        <f>CONCATENATE(H8654," ",F8654,"*",I8654,"/",K8654,"чел.")</f>
        <v>4 автобуса*0,00053339/10чел.</v>
      </c>
      <c r="N8654" s="164">
        <f>N6854</f>
        <v>37900.35</v>
      </c>
      <c r="O8654" s="165">
        <f>MROUND(G8654*N8654,0.000001)</f>
        <v>8.0862669999999994</v>
      </c>
      <c r="P8654" s="166"/>
      <c r="Q8654" s="166">
        <f t="shared" ref="Q8654" si="2513">O8654*K8654</f>
        <v>80.862669999999994</v>
      </c>
      <c r="R8654" s="71"/>
    </row>
    <row r="8655" spans="1:18" s="62" customFormat="1" x14ac:dyDescent="0.25">
      <c r="A8655" s="358"/>
      <c r="B8655" s="361"/>
      <c r="C8655" s="218" t="s">
        <v>295</v>
      </c>
      <c r="D8655" s="240"/>
      <c r="E8655" s="240"/>
      <c r="F8655" s="240"/>
      <c r="G8655" s="227"/>
      <c r="H8655" s="241"/>
      <c r="I8655" s="206"/>
      <c r="J8655" s="228"/>
      <c r="K8655" s="207"/>
      <c r="L8655" s="257"/>
      <c r="M8655" s="209"/>
      <c r="N8655" s="210"/>
      <c r="O8655" s="198">
        <f>SUM(O8654)</f>
        <v>8.0862669999999994</v>
      </c>
      <c r="P8655" s="267"/>
      <c r="Q8655" s="166"/>
      <c r="R8655" s="71"/>
    </row>
    <row r="8656" spans="1:18" s="61" customFormat="1" x14ac:dyDescent="0.25">
      <c r="A8656" s="358"/>
      <c r="B8656" s="361"/>
      <c r="C8656" s="364" t="s">
        <v>80</v>
      </c>
      <c r="D8656" s="156" t="s">
        <v>38</v>
      </c>
      <c r="E8656" s="156" t="s">
        <v>57</v>
      </c>
      <c r="F8656" s="156" t="s">
        <v>228</v>
      </c>
      <c r="G8656" s="238">
        <f>MROUND(H8656*L8656*I8656/K8656,0.000000001)</f>
        <v>2.3042448E-2</v>
      </c>
      <c r="H8656" s="158">
        <f>H6856</f>
        <v>36</v>
      </c>
      <c r="I8656" s="159">
        <f>I8654</f>
        <v>5.3339000000000001E-4</v>
      </c>
      <c r="J8656" s="160"/>
      <c r="K8656" s="161">
        <f>K8654</f>
        <v>10</v>
      </c>
      <c r="L8656" s="250">
        <v>12</v>
      </c>
      <c r="M8656" s="163" t="str">
        <f>CONCATENATE(H8656," ",F8656,"*",L8656,"мес.","*",I8656,"/",K8656,"чел.")</f>
        <v>36 зданий*12мес.*0,00053339/10чел.</v>
      </c>
      <c r="N8656" s="164">
        <f t="shared" ref="N8656:N8664" si="2514">N6856</f>
        <v>5106.1928935185206</v>
      </c>
      <c r="O8656" s="165">
        <f>MROUND(G8656*N8656,0.000001)</f>
        <v>117.659184</v>
      </c>
      <c r="P8656" s="166"/>
      <c r="Q8656" s="166">
        <f t="shared" ref="Q8656:Q8669" si="2515">O8656*K8656</f>
        <v>1176.59184</v>
      </c>
      <c r="R8656" s="71"/>
    </row>
    <row r="8657" spans="1:18" s="61" customFormat="1" ht="47.25" x14ac:dyDescent="0.25">
      <c r="A8657" s="358"/>
      <c r="B8657" s="361"/>
      <c r="C8657" s="364"/>
      <c r="D8657" s="156" t="s">
        <v>229</v>
      </c>
      <c r="E8657" s="156" t="s">
        <v>60</v>
      </c>
      <c r="F8657" s="156" t="s">
        <v>60</v>
      </c>
      <c r="G8657" s="238">
        <f>MROUND(H8657*L8657*I8657/K8657,0.000001)</f>
        <v>0.127694</v>
      </c>
      <c r="H8657" s="158">
        <f>H7217</f>
        <v>2394</v>
      </c>
      <c r="I8657" s="159">
        <f>I8656</f>
        <v>5.3339000000000001E-4</v>
      </c>
      <c r="J8657" s="160"/>
      <c r="K8657" s="161">
        <f>K8656</f>
        <v>10</v>
      </c>
      <c r="L8657" s="250">
        <v>1</v>
      </c>
      <c r="M8657" s="163" t="str">
        <f t="shared" ref="M8657:M8664" si="2516">CONCATENATE(H8657," ",F8657,"*",I8657,"/",K8657,"чел.")</f>
        <v>2394 шт.*0,00053339/10чел.</v>
      </c>
      <c r="N8657" s="164">
        <f t="shared" si="2514"/>
        <v>177.86185045948207</v>
      </c>
      <c r="O8657" s="165">
        <f>MROUND(G8657*N8657,0.000001)</f>
        <v>22.711890999999998</v>
      </c>
      <c r="P8657" s="166"/>
      <c r="Q8657" s="166">
        <f t="shared" si="2515"/>
        <v>227.11890999999997</v>
      </c>
      <c r="R8657" s="71"/>
    </row>
    <row r="8658" spans="1:18" s="61" customFormat="1" ht="47.25" x14ac:dyDescent="0.25">
      <c r="A8658" s="358"/>
      <c r="B8658" s="361"/>
      <c r="C8658" s="364"/>
      <c r="D8658" s="156" t="s">
        <v>405</v>
      </c>
      <c r="E8658" s="156" t="s">
        <v>60</v>
      </c>
      <c r="F8658" s="156" t="s">
        <v>406</v>
      </c>
      <c r="G8658" s="238">
        <f>MROUND(H8658*L8658*I8658/K8658,0.00000001)</f>
        <v>1.9201999999999999E-3</v>
      </c>
      <c r="H8658" s="158">
        <f>H6978</f>
        <v>36</v>
      </c>
      <c r="I8658" s="159">
        <f>I8657</f>
        <v>5.3339000000000001E-4</v>
      </c>
      <c r="J8658" s="160"/>
      <c r="K8658" s="161">
        <f>K8657</f>
        <v>10</v>
      </c>
      <c r="L8658" s="250">
        <v>1</v>
      </c>
      <c r="M8658" s="163" t="str">
        <f t="shared" si="2516"/>
        <v>36 лицензий*0,00053339/10чел.</v>
      </c>
      <c r="N8658" s="164">
        <f t="shared" si="2514"/>
        <v>13043.200000000006</v>
      </c>
      <c r="O8658" s="165">
        <f t="shared" ref="O8658:O8667" si="2517">MROUND(G8658*N8658,0.000001)</f>
        <v>25.045552999999998</v>
      </c>
      <c r="P8658" s="166"/>
      <c r="Q8658" s="166">
        <f t="shared" si="2515"/>
        <v>250.45552999999998</v>
      </c>
      <c r="R8658" s="71"/>
    </row>
    <row r="8659" spans="1:18" s="61" customFormat="1" ht="63" x14ac:dyDescent="0.25">
      <c r="A8659" s="358"/>
      <c r="B8659" s="361"/>
      <c r="C8659" s="364"/>
      <c r="D8659" s="156" t="s">
        <v>39</v>
      </c>
      <c r="E8659" s="156" t="s">
        <v>20</v>
      </c>
      <c r="F8659" s="156" t="s">
        <v>234</v>
      </c>
      <c r="G8659" s="238">
        <f>MROUND(H8659*L8659*I8659/K8659,0.000000001)</f>
        <v>6.2940020000000008E-3</v>
      </c>
      <c r="H8659" s="158">
        <f>H8179</f>
        <v>118</v>
      </c>
      <c r="I8659" s="159">
        <f>I8657</f>
        <v>5.3339000000000001E-4</v>
      </c>
      <c r="J8659" s="160"/>
      <c r="K8659" s="161">
        <f>K8657</f>
        <v>10</v>
      </c>
      <c r="L8659" s="250">
        <v>1</v>
      </c>
      <c r="M8659" s="163" t="str">
        <f t="shared" si="2516"/>
        <v>118 чел(заявленная потребность руководителями учреждений)*0,00053339/10чел.</v>
      </c>
      <c r="N8659" s="164">
        <f t="shared" si="2514"/>
        <v>830.02203389830515</v>
      </c>
      <c r="O8659" s="165">
        <f t="shared" si="2517"/>
        <v>5.2241599999999995</v>
      </c>
      <c r="P8659" s="166"/>
      <c r="Q8659" s="166">
        <f t="shared" si="2515"/>
        <v>52.241599999999991</v>
      </c>
      <c r="R8659" s="71"/>
    </row>
    <row r="8660" spans="1:18" s="61" customFormat="1" ht="63" x14ac:dyDescent="0.25">
      <c r="A8660" s="358"/>
      <c r="B8660" s="361"/>
      <c r="C8660" s="364"/>
      <c r="D8660" s="156" t="s">
        <v>40</v>
      </c>
      <c r="E8660" s="156" t="s">
        <v>20</v>
      </c>
      <c r="F8660" s="156" t="s">
        <v>234</v>
      </c>
      <c r="G8660" s="238">
        <f>MROUND(H8660*L8660*I8660/K8660,0.000000001)</f>
        <v>5.1205440000000003E-3</v>
      </c>
      <c r="H8660" s="158">
        <f>H8180</f>
        <v>96</v>
      </c>
      <c r="I8660" s="159">
        <f t="shared" ref="I8660:I8667" si="2518">I8659</f>
        <v>5.3339000000000001E-4</v>
      </c>
      <c r="J8660" s="160"/>
      <c r="K8660" s="161">
        <f t="shared" ref="K8660:K8667" si="2519">K8659</f>
        <v>10</v>
      </c>
      <c r="L8660" s="250">
        <v>1</v>
      </c>
      <c r="M8660" s="163" t="str">
        <f t="shared" si="2516"/>
        <v>96 чел(заявленная потребность руководителями учреждений)*0,00053339/10чел.</v>
      </c>
      <c r="N8660" s="164">
        <f t="shared" si="2514"/>
        <v>1778.6189583333326</v>
      </c>
      <c r="O8660" s="165">
        <f t="shared" si="2517"/>
        <v>9.1074970000000004</v>
      </c>
      <c r="P8660" s="166"/>
      <c r="Q8660" s="166">
        <f t="shared" si="2515"/>
        <v>91.074970000000008</v>
      </c>
      <c r="R8660" s="71"/>
    </row>
    <row r="8661" spans="1:18" s="61" customFormat="1" ht="63" x14ac:dyDescent="0.25">
      <c r="A8661" s="358"/>
      <c r="B8661" s="361"/>
      <c r="C8661" s="364"/>
      <c r="D8661" s="156" t="s">
        <v>100</v>
      </c>
      <c r="E8661" s="156" t="s">
        <v>20</v>
      </c>
      <c r="F8661" s="156" t="s">
        <v>234</v>
      </c>
      <c r="G8661" s="238">
        <f>MROUND(H8661*L8661*I8661/K8661,0.0000000001)</f>
        <v>4.3204590000000005E-3</v>
      </c>
      <c r="H8661" s="158">
        <f>H8181</f>
        <v>81</v>
      </c>
      <c r="I8661" s="159">
        <f t="shared" si="2518"/>
        <v>5.3339000000000001E-4</v>
      </c>
      <c r="J8661" s="160"/>
      <c r="K8661" s="161">
        <f t="shared" si="2519"/>
        <v>10</v>
      </c>
      <c r="L8661" s="250">
        <v>1</v>
      </c>
      <c r="M8661" s="163" t="str">
        <f t="shared" si="2516"/>
        <v>81 чел(заявленная потребность руководителями учреждений)*0,00053339/10чел.</v>
      </c>
      <c r="N8661" s="164">
        <f t="shared" si="2514"/>
        <v>3794.386419753087</v>
      </c>
      <c r="O8661" s="165">
        <f t="shared" si="2517"/>
        <v>16.393491000000001</v>
      </c>
      <c r="P8661" s="166"/>
      <c r="Q8661" s="166">
        <f t="shared" si="2515"/>
        <v>163.93491</v>
      </c>
      <c r="R8661" s="71"/>
    </row>
    <row r="8662" spans="1:18" s="61" customFormat="1" ht="110.25" x14ac:dyDescent="0.25">
      <c r="A8662" s="358"/>
      <c r="B8662" s="361"/>
      <c r="C8662" s="364"/>
      <c r="D8662" s="156" t="s">
        <v>235</v>
      </c>
      <c r="E8662" s="156" t="s">
        <v>50</v>
      </c>
      <c r="F8662" s="156" t="s">
        <v>230</v>
      </c>
      <c r="G8662" s="238">
        <f>MROUND(H8662*L8662*I8662/K8662,0.00000001)</f>
        <v>1.9201999999999999E-3</v>
      </c>
      <c r="H8662" s="158">
        <f>H8422</f>
        <v>36</v>
      </c>
      <c r="I8662" s="159">
        <f t="shared" si="2518"/>
        <v>5.3339000000000001E-4</v>
      </c>
      <c r="J8662" s="160"/>
      <c r="K8662" s="161">
        <f t="shared" si="2519"/>
        <v>10</v>
      </c>
      <c r="L8662" s="250">
        <v>1</v>
      </c>
      <c r="M8662" s="163" t="str">
        <f t="shared" si="2516"/>
        <v>36 отчетов*0,00053339/10чел.</v>
      </c>
      <c r="N8662" s="164">
        <f t="shared" si="2514"/>
        <v>7114.47</v>
      </c>
      <c r="O8662" s="165">
        <f t="shared" si="2517"/>
        <v>13.661204999999999</v>
      </c>
      <c r="P8662" s="166"/>
      <c r="Q8662" s="166">
        <f t="shared" si="2515"/>
        <v>136.61204999999998</v>
      </c>
      <c r="R8662" s="71"/>
    </row>
    <row r="8663" spans="1:18" s="61" customFormat="1" ht="63" x14ac:dyDescent="0.25">
      <c r="A8663" s="358"/>
      <c r="B8663" s="361"/>
      <c r="C8663" s="364"/>
      <c r="D8663" s="156" t="s">
        <v>42</v>
      </c>
      <c r="E8663" s="156" t="s">
        <v>51</v>
      </c>
      <c r="F8663" s="156" t="s">
        <v>407</v>
      </c>
      <c r="G8663" s="238">
        <f>MROUND(H8663*L8663*I8663/K8663,0.000001)</f>
        <v>1.0881E-2</v>
      </c>
      <c r="H8663" s="158">
        <f>H8183</f>
        <v>204</v>
      </c>
      <c r="I8663" s="159">
        <f t="shared" si="2518"/>
        <v>5.3339000000000001E-4</v>
      </c>
      <c r="J8663" s="160"/>
      <c r="K8663" s="161">
        <f t="shared" si="2519"/>
        <v>10</v>
      </c>
      <c r="L8663" s="250">
        <v>1</v>
      </c>
      <c r="M8663" s="163" t="str">
        <f t="shared" si="2516"/>
        <v>204 ед (заявленная потребность руководителями учреждений)*0,00053339/10чел.</v>
      </c>
      <c r="N8663" s="164">
        <f t="shared" si="2514"/>
        <v>1185.7454901960789</v>
      </c>
      <c r="O8663" s="165">
        <f t="shared" si="2517"/>
        <v>12.902096999999999</v>
      </c>
      <c r="P8663" s="166"/>
      <c r="Q8663" s="166">
        <f t="shared" si="2515"/>
        <v>129.02097000000001</v>
      </c>
      <c r="R8663" s="71"/>
    </row>
    <row r="8664" spans="1:18" s="61" customFormat="1" ht="31.5" x14ac:dyDescent="0.25">
      <c r="A8664" s="358"/>
      <c r="B8664" s="361"/>
      <c r="C8664" s="364"/>
      <c r="D8664" s="156" t="s">
        <v>43</v>
      </c>
      <c r="E8664" s="156" t="s">
        <v>52</v>
      </c>
      <c r="F8664" s="156" t="s">
        <v>231</v>
      </c>
      <c r="G8664" s="238">
        <f>MROUND(H8664*L8664*I8664/K8664,0.000000001)</f>
        <v>1.9202040000000002E-3</v>
      </c>
      <c r="H8664" s="158">
        <f>H7584</f>
        <v>36</v>
      </c>
      <c r="I8664" s="159">
        <f t="shared" si="2518"/>
        <v>5.3339000000000001E-4</v>
      </c>
      <c r="J8664" s="160"/>
      <c r="K8664" s="161">
        <f t="shared" si="2519"/>
        <v>10</v>
      </c>
      <c r="L8664" s="250">
        <v>1</v>
      </c>
      <c r="M8664" s="163" t="str">
        <f t="shared" si="2516"/>
        <v>36 ЭЦП*0,00053339/10чел.</v>
      </c>
      <c r="N8664" s="164">
        <f t="shared" si="2514"/>
        <v>8423.5400000000009</v>
      </c>
      <c r="O8664" s="165">
        <f t="shared" si="2517"/>
        <v>16.174914999999999</v>
      </c>
      <c r="P8664" s="166"/>
      <c r="Q8664" s="166">
        <f t="shared" si="2515"/>
        <v>161.74914999999999</v>
      </c>
      <c r="R8664" s="71"/>
    </row>
    <row r="8665" spans="1:18" s="61" customFormat="1" ht="47.25" x14ac:dyDescent="0.25">
      <c r="A8665" s="358"/>
      <c r="B8665" s="361"/>
      <c r="C8665" s="364"/>
      <c r="D8665" s="156" t="s">
        <v>44</v>
      </c>
      <c r="E8665" s="156" t="s">
        <v>85</v>
      </c>
      <c r="F8665" s="156" t="s">
        <v>232</v>
      </c>
      <c r="G8665" s="238">
        <f>MROUND(H8665*L8665*I8665/K8665,0.000001)</f>
        <v>6.4860000000000001E-2</v>
      </c>
      <c r="H8665" s="158">
        <f>H7585</f>
        <v>1216</v>
      </c>
      <c r="I8665" s="159">
        <f t="shared" si="2518"/>
        <v>5.3339000000000001E-4</v>
      </c>
      <c r="J8665" s="160"/>
      <c r="K8665" s="161">
        <f t="shared" si="2519"/>
        <v>10</v>
      </c>
      <c r="L8665" s="250">
        <v>1</v>
      </c>
      <c r="M8665" s="163" t="str">
        <f>CONCATENATE(H8665," ",F8665,"*",L8665,"мес.","*",I8665,"/",K8665,"чел.")</f>
        <v>1216 мед.осмотров в мес.*1мес.*0,00053339/10чел.</v>
      </c>
      <c r="N8665" s="164">
        <f>N7585</f>
        <v>61.65877467105264</v>
      </c>
      <c r="O8665" s="165">
        <f t="shared" si="2517"/>
        <v>3.9991879999999997</v>
      </c>
      <c r="P8665" s="166"/>
      <c r="Q8665" s="166">
        <f t="shared" si="2515"/>
        <v>39.991879999999995</v>
      </c>
      <c r="R8665" s="71"/>
    </row>
    <row r="8666" spans="1:18" s="61" customFormat="1" ht="63" x14ac:dyDescent="0.25">
      <c r="A8666" s="358"/>
      <c r="B8666" s="361"/>
      <c r="C8666" s="364"/>
      <c r="D8666" s="156" t="s">
        <v>45</v>
      </c>
      <c r="E8666" s="156" t="s">
        <v>53</v>
      </c>
      <c r="F8666" s="156" t="s">
        <v>233</v>
      </c>
      <c r="G8666" s="238">
        <f>MROUND(H8666*L8666*I8666/K8666,0.000000001)</f>
        <v>2.5602720000000002E-3</v>
      </c>
      <c r="H8666" s="158">
        <f>H8186</f>
        <v>4</v>
      </c>
      <c r="I8666" s="159">
        <f t="shared" si="2518"/>
        <v>5.3339000000000001E-4</v>
      </c>
      <c r="J8666" s="160"/>
      <c r="K8666" s="161">
        <f t="shared" si="2519"/>
        <v>10</v>
      </c>
      <c r="L8666" s="250">
        <v>12</v>
      </c>
      <c r="M8666" s="163" t="str">
        <f>CONCATENATE(H8666," ",F8666,"*",L8666,"мес.","*",I8666,"/",K8666,"чел.")</f>
        <v>4  машины, оборудованных системой ГЛОНАСС*12мес.*0,00053339/10чел.</v>
      </c>
      <c r="N8666" s="164">
        <f>N6866</f>
        <v>958.08249999999998</v>
      </c>
      <c r="O8666" s="165">
        <f t="shared" si="2517"/>
        <v>2.4529519999999998</v>
      </c>
      <c r="P8666" s="166"/>
      <c r="Q8666" s="166">
        <f t="shared" si="2515"/>
        <v>24.529519999999998</v>
      </c>
      <c r="R8666" s="71"/>
    </row>
    <row r="8667" spans="1:18" s="61" customFormat="1" ht="31.5" x14ac:dyDescent="0.25">
      <c r="A8667" s="358"/>
      <c r="B8667" s="361"/>
      <c r="C8667" s="364"/>
      <c r="D8667" s="156" t="s">
        <v>408</v>
      </c>
      <c r="E8667" s="156" t="s">
        <v>20</v>
      </c>
      <c r="F8667" s="156" t="s">
        <v>20</v>
      </c>
      <c r="G8667" s="238">
        <f>MROUND(H8667*L8667*I8667/K8667,0.0000000001)</f>
        <v>9.0516283000000003E-2</v>
      </c>
      <c r="H8667" s="158">
        <f>H6867</f>
        <v>1697</v>
      </c>
      <c r="I8667" s="159">
        <f t="shared" si="2518"/>
        <v>5.3339000000000001E-4</v>
      </c>
      <c r="J8667" s="160"/>
      <c r="K8667" s="161">
        <f t="shared" si="2519"/>
        <v>10</v>
      </c>
      <c r="L8667" s="250">
        <v>1</v>
      </c>
      <c r="M8667" s="163" t="str">
        <f>CONCATENATE(H8667," ",F8667,"*",L8667," раз в год","*",I8667,"/",K8667,"чел.")</f>
        <v>1697 чел.*1 раз в год*0,00053339/10чел.</v>
      </c>
      <c r="N8667" s="164">
        <f>N6867</f>
        <v>592.87278137890405</v>
      </c>
      <c r="O8667" s="165">
        <f t="shared" si="2517"/>
        <v>53.664639999999999</v>
      </c>
      <c r="P8667" s="166"/>
      <c r="Q8667" s="166">
        <f t="shared" si="2515"/>
        <v>536.64639999999997</v>
      </c>
      <c r="R8667" s="71"/>
    </row>
    <row r="8668" spans="1:18" s="61" customFormat="1" x14ac:dyDescent="0.25">
      <c r="A8668" s="358"/>
      <c r="B8668" s="361"/>
      <c r="C8668" s="364"/>
      <c r="D8668" s="156" t="s">
        <v>373</v>
      </c>
      <c r="E8668" s="156" t="s">
        <v>28</v>
      </c>
      <c r="F8668" s="156" t="s">
        <v>28</v>
      </c>
      <c r="G8668" s="157">
        <f>MROUND(H8668*L8668*I8668/K8668,0.000000001)</f>
        <v>1.9202040000000002E-3</v>
      </c>
      <c r="H8668" s="158">
        <f>H6869</f>
        <v>36</v>
      </c>
      <c r="I8668" s="159">
        <f>I8666</f>
        <v>5.3339000000000001E-4</v>
      </c>
      <c r="J8668" s="160"/>
      <c r="K8668" s="161">
        <f>K8666</f>
        <v>10</v>
      </c>
      <c r="L8668" s="162">
        <v>1</v>
      </c>
      <c r="M8668" s="163" t="str">
        <f>CONCATENATE(H8668," ",F8668,"*",L8668,"мес.","*",I8668,"/",K8668,"чел.")</f>
        <v>36 шт*1мес.*0,00053339/10чел.</v>
      </c>
      <c r="N8668" s="164">
        <f>N6869</f>
        <v>24000</v>
      </c>
      <c r="O8668" s="165">
        <f>MROUND(G8668*N8668,0.000000001)</f>
        <v>46.084896000000001</v>
      </c>
      <c r="P8668" s="166"/>
      <c r="Q8668" s="166">
        <f t="shared" si="2515"/>
        <v>460.84896000000003</v>
      </c>
      <c r="R8668" s="71"/>
    </row>
    <row r="8669" spans="1:18" s="61" customFormat="1" ht="31.5" x14ac:dyDescent="0.25">
      <c r="A8669" s="358"/>
      <c r="B8669" s="361"/>
      <c r="C8669" s="364"/>
      <c r="D8669" s="156" t="s">
        <v>106</v>
      </c>
      <c r="E8669" s="156" t="s">
        <v>107</v>
      </c>
      <c r="F8669" s="156"/>
      <c r="G8669" s="238">
        <f>MROUND(H8669*L8669*I8669/K8669,0.000000001)</f>
        <v>0</v>
      </c>
      <c r="H8669" s="158">
        <f>H6868</f>
        <v>0</v>
      </c>
      <c r="I8669" s="159">
        <f>I8666</f>
        <v>5.3339000000000001E-4</v>
      </c>
      <c r="J8669" s="160"/>
      <c r="K8669" s="161">
        <f>K8666</f>
        <v>10</v>
      </c>
      <c r="L8669" s="250">
        <f>L7229</f>
        <v>0</v>
      </c>
      <c r="M8669" s="163"/>
      <c r="N8669" s="164">
        <f>N6868</f>
        <v>6.0000000000000002E-5</v>
      </c>
      <c r="O8669" s="165">
        <f>MROUND(G8669*N8669,0.000000001)</f>
        <v>0</v>
      </c>
      <c r="P8669" s="166"/>
      <c r="Q8669" s="166">
        <f t="shared" si="2515"/>
        <v>0</v>
      </c>
      <c r="R8669" s="71"/>
    </row>
    <row r="8670" spans="1:18" s="62" customFormat="1" x14ac:dyDescent="0.25">
      <c r="A8670" s="358"/>
      <c r="B8670" s="361"/>
      <c r="C8670" s="245" t="s">
        <v>296</v>
      </c>
      <c r="D8670" s="240"/>
      <c r="E8670" s="240"/>
      <c r="F8670" s="240"/>
      <c r="G8670" s="227"/>
      <c r="H8670" s="241"/>
      <c r="I8670" s="206"/>
      <c r="J8670" s="228"/>
      <c r="K8670" s="207"/>
      <c r="L8670" s="257"/>
      <c r="M8670" s="209"/>
      <c r="N8670" s="210"/>
      <c r="O8670" s="198">
        <f>SUM(O8656:O8669)</f>
        <v>345.08166900000003</v>
      </c>
      <c r="P8670" s="267"/>
      <c r="Q8670" s="166"/>
      <c r="R8670" s="71"/>
    </row>
    <row r="8671" spans="1:18" s="61" customFormat="1" ht="31.5" x14ac:dyDescent="0.25">
      <c r="A8671" s="358"/>
      <c r="B8671" s="361"/>
      <c r="C8671" s="252" t="s">
        <v>237</v>
      </c>
      <c r="D8671" s="156" t="s">
        <v>41</v>
      </c>
      <c r="E8671" s="156" t="s">
        <v>61</v>
      </c>
      <c r="F8671" s="156" t="s">
        <v>227</v>
      </c>
      <c r="G8671" s="238">
        <f>MROUND(H8671*L8671*I8671/K8671,0.000000001)</f>
        <v>2.1335600000000002E-4</v>
      </c>
      <c r="H8671" s="158">
        <f>H7591</f>
        <v>4</v>
      </c>
      <c r="I8671" s="159">
        <f>I8669</f>
        <v>5.3339000000000001E-4</v>
      </c>
      <c r="J8671" s="160"/>
      <c r="K8671" s="161">
        <f>K8669</f>
        <v>10</v>
      </c>
      <c r="L8671" s="250">
        <v>1</v>
      </c>
      <c r="M8671" s="163" t="str">
        <f>CONCATENATE(H8671," ",F8671,"*",I8671,"/",K8671,"чел.")</f>
        <v>4 автобуса*0,00053339/10чел.</v>
      </c>
      <c r="N8671" s="164">
        <f>N6871</f>
        <v>27983.595000000001</v>
      </c>
      <c r="O8671" s="165">
        <f>MROUND(G8671*N8671,0.000001)</f>
        <v>5.9704679999999994</v>
      </c>
      <c r="P8671" s="166"/>
      <c r="Q8671" s="166">
        <f t="shared" ref="Q8671" si="2520">O8671*K8671</f>
        <v>59.704679999999996</v>
      </c>
      <c r="R8671" s="71"/>
    </row>
    <row r="8672" spans="1:18" s="62" customFormat="1" x14ac:dyDescent="0.25">
      <c r="A8672" s="358"/>
      <c r="B8672" s="361"/>
      <c r="C8672" s="245" t="s">
        <v>297</v>
      </c>
      <c r="D8672" s="240"/>
      <c r="E8672" s="240"/>
      <c r="F8672" s="240"/>
      <c r="G8672" s="227"/>
      <c r="H8672" s="241"/>
      <c r="I8672" s="206"/>
      <c r="J8672" s="228"/>
      <c r="K8672" s="207"/>
      <c r="L8672" s="257"/>
      <c r="M8672" s="209"/>
      <c r="N8672" s="210"/>
      <c r="O8672" s="198">
        <f>SUM(O8671)</f>
        <v>5.9704679999999994</v>
      </c>
      <c r="P8672" s="267"/>
      <c r="Q8672" s="166"/>
      <c r="R8672" s="71"/>
    </row>
    <row r="8673" spans="1:18" s="61" customFormat="1" ht="78.75" x14ac:dyDescent="0.25">
      <c r="A8673" s="358"/>
      <c r="B8673" s="361"/>
      <c r="C8673" s="221" t="s">
        <v>236</v>
      </c>
      <c r="D8673" s="156" t="s">
        <v>19</v>
      </c>
      <c r="E8673" s="181" t="s">
        <v>20</v>
      </c>
      <c r="F8673" s="181" t="s">
        <v>238</v>
      </c>
      <c r="G8673" s="238">
        <f>MROUND(H8673*L8673*I8673/K8673,0.000001)</f>
        <v>0</v>
      </c>
      <c r="H8673" s="158"/>
      <c r="I8673" s="159">
        <f>I8669</f>
        <v>5.3339000000000001E-4</v>
      </c>
      <c r="J8673" s="160"/>
      <c r="K8673" s="161">
        <f>K8669</f>
        <v>10</v>
      </c>
      <c r="L8673" s="250"/>
      <c r="M8673" s="163"/>
      <c r="N8673" s="164"/>
      <c r="O8673" s="165">
        <f>MROUND(G8673*N8673,0.000001)</f>
        <v>0</v>
      </c>
      <c r="P8673" s="166"/>
      <c r="Q8673" s="166">
        <f t="shared" ref="Q8673" si="2521">O8673*K8673</f>
        <v>0</v>
      </c>
      <c r="R8673" s="71"/>
    </row>
    <row r="8674" spans="1:18" s="62" customFormat="1" x14ac:dyDescent="0.25">
      <c r="A8674" s="358"/>
      <c r="B8674" s="361"/>
      <c r="C8674" s="245" t="s">
        <v>298</v>
      </c>
      <c r="D8674" s="240"/>
      <c r="E8674" s="253"/>
      <c r="F8674" s="253"/>
      <c r="G8674" s="227"/>
      <c r="H8674" s="241"/>
      <c r="I8674" s="206"/>
      <c r="J8674" s="228"/>
      <c r="K8674" s="207"/>
      <c r="L8674" s="257"/>
      <c r="M8674" s="209"/>
      <c r="N8674" s="210"/>
      <c r="O8674" s="198">
        <f>SUM(O8673)</f>
        <v>0</v>
      </c>
      <c r="P8674" s="267"/>
      <c r="Q8674" s="166"/>
      <c r="R8674" s="71"/>
    </row>
    <row r="8675" spans="1:18" s="61" customFormat="1" ht="30" x14ac:dyDescent="0.25">
      <c r="A8675" s="358"/>
      <c r="B8675" s="361"/>
      <c r="C8675" s="365" t="s">
        <v>81</v>
      </c>
      <c r="D8675" s="254" t="s">
        <v>410</v>
      </c>
      <c r="E8675" s="156" t="s">
        <v>28</v>
      </c>
      <c r="F8675" s="156" t="s">
        <v>28</v>
      </c>
      <c r="G8675" s="238">
        <f>MROUND(H8675*L8675*I8675/K8675,0.0000000001)</f>
        <v>0</v>
      </c>
      <c r="H8675" s="158"/>
      <c r="I8675" s="159">
        <f>I8669</f>
        <v>5.3339000000000001E-4</v>
      </c>
      <c r="J8675" s="160"/>
      <c r="K8675" s="161">
        <f>K8669</f>
        <v>10</v>
      </c>
      <c r="L8675" s="250">
        <v>1</v>
      </c>
      <c r="M8675" s="163"/>
      <c r="N8675" s="164"/>
      <c r="O8675" s="165">
        <f>MROUND(G8675*N8675,0.000001)</f>
        <v>0</v>
      </c>
      <c r="P8675" s="166"/>
      <c r="Q8675" s="166">
        <f t="shared" ref="Q8675:Q8698" si="2522">O8675*K8675</f>
        <v>0</v>
      </c>
      <c r="R8675" s="71"/>
    </row>
    <row r="8676" spans="1:18" s="61" customFormat="1" x14ac:dyDescent="0.25">
      <c r="A8676" s="358"/>
      <c r="B8676" s="361"/>
      <c r="C8676" s="366"/>
      <c r="D8676" s="254" t="s">
        <v>325</v>
      </c>
      <c r="E8676" s="156" t="s">
        <v>28</v>
      </c>
      <c r="F8676" s="156" t="s">
        <v>28</v>
      </c>
      <c r="G8676" s="157">
        <f>MROUND(H8676*L8676*I8676/K8676,0.0000000001)</f>
        <v>0</v>
      </c>
      <c r="H8676" s="158"/>
      <c r="I8676" s="159">
        <f>I8675</f>
        <v>5.3339000000000001E-4</v>
      </c>
      <c r="J8676" s="160"/>
      <c r="K8676" s="161">
        <f>K8675</f>
        <v>10</v>
      </c>
      <c r="L8676" s="250">
        <v>1</v>
      </c>
      <c r="M8676" s="163"/>
      <c r="N8676" s="164"/>
      <c r="O8676" s="165">
        <f>MROUND(G8676*N8676,0.000001)</f>
        <v>0</v>
      </c>
      <c r="P8676" s="166"/>
      <c r="Q8676" s="166">
        <f t="shared" si="2522"/>
        <v>0</v>
      </c>
      <c r="R8676" s="71"/>
    </row>
    <row r="8677" spans="1:18" s="61" customFormat="1" ht="30" x14ac:dyDescent="0.25">
      <c r="A8677" s="358"/>
      <c r="B8677" s="361"/>
      <c r="C8677" s="366"/>
      <c r="D8677" s="254" t="s">
        <v>411</v>
      </c>
      <c r="E8677" s="156" t="s">
        <v>28</v>
      </c>
      <c r="F8677" s="156" t="s">
        <v>28</v>
      </c>
      <c r="G8677" s="238">
        <f>MROUND(H8677*L8677*I8677/K8677,0.00000001)</f>
        <v>0</v>
      </c>
      <c r="H8677" s="158"/>
      <c r="I8677" s="159">
        <f>I8675</f>
        <v>5.3339000000000001E-4</v>
      </c>
      <c r="J8677" s="160"/>
      <c r="K8677" s="161">
        <f>K8675</f>
        <v>10</v>
      </c>
      <c r="L8677" s="250">
        <v>1</v>
      </c>
      <c r="M8677" s="163"/>
      <c r="N8677" s="164"/>
      <c r="O8677" s="165">
        <f t="shared" ref="O8677:O8698" si="2523">MROUND(G8677*N8677,0.000001)</f>
        <v>0</v>
      </c>
      <c r="P8677" s="166"/>
      <c r="Q8677" s="166">
        <f t="shared" si="2522"/>
        <v>0</v>
      </c>
      <c r="R8677" s="71"/>
    </row>
    <row r="8678" spans="1:18" s="61" customFormat="1" x14ac:dyDescent="0.25">
      <c r="A8678" s="358"/>
      <c r="B8678" s="361"/>
      <c r="C8678" s="366"/>
      <c r="D8678" s="255" t="s">
        <v>412</v>
      </c>
      <c r="E8678" s="156" t="s">
        <v>28</v>
      </c>
      <c r="F8678" s="156" t="s">
        <v>28</v>
      </c>
      <c r="G8678" s="238">
        <f>MROUND(H8678*L8678*I8678/K8678,0.00000001)</f>
        <v>0</v>
      </c>
      <c r="H8678" s="158"/>
      <c r="I8678" s="159">
        <f>I8677</f>
        <v>5.3339000000000001E-4</v>
      </c>
      <c r="J8678" s="160"/>
      <c r="K8678" s="161">
        <f>K8677</f>
        <v>10</v>
      </c>
      <c r="L8678" s="250">
        <v>1</v>
      </c>
      <c r="M8678" s="163"/>
      <c r="N8678" s="164"/>
      <c r="O8678" s="165">
        <f t="shared" si="2523"/>
        <v>0</v>
      </c>
      <c r="P8678" s="166"/>
      <c r="Q8678" s="166">
        <f t="shared" si="2522"/>
        <v>0</v>
      </c>
      <c r="R8678" s="71"/>
    </row>
    <row r="8679" spans="1:18" s="61" customFormat="1" ht="31.5" x14ac:dyDescent="0.25">
      <c r="A8679" s="358"/>
      <c r="B8679" s="361"/>
      <c r="C8679" s="366"/>
      <c r="D8679" s="255" t="s">
        <v>413</v>
      </c>
      <c r="E8679" s="156" t="s">
        <v>28</v>
      </c>
      <c r="F8679" s="156" t="s">
        <v>28</v>
      </c>
      <c r="G8679" s="238">
        <f>MROUND(H8679*L8679*I8679/K8679,0.0000000001)</f>
        <v>0</v>
      </c>
      <c r="H8679" s="158"/>
      <c r="I8679" s="159">
        <f>I8678</f>
        <v>5.3339000000000001E-4</v>
      </c>
      <c r="J8679" s="160"/>
      <c r="K8679" s="161">
        <f>K8678</f>
        <v>10</v>
      </c>
      <c r="L8679" s="250">
        <v>1</v>
      </c>
      <c r="M8679" s="163"/>
      <c r="N8679" s="164"/>
      <c r="O8679" s="165">
        <f t="shared" si="2523"/>
        <v>0</v>
      </c>
      <c r="P8679" s="166"/>
      <c r="Q8679" s="166">
        <f t="shared" si="2522"/>
        <v>0</v>
      </c>
      <c r="R8679" s="71"/>
    </row>
    <row r="8680" spans="1:18" s="61" customFormat="1" x14ac:dyDescent="0.25">
      <c r="A8680" s="358"/>
      <c r="B8680" s="361"/>
      <c r="C8680" s="366"/>
      <c r="D8680" s="254" t="s">
        <v>109</v>
      </c>
      <c r="E8680" s="156" t="s">
        <v>28</v>
      </c>
      <c r="F8680" s="156" t="s">
        <v>28</v>
      </c>
      <c r="G8680" s="238">
        <f>MROUND(H8680*L8680*I8680/K8680,0.0000000001)</f>
        <v>0</v>
      </c>
      <c r="H8680" s="158"/>
      <c r="I8680" s="159">
        <f>I8679</f>
        <v>5.3339000000000001E-4</v>
      </c>
      <c r="J8680" s="160"/>
      <c r="K8680" s="161">
        <f>K8679</f>
        <v>10</v>
      </c>
      <c r="L8680" s="250">
        <v>1</v>
      </c>
      <c r="M8680" s="163"/>
      <c r="N8680" s="164"/>
      <c r="O8680" s="165">
        <f t="shared" si="2523"/>
        <v>0</v>
      </c>
      <c r="P8680" s="166"/>
      <c r="Q8680" s="166">
        <f t="shared" si="2522"/>
        <v>0</v>
      </c>
      <c r="R8680" s="71"/>
    </row>
    <row r="8681" spans="1:18" s="61" customFormat="1" x14ac:dyDescent="0.25">
      <c r="A8681" s="358"/>
      <c r="B8681" s="361"/>
      <c r="C8681" s="366"/>
      <c r="D8681" s="254" t="s">
        <v>414</v>
      </c>
      <c r="E8681" s="156" t="s">
        <v>28</v>
      </c>
      <c r="F8681" s="156" t="s">
        <v>28</v>
      </c>
      <c r="G8681" s="238">
        <f>MROUND(H8681*L8681*I8681/K8681,0.0000000001)</f>
        <v>0</v>
      </c>
      <c r="H8681" s="158"/>
      <c r="I8681" s="159">
        <f>I8679</f>
        <v>5.3339000000000001E-4</v>
      </c>
      <c r="J8681" s="160"/>
      <c r="K8681" s="161">
        <f>K8679</f>
        <v>10</v>
      </c>
      <c r="L8681" s="250">
        <v>1</v>
      </c>
      <c r="M8681" s="163"/>
      <c r="N8681" s="164"/>
      <c r="O8681" s="165">
        <f t="shared" si="2523"/>
        <v>0</v>
      </c>
      <c r="P8681" s="166"/>
      <c r="Q8681" s="166">
        <f t="shared" si="2522"/>
        <v>0</v>
      </c>
      <c r="R8681" s="71"/>
    </row>
    <row r="8682" spans="1:18" s="61" customFormat="1" x14ac:dyDescent="0.25">
      <c r="A8682" s="358"/>
      <c r="B8682" s="361"/>
      <c r="C8682" s="366"/>
      <c r="D8682" s="254" t="s">
        <v>415</v>
      </c>
      <c r="E8682" s="156" t="s">
        <v>28</v>
      </c>
      <c r="F8682" s="156" t="s">
        <v>28</v>
      </c>
      <c r="G8682" s="238">
        <f>MROUND(H8682*L8682*I8682/K8682,0.00000001)</f>
        <v>0</v>
      </c>
      <c r="H8682" s="158"/>
      <c r="I8682" s="159">
        <f t="shared" ref="I8682:I8691" si="2524">I8680</f>
        <v>5.3339000000000001E-4</v>
      </c>
      <c r="J8682" s="160"/>
      <c r="K8682" s="161">
        <f t="shared" ref="K8682:K8691" si="2525">K8680</f>
        <v>10</v>
      </c>
      <c r="L8682" s="250">
        <v>1</v>
      </c>
      <c r="M8682" s="163"/>
      <c r="N8682" s="164"/>
      <c r="O8682" s="165">
        <f t="shared" si="2523"/>
        <v>0</v>
      </c>
      <c r="P8682" s="166"/>
      <c r="Q8682" s="166">
        <f t="shared" si="2522"/>
        <v>0</v>
      </c>
      <c r="R8682" s="71"/>
    </row>
    <row r="8683" spans="1:18" s="61" customFormat="1" x14ac:dyDescent="0.25">
      <c r="A8683" s="358"/>
      <c r="B8683" s="361"/>
      <c r="C8683" s="366"/>
      <c r="D8683" s="254" t="s">
        <v>416</v>
      </c>
      <c r="E8683" s="156" t="s">
        <v>28</v>
      </c>
      <c r="F8683" s="156" t="s">
        <v>28</v>
      </c>
      <c r="G8683" s="238">
        <f>MROUND(H8683*L8683*I8683/K8683,0.000000001)</f>
        <v>0</v>
      </c>
      <c r="H8683" s="246"/>
      <c r="I8683" s="159">
        <f t="shared" si="2524"/>
        <v>5.3339000000000001E-4</v>
      </c>
      <c r="J8683" s="160"/>
      <c r="K8683" s="161">
        <f t="shared" si="2525"/>
        <v>10</v>
      </c>
      <c r="L8683" s="250">
        <v>1</v>
      </c>
      <c r="M8683" s="163"/>
      <c r="N8683" s="164"/>
      <c r="O8683" s="165">
        <f t="shared" si="2523"/>
        <v>0</v>
      </c>
      <c r="P8683" s="166"/>
      <c r="Q8683" s="166">
        <f t="shared" si="2522"/>
        <v>0</v>
      </c>
      <c r="R8683" s="71"/>
    </row>
    <row r="8684" spans="1:18" s="61" customFormat="1" x14ac:dyDescent="0.25">
      <c r="A8684" s="358"/>
      <c r="B8684" s="361"/>
      <c r="C8684" s="366"/>
      <c r="D8684" s="254" t="s">
        <v>417</v>
      </c>
      <c r="E8684" s="156" t="s">
        <v>28</v>
      </c>
      <c r="F8684" s="156" t="s">
        <v>28</v>
      </c>
      <c r="G8684" s="238">
        <f>MROUND(H8684*L8684*I8684/K8684,0.00000001)</f>
        <v>0</v>
      </c>
      <c r="H8684" s="158"/>
      <c r="I8684" s="159">
        <f t="shared" si="2524"/>
        <v>5.3339000000000001E-4</v>
      </c>
      <c r="J8684" s="160"/>
      <c r="K8684" s="161">
        <f t="shared" si="2525"/>
        <v>10</v>
      </c>
      <c r="L8684" s="250">
        <v>1</v>
      </c>
      <c r="M8684" s="163"/>
      <c r="N8684" s="164"/>
      <c r="O8684" s="165">
        <f t="shared" si="2523"/>
        <v>0</v>
      </c>
      <c r="P8684" s="166"/>
      <c r="Q8684" s="166">
        <f t="shared" si="2522"/>
        <v>0</v>
      </c>
      <c r="R8684" s="71"/>
    </row>
    <row r="8685" spans="1:18" s="61" customFormat="1" ht="30" x14ac:dyDescent="0.25">
      <c r="A8685" s="358"/>
      <c r="B8685" s="361"/>
      <c r="C8685" s="366"/>
      <c r="D8685" s="254" t="s">
        <v>418</v>
      </c>
      <c r="E8685" s="156" t="s">
        <v>28</v>
      </c>
      <c r="F8685" s="156" t="s">
        <v>28</v>
      </c>
      <c r="G8685" s="238">
        <f>MROUND(H8685*L8685*I8685/K8685,0.00000001)</f>
        <v>0</v>
      </c>
      <c r="H8685" s="158"/>
      <c r="I8685" s="159">
        <f t="shared" si="2524"/>
        <v>5.3339000000000001E-4</v>
      </c>
      <c r="J8685" s="160"/>
      <c r="K8685" s="161">
        <f t="shared" si="2525"/>
        <v>10</v>
      </c>
      <c r="L8685" s="250">
        <v>1</v>
      </c>
      <c r="M8685" s="163"/>
      <c r="N8685" s="164"/>
      <c r="O8685" s="165">
        <f t="shared" si="2523"/>
        <v>0</v>
      </c>
      <c r="P8685" s="166"/>
      <c r="Q8685" s="166">
        <f t="shared" si="2522"/>
        <v>0</v>
      </c>
      <c r="R8685" s="71"/>
    </row>
    <row r="8686" spans="1:18" s="61" customFormat="1" x14ac:dyDescent="0.25">
      <c r="A8686" s="358"/>
      <c r="B8686" s="361"/>
      <c r="C8686" s="366"/>
      <c r="D8686" s="254" t="s">
        <v>324</v>
      </c>
      <c r="E8686" s="156" t="s">
        <v>28</v>
      </c>
      <c r="F8686" s="156" t="s">
        <v>28</v>
      </c>
      <c r="G8686" s="238">
        <f>MROUND(H8686*L8686*I8686/K8686,0.000000001)</f>
        <v>0</v>
      </c>
      <c r="H8686" s="158"/>
      <c r="I8686" s="159">
        <f t="shared" si="2524"/>
        <v>5.3339000000000001E-4</v>
      </c>
      <c r="J8686" s="160"/>
      <c r="K8686" s="161">
        <f t="shared" si="2525"/>
        <v>10</v>
      </c>
      <c r="L8686" s="250">
        <v>1</v>
      </c>
      <c r="M8686" s="163"/>
      <c r="N8686" s="164"/>
      <c r="O8686" s="165">
        <f t="shared" si="2523"/>
        <v>0</v>
      </c>
      <c r="P8686" s="166"/>
      <c r="Q8686" s="166">
        <f t="shared" si="2522"/>
        <v>0</v>
      </c>
      <c r="R8686" s="71"/>
    </row>
    <row r="8687" spans="1:18" s="61" customFormat="1" x14ac:dyDescent="0.25">
      <c r="A8687" s="358"/>
      <c r="B8687" s="361"/>
      <c r="C8687" s="366"/>
      <c r="D8687" s="254" t="s">
        <v>419</v>
      </c>
      <c r="E8687" s="156" t="s">
        <v>28</v>
      </c>
      <c r="F8687" s="156" t="s">
        <v>28</v>
      </c>
      <c r="G8687" s="238">
        <f>MROUND(H8687*L8687*I8687/K8687,0.000000001)</f>
        <v>0</v>
      </c>
      <c r="H8687" s="246"/>
      <c r="I8687" s="159">
        <f t="shared" si="2524"/>
        <v>5.3339000000000001E-4</v>
      </c>
      <c r="J8687" s="160"/>
      <c r="K8687" s="161">
        <f t="shared" si="2525"/>
        <v>10</v>
      </c>
      <c r="L8687" s="250">
        <v>1</v>
      </c>
      <c r="M8687" s="163"/>
      <c r="N8687" s="164"/>
      <c r="O8687" s="165">
        <f t="shared" si="2523"/>
        <v>0</v>
      </c>
      <c r="P8687" s="166"/>
      <c r="Q8687" s="166">
        <f t="shared" si="2522"/>
        <v>0</v>
      </c>
      <c r="R8687" s="71"/>
    </row>
    <row r="8688" spans="1:18" s="61" customFormat="1" x14ac:dyDescent="0.25">
      <c r="A8688" s="358"/>
      <c r="B8688" s="361"/>
      <c r="C8688" s="366"/>
      <c r="D8688" s="254" t="s">
        <v>420</v>
      </c>
      <c r="E8688" s="156" t="s">
        <v>28</v>
      </c>
      <c r="F8688" s="156" t="s">
        <v>28</v>
      </c>
      <c r="G8688" s="238">
        <f>MROUND(H8688*L8688*I8688/K8688,0.000000001)</f>
        <v>0</v>
      </c>
      <c r="H8688" s="158"/>
      <c r="I8688" s="159">
        <f t="shared" si="2524"/>
        <v>5.3339000000000001E-4</v>
      </c>
      <c r="J8688" s="160"/>
      <c r="K8688" s="161">
        <f t="shared" si="2525"/>
        <v>10</v>
      </c>
      <c r="L8688" s="250">
        <v>1</v>
      </c>
      <c r="M8688" s="163"/>
      <c r="N8688" s="164"/>
      <c r="O8688" s="165">
        <f t="shared" si="2523"/>
        <v>0</v>
      </c>
      <c r="P8688" s="166"/>
      <c r="Q8688" s="166">
        <f t="shared" si="2522"/>
        <v>0</v>
      </c>
      <c r="R8688" s="71"/>
    </row>
    <row r="8689" spans="1:18" s="61" customFormat="1" x14ac:dyDescent="0.25">
      <c r="A8689" s="358"/>
      <c r="B8689" s="361"/>
      <c r="C8689" s="366"/>
      <c r="D8689" s="254" t="s">
        <v>421</v>
      </c>
      <c r="E8689" s="156" t="s">
        <v>28</v>
      </c>
      <c r="F8689" s="156" t="s">
        <v>28</v>
      </c>
      <c r="G8689" s="238">
        <f>MROUND(H8689*L8689*I8689/K8689,0.00000001)</f>
        <v>0</v>
      </c>
      <c r="H8689" s="158"/>
      <c r="I8689" s="159">
        <f t="shared" si="2524"/>
        <v>5.3339000000000001E-4</v>
      </c>
      <c r="J8689" s="160"/>
      <c r="K8689" s="161">
        <f t="shared" si="2525"/>
        <v>10</v>
      </c>
      <c r="L8689" s="250">
        <v>1</v>
      </c>
      <c r="M8689" s="163"/>
      <c r="N8689" s="164"/>
      <c r="O8689" s="165">
        <f t="shared" si="2523"/>
        <v>0</v>
      </c>
      <c r="P8689" s="166"/>
      <c r="Q8689" s="166">
        <f t="shared" si="2522"/>
        <v>0</v>
      </c>
      <c r="R8689" s="71"/>
    </row>
    <row r="8690" spans="1:18" s="61" customFormat="1" ht="30" x14ac:dyDescent="0.25">
      <c r="A8690" s="358"/>
      <c r="B8690" s="361"/>
      <c r="C8690" s="366"/>
      <c r="D8690" s="254" t="s">
        <v>422</v>
      </c>
      <c r="E8690" s="156" t="s">
        <v>28</v>
      </c>
      <c r="F8690" s="156" t="s">
        <v>28</v>
      </c>
      <c r="G8690" s="266">
        <f>MROUND(H8690*L8690*I8690/K8690,0.00000001)</f>
        <v>0</v>
      </c>
      <c r="H8690" s="158"/>
      <c r="I8690" s="159">
        <f t="shared" si="2524"/>
        <v>5.3339000000000001E-4</v>
      </c>
      <c r="J8690" s="160"/>
      <c r="K8690" s="161">
        <f t="shared" si="2525"/>
        <v>10</v>
      </c>
      <c r="L8690" s="250">
        <v>1</v>
      </c>
      <c r="M8690" s="163"/>
      <c r="N8690" s="164"/>
      <c r="O8690" s="165">
        <f t="shared" si="2523"/>
        <v>0</v>
      </c>
      <c r="P8690" s="166"/>
      <c r="Q8690" s="166">
        <f t="shared" si="2522"/>
        <v>0</v>
      </c>
      <c r="R8690" s="71"/>
    </row>
    <row r="8691" spans="1:18" s="61" customFormat="1" x14ac:dyDescent="0.25">
      <c r="A8691" s="358"/>
      <c r="B8691" s="361"/>
      <c r="C8691" s="366"/>
      <c r="D8691" s="254" t="s">
        <v>423</v>
      </c>
      <c r="E8691" s="156" t="s">
        <v>28</v>
      </c>
      <c r="F8691" s="156" t="s">
        <v>28</v>
      </c>
      <c r="G8691" s="238">
        <f>MROUND(H8691*L8691*I8691/K8691,0.000000001)</f>
        <v>0</v>
      </c>
      <c r="H8691" s="158"/>
      <c r="I8691" s="159">
        <f t="shared" si="2524"/>
        <v>5.3339000000000001E-4</v>
      </c>
      <c r="J8691" s="160"/>
      <c r="K8691" s="161">
        <f t="shared" si="2525"/>
        <v>10</v>
      </c>
      <c r="L8691" s="250">
        <v>1</v>
      </c>
      <c r="M8691" s="163"/>
      <c r="N8691" s="164"/>
      <c r="O8691" s="165">
        <f t="shared" si="2523"/>
        <v>0</v>
      </c>
      <c r="P8691" s="166"/>
      <c r="Q8691" s="166">
        <f t="shared" si="2522"/>
        <v>0</v>
      </c>
      <c r="R8691" s="71"/>
    </row>
    <row r="8692" spans="1:18" s="61" customFormat="1" x14ac:dyDescent="0.25">
      <c r="A8692" s="358"/>
      <c r="B8692" s="361"/>
      <c r="C8692" s="366"/>
      <c r="D8692" s="254" t="s">
        <v>424</v>
      </c>
      <c r="E8692" s="156" t="s">
        <v>28</v>
      </c>
      <c r="F8692" s="156" t="s">
        <v>28</v>
      </c>
      <c r="G8692" s="238">
        <f t="shared" ref="G8692:G8698" si="2526">MROUND(H8692*L8692*I8692/K8692,0.00000001)</f>
        <v>0</v>
      </c>
      <c r="H8692" s="158"/>
      <c r="I8692" s="159">
        <f>I8681</f>
        <v>5.3339000000000001E-4</v>
      </c>
      <c r="J8692" s="160"/>
      <c r="K8692" s="161">
        <f>K8681</f>
        <v>10</v>
      </c>
      <c r="L8692" s="250">
        <v>1</v>
      </c>
      <c r="M8692" s="163"/>
      <c r="N8692" s="164"/>
      <c r="O8692" s="165">
        <f t="shared" si="2523"/>
        <v>0</v>
      </c>
      <c r="P8692" s="166"/>
      <c r="Q8692" s="166">
        <f t="shared" si="2522"/>
        <v>0</v>
      </c>
      <c r="R8692" s="71"/>
    </row>
    <row r="8693" spans="1:18" s="61" customFormat="1" x14ac:dyDescent="0.25">
      <c r="A8693" s="358"/>
      <c r="B8693" s="361"/>
      <c r="C8693" s="366"/>
      <c r="D8693" s="254" t="s">
        <v>425</v>
      </c>
      <c r="E8693" s="156" t="s">
        <v>28</v>
      </c>
      <c r="F8693" s="156" t="s">
        <v>28</v>
      </c>
      <c r="G8693" s="277">
        <f t="shared" si="2526"/>
        <v>0</v>
      </c>
      <c r="H8693" s="158"/>
      <c r="I8693" s="159">
        <f t="shared" ref="I8693:I8698" si="2527">I8692</f>
        <v>5.3339000000000001E-4</v>
      </c>
      <c r="J8693" s="160"/>
      <c r="K8693" s="161">
        <f t="shared" ref="K8693:K8698" si="2528">K8692</f>
        <v>10</v>
      </c>
      <c r="L8693" s="250">
        <v>1</v>
      </c>
      <c r="M8693" s="163"/>
      <c r="N8693" s="164"/>
      <c r="O8693" s="165">
        <f t="shared" si="2523"/>
        <v>0</v>
      </c>
      <c r="P8693" s="166"/>
      <c r="Q8693" s="166">
        <f t="shared" si="2522"/>
        <v>0</v>
      </c>
      <c r="R8693" s="71"/>
    </row>
    <row r="8694" spans="1:18" s="61" customFormat="1" x14ac:dyDescent="0.25">
      <c r="A8694" s="358"/>
      <c r="B8694" s="361"/>
      <c r="C8694" s="366"/>
      <c r="D8694" s="254" t="s">
        <v>108</v>
      </c>
      <c r="E8694" s="156" t="s">
        <v>28</v>
      </c>
      <c r="F8694" s="156" t="s">
        <v>28</v>
      </c>
      <c r="G8694" s="238">
        <f t="shared" si="2526"/>
        <v>0</v>
      </c>
      <c r="H8694" s="158"/>
      <c r="I8694" s="159">
        <f t="shared" si="2527"/>
        <v>5.3339000000000001E-4</v>
      </c>
      <c r="J8694" s="160"/>
      <c r="K8694" s="161">
        <f t="shared" si="2528"/>
        <v>10</v>
      </c>
      <c r="L8694" s="250">
        <v>1</v>
      </c>
      <c r="M8694" s="163"/>
      <c r="N8694" s="164"/>
      <c r="O8694" s="165">
        <f t="shared" si="2523"/>
        <v>0</v>
      </c>
      <c r="P8694" s="166"/>
      <c r="Q8694" s="166">
        <f t="shared" si="2522"/>
        <v>0</v>
      </c>
      <c r="R8694" s="71"/>
    </row>
    <row r="8695" spans="1:18" s="61" customFormat="1" x14ac:dyDescent="0.25">
      <c r="A8695" s="358"/>
      <c r="B8695" s="361"/>
      <c r="C8695" s="366"/>
      <c r="D8695" s="254" t="s">
        <v>426</v>
      </c>
      <c r="E8695" s="156" t="s">
        <v>28</v>
      </c>
      <c r="F8695" s="156" t="s">
        <v>28</v>
      </c>
      <c r="G8695" s="238">
        <f t="shared" si="2526"/>
        <v>0</v>
      </c>
      <c r="H8695" s="158"/>
      <c r="I8695" s="159">
        <f t="shared" si="2527"/>
        <v>5.3339000000000001E-4</v>
      </c>
      <c r="J8695" s="160"/>
      <c r="K8695" s="161">
        <f t="shared" si="2528"/>
        <v>10</v>
      </c>
      <c r="L8695" s="250">
        <v>1</v>
      </c>
      <c r="M8695" s="163"/>
      <c r="N8695" s="164"/>
      <c r="O8695" s="165">
        <f t="shared" si="2523"/>
        <v>0</v>
      </c>
      <c r="P8695" s="166"/>
      <c r="Q8695" s="166">
        <f t="shared" si="2522"/>
        <v>0</v>
      </c>
      <c r="R8695" s="71"/>
    </row>
    <row r="8696" spans="1:18" s="61" customFormat="1" x14ac:dyDescent="0.25">
      <c r="A8696" s="358"/>
      <c r="B8696" s="361"/>
      <c r="C8696" s="366"/>
      <c r="D8696" s="254" t="s">
        <v>427</v>
      </c>
      <c r="E8696" s="156" t="s">
        <v>28</v>
      </c>
      <c r="F8696" s="156" t="s">
        <v>28</v>
      </c>
      <c r="G8696" s="238">
        <f t="shared" si="2526"/>
        <v>0</v>
      </c>
      <c r="H8696" s="158"/>
      <c r="I8696" s="159">
        <f t="shared" si="2527"/>
        <v>5.3339000000000001E-4</v>
      </c>
      <c r="J8696" s="160"/>
      <c r="K8696" s="161">
        <f t="shared" si="2528"/>
        <v>10</v>
      </c>
      <c r="L8696" s="250">
        <v>1</v>
      </c>
      <c r="M8696" s="163"/>
      <c r="N8696" s="164"/>
      <c r="O8696" s="165">
        <f t="shared" si="2523"/>
        <v>0</v>
      </c>
      <c r="P8696" s="166"/>
      <c r="Q8696" s="166">
        <f t="shared" si="2522"/>
        <v>0</v>
      </c>
      <c r="R8696" s="71"/>
    </row>
    <row r="8697" spans="1:18" s="61" customFormat="1" x14ac:dyDescent="0.25">
      <c r="A8697" s="358"/>
      <c r="B8697" s="361"/>
      <c r="C8697" s="366"/>
      <c r="D8697" s="254" t="s">
        <v>428</v>
      </c>
      <c r="E8697" s="156" t="s">
        <v>28</v>
      </c>
      <c r="F8697" s="156" t="s">
        <v>28</v>
      </c>
      <c r="G8697" s="238">
        <f t="shared" si="2526"/>
        <v>0</v>
      </c>
      <c r="H8697" s="158"/>
      <c r="I8697" s="159">
        <f t="shared" si="2527"/>
        <v>5.3339000000000001E-4</v>
      </c>
      <c r="J8697" s="160"/>
      <c r="K8697" s="161">
        <f t="shared" si="2528"/>
        <v>10</v>
      </c>
      <c r="L8697" s="250">
        <v>1</v>
      </c>
      <c r="M8697" s="163"/>
      <c r="N8697" s="164"/>
      <c r="O8697" s="165">
        <f t="shared" si="2523"/>
        <v>0</v>
      </c>
      <c r="P8697" s="166"/>
      <c r="Q8697" s="166">
        <f t="shared" si="2522"/>
        <v>0</v>
      </c>
      <c r="R8697" s="71"/>
    </row>
    <row r="8698" spans="1:18" s="61" customFormat="1" x14ac:dyDescent="0.25">
      <c r="A8698" s="358"/>
      <c r="B8698" s="361"/>
      <c r="C8698" s="366"/>
      <c r="D8698" s="255" t="s">
        <v>429</v>
      </c>
      <c r="E8698" s="156" t="s">
        <v>28</v>
      </c>
      <c r="F8698" s="156" t="s">
        <v>28</v>
      </c>
      <c r="G8698" s="238">
        <f t="shared" si="2526"/>
        <v>0</v>
      </c>
      <c r="H8698" s="158"/>
      <c r="I8698" s="159">
        <f t="shared" si="2527"/>
        <v>5.3339000000000001E-4</v>
      </c>
      <c r="J8698" s="160"/>
      <c r="K8698" s="161">
        <f t="shared" si="2528"/>
        <v>10</v>
      </c>
      <c r="L8698" s="250">
        <v>1</v>
      </c>
      <c r="M8698" s="163"/>
      <c r="N8698" s="164"/>
      <c r="O8698" s="165">
        <f t="shared" si="2523"/>
        <v>0</v>
      </c>
      <c r="P8698" s="166"/>
      <c r="Q8698" s="166">
        <f t="shared" si="2522"/>
        <v>0</v>
      </c>
      <c r="R8698" s="71"/>
    </row>
    <row r="8699" spans="1:18" s="62" customFormat="1" x14ac:dyDescent="0.25">
      <c r="A8699" s="358"/>
      <c r="B8699" s="361"/>
      <c r="C8699" s="249" t="s">
        <v>299</v>
      </c>
      <c r="D8699" s="256"/>
      <c r="E8699" s="240"/>
      <c r="F8699" s="240"/>
      <c r="G8699" s="227"/>
      <c r="H8699" s="241"/>
      <c r="I8699" s="206"/>
      <c r="J8699" s="228"/>
      <c r="K8699" s="207"/>
      <c r="L8699" s="257"/>
      <c r="M8699" s="209"/>
      <c r="N8699" s="210"/>
      <c r="O8699" s="198">
        <f>SUM(O8675:O8698)</f>
        <v>0</v>
      </c>
      <c r="P8699" s="267"/>
      <c r="Q8699" s="166"/>
      <c r="R8699" s="71"/>
    </row>
    <row r="8700" spans="1:18" s="61" customFormat="1" ht="110.25" x14ac:dyDescent="0.25">
      <c r="A8700" s="358"/>
      <c r="B8700" s="361"/>
      <c r="C8700" s="221" t="s">
        <v>82</v>
      </c>
      <c r="D8700" s="156" t="s">
        <v>46</v>
      </c>
      <c r="E8700" s="156" t="s">
        <v>54</v>
      </c>
      <c r="F8700" s="156" t="s">
        <v>285</v>
      </c>
      <c r="G8700" s="238">
        <f>MROUND(H8700*L8700*I8700/K8700,0.000001)</f>
        <v>0.60326400000000002</v>
      </c>
      <c r="H8700" s="242">
        <f>H8220</f>
        <v>1028.1818077549303</v>
      </c>
      <c r="I8700" s="159">
        <f>I8698</f>
        <v>5.3339000000000001E-4</v>
      </c>
      <c r="J8700" s="160"/>
      <c r="K8700" s="161">
        <f>K8698</f>
        <v>10</v>
      </c>
      <c r="L8700" s="225">
        <f>L8460</f>
        <v>11</v>
      </c>
      <c r="M8700" s="163" t="str">
        <f>CONCATENATE(H8700," ",F8700,"*",L8700,"автобуса","*",I8700,"/",K8700,"чел.")</f>
        <v>1028,18180775493 л бензина АИ 92 (12,5л/день(зимой)*20дней*7мес+10л/день(летом)*20дней*4мес)*11автобуса*0,00053339/10чел.</v>
      </c>
      <c r="N8700" s="164">
        <f>N6900</f>
        <v>59.28728000000001</v>
      </c>
      <c r="O8700" s="165">
        <f>MROUND(G8700*N8700,0.000001)</f>
        <v>35.765881999999998</v>
      </c>
      <c r="P8700" s="166"/>
      <c r="Q8700" s="166">
        <f t="shared" ref="Q8700" si="2529">O8700*K8700</f>
        <v>357.65881999999999</v>
      </c>
      <c r="R8700" s="71"/>
    </row>
    <row r="8701" spans="1:18" s="62" customFormat="1" x14ac:dyDescent="0.25">
      <c r="A8701" s="358"/>
      <c r="B8701" s="361"/>
      <c r="C8701" s="218" t="s">
        <v>300</v>
      </c>
      <c r="D8701" s="240"/>
      <c r="E8701" s="240"/>
      <c r="F8701" s="240"/>
      <c r="G8701" s="227"/>
      <c r="H8701" s="241"/>
      <c r="I8701" s="206"/>
      <c r="J8701" s="228"/>
      <c r="K8701" s="207"/>
      <c r="L8701" s="257"/>
      <c r="M8701" s="209"/>
      <c r="N8701" s="210"/>
      <c r="O8701" s="198">
        <f>SUM(O8700)</f>
        <v>35.765881999999998</v>
      </c>
      <c r="P8701" s="267"/>
      <c r="Q8701" s="166"/>
      <c r="R8701" s="71"/>
    </row>
    <row r="8702" spans="1:18" s="61" customFormat="1" ht="47.25" x14ac:dyDescent="0.25">
      <c r="A8702" s="358"/>
      <c r="B8702" s="361"/>
      <c r="C8702" s="221" t="s">
        <v>434</v>
      </c>
      <c r="D8702" s="156" t="s">
        <v>436</v>
      </c>
      <c r="E8702" s="156" t="s">
        <v>28</v>
      </c>
      <c r="F8702" s="156" t="s">
        <v>437</v>
      </c>
      <c r="G8702" s="157">
        <f>MROUND(H8702*L8702*I8702/K8702,0.000001)</f>
        <v>1.5467999999999999E-2</v>
      </c>
      <c r="H8702" s="242">
        <f>$H$125</f>
        <v>290</v>
      </c>
      <c r="I8702" s="159">
        <f>I8700</f>
        <v>5.3339000000000001E-4</v>
      </c>
      <c r="J8702" s="160"/>
      <c r="K8702" s="161">
        <f>K8700</f>
        <v>10</v>
      </c>
      <c r="L8702" s="162">
        <v>1</v>
      </c>
      <c r="M8702" s="163" t="str">
        <f>CONCATENATE(H8702," ",F8702,"*",L8702,"автобуса","*",I8702,"/",K8702,"чел.")</f>
        <v>290 огнетушителей (потребность учреждений) *1автобуса*0,00053339/10чел.</v>
      </c>
      <c r="N8702" s="164">
        <f>$N$125</f>
        <v>2000</v>
      </c>
      <c r="O8702" s="165">
        <f>MROUND(G8702*N8702,0.000001)</f>
        <v>30.936</v>
      </c>
      <c r="P8702" s="166"/>
      <c r="Q8702" s="166">
        <f t="shared" ref="Q8702" si="2530">O8702*K8702</f>
        <v>309.36</v>
      </c>
      <c r="R8702" s="71"/>
    </row>
    <row r="8703" spans="1:18" s="61" customFormat="1" x14ac:dyDescent="0.25">
      <c r="A8703" s="358"/>
      <c r="B8703" s="361"/>
      <c r="C8703" s="218" t="s">
        <v>435</v>
      </c>
      <c r="D8703" s="240"/>
      <c r="E8703" s="240"/>
      <c r="F8703" s="240"/>
      <c r="G8703" s="251"/>
      <c r="H8703" s="241"/>
      <c r="I8703" s="206"/>
      <c r="J8703" s="228"/>
      <c r="K8703" s="207"/>
      <c r="L8703" s="229"/>
      <c r="M8703" s="209"/>
      <c r="N8703" s="210"/>
      <c r="O8703" s="198">
        <f>SUM(O8702)</f>
        <v>30.936</v>
      </c>
      <c r="P8703" s="166"/>
      <c r="Q8703" s="166"/>
      <c r="R8703" s="71"/>
    </row>
    <row r="8704" spans="1:18" s="61" customFormat="1" ht="47.25" x14ac:dyDescent="0.25">
      <c r="A8704" s="358"/>
      <c r="B8704" s="361"/>
      <c r="C8704" s="364" t="s">
        <v>118</v>
      </c>
      <c r="D8704" s="156" t="s">
        <v>47</v>
      </c>
      <c r="E8704" s="156" t="s">
        <v>28</v>
      </c>
      <c r="F8704" s="156" t="s">
        <v>239</v>
      </c>
      <c r="G8704" s="238">
        <f>MROUND(H8704*L8704*I8704/K8704,0.00000001)</f>
        <v>7.4674600000000004E-3</v>
      </c>
      <c r="H8704" s="158">
        <f>H7624</f>
        <v>140</v>
      </c>
      <c r="I8704" s="159">
        <f>I8700</f>
        <v>5.3339000000000001E-4</v>
      </c>
      <c r="J8704" s="160"/>
      <c r="K8704" s="161">
        <f>K8700</f>
        <v>10</v>
      </c>
      <c r="L8704" s="250">
        <v>1</v>
      </c>
      <c r="M8704" s="163" t="str">
        <f>CONCATENATE(H8704," ",F8704,"*",I8704,"/",K8704,"чел.")</f>
        <v>140 манометров (потребность учреждений) *0,00053339/10чел.</v>
      </c>
      <c r="N8704" s="164">
        <f>N6904</f>
        <v>770.73500000000035</v>
      </c>
      <c r="O8704" s="165">
        <f>MROUND(G8704*N8704,0.000001)</f>
        <v>5.755433</v>
      </c>
      <c r="P8704" s="166"/>
      <c r="Q8704" s="166">
        <f t="shared" ref="Q8704:Q8705" si="2531">O8704*K8704</f>
        <v>57.55433</v>
      </c>
      <c r="R8704" s="71"/>
    </row>
    <row r="8705" spans="1:18" s="61" customFormat="1" ht="47.25" x14ac:dyDescent="0.25">
      <c r="A8705" s="358"/>
      <c r="B8705" s="361"/>
      <c r="C8705" s="364"/>
      <c r="D8705" s="255" t="s">
        <v>113</v>
      </c>
      <c r="E8705" s="156" t="s">
        <v>28</v>
      </c>
      <c r="F8705" s="156" t="s">
        <v>240</v>
      </c>
      <c r="G8705" s="238">
        <f>MROUND(H8705*L8705*I8705/K8705,0.00000001)</f>
        <v>0.30483238000000001</v>
      </c>
      <c r="H8705" s="158">
        <f>H7265</f>
        <v>5715</v>
      </c>
      <c r="I8705" s="159">
        <f>I8704</f>
        <v>5.3339000000000001E-4</v>
      </c>
      <c r="J8705" s="160"/>
      <c r="K8705" s="161">
        <f>K8704</f>
        <v>10</v>
      </c>
      <c r="L8705" s="250">
        <v>1</v>
      </c>
      <c r="M8705" s="163" t="str">
        <f>CONCATENATE(H8705," ",F8705,"*",I8705,"/",K8705,"чел.")</f>
        <v>5715 светильников (потребность учреждений)*0,00053339/10чел.</v>
      </c>
      <c r="N8705" s="164">
        <f>N6905</f>
        <v>115.61019597550306</v>
      </c>
      <c r="O8705" s="165">
        <f>MROUND(G8705*N8705,0.000001)</f>
        <v>35.241731000000001</v>
      </c>
      <c r="P8705" s="166"/>
      <c r="Q8705" s="166">
        <f t="shared" si="2531"/>
        <v>352.41731000000004</v>
      </c>
      <c r="R8705" s="71"/>
    </row>
    <row r="8706" spans="1:18" s="62" customFormat="1" x14ac:dyDescent="0.25">
      <c r="A8706" s="359"/>
      <c r="B8706" s="362"/>
      <c r="C8706" s="218" t="s">
        <v>301</v>
      </c>
      <c r="D8706" s="256"/>
      <c r="E8706" s="240"/>
      <c r="F8706" s="240"/>
      <c r="G8706" s="227"/>
      <c r="H8706" s="241"/>
      <c r="I8706" s="206"/>
      <c r="J8706" s="228"/>
      <c r="K8706" s="207"/>
      <c r="L8706" s="257"/>
      <c r="M8706" s="209"/>
      <c r="N8706" s="210"/>
      <c r="O8706" s="198">
        <f>SUM(O8704:O8705)</f>
        <v>40.997163999999998</v>
      </c>
      <c r="P8706" s="267"/>
      <c r="Q8706" s="166"/>
      <c r="R8706" s="71"/>
    </row>
    <row r="8707" spans="1:18" s="61" customFormat="1" x14ac:dyDescent="0.25">
      <c r="A8707" s="357" t="str">
        <f>CONCATENATE(школы!$B$23,", ",школы!$C$23,", ",школы!$D$23)</f>
        <v xml:space="preserve">Реализация основных общеобразовательных программ среднего общего образования, образовательная программа, обеспечивающая углубленное изучение отдельных учебных предметов, предметных областей (профильное обучение), </v>
      </c>
      <c r="B8707" s="360" t="str">
        <f>школы!$A$23</f>
        <v>802112О.99.0.ББ11АП76001</v>
      </c>
      <c r="C8707" s="194"/>
      <c r="D8707" s="363" t="s">
        <v>15</v>
      </c>
      <c r="E8707" s="363"/>
      <c r="F8707" s="363"/>
      <c r="G8707" s="363"/>
      <c r="H8707" s="195"/>
      <c r="I8707" s="195"/>
      <c r="J8707" s="195"/>
      <c r="K8707" s="195"/>
      <c r="L8707" s="196"/>
      <c r="M8707" s="197"/>
      <c r="N8707" s="164"/>
      <c r="O8707" s="198">
        <f>O8708+O8713+O8715</f>
        <v>9897.1761216819996</v>
      </c>
      <c r="P8707" s="166"/>
      <c r="Q8707" s="166"/>
      <c r="R8707" s="71"/>
    </row>
    <row r="8708" spans="1:18" s="61" customFormat="1" x14ac:dyDescent="0.25">
      <c r="A8708" s="358"/>
      <c r="B8708" s="361"/>
      <c r="C8708" s="194"/>
      <c r="D8708" s="350" t="s">
        <v>62</v>
      </c>
      <c r="E8708" s="350"/>
      <c r="F8708" s="350"/>
      <c r="G8708" s="350"/>
      <c r="H8708" s="195"/>
      <c r="I8708" s="195"/>
      <c r="J8708" s="195"/>
      <c r="K8708" s="195"/>
      <c r="L8708" s="196"/>
      <c r="M8708" s="197"/>
      <c r="N8708" s="164"/>
      <c r="O8708" s="165">
        <f>O8710+O8712</f>
        <v>9897.1761216819996</v>
      </c>
      <c r="P8708" s="166"/>
      <c r="Q8708" s="166"/>
      <c r="R8708" s="71"/>
    </row>
    <row r="8709" spans="1:18" s="61" customFormat="1" x14ac:dyDescent="0.25">
      <c r="A8709" s="358"/>
      <c r="B8709" s="361"/>
      <c r="C8709" s="194">
        <v>211</v>
      </c>
      <c r="D8709" s="194" t="s">
        <v>86</v>
      </c>
      <c r="E8709" s="199" t="s">
        <v>95</v>
      </c>
      <c r="F8709" s="199" t="s">
        <v>95</v>
      </c>
      <c r="G8709" s="275">
        <f>MROUND(H8709*L8709*I8709/K8709,0.0000000001)</f>
        <v>0.5900140894</v>
      </c>
      <c r="H8709" s="201">
        <f>H7869</f>
        <v>921.8</v>
      </c>
      <c r="I8709" s="159">
        <f>школы!$K$23</f>
        <v>2.8856369999999999E-2</v>
      </c>
      <c r="J8709" s="159"/>
      <c r="K8709" s="161">
        <f>школы!$G$23</f>
        <v>541</v>
      </c>
      <c r="L8709" s="202">
        <v>12</v>
      </c>
      <c r="M8709" s="163" t="str">
        <f>CONCATENATE(H8709," ",F8709," ","в мес.","*",L8709,"мес.","*",I8709,"/",K8709,"чел.")</f>
        <v>921,8 шт.ед в мес.*12мес.*0,02885637/541чел.</v>
      </c>
      <c r="N8709" s="164">
        <f>N7869</f>
        <v>12883.620739314385</v>
      </c>
      <c r="O8709" s="165">
        <f>MROUND(G8709*N8709,0.000000001)</f>
        <v>7601.517758682</v>
      </c>
      <c r="P8709" s="166"/>
      <c r="Q8709" s="166">
        <f t="shared" ref="Q8709" si="2532">O8709*K8709</f>
        <v>4112421.107446962</v>
      </c>
      <c r="R8709" s="71"/>
    </row>
    <row r="8710" spans="1:18" s="62" customFormat="1" x14ac:dyDescent="0.25">
      <c r="A8710" s="358"/>
      <c r="B8710" s="361"/>
      <c r="C8710" s="203" t="s">
        <v>288</v>
      </c>
      <c r="D8710" s="203"/>
      <c r="E8710" s="204"/>
      <c r="F8710" s="204"/>
      <c r="G8710" s="205"/>
      <c r="H8710" s="206"/>
      <c r="I8710" s="206"/>
      <c r="J8710" s="206"/>
      <c r="K8710" s="207"/>
      <c r="L8710" s="208"/>
      <c r="M8710" s="209"/>
      <c r="N8710" s="210">
        <f>N8709</f>
        <v>12883.620739314385</v>
      </c>
      <c r="O8710" s="198">
        <f>O8709</f>
        <v>7601.517758682</v>
      </c>
      <c r="P8710" s="267"/>
      <c r="Q8710" s="166"/>
      <c r="R8710" s="71"/>
    </row>
    <row r="8711" spans="1:18" s="61" customFormat="1" x14ac:dyDescent="0.25">
      <c r="A8711" s="358"/>
      <c r="B8711" s="361"/>
      <c r="C8711" s="194">
        <v>213</v>
      </c>
      <c r="D8711" s="194" t="s">
        <v>87</v>
      </c>
      <c r="E8711" s="194" t="s">
        <v>88</v>
      </c>
      <c r="F8711" s="194"/>
      <c r="G8711" s="211">
        <v>30.2</v>
      </c>
      <c r="H8711" s="159"/>
      <c r="I8711" s="159"/>
      <c r="J8711" s="159"/>
      <c r="K8711" s="161">
        <f>K8709</f>
        <v>541</v>
      </c>
      <c r="L8711" s="202"/>
      <c r="M8711" s="212"/>
      <c r="N8711" s="164"/>
      <c r="O8711" s="165">
        <f>MROUND(O8709*0.302,0.000001)</f>
        <v>2295.658363</v>
      </c>
      <c r="P8711" s="166"/>
      <c r="Q8711" s="166">
        <f>O8711*K8711</f>
        <v>1241951.174383</v>
      </c>
      <c r="R8711" s="71"/>
    </row>
    <row r="8712" spans="1:18" s="62" customFormat="1" x14ac:dyDescent="0.25">
      <c r="A8712" s="358"/>
      <c r="B8712" s="361"/>
      <c r="C8712" s="203" t="s">
        <v>289</v>
      </c>
      <c r="D8712" s="203"/>
      <c r="E8712" s="203"/>
      <c r="F8712" s="203"/>
      <c r="G8712" s="213"/>
      <c r="H8712" s="214"/>
      <c r="I8712" s="206"/>
      <c r="J8712" s="214"/>
      <c r="K8712" s="207"/>
      <c r="L8712" s="215"/>
      <c r="M8712" s="216"/>
      <c r="N8712" s="210"/>
      <c r="O8712" s="198">
        <f>O8711</f>
        <v>2295.658363</v>
      </c>
      <c r="P8712" s="267"/>
      <c r="Q8712" s="166"/>
      <c r="R8712" s="71"/>
    </row>
    <row r="8713" spans="1:18" s="61" customFormat="1" x14ac:dyDescent="0.25">
      <c r="A8713" s="358"/>
      <c r="B8713" s="361"/>
      <c r="C8713" s="194"/>
      <c r="D8713" s="356" t="s">
        <v>63</v>
      </c>
      <c r="E8713" s="356"/>
      <c r="F8713" s="356"/>
      <c r="G8713" s="356"/>
      <c r="H8713" s="195"/>
      <c r="I8713" s="159"/>
      <c r="J8713" s="195"/>
      <c r="K8713" s="161"/>
      <c r="L8713" s="196"/>
      <c r="M8713" s="197"/>
      <c r="N8713" s="164"/>
      <c r="O8713" s="165"/>
      <c r="P8713" s="166"/>
      <c r="Q8713" s="166"/>
      <c r="R8713" s="71"/>
    </row>
    <row r="8714" spans="1:18" s="61" customFormat="1" x14ac:dyDescent="0.25">
      <c r="A8714" s="358"/>
      <c r="B8714" s="361"/>
      <c r="C8714" s="194"/>
      <c r="D8714" s="194"/>
      <c r="E8714" s="194"/>
      <c r="F8714" s="194"/>
      <c r="G8714" s="217"/>
      <c r="H8714" s="195"/>
      <c r="I8714" s="159"/>
      <c r="J8714" s="195"/>
      <c r="K8714" s="161"/>
      <c r="L8714" s="196"/>
      <c r="M8714" s="197"/>
      <c r="N8714" s="164"/>
      <c r="O8714" s="165"/>
      <c r="P8714" s="166"/>
      <c r="Q8714" s="166"/>
      <c r="R8714" s="71"/>
    </row>
    <row r="8715" spans="1:18" s="61" customFormat="1" x14ac:dyDescent="0.25">
      <c r="A8715" s="358"/>
      <c r="B8715" s="361"/>
      <c r="C8715" s="194"/>
      <c r="D8715" s="350" t="s">
        <v>64</v>
      </c>
      <c r="E8715" s="350"/>
      <c r="F8715" s="350"/>
      <c r="G8715" s="350"/>
      <c r="H8715" s="195"/>
      <c r="I8715" s="159"/>
      <c r="J8715" s="195"/>
      <c r="K8715" s="161"/>
      <c r="L8715" s="196"/>
      <c r="M8715" s="197"/>
      <c r="N8715" s="164"/>
      <c r="O8715" s="165"/>
      <c r="P8715" s="166"/>
      <c r="Q8715" s="166"/>
      <c r="R8715" s="71"/>
    </row>
    <row r="8716" spans="1:18" s="61" customFormat="1" x14ac:dyDescent="0.25">
      <c r="A8716" s="358"/>
      <c r="B8716" s="361"/>
      <c r="C8716" s="194"/>
      <c r="D8716" s="194"/>
      <c r="E8716" s="194"/>
      <c r="F8716" s="194"/>
      <c r="G8716" s="217"/>
      <c r="H8716" s="195"/>
      <c r="I8716" s="159"/>
      <c r="J8716" s="195"/>
      <c r="K8716" s="161"/>
      <c r="L8716" s="196"/>
      <c r="M8716" s="197"/>
      <c r="N8716" s="164"/>
      <c r="O8716" s="165"/>
      <c r="P8716" s="166"/>
      <c r="Q8716" s="166"/>
      <c r="R8716" s="71"/>
    </row>
    <row r="8717" spans="1:18" s="61" customFormat="1" x14ac:dyDescent="0.25">
      <c r="A8717" s="358"/>
      <c r="B8717" s="361"/>
      <c r="C8717" s="194"/>
      <c r="D8717" s="355" t="s">
        <v>5</v>
      </c>
      <c r="E8717" s="355"/>
      <c r="F8717" s="355"/>
      <c r="G8717" s="355"/>
      <c r="H8717" s="195"/>
      <c r="I8717" s="159"/>
      <c r="J8717" s="195"/>
      <c r="K8717" s="161"/>
      <c r="L8717" s="196"/>
      <c r="M8717" s="197"/>
      <c r="N8717" s="164"/>
      <c r="O8717" s="198">
        <f>O8718+O8728+O8739+O8741+O8743+O8745+O8747</f>
        <v>16609.204034844035</v>
      </c>
      <c r="P8717" s="166"/>
      <c r="Q8717" s="166"/>
      <c r="R8717" s="71"/>
    </row>
    <row r="8718" spans="1:18" s="61" customFormat="1" x14ac:dyDescent="0.25">
      <c r="A8718" s="358"/>
      <c r="B8718" s="361"/>
      <c r="C8718" s="218" t="s">
        <v>70</v>
      </c>
      <c r="D8718" s="355" t="s">
        <v>6</v>
      </c>
      <c r="E8718" s="355"/>
      <c r="F8718" s="355"/>
      <c r="G8718" s="355"/>
      <c r="H8718" s="189"/>
      <c r="I8718" s="159"/>
      <c r="J8718" s="189"/>
      <c r="K8718" s="161"/>
      <c r="L8718" s="190"/>
      <c r="M8718" s="197"/>
      <c r="N8718" s="210"/>
      <c r="O8718" s="198">
        <f>O8727</f>
        <v>10038.196099699997</v>
      </c>
      <c r="P8718" s="166"/>
      <c r="Q8718" s="166"/>
      <c r="R8718" s="71"/>
    </row>
    <row r="8719" spans="1:18" s="61" customFormat="1" ht="31.5" x14ac:dyDescent="0.25">
      <c r="A8719" s="358"/>
      <c r="B8719" s="361"/>
      <c r="C8719" s="221" t="s">
        <v>72</v>
      </c>
      <c r="D8719" s="222" t="s">
        <v>7</v>
      </c>
      <c r="E8719" s="223" t="s">
        <v>8</v>
      </c>
      <c r="F8719" s="223" t="s">
        <v>8</v>
      </c>
      <c r="G8719" s="238">
        <f>MROUND(H8719*L8719*I8719/K8719,0.00000000001)</f>
        <v>176.71840616648998</v>
      </c>
      <c r="H8719" s="160">
        <f>H7999</f>
        <v>3313121.4264326878</v>
      </c>
      <c r="I8719" s="159">
        <f>I8709</f>
        <v>2.8856369999999999E-2</v>
      </c>
      <c r="J8719" s="160"/>
      <c r="K8719" s="161">
        <f>K8709</f>
        <v>541</v>
      </c>
      <c r="L8719" s="250">
        <v>1</v>
      </c>
      <c r="M8719" s="163" t="str">
        <f t="shared" ref="M8719:M8724" si="2533">CONCATENATE(H8719," ",F8719,"(лимиты выделенные УЖКХ) ","*",I8719,"/",K8719,"чел.")</f>
        <v>3313121,42643269 кВт час.(лимиты выделенные УЖКХ) *0,02885637/541чел.</v>
      </c>
      <c r="N8719" s="164">
        <f>N7999</f>
        <v>11.333602475424668</v>
      </c>
      <c r="O8719" s="165">
        <f t="shared" ref="O8719:O8722" si="2534">MROUND(G8719*N8719,0.000001)</f>
        <v>2002.8561659999998</v>
      </c>
      <c r="P8719" s="166"/>
      <c r="Q8719" s="166">
        <f t="shared" ref="Q8719:Q8726" si="2535">O8719*K8719</f>
        <v>1083545.1858059999</v>
      </c>
      <c r="R8719" s="71"/>
    </row>
    <row r="8720" spans="1:18" s="61" customFormat="1" ht="31.5" x14ac:dyDescent="0.25">
      <c r="A8720" s="358"/>
      <c r="B8720" s="361"/>
      <c r="C8720" s="221" t="s">
        <v>73</v>
      </c>
      <c r="D8720" s="222" t="s">
        <v>9</v>
      </c>
      <c r="E8720" s="223" t="s">
        <v>10</v>
      </c>
      <c r="F8720" s="223" t="s">
        <v>10</v>
      </c>
      <c r="G8720" s="238">
        <f>MROUND(H8720*L8720*I8720/K8720,0.00000000001)</f>
        <v>1.7013731753699999</v>
      </c>
      <c r="H8720" s="160">
        <f>H7640</f>
        <v>31897.39</v>
      </c>
      <c r="I8720" s="159">
        <f t="shared" ref="I8720:I8772" si="2536">I8719</f>
        <v>2.8856369999999999E-2</v>
      </c>
      <c r="J8720" s="160"/>
      <c r="K8720" s="161">
        <f t="shared" ref="K8720:K8726" si="2537">K8719</f>
        <v>541</v>
      </c>
      <c r="L8720" s="250">
        <v>1</v>
      </c>
      <c r="M8720" s="163" t="str">
        <f t="shared" si="2533"/>
        <v>31897,39 Гкал(лимиты выделенные УЖКХ) *0,02885637/541чел.</v>
      </c>
      <c r="N8720" s="164">
        <f>N7640</f>
        <v>3095.3018623153812</v>
      </c>
      <c r="O8720" s="165">
        <f t="shared" si="2534"/>
        <v>5266.2635579999996</v>
      </c>
      <c r="P8720" s="166"/>
      <c r="Q8720" s="166">
        <f t="shared" si="2535"/>
        <v>2849048.584878</v>
      </c>
      <c r="R8720" s="71"/>
    </row>
    <row r="8721" spans="1:18" s="61" customFormat="1" ht="31.5" x14ac:dyDescent="0.25">
      <c r="A8721" s="358"/>
      <c r="B8721" s="361"/>
      <c r="C8721" s="364" t="s">
        <v>74</v>
      </c>
      <c r="D8721" s="222" t="s">
        <v>12</v>
      </c>
      <c r="E8721" s="222" t="s">
        <v>11</v>
      </c>
      <c r="F8721" s="222" t="s">
        <v>11</v>
      </c>
      <c r="G8721" s="238">
        <f>MROUND(H8721*L8721*I8721/K8721,0.00000000001)</f>
        <v>9.8530459405399995</v>
      </c>
      <c r="H8721" s="224">
        <f>H6921</f>
        <v>184725.17</v>
      </c>
      <c r="I8721" s="159">
        <f t="shared" si="2536"/>
        <v>2.8856369999999999E-2</v>
      </c>
      <c r="J8721" s="160"/>
      <c r="K8721" s="161">
        <f t="shared" si="2537"/>
        <v>541</v>
      </c>
      <c r="L8721" s="250">
        <v>1</v>
      </c>
      <c r="M8721" s="163" t="str">
        <f t="shared" si="2533"/>
        <v>184725,17 м3(лимиты выделенные УЖКХ) *0,02885637/541чел.</v>
      </c>
      <c r="N8721" s="164">
        <f>N7041</f>
        <v>56.382747245543193</v>
      </c>
      <c r="O8721" s="165">
        <f t="shared" si="2534"/>
        <v>555.54179899999997</v>
      </c>
      <c r="P8721" s="166"/>
      <c r="Q8721" s="166">
        <f t="shared" si="2535"/>
        <v>300548.11325900001</v>
      </c>
      <c r="R8721" s="71"/>
    </row>
    <row r="8722" spans="1:18" s="61" customFormat="1" ht="47.25" x14ac:dyDescent="0.25">
      <c r="A8722" s="358"/>
      <c r="B8722" s="361"/>
      <c r="C8722" s="364"/>
      <c r="D8722" s="222" t="s">
        <v>17</v>
      </c>
      <c r="E8722" s="222" t="s">
        <v>11</v>
      </c>
      <c r="F8722" s="222" t="s">
        <v>11</v>
      </c>
      <c r="G8722" s="238">
        <f>MROUND(H8722*L8722*I8722/K8722,0.00000000001)</f>
        <v>9.8530459405399995</v>
      </c>
      <c r="H8722" s="160">
        <f>H7642</f>
        <v>184725.17</v>
      </c>
      <c r="I8722" s="159">
        <f t="shared" si="2536"/>
        <v>2.8856369999999999E-2</v>
      </c>
      <c r="J8722" s="160"/>
      <c r="K8722" s="161">
        <f t="shared" si="2537"/>
        <v>541</v>
      </c>
      <c r="L8722" s="162">
        <f>$L$6802</f>
        <v>1</v>
      </c>
      <c r="M8722" s="163" t="str">
        <f t="shared" si="2533"/>
        <v>184725,17 м3(лимиты выделенные УЖКХ) *0,02885637/541чел.</v>
      </c>
      <c r="N8722" s="164">
        <f>N6802</f>
        <v>85.679537612054773</v>
      </c>
      <c r="O8722" s="165">
        <f t="shared" si="2534"/>
        <v>844.20441999999991</v>
      </c>
      <c r="P8722" s="166"/>
      <c r="Q8722" s="166">
        <f t="shared" si="2535"/>
        <v>456714.59121999994</v>
      </c>
      <c r="R8722" s="71"/>
    </row>
    <row r="8723" spans="1:18" s="61" customFormat="1" ht="31.5" x14ac:dyDescent="0.25">
      <c r="A8723" s="358"/>
      <c r="B8723" s="361"/>
      <c r="C8723" s="364"/>
      <c r="D8723" s="222" t="s">
        <v>13</v>
      </c>
      <c r="E8723" s="222" t="s">
        <v>11</v>
      </c>
      <c r="F8723" s="222" t="s">
        <v>11</v>
      </c>
      <c r="G8723" s="238">
        <f>MROUND(H8723*L8723*I8723/K8723,0.00000000001)</f>
        <v>9.8530459405399995</v>
      </c>
      <c r="H8723" s="160">
        <f>H7043</f>
        <v>184725.17</v>
      </c>
      <c r="I8723" s="159">
        <f t="shared" si="2536"/>
        <v>2.8856369999999999E-2</v>
      </c>
      <c r="J8723" s="160"/>
      <c r="K8723" s="161">
        <f t="shared" si="2537"/>
        <v>541</v>
      </c>
      <c r="L8723" s="162">
        <v>1</v>
      </c>
      <c r="M8723" s="163" t="str">
        <f t="shared" si="2533"/>
        <v>184725,17 м3(лимиты выделенные УЖКХ) *0,02885637/541чел.</v>
      </c>
      <c r="N8723" s="164">
        <f>N7043</f>
        <v>116.85554734686012</v>
      </c>
      <c r="O8723" s="165">
        <f>MROUND(G8723*N8723,0.00000001)</f>
        <v>1151.38307642</v>
      </c>
      <c r="P8723" s="166"/>
      <c r="Q8723" s="166">
        <f t="shared" si="2535"/>
        <v>622898.24434322002</v>
      </c>
      <c r="R8723" s="71"/>
    </row>
    <row r="8724" spans="1:18" s="61" customFormat="1" ht="31.5" x14ac:dyDescent="0.25">
      <c r="A8724" s="358"/>
      <c r="B8724" s="361"/>
      <c r="C8724" s="221" t="s">
        <v>75</v>
      </c>
      <c r="D8724" s="222" t="s">
        <v>18</v>
      </c>
      <c r="E8724" s="222" t="s">
        <v>48</v>
      </c>
      <c r="F8724" s="222" t="s">
        <v>48</v>
      </c>
      <c r="G8724" s="238">
        <f>MROUND(H8724*L8724*I8724/K8724,0.0000000001)</f>
        <v>0.74074995200000004</v>
      </c>
      <c r="H8724" s="160">
        <f>H6804</f>
        <v>13887.6</v>
      </c>
      <c r="I8724" s="159">
        <f t="shared" si="2536"/>
        <v>2.8856369999999999E-2</v>
      </c>
      <c r="J8724" s="160"/>
      <c r="K8724" s="161">
        <f t="shared" si="2537"/>
        <v>541</v>
      </c>
      <c r="L8724" s="250">
        <v>1</v>
      </c>
      <c r="M8724" s="163" t="str">
        <f t="shared" si="2533"/>
        <v>13887,6 тыс. м3(лимиты выделенные УЖКХ) *0,02885637/541чел.</v>
      </c>
      <c r="N8724" s="164">
        <f>N6804</f>
        <v>31.799284973645559</v>
      </c>
      <c r="O8724" s="165">
        <f t="shared" ref="O8724" si="2538">MROUND(G8724*N8724,0.000001)</f>
        <v>23.555318999999997</v>
      </c>
      <c r="P8724" s="166"/>
      <c r="Q8724" s="166">
        <f t="shared" si="2535"/>
        <v>12743.427578999999</v>
      </c>
      <c r="R8724" s="71"/>
    </row>
    <row r="8725" spans="1:18" s="61" customFormat="1" x14ac:dyDescent="0.25">
      <c r="A8725" s="358"/>
      <c r="B8725" s="361"/>
      <c r="C8725" s="364" t="s">
        <v>216</v>
      </c>
      <c r="D8725" s="222" t="s">
        <v>23</v>
      </c>
      <c r="E8725" s="222" t="s">
        <v>11</v>
      </c>
      <c r="F8725" s="222" t="s">
        <v>11</v>
      </c>
      <c r="G8725" s="238">
        <f>MROUND(H8725*L8725*I8725/K8725,0.000000000001)</f>
        <v>0.179679708386</v>
      </c>
      <c r="H8725" s="160">
        <f>H6805</f>
        <v>3368.6400000000003</v>
      </c>
      <c r="I8725" s="159">
        <f t="shared" si="2536"/>
        <v>2.8856369999999999E-2</v>
      </c>
      <c r="J8725" s="160"/>
      <c r="K8725" s="161">
        <f t="shared" si="2537"/>
        <v>541</v>
      </c>
      <c r="L8725" s="162">
        <f>L8724</f>
        <v>1</v>
      </c>
      <c r="M8725" s="163" t="str">
        <f>CONCATENATE(H8725," ",F8725," ","*",I8725,"/",K8725,"чел.")</f>
        <v>3368,64 м3 *0,02885637/541чел.</v>
      </c>
      <c r="N8725" s="164">
        <f>N6805</f>
        <v>807.40973805452643</v>
      </c>
      <c r="O8725" s="165">
        <f>MROUND(G8725*N8725,0.00000001)</f>
        <v>145.07514628000001</v>
      </c>
      <c r="P8725" s="166"/>
      <c r="Q8725" s="166">
        <f t="shared" si="2535"/>
        <v>78485.65413748</v>
      </c>
      <c r="R8725" s="71"/>
    </row>
    <row r="8726" spans="1:18" s="61" customFormat="1" ht="47.25" x14ac:dyDescent="0.25">
      <c r="A8726" s="358"/>
      <c r="B8726" s="361"/>
      <c r="C8726" s="364"/>
      <c r="D8726" s="222" t="s">
        <v>24</v>
      </c>
      <c r="E8726" s="222" t="s">
        <v>25</v>
      </c>
      <c r="F8726" s="222" t="s">
        <v>217</v>
      </c>
      <c r="G8726" s="238">
        <f>MROUND(H8726*L8726*I8726/K8726,0.000000000001)</f>
        <v>7.8408251200000004E-3</v>
      </c>
      <c r="H8726" s="160">
        <f>H8006</f>
        <v>147</v>
      </c>
      <c r="I8726" s="159">
        <f t="shared" si="2536"/>
        <v>2.8856369999999999E-2</v>
      </c>
      <c r="J8726" s="160"/>
      <c r="K8726" s="161">
        <f t="shared" si="2537"/>
        <v>541</v>
      </c>
      <c r="L8726" s="250">
        <f>L8725</f>
        <v>1</v>
      </c>
      <c r="M8726" s="163" t="str">
        <f>CONCATENATE(H8726," ",F8726,"(потребность из расчета 4 контейнера для уборки территории весной и осенью на 1 учреждение)","*",I8726,"/",K8726,"чел.")</f>
        <v>147 контейнера(потребность из расчета 4 контейнера для уборки территории весной и осенью на 1 учреждение)*0,02885637/541чел.</v>
      </c>
      <c r="N8726" s="164">
        <f>N8006</f>
        <v>6289.7226530612279</v>
      </c>
      <c r="O8726" s="165">
        <f t="shared" ref="O8726" si="2539">MROUND(G8726*N8726,0.000001)</f>
        <v>49.316614999999999</v>
      </c>
      <c r="P8726" s="166"/>
      <c r="Q8726" s="166">
        <f t="shared" si="2535"/>
        <v>26680.288714999999</v>
      </c>
      <c r="R8726" s="71"/>
    </row>
    <row r="8727" spans="1:18" s="62" customFormat="1" x14ac:dyDescent="0.25">
      <c r="A8727" s="358"/>
      <c r="B8727" s="361"/>
      <c r="C8727" s="218" t="s">
        <v>290</v>
      </c>
      <c r="D8727" s="226"/>
      <c r="E8727" s="226"/>
      <c r="F8727" s="226"/>
      <c r="G8727" s="227"/>
      <c r="H8727" s="228"/>
      <c r="I8727" s="206"/>
      <c r="J8727" s="228"/>
      <c r="K8727" s="207"/>
      <c r="L8727" s="257"/>
      <c r="M8727" s="209"/>
      <c r="N8727" s="210"/>
      <c r="O8727" s="198">
        <f>SUM(O8719:O8726)</f>
        <v>10038.196099699997</v>
      </c>
      <c r="P8727" s="267"/>
      <c r="Q8727" s="166"/>
      <c r="R8727" s="71"/>
    </row>
    <row r="8728" spans="1:18" s="61" customFormat="1" x14ac:dyDescent="0.25">
      <c r="A8728" s="358"/>
      <c r="B8728" s="361"/>
      <c r="C8728" s="221"/>
      <c r="D8728" s="356" t="s">
        <v>14</v>
      </c>
      <c r="E8728" s="356"/>
      <c r="F8728" s="356"/>
      <c r="G8728" s="356"/>
      <c r="H8728" s="188"/>
      <c r="I8728" s="159"/>
      <c r="J8728" s="188"/>
      <c r="K8728" s="161"/>
      <c r="L8728" s="250"/>
      <c r="M8728" s="230"/>
      <c r="N8728" s="164"/>
      <c r="O8728" s="198">
        <f>O8736+O8737+O8732</f>
        <v>5334.4600338040391</v>
      </c>
      <c r="P8728" s="166"/>
      <c r="Q8728" s="166"/>
      <c r="R8728" s="71"/>
    </row>
    <row r="8729" spans="1:18" s="61" customFormat="1" x14ac:dyDescent="0.25">
      <c r="A8729" s="358"/>
      <c r="B8729" s="361"/>
      <c r="C8729" s="221" t="s">
        <v>379</v>
      </c>
      <c r="D8729" s="231" t="s">
        <v>49</v>
      </c>
      <c r="E8729" s="231" t="s">
        <v>22</v>
      </c>
      <c r="F8729" s="231" t="s">
        <v>22</v>
      </c>
      <c r="G8729" s="238">
        <f>MROUND(H8729*L8729*I8729/K8729,0.000000001)</f>
        <v>0</v>
      </c>
      <c r="H8729" s="160"/>
      <c r="I8729" s="159">
        <f>I8724</f>
        <v>2.8856369999999999E-2</v>
      </c>
      <c r="J8729" s="160"/>
      <c r="K8729" s="161">
        <f>K8724</f>
        <v>541</v>
      </c>
      <c r="L8729" s="250"/>
      <c r="M8729" s="163"/>
      <c r="N8729" s="164"/>
      <c r="O8729" s="165">
        <f>MROUND(G8729*N8729,0.00000001)</f>
        <v>0</v>
      </c>
      <c r="P8729" s="166"/>
      <c r="Q8729" s="166">
        <f t="shared" ref="Q8729:Q8731" si="2540">O8729*K8729</f>
        <v>0</v>
      </c>
      <c r="R8729" s="71"/>
    </row>
    <row r="8730" spans="1:18" s="61" customFormat="1" x14ac:dyDescent="0.25">
      <c r="A8730" s="358"/>
      <c r="B8730" s="361"/>
      <c r="C8730" s="221" t="s">
        <v>379</v>
      </c>
      <c r="D8730" s="231" t="s">
        <v>49</v>
      </c>
      <c r="E8730" s="231" t="s">
        <v>28</v>
      </c>
      <c r="F8730" s="231" t="s">
        <v>28</v>
      </c>
      <c r="G8730" s="238">
        <f>MROUND(H8730*L8730*I8730/K8730,0.000000001)</f>
        <v>0</v>
      </c>
      <c r="H8730" s="160"/>
      <c r="I8730" s="159">
        <f t="shared" si="2536"/>
        <v>2.8856369999999999E-2</v>
      </c>
      <c r="J8730" s="160"/>
      <c r="K8730" s="161">
        <f>K8729</f>
        <v>541</v>
      </c>
      <c r="L8730" s="250">
        <v>1</v>
      </c>
      <c r="M8730" s="163"/>
      <c r="N8730" s="164"/>
      <c r="O8730" s="165">
        <f>MROUND(G8730*N8730,0.00000001)</f>
        <v>0</v>
      </c>
      <c r="P8730" s="166"/>
      <c r="Q8730" s="166">
        <f t="shared" si="2540"/>
        <v>0</v>
      </c>
      <c r="R8730" s="71"/>
    </row>
    <row r="8731" spans="1:18" s="61" customFormat="1" x14ac:dyDescent="0.25">
      <c r="A8731" s="358"/>
      <c r="B8731" s="361"/>
      <c r="C8731" s="221" t="s">
        <v>379</v>
      </c>
      <c r="D8731" s="231" t="s">
        <v>49</v>
      </c>
      <c r="E8731" s="231" t="s">
        <v>101</v>
      </c>
      <c r="F8731" s="231" t="s">
        <v>101</v>
      </c>
      <c r="G8731" s="238">
        <f>MROUND(H8731*L8731*I8731/K8731,0.000000001)</f>
        <v>0</v>
      </c>
      <c r="H8731" s="160"/>
      <c r="I8731" s="159">
        <f t="shared" si="2536"/>
        <v>2.8856369999999999E-2</v>
      </c>
      <c r="J8731" s="160"/>
      <c r="K8731" s="161">
        <f>K8730</f>
        <v>541</v>
      </c>
      <c r="L8731" s="250"/>
      <c r="M8731" s="163"/>
      <c r="N8731" s="164"/>
      <c r="O8731" s="165">
        <f>MROUND(G8731*N8731,0.00000001)</f>
        <v>0</v>
      </c>
      <c r="P8731" s="166"/>
      <c r="Q8731" s="166">
        <f t="shared" si="2540"/>
        <v>0</v>
      </c>
      <c r="R8731" s="71"/>
    </row>
    <row r="8732" spans="1:18" s="62" customFormat="1" x14ac:dyDescent="0.25">
      <c r="A8732" s="358"/>
      <c r="B8732" s="361"/>
      <c r="C8732" s="218" t="s">
        <v>380</v>
      </c>
      <c r="D8732" s="232"/>
      <c r="E8732" s="232"/>
      <c r="F8732" s="232"/>
      <c r="G8732" s="227"/>
      <c r="H8732" s="228"/>
      <c r="I8732" s="206"/>
      <c r="J8732" s="228"/>
      <c r="K8732" s="207"/>
      <c r="L8732" s="257"/>
      <c r="M8732" s="209"/>
      <c r="N8732" s="210"/>
      <c r="O8732" s="198">
        <f>SUM(O8729:O8731)</f>
        <v>0</v>
      </c>
      <c r="P8732" s="267"/>
      <c r="Q8732" s="166"/>
      <c r="R8732" s="71"/>
    </row>
    <row r="8733" spans="1:18" s="61" customFormat="1" x14ac:dyDescent="0.25">
      <c r="A8733" s="358"/>
      <c r="B8733" s="361"/>
      <c r="C8733" s="221" t="s">
        <v>76</v>
      </c>
      <c r="D8733" s="231" t="s">
        <v>49</v>
      </c>
      <c r="E8733" s="231" t="s">
        <v>22</v>
      </c>
      <c r="F8733" s="231" t="s">
        <v>22</v>
      </c>
      <c r="G8733" s="238">
        <f>MROUND(H8733*L8733*I8733/K8733,0.000000000000001)</f>
        <v>1.368197313992606</v>
      </c>
      <c r="H8733" s="160">
        <f>H7893</f>
        <v>25651</v>
      </c>
      <c r="I8733" s="159">
        <f>I8729</f>
        <v>2.8856369999999999E-2</v>
      </c>
      <c r="J8733" s="160"/>
      <c r="K8733" s="161">
        <f>K8731</f>
        <v>541</v>
      </c>
      <c r="L8733" s="250">
        <v>1</v>
      </c>
      <c r="M8733" s="163" t="str">
        <f>CONCATENATE(H8733," ",F8733,"*",I8733,"/",K8733,"чел.")</f>
        <v>25651 м2*0,02885637/541чел.</v>
      </c>
      <c r="N8733" s="164">
        <f>N7893</f>
        <v>2452.3410393356985</v>
      </c>
      <c r="O8733" s="165">
        <f>MROUND(G8733*N8733,0.00000000001)</f>
        <v>3355.2864230129398</v>
      </c>
      <c r="P8733" s="166"/>
      <c r="Q8733" s="166">
        <f t="shared" ref="Q8733:Q8735" si="2541">O8733*K8733</f>
        <v>1815209.9548500006</v>
      </c>
      <c r="R8733" s="71"/>
    </row>
    <row r="8734" spans="1:18" s="61" customFormat="1" x14ac:dyDescent="0.25">
      <c r="A8734" s="358"/>
      <c r="B8734" s="361"/>
      <c r="C8734" s="221"/>
      <c r="D8734" s="231" t="s">
        <v>49</v>
      </c>
      <c r="E8734" s="231" t="s">
        <v>28</v>
      </c>
      <c r="F8734" s="231" t="s">
        <v>28</v>
      </c>
      <c r="G8734" s="238">
        <f>MROUND(H8734*L8734*I8734/K8734,0.000000000001)</f>
        <v>9.9583812920999992E-2</v>
      </c>
      <c r="H8734" s="160">
        <f>H7894</f>
        <v>1867</v>
      </c>
      <c r="I8734" s="159">
        <f t="shared" si="2536"/>
        <v>2.8856369999999999E-2</v>
      </c>
      <c r="J8734" s="160"/>
      <c r="K8734" s="161">
        <f>K8733</f>
        <v>541</v>
      </c>
      <c r="L8734" s="250">
        <v>1</v>
      </c>
      <c r="M8734" s="163" t="str">
        <f>CONCATENATE(H8734," ",F8734,"*",I8734,"/",K8734,"чел.")</f>
        <v>1867 шт*0,02885637/541чел.</v>
      </c>
      <c r="N8734" s="164">
        <f>N7894</f>
        <v>18299.732190680235</v>
      </c>
      <c r="O8734" s="165">
        <f>MROUND(G8734*N8734,0.00000000001)</f>
        <v>1822.3571069810998</v>
      </c>
      <c r="P8734" s="166"/>
      <c r="Q8734" s="166">
        <f t="shared" si="2541"/>
        <v>985895.19487677503</v>
      </c>
      <c r="R8734" s="71"/>
    </row>
    <row r="8735" spans="1:18" s="61" customFormat="1" x14ac:dyDescent="0.25">
      <c r="A8735" s="358"/>
      <c r="B8735" s="361"/>
      <c r="C8735" s="221"/>
      <c r="D8735" s="231" t="s">
        <v>49</v>
      </c>
      <c r="E8735" s="231" t="s">
        <v>101</v>
      </c>
      <c r="F8735" s="231" t="s">
        <v>101</v>
      </c>
      <c r="G8735" s="238">
        <f>MROUND(H8735*L8735*I8735/K8735,0.000000001)</f>
        <v>3.4136926000000005E-2</v>
      </c>
      <c r="H8735" s="160">
        <f>H7895</f>
        <v>640</v>
      </c>
      <c r="I8735" s="159">
        <f t="shared" si="2536"/>
        <v>2.8856369999999999E-2</v>
      </c>
      <c r="J8735" s="160"/>
      <c r="K8735" s="161">
        <f>K8734</f>
        <v>541</v>
      </c>
      <c r="L8735" s="250">
        <v>1</v>
      </c>
      <c r="M8735" s="163" t="str">
        <f>CONCATENATE(H8735," ",F8735,"*",I8735,"/",K8735,"чел.")</f>
        <v>640 погон.м.*0,02885637/541чел.</v>
      </c>
      <c r="N8735" s="164">
        <f>N7895</f>
        <v>4593.75</v>
      </c>
      <c r="O8735" s="165">
        <f>MROUND(G8735*N8735,0.00000001)</f>
        <v>156.81650381</v>
      </c>
      <c r="P8735" s="166"/>
      <c r="Q8735" s="166">
        <f t="shared" si="2541"/>
        <v>84837.728561209995</v>
      </c>
      <c r="R8735" s="71"/>
    </row>
    <row r="8736" spans="1:18" s="62" customFormat="1" x14ac:dyDescent="0.25">
      <c r="A8736" s="358"/>
      <c r="B8736" s="361"/>
      <c r="C8736" s="218" t="s">
        <v>291</v>
      </c>
      <c r="D8736" s="232"/>
      <c r="E8736" s="232"/>
      <c r="F8736" s="232"/>
      <c r="G8736" s="227"/>
      <c r="H8736" s="228"/>
      <c r="I8736" s="206"/>
      <c r="J8736" s="228"/>
      <c r="K8736" s="207"/>
      <c r="L8736" s="257"/>
      <c r="M8736" s="209"/>
      <c r="N8736" s="210"/>
      <c r="O8736" s="198">
        <f>SUM(O8733:O8735)</f>
        <v>5334.4600338040391</v>
      </c>
      <c r="P8736" s="267"/>
      <c r="Q8736" s="166"/>
      <c r="R8736" s="71"/>
    </row>
    <row r="8737" spans="1:41" s="61" customFormat="1" x14ac:dyDescent="0.25">
      <c r="A8737" s="358"/>
      <c r="B8737" s="361"/>
      <c r="C8737" s="221" t="s">
        <v>77</v>
      </c>
      <c r="D8737" s="231"/>
      <c r="E8737" s="231"/>
      <c r="F8737" s="231"/>
      <c r="G8737" s="238">
        <f>MROUND(H8737*L8737*I8737/K8737,0.00000000001)</f>
        <v>0</v>
      </c>
      <c r="H8737" s="160">
        <f>H8497</f>
        <v>0</v>
      </c>
      <c r="I8737" s="159">
        <f>I8735</f>
        <v>2.8856369999999999E-2</v>
      </c>
      <c r="J8737" s="160"/>
      <c r="K8737" s="161">
        <f>K8735</f>
        <v>541</v>
      </c>
      <c r="L8737" s="250"/>
      <c r="M8737" s="163"/>
      <c r="N8737" s="164">
        <f>N8497</f>
        <v>0</v>
      </c>
      <c r="O8737" s="165">
        <f>MROUND(G8737*N8737,0.000000001)</f>
        <v>0</v>
      </c>
      <c r="P8737" s="166"/>
      <c r="Q8737" s="166">
        <f t="shared" ref="Q8737" si="2542">O8737*K8737</f>
        <v>0</v>
      </c>
      <c r="R8737" s="71"/>
    </row>
    <row r="8738" spans="1:41" s="62" customFormat="1" x14ac:dyDescent="0.25">
      <c r="A8738" s="358"/>
      <c r="B8738" s="361"/>
      <c r="C8738" s="218" t="s">
        <v>292</v>
      </c>
      <c r="D8738" s="232"/>
      <c r="E8738" s="232"/>
      <c r="F8738" s="232"/>
      <c r="G8738" s="227"/>
      <c r="H8738" s="228"/>
      <c r="I8738" s="206"/>
      <c r="J8738" s="228"/>
      <c r="K8738" s="207"/>
      <c r="L8738" s="257"/>
      <c r="M8738" s="209"/>
      <c r="N8738" s="210"/>
      <c r="O8738" s="198">
        <f>O8737</f>
        <v>0</v>
      </c>
      <c r="P8738" s="267"/>
      <c r="Q8738" s="166"/>
      <c r="R8738" s="71"/>
    </row>
    <row r="8739" spans="1:41" s="61" customFormat="1" x14ac:dyDescent="0.25">
      <c r="A8739" s="358"/>
      <c r="B8739" s="361"/>
      <c r="C8739" s="221"/>
      <c r="D8739" s="350" t="s">
        <v>65</v>
      </c>
      <c r="E8739" s="350"/>
      <c r="F8739" s="350"/>
      <c r="G8739" s="350"/>
      <c r="H8739" s="195"/>
      <c r="I8739" s="159"/>
      <c r="J8739" s="195"/>
      <c r="K8739" s="161"/>
      <c r="L8739" s="196"/>
      <c r="M8739" s="230"/>
      <c r="N8739" s="164"/>
      <c r="O8739" s="165">
        <f t="shared" ref="O8739:O8740" si="2543">MROUND(G8739*N8739,0.000001)</f>
        <v>0</v>
      </c>
      <c r="P8739" s="166"/>
      <c r="Q8739" s="166"/>
      <c r="R8739" s="71"/>
    </row>
    <row r="8740" spans="1:41" s="61" customFormat="1" x14ac:dyDescent="0.25">
      <c r="A8740" s="358"/>
      <c r="B8740" s="361"/>
      <c r="C8740" s="221"/>
      <c r="D8740" s="194"/>
      <c r="E8740" s="194"/>
      <c r="F8740" s="194"/>
      <c r="G8740" s="217"/>
      <c r="H8740" s="195"/>
      <c r="I8740" s="159"/>
      <c r="J8740" s="195"/>
      <c r="K8740" s="161"/>
      <c r="L8740" s="196"/>
      <c r="M8740" s="230"/>
      <c r="N8740" s="164"/>
      <c r="O8740" s="165">
        <f t="shared" si="2543"/>
        <v>0</v>
      </c>
      <c r="P8740" s="166"/>
      <c r="Q8740" s="166"/>
      <c r="R8740" s="71"/>
    </row>
    <row r="8741" spans="1:41" s="61" customFormat="1" x14ac:dyDescent="0.25">
      <c r="A8741" s="358"/>
      <c r="B8741" s="361"/>
      <c r="C8741" s="221" t="s">
        <v>357</v>
      </c>
      <c r="D8741" s="368" t="s">
        <v>66</v>
      </c>
      <c r="E8741" s="368"/>
      <c r="F8741" s="368"/>
      <c r="G8741" s="368"/>
      <c r="H8741" s="195"/>
      <c r="I8741" s="159"/>
      <c r="J8741" s="195"/>
      <c r="K8741" s="161"/>
      <c r="L8741" s="234"/>
      <c r="M8741" s="230"/>
      <c r="N8741" s="164"/>
      <c r="O8741" s="198">
        <f>O8742</f>
        <v>31.308897999999999</v>
      </c>
      <c r="P8741" s="166"/>
      <c r="Q8741" s="166"/>
      <c r="R8741" s="71"/>
    </row>
    <row r="8742" spans="1:41" s="61" customFormat="1" ht="47.25" x14ac:dyDescent="0.25">
      <c r="A8742" s="358"/>
      <c r="B8742" s="361"/>
      <c r="C8742" s="221"/>
      <c r="D8742" s="222" t="s">
        <v>374</v>
      </c>
      <c r="E8742" s="194" t="s">
        <v>28</v>
      </c>
      <c r="F8742" s="194" t="s">
        <v>28</v>
      </c>
      <c r="G8742" s="217">
        <f>MROUND(H8742*L8742*I8742/K8742,0.000000001)</f>
        <v>7.6808080000000008E-3</v>
      </c>
      <c r="H8742" s="201">
        <f>H8142</f>
        <v>36</v>
      </c>
      <c r="I8742" s="159">
        <f>I8737</f>
        <v>2.8856369999999999E-2</v>
      </c>
      <c r="J8742" s="195"/>
      <c r="K8742" s="161">
        <f>K8737</f>
        <v>541</v>
      </c>
      <c r="L8742" s="235">
        <f>L8142</f>
        <v>4</v>
      </c>
      <c r="M8742" s="163" t="str">
        <f>CONCATENATE(H8742," ",F8742,"*",I8742,"/",K8742,"чел.")</f>
        <v>36 шт*0,02885637/541чел.</v>
      </c>
      <c r="N8742" s="164">
        <f>N8142</f>
        <v>4076.2506250000024</v>
      </c>
      <c r="O8742" s="165">
        <f>MROUND(G8742*N8742,0.000001)</f>
        <v>31.308897999999999</v>
      </c>
      <c r="P8742" s="166"/>
      <c r="Q8742" s="166">
        <f t="shared" ref="Q8742" si="2544">O8742*K8742</f>
        <v>16938.113817999998</v>
      </c>
      <c r="R8742" s="71"/>
    </row>
    <row r="8743" spans="1:41" s="61" customFormat="1" x14ac:dyDescent="0.25">
      <c r="A8743" s="358"/>
      <c r="B8743" s="361"/>
      <c r="C8743" s="221"/>
      <c r="D8743" s="368" t="s">
        <v>67</v>
      </c>
      <c r="E8743" s="368"/>
      <c r="F8743" s="368"/>
      <c r="G8743" s="368"/>
      <c r="H8743" s="195"/>
      <c r="I8743" s="159"/>
      <c r="J8743" s="195"/>
      <c r="K8743" s="161"/>
      <c r="L8743" s="196"/>
      <c r="M8743" s="230"/>
      <c r="N8743" s="164"/>
      <c r="O8743" s="165">
        <f t="shared" ref="O8743:O8746" si="2545">MROUND(G8743*N8743,0.000001)</f>
        <v>0</v>
      </c>
      <c r="P8743" s="166"/>
      <c r="Q8743" s="166"/>
      <c r="R8743" s="71"/>
    </row>
    <row r="8744" spans="1:41" s="61" customFormat="1" x14ac:dyDescent="0.25">
      <c r="A8744" s="358"/>
      <c r="B8744" s="361"/>
      <c r="C8744" s="221"/>
      <c r="D8744" s="194"/>
      <c r="E8744" s="194"/>
      <c r="F8744" s="194"/>
      <c r="G8744" s="217"/>
      <c r="H8744" s="195"/>
      <c r="I8744" s="159"/>
      <c r="J8744" s="195"/>
      <c r="K8744" s="161"/>
      <c r="L8744" s="196"/>
      <c r="M8744" s="230"/>
      <c r="N8744" s="164"/>
      <c r="O8744" s="165">
        <f t="shared" si="2545"/>
        <v>0</v>
      </c>
      <c r="P8744" s="166"/>
      <c r="Q8744" s="166"/>
      <c r="R8744" s="71"/>
    </row>
    <row r="8745" spans="1:41" s="61" customFormat="1" x14ac:dyDescent="0.25">
      <c r="A8745" s="358"/>
      <c r="B8745" s="361"/>
      <c r="C8745" s="221"/>
      <c r="D8745" s="350" t="s">
        <v>68</v>
      </c>
      <c r="E8745" s="350"/>
      <c r="F8745" s="350"/>
      <c r="G8745" s="350"/>
      <c r="H8745" s="195"/>
      <c r="I8745" s="159"/>
      <c r="J8745" s="195"/>
      <c r="K8745" s="161"/>
      <c r="L8745" s="196"/>
      <c r="M8745" s="230"/>
      <c r="N8745" s="164"/>
      <c r="O8745" s="165">
        <f t="shared" si="2545"/>
        <v>0</v>
      </c>
      <c r="P8745" s="166"/>
      <c r="Q8745" s="166"/>
      <c r="R8745" s="71"/>
    </row>
    <row r="8746" spans="1:41" s="61" customFormat="1" x14ac:dyDescent="0.25">
      <c r="A8746" s="358"/>
      <c r="B8746" s="361"/>
      <c r="C8746" s="221"/>
      <c r="D8746" s="156"/>
      <c r="E8746" s="156"/>
      <c r="F8746" s="156"/>
      <c r="G8746" s="236"/>
      <c r="H8746" s="195"/>
      <c r="I8746" s="159"/>
      <c r="J8746" s="195"/>
      <c r="K8746" s="161"/>
      <c r="L8746" s="196"/>
      <c r="M8746" s="230"/>
      <c r="N8746" s="164"/>
      <c r="O8746" s="165">
        <f t="shared" si="2545"/>
        <v>0</v>
      </c>
      <c r="P8746" s="166"/>
      <c r="Q8746" s="166"/>
      <c r="R8746" s="71"/>
    </row>
    <row r="8747" spans="1:41" s="61" customFormat="1" x14ac:dyDescent="0.25">
      <c r="A8747" s="358"/>
      <c r="B8747" s="361"/>
      <c r="C8747" s="221"/>
      <c r="D8747" s="368" t="s">
        <v>69</v>
      </c>
      <c r="E8747" s="368"/>
      <c r="F8747" s="368"/>
      <c r="G8747" s="368"/>
      <c r="H8747" s="187"/>
      <c r="I8747" s="159"/>
      <c r="J8747" s="187"/>
      <c r="K8747" s="161"/>
      <c r="L8747" s="276"/>
      <c r="M8747" s="230"/>
      <c r="N8747" s="164"/>
      <c r="O8747" s="198">
        <f>O8749+O8756+O8773+O8775+O8790+O8792+O8794+O8819+O8821+O8826+O8823</f>
        <v>1205.2390033399997</v>
      </c>
      <c r="P8747" s="166"/>
      <c r="Q8747" s="166"/>
      <c r="R8747" s="71"/>
    </row>
    <row r="8748" spans="1:41" s="61" customFormat="1" x14ac:dyDescent="0.25">
      <c r="A8748" s="358"/>
      <c r="B8748" s="361"/>
      <c r="C8748" s="221">
        <v>224</v>
      </c>
      <c r="D8748" s="156" t="s">
        <v>21</v>
      </c>
      <c r="E8748" s="156" t="s">
        <v>22</v>
      </c>
      <c r="F8748" s="156" t="s">
        <v>22</v>
      </c>
      <c r="G8748" s="238">
        <f>MROUND(H8748*L8748*I8748/K8748,0.000001)</f>
        <v>0</v>
      </c>
      <c r="H8748" s="158"/>
      <c r="I8748" s="159">
        <f>I8742</f>
        <v>2.8856369999999999E-2</v>
      </c>
      <c r="J8748" s="160"/>
      <c r="K8748" s="161">
        <f>K8742</f>
        <v>541</v>
      </c>
      <c r="L8748" s="250"/>
      <c r="M8748" s="163"/>
      <c r="N8748" s="164"/>
      <c r="O8748" s="165">
        <f>MROUND(G8748*N8748,0.000001)</f>
        <v>0</v>
      </c>
      <c r="P8748" s="166"/>
      <c r="Q8748" s="166">
        <f t="shared" ref="Q8748" si="2546">O8748*K8748</f>
        <v>0</v>
      </c>
      <c r="R8748" s="71"/>
      <c r="T8748" s="71"/>
    </row>
    <row r="8749" spans="1:41" s="62" customFormat="1" x14ac:dyDescent="0.25">
      <c r="A8749" s="358"/>
      <c r="B8749" s="361"/>
      <c r="C8749" s="218" t="s">
        <v>293</v>
      </c>
      <c r="D8749" s="240"/>
      <c r="E8749" s="240"/>
      <c r="F8749" s="240"/>
      <c r="G8749" s="227"/>
      <c r="H8749" s="241"/>
      <c r="I8749" s="206"/>
      <c r="J8749" s="228"/>
      <c r="K8749" s="207"/>
      <c r="L8749" s="257"/>
      <c r="M8749" s="209"/>
      <c r="N8749" s="210"/>
      <c r="O8749" s="198">
        <f>SUM(O8748)</f>
        <v>0</v>
      </c>
      <c r="P8749" s="267"/>
      <c r="Q8749" s="166"/>
      <c r="R8749" s="71"/>
    </row>
    <row r="8750" spans="1:41" s="61" customFormat="1" ht="31.5" x14ac:dyDescent="0.25">
      <c r="A8750" s="358"/>
      <c r="B8750" s="361"/>
      <c r="C8750" s="364" t="s">
        <v>78</v>
      </c>
      <c r="D8750" s="156" t="s">
        <v>26</v>
      </c>
      <c r="E8750" s="156" t="s">
        <v>22</v>
      </c>
      <c r="F8750" s="156" t="s">
        <v>22</v>
      </c>
      <c r="G8750" s="238">
        <f>MROUND(H8750*L8750*I8750/K8750,0.000001)</f>
        <v>16.539339999999999</v>
      </c>
      <c r="H8750" s="158">
        <f>H6830</f>
        <v>25840</v>
      </c>
      <c r="I8750" s="159">
        <f>I8748</f>
        <v>2.8856369999999999E-2</v>
      </c>
      <c r="J8750" s="160"/>
      <c r="K8750" s="161">
        <f>K8748</f>
        <v>541</v>
      </c>
      <c r="L8750" s="250">
        <v>12</v>
      </c>
      <c r="M8750" s="163" t="str">
        <f>CONCATENATE(H8750," ",F8750,"(обрабатываемая площадь в мес.)","*",L8750,"мес.","*",I8750,"/",K8750,"чел.")</f>
        <v>25840 м2(обрабатываемая площадь в мес.)*12мес.*0,02885637/541чел.</v>
      </c>
      <c r="N8750" s="164">
        <f>N6830</f>
        <v>1.2568903508771934</v>
      </c>
      <c r="O8750" s="165">
        <f t="shared" ref="O8750:O8755" si="2547">MROUND(G8750*N8750,0.000001)</f>
        <v>20.788136999999999</v>
      </c>
      <c r="P8750" s="166"/>
      <c r="Q8750" s="166">
        <f t="shared" ref="Q8750:Q8795" si="2548">O8750*K8750</f>
        <v>11246.382116999999</v>
      </c>
      <c r="R8750" s="71"/>
    </row>
    <row r="8751" spans="1:41" s="61" customFormat="1" ht="31.5" x14ac:dyDescent="0.25">
      <c r="A8751" s="358"/>
      <c r="B8751" s="361"/>
      <c r="C8751" s="364"/>
      <c r="D8751" s="156" t="s">
        <v>96</v>
      </c>
      <c r="E8751" s="156" t="s">
        <v>22</v>
      </c>
      <c r="F8751" s="156" t="s">
        <v>22</v>
      </c>
      <c r="G8751" s="238">
        <f>MROUND(H8751*L8751*I8751/K8751,0.000001)</f>
        <v>8.5609009999999994</v>
      </c>
      <c r="H8751" s="158">
        <f>H6831</f>
        <v>13375</v>
      </c>
      <c r="I8751" s="159">
        <f t="shared" si="2536"/>
        <v>2.8856369999999999E-2</v>
      </c>
      <c r="J8751" s="160"/>
      <c r="K8751" s="161">
        <f>K8750</f>
        <v>541</v>
      </c>
      <c r="L8751" s="250">
        <v>12</v>
      </c>
      <c r="M8751" s="163" t="str">
        <f>CONCATENATE(H8751," ",F8751,"(обрабатываемая площадь в мес.)","*",L8751,"мес.","*",I8751,"/",K8751,"чел.")</f>
        <v>13375 м2(обрабатываемая площадь в мес.)*12мес.*0,02885637/541чел.</v>
      </c>
      <c r="N8751" s="164">
        <f>N6831</f>
        <v>2.0157672274143299</v>
      </c>
      <c r="O8751" s="165">
        <f t="shared" si="2547"/>
        <v>17.256784</v>
      </c>
      <c r="P8751" s="166"/>
      <c r="Q8751" s="166">
        <f t="shared" si="2548"/>
        <v>9335.9201439999997</v>
      </c>
      <c r="R8751" s="71"/>
    </row>
    <row r="8752" spans="1:41" s="135" customFormat="1" ht="31.5" x14ac:dyDescent="0.25">
      <c r="A8752" s="358"/>
      <c r="B8752" s="361"/>
      <c r="C8752" s="364"/>
      <c r="D8752" s="156" t="s">
        <v>385</v>
      </c>
      <c r="E8752" s="156" t="s">
        <v>22</v>
      </c>
      <c r="F8752" s="156" t="s">
        <v>22</v>
      </c>
      <c r="G8752" s="238">
        <f>MROUND(H8752*L8752*I8752/K8752,0.000001)</f>
        <v>17.121801999999999</v>
      </c>
      <c r="H8752" s="242">
        <f>$H$55</f>
        <v>13375</v>
      </c>
      <c r="I8752" s="159">
        <f t="shared" si="2536"/>
        <v>2.8856369999999999E-2</v>
      </c>
      <c r="J8752" s="160"/>
      <c r="K8752" s="161">
        <f>K8751</f>
        <v>541</v>
      </c>
      <c r="L8752" s="162">
        <v>24</v>
      </c>
      <c r="M8752" s="163" t="str">
        <f>CONCATENATE(H8752," ",F8752,"(обрабатываемая площадь в год)","*",L8752," раза в год.","*",I8752,"/",K8752,"чел.")</f>
        <v>13375 м2(обрабатываемая площадь в год)*24 раза в год.*0,02885637/541чел.</v>
      </c>
      <c r="N8752" s="164">
        <f>$N$6832</f>
        <v>2.4900656074766365</v>
      </c>
      <c r="O8752" s="165">
        <f t="shared" si="2547"/>
        <v>42.634409999999995</v>
      </c>
      <c r="P8752" s="166"/>
      <c r="Q8752" s="166">
        <f t="shared" si="2548"/>
        <v>23065.215809999998</v>
      </c>
      <c r="R8752" s="71"/>
      <c r="S8752" s="61"/>
      <c r="T8752" s="61"/>
      <c r="U8752" s="61"/>
      <c r="V8752" s="61"/>
      <c r="W8752" s="61"/>
      <c r="X8752" s="61"/>
      <c r="Y8752" s="61"/>
      <c r="Z8752" s="61"/>
      <c r="AA8752" s="61"/>
      <c r="AB8752" s="61"/>
      <c r="AC8752" s="61"/>
      <c r="AD8752" s="61"/>
      <c r="AE8752" s="61"/>
      <c r="AF8752" s="61"/>
      <c r="AG8752" s="61"/>
      <c r="AH8752" s="61"/>
      <c r="AI8752" s="61"/>
      <c r="AJ8752" s="61"/>
      <c r="AK8752" s="61"/>
      <c r="AL8752" s="61"/>
      <c r="AM8752" s="61"/>
      <c r="AN8752" s="61"/>
      <c r="AO8752" s="61"/>
    </row>
    <row r="8753" spans="1:41" s="135" customFormat="1" ht="31.5" x14ac:dyDescent="0.25">
      <c r="A8753" s="358"/>
      <c r="B8753" s="361"/>
      <c r="C8753" s="364"/>
      <c r="D8753" s="156" t="s">
        <v>394</v>
      </c>
      <c r="E8753" s="156" t="s">
        <v>22</v>
      </c>
      <c r="F8753" s="156" t="s">
        <v>22</v>
      </c>
      <c r="G8753" s="238">
        <f>MROUND(H8753*L8753*I8753/K8753,0.000001)</f>
        <v>16.539339999999999</v>
      </c>
      <c r="H8753" s="243">
        <f>$H$56</f>
        <v>25840</v>
      </c>
      <c r="I8753" s="159">
        <f t="shared" si="2536"/>
        <v>2.8856369999999999E-2</v>
      </c>
      <c r="J8753" s="160"/>
      <c r="K8753" s="161">
        <f>K8752</f>
        <v>541</v>
      </c>
      <c r="L8753" s="162">
        <v>12</v>
      </c>
      <c r="M8753" s="163" t="str">
        <f>CONCATENATE(H8753," ",F8753,"(обрабатываемая площадь в мес.)","*",L8753,"мес.","*",I8753,"/",K8753,"чел.")</f>
        <v>25840 м2(обрабатываемая площадь в мес.)*12мес.*0,02885637/541чел.</v>
      </c>
      <c r="N8753" s="164">
        <f>$N$6833</f>
        <v>0.59287277476780176</v>
      </c>
      <c r="O8753" s="165">
        <f t="shared" si="2547"/>
        <v>9.8057239999999997</v>
      </c>
      <c r="P8753" s="166"/>
      <c r="Q8753" s="166">
        <f t="shared" si="2548"/>
        <v>5304.8966839999994</v>
      </c>
      <c r="R8753" s="71"/>
      <c r="S8753" s="61"/>
      <c r="T8753" s="61"/>
      <c r="U8753" s="61"/>
      <c r="V8753" s="61"/>
      <c r="W8753" s="61"/>
      <c r="X8753" s="61"/>
      <c r="Y8753" s="61"/>
      <c r="Z8753" s="61"/>
      <c r="AA8753" s="61"/>
      <c r="AB8753" s="61"/>
      <c r="AC8753" s="61"/>
      <c r="AD8753" s="61"/>
      <c r="AE8753" s="61"/>
      <c r="AF8753" s="61"/>
      <c r="AG8753" s="61"/>
      <c r="AH8753" s="61"/>
      <c r="AI8753" s="61"/>
      <c r="AJ8753" s="61"/>
      <c r="AK8753" s="61"/>
      <c r="AL8753" s="61"/>
      <c r="AM8753" s="61"/>
      <c r="AN8753" s="61"/>
      <c r="AO8753" s="61"/>
    </row>
    <row r="8754" spans="1:41" s="135" customFormat="1" ht="31.5" x14ac:dyDescent="0.25">
      <c r="A8754" s="358"/>
      <c r="B8754" s="361"/>
      <c r="C8754" s="364"/>
      <c r="D8754" s="156" t="s">
        <v>395</v>
      </c>
      <c r="E8754" s="156" t="s">
        <v>98</v>
      </c>
      <c r="F8754" s="156" t="s">
        <v>98</v>
      </c>
      <c r="G8754" s="238">
        <f>MROUND(H8754*L8754*I8754/K8754,0.000001)</f>
        <v>1.01E-3</v>
      </c>
      <c r="H8754" s="242">
        <f>$H$57</f>
        <v>18.939999999999998</v>
      </c>
      <c r="I8754" s="159">
        <f t="shared" si="2536"/>
        <v>2.8856369999999999E-2</v>
      </c>
      <c r="J8754" s="160"/>
      <c r="K8754" s="161">
        <f>K8753</f>
        <v>541</v>
      </c>
      <c r="L8754" s="162">
        <v>1</v>
      </c>
      <c r="M8754" s="163" t="str">
        <f>CONCATENATE(H8754," ",F8754,"(обрабатываемая площадь в год)","*",L8754," раз в год","*",I8754,"/",K8754,"чел.")</f>
        <v>18,94 Га(обрабатываемая площадь в год)*1 раз в год*0,02885637/541чел.</v>
      </c>
      <c r="N8754" s="164">
        <f>$N$6834</f>
        <v>592.87803590285125</v>
      </c>
      <c r="O8754" s="165">
        <f t="shared" si="2547"/>
        <v>0.59880699999999998</v>
      </c>
      <c r="P8754" s="166"/>
      <c r="Q8754" s="166">
        <f t="shared" si="2548"/>
        <v>323.954587</v>
      </c>
      <c r="R8754" s="71"/>
      <c r="S8754" s="61"/>
      <c r="T8754" s="61"/>
      <c r="U8754" s="61"/>
      <c r="V8754" s="61"/>
      <c r="W8754" s="61"/>
      <c r="X8754" s="61"/>
      <c r="Y8754" s="61"/>
      <c r="Z8754" s="61"/>
      <c r="AA8754" s="61"/>
      <c r="AB8754" s="61"/>
      <c r="AC8754" s="61"/>
      <c r="AD8754" s="61"/>
      <c r="AE8754" s="61"/>
      <c r="AF8754" s="61"/>
      <c r="AG8754" s="61"/>
      <c r="AH8754" s="61"/>
      <c r="AI8754" s="61"/>
      <c r="AJ8754" s="61"/>
      <c r="AK8754" s="61"/>
      <c r="AL8754" s="61"/>
      <c r="AM8754" s="61"/>
      <c r="AN8754" s="61"/>
      <c r="AO8754" s="61"/>
    </row>
    <row r="8755" spans="1:41" s="61" customFormat="1" ht="31.5" x14ac:dyDescent="0.25">
      <c r="A8755" s="358"/>
      <c r="B8755" s="361"/>
      <c r="C8755" s="364"/>
      <c r="D8755" s="156" t="s">
        <v>97</v>
      </c>
      <c r="E8755" s="156" t="s">
        <v>98</v>
      </c>
      <c r="F8755" s="156" t="s">
        <v>98</v>
      </c>
      <c r="G8755" s="238">
        <f>MROUND(H8755*L8755*I8755/K8755,0.0000000001)</f>
        <v>1.0102396E-3</v>
      </c>
      <c r="H8755" s="242">
        <f>H7675</f>
        <v>18.939999999999998</v>
      </c>
      <c r="I8755" s="244">
        <f>I8751</f>
        <v>2.8856369999999999E-2</v>
      </c>
      <c r="J8755" s="160"/>
      <c r="K8755" s="161">
        <f>K8751</f>
        <v>541</v>
      </c>
      <c r="L8755" s="250">
        <v>1</v>
      </c>
      <c r="M8755" s="163" t="str">
        <f>CONCATENATE(H8755," ",F8755,"(обрабатываемая площадь в мес.)","*",L8755,"мес.","*",I8755,"/",K8755,"чел.")</f>
        <v>18,94 Га(обрабатываемая площадь в мес.)*1мес.*0,02885637/541чел.</v>
      </c>
      <c r="N8755" s="164">
        <f>N7675</f>
        <v>3226.5021119324188</v>
      </c>
      <c r="O8755" s="165">
        <f t="shared" si="2547"/>
        <v>3.2595399999999999</v>
      </c>
      <c r="P8755" s="166"/>
      <c r="Q8755" s="166">
        <f t="shared" si="2548"/>
        <v>1763.4111399999999</v>
      </c>
      <c r="R8755" s="71"/>
      <c r="S8755" s="71"/>
    </row>
    <row r="8756" spans="1:41" s="62" customFormat="1" x14ac:dyDescent="0.25">
      <c r="A8756" s="358"/>
      <c r="B8756" s="361"/>
      <c r="C8756" s="245" t="s">
        <v>294</v>
      </c>
      <c r="D8756" s="240"/>
      <c r="E8756" s="240"/>
      <c r="F8756" s="240"/>
      <c r="G8756" s="227"/>
      <c r="H8756" s="241"/>
      <c r="I8756" s="206"/>
      <c r="J8756" s="228"/>
      <c r="K8756" s="207"/>
      <c r="L8756" s="257"/>
      <c r="M8756" s="209"/>
      <c r="N8756" s="210"/>
      <c r="O8756" s="198">
        <f>SUM(O8750:O8755)</f>
        <v>94.343401999999983</v>
      </c>
      <c r="P8756" s="267"/>
      <c r="Q8756" s="166">
        <f t="shared" si="2548"/>
        <v>0</v>
      </c>
      <c r="R8756" s="71"/>
    </row>
    <row r="8757" spans="1:41" s="61" customFormat="1" ht="63" x14ac:dyDescent="0.25">
      <c r="A8757" s="358"/>
      <c r="B8757" s="361"/>
      <c r="C8757" s="365" t="s">
        <v>77</v>
      </c>
      <c r="D8757" s="156" t="s">
        <v>29</v>
      </c>
      <c r="E8757" s="156" t="s">
        <v>58</v>
      </c>
      <c r="F8757" s="156" t="s">
        <v>218</v>
      </c>
      <c r="G8757" s="238">
        <f>MROUND(H8757*L8757*I8757/K8757,0.00000001)</f>
        <v>3.2003399999999999E-3</v>
      </c>
      <c r="H8757" s="158">
        <v>15</v>
      </c>
      <c r="I8757" s="159">
        <f>I8755</f>
        <v>2.8856369999999999E-2</v>
      </c>
      <c r="J8757" s="160"/>
      <c r="K8757" s="161">
        <f>K8755</f>
        <v>541</v>
      </c>
      <c r="L8757" s="162">
        <v>4</v>
      </c>
      <c r="M8757" s="163" t="str">
        <f>CONCATENATE(H8757," ",F8757,"*",L8757," раза в год","*",I8757,"/",K8757,"чел.")</f>
        <v>15 установок*4 раза в год*0,02885637/541чел.</v>
      </c>
      <c r="N8757" s="164">
        <f>N6837</f>
        <v>2355.4600000000005</v>
      </c>
      <c r="O8757" s="165">
        <f t="shared" ref="O8757:O8765" si="2549">MROUND(G8757*N8757,0.000001)</f>
        <v>7.5382729999999993</v>
      </c>
      <c r="P8757" s="166"/>
      <c r="Q8757" s="166">
        <f t="shared" si="2548"/>
        <v>4078.2056929999994</v>
      </c>
      <c r="R8757" s="71"/>
    </row>
    <row r="8758" spans="1:41" s="61" customFormat="1" ht="47.25" x14ac:dyDescent="0.25">
      <c r="A8758" s="358"/>
      <c r="B8758" s="361"/>
      <c r="C8758" s="366"/>
      <c r="D8758" s="156" t="s">
        <v>30</v>
      </c>
      <c r="E8758" s="156" t="s">
        <v>58</v>
      </c>
      <c r="F8758" s="156" t="s">
        <v>218</v>
      </c>
      <c r="G8758" s="238">
        <f>MROUND(H8758*L8758*I8758/K8758,0.00000001)</f>
        <v>1.6001699999999999E-3</v>
      </c>
      <c r="H8758" s="158">
        <v>15</v>
      </c>
      <c r="I8758" s="159">
        <f t="shared" si="2536"/>
        <v>2.8856369999999999E-2</v>
      </c>
      <c r="J8758" s="160"/>
      <c r="K8758" s="161">
        <f t="shared" ref="K8758:K8766" si="2550">K8757</f>
        <v>541</v>
      </c>
      <c r="L8758" s="250">
        <v>2</v>
      </c>
      <c r="M8758" s="163" t="str">
        <f>CONCATENATE(H8758," ",F8758,"*",L8758,"полуг.","*",I8758,"/",K8758,"чел.")</f>
        <v>15 установок*2полуг.*0,02885637/541чел.</v>
      </c>
      <c r="N8758" s="164">
        <f>N8038</f>
        <v>4710.920000000001</v>
      </c>
      <c r="O8758" s="165">
        <f t="shared" si="2549"/>
        <v>7.5382729999999993</v>
      </c>
      <c r="P8758" s="166"/>
      <c r="Q8758" s="166">
        <f t="shared" si="2548"/>
        <v>4078.2056929999994</v>
      </c>
      <c r="R8758" s="71"/>
    </row>
    <row r="8759" spans="1:41" s="61" customFormat="1" x14ac:dyDescent="0.25">
      <c r="A8759" s="358"/>
      <c r="B8759" s="361"/>
      <c r="C8759" s="366"/>
      <c r="D8759" s="156" t="s">
        <v>397</v>
      </c>
      <c r="E8759" s="156" t="s">
        <v>433</v>
      </c>
      <c r="F8759" s="156" t="s">
        <v>433</v>
      </c>
      <c r="G8759" s="238">
        <f>MROUND(H8759*L8759*I8759/K8759,0.000001)</f>
        <v>0</v>
      </c>
      <c r="H8759" s="158">
        <f>H7679</f>
        <v>0</v>
      </c>
      <c r="I8759" s="159">
        <f t="shared" si="2536"/>
        <v>2.8856369999999999E-2</v>
      </c>
      <c r="J8759" s="160"/>
      <c r="K8759" s="161">
        <f t="shared" si="2550"/>
        <v>541</v>
      </c>
      <c r="L8759" s="162">
        <v>1</v>
      </c>
      <c r="M8759" s="163"/>
      <c r="N8759" s="164">
        <f>N7679</f>
        <v>0</v>
      </c>
      <c r="O8759" s="165">
        <f t="shared" si="2549"/>
        <v>0</v>
      </c>
      <c r="P8759" s="166"/>
      <c r="Q8759" s="166">
        <f t="shared" si="2548"/>
        <v>0</v>
      </c>
      <c r="R8759" s="71"/>
    </row>
    <row r="8760" spans="1:41" s="61" customFormat="1" ht="47.25" x14ac:dyDescent="0.25">
      <c r="A8760" s="358"/>
      <c r="B8760" s="361"/>
      <c r="C8760" s="366"/>
      <c r="D8760" s="156" t="s">
        <v>32</v>
      </c>
      <c r="E8760" s="156" t="s">
        <v>55</v>
      </c>
      <c r="F8760" s="156" t="s">
        <v>219</v>
      </c>
      <c r="G8760" s="238">
        <f>MROUND(H8760*L8760*I8760/K8760,0.000000001)</f>
        <v>7.6808080000000008E-3</v>
      </c>
      <c r="H8760" s="158">
        <f>H8040</f>
        <v>36</v>
      </c>
      <c r="I8760" s="159">
        <f>I8759</f>
        <v>2.8856369999999999E-2</v>
      </c>
      <c r="J8760" s="160"/>
      <c r="K8760" s="161">
        <f t="shared" si="2550"/>
        <v>541</v>
      </c>
      <c r="L8760" s="250">
        <v>4</v>
      </c>
      <c r="M8760" s="163" t="str">
        <f>CONCATENATE(H8760," ",F8760,"*",L8760,"кв.","*",I8760,"/",K8760,"чел.")</f>
        <v>36 системы*4кв.*0,02885637/541чел.</v>
      </c>
      <c r="N8760" s="164">
        <f>N8040</f>
        <v>7532.7785416666693</v>
      </c>
      <c r="O8760" s="165">
        <f t="shared" si="2549"/>
        <v>57.857825999999996</v>
      </c>
      <c r="P8760" s="166"/>
      <c r="Q8760" s="166">
        <f t="shared" si="2548"/>
        <v>31301.083865999997</v>
      </c>
      <c r="R8760" s="71"/>
    </row>
    <row r="8761" spans="1:41" s="61" customFormat="1" ht="63" x14ac:dyDescent="0.25">
      <c r="A8761" s="358"/>
      <c r="B8761" s="361"/>
      <c r="C8761" s="366"/>
      <c r="D8761" s="156" t="s">
        <v>33</v>
      </c>
      <c r="E8761" s="156" t="s">
        <v>56</v>
      </c>
      <c r="F8761" s="156" t="s">
        <v>220</v>
      </c>
      <c r="G8761" s="238">
        <f>MROUND(H8761*L8761*I8761/K8761,0.000000001)</f>
        <v>1.9202020000000002E-3</v>
      </c>
      <c r="H8761" s="158">
        <f>$H$64</f>
        <v>36</v>
      </c>
      <c r="I8761" s="159">
        <f>I8760</f>
        <v>2.8856369999999999E-2</v>
      </c>
      <c r="J8761" s="160"/>
      <c r="K8761" s="161">
        <f t="shared" si="2550"/>
        <v>541</v>
      </c>
      <c r="L8761" s="162">
        <v>1</v>
      </c>
      <c r="M8761" s="163" t="str">
        <f>CONCATENATE(H8761," ",F8761,"*",L8761," раз в год","*",I8761,"/",K8761,"чел.")</f>
        <v>36 дымоходов*1 раз в год*0,02885637/541чел.</v>
      </c>
      <c r="N8761" s="164">
        <f>N6841</f>
        <v>7312.0941666666668</v>
      </c>
      <c r="O8761" s="165">
        <f t="shared" si="2549"/>
        <v>14.040697999999999</v>
      </c>
      <c r="P8761" s="166"/>
      <c r="Q8761" s="166">
        <f t="shared" si="2548"/>
        <v>7596.0176179999999</v>
      </c>
      <c r="R8761" s="71"/>
    </row>
    <row r="8762" spans="1:41" s="61" customFormat="1" x14ac:dyDescent="0.25">
      <c r="A8762" s="358"/>
      <c r="B8762" s="361"/>
      <c r="C8762" s="366"/>
      <c r="D8762" s="194" t="s">
        <v>398</v>
      </c>
      <c r="E8762" s="156" t="s">
        <v>60</v>
      </c>
      <c r="F8762" s="156" t="s">
        <v>60</v>
      </c>
      <c r="G8762" s="238">
        <f>MROUND(H8762*L8762*I8762/K8762,0.000000001)</f>
        <v>1.8668630000000001E-3</v>
      </c>
      <c r="H8762" s="246">
        <f>H6842</f>
        <v>35</v>
      </c>
      <c r="I8762" s="159">
        <f t="shared" si="2536"/>
        <v>2.8856369999999999E-2</v>
      </c>
      <c r="J8762" s="160"/>
      <c r="K8762" s="161">
        <f t="shared" si="2550"/>
        <v>541</v>
      </c>
      <c r="L8762" s="250">
        <v>1</v>
      </c>
      <c r="M8762" s="163" t="str">
        <f>CONCATENATE(H8762," ",F8762,"*",I8762,"/",K8762,"чел.")</f>
        <v>35 шт.*0,02885637/541чел.</v>
      </c>
      <c r="N8762" s="164">
        <f>N6842</f>
        <v>12660.374571428585</v>
      </c>
      <c r="O8762" s="165">
        <f t="shared" si="2549"/>
        <v>23.635185</v>
      </c>
      <c r="P8762" s="166"/>
      <c r="Q8762" s="166">
        <f t="shared" si="2548"/>
        <v>12786.635085</v>
      </c>
      <c r="R8762" s="71"/>
    </row>
    <row r="8763" spans="1:41" s="61" customFormat="1" ht="47.25" x14ac:dyDescent="0.25">
      <c r="A8763" s="358"/>
      <c r="B8763" s="361"/>
      <c r="C8763" s="366"/>
      <c r="D8763" s="156" t="s">
        <v>401</v>
      </c>
      <c r="E8763" s="156" t="s">
        <v>60</v>
      </c>
      <c r="F8763" s="156" t="s">
        <v>402</v>
      </c>
      <c r="G8763" s="238">
        <f>MROUND(H8763*L8763*I8763/K8763,0.000001)</f>
        <v>3.7339999999999999E-3</v>
      </c>
      <c r="H8763" s="246">
        <f>H6843</f>
        <v>35</v>
      </c>
      <c r="I8763" s="159">
        <f t="shared" si="2536"/>
        <v>2.8856369999999999E-2</v>
      </c>
      <c r="J8763" s="160"/>
      <c r="K8763" s="161">
        <f t="shared" si="2550"/>
        <v>541</v>
      </c>
      <c r="L8763" s="162">
        <v>2</v>
      </c>
      <c r="M8763" s="163" t="str">
        <f>CONCATENATE(H8763," ",F8763,"*",L8763," раз в год","*",I8763,"/",K8763,"чел.")</f>
        <v>35 противопожарных водопроводов*2 раз в год*0,02885637/541чел.</v>
      </c>
      <c r="N8763" s="164">
        <f>N6843</f>
        <v>5928.7300000000032</v>
      </c>
      <c r="O8763" s="165">
        <f t="shared" si="2549"/>
        <v>22.137878000000001</v>
      </c>
      <c r="P8763" s="166"/>
      <c r="Q8763" s="166">
        <f t="shared" si="2548"/>
        <v>11976.591998</v>
      </c>
      <c r="R8763" s="71"/>
    </row>
    <row r="8764" spans="1:41" s="61" customFormat="1" ht="31.5" x14ac:dyDescent="0.25">
      <c r="A8764" s="358"/>
      <c r="B8764" s="361"/>
      <c r="C8764" s="366"/>
      <c r="D8764" s="156" t="s">
        <v>221</v>
      </c>
      <c r="E8764" s="156" t="s">
        <v>60</v>
      </c>
      <c r="F8764" s="156" t="s">
        <v>60</v>
      </c>
      <c r="G8764" s="238">
        <f>MROUND(H8764*L8764*I8764/K8764,0.0000000001)</f>
        <v>1.15212124E-2</v>
      </c>
      <c r="H8764" s="158">
        <f>H6844</f>
        <v>18</v>
      </c>
      <c r="I8764" s="159">
        <f t="shared" si="2536"/>
        <v>2.8856369999999999E-2</v>
      </c>
      <c r="J8764" s="160"/>
      <c r="K8764" s="161">
        <f t="shared" si="2550"/>
        <v>541</v>
      </c>
      <c r="L8764" s="250">
        <v>12</v>
      </c>
      <c r="M8764" s="163" t="str">
        <f>CONCATENATE(H8764," ",F8764,"*",L8764,"мес.","*",I8764,"/",K8764,"чел.")</f>
        <v>18 шт.*12мес.*0,02885637/541чел.</v>
      </c>
      <c r="N8764" s="164">
        <f>N7684</f>
        <v>6840.4345833333346</v>
      </c>
      <c r="O8764" s="165">
        <f t="shared" si="2549"/>
        <v>78.810099999999991</v>
      </c>
      <c r="P8764" s="166"/>
      <c r="Q8764" s="166">
        <f t="shared" si="2548"/>
        <v>42636.264099999993</v>
      </c>
      <c r="R8764" s="71"/>
    </row>
    <row r="8765" spans="1:41" s="61" customFormat="1" ht="47.25" x14ac:dyDescent="0.25">
      <c r="A8765" s="358"/>
      <c r="B8765" s="361"/>
      <c r="C8765" s="366"/>
      <c r="D8765" s="156" t="s">
        <v>34</v>
      </c>
      <c r="E8765" s="156" t="s">
        <v>59</v>
      </c>
      <c r="F8765" s="156" t="s">
        <v>28</v>
      </c>
      <c r="G8765" s="238">
        <f>MROUND(H8765*L8765*I8765/K8765,0.0000000001)</f>
        <v>1.066779E-4</v>
      </c>
      <c r="H8765" s="158">
        <f>H7325</f>
        <v>2</v>
      </c>
      <c r="I8765" s="159">
        <f t="shared" si="2536"/>
        <v>2.8856369999999999E-2</v>
      </c>
      <c r="J8765" s="160"/>
      <c r="K8765" s="161">
        <f t="shared" si="2550"/>
        <v>541</v>
      </c>
      <c r="L8765" s="250">
        <v>1</v>
      </c>
      <c r="M8765" s="163" t="str">
        <f>CONCATENATE(H8765," ",F8765,"*",I8765,"/",K8765,"чел.")</f>
        <v>2 шт*0,02885637/541чел.</v>
      </c>
      <c r="N8765" s="164">
        <f>N6845</f>
        <v>8158.8</v>
      </c>
      <c r="O8765" s="165">
        <f t="shared" si="2549"/>
        <v>0.87036399999999992</v>
      </c>
      <c r="P8765" s="166"/>
      <c r="Q8765" s="166">
        <f t="shared" si="2548"/>
        <v>470.86692399999993</v>
      </c>
      <c r="R8765" s="71"/>
    </row>
    <row r="8766" spans="1:41" s="61" customFormat="1" ht="47.25" x14ac:dyDescent="0.25">
      <c r="A8766" s="358"/>
      <c r="B8766" s="361"/>
      <c r="C8766" s="366"/>
      <c r="D8766" s="156" t="s">
        <v>222</v>
      </c>
      <c r="E8766" s="156" t="s">
        <v>60</v>
      </c>
      <c r="F8766" s="156" t="s">
        <v>60</v>
      </c>
      <c r="G8766" s="238">
        <f>MROUND(H8766*L8766*I8766/K8766,0.00000000001)</f>
        <v>2.6669473E-4</v>
      </c>
      <c r="H8766" s="248">
        <f>H8046</f>
        <v>5</v>
      </c>
      <c r="I8766" s="159">
        <f t="shared" si="2536"/>
        <v>2.8856369999999999E-2</v>
      </c>
      <c r="J8766" s="160"/>
      <c r="K8766" s="161">
        <f t="shared" si="2550"/>
        <v>541</v>
      </c>
      <c r="L8766" s="250">
        <v>1</v>
      </c>
      <c r="M8766" s="163" t="str">
        <f>CONCATENATE(H8766," ",F8766,"*",I8766,"/",K8766,"чел.")</f>
        <v>5 шт.*0,02885637/541чел.</v>
      </c>
      <c r="N8766" s="164">
        <f>N6846</f>
        <v>45611.39</v>
      </c>
      <c r="O8766" s="165">
        <f>MROUND(G8766*N8766,0.00000001)</f>
        <v>12.16431734</v>
      </c>
      <c r="P8766" s="166"/>
      <c r="Q8766" s="166">
        <f t="shared" si="2548"/>
        <v>6580.8956809399997</v>
      </c>
      <c r="R8766" s="71"/>
    </row>
    <row r="8767" spans="1:41" s="61" customFormat="1" ht="31.5" x14ac:dyDescent="0.25">
      <c r="A8767" s="358"/>
      <c r="B8767" s="361"/>
      <c r="C8767" s="366"/>
      <c r="D8767" s="156" t="s">
        <v>35</v>
      </c>
      <c r="E8767" s="156" t="s">
        <v>102</v>
      </c>
      <c r="F8767" s="156" t="s">
        <v>223</v>
      </c>
      <c r="G8767" s="238">
        <f>MROUND(H8767*L8767*I8767/K8767,0.00000001)</f>
        <v>1.8668600000000001E-3</v>
      </c>
      <c r="H8767" s="158">
        <f>H6847</f>
        <v>35</v>
      </c>
      <c r="I8767" s="159">
        <f>I8765</f>
        <v>2.8856369999999999E-2</v>
      </c>
      <c r="J8767" s="160"/>
      <c r="K8767" s="161">
        <f>K8765</f>
        <v>541</v>
      </c>
      <c r="L8767" s="250">
        <v>1</v>
      </c>
      <c r="M8767" s="163" t="str">
        <f>CONCATENATE(H8767," ",F8767,"*",I8767,"/",K8767,"чел.")</f>
        <v>35 замеров*0,02885637/541чел.</v>
      </c>
      <c r="N8767" s="164">
        <f>N6847</f>
        <v>26000</v>
      </c>
      <c r="O8767" s="165">
        <f t="shared" ref="O8767:O8772" si="2551">MROUND(G8767*N8767,0.000001)</f>
        <v>48.538359999999997</v>
      </c>
      <c r="P8767" s="166"/>
      <c r="Q8767" s="166">
        <f t="shared" si="2548"/>
        <v>26259.252759999999</v>
      </c>
      <c r="R8767" s="71"/>
    </row>
    <row r="8768" spans="1:41" s="61" customFormat="1" ht="47.25" x14ac:dyDescent="0.25">
      <c r="A8768" s="358"/>
      <c r="B8768" s="361"/>
      <c r="C8768" s="366"/>
      <c r="D8768" s="156" t="s">
        <v>399</v>
      </c>
      <c r="E8768" s="156" t="s">
        <v>60</v>
      </c>
      <c r="F8768" s="156" t="s">
        <v>60</v>
      </c>
      <c r="G8768" s="238">
        <f>MROUND(H8768*L8768*I8768/K8768,0.000000001)</f>
        <v>1.8668631000000002E-2</v>
      </c>
      <c r="H8768" s="158">
        <f>H8168</f>
        <v>35</v>
      </c>
      <c r="I8768" s="159">
        <f t="shared" si="2536"/>
        <v>2.8856369999999999E-2</v>
      </c>
      <c r="J8768" s="160"/>
      <c r="K8768" s="161">
        <f>K8767</f>
        <v>541</v>
      </c>
      <c r="L8768" s="250">
        <v>10</v>
      </c>
      <c r="M8768" s="163" t="str">
        <f>CONCATENATE(H8768," ",F8768,"*",L8768,"мес.","*",I8768,"/",K8768,"чел.")</f>
        <v>35 шт.*10мес.*0,02885637/541чел.</v>
      </c>
      <c r="N8768" s="164">
        <f>N8168</f>
        <v>3380.9014857142843</v>
      </c>
      <c r="O8768" s="165">
        <f t="shared" si="2551"/>
        <v>63.116802</v>
      </c>
      <c r="P8768" s="166"/>
      <c r="Q8768" s="166">
        <f t="shared" si="2548"/>
        <v>34146.189881999999</v>
      </c>
      <c r="R8768" s="71"/>
    </row>
    <row r="8769" spans="1:18" s="61" customFormat="1" ht="47.25" x14ac:dyDescent="0.25">
      <c r="A8769" s="358"/>
      <c r="B8769" s="361"/>
      <c r="C8769" s="366"/>
      <c r="D8769" s="156" t="s">
        <v>36</v>
      </c>
      <c r="E8769" s="156" t="s">
        <v>31</v>
      </c>
      <c r="F8769" s="156" t="s">
        <v>224</v>
      </c>
      <c r="G8769" s="238">
        <f>MROUND(H8769*L8769*I8769/K8769,0.00000001)</f>
        <v>2.3042420000000001E-2</v>
      </c>
      <c r="H8769" s="158">
        <f>H8049</f>
        <v>36</v>
      </c>
      <c r="I8769" s="159">
        <f t="shared" si="2536"/>
        <v>2.8856369999999999E-2</v>
      </c>
      <c r="J8769" s="160"/>
      <c r="K8769" s="161">
        <f>K8768</f>
        <v>541</v>
      </c>
      <c r="L8769" s="250">
        <v>12</v>
      </c>
      <c r="M8769" s="163" t="str">
        <f>CONCATENATE(H8769," ",F8769,"*",L8769,"мес.","*",I8769,"/",K8769,"чел.")</f>
        <v>36 устройств*12мес.*0,02885637/541чел.</v>
      </c>
      <c r="N8769" s="164">
        <f>N6849</f>
        <v>1269.5381481481488</v>
      </c>
      <c r="O8769" s="165">
        <f t="shared" si="2551"/>
        <v>29.253231</v>
      </c>
      <c r="P8769" s="166"/>
      <c r="Q8769" s="166">
        <f t="shared" si="2548"/>
        <v>15825.997970999999</v>
      </c>
      <c r="R8769" s="71"/>
    </row>
    <row r="8770" spans="1:18" s="61" customFormat="1" ht="31.5" x14ac:dyDescent="0.25">
      <c r="A8770" s="358"/>
      <c r="B8770" s="361"/>
      <c r="C8770" s="366"/>
      <c r="D8770" s="156" t="s">
        <v>99</v>
      </c>
      <c r="E8770" s="156" t="s">
        <v>103</v>
      </c>
      <c r="F8770" s="156" t="s">
        <v>225</v>
      </c>
      <c r="G8770" s="238">
        <f>MROUND(H8770*L8770*I8770/K8770,0.00000001)</f>
        <v>1.0721130000000001E-2</v>
      </c>
      <c r="H8770" s="158">
        <f>H6850</f>
        <v>201</v>
      </c>
      <c r="I8770" s="159">
        <f t="shared" si="2536"/>
        <v>2.8856369999999999E-2</v>
      </c>
      <c r="J8770" s="160"/>
      <c r="K8770" s="161">
        <f>K8769</f>
        <v>541</v>
      </c>
      <c r="L8770" s="250">
        <v>1</v>
      </c>
      <c r="M8770" s="163" t="str">
        <f>CONCATENATE(H8770," ",F8770,"*",I8770,"/",K8770,"чел.")</f>
        <v>201 ед.*0,02885637/541чел.</v>
      </c>
      <c r="N8770" s="164">
        <f>N6850</f>
        <v>15000</v>
      </c>
      <c r="O8770" s="165">
        <f t="shared" si="2551"/>
        <v>160.81694999999999</v>
      </c>
      <c r="P8770" s="166"/>
      <c r="Q8770" s="166">
        <f t="shared" si="2548"/>
        <v>87001.969949999999</v>
      </c>
      <c r="R8770" s="71"/>
    </row>
    <row r="8771" spans="1:18" s="61" customFormat="1" x14ac:dyDescent="0.25">
      <c r="A8771" s="358"/>
      <c r="B8771" s="361"/>
      <c r="C8771" s="366"/>
      <c r="D8771" s="156" t="s">
        <v>27</v>
      </c>
      <c r="E8771" s="156" t="s">
        <v>28</v>
      </c>
      <c r="F8771" s="156" t="s">
        <v>28</v>
      </c>
      <c r="G8771" s="238">
        <f>MROUND(H8771*L8771*I8771/K8771,0.0000000001)</f>
        <v>0.22349018540000001</v>
      </c>
      <c r="H8771" s="160">
        <f>H6851</f>
        <v>4190</v>
      </c>
      <c r="I8771" s="159">
        <f t="shared" si="2536"/>
        <v>2.8856369999999999E-2</v>
      </c>
      <c r="J8771" s="160"/>
      <c r="K8771" s="161">
        <f>K8770</f>
        <v>541</v>
      </c>
      <c r="L8771" s="250">
        <v>1</v>
      </c>
      <c r="M8771" s="163" t="str">
        <f>CONCATENATE(H8771," ",F8771,"*",I8771,"/",K8771,"чел.")</f>
        <v>4190 шт*0,02885637/541чел.</v>
      </c>
      <c r="N8771" s="164">
        <f>N6851</f>
        <v>435.13600000000008</v>
      </c>
      <c r="O8771" s="165">
        <f t="shared" si="2551"/>
        <v>97.24862499999999</v>
      </c>
      <c r="P8771" s="166"/>
      <c r="Q8771" s="166">
        <f t="shared" si="2548"/>
        <v>52611.506124999993</v>
      </c>
      <c r="R8771" s="71"/>
    </row>
    <row r="8772" spans="1:18" s="61" customFormat="1" ht="31.5" x14ac:dyDescent="0.25">
      <c r="A8772" s="358"/>
      <c r="B8772" s="361"/>
      <c r="C8772" s="367"/>
      <c r="D8772" s="156" t="s">
        <v>104</v>
      </c>
      <c r="E8772" s="156" t="s">
        <v>105</v>
      </c>
      <c r="F8772" s="156" t="s">
        <v>226</v>
      </c>
      <c r="G8772" s="238">
        <f>MROUND(H8772*L8772*I8772/K8772,0.00000001)</f>
        <v>1.9201999999999999E-3</v>
      </c>
      <c r="H8772" s="160">
        <f>H7692</f>
        <v>36</v>
      </c>
      <c r="I8772" s="159">
        <f t="shared" si="2536"/>
        <v>2.8856369999999999E-2</v>
      </c>
      <c r="J8772" s="160"/>
      <c r="K8772" s="161">
        <f>K8771</f>
        <v>541</v>
      </c>
      <c r="L8772" s="250">
        <v>1</v>
      </c>
      <c r="M8772" s="163" t="str">
        <f>CONCATENATE(H8772," ",F8772,"*",I8772,"/",K8772,"чел.")</f>
        <v>36 отключений*0,02885637/541чел.</v>
      </c>
      <c r="N8772" s="164">
        <f>N6852</f>
        <v>10671.710000000006</v>
      </c>
      <c r="O8772" s="165">
        <f t="shared" si="2551"/>
        <v>20.491817999999999</v>
      </c>
      <c r="P8772" s="166"/>
      <c r="Q8772" s="166">
        <f t="shared" si="2548"/>
        <v>11086.073537999999</v>
      </c>
      <c r="R8772" s="71"/>
    </row>
    <row r="8773" spans="1:18" s="62" customFormat="1" x14ac:dyDescent="0.25">
      <c r="A8773" s="358"/>
      <c r="B8773" s="361"/>
      <c r="C8773" s="249" t="s">
        <v>292</v>
      </c>
      <c r="D8773" s="240"/>
      <c r="E8773" s="240"/>
      <c r="F8773" s="240"/>
      <c r="G8773" s="227"/>
      <c r="H8773" s="228"/>
      <c r="I8773" s="206"/>
      <c r="J8773" s="228"/>
      <c r="K8773" s="207"/>
      <c r="L8773" s="257"/>
      <c r="M8773" s="209"/>
      <c r="N8773" s="210"/>
      <c r="O8773" s="198">
        <f>SUM(O8757:O8772)</f>
        <v>644.05870033999986</v>
      </c>
      <c r="P8773" s="267"/>
      <c r="Q8773" s="166">
        <f t="shared" si="2548"/>
        <v>0</v>
      </c>
      <c r="R8773" s="71"/>
    </row>
    <row r="8774" spans="1:18" s="61" customFormat="1" ht="31.5" x14ac:dyDescent="0.25">
      <c r="A8774" s="358"/>
      <c r="B8774" s="361"/>
      <c r="C8774" s="221" t="s">
        <v>79</v>
      </c>
      <c r="D8774" s="156" t="s">
        <v>37</v>
      </c>
      <c r="E8774" s="156" t="s">
        <v>61</v>
      </c>
      <c r="F8774" s="156" t="s">
        <v>227</v>
      </c>
      <c r="G8774" s="238">
        <f>MROUND(H8774*L8774*I8774/K8774,0.000000001)</f>
        <v>2.1335600000000002E-4</v>
      </c>
      <c r="H8774" s="158">
        <f>H6854</f>
        <v>4</v>
      </c>
      <c r="I8774" s="159">
        <f>I8772</f>
        <v>2.8856369999999999E-2</v>
      </c>
      <c r="J8774" s="160"/>
      <c r="K8774" s="161">
        <f>K8772</f>
        <v>541</v>
      </c>
      <c r="L8774" s="250">
        <v>1</v>
      </c>
      <c r="M8774" s="163" t="str">
        <f>CONCATENATE(H8774," ",F8774,"*",I8774,"/",K8774,"чел.")</f>
        <v>4 автобуса*0,02885637/541чел.</v>
      </c>
      <c r="N8774" s="164">
        <f>N6854</f>
        <v>37900.35</v>
      </c>
      <c r="O8774" s="165">
        <f>MROUND(G8774*N8774,0.000001)</f>
        <v>8.0862669999999994</v>
      </c>
      <c r="P8774" s="166"/>
      <c r="Q8774" s="166">
        <f t="shared" si="2548"/>
        <v>4374.6704469999995</v>
      </c>
      <c r="R8774" s="71"/>
    </row>
    <row r="8775" spans="1:18" s="62" customFormat="1" x14ac:dyDescent="0.25">
      <c r="A8775" s="358"/>
      <c r="B8775" s="361"/>
      <c r="C8775" s="218" t="s">
        <v>295</v>
      </c>
      <c r="D8775" s="240"/>
      <c r="E8775" s="240"/>
      <c r="F8775" s="240"/>
      <c r="G8775" s="227"/>
      <c r="H8775" s="241"/>
      <c r="I8775" s="206"/>
      <c r="J8775" s="228"/>
      <c r="K8775" s="207"/>
      <c r="L8775" s="257"/>
      <c r="M8775" s="209"/>
      <c r="N8775" s="210"/>
      <c r="O8775" s="198">
        <f>SUM(O8774)</f>
        <v>8.0862669999999994</v>
      </c>
      <c r="P8775" s="267"/>
      <c r="Q8775" s="166">
        <f t="shared" si="2548"/>
        <v>0</v>
      </c>
      <c r="R8775" s="71"/>
    </row>
    <row r="8776" spans="1:18" s="61" customFormat="1" x14ac:dyDescent="0.25">
      <c r="A8776" s="358"/>
      <c r="B8776" s="361"/>
      <c r="C8776" s="364" t="s">
        <v>80</v>
      </c>
      <c r="D8776" s="156" t="s">
        <v>38</v>
      </c>
      <c r="E8776" s="156" t="s">
        <v>57</v>
      </c>
      <c r="F8776" s="156" t="s">
        <v>228</v>
      </c>
      <c r="G8776" s="238">
        <f>MROUND(H8776*L8776*I8776/K8776,0.0000000001)</f>
        <v>2.3042424799999999E-2</v>
      </c>
      <c r="H8776" s="158">
        <f>H6856</f>
        <v>36</v>
      </c>
      <c r="I8776" s="159">
        <f>I8774</f>
        <v>2.8856369999999999E-2</v>
      </c>
      <c r="J8776" s="160"/>
      <c r="K8776" s="161">
        <f>K8774</f>
        <v>541</v>
      </c>
      <c r="L8776" s="250">
        <v>12</v>
      </c>
      <c r="M8776" s="163" t="str">
        <f>CONCATENATE(H8776," ",F8776,"*",L8776,"мес.","*",I8776,"/",K8776,"чел.")</f>
        <v>36 зданий*12мес.*0,02885637/541чел.</v>
      </c>
      <c r="N8776" s="164">
        <f t="shared" ref="N8776:N8784" si="2552">N6856</f>
        <v>5106.1928935185206</v>
      </c>
      <c r="O8776" s="165">
        <f>MROUND(G8776*N8776,0.000001)</f>
        <v>117.659066</v>
      </c>
      <c r="P8776" s="166"/>
      <c r="Q8776" s="166">
        <f t="shared" si="2548"/>
        <v>63653.554705999995</v>
      </c>
      <c r="R8776" s="71"/>
    </row>
    <row r="8777" spans="1:18" s="61" customFormat="1" ht="47.25" x14ac:dyDescent="0.25">
      <c r="A8777" s="358"/>
      <c r="B8777" s="361"/>
      <c r="C8777" s="364"/>
      <c r="D8777" s="156" t="s">
        <v>229</v>
      </c>
      <c r="E8777" s="156" t="s">
        <v>60</v>
      </c>
      <c r="F8777" s="156" t="s">
        <v>60</v>
      </c>
      <c r="G8777" s="238">
        <f>MROUND(H8777*L8777*I8777/K8777,0.000001)</f>
        <v>0.127693</v>
      </c>
      <c r="H8777" s="158">
        <f>H7337</f>
        <v>2394</v>
      </c>
      <c r="I8777" s="159">
        <f>I8776</f>
        <v>2.8856369999999999E-2</v>
      </c>
      <c r="J8777" s="160"/>
      <c r="K8777" s="161">
        <f>K8776</f>
        <v>541</v>
      </c>
      <c r="L8777" s="250">
        <v>1</v>
      </c>
      <c r="M8777" s="163" t="str">
        <f t="shared" ref="M8777:M8784" si="2553">CONCATENATE(H8777," ",F8777,"*",I8777,"/",K8777,"чел.")</f>
        <v>2394 шт.*0,02885637/541чел.</v>
      </c>
      <c r="N8777" s="164">
        <f t="shared" si="2552"/>
        <v>177.86185045948207</v>
      </c>
      <c r="O8777" s="165">
        <f>MROUND(G8777*N8777,0.000001)</f>
        <v>22.711713</v>
      </c>
      <c r="P8777" s="166"/>
      <c r="Q8777" s="166">
        <f t="shared" si="2548"/>
        <v>12287.036732999999</v>
      </c>
      <c r="R8777" s="71"/>
    </row>
    <row r="8778" spans="1:18" s="61" customFormat="1" ht="47.25" x14ac:dyDescent="0.25">
      <c r="A8778" s="358"/>
      <c r="B8778" s="361"/>
      <c r="C8778" s="364"/>
      <c r="D8778" s="156" t="s">
        <v>405</v>
      </c>
      <c r="E8778" s="156" t="s">
        <v>60</v>
      </c>
      <c r="F8778" s="156" t="s">
        <v>406</v>
      </c>
      <c r="G8778" s="238">
        <f>MROUND(H8778*L8778*I8778/K8778,0.00000001)</f>
        <v>1.9201999999999999E-3</v>
      </c>
      <c r="H8778" s="158">
        <f>H6978</f>
        <v>36</v>
      </c>
      <c r="I8778" s="159">
        <f>I8777</f>
        <v>2.8856369999999999E-2</v>
      </c>
      <c r="J8778" s="160"/>
      <c r="K8778" s="161">
        <f>K8777</f>
        <v>541</v>
      </c>
      <c r="L8778" s="250">
        <v>1</v>
      </c>
      <c r="M8778" s="163" t="str">
        <f t="shared" si="2553"/>
        <v>36 лицензий*0,02885637/541чел.</v>
      </c>
      <c r="N8778" s="164">
        <f t="shared" si="2552"/>
        <v>13043.200000000006</v>
      </c>
      <c r="O8778" s="165">
        <f t="shared" ref="O8778:O8787" si="2554">MROUND(G8778*N8778,0.000001)</f>
        <v>25.045552999999998</v>
      </c>
      <c r="P8778" s="166"/>
      <c r="Q8778" s="166">
        <f t="shared" si="2548"/>
        <v>13549.644172999999</v>
      </c>
      <c r="R8778" s="71"/>
    </row>
    <row r="8779" spans="1:18" s="61" customFormat="1" ht="63" x14ac:dyDescent="0.25">
      <c r="A8779" s="358"/>
      <c r="B8779" s="361"/>
      <c r="C8779" s="364"/>
      <c r="D8779" s="156" t="s">
        <v>39</v>
      </c>
      <c r="E8779" s="156" t="s">
        <v>20</v>
      </c>
      <c r="F8779" s="156" t="s">
        <v>234</v>
      </c>
      <c r="G8779" s="238">
        <f>MROUND(H8779*L8779*I8779/K8779,0.000000001)</f>
        <v>6.2939960000000005E-3</v>
      </c>
      <c r="H8779" s="158">
        <f>H8299</f>
        <v>118</v>
      </c>
      <c r="I8779" s="159">
        <f>I8777</f>
        <v>2.8856369999999999E-2</v>
      </c>
      <c r="J8779" s="160"/>
      <c r="K8779" s="161">
        <f>K8777</f>
        <v>541</v>
      </c>
      <c r="L8779" s="250">
        <v>1</v>
      </c>
      <c r="M8779" s="163" t="str">
        <f t="shared" si="2553"/>
        <v>118 чел(заявленная потребность руководителями учреждений)*0,02885637/541чел.</v>
      </c>
      <c r="N8779" s="164">
        <f t="shared" si="2552"/>
        <v>830.02203389830515</v>
      </c>
      <c r="O8779" s="165">
        <f t="shared" si="2554"/>
        <v>5.2241549999999997</v>
      </c>
      <c r="P8779" s="166"/>
      <c r="Q8779" s="166">
        <f t="shared" si="2548"/>
        <v>2826.2678549999996</v>
      </c>
      <c r="R8779" s="71"/>
    </row>
    <row r="8780" spans="1:18" s="61" customFormat="1" ht="63" x14ac:dyDescent="0.25">
      <c r="A8780" s="358"/>
      <c r="B8780" s="361"/>
      <c r="C8780" s="364"/>
      <c r="D8780" s="156" t="s">
        <v>40</v>
      </c>
      <c r="E8780" s="156" t="s">
        <v>20</v>
      </c>
      <c r="F8780" s="156" t="s">
        <v>234</v>
      </c>
      <c r="G8780" s="238">
        <f>MROUND(H8780*L8780*I8780/K8780,0.000000001)</f>
        <v>5.1205390000000003E-3</v>
      </c>
      <c r="H8780" s="158">
        <f>H8300</f>
        <v>96</v>
      </c>
      <c r="I8780" s="159">
        <f t="shared" ref="I8780:I8787" si="2555">I8779</f>
        <v>2.8856369999999999E-2</v>
      </c>
      <c r="J8780" s="160"/>
      <c r="K8780" s="161">
        <f t="shared" ref="K8780:K8787" si="2556">K8779</f>
        <v>541</v>
      </c>
      <c r="L8780" s="250">
        <v>1</v>
      </c>
      <c r="M8780" s="163" t="str">
        <f t="shared" si="2553"/>
        <v>96 чел(заявленная потребность руководителями учреждений)*0,02885637/541чел.</v>
      </c>
      <c r="N8780" s="164">
        <f t="shared" si="2552"/>
        <v>1778.6189583333326</v>
      </c>
      <c r="O8780" s="165">
        <f t="shared" si="2554"/>
        <v>9.107488</v>
      </c>
      <c r="P8780" s="166"/>
      <c r="Q8780" s="166">
        <f t="shared" si="2548"/>
        <v>4927.1510079999998</v>
      </c>
      <c r="R8780" s="71"/>
    </row>
    <row r="8781" spans="1:18" s="61" customFormat="1" ht="63" x14ac:dyDescent="0.25">
      <c r="A8781" s="358"/>
      <c r="B8781" s="361"/>
      <c r="C8781" s="364"/>
      <c r="D8781" s="156" t="s">
        <v>100</v>
      </c>
      <c r="E8781" s="156" t="s">
        <v>20</v>
      </c>
      <c r="F8781" s="156" t="s">
        <v>234</v>
      </c>
      <c r="G8781" s="238">
        <f>MROUND(H8781*L8781*I8781/K8781,0.0000000001)</f>
        <v>4.3204547000000003E-3</v>
      </c>
      <c r="H8781" s="158">
        <f>H8301</f>
        <v>81</v>
      </c>
      <c r="I8781" s="159">
        <f t="shared" si="2555"/>
        <v>2.8856369999999999E-2</v>
      </c>
      <c r="J8781" s="160"/>
      <c r="K8781" s="161">
        <f t="shared" si="2556"/>
        <v>541</v>
      </c>
      <c r="L8781" s="250">
        <v>1</v>
      </c>
      <c r="M8781" s="163" t="str">
        <f t="shared" si="2553"/>
        <v>81 чел(заявленная потребность руководителями учреждений)*0,02885637/541чел.</v>
      </c>
      <c r="N8781" s="164">
        <f t="shared" si="2552"/>
        <v>3794.386419753087</v>
      </c>
      <c r="O8781" s="165">
        <f t="shared" si="2554"/>
        <v>16.393474999999999</v>
      </c>
      <c r="P8781" s="166"/>
      <c r="Q8781" s="166">
        <f t="shared" si="2548"/>
        <v>8868.8699749999996</v>
      </c>
      <c r="R8781" s="71"/>
    </row>
    <row r="8782" spans="1:18" s="61" customFormat="1" ht="110.25" x14ac:dyDescent="0.25">
      <c r="A8782" s="358"/>
      <c r="B8782" s="361"/>
      <c r="C8782" s="364"/>
      <c r="D8782" s="156" t="s">
        <v>235</v>
      </c>
      <c r="E8782" s="156" t="s">
        <v>50</v>
      </c>
      <c r="F8782" s="156" t="s">
        <v>230</v>
      </c>
      <c r="G8782" s="238">
        <f>MROUND(H8782*L8782*I8782/K8782,0.00000001)</f>
        <v>1.9201999999999999E-3</v>
      </c>
      <c r="H8782" s="158">
        <f>H8542</f>
        <v>36</v>
      </c>
      <c r="I8782" s="159">
        <f t="shared" si="2555"/>
        <v>2.8856369999999999E-2</v>
      </c>
      <c r="J8782" s="160"/>
      <c r="K8782" s="161">
        <f t="shared" si="2556"/>
        <v>541</v>
      </c>
      <c r="L8782" s="250">
        <v>1</v>
      </c>
      <c r="M8782" s="163" t="str">
        <f t="shared" si="2553"/>
        <v>36 отчетов*0,02885637/541чел.</v>
      </c>
      <c r="N8782" s="164">
        <f t="shared" si="2552"/>
        <v>7114.47</v>
      </c>
      <c r="O8782" s="165">
        <f t="shared" si="2554"/>
        <v>13.661204999999999</v>
      </c>
      <c r="P8782" s="166"/>
      <c r="Q8782" s="166">
        <f t="shared" si="2548"/>
        <v>7390.7119049999992</v>
      </c>
      <c r="R8782" s="71"/>
    </row>
    <row r="8783" spans="1:18" s="61" customFormat="1" ht="63" x14ac:dyDescent="0.25">
      <c r="A8783" s="358"/>
      <c r="B8783" s="361"/>
      <c r="C8783" s="364"/>
      <c r="D8783" s="156" t="s">
        <v>42</v>
      </c>
      <c r="E8783" s="156" t="s">
        <v>51</v>
      </c>
      <c r="F8783" s="156" t="s">
        <v>407</v>
      </c>
      <c r="G8783" s="238">
        <f>MROUND(H8783*L8783*I8783/K8783,0.000001)</f>
        <v>1.0881E-2</v>
      </c>
      <c r="H8783" s="158">
        <f>H8303</f>
        <v>204</v>
      </c>
      <c r="I8783" s="159">
        <f t="shared" si="2555"/>
        <v>2.8856369999999999E-2</v>
      </c>
      <c r="J8783" s="160"/>
      <c r="K8783" s="161">
        <f t="shared" si="2556"/>
        <v>541</v>
      </c>
      <c r="L8783" s="250">
        <v>1</v>
      </c>
      <c r="M8783" s="163" t="str">
        <f t="shared" si="2553"/>
        <v>204 ед (заявленная потребность руководителями учреждений)*0,02885637/541чел.</v>
      </c>
      <c r="N8783" s="164">
        <f t="shared" si="2552"/>
        <v>1185.7454901960789</v>
      </c>
      <c r="O8783" s="165">
        <f t="shared" si="2554"/>
        <v>12.902096999999999</v>
      </c>
      <c r="P8783" s="166"/>
      <c r="Q8783" s="166">
        <f t="shared" si="2548"/>
        <v>6980.0344770000002</v>
      </c>
      <c r="R8783" s="71"/>
    </row>
    <row r="8784" spans="1:18" s="61" customFormat="1" ht="31.5" x14ac:dyDescent="0.25">
      <c r="A8784" s="358"/>
      <c r="B8784" s="361"/>
      <c r="C8784" s="364"/>
      <c r="D8784" s="156" t="s">
        <v>43</v>
      </c>
      <c r="E8784" s="156" t="s">
        <v>52</v>
      </c>
      <c r="F8784" s="156" t="s">
        <v>231</v>
      </c>
      <c r="G8784" s="238">
        <f>MROUND(H8784*L8784*I8784/K8784,0.000000001)</f>
        <v>1.9202020000000002E-3</v>
      </c>
      <c r="H8784" s="158">
        <f>H7704</f>
        <v>36</v>
      </c>
      <c r="I8784" s="159">
        <f t="shared" si="2555"/>
        <v>2.8856369999999999E-2</v>
      </c>
      <c r="J8784" s="160"/>
      <c r="K8784" s="161">
        <f t="shared" si="2556"/>
        <v>541</v>
      </c>
      <c r="L8784" s="250">
        <v>1</v>
      </c>
      <c r="M8784" s="163" t="str">
        <f t="shared" si="2553"/>
        <v>36 ЭЦП*0,02885637/541чел.</v>
      </c>
      <c r="N8784" s="164">
        <f t="shared" si="2552"/>
        <v>8423.5400000000009</v>
      </c>
      <c r="O8784" s="165">
        <f t="shared" si="2554"/>
        <v>16.174897999999999</v>
      </c>
      <c r="P8784" s="166"/>
      <c r="Q8784" s="166">
        <f t="shared" si="2548"/>
        <v>8750.6198179999992</v>
      </c>
      <c r="R8784" s="71"/>
    </row>
    <row r="8785" spans="1:18" s="61" customFormat="1" ht="47.25" x14ac:dyDescent="0.25">
      <c r="A8785" s="358"/>
      <c r="B8785" s="361"/>
      <c r="C8785" s="364"/>
      <c r="D8785" s="156" t="s">
        <v>44</v>
      </c>
      <c r="E8785" s="156" t="s">
        <v>85</v>
      </c>
      <c r="F8785" s="156" t="s">
        <v>232</v>
      </c>
      <c r="G8785" s="238">
        <f>MROUND(H8785*L8785*I8785/K8785,0.000001)</f>
        <v>6.4860000000000001E-2</v>
      </c>
      <c r="H8785" s="158">
        <f>H7705</f>
        <v>1216</v>
      </c>
      <c r="I8785" s="159">
        <f t="shared" si="2555"/>
        <v>2.8856369999999999E-2</v>
      </c>
      <c r="J8785" s="160"/>
      <c r="K8785" s="161">
        <f t="shared" si="2556"/>
        <v>541</v>
      </c>
      <c r="L8785" s="250">
        <v>1</v>
      </c>
      <c r="M8785" s="163" t="str">
        <f>CONCATENATE(H8785," ",F8785,"*",L8785,"мес.","*",I8785,"/",K8785,"чел.")</f>
        <v>1216 мед.осмотров в мес.*1мес.*0,02885637/541чел.</v>
      </c>
      <c r="N8785" s="164">
        <f>N7705</f>
        <v>61.65877467105264</v>
      </c>
      <c r="O8785" s="165">
        <f t="shared" si="2554"/>
        <v>3.9991879999999997</v>
      </c>
      <c r="P8785" s="166"/>
      <c r="Q8785" s="166">
        <f t="shared" si="2548"/>
        <v>2163.560708</v>
      </c>
      <c r="R8785" s="71"/>
    </row>
    <row r="8786" spans="1:18" s="61" customFormat="1" ht="63" x14ac:dyDescent="0.25">
      <c r="A8786" s="358"/>
      <c r="B8786" s="361"/>
      <c r="C8786" s="364"/>
      <c r="D8786" s="156" t="s">
        <v>45</v>
      </c>
      <c r="E8786" s="156" t="s">
        <v>53</v>
      </c>
      <c r="F8786" s="156" t="s">
        <v>233</v>
      </c>
      <c r="G8786" s="238">
        <f>MROUND(H8786*L8786*I8786/K8786,0.000000001)</f>
        <v>2.560269E-3</v>
      </c>
      <c r="H8786" s="158">
        <f>H8306</f>
        <v>4</v>
      </c>
      <c r="I8786" s="159">
        <f t="shared" si="2555"/>
        <v>2.8856369999999999E-2</v>
      </c>
      <c r="J8786" s="160"/>
      <c r="K8786" s="161">
        <f t="shared" si="2556"/>
        <v>541</v>
      </c>
      <c r="L8786" s="250">
        <v>12</v>
      </c>
      <c r="M8786" s="163" t="str">
        <f>CONCATENATE(H8786," ",F8786,"*",L8786,"мес.","*",I8786,"/",K8786,"чел.")</f>
        <v>4  машины, оборудованных системой ГЛОНАСС*12мес.*0,02885637/541чел.</v>
      </c>
      <c r="N8786" s="164">
        <f>N6866</f>
        <v>958.08249999999998</v>
      </c>
      <c r="O8786" s="165">
        <f t="shared" si="2554"/>
        <v>2.4529489999999998</v>
      </c>
      <c r="P8786" s="166"/>
      <c r="Q8786" s="166">
        <f t="shared" si="2548"/>
        <v>1327.0454089999998</v>
      </c>
      <c r="R8786" s="71"/>
    </row>
    <row r="8787" spans="1:18" s="61" customFormat="1" ht="31.5" x14ac:dyDescent="0.25">
      <c r="A8787" s="358"/>
      <c r="B8787" s="361"/>
      <c r="C8787" s="364"/>
      <c r="D8787" s="156" t="s">
        <v>408</v>
      </c>
      <c r="E8787" s="156" t="s">
        <v>20</v>
      </c>
      <c r="F8787" s="156" t="s">
        <v>20</v>
      </c>
      <c r="G8787" s="238">
        <f>MROUND(H8787*L8787*I8787/K8787,0.0000000001)</f>
        <v>9.0516192000000009E-2</v>
      </c>
      <c r="H8787" s="158">
        <f>H6867</f>
        <v>1697</v>
      </c>
      <c r="I8787" s="159">
        <f t="shared" si="2555"/>
        <v>2.8856369999999999E-2</v>
      </c>
      <c r="J8787" s="160"/>
      <c r="K8787" s="161">
        <f t="shared" si="2556"/>
        <v>541</v>
      </c>
      <c r="L8787" s="250">
        <v>1</v>
      </c>
      <c r="M8787" s="163" t="str">
        <f>CONCATENATE(H8787," ",F8787,"*",L8787," раз в год","*",I8787,"/",K8787,"чел.")</f>
        <v>1697 чел.*1 раз в год*0,02885637/541чел.</v>
      </c>
      <c r="N8787" s="164">
        <f>N6867</f>
        <v>592.87278137890405</v>
      </c>
      <c r="O8787" s="165">
        <f t="shared" si="2554"/>
        <v>53.664586999999997</v>
      </c>
      <c r="P8787" s="166"/>
      <c r="Q8787" s="166">
        <f t="shared" si="2548"/>
        <v>29032.541567</v>
      </c>
      <c r="R8787" s="71"/>
    </row>
    <row r="8788" spans="1:18" s="61" customFormat="1" x14ac:dyDescent="0.25">
      <c r="A8788" s="358"/>
      <c r="B8788" s="361"/>
      <c r="C8788" s="364"/>
      <c r="D8788" s="156" t="s">
        <v>373</v>
      </c>
      <c r="E8788" s="156" t="s">
        <v>28</v>
      </c>
      <c r="F8788" s="156" t="s">
        <v>28</v>
      </c>
      <c r="G8788" s="157">
        <f>MROUND(H8788*L8788*I8788/K8788,0.000000001)</f>
        <v>1.9202020000000002E-3</v>
      </c>
      <c r="H8788" s="158">
        <f>H6869</f>
        <v>36</v>
      </c>
      <c r="I8788" s="159">
        <f>I8786</f>
        <v>2.8856369999999999E-2</v>
      </c>
      <c r="J8788" s="160"/>
      <c r="K8788" s="161">
        <f>K8786</f>
        <v>541</v>
      </c>
      <c r="L8788" s="162">
        <v>1</v>
      </c>
      <c r="M8788" s="163" t="str">
        <f>CONCATENATE(H8788," ",F8788,"*",L8788,"мес.","*",I8788,"/",K8788,"чел.")</f>
        <v>36 шт*1мес.*0,02885637/541чел.</v>
      </c>
      <c r="N8788" s="164">
        <f>N6869</f>
        <v>24000</v>
      </c>
      <c r="O8788" s="165">
        <f>MROUND(G8788*N8788,0.000000001)</f>
        <v>46.084848000000001</v>
      </c>
      <c r="P8788" s="166"/>
      <c r="Q8788" s="166">
        <f t="shared" si="2548"/>
        <v>24931.902768</v>
      </c>
      <c r="R8788" s="71"/>
    </row>
    <row r="8789" spans="1:18" s="61" customFormat="1" ht="31.5" x14ac:dyDescent="0.25">
      <c r="A8789" s="358"/>
      <c r="B8789" s="361"/>
      <c r="C8789" s="364"/>
      <c r="D8789" s="156" t="s">
        <v>106</v>
      </c>
      <c r="E8789" s="156" t="s">
        <v>107</v>
      </c>
      <c r="F8789" s="156"/>
      <c r="G8789" s="238">
        <f>MROUND(H8789*L8789*I8789/K8789,0.000000001)</f>
        <v>0</v>
      </c>
      <c r="H8789" s="158">
        <f>H6868</f>
        <v>0</v>
      </c>
      <c r="I8789" s="159">
        <f>I8786</f>
        <v>2.8856369999999999E-2</v>
      </c>
      <c r="J8789" s="160"/>
      <c r="K8789" s="161">
        <f>K8786</f>
        <v>541</v>
      </c>
      <c r="L8789" s="250">
        <f>L7229</f>
        <v>0</v>
      </c>
      <c r="M8789" s="163"/>
      <c r="N8789" s="164">
        <f>N6868</f>
        <v>6.0000000000000002E-5</v>
      </c>
      <c r="O8789" s="165">
        <f>MROUND(G8789*N8789,0.000000001)</f>
        <v>0</v>
      </c>
      <c r="P8789" s="166"/>
      <c r="Q8789" s="166">
        <f t="shared" si="2548"/>
        <v>0</v>
      </c>
      <c r="R8789" s="71"/>
    </row>
    <row r="8790" spans="1:18" s="62" customFormat="1" x14ac:dyDescent="0.25">
      <c r="A8790" s="358"/>
      <c r="B8790" s="361"/>
      <c r="C8790" s="245" t="s">
        <v>296</v>
      </c>
      <c r="D8790" s="240"/>
      <c r="E8790" s="240"/>
      <c r="F8790" s="240"/>
      <c r="G8790" s="227"/>
      <c r="H8790" s="241"/>
      <c r="I8790" s="206"/>
      <c r="J8790" s="228"/>
      <c r="K8790" s="207"/>
      <c r="L8790" s="257"/>
      <c r="M8790" s="209"/>
      <c r="N8790" s="210"/>
      <c r="O8790" s="198">
        <f>SUM(O8776:O8789)</f>
        <v>345.08122199999997</v>
      </c>
      <c r="P8790" s="267"/>
      <c r="Q8790" s="166">
        <f t="shared" si="2548"/>
        <v>0</v>
      </c>
      <c r="R8790" s="71"/>
    </row>
    <row r="8791" spans="1:18" s="61" customFormat="1" ht="31.5" x14ac:dyDescent="0.25">
      <c r="A8791" s="358"/>
      <c r="B8791" s="361"/>
      <c r="C8791" s="252" t="s">
        <v>237</v>
      </c>
      <c r="D8791" s="156" t="s">
        <v>41</v>
      </c>
      <c r="E8791" s="156" t="s">
        <v>61</v>
      </c>
      <c r="F8791" s="156" t="s">
        <v>227</v>
      </c>
      <c r="G8791" s="238">
        <f>MROUND(H8791*L8791*I8791/K8791,0.000000001)</f>
        <v>2.1335600000000002E-4</v>
      </c>
      <c r="H8791" s="158">
        <f>H7711</f>
        <v>4</v>
      </c>
      <c r="I8791" s="159">
        <f>I8789</f>
        <v>2.8856369999999999E-2</v>
      </c>
      <c r="J8791" s="160"/>
      <c r="K8791" s="161">
        <f>K8789</f>
        <v>541</v>
      </c>
      <c r="L8791" s="250">
        <v>1</v>
      </c>
      <c r="M8791" s="163" t="str">
        <f>CONCATENATE(H8791," ",F8791,"*",I8791,"/",K8791,"чел.")</f>
        <v>4 автобуса*0,02885637/541чел.</v>
      </c>
      <c r="N8791" s="164">
        <f>N6871</f>
        <v>27983.595000000001</v>
      </c>
      <c r="O8791" s="165">
        <f>MROUND(G8791*N8791,0.000001)</f>
        <v>5.9704679999999994</v>
      </c>
      <c r="P8791" s="166"/>
      <c r="Q8791" s="166">
        <f t="shared" si="2548"/>
        <v>3230.0231879999997</v>
      </c>
      <c r="R8791" s="71"/>
    </row>
    <row r="8792" spans="1:18" s="62" customFormat="1" x14ac:dyDescent="0.25">
      <c r="A8792" s="358"/>
      <c r="B8792" s="361"/>
      <c r="C8792" s="245" t="s">
        <v>297</v>
      </c>
      <c r="D8792" s="240"/>
      <c r="E8792" s="240"/>
      <c r="F8792" s="240"/>
      <c r="G8792" s="227"/>
      <c r="H8792" s="241"/>
      <c r="I8792" s="206"/>
      <c r="J8792" s="228"/>
      <c r="K8792" s="207"/>
      <c r="L8792" s="257"/>
      <c r="M8792" s="209"/>
      <c r="N8792" s="210"/>
      <c r="O8792" s="198">
        <f>SUM(O8791)</f>
        <v>5.9704679999999994</v>
      </c>
      <c r="P8792" s="267"/>
      <c r="Q8792" s="166">
        <f t="shared" si="2548"/>
        <v>0</v>
      </c>
      <c r="R8792" s="71"/>
    </row>
    <row r="8793" spans="1:18" s="61" customFormat="1" ht="78.75" x14ac:dyDescent="0.25">
      <c r="A8793" s="358"/>
      <c r="B8793" s="361"/>
      <c r="C8793" s="221" t="s">
        <v>236</v>
      </c>
      <c r="D8793" s="156" t="s">
        <v>19</v>
      </c>
      <c r="E8793" s="181" t="s">
        <v>20</v>
      </c>
      <c r="F8793" s="181" t="s">
        <v>238</v>
      </c>
      <c r="G8793" s="238">
        <f>MROUND(H8793*L8793*I8793/K8793,0.000001)</f>
        <v>0</v>
      </c>
      <c r="H8793" s="158"/>
      <c r="I8793" s="159">
        <f>I8789</f>
        <v>2.8856369999999999E-2</v>
      </c>
      <c r="J8793" s="160"/>
      <c r="K8793" s="161">
        <f>K8789</f>
        <v>541</v>
      </c>
      <c r="L8793" s="250"/>
      <c r="M8793" s="163"/>
      <c r="N8793" s="164"/>
      <c r="O8793" s="165">
        <f>MROUND(G8793*N8793,0.000001)</f>
        <v>0</v>
      </c>
      <c r="P8793" s="166"/>
      <c r="Q8793" s="166">
        <f t="shared" si="2548"/>
        <v>0</v>
      </c>
      <c r="R8793" s="71"/>
    </row>
    <row r="8794" spans="1:18" s="62" customFormat="1" x14ac:dyDescent="0.25">
      <c r="A8794" s="358"/>
      <c r="B8794" s="361"/>
      <c r="C8794" s="245" t="s">
        <v>298</v>
      </c>
      <c r="D8794" s="240"/>
      <c r="E8794" s="253"/>
      <c r="F8794" s="253"/>
      <c r="G8794" s="227"/>
      <c r="H8794" s="241"/>
      <c r="I8794" s="206"/>
      <c r="J8794" s="228"/>
      <c r="K8794" s="207"/>
      <c r="L8794" s="257"/>
      <c r="M8794" s="209"/>
      <c r="N8794" s="210"/>
      <c r="O8794" s="198">
        <f>SUM(O8793)</f>
        <v>0</v>
      </c>
      <c r="P8794" s="267"/>
      <c r="Q8794" s="166">
        <f t="shared" si="2548"/>
        <v>0</v>
      </c>
      <c r="R8794" s="71"/>
    </row>
    <row r="8795" spans="1:18" s="61" customFormat="1" ht="30" x14ac:dyDescent="0.25">
      <c r="A8795" s="358"/>
      <c r="B8795" s="361"/>
      <c r="C8795" s="365" t="s">
        <v>81</v>
      </c>
      <c r="D8795" s="254" t="s">
        <v>410</v>
      </c>
      <c r="E8795" s="156" t="s">
        <v>28</v>
      </c>
      <c r="F8795" s="156" t="s">
        <v>28</v>
      </c>
      <c r="G8795" s="238">
        <f>MROUND(H8795*L8795*I8795/K8795,0.0000000001)</f>
        <v>0</v>
      </c>
      <c r="H8795" s="158"/>
      <c r="I8795" s="159">
        <f>I8789</f>
        <v>2.8856369999999999E-2</v>
      </c>
      <c r="J8795" s="160"/>
      <c r="K8795" s="161">
        <f>K8789</f>
        <v>541</v>
      </c>
      <c r="L8795" s="250">
        <v>1</v>
      </c>
      <c r="M8795" s="163"/>
      <c r="N8795" s="164"/>
      <c r="O8795" s="165">
        <f>MROUND(G8795*N8795,0.000001)</f>
        <v>0</v>
      </c>
      <c r="P8795" s="166"/>
      <c r="Q8795" s="166">
        <f t="shared" si="2548"/>
        <v>0</v>
      </c>
      <c r="R8795" s="71"/>
    </row>
    <row r="8796" spans="1:18" s="61" customFormat="1" x14ac:dyDescent="0.25">
      <c r="A8796" s="358"/>
      <c r="B8796" s="361"/>
      <c r="C8796" s="366"/>
      <c r="D8796" s="254" t="s">
        <v>325</v>
      </c>
      <c r="E8796" s="156" t="s">
        <v>28</v>
      </c>
      <c r="F8796" s="156" t="s">
        <v>28</v>
      </c>
      <c r="G8796" s="238">
        <f>MROUND(H8796*L8796*I8796/K8796,0.00000001)</f>
        <v>0</v>
      </c>
      <c r="H8796" s="158"/>
      <c r="I8796" s="159">
        <f>I8795</f>
        <v>2.8856369999999999E-2</v>
      </c>
      <c r="J8796" s="160"/>
      <c r="K8796" s="161">
        <f>K8795</f>
        <v>541</v>
      </c>
      <c r="L8796" s="250">
        <v>1</v>
      </c>
      <c r="M8796" s="163"/>
      <c r="N8796" s="164"/>
      <c r="O8796" s="165">
        <f>MROUND(G8796*N8796,0.000001)</f>
        <v>0</v>
      </c>
      <c r="P8796" s="166"/>
      <c r="Q8796" s="166">
        <f>O8796*K8796</f>
        <v>0</v>
      </c>
      <c r="R8796" s="71"/>
    </row>
    <row r="8797" spans="1:18" s="61" customFormat="1" ht="30" x14ac:dyDescent="0.25">
      <c r="A8797" s="358"/>
      <c r="B8797" s="361"/>
      <c r="C8797" s="366"/>
      <c r="D8797" s="254" t="s">
        <v>411</v>
      </c>
      <c r="E8797" s="156" t="s">
        <v>28</v>
      </c>
      <c r="F8797" s="156" t="s">
        <v>28</v>
      </c>
      <c r="G8797" s="238">
        <f>MROUND(H8797*L8797*I8797/K8797,0.00000001)</f>
        <v>0</v>
      </c>
      <c r="H8797" s="158"/>
      <c r="I8797" s="159">
        <f>I8795</f>
        <v>2.8856369999999999E-2</v>
      </c>
      <c r="J8797" s="160"/>
      <c r="K8797" s="161">
        <f>K8795</f>
        <v>541</v>
      </c>
      <c r="L8797" s="250">
        <v>1</v>
      </c>
      <c r="M8797" s="163"/>
      <c r="N8797" s="164"/>
      <c r="O8797" s="165">
        <f t="shared" ref="O8797:O8818" si="2557">MROUND(G8797*N8797,0.000001)</f>
        <v>0</v>
      </c>
      <c r="P8797" s="166"/>
      <c r="Q8797" s="166">
        <f t="shared" ref="Q8797:Q8825" si="2558">O8797*K8797</f>
        <v>0</v>
      </c>
      <c r="R8797" s="71"/>
    </row>
    <row r="8798" spans="1:18" s="61" customFormat="1" x14ac:dyDescent="0.25">
      <c r="A8798" s="358"/>
      <c r="B8798" s="361"/>
      <c r="C8798" s="366"/>
      <c r="D8798" s="255" t="s">
        <v>412</v>
      </c>
      <c r="E8798" s="156" t="s">
        <v>28</v>
      </c>
      <c r="F8798" s="156" t="s">
        <v>28</v>
      </c>
      <c r="G8798" s="238">
        <f>MROUND(H8798*L8798*I8798/K8798,0.00000001)</f>
        <v>0</v>
      </c>
      <c r="H8798" s="158"/>
      <c r="I8798" s="159">
        <f>I8797</f>
        <v>2.8856369999999999E-2</v>
      </c>
      <c r="J8798" s="160"/>
      <c r="K8798" s="161">
        <f>K8797</f>
        <v>541</v>
      </c>
      <c r="L8798" s="250">
        <v>1</v>
      </c>
      <c r="M8798" s="163"/>
      <c r="N8798" s="164"/>
      <c r="O8798" s="165">
        <f t="shared" si="2557"/>
        <v>0</v>
      </c>
      <c r="P8798" s="166"/>
      <c r="Q8798" s="166">
        <f t="shared" si="2558"/>
        <v>0</v>
      </c>
      <c r="R8798" s="71"/>
    </row>
    <row r="8799" spans="1:18" s="61" customFormat="1" ht="31.5" x14ac:dyDescent="0.25">
      <c r="A8799" s="358"/>
      <c r="B8799" s="361"/>
      <c r="C8799" s="366"/>
      <c r="D8799" s="255" t="s">
        <v>413</v>
      </c>
      <c r="E8799" s="156" t="s">
        <v>28</v>
      </c>
      <c r="F8799" s="156" t="s">
        <v>28</v>
      </c>
      <c r="G8799" s="238">
        <f>MROUND(H8799*L8799*I8799/K8799,0.0000000001)</f>
        <v>0</v>
      </c>
      <c r="H8799" s="158"/>
      <c r="I8799" s="159">
        <f>I8798</f>
        <v>2.8856369999999999E-2</v>
      </c>
      <c r="J8799" s="160"/>
      <c r="K8799" s="161">
        <f>K8798</f>
        <v>541</v>
      </c>
      <c r="L8799" s="250">
        <v>1</v>
      </c>
      <c r="M8799" s="163"/>
      <c r="N8799" s="164"/>
      <c r="O8799" s="165">
        <f t="shared" si="2557"/>
        <v>0</v>
      </c>
      <c r="P8799" s="166"/>
      <c r="Q8799" s="166">
        <f t="shared" si="2558"/>
        <v>0</v>
      </c>
      <c r="R8799" s="71"/>
    </row>
    <row r="8800" spans="1:18" s="61" customFormat="1" x14ac:dyDescent="0.25">
      <c r="A8800" s="358"/>
      <c r="B8800" s="361"/>
      <c r="C8800" s="366"/>
      <c r="D8800" s="254" t="s">
        <v>109</v>
      </c>
      <c r="E8800" s="156" t="s">
        <v>28</v>
      </c>
      <c r="F8800" s="156" t="s">
        <v>28</v>
      </c>
      <c r="G8800" s="238">
        <f>MROUND(H8800*L8800*I8800/K8800,0.0000000001)</f>
        <v>0</v>
      </c>
      <c r="H8800" s="158"/>
      <c r="I8800" s="159">
        <f>I8799</f>
        <v>2.8856369999999999E-2</v>
      </c>
      <c r="J8800" s="160"/>
      <c r="K8800" s="161">
        <f>K8799</f>
        <v>541</v>
      </c>
      <c r="L8800" s="250">
        <v>1</v>
      </c>
      <c r="M8800" s="163"/>
      <c r="N8800" s="164"/>
      <c r="O8800" s="165">
        <f t="shared" si="2557"/>
        <v>0</v>
      </c>
      <c r="P8800" s="166"/>
      <c r="Q8800" s="166">
        <f t="shared" si="2558"/>
        <v>0</v>
      </c>
      <c r="R8800" s="71"/>
    </row>
    <row r="8801" spans="1:18" s="61" customFormat="1" x14ac:dyDescent="0.25">
      <c r="A8801" s="358"/>
      <c r="B8801" s="361"/>
      <c r="C8801" s="366"/>
      <c r="D8801" s="254" t="s">
        <v>414</v>
      </c>
      <c r="E8801" s="156" t="s">
        <v>28</v>
      </c>
      <c r="F8801" s="156" t="s">
        <v>28</v>
      </c>
      <c r="G8801" s="238">
        <f>MROUND(H8801*L8801*I8801/K8801,0.0000000001)</f>
        <v>0</v>
      </c>
      <c r="H8801" s="158"/>
      <c r="I8801" s="159">
        <f>I8799</f>
        <v>2.8856369999999999E-2</v>
      </c>
      <c r="J8801" s="160"/>
      <c r="K8801" s="161">
        <f>K8799</f>
        <v>541</v>
      </c>
      <c r="L8801" s="250">
        <v>1</v>
      </c>
      <c r="M8801" s="163"/>
      <c r="N8801" s="164"/>
      <c r="O8801" s="165">
        <f t="shared" si="2557"/>
        <v>0</v>
      </c>
      <c r="P8801" s="166"/>
      <c r="Q8801" s="166">
        <f t="shared" si="2558"/>
        <v>0</v>
      </c>
      <c r="R8801" s="71"/>
    </row>
    <row r="8802" spans="1:18" s="61" customFormat="1" x14ac:dyDescent="0.25">
      <c r="A8802" s="358"/>
      <c r="B8802" s="361"/>
      <c r="C8802" s="366"/>
      <c r="D8802" s="254" t="s">
        <v>415</v>
      </c>
      <c r="E8802" s="156" t="s">
        <v>28</v>
      </c>
      <c r="F8802" s="156" t="s">
        <v>28</v>
      </c>
      <c r="G8802" s="238">
        <f>MROUND(H8802*L8802*I8802/K8802,0.00000001)</f>
        <v>0</v>
      </c>
      <c r="H8802" s="158"/>
      <c r="I8802" s="159">
        <f t="shared" ref="I8802:I8811" si="2559">I8800</f>
        <v>2.8856369999999999E-2</v>
      </c>
      <c r="J8802" s="160"/>
      <c r="K8802" s="161">
        <f t="shared" ref="K8802:K8811" si="2560">K8800</f>
        <v>541</v>
      </c>
      <c r="L8802" s="250">
        <v>1</v>
      </c>
      <c r="M8802" s="163"/>
      <c r="N8802" s="164"/>
      <c r="O8802" s="165">
        <f t="shared" si="2557"/>
        <v>0</v>
      </c>
      <c r="P8802" s="166"/>
      <c r="Q8802" s="166">
        <f t="shared" si="2558"/>
        <v>0</v>
      </c>
      <c r="R8802" s="71"/>
    </row>
    <row r="8803" spans="1:18" s="61" customFormat="1" x14ac:dyDescent="0.25">
      <c r="A8803" s="358"/>
      <c r="B8803" s="361"/>
      <c r="C8803" s="366"/>
      <c r="D8803" s="254" t="s">
        <v>416</v>
      </c>
      <c r="E8803" s="156" t="s">
        <v>28</v>
      </c>
      <c r="F8803" s="156" t="s">
        <v>28</v>
      </c>
      <c r="G8803" s="238">
        <f>MROUND(H8803*L8803*I8803/K8803,0.000000001)</f>
        <v>0</v>
      </c>
      <c r="H8803" s="246"/>
      <c r="I8803" s="159">
        <f t="shared" si="2559"/>
        <v>2.8856369999999999E-2</v>
      </c>
      <c r="J8803" s="160"/>
      <c r="K8803" s="161">
        <f t="shared" si="2560"/>
        <v>541</v>
      </c>
      <c r="L8803" s="250">
        <v>1</v>
      </c>
      <c r="M8803" s="163"/>
      <c r="N8803" s="164"/>
      <c r="O8803" s="165">
        <f t="shared" si="2557"/>
        <v>0</v>
      </c>
      <c r="P8803" s="166"/>
      <c r="Q8803" s="166">
        <f t="shared" si="2558"/>
        <v>0</v>
      </c>
      <c r="R8803" s="71"/>
    </row>
    <row r="8804" spans="1:18" s="61" customFormat="1" x14ac:dyDescent="0.25">
      <c r="A8804" s="358"/>
      <c r="B8804" s="361"/>
      <c r="C8804" s="366"/>
      <c r="D8804" s="254" t="s">
        <v>417</v>
      </c>
      <c r="E8804" s="156" t="s">
        <v>28</v>
      </c>
      <c r="F8804" s="156" t="s">
        <v>28</v>
      </c>
      <c r="G8804" s="238">
        <f>MROUND(H8804*L8804*I8804/K8804,0.00000001)</f>
        <v>0</v>
      </c>
      <c r="H8804" s="158"/>
      <c r="I8804" s="159">
        <f t="shared" si="2559"/>
        <v>2.8856369999999999E-2</v>
      </c>
      <c r="J8804" s="160"/>
      <c r="K8804" s="161">
        <f t="shared" si="2560"/>
        <v>541</v>
      </c>
      <c r="L8804" s="250">
        <v>1</v>
      </c>
      <c r="M8804" s="163"/>
      <c r="N8804" s="164"/>
      <c r="O8804" s="165">
        <f t="shared" si="2557"/>
        <v>0</v>
      </c>
      <c r="P8804" s="166"/>
      <c r="Q8804" s="166">
        <f t="shared" si="2558"/>
        <v>0</v>
      </c>
      <c r="R8804" s="71"/>
    </row>
    <row r="8805" spans="1:18" s="61" customFormat="1" ht="30" x14ac:dyDescent="0.25">
      <c r="A8805" s="358"/>
      <c r="B8805" s="361"/>
      <c r="C8805" s="366"/>
      <c r="D8805" s="254" t="s">
        <v>418</v>
      </c>
      <c r="E8805" s="156" t="s">
        <v>28</v>
      </c>
      <c r="F8805" s="156" t="s">
        <v>28</v>
      </c>
      <c r="G8805" s="238">
        <f>MROUND(H8805*L8805*I8805/K8805,0.00000001)</f>
        <v>0</v>
      </c>
      <c r="H8805" s="158"/>
      <c r="I8805" s="159">
        <f t="shared" si="2559"/>
        <v>2.8856369999999999E-2</v>
      </c>
      <c r="J8805" s="160"/>
      <c r="K8805" s="161">
        <f t="shared" si="2560"/>
        <v>541</v>
      </c>
      <c r="L8805" s="250">
        <v>1</v>
      </c>
      <c r="M8805" s="163"/>
      <c r="N8805" s="164"/>
      <c r="O8805" s="165">
        <f t="shared" si="2557"/>
        <v>0</v>
      </c>
      <c r="P8805" s="166"/>
      <c r="Q8805" s="166">
        <f t="shared" si="2558"/>
        <v>0</v>
      </c>
      <c r="R8805" s="71"/>
    </row>
    <row r="8806" spans="1:18" s="61" customFormat="1" x14ac:dyDescent="0.25">
      <c r="A8806" s="358"/>
      <c r="B8806" s="361"/>
      <c r="C8806" s="366"/>
      <c r="D8806" s="254" t="s">
        <v>324</v>
      </c>
      <c r="E8806" s="156" t="s">
        <v>28</v>
      </c>
      <c r="F8806" s="156" t="s">
        <v>28</v>
      </c>
      <c r="G8806" s="238">
        <f>MROUND(H8806*L8806*I8806/K8806,0.000000001)</f>
        <v>0</v>
      </c>
      <c r="H8806" s="158"/>
      <c r="I8806" s="159">
        <f t="shared" si="2559"/>
        <v>2.8856369999999999E-2</v>
      </c>
      <c r="J8806" s="160"/>
      <c r="K8806" s="161">
        <f t="shared" si="2560"/>
        <v>541</v>
      </c>
      <c r="L8806" s="250">
        <v>1</v>
      </c>
      <c r="M8806" s="163"/>
      <c r="N8806" s="164"/>
      <c r="O8806" s="165">
        <f t="shared" si="2557"/>
        <v>0</v>
      </c>
      <c r="P8806" s="166"/>
      <c r="Q8806" s="166">
        <f t="shared" si="2558"/>
        <v>0</v>
      </c>
      <c r="R8806" s="71"/>
    </row>
    <row r="8807" spans="1:18" s="61" customFormat="1" x14ac:dyDescent="0.25">
      <c r="A8807" s="358"/>
      <c r="B8807" s="361"/>
      <c r="C8807" s="366"/>
      <c r="D8807" s="254" t="s">
        <v>419</v>
      </c>
      <c r="E8807" s="156" t="s">
        <v>28</v>
      </c>
      <c r="F8807" s="156" t="s">
        <v>28</v>
      </c>
      <c r="G8807" s="238">
        <f>MROUND(H8807*L8807*I8807/K8807,0.000000001)</f>
        <v>0</v>
      </c>
      <c r="H8807" s="246"/>
      <c r="I8807" s="159">
        <f t="shared" si="2559"/>
        <v>2.8856369999999999E-2</v>
      </c>
      <c r="J8807" s="160"/>
      <c r="K8807" s="161">
        <f t="shared" si="2560"/>
        <v>541</v>
      </c>
      <c r="L8807" s="250">
        <v>1</v>
      </c>
      <c r="M8807" s="163"/>
      <c r="N8807" s="164"/>
      <c r="O8807" s="165">
        <f t="shared" si="2557"/>
        <v>0</v>
      </c>
      <c r="P8807" s="166"/>
      <c r="Q8807" s="166">
        <f t="shared" si="2558"/>
        <v>0</v>
      </c>
      <c r="R8807" s="71"/>
    </row>
    <row r="8808" spans="1:18" s="61" customFormat="1" x14ac:dyDescent="0.25">
      <c r="A8808" s="358"/>
      <c r="B8808" s="361"/>
      <c r="C8808" s="366"/>
      <c r="D8808" s="254" t="s">
        <v>420</v>
      </c>
      <c r="E8808" s="156" t="s">
        <v>28</v>
      </c>
      <c r="F8808" s="156" t="s">
        <v>28</v>
      </c>
      <c r="G8808" s="238">
        <f>MROUND(H8808*L8808*I8808/K8808,0.000000001)</f>
        <v>0</v>
      </c>
      <c r="H8808" s="158"/>
      <c r="I8808" s="159">
        <f t="shared" si="2559"/>
        <v>2.8856369999999999E-2</v>
      </c>
      <c r="J8808" s="160"/>
      <c r="K8808" s="161">
        <f t="shared" si="2560"/>
        <v>541</v>
      </c>
      <c r="L8808" s="250">
        <v>1</v>
      </c>
      <c r="M8808" s="163"/>
      <c r="N8808" s="164"/>
      <c r="O8808" s="165">
        <f t="shared" si="2557"/>
        <v>0</v>
      </c>
      <c r="P8808" s="166"/>
      <c r="Q8808" s="166">
        <f t="shared" si="2558"/>
        <v>0</v>
      </c>
      <c r="R8808" s="71"/>
    </row>
    <row r="8809" spans="1:18" s="61" customFormat="1" x14ac:dyDescent="0.25">
      <c r="A8809" s="358"/>
      <c r="B8809" s="361"/>
      <c r="C8809" s="366"/>
      <c r="D8809" s="254" t="s">
        <v>421</v>
      </c>
      <c r="E8809" s="156" t="s">
        <v>28</v>
      </c>
      <c r="F8809" s="156" t="s">
        <v>28</v>
      </c>
      <c r="G8809" s="238">
        <f>MROUND(H8809*L8809*I8809/K8809,0.00000001)</f>
        <v>0</v>
      </c>
      <c r="H8809" s="158"/>
      <c r="I8809" s="159">
        <f t="shared" si="2559"/>
        <v>2.8856369999999999E-2</v>
      </c>
      <c r="J8809" s="160"/>
      <c r="K8809" s="161">
        <f t="shared" si="2560"/>
        <v>541</v>
      </c>
      <c r="L8809" s="250">
        <v>1</v>
      </c>
      <c r="M8809" s="163"/>
      <c r="N8809" s="164"/>
      <c r="O8809" s="165">
        <f t="shared" si="2557"/>
        <v>0</v>
      </c>
      <c r="P8809" s="166"/>
      <c r="Q8809" s="166">
        <f t="shared" si="2558"/>
        <v>0</v>
      </c>
      <c r="R8809" s="71"/>
    </row>
    <row r="8810" spans="1:18" s="61" customFormat="1" ht="30" x14ac:dyDescent="0.25">
      <c r="A8810" s="358"/>
      <c r="B8810" s="361"/>
      <c r="C8810" s="366"/>
      <c r="D8810" s="254" t="s">
        <v>422</v>
      </c>
      <c r="E8810" s="156" t="s">
        <v>28</v>
      </c>
      <c r="F8810" s="156" t="s">
        <v>28</v>
      </c>
      <c r="G8810" s="266">
        <f>MROUND(H8810*L8810*I8810/K8810,0.00000001)</f>
        <v>0</v>
      </c>
      <c r="H8810" s="158"/>
      <c r="I8810" s="159">
        <f t="shared" si="2559"/>
        <v>2.8856369999999999E-2</v>
      </c>
      <c r="J8810" s="160"/>
      <c r="K8810" s="161">
        <f t="shared" si="2560"/>
        <v>541</v>
      </c>
      <c r="L8810" s="250">
        <v>1</v>
      </c>
      <c r="M8810" s="163"/>
      <c r="N8810" s="164"/>
      <c r="O8810" s="165">
        <f t="shared" si="2557"/>
        <v>0</v>
      </c>
      <c r="P8810" s="166"/>
      <c r="Q8810" s="166">
        <f t="shared" si="2558"/>
        <v>0</v>
      </c>
      <c r="R8810" s="71"/>
    </row>
    <row r="8811" spans="1:18" s="61" customFormat="1" x14ac:dyDescent="0.25">
      <c r="A8811" s="358"/>
      <c r="B8811" s="361"/>
      <c r="C8811" s="366"/>
      <c r="D8811" s="254" t="s">
        <v>423</v>
      </c>
      <c r="E8811" s="156" t="s">
        <v>28</v>
      </c>
      <c r="F8811" s="156" t="s">
        <v>28</v>
      </c>
      <c r="G8811" s="238">
        <f>MROUND(H8811*L8811*I8811/K8811,0.000000001)</f>
        <v>0</v>
      </c>
      <c r="H8811" s="158"/>
      <c r="I8811" s="159">
        <f t="shared" si="2559"/>
        <v>2.8856369999999999E-2</v>
      </c>
      <c r="J8811" s="160"/>
      <c r="K8811" s="161">
        <f t="shared" si="2560"/>
        <v>541</v>
      </c>
      <c r="L8811" s="250">
        <v>1</v>
      </c>
      <c r="M8811" s="163"/>
      <c r="N8811" s="164"/>
      <c r="O8811" s="165">
        <f t="shared" si="2557"/>
        <v>0</v>
      </c>
      <c r="P8811" s="166"/>
      <c r="Q8811" s="166">
        <f t="shared" si="2558"/>
        <v>0</v>
      </c>
      <c r="R8811" s="71"/>
    </row>
    <row r="8812" spans="1:18" s="61" customFormat="1" x14ac:dyDescent="0.25">
      <c r="A8812" s="358"/>
      <c r="B8812" s="361"/>
      <c r="C8812" s="366"/>
      <c r="D8812" s="254" t="s">
        <v>424</v>
      </c>
      <c r="E8812" s="156" t="s">
        <v>28</v>
      </c>
      <c r="F8812" s="156" t="s">
        <v>28</v>
      </c>
      <c r="G8812" s="238">
        <f t="shared" ref="G8812:G8818" si="2561">MROUND(H8812*L8812*I8812/K8812,0.00000001)</f>
        <v>0</v>
      </c>
      <c r="H8812" s="158"/>
      <c r="I8812" s="159">
        <f>I8801</f>
        <v>2.8856369999999999E-2</v>
      </c>
      <c r="J8812" s="160"/>
      <c r="K8812" s="161">
        <f>K8801</f>
        <v>541</v>
      </c>
      <c r="L8812" s="250">
        <v>1</v>
      </c>
      <c r="M8812" s="163"/>
      <c r="N8812" s="164"/>
      <c r="O8812" s="165">
        <f t="shared" si="2557"/>
        <v>0</v>
      </c>
      <c r="P8812" s="166"/>
      <c r="Q8812" s="166">
        <f t="shared" si="2558"/>
        <v>0</v>
      </c>
      <c r="R8812" s="71"/>
    </row>
    <row r="8813" spans="1:18" s="61" customFormat="1" x14ac:dyDescent="0.25">
      <c r="A8813" s="358"/>
      <c r="B8813" s="361"/>
      <c r="C8813" s="366"/>
      <c r="D8813" s="254" t="s">
        <v>425</v>
      </c>
      <c r="E8813" s="156" t="s">
        <v>28</v>
      </c>
      <c r="F8813" s="156" t="s">
        <v>28</v>
      </c>
      <c r="G8813" s="277">
        <f t="shared" si="2561"/>
        <v>0</v>
      </c>
      <c r="H8813" s="158"/>
      <c r="I8813" s="159">
        <f t="shared" ref="I8813:I8818" si="2562">I8812</f>
        <v>2.8856369999999999E-2</v>
      </c>
      <c r="J8813" s="160"/>
      <c r="K8813" s="161">
        <f t="shared" ref="K8813:K8818" si="2563">K8812</f>
        <v>541</v>
      </c>
      <c r="L8813" s="250">
        <v>1</v>
      </c>
      <c r="M8813" s="163"/>
      <c r="N8813" s="164"/>
      <c r="O8813" s="165">
        <f t="shared" si="2557"/>
        <v>0</v>
      </c>
      <c r="P8813" s="166"/>
      <c r="Q8813" s="166">
        <f t="shared" si="2558"/>
        <v>0</v>
      </c>
      <c r="R8813" s="71"/>
    </row>
    <row r="8814" spans="1:18" s="61" customFormat="1" x14ac:dyDescent="0.25">
      <c r="A8814" s="358"/>
      <c r="B8814" s="361"/>
      <c r="C8814" s="366"/>
      <c r="D8814" s="254" t="s">
        <v>108</v>
      </c>
      <c r="E8814" s="156" t="s">
        <v>28</v>
      </c>
      <c r="F8814" s="156" t="s">
        <v>28</v>
      </c>
      <c r="G8814" s="238">
        <f t="shared" si="2561"/>
        <v>0</v>
      </c>
      <c r="H8814" s="158"/>
      <c r="I8814" s="159">
        <f t="shared" si="2562"/>
        <v>2.8856369999999999E-2</v>
      </c>
      <c r="J8814" s="160"/>
      <c r="K8814" s="161">
        <f t="shared" si="2563"/>
        <v>541</v>
      </c>
      <c r="L8814" s="250">
        <v>1</v>
      </c>
      <c r="M8814" s="163"/>
      <c r="N8814" s="164"/>
      <c r="O8814" s="165">
        <f t="shared" si="2557"/>
        <v>0</v>
      </c>
      <c r="P8814" s="166"/>
      <c r="Q8814" s="166">
        <f t="shared" si="2558"/>
        <v>0</v>
      </c>
      <c r="R8814" s="71"/>
    </row>
    <row r="8815" spans="1:18" s="61" customFormat="1" x14ac:dyDescent="0.25">
      <c r="A8815" s="358"/>
      <c r="B8815" s="361"/>
      <c r="C8815" s="366"/>
      <c r="D8815" s="254" t="s">
        <v>426</v>
      </c>
      <c r="E8815" s="156" t="s">
        <v>28</v>
      </c>
      <c r="F8815" s="156" t="s">
        <v>28</v>
      </c>
      <c r="G8815" s="238">
        <f t="shared" si="2561"/>
        <v>0</v>
      </c>
      <c r="H8815" s="158"/>
      <c r="I8815" s="159">
        <f t="shared" si="2562"/>
        <v>2.8856369999999999E-2</v>
      </c>
      <c r="J8815" s="160"/>
      <c r="K8815" s="161">
        <f t="shared" si="2563"/>
        <v>541</v>
      </c>
      <c r="L8815" s="250">
        <v>1</v>
      </c>
      <c r="M8815" s="163"/>
      <c r="N8815" s="164"/>
      <c r="O8815" s="165">
        <f t="shared" si="2557"/>
        <v>0</v>
      </c>
      <c r="P8815" s="166"/>
      <c r="Q8815" s="166">
        <f t="shared" si="2558"/>
        <v>0</v>
      </c>
      <c r="R8815" s="71"/>
    </row>
    <row r="8816" spans="1:18" s="61" customFormat="1" x14ac:dyDescent="0.25">
      <c r="A8816" s="358"/>
      <c r="B8816" s="361"/>
      <c r="C8816" s="366"/>
      <c r="D8816" s="254" t="s">
        <v>427</v>
      </c>
      <c r="E8816" s="156" t="s">
        <v>28</v>
      </c>
      <c r="F8816" s="156" t="s">
        <v>28</v>
      </c>
      <c r="G8816" s="238">
        <f t="shared" si="2561"/>
        <v>0</v>
      </c>
      <c r="H8816" s="158"/>
      <c r="I8816" s="159">
        <f t="shared" si="2562"/>
        <v>2.8856369999999999E-2</v>
      </c>
      <c r="J8816" s="160"/>
      <c r="K8816" s="161">
        <f t="shared" si="2563"/>
        <v>541</v>
      </c>
      <c r="L8816" s="250">
        <v>1</v>
      </c>
      <c r="M8816" s="163"/>
      <c r="N8816" s="164"/>
      <c r="O8816" s="165">
        <f t="shared" si="2557"/>
        <v>0</v>
      </c>
      <c r="P8816" s="166"/>
      <c r="Q8816" s="166">
        <f t="shared" si="2558"/>
        <v>0</v>
      </c>
      <c r="R8816" s="71"/>
    </row>
    <row r="8817" spans="1:41" s="61" customFormat="1" x14ac:dyDescent="0.25">
      <c r="A8817" s="358"/>
      <c r="B8817" s="361"/>
      <c r="C8817" s="366"/>
      <c r="D8817" s="254" t="s">
        <v>428</v>
      </c>
      <c r="E8817" s="156" t="s">
        <v>28</v>
      </c>
      <c r="F8817" s="156" t="s">
        <v>28</v>
      </c>
      <c r="G8817" s="238">
        <f t="shared" si="2561"/>
        <v>0</v>
      </c>
      <c r="H8817" s="158"/>
      <c r="I8817" s="159">
        <f t="shared" si="2562"/>
        <v>2.8856369999999999E-2</v>
      </c>
      <c r="J8817" s="160"/>
      <c r="K8817" s="161">
        <f t="shared" si="2563"/>
        <v>541</v>
      </c>
      <c r="L8817" s="250">
        <v>1</v>
      </c>
      <c r="M8817" s="163"/>
      <c r="N8817" s="164"/>
      <c r="O8817" s="165">
        <f t="shared" si="2557"/>
        <v>0</v>
      </c>
      <c r="P8817" s="166"/>
      <c r="Q8817" s="166">
        <f t="shared" si="2558"/>
        <v>0</v>
      </c>
      <c r="R8817" s="71"/>
    </row>
    <row r="8818" spans="1:41" s="61" customFormat="1" x14ac:dyDescent="0.25">
      <c r="A8818" s="358"/>
      <c r="B8818" s="361"/>
      <c r="C8818" s="366"/>
      <c r="D8818" s="255" t="s">
        <v>429</v>
      </c>
      <c r="E8818" s="156" t="s">
        <v>28</v>
      </c>
      <c r="F8818" s="156" t="s">
        <v>28</v>
      </c>
      <c r="G8818" s="238">
        <f t="shared" si="2561"/>
        <v>0</v>
      </c>
      <c r="H8818" s="158"/>
      <c r="I8818" s="159">
        <f t="shared" si="2562"/>
        <v>2.8856369999999999E-2</v>
      </c>
      <c r="J8818" s="160"/>
      <c r="K8818" s="161">
        <f t="shared" si="2563"/>
        <v>541</v>
      </c>
      <c r="L8818" s="250">
        <v>1</v>
      </c>
      <c r="M8818" s="163"/>
      <c r="N8818" s="164"/>
      <c r="O8818" s="165">
        <f t="shared" si="2557"/>
        <v>0</v>
      </c>
      <c r="P8818" s="166"/>
      <c r="Q8818" s="166">
        <f t="shared" si="2558"/>
        <v>0</v>
      </c>
      <c r="R8818" s="71"/>
    </row>
    <row r="8819" spans="1:41" s="62" customFormat="1" x14ac:dyDescent="0.25">
      <c r="A8819" s="358"/>
      <c r="B8819" s="361"/>
      <c r="C8819" s="249" t="s">
        <v>299</v>
      </c>
      <c r="D8819" s="256"/>
      <c r="E8819" s="240"/>
      <c r="F8819" s="240"/>
      <c r="G8819" s="227"/>
      <c r="H8819" s="241"/>
      <c r="I8819" s="206"/>
      <c r="J8819" s="228"/>
      <c r="K8819" s="207"/>
      <c r="L8819" s="257"/>
      <c r="M8819" s="209"/>
      <c r="N8819" s="210"/>
      <c r="O8819" s="198">
        <f>SUM(O8795:O8818)</f>
        <v>0</v>
      </c>
      <c r="P8819" s="267"/>
      <c r="Q8819" s="166">
        <f t="shared" si="2558"/>
        <v>0</v>
      </c>
      <c r="R8819" s="71"/>
    </row>
    <row r="8820" spans="1:41" s="61" customFormat="1" ht="110.25" x14ac:dyDescent="0.25">
      <c r="A8820" s="358"/>
      <c r="B8820" s="361"/>
      <c r="C8820" s="221" t="s">
        <v>82</v>
      </c>
      <c r="D8820" s="156" t="s">
        <v>46</v>
      </c>
      <c r="E8820" s="156" t="s">
        <v>54</v>
      </c>
      <c r="F8820" s="156" t="s">
        <v>285</v>
      </c>
      <c r="G8820" s="238">
        <f>MROUND(H8820*L8820*I8820/K8820,0.000001)</f>
        <v>0.60326299999999999</v>
      </c>
      <c r="H8820" s="242">
        <f>H8340</f>
        <v>1028.1818077549303</v>
      </c>
      <c r="I8820" s="159">
        <f>I8818</f>
        <v>2.8856369999999999E-2</v>
      </c>
      <c r="J8820" s="160"/>
      <c r="K8820" s="161">
        <f>K8818</f>
        <v>541</v>
      </c>
      <c r="L8820" s="225">
        <f>L8580</f>
        <v>11</v>
      </c>
      <c r="M8820" s="163" t="str">
        <f>CONCATENATE(H8820," ",F8820,"*",L8820,"автобуса","*",I8820,"/",K8820,"чел.")</f>
        <v>1028,18180775493 л бензина АИ 92 (12,5л/день(зимой)*20дней*7мес+10л/день(летом)*20дней*4мес)*11автобуса*0,02885637/541чел.</v>
      </c>
      <c r="N8820" s="164">
        <f>N6900</f>
        <v>59.28728000000001</v>
      </c>
      <c r="O8820" s="165">
        <f>MROUND(G8820*N8820,0.000001)</f>
        <v>35.765822</v>
      </c>
      <c r="P8820" s="166"/>
      <c r="Q8820" s="166">
        <f t="shared" si="2558"/>
        <v>19349.309701999999</v>
      </c>
      <c r="R8820" s="71"/>
    </row>
    <row r="8821" spans="1:41" s="62" customFormat="1" x14ac:dyDescent="0.25">
      <c r="A8821" s="358"/>
      <c r="B8821" s="361"/>
      <c r="C8821" s="218" t="s">
        <v>300</v>
      </c>
      <c r="D8821" s="240"/>
      <c r="E8821" s="240"/>
      <c r="F8821" s="240"/>
      <c r="G8821" s="227"/>
      <c r="H8821" s="241"/>
      <c r="I8821" s="206"/>
      <c r="J8821" s="228"/>
      <c r="K8821" s="207"/>
      <c r="L8821" s="257"/>
      <c r="M8821" s="209"/>
      <c r="N8821" s="210"/>
      <c r="O8821" s="198">
        <f>SUM(O8820)</f>
        <v>35.765822</v>
      </c>
      <c r="P8821" s="267"/>
      <c r="Q8821" s="166">
        <f t="shared" si="2558"/>
        <v>0</v>
      </c>
      <c r="R8821" s="71"/>
    </row>
    <row r="8822" spans="1:41" s="61" customFormat="1" ht="47.25" x14ac:dyDescent="0.25">
      <c r="A8822" s="358"/>
      <c r="B8822" s="361"/>
      <c r="C8822" s="221" t="s">
        <v>434</v>
      </c>
      <c r="D8822" s="156" t="s">
        <v>436</v>
      </c>
      <c r="E8822" s="156" t="s">
        <v>28</v>
      </c>
      <c r="F8822" s="156" t="s">
        <v>437</v>
      </c>
      <c r="G8822" s="157">
        <f>MROUND(H8822*L8822*I8822/K8822,0.000001)</f>
        <v>1.5467999999999999E-2</v>
      </c>
      <c r="H8822" s="242">
        <f>$H$125</f>
        <v>290</v>
      </c>
      <c r="I8822" s="159">
        <f>I8820</f>
        <v>2.8856369999999999E-2</v>
      </c>
      <c r="J8822" s="160"/>
      <c r="K8822" s="161">
        <f>K8820</f>
        <v>541</v>
      </c>
      <c r="L8822" s="162">
        <v>1</v>
      </c>
      <c r="M8822" s="163" t="str">
        <f>CONCATENATE(H8822," ",F8822,"*",L8822,"автобуса","*",I8822,"/",K8822,"чел.")</f>
        <v>290 огнетушителей (потребность учреждений) *1автобуса*0,02885637/541чел.</v>
      </c>
      <c r="N8822" s="164">
        <f>$N$125</f>
        <v>2000</v>
      </c>
      <c r="O8822" s="165">
        <f>MROUND(G8822*N8822,0.000001)</f>
        <v>30.936</v>
      </c>
      <c r="P8822" s="166"/>
      <c r="Q8822" s="166">
        <f t="shared" si="2558"/>
        <v>16736.376</v>
      </c>
      <c r="R8822" s="71"/>
    </row>
    <row r="8823" spans="1:41" s="61" customFormat="1" x14ac:dyDescent="0.25">
      <c r="A8823" s="358"/>
      <c r="B8823" s="361"/>
      <c r="C8823" s="218" t="s">
        <v>435</v>
      </c>
      <c r="D8823" s="240"/>
      <c r="E8823" s="240"/>
      <c r="F8823" s="240"/>
      <c r="G8823" s="251"/>
      <c r="H8823" s="241"/>
      <c r="I8823" s="206"/>
      <c r="J8823" s="228"/>
      <c r="K8823" s="207"/>
      <c r="L8823" s="229"/>
      <c r="M8823" s="209"/>
      <c r="N8823" s="210"/>
      <c r="O8823" s="198">
        <f>SUM(O8822)</f>
        <v>30.936</v>
      </c>
      <c r="P8823" s="166"/>
      <c r="Q8823" s="166">
        <f t="shared" si="2558"/>
        <v>0</v>
      </c>
      <c r="R8823" s="71"/>
    </row>
    <row r="8824" spans="1:41" s="61" customFormat="1" ht="47.25" x14ac:dyDescent="0.25">
      <c r="A8824" s="358"/>
      <c r="B8824" s="361"/>
      <c r="C8824" s="364" t="s">
        <v>118</v>
      </c>
      <c r="D8824" s="156" t="s">
        <v>47</v>
      </c>
      <c r="E8824" s="156" t="s">
        <v>28</v>
      </c>
      <c r="F8824" s="156" t="s">
        <v>239</v>
      </c>
      <c r="G8824" s="238">
        <f>MROUND(H8824*L8824*I8824/K8824,0.00000001)</f>
        <v>7.4674500000000005E-3</v>
      </c>
      <c r="H8824" s="158">
        <f>H7744</f>
        <v>140</v>
      </c>
      <c r="I8824" s="159">
        <f>I8820</f>
        <v>2.8856369999999999E-2</v>
      </c>
      <c r="J8824" s="160"/>
      <c r="K8824" s="161">
        <f>K8820</f>
        <v>541</v>
      </c>
      <c r="L8824" s="250">
        <v>1</v>
      </c>
      <c r="M8824" s="163" t="str">
        <f>CONCATENATE(H8824," ",F8824,"*",I8824,"/",K8824,"чел.")</f>
        <v>140 манометров (потребность учреждений) *0,02885637/541чел.</v>
      </c>
      <c r="N8824" s="164">
        <f>N6904</f>
        <v>770.73500000000035</v>
      </c>
      <c r="O8824" s="165">
        <f>MROUND(G8824*N8824,0.000001)</f>
        <v>5.7554249999999998</v>
      </c>
      <c r="P8824" s="166"/>
      <c r="Q8824" s="166">
        <f t="shared" si="2558"/>
        <v>3113.684925</v>
      </c>
      <c r="R8824" s="71"/>
    </row>
    <row r="8825" spans="1:41" s="61" customFormat="1" ht="47.25" x14ac:dyDescent="0.25">
      <c r="A8825" s="358"/>
      <c r="B8825" s="361"/>
      <c r="C8825" s="364"/>
      <c r="D8825" s="255" t="s">
        <v>113</v>
      </c>
      <c r="E8825" s="156" t="s">
        <v>28</v>
      </c>
      <c r="F8825" s="156" t="s">
        <v>240</v>
      </c>
      <c r="G8825" s="238">
        <f>MROUND(H8825*L8825*I8825/K8825,0.00000001)</f>
        <v>0.30483208000000001</v>
      </c>
      <c r="H8825" s="158">
        <f>H7385</f>
        <v>5715</v>
      </c>
      <c r="I8825" s="159">
        <f>I8824</f>
        <v>2.8856369999999999E-2</v>
      </c>
      <c r="J8825" s="160"/>
      <c r="K8825" s="161">
        <f>K8824</f>
        <v>541</v>
      </c>
      <c r="L8825" s="250">
        <v>1</v>
      </c>
      <c r="M8825" s="163" t="str">
        <f>CONCATENATE(H8825," ",F8825,"*",I8825,"/",K8825,"чел.")</f>
        <v>5715 светильников (потребность учреждений)*0,02885637/541чел.</v>
      </c>
      <c r="N8825" s="164">
        <f>N6905</f>
        <v>115.61019597550306</v>
      </c>
      <c r="O8825" s="165">
        <f>MROUND(G8825*N8825,0.000001)</f>
        <v>35.241696999999995</v>
      </c>
      <c r="P8825" s="166"/>
      <c r="Q8825" s="166">
        <f t="shared" si="2558"/>
        <v>19065.758076999999</v>
      </c>
      <c r="R8825" s="71"/>
    </row>
    <row r="8826" spans="1:41" s="62" customFormat="1" x14ac:dyDescent="0.25">
      <c r="A8826" s="359"/>
      <c r="B8826" s="362"/>
      <c r="C8826" s="218" t="s">
        <v>301</v>
      </c>
      <c r="D8826" s="256"/>
      <c r="E8826" s="240"/>
      <c r="F8826" s="240"/>
      <c r="G8826" s="227"/>
      <c r="H8826" s="241"/>
      <c r="I8826" s="206"/>
      <c r="J8826" s="228"/>
      <c r="K8826" s="207"/>
      <c r="L8826" s="257"/>
      <c r="M8826" s="209"/>
      <c r="N8826" s="210"/>
      <c r="O8826" s="198">
        <f>SUM(O8824:O8825)</f>
        <v>40.997121999999997</v>
      </c>
      <c r="P8826" s="267"/>
      <c r="Q8826" s="166">
        <f>O8826*K8826</f>
        <v>0</v>
      </c>
      <c r="R8826" s="71">
        <f>SUBTOTAL(9,Q6787:Q8825)</f>
        <v>496942302.35208648</v>
      </c>
      <c r="S8826" s="72"/>
      <c r="T8826" s="72"/>
    </row>
    <row r="8827" spans="1:41" s="108" customFormat="1" x14ac:dyDescent="0.25">
      <c r="A8827" s="357" t="str">
        <f>школы!$B$32</f>
        <v>Реализация дополнительных общеразвивающих программ (техническая направленность)</v>
      </c>
      <c r="B8827" s="360" t="str">
        <f>школы!$A$32</f>
        <v>801012О.99.0.ББ57АЕ04000</v>
      </c>
      <c r="C8827" s="194"/>
      <c r="D8827" s="363" t="s">
        <v>15</v>
      </c>
      <c r="E8827" s="363"/>
      <c r="F8827" s="363"/>
      <c r="G8827" s="363"/>
      <c r="H8827" s="195"/>
      <c r="I8827" s="195"/>
      <c r="J8827" s="195"/>
      <c r="K8827" s="195"/>
      <c r="L8827" s="196"/>
      <c r="M8827" s="197"/>
      <c r="N8827" s="278"/>
      <c r="O8827" s="279">
        <f>O8828+O8833</f>
        <v>133.58691994140003</v>
      </c>
      <c r="P8827" s="166"/>
      <c r="Q8827" s="166">
        <f>O8827*K8827</f>
        <v>0</v>
      </c>
      <c r="R8827" s="71"/>
      <c r="S8827" s="61"/>
      <c r="T8827" s="61"/>
      <c r="U8827" s="61"/>
      <c r="V8827" s="61"/>
      <c r="W8827" s="61"/>
      <c r="X8827" s="61"/>
      <c r="Y8827" s="61"/>
      <c r="Z8827" s="61"/>
      <c r="AA8827" s="61"/>
      <c r="AB8827" s="61"/>
      <c r="AC8827" s="61"/>
      <c r="AD8827" s="61"/>
      <c r="AE8827" s="61"/>
      <c r="AF8827" s="61"/>
      <c r="AG8827" s="61"/>
      <c r="AH8827" s="61"/>
      <c r="AI8827" s="61"/>
      <c r="AJ8827" s="61"/>
      <c r="AK8827" s="61"/>
      <c r="AL8827" s="61"/>
      <c r="AM8827" s="61"/>
      <c r="AN8827" s="61"/>
      <c r="AO8827" s="61"/>
    </row>
    <row r="8828" spans="1:41" s="108" customFormat="1" x14ac:dyDescent="0.25">
      <c r="A8828" s="358"/>
      <c r="B8828" s="361"/>
      <c r="C8828" s="194"/>
      <c r="D8828" s="350" t="s">
        <v>62</v>
      </c>
      <c r="E8828" s="350"/>
      <c r="F8828" s="350"/>
      <c r="G8828" s="350"/>
      <c r="H8828" s="195"/>
      <c r="I8828" s="195"/>
      <c r="J8828" s="195"/>
      <c r="K8828" s="195"/>
      <c r="L8828" s="196"/>
      <c r="M8828" s="197"/>
      <c r="N8828" s="278"/>
      <c r="O8828" s="279">
        <f>O8829+O8831</f>
        <v>132.72261694140002</v>
      </c>
      <c r="P8828" s="166"/>
      <c r="Q8828" s="166">
        <f>O8828*K8828</f>
        <v>0</v>
      </c>
      <c r="R8828" s="71"/>
      <c r="S8828" s="61"/>
      <c r="T8828" s="61"/>
      <c r="U8828" s="61"/>
      <c r="V8828" s="61"/>
      <c r="W8828" s="61"/>
      <c r="X8828" s="61"/>
      <c r="Y8828" s="61"/>
      <c r="Z8828" s="61"/>
      <c r="AA8828" s="61"/>
      <c r="AB8828" s="61"/>
      <c r="AC8828" s="61"/>
      <c r="AD8828" s="61"/>
      <c r="AE8828" s="61"/>
      <c r="AF8828" s="61"/>
      <c r="AG8828" s="61"/>
      <c r="AH8828" s="61"/>
      <c r="AI8828" s="61"/>
      <c r="AJ8828" s="61"/>
      <c r="AK8828" s="61"/>
      <c r="AL8828" s="61"/>
      <c r="AM8828" s="61"/>
      <c r="AN8828" s="61"/>
      <c r="AO8828" s="61"/>
    </row>
    <row r="8829" spans="1:41" s="61" customFormat="1" ht="31.5" x14ac:dyDescent="0.25">
      <c r="A8829" s="358"/>
      <c r="B8829" s="361"/>
      <c r="C8829" s="194">
        <v>211</v>
      </c>
      <c r="D8829" s="194" t="s">
        <v>86</v>
      </c>
      <c r="E8829" s="199" t="s">
        <v>95</v>
      </c>
      <c r="F8829" s="199" t="s">
        <v>95</v>
      </c>
      <c r="G8829" s="275">
        <f>MROUND(H8829*L8829*I8829/K8829,0.0000000000000001)</f>
        <v>4.3007463258785995E-3</v>
      </c>
      <c r="H8829" s="201">
        <f>Лист1!G284</f>
        <v>368.4</v>
      </c>
      <c r="I8829" s="159">
        <f>школы!$K$32</f>
        <v>0.16442999999999999</v>
      </c>
      <c r="J8829" s="159"/>
      <c r="K8829" s="161">
        <f>школы!$G$32</f>
        <v>169020</v>
      </c>
      <c r="L8829" s="202">
        <v>12</v>
      </c>
      <c r="M8829" s="163" t="str">
        <f>CONCATENATE(H8829," ",F8829," ","в мес.","*",L8829,"мес.","*",I8829,"/",K8829,"чел/час")</f>
        <v>368,4 шт.ед в мес.*12мес.*0,16443/169020чел/час</v>
      </c>
      <c r="N8829" s="278">
        <f>Лист1!I284</f>
        <v>23702.349798678973</v>
      </c>
      <c r="O8829" s="280">
        <f>MROUND(N8829*G8829,0.0000000001)-0.0003</f>
        <v>101.9374938114</v>
      </c>
      <c r="P8829" s="166"/>
      <c r="Q8829" s="166">
        <f t="shared" ref="Q8829" si="2564">O8829*K8829</f>
        <v>17229475.204002827</v>
      </c>
      <c r="R8829" s="71"/>
      <c r="T8829" s="71"/>
      <c r="U8829" s="71"/>
      <c r="V8829" s="120"/>
    </row>
    <row r="8830" spans="1:41" s="109" customFormat="1" x14ac:dyDescent="0.25">
      <c r="A8830" s="358"/>
      <c r="B8830" s="361"/>
      <c r="C8830" s="203" t="s">
        <v>288</v>
      </c>
      <c r="D8830" s="203"/>
      <c r="E8830" s="204"/>
      <c r="F8830" s="204"/>
      <c r="G8830" s="205"/>
      <c r="H8830" s="206"/>
      <c r="I8830" s="206"/>
      <c r="J8830" s="206"/>
      <c r="K8830" s="207"/>
      <c r="L8830" s="208"/>
      <c r="M8830" s="209"/>
      <c r="N8830" s="281"/>
      <c r="O8830" s="279">
        <f>O8829</f>
        <v>101.9374938114</v>
      </c>
      <c r="P8830" s="267"/>
      <c r="Q8830" s="166"/>
      <c r="R8830" s="71"/>
      <c r="S8830" s="62"/>
      <c r="T8830" s="62"/>
      <c r="U8830" s="62"/>
      <c r="V8830" s="62"/>
      <c r="W8830" s="62"/>
      <c r="X8830" s="62"/>
      <c r="Y8830" s="62"/>
      <c r="Z8830" s="62"/>
      <c r="AA8830" s="62"/>
      <c r="AB8830" s="62"/>
      <c r="AC8830" s="62"/>
      <c r="AD8830" s="62"/>
      <c r="AE8830" s="62"/>
      <c r="AF8830" s="62"/>
      <c r="AG8830" s="62"/>
      <c r="AH8830" s="62"/>
      <c r="AI8830" s="62"/>
      <c r="AJ8830" s="62"/>
      <c r="AK8830" s="62"/>
      <c r="AL8830" s="62"/>
      <c r="AM8830" s="62"/>
      <c r="AN8830" s="62"/>
      <c r="AO8830" s="62"/>
    </row>
    <row r="8831" spans="1:41" s="61" customFormat="1" x14ac:dyDescent="0.25">
      <c r="A8831" s="358"/>
      <c r="B8831" s="361"/>
      <c r="C8831" s="194">
        <v>213</v>
      </c>
      <c r="D8831" s="194" t="s">
        <v>87</v>
      </c>
      <c r="E8831" s="194" t="s">
        <v>88</v>
      </c>
      <c r="F8831" s="194"/>
      <c r="G8831" s="211">
        <v>30.2</v>
      </c>
      <c r="H8831" s="159"/>
      <c r="I8831" s="282">
        <f>I8829</f>
        <v>0.16442999999999999</v>
      </c>
      <c r="J8831" s="159"/>
      <c r="K8831" s="161">
        <f>K8829</f>
        <v>169020</v>
      </c>
      <c r="L8831" s="202"/>
      <c r="M8831" s="212"/>
      <c r="N8831" s="278"/>
      <c r="O8831" s="280">
        <f>MROUND(O8829*0.302,0.00000001)</f>
        <v>30.785123130000002</v>
      </c>
      <c r="P8831" s="166"/>
      <c r="Q8831" s="166">
        <f t="shared" ref="Q8831" si="2565">O8831*K8831</f>
        <v>5203301.5114326002</v>
      </c>
      <c r="R8831" s="71"/>
    </row>
    <row r="8832" spans="1:41" s="109" customFormat="1" x14ac:dyDescent="0.25">
      <c r="A8832" s="358"/>
      <c r="B8832" s="361"/>
      <c r="C8832" s="203" t="s">
        <v>289</v>
      </c>
      <c r="D8832" s="203"/>
      <c r="E8832" s="203"/>
      <c r="F8832" s="203"/>
      <c r="G8832" s="213"/>
      <c r="H8832" s="214"/>
      <c r="I8832" s="206"/>
      <c r="J8832" s="214"/>
      <c r="K8832" s="207"/>
      <c r="L8832" s="215"/>
      <c r="M8832" s="216"/>
      <c r="N8832" s="281"/>
      <c r="O8832" s="279">
        <f>O8831</f>
        <v>30.785123130000002</v>
      </c>
      <c r="P8832" s="267"/>
      <c r="Q8832" s="166"/>
      <c r="R8832" s="71"/>
      <c r="S8832" s="62"/>
      <c r="T8832" s="62"/>
      <c r="U8832" s="62"/>
      <c r="V8832" s="62"/>
      <c r="W8832" s="62"/>
      <c r="X8832" s="62"/>
      <c r="Y8832" s="62"/>
      <c r="Z8832" s="62"/>
      <c r="AA8832" s="62"/>
      <c r="AB8832" s="62"/>
      <c r="AC8832" s="62"/>
      <c r="AD8832" s="62"/>
      <c r="AE8832" s="62"/>
      <c r="AF8832" s="62"/>
      <c r="AG8832" s="62"/>
      <c r="AH8832" s="62"/>
      <c r="AI8832" s="62"/>
      <c r="AJ8832" s="62"/>
      <c r="AK8832" s="62"/>
      <c r="AL8832" s="62"/>
      <c r="AM8832" s="62"/>
      <c r="AN8832" s="62"/>
      <c r="AO8832" s="62"/>
    </row>
    <row r="8833" spans="1:41" s="108" customFormat="1" x14ac:dyDescent="0.25">
      <c r="A8833" s="358"/>
      <c r="B8833" s="361"/>
      <c r="C8833" s="194"/>
      <c r="D8833" s="356" t="s">
        <v>63</v>
      </c>
      <c r="E8833" s="356"/>
      <c r="F8833" s="356"/>
      <c r="G8833" s="356"/>
      <c r="H8833" s="195"/>
      <c r="I8833" s="159"/>
      <c r="J8833" s="195"/>
      <c r="K8833" s="161"/>
      <c r="L8833" s="196"/>
      <c r="M8833" s="197"/>
      <c r="N8833" s="278"/>
      <c r="O8833" s="280">
        <f>O8834</f>
        <v>0.86430299999999993</v>
      </c>
      <c r="P8833" s="166"/>
      <c r="Q8833" s="166">
        <f t="shared" ref="Q8833:Q8834" si="2566">O8833*K8833</f>
        <v>0</v>
      </c>
      <c r="R8833" s="71"/>
      <c r="S8833" s="61"/>
      <c r="T8833" s="61"/>
      <c r="U8833" s="61"/>
      <c r="V8833" s="61"/>
      <c r="W8833" s="61"/>
      <c r="X8833" s="61"/>
      <c r="Y8833" s="61"/>
      <c r="Z8833" s="61"/>
      <c r="AA8833" s="61"/>
      <c r="AB8833" s="61"/>
      <c r="AC8833" s="61"/>
      <c r="AD8833" s="61"/>
      <c r="AE8833" s="61"/>
      <c r="AF8833" s="61"/>
      <c r="AG8833" s="61"/>
      <c r="AH8833" s="61"/>
      <c r="AI8833" s="61"/>
      <c r="AJ8833" s="61"/>
      <c r="AK8833" s="61"/>
      <c r="AL8833" s="61"/>
      <c r="AM8833" s="61"/>
      <c r="AN8833" s="61"/>
      <c r="AO8833" s="61"/>
    </row>
    <row r="8834" spans="1:41" s="61" customFormat="1" x14ac:dyDescent="0.25">
      <c r="A8834" s="358"/>
      <c r="B8834" s="361"/>
      <c r="C8834" s="194" t="s">
        <v>118</v>
      </c>
      <c r="D8834" s="194" t="s">
        <v>259</v>
      </c>
      <c r="E8834" s="194" t="s">
        <v>260</v>
      </c>
      <c r="F8834" s="194" t="s">
        <v>261</v>
      </c>
      <c r="G8834" s="238">
        <f>MROUND(H8834*L8834*I8834/K8834,0.0000000000001)</f>
        <v>1.179086262E-3</v>
      </c>
      <c r="H8834" s="283">
        <f>Лист1!G405</f>
        <v>1212</v>
      </c>
      <c r="I8834" s="282">
        <f>I8831</f>
        <v>0.16442999999999999</v>
      </c>
      <c r="J8834" s="195"/>
      <c r="K8834" s="161">
        <f>K8831</f>
        <v>169020</v>
      </c>
      <c r="L8834" s="196">
        <v>1</v>
      </c>
      <c r="M8834" s="163" t="str">
        <f>CONCATENATE(H8834," ",F8834,"*",I8834,"/",K8834,"чел/час")</f>
        <v>1212 упаковок*0,16443/169020чел/час</v>
      </c>
      <c r="N8834" s="278">
        <f>Лист1!I405</f>
        <v>733.02792904290436</v>
      </c>
      <c r="O8834" s="280">
        <f>MROUND(N8834*G8834,0.000001)</f>
        <v>0.86430299999999993</v>
      </c>
      <c r="P8834" s="166"/>
      <c r="Q8834" s="166">
        <f t="shared" si="2566"/>
        <v>146084.49305999998</v>
      </c>
      <c r="R8834" s="71"/>
    </row>
    <row r="8835" spans="1:41" s="109" customFormat="1" x14ac:dyDescent="0.25">
      <c r="A8835" s="358"/>
      <c r="B8835" s="361"/>
      <c r="C8835" s="203" t="s">
        <v>301</v>
      </c>
      <c r="D8835" s="203"/>
      <c r="E8835" s="203"/>
      <c r="F8835" s="203"/>
      <c r="G8835" s="227"/>
      <c r="H8835" s="214"/>
      <c r="I8835" s="206"/>
      <c r="J8835" s="214"/>
      <c r="K8835" s="207"/>
      <c r="L8835" s="215"/>
      <c r="M8835" s="209"/>
      <c r="N8835" s="281"/>
      <c r="O8835" s="279">
        <f>O8834</f>
        <v>0.86430299999999993</v>
      </c>
      <c r="P8835" s="267"/>
      <c r="Q8835" s="166"/>
      <c r="R8835" s="71"/>
      <c r="S8835" s="62"/>
      <c r="T8835" s="62"/>
      <c r="U8835" s="62"/>
      <c r="V8835" s="62"/>
      <c r="W8835" s="62"/>
      <c r="X8835" s="62"/>
      <c r="Y8835" s="62"/>
      <c r="Z8835" s="62"/>
      <c r="AA8835" s="62"/>
      <c r="AB8835" s="62"/>
      <c r="AC8835" s="62"/>
      <c r="AD8835" s="62"/>
      <c r="AE8835" s="62"/>
      <c r="AF8835" s="62"/>
      <c r="AG8835" s="62"/>
      <c r="AH8835" s="62"/>
      <c r="AI8835" s="62"/>
      <c r="AJ8835" s="62"/>
      <c r="AK8835" s="62"/>
      <c r="AL8835" s="62"/>
      <c r="AM8835" s="62"/>
      <c r="AN8835" s="62"/>
      <c r="AO8835" s="62"/>
    </row>
    <row r="8836" spans="1:41" s="108" customFormat="1" x14ac:dyDescent="0.25">
      <c r="A8836" s="358"/>
      <c r="B8836" s="361"/>
      <c r="C8836" s="194"/>
      <c r="D8836" s="350" t="s">
        <v>64</v>
      </c>
      <c r="E8836" s="350"/>
      <c r="F8836" s="350"/>
      <c r="G8836" s="350"/>
      <c r="H8836" s="195"/>
      <c r="I8836" s="159"/>
      <c r="J8836" s="195"/>
      <c r="K8836" s="161"/>
      <c r="L8836" s="196"/>
      <c r="M8836" s="197"/>
      <c r="N8836" s="278"/>
      <c r="O8836" s="280"/>
      <c r="P8836" s="166"/>
      <c r="Q8836" s="166">
        <f t="shared" ref="Q8836:Q8846" si="2567">O8836*K8836</f>
        <v>0</v>
      </c>
      <c r="R8836" s="71"/>
      <c r="S8836" s="61"/>
      <c r="T8836" s="61"/>
      <c r="U8836" s="61"/>
      <c r="V8836" s="61"/>
      <c r="W8836" s="61"/>
      <c r="X8836" s="61"/>
      <c r="Y8836" s="61"/>
      <c r="Z8836" s="61"/>
      <c r="AA8836" s="61"/>
      <c r="AB8836" s="61"/>
      <c r="AC8836" s="61"/>
      <c r="AD8836" s="61"/>
      <c r="AE8836" s="61"/>
      <c r="AF8836" s="61"/>
      <c r="AG8836" s="61"/>
      <c r="AH8836" s="61"/>
      <c r="AI8836" s="61"/>
      <c r="AJ8836" s="61"/>
      <c r="AK8836" s="61"/>
      <c r="AL8836" s="61"/>
      <c r="AM8836" s="61"/>
      <c r="AN8836" s="61"/>
      <c r="AO8836" s="61"/>
    </row>
    <row r="8837" spans="1:41" s="108" customFormat="1" x14ac:dyDescent="0.25">
      <c r="A8837" s="358"/>
      <c r="B8837" s="361"/>
      <c r="C8837" s="194"/>
      <c r="D8837" s="194"/>
      <c r="E8837" s="194"/>
      <c r="F8837" s="194"/>
      <c r="G8837" s="217"/>
      <c r="H8837" s="195"/>
      <c r="I8837" s="159"/>
      <c r="J8837" s="195"/>
      <c r="K8837" s="161"/>
      <c r="L8837" s="196"/>
      <c r="M8837" s="197"/>
      <c r="N8837" s="278"/>
      <c r="O8837" s="280"/>
      <c r="P8837" s="166"/>
      <c r="Q8837" s="166">
        <f t="shared" si="2567"/>
        <v>0</v>
      </c>
      <c r="R8837" s="71"/>
      <c r="S8837" s="61"/>
      <c r="T8837" s="61"/>
      <c r="U8837" s="61"/>
      <c r="V8837" s="61"/>
      <c r="W8837" s="61"/>
      <c r="X8837" s="61"/>
      <c r="Y8837" s="61"/>
      <c r="Z8837" s="61"/>
      <c r="AA8837" s="61"/>
      <c r="AB8837" s="61"/>
      <c r="AC8837" s="61"/>
      <c r="AD8837" s="61"/>
      <c r="AE8837" s="61"/>
      <c r="AF8837" s="61"/>
      <c r="AG8837" s="61"/>
      <c r="AH8837" s="61"/>
      <c r="AI8837" s="61"/>
      <c r="AJ8837" s="61"/>
      <c r="AK8837" s="61"/>
      <c r="AL8837" s="61"/>
      <c r="AM8837" s="61"/>
      <c r="AN8837" s="61"/>
      <c r="AO8837" s="61"/>
    </row>
    <row r="8838" spans="1:41" s="108" customFormat="1" x14ac:dyDescent="0.25">
      <c r="A8838" s="358"/>
      <c r="B8838" s="361"/>
      <c r="C8838" s="194"/>
      <c r="D8838" s="355" t="s">
        <v>5</v>
      </c>
      <c r="E8838" s="355"/>
      <c r="F8838" s="355"/>
      <c r="G8838" s="355"/>
      <c r="H8838" s="195"/>
      <c r="I8838" s="159"/>
      <c r="J8838" s="195"/>
      <c r="K8838" s="161"/>
      <c r="L8838" s="196"/>
      <c r="M8838" s="197"/>
      <c r="N8838" s="278"/>
      <c r="O8838" s="279">
        <f>O8839+O8848+O8859+O8861+O8872+O8868</f>
        <v>22.577746274000003</v>
      </c>
      <c r="P8838" s="166"/>
      <c r="Q8838" s="166">
        <f t="shared" si="2567"/>
        <v>0</v>
      </c>
      <c r="R8838" s="71"/>
      <c r="S8838" s="61"/>
      <c r="T8838" s="61"/>
      <c r="U8838" s="61"/>
      <c r="V8838" s="61"/>
      <c r="W8838" s="61"/>
      <c r="X8838" s="61"/>
      <c r="Y8838" s="61"/>
      <c r="Z8838" s="61"/>
      <c r="AA8838" s="61"/>
      <c r="AB8838" s="61"/>
      <c r="AC8838" s="61"/>
      <c r="AD8838" s="61"/>
      <c r="AE8838" s="61"/>
      <c r="AF8838" s="61"/>
      <c r="AG8838" s="61"/>
      <c r="AH8838" s="61"/>
      <c r="AI8838" s="61"/>
      <c r="AJ8838" s="61"/>
      <c r="AK8838" s="61"/>
      <c r="AL8838" s="61"/>
      <c r="AM8838" s="61"/>
      <c r="AN8838" s="61"/>
      <c r="AO8838" s="61"/>
    </row>
    <row r="8839" spans="1:41" s="108" customFormat="1" x14ac:dyDescent="0.25">
      <c r="A8839" s="358"/>
      <c r="B8839" s="361"/>
      <c r="C8839" s="221" t="s">
        <v>70</v>
      </c>
      <c r="D8839" s="355" t="s">
        <v>6</v>
      </c>
      <c r="E8839" s="355"/>
      <c r="F8839" s="355"/>
      <c r="G8839" s="355"/>
      <c r="H8839" s="189"/>
      <c r="I8839" s="159"/>
      <c r="J8839" s="189"/>
      <c r="K8839" s="161"/>
      <c r="L8839" s="190"/>
      <c r="M8839" s="197"/>
      <c r="N8839" s="278"/>
      <c r="O8839" s="279">
        <f>O8840+O8841+O8842+O8843+O8844+O8845+O8846</f>
        <v>6.4693189999999996</v>
      </c>
      <c r="P8839" s="166"/>
      <c r="Q8839" s="166">
        <f t="shared" si="2567"/>
        <v>0</v>
      </c>
      <c r="R8839" s="71"/>
      <c r="S8839" s="61"/>
      <c r="T8839" s="61"/>
      <c r="U8839" s="61"/>
      <c r="V8839" s="61"/>
      <c r="W8839" s="61"/>
      <c r="X8839" s="61"/>
      <c r="Y8839" s="61"/>
      <c r="Z8839" s="61"/>
      <c r="AA8839" s="61"/>
      <c r="AB8839" s="61"/>
      <c r="AC8839" s="61"/>
      <c r="AD8839" s="61"/>
      <c r="AE8839" s="61"/>
      <c r="AF8839" s="61"/>
      <c r="AG8839" s="61"/>
      <c r="AH8839" s="61"/>
      <c r="AI8839" s="61"/>
      <c r="AJ8839" s="61"/>
      <c r="AK8839" s="61"/>
      <c r="AL8839" s="61"/>
      <c r="AM8839" s="61"/>
      <c r="AN8839" s="61"/>
      <c r="AO8839" s="61"/>
    </row>
    <row r="8840" spans="1:41" s="61" customFormat="1" ht="31.5" x14ac:dyDescent="0.25">
      <c r="A8840" s="358"/>
      <c r="B8840" s="361"/>
      <c r="C8840" s="221" t="s">
        <v>72</v>
      </c>
      <c r="D8840" s="222" t="s">
        <v>7</v>
      </c>
      <c r="E8840" s="223" t="s">
        <v>8</v>
      </c>
      <c r="F8840" s="223" t="s">
        <v>8</v>
      </c>
      <c r="G8840" s="238">
        <f>MROUND(H8840*L8840*I8840/K8840,0.0000000000001)</f>
        <v>0.10998981384550001</v>
      </c>
      <c r="H8840" s="160">
        <f>Лист1!G292*1000</f>
        <v>113060.13705633247</v>
      </c>
      <c r="I8840" s="282">
        <f>I8834</f>
        <v>0.16442999999999999</v>
      </c>
      <c r="J8840" s="160"/>
      <c r="K8840" s="161">
        <f>K8834</f>
        <v>169020</v>
      </c>
      <c r="L8840" s="250">
        <v>1</v>
      </c>
      <c r="M8840" s="163" t="str">
        <f>CONCATENATE(H8840," ",F8840,"(лимиты выделенные УЖКХ) ","*",I8840,"/",K8840,"чел/час")</f>
        <v>113060,137056332 кВт час.(лимиты выделенные УЖКХ) *0,16443/169020чел/час</v>
      </c>
      <c r="N8840" s="278">
        <f>Лист1!I292</f>
        <v>11.38065575985371</v>
      </c>
      <c r="O8840" s="280">
        <f>MROUND(N8840*G8840,0.000001)</f>
        <v>1.2517559999999999</v>
      </c>
      <c r="P8840" s="166"/>
      <c r="Q8840" s="166">
        <f t="shared" si="2567"/>
        <v>211571.79911999998</v>
      </c>
      <c r="R8840" s="71"/>
      <c r="T8840" s="71"/>
    </row>
    <row r="8841" spans="1:41" s="61" customFormat="1" ht="31.5" x14ac:dyDescent="0.25">
      <c r="A8841" s="358"/>
      <c r="B8841" s="361"/>
      <c r="C8841" s="221" t="s">
        <v>73</v>
      </c>
      <c r="D8841" s="222" t="s">
        <v>9</v>
      </c>
      <c r="E8841" s="223" t="s">
        <v>10</v>
      </c>
      <c r="F8841" s="223" t="s">
        <v>10</v>
      </c>
      <c r="G8841" s="238">
        <f>MROUND(H8841*L8841*I8841/K8841,0.00000000001)</f>
        <v>1.3561437699999999E-3</v>
      </c>
      <c r="H8841" s="160">
        <f>Лист1!G293</f>
        <v>1394</v>
      </c>
      <c r="I8841" s="159">
        <f t="shared" ref="I8841:I8846" si="2568">I8840</f>
        <v>0.16442999999999999</v>
      </c>
      <c r="J8841" s="160"/>
      <c r="K8841" s="161">
        <f t="shared" ref="K8841:K8846" si="2569">K8840</f>
        <v>169020</v>
      </c>
      <c r="L8841" s="250">
        <v>1</v>
      </c>
      <c r="M8841" s="163" t="str">
        <f>CONCATENATE(H8841," ",F8841,"(лимиты выделенные УЖКХ) ","*",I8841,"/",K8841,"чел/час")</f>
        <v>1394 Гкал(лимиты выделенные УЖКХ) *0,16443/169020чел/час</v>
      </c>
      <c r="N8841" s="278">
        <f>Лист1!I293</f>
        <v>3095.3018579626978</v>
      </c>
      <c r="O8841" s="280">
        <f t="shared" ref="O8841:O8846" si="2570">MROUND(N8841*G8841,0.000001)</f>
        <v>4.1976740000000001</v>
      </c>
      <c r="P8841" s="166"/>
      <c r="Q8841" s="166">
        <f t="shared" si="2567"/>
        <v>709490.85947999998</v>
      </c>
      <c r="R8841" s="71"/>
      <c r="U8841" s="71"/>
    </row>
    <row r="8842" spans="1:41" s="61" customFormat="1" ht="31.5" x14ac:dyDescent="0.25">
      <c r="A8842" s="358"/>
      <c r="B8842" s="361"/>
      <c r="C8842" s="364" t="s">
        <v>74</v>
      </c>
      <c r="D8842" s="222" t="s">
        <v>12</v>
      </c>
      <c r="E8842" s="222" t="s">
        <v>11</v>
      </c>
      <c r="F8842" s="222" t="s">
        <v>11</v>
      </c>
      <c r="G8842" s="238">
        <f>MROUND(H8842*L8842*I8842/K8842,0.00000000000001)</f>
        <v>3.9313673961700003E-3</v>
      </c>
      <c r="H8842" s="224">
        <f>Лист1!G294</f>
        <v>4041.1099999999997</v>
      </c>
      <c r="I8842" s="159">
        <f t="shared" si="2568"/>
        <v>0.16442999999999999</v>
      </c>
      <c r="J8842" s="160"/>
      <c r="K8842" s="161">
        <f t="shared" si="2569"/>
        <v>169020</v>
      </c>
      <c r="L8842" s="250">
        <v>1</v>
      </c>
      <c r="M8842" s="163" t="str">
        <f>CONCATENATE(H8842," ",F8842,"(лимиты выделенные УЖКХ) ","*",I8842,"/",K8842,"чел/час")</f>
        <v>4041,11 м3(лимиты выделенные УЖКХ) *0,16443/169020чел/час</v>
      </c>
      <c r="N8842" s="278">
        <f>Лист1!I294</f>
        <v>56.382747190747111</v>
      </c>
      <c r="O8842" s="280">
        <f t="shared" si="2570"/>
        <v>0.221661</v>
      </c>
      <c r="P8842" s="166"/>
      <c r="Q8842" s="166">
        <f t="shared" si="2567"/>
        <v>37465.142220000002</v>
      </c>
      <c r="R8842" s="71"/>
    </row>
    <row r="8843" spans="1:41" s="61" customFormat="1" ht="47.25" x14ac:dyDescent="0.25">
      <c r="A8843" s="358"/>
      <c r="B8843" s="361"/>
      <c r="C8843" s="364"/>
      <c r="D8843" s="222" t="s">
        <v>17</v>
      </c>
      <c r="E8843" s="222" t="s">
        <v>11</v>
      </c>
      <c r="F8843" s="222" t="s">
        <v>11</v>
      </c>
      <c r="G8843" s="238">
        <f>MROUND(H8843*L8843*I8843/K8843,0.0000000000001)</f>
        <v>3.9313673961999997E-3</v>
      </c>
      <c r="H8843" s="160">
        <f>Лист1!G295</f>
        <v>4041.1099999999997</v>
      </c>
      <c r="I8843" s="159">
        <f t="shared" si="2568"/>
        <v>0.16442999999999999</v>
      </c>
      <c r="J8843" s="160"/>
      <c r="K8843" s="161">
        <f t="shared" si="2569"/>
        <v>169020</v>
      </c>
      <c r="L8843" s="162">
        <v>1</v>
      </c>
      <c r="M8843" s="163" t="str">
        <f>CONCATENATE(H8843," ",F8843,"(лимиты выделенные УЖКХ) ","*",I8843,"/",K8843,"чел/час")</f>
        <v>4041,11 м3(лимиты выделенные УЖКХ) *0,16443/169020чел/час</v>
      </c>
      <c r="N8843" s="164">
        <f>Лист1!I295</f>
        <v>85.679537612054801</v>
      </c>
      <c r="O8843" s="280">
        <f t="shared" si="2570"/>
        <v>0.33683799999999997</v>
      </c>
      <c r="P8843" s="166"/>
      <c r="Q8843" s="166">
        <f t="shared" si="2567"/>
        <v>56932.358759999996</v>
      </c>
      <c r="R8843" s="71"/>
      <c r="T8843" s="71"/>
    </row>
    <row r="8844" spans="1:41" s="61" customFormat="1" ht="31.5" x14ac:dyDescent="0.25">
      <c r="A8844" s="358"/>
      <c r="B8844" s="361"/>
      <c r="C8844" s="364"/>
      <c r="D8844" s="222" t="s">
        <v>13</v>
      </c>
      <c r="E8844" s="222" t="s">
        <v>11</v>
      </c>
      <c r="F8844" s="222" t="s">
        <v>11</v>
      </c>
      <c r="G8844" s="238">
        <f>MROUND(H8844*L8844*I8844/K8844,0.000000000001)</f>
        <v>3.931367396E-3</v>
      </c>
      <c r="H8844" s="160">
        <f>Лист1!G296</f>
        <v>4041.1099999999997</v>
      </c>
      <c r="I8844" s="159">
        <f t="shared" si="2568"/>
        <v>0.16442999999999999</v>
      </c>
      <c r="J8844" s="160"/>
      <c r="K8844" s="161">
        <f t="shared" si="2569"/>
        <v>169020</v>
      </c>
      <c r="L8844" s="162">
        <v>1</v>
      </c>
      <c r="M8844" s="163" t="str">
        <f>CONCATENATE(H8844," ",F8844,"(лимиты выделенные УЖКХ) ","*",I8844,"/",K8844,"чел/час")</f>
        <v>4041,11 м3(лимиты выделенные УЖКХ) *0,16443/169020чел/час</v>
      </c>
      <c r="N8844" s="278">
        <f>Лист1!I296</f>
        <v>104.62845363292494</v>
      </c>
      <c r="O8844" s="280">
        <f t="shared" si="2570"/>
        <v>0.411333</v>
      </c>
      <c r="P8844" s="166"/>
      <c r="Q8844" s="166">
        <f t="shared" si="2567"/>
        <v>69523.503660000002</v>
      </c>
      <c r="R8844" s="71"/>
      <c r="T8844" s="71"/>
    </row>
    <row r="8845" spans="1:41" s="61" customFormat="1" x14ac:dyDescent="0.25">
      <c r="A8845" s="358"/>
      <c r="B8845" s="361"/>
      <c r="C8845" s="364" t="s">
        <v>216</v>
      </c>
      <c r="D8845" s="222" t="s">
        <v>23</v>
      </c>
      <c r="E8845" s="222" t="s">
        <v>11</v>
      </c>
      <c r="F8845" s="222" t="s">
        <v>11</v>
      </c>
      <c r="G8845" s="238">
        <f>MROUND(H8845*L8845*I8845/K8845,0.000000000001)</f>
        <v>2.4301629000000001E-5</v>
      </c>
      <c r="H8845" s="160">
        <f>Лист1!G298</f>
        <v>24.979999999999997</v>
      </c>
      <c r="I8845" s="159">
        <f t="shared" si="2568"/>
        <v>0.16442999999999999</v>
      </c>
      <c r="J8845" s="160"/>
      <c r="K8845" s="161">
        <f t="shared" si="2569"/>
        <v>169020</v>
      </c>
      <c r="L8845" s="162">
        <v>1</v>
      </c>
      <c r="M8845" s="163" t="str">
        <f>CONCATENATE(H8845," ",F8845," ","*",I8845,"/",K8845,"чел/час")</f>
        <v>24,98 м3 *0,16443/169020чел/час</v>
      </c>
      <c r="N8845" s="164">
        <f>Лист1!I298</f>
        <v>807.4099279423541</v>
      </c>
      <c r="O8845" s="280">
        <f t="shared" si="2570"/>
        <v>1.9621E-2</v>
      </c>
      <c r="P8845" s="166"/>
      <c r="Q8845" s="166">
        <f t="shared" si="2567"/>
        <v>3316.3414199999997</v>
      </c>
      <c r="R8845" s="71"/>
    </row>
    <row r="8846" spans="1:41" s="61" customFormat="1" ht="63" x14ac:dyDescent="0.25">
      <c r="A8846" s="358"/>
      <c r="B8846" s="361"/>
      <c r="C8846" s="364"/>
      <c r="D8846" s="222" t="s">
        <v>24</v>
      </c>
      <c r="E8846" s="222" t="s">
        <v>25</v>
      </c>
      <c r="F8846" s="222" t="s">
        <v>248</v>
      </c>
      <c r="G8846" s="238">
        <f>MROUND(H8846*L8846*I8846/K8846,0.000000000001)</f>
        <v>4.8642169999999998E-6</v>
      </c>
      <c r="H8846" s="160">
        <f>Лист1!G299</f>
        <v>5</v>
      </c>
      <c r="I8846" s="159">
        <f t="shared" si="2568"/>
        <v>0.16442999999999999</v>
      </c>
      <c r="J8846" s="160"/>
      <c r="K8846" s="161">
        <f t="shared" si="2569"/>
        <v>169020</v>
      </c>
      <c r="L8846" s="250">
        <v>1</v>
      </c>
      <c r="M8846" s="163" t="str">
        <f>CONCATENATE(H8846," ",F8846,"(потребность из расчета 4 контейнера для уборки территории весной и осенью на 1 учреждение)","*",I8846,"/",K8846,"чел/час")</f>
        <v>5 контейнеров(потребность из расчета 4 контейнера для уборки территории весной и осенью на 1 учреждение)*0,16443/169020чел/час</v>
      </c>
      <c r="N8846" s="278">
        <f>Лист1!I299</f>
        <v>6257.04</v>
      </c>
      <c r="O8846" s="280">
        <f t="shared" si="2570"/>
        <v>3.0435999999999998E-2</v>
      </c>
      <c r="P8846" s="166"/>
      <c r="Q8846" s="166">
        <f t="shared" si="2567"/>
        <v>5144.2927199999995</v>
      </c>
      <c r="R8846" s="71"/>
      <c r="S8846" s="71"/>
    </row>
    <row r="8847" spans="1:41" s="109" customFormat="1" x14ac:dyDescent="0.25">
      <c r="A8847" s="358"/>
      <c r="B8847" s="361"/>
      <c r="C8847" s="218" t="s">
        <v>290</v>
      </c>
      <c r="D8847" s="226"/>
      <c r="E8847" s="226"/>
      <c r="F8847" s="226"/>
      <c r="G8847" s="227"/>
      <c r="H8847" s="228"/>
      <c r="I8847" s="206"/>
      <c r="J8847" s="228"/>
      <c r="K8847" s="207"/>
      <c r="L8847" s="257"/>
      <c r="M8847" s="209"/>
      <c r="N8847" s="281"/>
      <c r="O8847" s="279">
        <f>SUM(O8840:O8846)</f>
        <v>6.4693189999999996</v>
      </c>
      <c r="P8847" s="267"/>
      <c r="Q8847" s="166"/>
      <c r="R8847" s="71"/>
      <c r="S8847" s="62"/>
      <c r="T8847" s="62"/>
      <c r="U8847" s="62"/>
      <c r="V8847" s="62"/>
      <c r="W8847" s="62"/>
      <c r="X8847" s="62"/>
      <c r="Y8847" s="62"/>
      <c r="Z8847" s="62"/>
      <c r="AA8847" s="62"/>
      <c r="AB8847" s="62"/>
      <c r="AC8847" s="62"/>
      <c r="AD8847" s="62"/>
      <c r="AE8847" s="62"/>
      <c r="AF8847" s="62"/>
      <c r="AG8847" s="62"/>
      <c r="AH8847" s="62"/>
      <c r="AI8847" s="62"/>
      <c r="AJ8847" s="62"/>
      <c r="AK8847" s="62"/>
      <c r="AL8847" s="62"/>
      <c r="AM8847" s="62"/>
      <c r="AN8847" s="62"/>
      <c r="AO8847" s="62"/>
    </row>
    <row r="8848" spans="1:41" s="108" customFormat="1" x14ac:dyDescent="0.25">
      <c r="A8848" s="358"/>
      <c r="B8848" s="361"/>
      <c r="C8848" s="221"/>
      <c r="D8848" s="356" t="s">
        <v>14</v>
      </c>
      <c r="E8848" s="356"/>
      <c r="F8848" s="356"/>
      <c r="G8848" s="356"/>
      <c r="H8848" s="188"/>
      <c r="I8848" s="159"/>
      <c r="J8848" s="188"/>
      <c r="K8848" s="161"/>
      <c r="L8848" s="250"/>
      <c r="M8848" s="230"/>
      <c r="N8848" s="278"/>
      <c r="O8848" s="279">
        <f>O8852+O8856+O8858</f>
        <v>11.968065815000003</v>
      </c>
      <c r="P8848" s="166"/>
      <c r="Q8848" s="166">
        <f t="shared" ref="Q8848:Q8851" si="2571">O8848*K8848</f>
        <v>0</v>
      </c>
      <c r="R8848" s="71"/>
      <c r="S8848" s="61"/>
      <c r="T8848" s="61"/>
      <c r="U8848" s="61"/>
      <c r="V8848" s="61"/>
      <c r="W8848" s="61"/>
      <c r="X8848" s="61"/>
      <c r="Y8848" s="61"/>
      <c r="Z8848" s="61"/>
      <c r="AA8848" s="61"/>
      <c r="AB8848" s="61"/>
      <c r="AC8848" s="61"/>
      <c r="AD8848" s="61"/>
      <c r="AE8848" s="61"/>
      <c r="AF8848" s="61"/>
      <c r="AG8848" s="61"/>
      <c r="AH8848" s="61"/>
      <c r="AI8848" s="61"/>
      <c r="AJ8848" s="61"/>
      <c r="AK8848" s="61"/>
      <c r="AL8848" s="61"/>
      <c r="AM8848" s="61"/>
      <c r="AN8848" s="61"/>
      <c r="AO8848" s="61"/>
    </row>
    <row r="8849" spans="1:41" s="61" customFormat="1" x14ac:dyDescent="0.25">
      <c r="A8849" s="358"/>
      <c r="B8849" s="361"/>
      <c r="C8849" s="221" t="s">
        <v>379</v>
      </c>
      <c r="D8849" s="231" t="s">
        <v>49</v>
      </c>
      <c r="E8849" s="231" t="s">
        <v>22</v>
      </c>
      <c r="F8849" s="231" t="s">
        <v>22</v>
      </c>
      <c r="G8849" s="238">
        <f>MROUND(H8849*L8849*I8849/K8849,0.00000000000001)</f>
        <v>0</v>
      </c>
      <c r="H8849" s="160"/>
      <c r="I8849" s="159">
        <f>I8844</f>
        <v>0.16442999999999999</v>
      </c>
      <c r="J8849" s="160"/>
      <c r="K8849" s="161">
        <f>K8844</f>
        <v>169020</v>
      </c>
      <c r="L8849" s="250">
        <v>1</v>
      </c>
      <c r="M8849" s="163"/>
      <c r="N8849" s="278"/>
      <c r="O8849" s="280">
        <f>MROUND(N8849*G8849,0.000000001)</f>
        <v>0</v>
      </c>
      <c r="P8849" s="166"/>
      <c r="Q8849" s="166">
        <f t="shared" si="2571"/>
        <v>0</v>
      </c>
      <c r="R8849" s="71"/>
      <c r="S8849" s="71"/>
    </row>
    <row r="8850" spans="1:41" s="61" customFormat="1" x14ac:dyDescent="0.25">
      <c r="A8850" s="358"/>
      <c r="B8850" s="361"/>
      <c r="C8850" s="221" t="s">
        <v>379</v>
      </c>
      <c r="D8850" s="231" t="s">
        <v>49</v>
      </c>
      <c r="E8850" s="231" t="s">
        <v>28</v>
      </c>
      <c r="F8850" s="231" t="s">
        <v>28</v>
      </c>
      <c r="G8850" s="238">
        <f>MROUND(H8850*L8850*I8850/K8850,0.0000000000001)</f>
        <v>0</v>
      </c>
      <c r="H8850" s="160"/>
      <c r="I8850" s="159">
        <f>I8849</f>
        <v>0.16442999999999999</v>
      </c>
      <c r="J8850" s="160"/>
      <c r="K8850" s="161">
        <f>K8849</f>
        <v>169020</v>
      </c>
      <c r="L8850" s="250">
        <v>1</v>
      </c>
      <c r="M8850" s="163"/>
      <c r="N8850" s="278"/>
      <c r="O8850" s="280">
        <f>MROUND(N8850*G8850,0.000000001)</f>
        <v>0</v>
      </c>
      <c r="P8850" s="166"/>
      <c r="Q8850" s="166">
        <f t="shared" si="2571"/>
        <v>0</v>
      </c>
      <c r="R8850" s="71"/>
      <c r="S8850" s="71"/>
    </row>
    <row r="8851" spans="1:41" s="61" customFormat="1" x14ac:dyDescent="0.25">
      <c r="A8851" s="358"/>
      <c r="B8851" s="361"/>
      <c r="C8851" s="221" t="s">
        <v>379</v>
      </c>
      <c r="D8851" s="231" t="s">
        <v>49</v>
      </c>
      <c r="E8851" s="231" t="s">
        <v>101</v>
      </c>
      <c r="F8851" s="231" t="s">
        <v>101</v>
      </c>
      <c r="G8851" s="238">
        <f>MROUND(H8851*L8851*I8851/K8851,0.00000000001)</f>
        <v>0</v>
      </c>
      <c r="H8851" s="160"/>
      <c r="I8851" s="159">
        <f>I8849</f>
        <v>0.16442999999999999</v>
      </c>
      <c r="J8851" s="160"/>
      <c r="K8851" s="161">
        <f>K8849</f>
        <v>169020</v>
      </c>
      <c r="L8851" s="250">
        <v>1</v>
      </c>
      <c r="M8851" s="163"/>
      <c r="N8851" s="278"/>
      <c r="O8851" s="280">
        <f>MROUND(N8851*G8851,0.000001)</f>
        <v>0</v>
      </c>
      <c r="P8851" s="166"/>
      <c r="Q8851" s="166">
        <f t="shared" si="2571"/>
        <v>0</v>
      </c>
      <c r="R8851" s="71"/>
      <c r="T8851" s="71"/>
    </row>
    <row r="8852" spans="1:41" s="109" customFormat="1" x14ac:dyDescent="0.25">
      <c r="A8852" s="358"/>
      <c r="B8852" s="361"/>
      <c r="C8852" s="218" t="s">
        <v>380</v>
      </c>
      <c r="D8852" s="232"/>
      <c r="E8852" s="232"/>
      <c r="F8852" s="232"/>
      <c r="G8852" s="227"/>
      <c r="H8852" s="228"/>
      <c r="I8852" s="206"/>
      <c r="J8852" s="228"/>
      <c r="K8852" s="207"/>
      <c r="L8852" s="257"/>
      <c r="M8852" s="209"/>
      <c r="N8852" s="281"/>
      <c r="O8852" s="279">
        <f>O8849+O8851+O8850</f>
        <v>0</v>
      </c>
      <c r="P8852" s="267"/>
      <c r="Q8852" s="166"/>
      <c r="R8852" s="71"/>
      <c r="S8852" s="62"/>
      <c r="T8852" s="62"/>
      <c r="U8852" s="62"/>
      <c r="V8852" s="62"/>
      <c r="W8852" s="62"/>
      <c r="X8852" s="62"/>
      <c r="Y8852" s="62"/>
      <c r="Z8852" s="62"/>
      <c r="AA8852" s="62"/>
      <c r="AB8852" s="62"/>
      <c r="AC8852" s="62"/>
      <c r="AD8852" s="62"/>
      <c r="AE8852" s="62"/>
      <c r="AF8852" s="62"/>
      <c r="AG8852" s="62"/>
      <c r="AH8852" s="62"/>
      <c r="AI8852" s="62"/>
      <c r="AJ8852" s="62"/>
      <c r="AK8852" s="62"/>
      <c r="AL8852" s="62"/>
      <c r="AM8852" s="62"/>
      <c r="AN8852" s="62"/>
      <c r="AO8852" s="62"/>
    </row>
    <row r="8853" spans="1:41" s="61" customFormat="1" x14ac:dyDescent="0.25">
      <c r="A8853" s="358"/>
      <c r="B8853" s="361"/>
      <c r="C8853" s="221" t="s">
        <v>76</v>
      </c>
      <c r="D8853" s="231" t="s">
        <v>49</v>
      </c>
      <c r="E8853" s="231" t="s">
        <v>22</v>
      </c>
      <c r="F8853" s="231" t="s">
        <v>22</v>
      </c>
      <c r="G8853" s="238">
        <f>MROUND(H8853*L8853*I8853/K8853,0.00000000000001)</f>
        <v>2.2531054313099999E-3</v>
      </c>
      <c r="H8853" s="160">
        <f>Лист1!G303</f>
        <v>2316</v>
      </c>
      <c r="I8853" s="159">
        <f>I8851</f>
        <v>0.16442999999999999</v>
      </c>
      <c r="J8853" s="160"/>
      <c r="K8853" s="161">
        <f>K8851</f>
        <v>169020</v>
      </c>
      <c r="L8853" s="250">
        <v>1</v>
      </c>
      <c r="M8853" s="163" t="str">
        <f>CONCATENATE(H8853," ",F8853,"*",I8853,"/",K8853,"чел/час")</f>
        <v>2316 м2*0,16443/169020чел/час</v>
      </c>
      <c r="N8853" s="278">
        <f>Лист1!I303</f>
        <v>5226.2521588946456</v>
      </c>
      <c r="O8853" s="280">
        <f>MROUND(N8853*G8853,0.000000001)-0.0009</f>
        <v>11.774397125000002</v>
      </c>
      <c r="P8853" s="166"/>
      <c r="Q8853" s="166">
        <f t="shared" ref="Q8853:Q8855" si="2572">O8853*K8853</f>
        <v>1990108.6020675004</v>
      </c>
      <c r="R8853" s="71"/>
      <c r="S8853" s="71"/>
    </row>
    <row r="8854" spans="1:41" s="61" customFormat="1" x14ac:dyDescent="0.25">
      <c r="A8854" s="358"/>
      <c r="B8854" s="361"/>
      <c r="C8854" s="221"/>
      <c r="D8854" s="231" t="s">
        <v>49</v>
      </c>
      <c r="E8854" s="231" t="s">
        <v>28</v>
      </c>
      <c r="F8854" s="231" t="s">
        <v>28</v>
      </c>
      <c r="G8854" s="238">
        <f>MROUND(H8854*L8854*I8854/K8854,0.00000000000001)</f>
        <v>1.9456869000000002E-6</v>
      </c>
      <c r="H8854" s="160">
        <f>Лист1!G305</f>
        <v>2</v>
      </c>
      <c r="I8854" s="159">
        <f>I8853</f>
        <v>0.16442999999999999</v>
      </c>
      <c r="J8854" s="160"/>
      <c r="K8854" s="161">
        <f>K8853</f>
        <v>169020</v>
      </c>
      <c r="L8854" s="250">
        <v>1</v>
      </c>
      <c r="M8854" s="163" t="str">
        <f>CONCATENATE(H8854," ",F8854,"*",I8854,"/",K8854,"чел/час")</f>
        <v>2 шт*0,16443/169020чел/час</v>
      </c>
      <c r="N8854" s="278">
        <f>Лист1!I305</f>
        <v>100000</v>
      </c>
      <c r="O8854" s="280">
        <f>MROUND(N8854*G8854,0.000000001)-0.0009</f>
        <v>0.19366869</v>
      </c>
      <c r="P8854" s="166"/>
      <c r="Q8854" s="166">
        <f t="shared" si="2572"/>
        <v>32733.881983800002</v>
      </c>
      <c r="R8854" s="71"/>
      <c r="S8854" s="71"/>
    </row>
    <row r="8855" spans="1:41" s="61" customFormat="1" x14ac:dyDescent="0.25">
      <c r="A8855" s="358"/>
      <c r="B8855" s="361"/>
      <c r="C8855" s="221"/>
      <c r="D8855" s="231" t="s">
        <v>49</v>
      </c>
      <c r="E8855" s="231" t="s">
        <v>101</v>
      </c>
      <c r="F8855" s="231" t="s">
        <v>101</v>
      </c>
      <c r="G8855" s="238">
        <f>MROUND(H8855*L8855*I8855/K8855,0.000000000001)</f>
        <v>0</v>
      </c>
      <c r="H8855" s="160"/>
      <c r="I8855" s="159">
        <f>I8853</f>
        <v>0.16442999999999999</v>
      </c>
      <c r="J8855" s="160"/>
      <c r="K8855" s="161">
        <f>K8853</f>
        <v>169020</v>
      </c>
      <c r="L8855" s="250">
        <v>1</v>
      </c>
      <c r="M8855" s="163"/>
      <c r="N8855" s="278"/>
      <c r="O8855" s="280">
        <f>MROUND(N8855*G8855,0.000001)</f>
        <v>0</v>
      </c>
      <c r="P8855" s="166"/>
      <c r="Q8855" s="166">
        <f t="shared" si="2572"/>
        <v>0</v>
      </c>
      <c r="R8855" s="71"/>
      <c r="T8855" s="71"/>
    </row>
    <row r="8856" spans="1:41" s="109" customFormat="1" x14ac:dyDescent="0.25">
      <c r="A8856" s="358"/>
      <c r="B8856" s="361"/>
      <c r="C8856" s="218" t="s">
        <v>291</v>
      </c>
      <c r="D8856" s="232"/>
      <c r="E8856" s="232"/>
      <c r="F8856" s="232"/>
      <c r="G8856" s="227"/>
      <c r="H8856" s="228"/>
      <c r="I8856" s="206"/>
      <c r="J8856" s="228"/>
      <c r="K8856" s="207"/>
      <c r="L8856" s="257"/>
      <c r="M8856" s="209"/>
      <c r="N8856" s="281"/>
      <c r="O8856" s="279">
        <f>O8853+O8855+O8854</f>
        <v>11.968065815000003</v>
      </c>
      <c r="P8856" s="267"/>
      <c r="Q8856" s="166"/>
      <c r="R8856" s="71"/>
      <c r="S8856" s="62"/>
      <c r="T8856" s="62"/>
      <c r="U8856" s="62"/>
      <c r="V8856" s="62"/>
      <c r="W8856" s="62"/>
      <c r="X8856" s="62"/>
      <c r="Y8856" s="62"/>
      <c r="Z8856" s="62"/>
      <c r="AA8856" s="62"/>
      <c r="AB8856" s="62"/>
      <c r="AC8856" s="62"/>
      <c r="AD8856" s="62"/>
      <c r="AE8856" s="62"/>
      <c r="AF8856" s="62"/>
      <c r="AG8856" s="62"/>
      <c r="AH8856" s="62"/>
      <c r="AI8856" s="62"/>
      <c r="AJ8856" s="62"/>
      <c r="AK8856" s="62"/>
      <c r="AL8856" s="62"/>
      <c r="AM8856" s="62"/>
      <c r="AN8856" s="62"/>
      <c r="AO8856" s="62"/>
    </row>
    <row r="8857" spans="1:41" s="61" customFormat="1" x14ac:dyDescent="0.25">
      <c r="A8857" s="358"/>
      <c r="B8857" s="361"/>
      <c r="C8857" s="221" t="s">
        <v>77</v>
      </c>
      <c r="D8857" s="231"/>
      <c r="E8857" s="231"/>
      <c r="F8857" s="231"/>
      <c r="G8857" s="238">
        <f>MROUND(H8857*L8857*I8857/K8857,0.0000000001)</f>
        <v>0</v>
      </c>
      <c r="H8857" s="160"/>
      <c r="I8857" s="159">
        <f>I8855</f>
        <v>0.16442999999999999</v>
      </c>
      <c r="J8857" s="160"/>
      <c r="K8857" s="161">
        <f>K8855</f>
        <v>169020</v>
      </c>
      <c r="L8857" s="250"/>
      <c r="M8857" s="163"/>
      <c r="N8857" s="278"/>
      <c r="O8857" s="280">
        <f t="shared" ref="O8857" si="2573">MROUND(N8857*G8857,0.000001)</f>
        <v>0</v>
      </c>
      <c r="P8857" s="166"/>
      <c r="Q8857" s="166">
        <f t="shared" ref="Q8857" si="2574">O8857*K8857</f>
        <v>0</v>
      </c>
      <c r="R8857" s="71"/>
      <c r="T8857" s="71"/>
    </row>
    <row r="8858" spans="1:41" s="109" customFormat="1" x14ac:dyDescent="0.25">
      <c r="A8858" s="358"/>
      <c r="B8858" s="361"/>
      <c r="C8858" s="218" t="s">
        <v>292</v>
      </c>
      <c r="D8858" s="232"/>
      <c r="E8858" s="232"/>
      <c r="F8858" s="232"/>
      <c r="G8858" s="227"/>
      <c r="H8858" s="228"/>
      <c r="I8858" s="206"/>
      <c r="J8858" s="228"/>
      <c r="K8858" s="207"/>
      <c r="L8858" s="257"/>
      <c r="M8858" s="209"/>
      <c r="N8858" s="281"/>
      <c r="O8858" s="279">
        <f>O8857</f>
        <v>0</v>
      </c>
      <c r="P8858" s="267"/>
      <c r="Q8858" s="166"/>
      <c r="R8858" s="71"/>
      <c r="S8858" s="62"/>
      <c r="T8858" s="62"/>
      <c r="U8858" s="62"/>
      <c r="V8858" s="62"/>
      <c r="W8858" s="62"/>
      <c r="X8858" s="62"/>
      <c r="Y8858" s="62"/>
      <c r="Z8858" s="62"/>
      <c r="AA8858" s="62"/>
      <c r="AB8858" s="62"/>
      <c r="AC8858" s="62"/>
      <c r="AD8858" s="62"/>
      <c r="AE8858" s="62"/>
      <c r="AF8858" s="62"/>
      <c r="AG8858" s="62"/>
      <c r="AH8858" s="62"/>
      <c r="AI8858" s="62"/>
      <c r="AJ8858" s="62"/>
      <c r="AK8858" s="62"/>
      <c r="AL8858" s="62"/>
      <c r="AM8858" s="62"/>
      <c r="AN8858" s="62"/>
      <c r="AO8858" s="62"/>
    </row>
    <row r="8859" spans="1:41" s="108" customFormat="1" x14ac:dyDescent="0.25">
      <c r="A8859" s="358"/>
      <c r="B8859" s="361"/>
      <c r="C8859" s="221"/>
      <c r="D8859" s="350" t="s">
        <v>65</v>
      </c>
      <c r="E8859" s="350"/>
      <c r="F8859" s="350"/>
      <c r="G8859" s="350"/>
      <c r="H8859" s="195"/>
      <c r="I8859" s="159"/>
      <c r="J8859" s="195"/>
      <c r="K8859" s="161"/>
      <c r="L8859" s="196"/>
      <c r="M8859" s="230"/>
      <c r="N8859" s="278"/>
      <c r="O8859" s="280"/>
      <c r="P8859" s="166"/>
      <c r="Q8859" s="166">
        <f t="shared" ref="Q8859:Q8864" si="2575">O8859*K8859</f>
        <v>0</v>
      </c>
      <c r="R8859" s="71"/>
      <c r="S8859" s="61"/>
      <c r="T8859" s="61"/>
      <c r="U8859" s="61"/>
      <c r="V8859" s="61"/>
      <c r="W8859" s="61"/>
      <c r="X8859" s="61"/>
      <c r="Y8859" s="61"/>
      <c r="Z8859" s="61"/>
      <c r="AA8859" s="61"/>
      <c r="AB8859" s="61"/>
      <c r="AC8859" s="61"/>
      <c r="AD8859" s="61"/>
      <c r="AE8859" s="61"/>
      <c r="AF8859" s="61"/>
      <c r="AG8859" s="61"/>
      <c r="AH8859" s="61"/>
      <c r="AI8859" s="61"/>
      <c r="AJ8859" s="61"/>
      <c r="AK8859" s="61"/>
      <c r="AL8859" s="61"/>
      <c r="AM8859" s="61"/>
      <c r="AN8859" s="61"/>
      <c r="AO8859" s="61"/>
    </row>
    <row r="8860" spans="1:41" s="108" customFormat="1" x14ac:dyDescent="0.25">
      <c r="A8860" s="358"/>
      <c r="B8860" s="361"/>
      <c r="C8860" s="221"/>
      <c r="D8860" s="194"/>
      <c r="E8860" s="194"/>
      <c r="F8860" s="194"/>
      <c r="G8860" s="217"/>
      <c r="H8860" s="195"/>
      <c r="I8860" s="159"/>
      <c r="J8860" s="195"/>
      <c r="K8860" s="161"/>
      <c r="L8860" s="196"/>
      <c r="M8860" s="230"/>
      <c r="N8860" s="278"/>
      <c r="O8860" s="280"/>
      <c r="P8860" s="166"/>
      <c r="Q8860" s="166">
        <f t="shared" si="2575"/>
        <v>0</v>
      </c>
      <c r="R8860" s="71"/>
      <c r="S8860" s="61"/>
      <c r="T8860" s="61"/>
      <c r="U8860" s="61"/>
      <c r="V8860" s="61"/>
      <c r="W8860" s="61"/>
      <c r="X8860" s="61"/>
      <c r="Y8860" s="61"/>
      <c r="Z8860" s="61"/>
      <c r="AA8860" s="61"/>
      <c r="AB8860" s="61"/>
      <c r="AC8860" s="61"/>
      <c r="AD8860" s="61"/>
      <c r="AE8860" s="61"/>
      <c r="AF8860" s="61"/>
      <c r="AG8860" s="61"/>
      <c r="AH8860" s="61"/>
      <c r="AI8860" s="61"/>
      <c r="AJ8860" s="61"/>
      <c r="AK8860" s="61"/>
      <c r="AL8860" s="61"/>
      <c r="AM8860" s="61"/>
      <c r="AN8860" s="61"/>
      <c r="AO8860" s="61"/>
    </row>
    <row r="8861" spans="1:41" s="108" customFormat="1" x14ac:dyDescent="0.25">
      <c r="A8861" s="358"/>
      <c r="B8861" s="361"/>
      <c r="C8861" s="365" t="s">
        <v>357</v>
      </c>
      <c r="D8861" s="368" t="s">
        <v>66</v>
      </c>
      <c r="E8861" s="368"/>
      <c r="F8861" s="368"/>
      <c r="G8861" s="368"/>
      <c r="H8861" s="195"/>
      <c r="I8861" s="159"/>
      <c r="J8861" s="195"/>
      <c r="K8861" s="161"/>
      <c r="L8861" s="196"/>
      <c r="M8861" s="230"/>
      <c r="N8861" s="278"/>
      <c r="O8861" s="279">
        <f>O8867</f>
        <v>0.47409045899999996</v>
      </c>
      <c r="P8861" s="166"/>
      <c r="Q8861" s="166">
        <f t="shared" si="2575"/>
        <v>0</v>
      </c>
      <c r="R8861" s="71"/>
      <c r="S8861" s="61"/>
      <c r="T8861" s="61"/>
      <c r="U8861" s="61"/>
      <c r="V8861" s="61"/>
      <c r="W8861" s="61"/>
      <c r="X8861" s="61"/>
      <c r="Y8861" s="61"/>
      <c r="Z8861" s="61"/>
      <c r="AA8861" s="61"/>
      <c r="AB8861" s="61"/>
      <c r="AC8861" s="61"/>
      <c r="AD8861" s="61"/>
      <c r="AE8861" s="61"/>
      <c r="AF8861" s="61"/>
      <c r="AG8861" s="61"/>
      <c r="AH8861" s="61"/>
      <c r="AI8861" s="61"/>
      <c r="AJ8861" s="61"/>
      <c r="AK8861" s="61"/>
      <c r="AL8861" s="61"/>
      <c r="AM8861" s="61"/>
      <c r="AN8861" s="61"/>
      <c r="AO8861" s="61"/>
    </row>
    <row r="8862" spans="1:41" s="61" customFormat="1" x14ac:dyDescent="0.25">
      <c r="A8862" s="358"/>
      <c r="B8862" s="361"/>
      <c r="C8862" s="366"/>
      <c r="D8862" s="284" t="s">
        <v>241</v>
      </c>
      <c r="E8862" s="156" t="s">
        <v>28</v>
      </c>
      <c r="F8862" s="156" t="s">
        <v>28</v>
      </c>
      <c r="G8862" s="238">
        <f>MROUND(H8862*L8862*I8862/K8862,0.0000000000001)</f>
        <v>1.984600639E-4</v>
      </c>
      <c r="H8862" s="158">
        <f>Лист1!G286</f>
        <v>17</v>
      </c>
      <c r="I8862" s="159">
        <f>I8857</f>
        <v>0.16442999999999999</v>
      </c>
      <c r="J8862" s="160"/>
      <c r="K8862" s="161">
        <f>K8857</f>
        <v>169020</v>
      </c>
      <c r="L8862" s="250">
        <v>12</v>
      </c>
      <c r="M8862" s="163" t="str">
        <f>CONCATENATE(H8862," ",F8862,"*",L8862,"мес.","*",I8862,"/",K8862,"чел/час")</f>
        <v>17 шт*12мес.*0,16443/169020чел/час</v>
      </c>
      <c r="N8862" s="278">
        <f>Лист1!I286</f>
        <v>356.56073529411765</v>
      </c>
      <c r="O8862" s="280">
        <f>MROUND(N8862*G8862,0.000001)</f>
        <v>7.0762999999999993E-2</v>
      </c>
      <c r="P8862" s="166"/>
      <c r="Q8862" s="166">
        <f t="shared" si="2575"/>
        <v>11960.362259999998</v>
      </c>
      <c r="R8862" s="71"/>
    </row>
    <row r="8863" spans="1:41" s="61" customFormat="1" x14ac:dyDescent="0.25">
      <c r="A8863" s="358"/>
      <c r="B8863" s="361"/>
      <c r="C8863" s="366"/>
      <c r="D8863" s="284" t="s">
        <v>242</v>
      </c>
      <c r="E8863" s="156" t="s">
        <v>243</v>
      </c>
      <c r="F8863" s="156" t="s">
        <v>243</v>
      </c>
      <c r="G8863" s="238">
        <f>MROUND(H8863*L8863*I8863/K8863,0.0000000001)</f>
        <v>0.202032345</v>
      </c>
      <c r="H8863" s="158">
        <f>Лист1!G287</f>
        <v>17306</v>
      </c>
      <c r="I8863" s="159">
        <f>I8862</f>
        <v>0.16442999999999999</v>
      </c>
      <c r="J8863" s="160"/>
      <c r="K8863" s="161">
        <f>K8862</f>
        <v>169020</v>
      </c>
      <c r="L8863" s="250">
        <v>12</v>
      </c>
      <c r="M8863" s="163" t="str">
        <f>CONCATENATE(H8863," ",F8863,"*",L8863,"мес.","*",I8863,"/",K8863,"чел/час")</f>
        <v>17306 мин.*12мес.*0,16443/169020чел/час</v>
      </c>
      <c r="N8863" s="278">
        <f>Лист1!I287</f>
        <v>0.85373685427019519</v>
      </c>
      <c r="O8863" s="280">
        <f>MROUND(N8863*G8863,0.000000001)</f>
        <v>0.172482459</v>
      </c>
      <c r="P8863" s="166"/>
      <c r="Q8863" s="166">
        <f t="shared" si="2575"/>
        <v>29152.985220180002</v>
      </c>
      <c r="R8863" s="71"/>
    </row>
    <row r="8864" spans="1:41" s="61" customFormat="1" ht="31.5" x14ac:dyDescent="0.25">
      <c r="A8864" s="358"/>
      <c r="B8864" s="361"/>
      <c r="C8864" s="366"/>
      <c r="D8864" s="285" t="s">
        <v>244</v>
      </c>
      <c r="E8864" s="286" t="s">
        <v>245</v>
      </c>
      <c r="F8864" s="286" t="s">
        <v>247</v>
      </c>
      <c r="G8864" s="238">
        <f>MROUND(H8864*L8864*I8864/K8864,0.00000000001)</f>
        <v>5.8370609999999994E-5</v>
      </c>
      <c r="H8864" s="158">
        <f>Лист1!G288</f>
        <v>5</v>
      </c>
      <c r="I8864" s="159">
        <f>I8863</f>
        <v>0.16442999999999999</v>
      </c>
      <c r="J8864" s="160"/>
      <c r="K8864" s="161">
        <f>K8863</f>
        <v>169020</v>
      </c>
      <c r="L8864" s="250">
        <v>12</v>
      </c>
      <c r="M8864" s="163" t="str">
        <f>CONCATENATE(H8864," ",F8864,"*",L8864,"мес.","*",I8864,"/",K8864,"чел/час")</f>
        <v>5 радиоточек*12мес.*0,16443/169020чел/час</v>
      </c>
      <c r="N8864" s="278">
        <f>Лист1!I288</f>
        <v>180.23333333333335</v>
      </c>
      <c r="O8864" s="280">
        <f>MROUND(N8864*G8864,0.000001)</f>
        <v>1.052E-2</v>
      </c>
      <c r="P8864" s="166"/>
      <c r="Q8864" s="166">
        <f t="shared" si="2575"/>
        <v>1778.0904</v>
      </c>
      <c r="R8864" s="71"/>
    </row>
    <row r="8865" spans="1:41" s="61" customFormat="1" ht="47.25" x14ac:dyDescent="0.25">
      <c r="A8865" s="358"/>
      <c r="B8865" s="361"/>
      <c r="C8865" s="366"/>
      <c r="D8865" s="285" t="s">
        <v>374</v>
      </c>
      <c r="E8865" s="156" t="s">
        <v>28</v>
      </c>
      <c r="F8865" s="156" t="s">
        <v>28</v>
      </c>
      <c r="G8865" s="238">
        <f>MROUND(H8865*L8865*I8865/K8865,0.0000000000001)</f>
        <v>2.7239616599999999E-5</v>
      </c>
      <c r="H8865" s="158">
        <f>Лист1!G290</f>
        <v>7</v>
      </c>
      <c r="I8865" s="159">
        <f>I8863</f>
        <v>0.16442999999999999</v>
      </c>
      <c r="J8865" s="160"/>
      <c r="K8865" s="161">
        <f>K8863</f>
        <v>169020</v>
      </c>
      <c r="L8865" s="250">
        <v>4</v>
      </c>
      <c r="M8865" s="163" t="str">
        <f>CONCATENATE(H8865," ",F8865,"*",L8865,"мес.","*",I8865,"/",K8865,"чел/час")</f>
        <v>7 шт*4мес.*0,16443/169020чел/час</v>
      </c>
      <c r="N8865" s="278">
        <f>Лист1!I290</f>
        <v>1366.3700000000001</v>
      </c>
      <c r="O8865" s="280">
        <f>MROUND(N8865*G8865,0.000001)</f>
        <v>3.7218999999999995E-2</v>
      </c>
      <c r="P8865" s="166"/>
      <c r="Q8865" s="166">
        <f>O8865*K8865</f>
        <v>6290.7553799999996</v>
      </c>
      <c r="R8865" s="71"/>
    </row>
    <row r="8866" spans="1:41" s="61" customFormat="1" x14ac:dyDescent="0.25">
      <c r="A8866" s="358"/>
      <c r="B8866" s="361"/>
      <c r="C8866" s="367"/>
      <c r="D8866" s="284" t="s">
        <v>246</v>
      </c>
      <c r="E8866" s="156" t="s">
        <v>28</v>
      </c>
      <c r="F8866" s="156" t="s">
        <v>28</v>
      </c>
      <c r="G8866" s="238">
        <f>MROUND(H8866*L8866*I8866/K8866,0.000000000001)</f>
        <v>5.8370606999999999E-5</v>
      </c>
      <c r="H8866" s="158">
        <v>5</v>
      </c>
      <c r="I8866" s="159">
        <f>I8864</f>
        <v>0.16442999999999999</v>
      </c>
      <c r="J8866" s="160"/>
      <c r="K8866" s="161">
        <f>K8864</f>
        <v>169020</v>
      </c>
      <c r="L8866" s="250">
        <v>12</v>
      </c>
      <c r="M8866" s="163" t="str">
        <f>CONCATENATE(H8866," ",F8866,"*",L8866,"мес.","*",I8866,"/",K8866,"чел/час")</f>
        <v>5 шт*12мес.*0,16443/169020чел/час</v>
      </c>
      <c r="N8866" s="278">
        <f>Лист1!I289</f>
        <v>3136.9611666666665</v>
      </c>
      <c r="O8866" s="280">
        <f>MROUND(N8866*G8866,0.000001)</f>
        <v>0.18310599999999999</v>
      </c>
      <c r="P8866" s="166"/>
      <c r="Q8866" s="166">
        <f t="shared" ref="Q8866:Q8878" si="2576">O8866*K8866</f>
        <v>30948.576119999998</v>
      </c>
      <c r="R8866" s="71"/>
    </row>
    <row r="8867" spans="1:41" s="109" customFormat="1" x14ac:dyDescent="0.25">
      <c r="A8867" s="358"/>
      <c r="B8867" s="361"/>
      <c r="C8867" s="218" t="s">
        <v>358</v>
      </c>
      <c r="D8867" s="287"/>
      <c r="E8867" s="287"/>
      <c r="F8867" s="287"/>
      <c r="G8867" s="288"/>
      <c r="H8867" s="214"/>
      <c r="I8867" s="206"/>
      <c r="J8867" s="214"/>
      <c r="K8867" s="207"/>
      <c r="L8867" s="215"/>
      <c r="M8867" s="289"/>
      <c r="N8867" s="281"/>
      <c r="O8867" s="279">
        <f>SUM(O8862:O8866)</f>
        <v>0.47409045899999996</v>
      </c>
      <c r="P8867" s="267"/>
      <c r="Q8867" s="166">
        <f t="shared" si="2576"/>
        <v>0</v>
      </c>
      <c r="R8867" s="71"/>
      <c r="S8867" s="62"/>
      <c r="T8867" s="62"/>
      <c r="U8867" s="62"/>
      <c r="V8867" s="62"/>
      <c r="W8867" s="62"/>
      <c r="X8867" s="62"/>
      <c r="Y8867" s="62"/>
      <c r="Z8867" s="62"/>
      <c r="AA8867" s="62"/>
      <c r="AB8867" s="62"/>
      <c r="AC8867" s="62"/>
      <c r="AD8867" s="62"/>
      <c r="AE8867" s="62"/>
      <c r="AF8867" s="62"/>
      <c r="AG8867" s="62"/>
      <c r="AH8867" s="62"/>
      <c r="AI8867" s="62"/>
      <c r="AJ8867" s="62"/>
      <c r="AK8867" s="62"/>
      <c r="AL8867" s="62"/>
      <c r="AM8867" s="62"/>
      <c r="AN8867" s="62"/>
      <c r="AO8867" s="62"/>
    </row>
    <row r="8868" spans="1:41" s="108" customFormat="1" x14ac:dyDescent="0.25">
      <c r="A8868" s="358"/>
      <c r="B8868" s="361"/>
      <c r="C8868" s="365" t="s">
        <v>366</v>
      </c>
      <c r="D8868" s="368" t="s">
        <v>67</v>
      </c>
      <c r="E8868" s="368"/>
      <c r="F8868" s="368"/>
      <c r="G8868" s="368"/>
      <c r="H8868" s="195"/>
      <c r="I8868" s="159"/>
      <c r="J8868" s="195"/>
      <c r="K8868" s="161"/>
      <c r="L8868" s="196"/>
      <c r="M8868" s="230"/>
      <c r="N8868" s="278"/>
      <c r="O8868" s="279">
        <f>O8869</f>
        <v>6.3309999999999991E-2</v>
      </c>
      <c r="P8868" s="166"/>
      <c r="Q8868" s="166">
        <f t="shared" si="2576"/>
        <v>0</v>
      </c>
      <c r="R8868" s="71"/>
      <c r="S8868" s="61"/>
      <c r="T8868" s="61"/>
      <c r="U8868" s="61"/>
      <c r="V8868" s="61"/>
      <c r="W8868" s="61"/>
      <c r="X8868" s="61"/>
      <c r="Y8868" s="61"/>
      <c r="Z8868" s="61"/>
      <c r="AA8868" s="61"/>
      <c r="AB8868" s="61"/>
      <c r="AC8868" s="61"/>
      <c r="AD8868" s="61"/>
      <c r="AE8868" s="61"/>
      <c r="AF8868" s="61"/>
      <c r="AG8868" s="61"/>
      <c r="AH8868" s="61"/>
      <c r="AI8868" s="61"/>
      <c r="AJ8868" s="61"/>
      <c r="AK8868" s="61"/>
      <c r="AL8868" s="61"/>
      <c r="AM8868" s="61"/>
      <c r="AN8868" s="61"/>
      <c r="AO8868" s="61"/>
    </row>
    <row r="8869" spans="1:41" s="61" customFormat="1" x14ac:dyDescent="0.25">
      <c r="A8869" s="358"/>
      <c r="B8869" s="361"/>
      <c r="C8869" s="367"/>
      <c r="D8869" s="194" t="s">
        <v>367</v>
      </c>
      <c r="E8869" s="194" t="s">
        <v>28</v>
      </c>
      <c r="F8869" s="194" t="s">
        <v>28</v>
      </c>
      <c r="G8869" s="217">
        <f>MROUND(H8869*L8869*I8869/K8869,0.000000000001)</f>
        <v>2.3348242999999999E-5</v>
      </c>
      <c r="H8869" s="283">
        <f>Лист1!G291</f>
        <v>2</v>
      </c>
      <c r="I8869" s="159">
        <f>I8866</f>
        <v>0.16442999999999999</v>
      </c>
      <c r="J8869" s="195"/>
      <c r="K8869" s="161">
        <f>K8866</f>
        <v>169020</v>
      </c>
      <c r="L8869" s="196">
        <v>12</v>
      </c>
      <c r="M8869" s="163" t="str">
        <f>CONCATENATE(H8869," ",F8869,"*",L8869,"мес.","*",I8869,"/",K8869,"чел/час")</f>
        <v>2 шт*12мес.*0,16443/169020чел/час</v>
      </c>
      <c r="N8869" s="278">
        <f>Лист1!I291</f>
        <v>2711.57125</v>
      </c>
      <c r="O8869" s="280">
        <f>MROUND(N8869*G8869,0.000001)</f>
        <v>6.3309999999999991E-2</v>
      </c>
      <c r="P8869" s="166"/>
      <c r="Q8869" s="166">
        <f t="shared" si="2576"/>
        <v>10700.656199999998</v>
      </c>
      <c r="R8869" s="71"/>
    </row>
    <row r="8870" spans="1:41" s="108" customFormat="1" x14ac:dyDescent="0.25">
      <c r="A8870" s="358"/>
      <c r="B8870" s="361"/>
      <c r="C8870" s="221"/>
      <c r="D8870" s="350" t="s">
        <v>68</v>
      </c>
      <c r="E8870" s="350"/>
      <c r="F8870" s="350"/>
      <c r="G8870" s="350"/>
      <c r="H8870" s="195"/>
      <c r="I8870" s="159"/>
      <c r="J8870" s="195"/>
      <c r="K8870" s="161"/>
      <c r="L8870" s="196"/>
      <c r="M8870" s="230"/>
      <c r="N8870" s="278"/>
      <c r="O8870" s="280"/>
      <c r="P8870" s="166"/>
      <c r="Q8870" s="166">
        <f t="shared" si="2576"/>
        <v>0</v>
      </c>
      <c r="R8870" s="71"/>
      <c r="S8870" s="61"/>
      <c r="T8870" s="61"/>
      <c r="U8870" s="61"/>
      <c r="V8870" s="61"/>
      <c r="W8870" s="61"/>
      <c r="X8870" s="61"/>
      <c r="Y8870" s="61"/>
      <c r="Z8870" s="61"/>
      <c r="AA8870" s="61"/>
      <c r="AB8870" s="61"/>
      <c r="AC8870" s="61"/>
      <c r="AD8870" s="61"/>
      <c r="AE8870" s="61"/>
      <c r="AF8870" s="61"/>
      <c r="AG8870" s="61"/>
      <c r="AH8870" s="61"/>
      <c r="AI8870" s="61"/>
      <c r="AJ8870" s="61"/>
      <c r="AK8870" s="61"/>
      <c r="AL8870" s="61"/>
      <c r="AM8870" s="61"/>
      <c r="AN8870" s="61"/>
      <c r="AO8870" s="61"/>
    </row>
    <row r="8871" spans="1:41" s="108" customFormat="1" x14ac:dyDescent="0.25">
      <c r="A8871" s="358"/>
      <c r="B8871" s="361"/>
      <c r="C8871" s="221"/>
      <c r="D8871" s="156"/>
      <c r="E8871" s="156"/>
      <c r="F8871" s="156"/>
      <c r="G8871" s="236"/>
      <c r="H8871" s="195"/>
      <c r="I8871" s="159"/>
      <c r="J8871" s="195"/>
      <c r="K8871" s="161"/>
      <c r="L8871" s="196"/>
      <c r="M8871" s="230"/>
      <c r="N8871" s="278"/>
      <c r="O8871" s="280"/>
      <c r="P8871" s="166"/>
      <c r="Q8871" s="166">
        <f t="shared" si="2576"/>
        <v>0</v>
      </c>
      <c r="R8871" s="71"/>
      <c r="S8871" s="61"/>
      <c r="T8871" s="61"/>
      <c r="U8871" s="61"/>
      <c r="V8871" s="61"/>
      <c r="W8871" s="61"/>
      <c r="X8871" s="61"/>
      <c r="Y8871" s="61"/>
      <c r="Z8871" s="61"/>
      <c r="AA8871" s="61"/>
      <c r="AB8871" s="61"/>
      <c r="AC8871" s="61"/>
      <c r="AD8871" s="61"/>
      <c r="AE8871" s="61"/>
      <c r="AF8871" s="61"/>
      <c r="AG8871" s="61"/>
      <c r="AH8871" s="61"/>
      <c r="AI8871" s="61"/>
      <c r="AJ8871" s="61"/>
      <c r="AK8871" s="61"/>
      <c r="AL8871" s="61"/>
      <c r="AM8871" s="61"/>
      <c r="AN8871" s="61"/>
      <c r="AO8871" s="61"/>
    </row>
    <row r="8872" spans="1:41" s="108" customFormat="1" x14ac:dyDescent="0.25">
      <c r="A8872" s="358"/>
      <c r="B8872" s="361"/>
      <c r="C8872" s="221"/>
      <c r="D8872" s="368" t="s">
        <v>69</v>
      </c>
      <c r="E8872" s="368"/>
      <c r="F8872" s="368"/>
      <c r="G8872" s="368"/>
      <c r="H8872" s="187"/>
      <c r="I8872" s="159"/>
      <c r="J8872" s="187"/>
      <c r="K8872" s="161"/>
      <c r="L8872" s="276"/>
      <c r="M8872" s="230"/>
      <c r="N8872" s="278"/>
      <c r="O8872" s="279">
        <f>O8879+O8895+O8898+O8911+O8912+O8913+O8924+O8926+O8930+O8927</f>
        <v>3.6029610000000001</v>
      </c>
      <c r="P8872" s="166"/>
      <c r="Q8872" s="166">
        <f t="shared" si="2576"/>
        <v>0</v>
      </c>
      <c r="R8872" s="71"/>
      <c r="S8872" s="61"/>
      <c r="T8872" s="61"/>
      <c r="U8872" s="61"/>
      <c r="V8872" s="61"/>
      <c r="W8872" s="61"/>
      <c r="X8872" s="61"/>
      <c r="Y8872" s="61"/>
      <c r="Z8872" s="61"/>
      <c r="AA8872" s="61"/>
      <c r="AB8872" s="61"/>
      <c r="AC8872" s="61"/>
      <c r="AD8872" s="61"/>
      <c r="AE8872" s="61"/>
      <c r="AF8872" s="61"/>
      <c r="AG8872" s="61"/>
      <c r="AH8872" s="61"/>
      <c r="AI8872" s="61"/>
      <c r="AJ8872" s="61"/>
      <c r="AK8872" s="61"/>
      <c r="AL8872" s="61"/>
      <c r="AM8872" s="61"/>
      <c r="AN8872" s="61"/>
      <c r="AO8872" s="61"/>
    </row>
    <row r="8873" spans="1:41" s="61" customFormat="1" ht="31.5" x14ac:dyDescent="0.25">
      <c r="A8873" s="358"/>
      <c r="B8873" s="361"/>
      <c r="C8873" s="365" t="s">
        <v>78</v>
      </c>
      <c r="D8873" s="156" t="s">
        <v>26</v>
      </c>
      <c r="E8873" s="156" t="s">
        <v>22</v>
      </c>
      <c r="F8873" s="156" t="s">
        <v>22</v>
      </c>
      <c r="G8873" s="238">
        <f>MROUND(H8873*L8873*I8873/K8873,0.0000000001)</f>
        <v>5.7906677400000002E-2</v>
      </c>
      <c r="H8873" s="158">
        <f>Лист1!G307</f>
        <v>4960.26</v>
      </c>
      <c r="I8873" s="159">
        <f>I8869</f>
        <v>0.16442999999999999</v>
      </c>
      <c r="J8873" s="160"/>
      <c r="K8873" s="161">
        <f>K8869</f>
        <v>169020</v>
      </c>
      <c r="L8873" s="250">
        <v>12</v>
      </c>
      <c r="M8873" s="163" t="str">
        <f>CONCATENATE(H8873," ",F8873,"(обрабатываемая площадь в мес.)","*",L8873,"мес.","*",I8873,"/",K8873,"чел/час")</f>
        <v>4960,26 м2(обрабатываемая площадь в мес.)*12мес.*0,16443/169020чел/час</v>
      </c>
      <c r="N8873" s="278">
        <f>Лист1!I307</f>
        <v>1.2568900958148699</v>
      </c>
      <c r="O8873" s="280">
        <f t="shared" ref="O8873:O8874" si="2577">MROUND(N8873*G8873,0.000001)</f>
        <v>7.2781999999999999E-2</v>
      </c>
      <c r="P8873" s="166"/>
      <c r="Q8873" s="166">
        <f t="shared" si="2576"/>
        <v>12301.61364</v>
      </c>
      <c r="R8873" s="71"/>
      <c r="S8873" s="71"/>
    </row>
    <row r="8874" spans="1:41" s="61" customFormat="1" ht="31.5" x14ac:dyDescent="0.25">
      <c r="A8874" s="358"/>
      <c r="B8874" s="361"/>
      <c r="C8874" s="366"/>
      <c r="D8874" s="156" t="s">
        <v>96</v>
      </c>
      <c r="E8874" s="156" t="s">
        <v>22</v>
      </c>
      <c r="F8874" s="156" t="s">
        <v>22</v>
      </c>
      <c r="G8874" s="238">
        <f>MROUND(H8874*L8874*I8874/K8874,0.000000000001)</f>
        <v>3.2071846772999998E-2</v>
      </c>
      <c r="H8874" s="158">
        <f>Лист1!G308</f>
        <v>2747.26</v>
      </c>
      <c r="I8874" s="159">
        <f>I8873</f>
        <v>0.16442999999999999</v>
      </c>
      <c r="J8874" s="160"/>
      <c r="K8874" s="161">
        <f>K8873</f>
        <v>169020</v>
      </c>
      <c r="L8874" s="250">
        <v>12</v>
      </c>
      <c r="M8874" s="163" t="str">
        <f>CONCATENATE(H8874," ",F8874,"(обрабатываемая площадь в мес.)","*",L8874,"мес.","*",I8874,"/",K8874,"чел/час")</f>
        <v>2747,26 м2(обрабатываемая площадь в мес.)*12мес.*0,16443/169020чел/час</v>
      </c>
      <c r="N8874" s="278">
        <f>Лист1!I308</f>
        <v>1.7523653870887115</v>
      </c>
      <c r="O8874" s="280">
        <f t="shared" si="2577"/>
        <v>5.6201999999999995E-2</v>
      </c>
      <c r="P8874" s="166"/>
      <c r="Q8874" s="166">
        <f t="shared" si="2576"/>
        <v>9499.2620399999996</v>
      </c>
      <c r="R8874" s="71"/>
      <c r="S8874" s="71"/>
    </row>
    <row r="8875" spans="1:41" s="135" customFormat="1" ht="31.5" x14ac:dyDescent="0.25">
      <c r="A8875" s="358"/>
      <c r="B8875" s="361"/>
      <c r="C8875" s="366"/>
      <c r="D8875" s="156" t="s">
        <v>385</v>
      </c>
      <c r="E8875" s="156" t="s">
        <v>22</v>
      </c>
      <c r="F8875" s="156" t="s">
        <v>22</v>
      </c>
      <c r="G8875" s="238">
        <f>MROUND(H8875*L8875*I8875/K8875,0.0000000001)</f>
        <v>6.4143693500000001E-2</v>
      </c>
      <c r="H8875" s="242">
        <f>Лист1!G309</f>
        <v>2747.26</v>
      </c>
      <c r="I8875" s="159">
        <f>I8874</f>
        <v>0.16442999999999999</v>
      </c>
      <c r="J8875" s="160"/>
      <c r="K8875" s="161">
        <f>K8874</f>
        <v>169020</v>
      </c>
      <c r="L8875" s="162">
        <v>24</v>
      </c>
      <c r="M8875" s="163" t="str">
        <f>CONCATENATE(H8875," ",F8875,"(обрабатываемая площадь в год)","*",L8875," раза в год.","*",I8875,"/",K8875,"чел.")</f>
        <v>2747,26 м2(обрабатываемая площадь в год)*24 раза в год.*0,16443/169020чел.</v>
      </c>
      <c r="N8875" s="164">
        <f>Лист1!I309</f>
        <v>1.9341167805983659</v>
      </c>
      <c r="O8875" s="165">
        <f>MROUND(G8875*N8875,0.000001)</f>
        <v>0.12406099999999999</v>
      </c>
      <c r="P8875" s="166"/>
      <c r="Q8875" s="166">
        <f t="shared" si="2576"/>
        <v>20968.790219999999</v>
      </c>
      <c r="R8875" s="71"/>
      <c r="S8875" s="61"/>
      <c r="T8875" s="61"/>
      <c r="U8875" s="61"/>
      <c r="V8875" s="61"/>
      <c r="W8875" s="61"/>
      <c r="X8875" s="61"/>
      <c r="Y8875" s="61"/>
      <c r="Z8875" s="61"/>
      <c r="AA8875" s="61"/>
      <c r="AB8875" s="61"/>
      <c r="AC8875" s="61"/>
      <c r="AD8875" s="61"/>
      <c r="AE8875" s="61"/>
      <c r="AF8875" s="61"/>
      <c r="AG8875" s="61"/>
      <c r="AH8875" s="61"/>
      <c r="AI8875" s="61"/>
      <c r="AJ8875" s="61"/>
      <c r="AK8875" s="61"/>
      <c r="AL8875" s="61"/>
      <c r="AM8875" s="61"/>
      <c r="AN8875" s="61"/>
      <c r="AO8875" s="61"/>
    </row>
    <row r="8876" spans="1:41" s="135" customFormat="1" ht="31.5" x14ac:dyDescent="0.25">
      <c r="A8876" s="358"/>
      <c r="B8876" s="361"/>
      <c r="C8876" s="366"/>
      <c r="D8876" s="156" t="s">
        <v>394</v>
      </c>
      <c r="E8876" s="156" t="s">
        <v>22</v>
      </c>
      <c r="F8876" s="156" t="s">
        <v>22</v>
      </c>
      <c r="G8876" s="238">
        <f>MROUND(H8876*L8876*I8876/K8876,0.0000000001)</f>
        <v>5.7906677400000002E-2</v>
      </c>
      <c r="H8876" s="243">
        <f>Лист1!G310</f>
        <v>4960.26</v>
      </c>
      <c r="I8876" s="159">
        <f>I8875</f>
        <v>0.16442999999999999</v>
      </c>
      <c r="J8876" s="160"/>
      <c r="K8876" s="161">
        <f>K8875</f>
        <v>169020</v>
      </c>
      <c r="L8876" s="162">
        <v>12</v>
      </c>
      <c r="M8876" s="163" t="str">
        <f>CONCATENATE(H8876," ",F8876,"(обрабатываемая площадь в мес.)","*",L8876,"мес.","*",I8876,"/",K8876,"чел.")</f>
        <v>4960,26 м2(обрабатываемая площадь в мес.)*12мес.*0,16443/169020чел.</v>
      </c>
      <c r="N8876" s="164">
        <f>Лист1!I310</f>
        <v>0.59287281983874496</v>
      </c>
      <c r="O8876" s="165">
        <f>MROUND(G8876*N8876,0.000001)</f>
        <v>3.4331E-2</v>
      </c>
      <c r="P8876" s="166"/>
      <c r="Q8876" s="166">
        <f t="shared" si="2576"/>
        <v>5802.6256199999998</v>
      </c>
      <c r="R8876" s="71"/>
      <c r="S8876" s="61"/>
      <c r="T8876" s="61"/>
      <c r="U8876" s="61"/>
      <c r="V8876" s="61"/>
      <c r="W8876" s="61"/>
      <c r="X8876" s="61"/>
      <c r="Y8876" s="61"/>
      <c r="Z8876" s="61"/>
      <c r="AA8876" s="61"/>
      <c r="AB8876" s="61"/>
      <c r="AC8876" s="61"/>
      <c r="AD8876" s="61"/>
      <c r="AE8876" s="61"/>
      <c r="AF8876" s="61"/>
      <c r="AG8876" s="61"/>
      <c r="AH8876" s="61"/>
      <c r="AI8876" s="61"/>
      <c r="AJ8876" s="61"/>
      <c r="AK8876" s="61"/>
      <c r="AL8876" s="61"/>
      <c r="AM8876" s="61"/>
      <c r="AN8876" s="61"/>
      <c r="AO8876" s="61"/>
    </row>
    <row r="8877" spans="1:41" s="135" customFormat="1" ht="31.5" x14ac:dyDescent="0.25">
      <c r="A8877" s="358"/>
      <c r="B8877" s="361"/>
      <c r="C8877" s="366"/>
      <c r="D8877" s="156" t="s">
        <v>395</v>
      </c>
      <c r="E8877" s="156" t="s">
        <v>98</v>
      </c>
      <c r="F8877" s="156" t="s">
        <v>98</v>
      </c>
      <c r="G8877" s="238">
        <f>MROUND(H8877*L8877*I8877/K8877,0.000000000001)</f>
        <v>1.828946E-6</v>
      </c>
      <c r="H8877" s="242">
        <f>Лист1!G312</f>
        <v>1.8800000000000001</v>
      </c>
      <c r="I8877" s="159">
        <f>I8876</f>
        <v>0.16442999999999999</v>
      </c>
      <c r="J8877" s="160"/>
      <c r="K8877" s="161">
        <f>K8876</f>
        <v>169020</v>
      </c>
      <c r="L8877" s="162">
        <v>1</v>
      </c>
      <c r="M8877" s="163" t="str">
        <f>CONCATENATE(H8877," ",F8877,"(обрабатываемая площадь в год)","*",L8877," раз в год","*",I8877,"/",K8877,"чел.")</f>
        <v>1,88 Га(обрабатываемая площадь в год)*1 раз в год*0,16443/169020чел.</v>
      </c>
      <c r="N8877" s="164">
        <f>Лист1!I312</f>
        <v>592.87234042553177</v>
      </c>
      <c r="O8877" s="165">
        <f>MROUND(G8877*N8877,0.000001)</f>
        <v>1.0839999999999999E-3</v>
      </c>
      <c r="P8877" s="166"/>
      <c r="Q8877" s="166">
        <f t="shared" si="2576"/>
        <v>183.21767999999997</v>
      </c>
      <c r="R8877" s="71"/>
      <c r="S8877" s="61"/>
      <c r="T8877" s="61"/>
      <c r="U8877" s="61"/>
      <c r="V8877" s="61"/>
      <c r="W8877" s="61"/>
      <c r="X8877" s="61"/>
      <c r="Y8877" s="61"/>
      <c r="Z8877" s="61"/>
      <c r="AA8877" s="61"/>
      <c r="AB8877" s="61"/>
      <c r="AC8877" s="61"/>
      <c r="AD8877" s="61"/>
      <c r="AE8877" s="61"/>
      <c r="AF8877" s="61"/>
      <c r="AG8877" s="61"/>
      <c r="AH8877" s="61"/>
      <c r="AI8877" s="61"/>
      <c r="AJ8877" s="61"/>
      <c r="AK8877" s="61"/>
      <c r="AL8877" s="61"/>
      <c r="AM8877" s="61"/>
      <c r="AN8877" s="61"/>
      <c r="AO8877" s="61"/>
    </row>
    <row r="8878" spans="1:41" s="61" customFormat="1" ht="31.5" x14ac:dyDescent="0.25">
      <c r="A8878" s="358"/>
      <c r="B8878" s="361"/>
      <c r="C8878" s="367"/>
      <c r="D8878" s="156" t="s">
        <v>97</v>
      </c>
      <c r="E8878" s="156" t="s">
        <v>363</v>
      </c>
      <c r="F8878" s="156" t="s">
        <v>363</v>
      </c>
      <c r="G8878" s="238">
        <f>MROUND(H8878*L8878*I8878/K8878,0.0000000000001)</f>
        <v>1.8289457000000002E-6</v>
      </c>
      <c r="H8878" s="158">
        <f>Лист1!G311</f>
        <v>1.8800000000000001</v>
      </c>
      <c r="I8878" s="159">
        <f>I8874</f>
        <v>0.16442999999999999</v>
      </c>
      <c r="J8878" s="160"/>
      <c r="K8878" s="161">
        <f>K8874</f>
        <v>169020</v>
      </c>
      <c r="L8878" s="250">
        <v>1</v>
      </c>
      <c r="M8878" s="163" t="str">
        <f>CONCATENATE(H8878," ",F8878,"(обрабатываемая площадь в мес.)","*",L8878,"мес.","*",I8878,"/",K8878,"чел/час")</f>
        <v>1,88 га(обрабатываемая площадь в мес.)*1мес.*0,16443/169020чел/час</v>
      </c>
      <c r="N8878" s="278">
        <f>Лист1!I311</f>
        <v>3226.4999999999995</v>
      </c>
      <c r="O8878" s="280">
        <f>MROUND(N8878*G8878,0.000001)</f>
        <v>5.901E-3</v>
      </c>
      <c r="P8878" s="166"/>
      <c r="Q8878" s="166">
        <f t="shared" si="2576"/>
        <v>997.38702000000001</v>
      </c>
      <c r="R8878" s="71"/>
      <c r="S8878" s="71"/>
    </row>
    <row r="8879" spans="1:41" s="109" customFormat="1" x14ac:dyDescent="0.25">
      <c r="A8879" s="358"/>
      <c r="B8879" s="361"/>
      <c r="C8879" s="218" t="s">
        <v>327</v>
      </c>
      <c r="D8879" s="240"/>
      <c r="E8879" s="240"/>
      <c r="F8879" s="240"/>
      <c r="G8879" s="227"/>
      <c r="H8879" s="241"/>
      <c r="I8879" s="206"/>
      <c r="J8879" s="228"/>
      <c r="K8879" s="207"/>
      <c r="L8879" s="257"/>
      <c r="M8879" s="209"/>
      <c r="N8879" s="281"/>
      <c r="O8879" s="279">
        <f>SUM(O8873:O8878)</f>
        <v>0.29436099999999993</v>
      </c>
      <c r="P8879" s="267"/>
      <c r="Q8879" s="166"/>
      <c r="R8879" s="71"/>
      <c r="S8879" s="62"/>
      <c r="T8879" s="62"/>
      <c r="U8879" s="62"/>
      <c r="V8879" s="62"/>
      <c r="W8879" s="62"/>
      <c r="X8879" s="62"/>
      <c r="Y8879" s="62"/>
      <c r="Z8879" s="62"/>
      <c r="AA8879" s="62"/>
      <c r="AB8879" s="62"/>
      <c r="AC8879" s="62"/>
      <c r="AD8879" s="62"/>
      <c r="AE8879" s="62"/>
      <c r="AF8879" s="62"/>
      <c r="AG8879" s="62"/>
      <c r="AH8879" s="62"/>
      <c r="AI8879" s="62"/>
      <c r="AJ8879" s="62"/>
      <c r="AK8879" s="62"/>
      <c r="AL8879" s="62"/>
      <c r="AM8879" s="62"/>
      <c r="AN8879" s="62"/>
      <c r="AO8879" s="62"/>
    </row>
    <row r="8880" spans="1:41" s="61" customFormat="1" x14ac:dyDescent="0.25">
      <c r="A8880" s="358"/>
      <c r="B8880" s="361"/>
      <c r="C8880" s="366" t="s">
        <v>77</v>
      </c>
      <c r="D8880" s="156" t="s">
        <v>397</v>
      </c>
      <c r="E8880" s="156" t="s">
        <v>433</v>
      </c>
      <c r="F8880" s="156" t="s">
        <v>433</v>
      </c>
      <c r="G8880" s="238">
        <f>MROUND(H8880*L8880*I8880/K8880,0.000000000001)</f>
        <v>0</v>
      </c>
      <c r="H8880" s="158"/>
      <c r="I8880" s="159">
        <f>I8874</f>
        <v>0.16442999999999999</v>
      </c>
      <c r="J8880" s="160"/>
      <c r="K8880" s="161">
        <f>K8874</f>
        <v>169020</v>
      </c>
      <c r="L8880" s="162">
        <v>1</v>
      </c>
      <c r="M8880" s="163"/>
      <c r="N8880" s="278"/>
      <c r="O8880" s="280">
        <f t="shared" ref="O8880" si="2578">MROUND(N8880*G8880,0.000001)</f>
        <v>0</v>
      </c>
      <c r="P8880" s="166"/>
      <c r="Q8880" s="166">
        <f t="shared" ref="Q8880:Q8892" si="2579">O8880*K8880</f>
        <v>0</v>
      </c>
      <c r="R8880" s="71"/>
      <c r="T8880" s="71"/>
    </row>
    <row r="8881" spans="1:41" s="61" customFormat="1" ht="63" x14ac:dyDescent="0.25">
      <c r="A8881" s="358"/>
      <c r="B8881" s="361"/>
      <c r="C8881" s="366"/>
      <c r="D8881" s="156" t="s">
        <v>249</v>
      </c>
      <c r="E8881" s="156" t="s">
        <v>22</v>
      </c>
      <c r="F8881" s="156" t="s">
        <v>22</v>
      </c>
      <c r="G8881" s="238">
        <f>MROUND(H8881*L8881*I8881/K8881,0.0000000000001)</f>
        <v>8.0643663258999996E-3</v>
      </c>
      <c r="H8881" s="158">
        <f>Лист1!G313</f>
        <v>690.79</v>
      </c>
      <c r="I8881" s="159">
        <f>I8880</f>
        <v>0.16442999999999999</v>
      </c>
      <c r="J8881" s="160"/>
      <c r="K8881" s="161">
        <f>K8880</f>
        <v>169020</v>
      </c>
      <c r="L8881" s="250">
        <v>12</v>
      </c>
      <c r="M8881" s="163" t="str">
        <f>CONCATENATE(H8881," ",F8881,"*",L8881,"мес.","*",I8881,"/",K8881,"чел/час")</f>
        <v>690,79 м2*12мес.*0,16443/169020чел/час</v>
      </c>
      <c r="N8881" s="278">
        <f>Лист1!I313</f>
        <v>32.968811071382042</v>
      </c>
      <c r="O8881" s="280">
        <f>MROUND(N8881*G8881,0.000001)</f>
        <v>0.26587299999999997</v>
      </c>
      <c r="P8881" s="166"/>
      <c r="Q8881" s="166">
        <f t="shared" si="2579"/>
        <v>44937.854459999995</v>
      </c>
      <c r="R8881" s="71"/>
    </row>
    <row r="8882" spans="1:41" s="136" customFormat="1" x14ac:dyDescent="0.25">
      <c r="A8882" s="358"/>
      <c r="B8882" s="361"/>
      <c r="C8882" s="366"/>
      <c r="D8882" s="194" t="s">
        <v>398</v>
      </c>
      <c r="E8882" s="156" t="s">
        <v>60</v>
      </c>
      <c r="F8882" s="156" t="s">
        <v>60</v>
      </c>
      <c r="G8882" s="238">
        <f>MROUND(H8882*L8882*I8882/K8882,0.0000000000001)</f>
        <v>4.8642173000000004E-6</v>
      </c>
      <c r="H8882" s="158">
        <f>Лист1!G320</f>
        <v>5</v>
      </c>
      <c r="I8882" s="159">
        <f>I8881</f>
        <v>0.16442999999999999</v>
      </c>
      <c r="J8882" s="160"/>
      <c r="K8882" s="161">
        <f>K8881</f>
        <v>169020</v>
      </c>
      <c r="L8882" s="250">
        <v>1</v>
      </c>
      <c r="M8882" s="163" t="str">
        <f>CONCATENATE(H8882," ",F8882,"*",I8882,"/",K8882,"чел/час")</f>
        <v>5 шт.*0,16443/169020чел/час</v>
      </c>
      <c r="N8882" s="278">
        <f>Лист1!I320</f>
        <v>5928.7300000000005</v>
      </c>
      <c r="O8882" s="280">
        <f>MROUND(N8882*G8882,0.000001)</f>
        <v>2.8839E-2</v>
      </c>
      <c r="P8882" s="166"/>
      <c r="Q8882" s="166">
        <f t="shared" si="2579"/>
        <v>4874.3677799999996</v>
      </c>
      <c r="R8882" s="71"/>
      <c r="S8882" s="61"/>
      <c r="T8882" s="61"/>
      <c r="U8882" s="61"/>
      <c r="V8882" s="61"/>
      <c r="W8882" s="61"/>
      <c r="X8882" s="61"/>
      <c r="Y8882" s="61"/>
      <c r="Z8882" s="61"/>
      <c r="AA8882" s="61"/>
      <c r="AB8882" s="61"/>
      <c r="AC8882" s="61"/>
      <c r="AD8882" s="61"/>
      <c r="AE8882" s="61"/>
      <c r="AF8882" s="61"/>
      <c r="AG8882" s="61"/>
      <c r="AH8882" s="61"/>
      <c r="AI8882" s="61"/>
      <c r="AJ8882" s="61"/>
      <c r="AK8882" s="61"/>
      <c r="AL8882" s="61"/>
      <c r="AM8882" s="61"/>
      <c r="AN8882" s="61"/>
      <c r="AO8882" s="61"/>
    </row>
    <row r="8883" spans="1:41" s="136" customFormat="1" ht="63" x14ac:dyDescent="0.25">
      <c r="A8883" s="358"/>
      <c r="B8883" s="361"/>
      <c r="C8883" s="366"/>
      <c r="D8883" s="156" t="s">
        <v>33</v>
      </c>
      <c r="E8883" s="156" t="s">
        <v>56</v>
      </c>
      <c r="F8883" s="156" t="s">
        <v>220</v>
      </c>
      <c r="G8883" s="238">
        <f>MROUND(H8883*L8883*I8883/K8883,0.000000000001)</f>
        <v>4.8642169999999998E-6</v>
      </c>
      <c r="H8883" s="158">
        <f>Лист1!G319</f>
        <v>5</v>
      </c>
      <c r="I8883" s="159">
        <f>I8882</f>
        <v>0.16442999999999999</v>
      </c>
      <c r="J8883" s="160"/>
      <c r="K8883" s="161">
        <f>K8882</f>
        <v>169020</v>
      </c>
      <c r="L8883" s="250">
        <v>1</v>
      </c>
      <c r="M8883" s="163" t="str">
        <f>CONCATENATE(H8883," ",F8883,"*",L8883," раз в год","*",I8883,"/",K8883,"чел.")</f>
        <v>5 дымоходов*1 раз в год*0,16443/169020чел.</v>
      </c>
      <c r="N8883" s="278">
        <f>Лист1!I319</f>
        <v>7114.4699999999993</v>
      </c>
      <c r="O8883" s="280">
        <f>MROUND(N8883*G8883,0.000001)</f>
        <v>3.4605999999999998E-2</v>
      </c>
      <c r="P8883" s="166"/>
      <c r="Q8883" s="166">
        <f t="shared" si="2579"/>
        <v>5849.1061199999995</v>
      </c>
      <c r="R8883" s="71"/>
      <c r="S8883" s="61"/>
      <c r="T8883" s="61"/>
      <c r="U8883" s="61"/>
      <c r="V8883" s="61"/>
      <c r="W8883" s="61"/>
      <c r="X8883" s="61"/>
      <c r="Y8883" s="61"/>
      <c r="Z8883" s="61"/>
      <c r="AA8883" s="61"/>
      <c r="AB8883" s="61"/>
      <c r="AC8883" s="61"/>
      <c r="AD8883" s="61"/>
      <c r="AE8883" s="61"/>
      <c r="AF8883" s="61"/>
      <c r="AG8883" s="61"/>
      <c r="AH8883" s="61"/>
      <c r="AI8883" s="61"/>
      <c r="AJ8883" s="61"/>
      <c r="AK8883" s="61"/>
      <c r="AL8883" s="61"/>
      <c r="AM8883" s="61"/>
      <c r="AN8883" s="61"/>
      <c r="AO8883" s="61"/>
    </row>
    <row r="8884" spans="1:41" s="61" customFormat="1" ht="78.75" x14ac:dyDescent="0.25">
      <c r="A8884" s="358"/>
      <c r="B8884" s="361"/>
      <c r="C8884" s="366"/>
      <c r="D8884" s="156" t="s">
        <v>250</v>
      </c>
      <c r="E8884" s="156" t="s">
        <v>251</v>
      </c>
      <c r="F8884" s="156" t="s">
        <v>60</v>
      </c>
      <c r="G8884" s="238">
        <f>MROUND(H8884*L8884*I8884/K8884,0.00000000000001)</f>
        <v>4.8642172499999996E-6</v>
      </c>
      <c r="H8884" s="158">
        <f>Лист1!G331</f>
        <v>5</v>
      </c>
      <c r="I8884" s="159">
        <f>I8881</f>
        <v>0.16442999999999999</v>
      </c>
      <c r="J8884" s="160"/>
      <c r="K8884" s="161">
        <f>K8881</f>
        <v>169020</v>
      </c>
      <c r="L8884" s="250">
        <v>1</v>
      </c>
      <c r="M8884" s="163" t="str">
        <f>CONCATENATE(H8884," ",F8884,"*",I8884,"/",K8884,"чел/час")</f>
        <v>5 шт.*0,16443/169020чел/час</v>
      </c>
      <c r="N8884" s="278">
        <f>Лист1!I331</f>
        <v>4742.9800000000005</v>
      </c>
      <c r="O8884" s="280">
        <f t="shared" ref="O8884:O8891" si="2580">MROUND(N8884*G8884,0.000001)</f>
        <v>2.3070999999999998E-2</v>
      </c>
      <c r="P8884" s="166"/>
      <c r="Q8884" s="166">
        <f t="shared" si="2579"/>
        <v>3899.4604199999994</v>
      </c>
      <c r="R8884" s="71"/>
    </row>
    <row r="8885" spans="1:41" s="61" customFormat="1" ht="47.25" x14ac:dyDescent="0.25">
      <c r="A8885" s="358"/>
      <c r="B8885" s="361"/>
      <c r="C8885" s="366"/>
      <c r="D8885" s="156" t="s">
        <v>401</v>
      </c>
      <c r="E8885" s="156" t="s">
        <v>60</v>
      </c>
      <c r="F8885" s="156" t="s">
        <v>402</v>
      </c>
      <c r="G8885" s="238">
        <f>MROUND(H8885*L8885*I8885/K8885,0.000000000001)</f>
        <v>9.7284350000000006E-6</v>
      </c>
      <c r="H8885" s="158">
        <f>Лист1!G321</f>
        <v>5</v>
      </c>
      <c r="I8885" s="159">
        <f>I8884</f>
        <v>0.16442999999999999</v>
      </c>
      <c r="J8885" s="160"/>
      <c r="K8885" s="161">
        <f>K8884</f>
        <v>169020</v>
      </c>
      <c r="L8885" s="250">
        <v>2</v>
      </c>
      <c r="M8885" s="163" t="str">
        <f>CONCATENATE(H8885," ",F8885,"*",I8885,"/",K8885,"чел/час")</f>
        <v>5 противопожарных водопроводов*0,16443/169020чел/час</v>
      </c>
      <c r="N8885" s="278">
        <f>Лист1!I321</f>
        <v>2964.3650000000002</v>
      </c>
      <c r="O8885" s="280">
        <f t="shared" si="2580"/>
        <v>2.8839E-2</v>
      </c>
      <c r="P8885" s="166"/>
      <c r="Q8885" s="166">
        <f t="shared" si="2579"/>
        <v>4874.3677799999996</v>
      </c>
      <c r="R8885" s="71"/>
      <c r="T8885" s="71"/>
    </row>
    <row r="8886" spans="1:41" s="61" customFormat="1" ht="47.25" x14ac:dyDescent="0.25">
      <c r="A8886" s="358"/>
      <c r="B8886" s="361"/>
      <c r="C8886" s="366"/>
      <c r="D8886" s="156" t="s">
        <v>34</v>
      </c>
      <c r="E8886" s="156" t="s">
        <v>59</v>
      </c>
      <c r="F8886" s="156" t="s">
        <v>28</v>
      </c>
      <c r="G8886" s="238">
        <f>MROUND(H8886*L8886*I8886/K8886,0.0000000000001)</f>
        <v>1.9456869000000002E-6</v>
      </c>
      <c r="H8886" s="158">
        <f>Лист1!G323</f>
        <v>2</v>
      </c>
      <c r="I8886" s="159">
        <f>I8885</f>
        <v>0.16442999999999999</v>
      </c>
      <c r="J8886" s="160"/>
      <c r="K8886" s="161">
        <f>K8885</f>
        <v>169020</v>
      </c>
      <c r="L8886" s="250">
        <v>1</v>
      </c>
      <c r="M8886" s="163" t="str">
        <f>CONCATENATE(H8886," ",F8886,"*",I8886,"/",K8886,"чел/час")</f>
        <v>2 шт*0,16443/169020чел/час</v>
      </c>
      <c r="N8886" s="278">
        <f>Лист1!I323</f>
        <v>8158.8</v>
      </c>
      <c r="O8886" s="280">
        <f t="shared" si="2580"/>
        <v>1.5873999999999999E-2</v>
      </c>
      <c r="P8886" s="166"/>
      <c r="Q8886" s="166">
        <f t="shared" si="2579"/>
        <v>2683.0234799999998</v>
      </c>
      <c r="R8886" s="71"/>
      <c r="T8886" s="71"/>
    </row>
    <row r="8887" spans="1:41" s="61" customFormat="1" ht="47.25" x14ac:dyDescent="0.25">
      <c r="A8887" s="358"/>
      <c r="B8887" s="361"/>
      <c r="C8887" s="366"/>
      <c r="D8887" s="156" t="s">
        <v>222</v>
      </c>
      <c r="E8887" s="156" t="s">
        <v>60</v>
      </c>
      <c r="F8887" s="156" t="s">
        <v>60</v>
      </c>
      <c r="G8887" s="238">
        <f>MROUND(H8887*L8887*I8887/K8887,0.0000000000001)</f>
        <v>1.9456869000000002E-6</v>
      </c>
      <c r="H8887" s="158">
        <f>Лист1!G324</f>
        <v>2</v>
      </c>
      <c r="I8887" s="159">
        <f>I8886</f>
        <v>0.16442999999999999</v>
      </c>
      <c r="J8887" s="160"/>
      <c r="K8887" s="161">
        <f>K8886</f>
        <v>169020</v>
      </c>
      <c r="L8887" s="250">
        <v>1</v>
      </c>
      <c r="M8887" s="163" t="str">
        <f>CONCATENATE(H8887," ",F8887,"*",I8887,"/",K8887,"чел/час")</f>
        <v>2 шт.*0,16443/169020чел/час</v>
      </c>
      <c r="N8887" s="278">
        <f>Лист1!I324</f>
        <v>14141.92</v>
      </c>
      <c r="O8887" s="280">
        <f t="shared" si="2580"/>
        <v>2.7515999999999999E-2</v>
      </c>
      <c r="P8887" s="166"/>
      <c r="Q8887" s="166">
        <f t="shared" si="2579"/>
        <v>4650.75432</v>
      </c>
      <c r="R8887" s="71"/>
      <c r="T8887" s="71"/>
    </row>
    <row r="8888" spans="1:41" s="61" customFormat="1" ht="31.5" x14ac:dyDescent="0.25">
      <c r="A8888" s="358"/>
      <c r="B8888" s="361"/>
      <c r="C8888" s="366"/>
      <c r="D8888" s="156" t="s">
        <v>35</v>
      </c>
      <c r="E8888" s="156" t="s">
        <v>102</v>
      </c>
      <c r="F8888" s="156" t="s">
        <v>252</v>
      </c>
      <c r="G8888" s="238">
        <f>MROUND(H8888*L8888*I8888/K8888,0.00000000000001)</f>
        <v>1.9456869000000002E-6</v>
      </c>
      <c r="H8888" s="158">
        <f>Лист1!G325</f>
        <v>2</v>
      </c>
      <c r="I8888" s="159">
        <f>I8886</f>
        <v>0.16442999999999999</v>
      </c>
      <c r="J8888" s="160"/>
      <c r="K8888" s="161">
        <f>K8886</f>
        <v>169020</v>
      </c>
      <c r="L8888" s="250">
        <v>1</v>
      </c>
      <c r="M8888" s="163" t="str">
        <f>CONCATENATE(H8888," ",F8888,"*",I8888,"/",K8888,"чел/час")</f>
        <v>2 замера*0,16443/169020чел/час</v>
      </c>
      <c r="N8888" s="278">
        <f>Лист1!I325</f>
        <v>40794</v>
      </c>
      <c r="O8888" s="280">
        <f t="shared" si="2580"/>
        <v>7.9371999999999998E-2</v>
      </c>
      <c r="P8888" s="166"/>
      <c r="Q8888" s="166">
        <f t="shared" si="2579"/>
        <v>13415.45544</v>
      </c>
      <c r="R8888" s="71"/>
      <c r="S8888" s="71"/>
    </row>
    <row r="8889" spans="1:41" s="61" customFormat="1" ht="47.25" x14ac:dyDescent="0.25">
      <c r="A8889" s="358"/>
      <c r="B8889" s="361"/>
      <c r="C8889" s="366"/>
      <c r="D8889" s="156" t="s">
        <v>399</v>
      </c>
      <c r="E8889" s="156" t="s">
        <v>60</v>
      </c>
      <c r="F8889" s="156" t="s">
        <v>60</v>
      </c>
      <c r="G8889" s="238">
        <f>MROUND(H8889*L8889*I8889/K8889,0.00000000000001)</f>
        <v>3.8913738019999997E-5</v>
      </c>
      <c r="H8889" s="158">
        <f>Лист1!G326</f>
        <v>4</v>
      </c>
      <c r="I8889" s="159">
        <f>I8888</f>
        <v>0.16442999999999999</v>
      </c>
      <c r="J8889" s="160"/>
      <c r="K8889" s="161">
        <f>K8888</f>
        <v>169020</v>
      </c>
      <c r="L8889" s="250">
        <v>10</v>
      </c>
      <c r="M8889" s="163" t="str">
        <f>CONCATENATE(H8889," ",F8889,"*",L8889,"мес.","*",I8889,"/",K8889,"чел/час")</f>
        <v>4 шт.*10мес.*0,16443/169020чел/час</v>
      </c>
      <c r="N8889" s="278">
        <f>Лист1!I326</f>
        <v>2623.4625000000001</v>
      </c>
      <c r="O8889" s="280">
        <f t="shared" si="2580"/>
        <v>0.102089</v>
      </c>
      <c r="P8889" s="166"/>
      <c r="Q8889" s="166">
        <f t="shared" si="2579"/>
        <v>17255.082780000001</v>
      </c>
      <c r="R8889" s="71"/>
      <c r="T8889" s="71"/>
    </row>
    <row r="8890" spans="1:41" s="61" customFormat="1" ht="47.25" x14ac:dyDescent="0.25">
      <c r="A8890" s="358"/>
      <c r="B8890" s="361"/>
      <c r="C8890" s="366"/>
      <c r="D8890" s="156" t="s">
        <v>36</v>
      </c>
      <c r="E8890" s="156" t="s">
        <v>31</v>
      </c>
      <c r="F8890" s="156" t="s">
        <v>224</v>
      </c>
      <c r="G8890" s="238">
        <f>MROUND(H8890*L8890*I8890/K8890,0.000000000001)</f>
        <v>9.3392970999999999E-5</v>
      </c>
      <c r="H8890" s="158">
        <f>Лист1!G327</f>
        <v>8</v>
      </c>
      <c r="I8890" s="159">
        <f>I8889</f>
        <v>0.16442999999999999</v>
      </c>
      <c r="J8890" s="160"/>
      <c r="K8890" s="161">
        <f>K8889</f>
        <v>169020</v>
      </c>
      <c r="L8890" s="250">
        <v>12</v>
      </c>
      <c r="M8890" s="163" t="str">
        <f>CONCATENATE(H8890," ",F8890,"*",L8890,"мес.","*",I8890,"/",K8890,"чел/час")</f>
        <v>8 устройств*12мес.*0,16443/169020чел/час</v>
      </c>
      <c r="N8890" s="278">
        <f>Лист1!I327</f>
        <v>2393.2480208333336</v>
      </c>
      <c r="O8890" s="280">
        <f t="shared" si="2580"/>
        <v>0.22351299999999999</v>
      </c>
      <c r="P8890" s="166"/>
      <c r="Q8890" s="166">
        <f t="shared" si="2579"/>
        <v>37778.167259999995</v>
      </c>
      <c r="R8890" s="71"/>
      <c r="S8890" s="71"/>
    </row>
    <row r="8891" spans="1:41" s="61" customFormat="1" ht="63" x14ac:dyDescent="0.25">
      <c r="A8891" s="358"/>
      <c r="B8891" s="361"/>
      <c r="C8891" s="366"/>
      <c r="D8891" s="156" t="s">
        <v>253</v>
      </c>
      <c r="E8891" s="156" t="s">
        <v>55</v>
      </c>
      <c r="F8891" s="156" t="s">
        <v>55</v>
      </c>
      <c r="G8891" s="238">
        <f>MROUND(H8891*L8891*I8891/K8891,0.0000000000001)</f>
        <v>5.8370606999999999E-5</v>
      </c>
      <c r="H8891" s="158">
        <f>Лист1!G322</f>
        <v>5</v>
      </c>
      <c r="I8891" s="159">
        <f>I8890</f>
        <v>0.16442999999999999</v>
      </c>
      <c r="J8891" s="160"/>
      <c r="K8891" s="161">
        <f>K8890</f>
        <v>169020</v>
      </c>
      <c r="L8891" s="250">
        <v>12</v>
      </c>
      <c r="M8891" s="163" t="str">
        <f>CONCATENATE(H8891," ",F8891,"*",I8891,"/",K8891,"чел/час")</f>
        <v>5 система*0,16443/169020чел/час</v>
      </c>
      <c r="N8891" s="278">
        <f>Лист1!I322</f>
        <v>4624.4081666666671</v>
      </c>
      <c r="O8891" s="280">
        <f t="shared" si="2580"/>
        <v>0.26993</v>
      </c>
      <c r="P8891" s="166"/>
      <c r="Q8891" s="166">
        <f t="shared" si="2579"/>
        <v>45623.568599999999</v>
      </c>
      <c r="R8891" s="71"/>
    </row>
    <row r="8892" spans="1:41" s="61" customFormat="1" ht="31.5" x14ac:dyDescent="0.25">
      <c r="A8892" s="358"/>
      <c r="B8892" s="361"/>
      <c r="C8892" s="366"/>
      <c r="D8892" s="156" t="s">
        <v>99</v>
      </c>
      <c r="E8892" s="156" t="s">
        <v>103</v>
      </c>
      <c r="F8892" s="156" t="s">
        <v>225</v>
      </c>
      <c r="G8892" s="238">
        <f>MROUND(H8892*L8892*I8892/K8892,0.000000000001)</f>
        <v>2.4321085999999998E-5</v>
      </c>
      <c r="H8892" s="158">
        <f>Лист1!G328</f>
        <v>25</v>
      </c>
      <c r="I8892" s="159">
        <f>I8891</f>
        <v>0.16442999999999999</v>
      </c>
      <c r="J8892" s="160"/>
      <c r="K8892" s="161">
        <f>K8891</f>
        <v>169020</v>
      </c>
      <c r="L8892" s="250">
        <v>1</v>
      </c>
      <c r="M8892" s="163" t="str">
        <f>CONCATENATE(H8892," ",F8892,"*",I8892,"/",K8892,"чел.")</f>
        <v>25 ед.*0,16443/169020чел.</v>
      </c>
      <c r="N8892" s="164">
        <f>Лист1!I328</f>
        <v>15690</v>
      </c>
      <c r="O8892" s="165">
        <f>MROUND(G8892*N8892,0.000001)</f>
        <v>0.38159799999999999</v>
      </c>
      <c r="P8892" s="166"/>
      <c r="Q8892" s="166">
        <f t="shared" si="2579"/>
        <v>64497.693959999997</v>
      </c>
      <c r="R8892" s="71"/>
    </row>
    <row r="8893" spans="1:41" s="61" customFormat="1" x14ac:dyDescent="0.25">
      <c r="A8893" s="358"/>
      <c r="B8893" s="361"/>
      <c r="C8893" s="366"/>
      <c r="D8893" s="156" t="s">
        <v>27</v>
      </c>
      <c r="E8893" s="156" t="s">
        <v>28</v>
      </c>
      <c r="F8893" s="156" t="s">
        <v>28</v>
      </c>
      <c r="G8893" s="238">
        <f>MROUND(H8893*L8893*I8893/K8893,0.000000000001)</f>
        <v>1.4592651799999999E-4</v>
      </c>
      <c r="H8893" s="160">
        <f>Лист1!G329</f>
        <v>150</v>
      </c>
      <c r="I8893" s="159">
        <f>I8891</f>
        <v>0.16442999999999999</v>
      </c>
      <c r="J8893" s="160"/>
      <c r="K8893" s="161">
        <f>K8891</f>
        <v>169020</v>
      </c>
      <c r="L8893" s="250">
        <v>1</v>
      </c>
      <c r="M8893" s="163" t="str">
        <f>CONCATENATE(H8893," ",F8893,"*",I8893,"/",K8893,"чел/час")</f>
        <v>150 шт*0,16443/169020чел/час</v>
      </c>
      <c r="N8893" s="278">
        <f>Лист1!I329</f>
        <v>435.13599999999997</v>
      </c>
      <c r="O8893" s="280">
        <f t="shared" ref="O8893:O8894" si="2581">MROUND(N8893*G8893,0.000001)</f>
        <v>6.3497999999999999E-2</v>
      </c>
      <c r="P8893" s="166"/>
      <c r="Q8893" s="166">
        <f>O8893*K8893</f>
        <v>10732.43196</v>
      </c>
      <c r="R8893" s="71"/>
      <c r="S8893" s="71"/>
    </row>
    <row r="8894" spans="1:41" s="61" customFormat="1" ht="31.5" x14ac:dyDescent="0.25">
      <c r="A8894" s="358"/>
      <c r="B8894" s="361"/>
      <c r="C8894" s="367"/>
      <c r="D8894" s="156" t="s">
        <v>104</v>
      </c>
      <c r="E8894" s="156" t="s">
        <v>105</v>
      </c>
      <c r="F8894" s="156" t="s">
        <v>226</v>
      </c>
      <c r="G8894" s="238">
        <f>MROUND(H8894*L8894*I8894/K8894,0.000000000001)</f>
        <v>4.8642169999999998E-6</v>
      </c>
      <c r="H8894" s="160">
        <f>Лист1!G330</f>
        <v>5</v>
      </c>
      <c r="I8894" s="159">
        <f>I8893</f>
        <v>0.16442999999999999</v>
      </c>
      <c r="J8894" s="160"/>
      <c r="K8894" s="161">
        <f>K8893</f>
        <v>169020</v>
      </c>
      <c r="L8894" s="250">
        <v>1</v>
      </c>
      <c r="M8894" s="163" t="str">
        <f>CONCATENATE(H8894," ",F8894,"*",I8894,"/",K8894,"чел/час")</f>
        <v>5 отключений*0,16443/169020чел/час</v>
      </c>
      <c r="N8894" s="278">
        <f>Лист1!I330</f>
        <v>9790.56</v>
      </c>
      <c r="O8894" s="280">
        <f t="shared" si="2581"/>
        <v>4.7622999999999999E-2</v>
      </c>
      <c r="P8894" s="166"/>
      <c r="Q8894" s="166">
        <f>O8894*K8894</f>
        <v>8049.2394599999998</v>
      </c>
      <c r="R8894" s="71"/>
      <c r="S8894" s="71"/>
    </row>
    <row r="8895" spans="1:41" s="109" customFormat="1" x14ac:dyDescent="0.25">
      <c r="A8895" s="358"/>
      <c r="B8895" s="361"/>
      <c r="C8895" s="249" t="s">
        <v>326</v>
      </c>
      <c r="D8895" s="240"/>
      <c r="E8895" s="240"/>
      <c r="F8895" s="240"/>
      <c r="G8895" s="227"/>
      <c r="H8895" s="228"/>
      <c r="I8895" s="206"/>
      <c r="J8895" s="228"/>
      <c r="K8895" s="207"/>
      <c r="L8895" s="257"/>
      <c r="M8895" s="209"/>
      <c r="N8895" s="281"/>
      <c r="O8895" s="279">
        <f>SUM(O8880:O8894)</f>
        <v>1.5922409999999998</v>
      </c>
      <c r="P8895" s="267"/>
      <c r="Q8895" s="166"/>
      <c r="R8895" s="71"/>
      <c r="S8895" s="62"/>
      <c r="T8895" s="62"/>
      <c r="U8895" s="62"/>
      <c r="V8895" s="62"/>
      <c r="W8895" s="62"/>
      <c r="X8895" s="62"/>
      <c r="Y8895" s="62"/>
      <c r="Z8895" s="62"/>
      <c r="AA8895" s="62"/>
      <c r="AB8895" s="62"/>
      <c r="AC8895" s="62"/>
      <c r="AD8895" s="62"/>
      <c r="AE8895" s="62"/>
      <c r="AF8895" s="62"/>
      <c r="AG8895" s="62"/>
      <c r="AH8895" s="62"/>
      <c r="AI8895" s="62"/>
      <c r="AJ8895" s="62"/>
      <c r="AK8895" s="62"/>
      <c r="AL8895" s="62"/>
      <c r="AM8895" s="62"/>
      <c r="AN8895" s="62"/>
      <c r="AO8895" s="62"/>
    </row>
    <row r="8896" spans="1:41" s="61" customFormat="1" ht="31.5" x14ac:dyDescent="0.25">
      <c r="A8896" s="358"/>
      <c r="B8896" s="361"/>
      <c r="C8896" s="221" t="s">
        <v>79</v>
      </c>
      <c r="D8896" s="156" t="s">
        <v>37</v>
      </c>
      <c r="E8896" s="156" t="s">
        <v>61</v>
      </c>
      <c r="F8896" s="156" t="s">
        <v>254</v>
      </c>
      <c r="G8896" s="238">
        <f>MROUND(H8896*L8896*I8896/K8896,0.0000000000001)</f>
        <v>9.7284350000000006E-7</v>
      </c>
      <c r="H8896" s="158">
        <f>Лист1!G332</f>
        <v>1</v>
      </c>
      <c r="I8896" s="159">
        <f>I8894</f>
        <v>0.16442999999999999</v>
      </c>
      <c r="J8896" s="160"/>
      <c r="K8896" s="161">
        <f>K8894</f>
        <v>169020</v>
      </c>
      <c r="L8896" s="250">
        <v>1</v>
      </c>
      <c r="M8896" s="163" t="str">
        <f>CONCATENATE(H8896," ",F8896,"*",I8896,"/",K8896,"чел/час")</f>
        <v>1 автобус*0,16443/169020чел/час</v>
      </c>
      <c r="N8896" s="278">
        <f>Лист1!I332</f>
        <v>25403.41</v>
      </c>
      <c r="O8896" s="280">
        <f t="shared" ref="O8896:O8897" si="2582">MROUND(N8896*G8896,0.000001)</f>
        <v>2.4714E-2</v>
      </c>
      <c r="P8896" s="166"/>
      <c r="Q8896" s="166">
        <f>O8896*K8896</f>
        <v>4177.1602800000001</v>
      </c>
      <c r="R8896" s="71"/>
      <c r="T8896" s="71"/>
    </row>
    <row r="8897" spans="1:41" s="61" customFormat="1" x14ac:dyDescent="0.25">
      <c r="A8897" s="358"/>
      <c r="B8897" s="361"/>
      <c r="C8897" s="221"/>
      <c r="D8897" s="156" t="s">
        <v>255</v>
      </c>
      <c r="E8897" s="156" t="s">
        <v>28</v>
      </c>
      <c r="F8897" s="156" t="s">
        <v>28</v>
      </c>
      <c r="G8897" s="238">
        <f>MROUND(H8897*L8897*I8897/K8897,0.0000000000001)</f>
        <v>6.7126198080000006E-4</v>
      </c>
      <c r="H8897" s="158">
        <f>Лист1!G334</f>
        <v>345</v>
      </c>
      <c r="I8897" s="159">
        <f>I8896</f>
        <v>0.16442999999999999</v>
      </c>
      <c r="J8897" s="160"/>
      <c r="K8897" s="161">
        <f>K8896</f>
        <v>169020</v>
      </c>
      <c r="L8897" s="250">
        <v>2</v>
      </c>
      <c r="M8897" s="163" t="str">
        <f>CONCATENATE(H8897," ",F8897,"*",L8897,"раза в год","*",I8897,"/",K8897,"чел/час")</f>
        <v>345 шт*2раза в год*0,16443/169020чел/час</v>
      </c>
      <c r="N8897" s="278">
        <f>Лист1!I334</f>
        <v>474.29824637681156</v>
      </c>
      <c r="O8897" s="280">
        <f t="shared" si="2582"/>
        <v>0.31837799999999999</v>
      </c>
      <c r="P8897" s="166"/>
      <c r="Q8897" s="166">
        <f>O8897*K8897</f>
        <v>53812.249559999997</v>
      </c>
      <c r="R8897" s="71"/>
    </row>
    <row r="8898" spans="1:41" s="109" customFormat="1" x14ac:dyDescent="0.25">
      <c r="A8898" s="358"/>
      <c r="B8898" s="361"/>
      <c r="C8898" s="218" t="s">
        <v>328</v>
      </c>
      <c r="D8898" s="240"/>
      <c r="E8898" s="240"/>
      <c r="F8898" s="240"/>
      <c r="G8898" s="227"/>
      <c r="H8898" s="241"/>
      <c r="I8898" s="206"/>
      <c r="J8898" s="228"/>
      <c r="K8898" s="207"/>
      <c r="L8898" s="257"/>
      <c r="M8898" s="209"/>
      <c r="N8898" s="281"/>
      <c r="O8898" s="279">
        <f>O8897+O8896</f>
        <v>0.34309200000000001</v>
      </c>
      <c r="P8898" s="267"/>
      <c r="Q8898" s="166"/>
      <c r="R8898" s="71"/>
      <c r="S8898" s="62"/>
      <c r="T8898" s="62"/>
      <c r="U8898" s="62"/>
      <c r="V8898" s="62"/>
      <c r="W8898" s="62"/>
      <c r="X8898" s="62"/>
      <c r="Y8898" s="62"/>
      <c r="Z8898" s="62"/>
      <c r="AA8898" s="62"/>
      <c r="AB8898" s="62"/>
      <c r="AC8898" s="62"/>
      <c r="AD8898" s="62"/>
      <c r="AE8898" s="62"/>
      <c r="AF8898" s="62"/>
      <c r="AG8898" s="62"/>
      <c r="AH8898" s="62"/>
      <c r="AI8898" s="62"/>
      <c r="AJ8898" s="62"/>
      <c r="AK8898" s="62"/>
      <c r="AL8898" s="62"/>
      <c r="AM8898" s="62"/>
      <c r="AN8898" s="62"/>
      <c r="AO8898" s="62"/>
    </row>
    <row r="8899" spans="1:41" s="61" customFormat="1" x14ac:dyDescent="0.25">
      <c r="A8899" s="358"/>
      <c r="B8899" s="361"/>
      <c r="C8899" s="364" t="s">
        <v>80</v>
      </c>
      <c r="D8899" s="156" t="s">
        <v>38</v>
      </c>
      <c r="E8899" s="156" t="s">
        <v>57</v>
      </c>
      <c r="F8899" s="156" t="s">
        <v>228</v>
      </c>
      <c r="G8899" s="238">
        <f>MROUND(H8899*L8899*I8899/K8899,0.0000000000001)</f>
        <v>9.3392971200000009E-5</v>
      </c>
      <c r="H8899" s="158">
        <f>Лист1!G335</f>
        <v>8</v>
      </c>
      <c r="I8899" s="159">
        <f>I8896</f>
        <v>0.16442999999999999</v>
      </c>
      <c r="J8899" s="160"/>
      <c r="K8899" s="161">
        <f>K8896</f>
        <v>169020</v>
      </c>
      <c r="L8899" s="250">
        <v>12</v>
      </c>
      <c r="M8899" s="163" t="str">
        <f>CONCATENATE(H8899," ",F8899,"*",L8899,"мес.","*",I8899,"/",K8899,"чел/час")</f>
        <v>8 зданий*12мес.*0,16443/169020чел/час</v>
      </c>
      <c r="N8899" s="278">
        <f>Лист1!I335</f>
        <v>5107.0063541666668</v>
      </c>
      <c r="O8899" s="280">
        <f t="shared" ref="O8899:O8906" si="2583">MROUND(N8899*G8899,0.000001)</f>
        <v>0.47695799999999999</v>
      </c>
      <c r="P8899" s="166"/>
      <c r="Q8899" s="166">
        <f t="shared" ref="Q8899:Q8910" si="2584">O8899*K8899</f>
        <v>80615.441160000002</v>
      </c>
      <c r="R8899" s="71"/>
      <c r="S8899" s="71"/>
    </row>
    <row r="8900" spans="1:41" s="61" customFormat="1" x14ac:dyDescent="0.25">
      <c r="A8900" s="358"/>
      <c r="B8900" s="361"/>
      <c r="C8900" s="364"/>
      <c r="D8900" s="156" t="s">
        <v>256</v>
      </c>
      <c r="E8900" s="156" t="s">
        <v>20</v>
      </c>
      <c r="F8900" s="156" t="s">
        <v>20</v>
      </c>
      <c r="G8900" s="238">
        <f>MROUND(H8900*L8900*I8900/K8900,0.0000000000001)</f>
        <v>1.8192172519999999E-4</v>
      </c>
      <c r="H8900" s="158">
        <f>Лист1!G352</f>
        <v>187</v>
      </c>
      <c r="I8900" s="159">
        <f>I8897</f>
        <v>0.16442999999999999</v>
      </c>
      <c r="J8900" s="160"/>
      <c r="K8900" s="161">
        <f>K8897</f>
        <v>169020</v>
      </c>
      <c r="L8900" s="250">
        <v>1</v>
      </c>
      <c r="M8900" s="163" t="str">
        <f t="shared" ref="M8900:M8907" si="2585">CONCATENATE(H8900," ",F8900,"*",I8900,"/",K8900,"чел/час")</f>
        <v>187 чел.*0,16443/169020чел/час</v>
      </c>
      <c r="N8900" s="278">
        <f>Лист1!I352</f>
        <v>2015.7675401069516</v>
      </c>
      <c r="O8900" s="280">
        <f t="shared" si="2583"/>
        <v>0.36671199999999998</v>
      </c>
      <c r="P8900" s="166"/>
      <c r="Q8900" s="166">
        <f t="shared" si="2584"/>
        <v>61981.662239999998</v>
      </c>
      <c r="R8900" s="71"/>
    </row>
    <row r="8901" spans="1:41" s="61" customFormat="1" ht="63" x14ac:dyDescent="0.25">
      <c r="A8901" s="358"/>
      <c r="B8901" s="361"/>
      <c r="C8901" s="364"/>
      <c r="D8901" s="156" t="s">
        <v>39</v>
      </c>
      <c r="E8901" s="156" t="s">
        <v>20</v>
      </c>
      <c r="F8901" s="156" t="s">
        <v>234</v>
      </c>
      <c r="G8901" s="238">
        <f>MROUND(H8901*L8901*I8901/K8901,0.00000000001)</f>
        <v>8.755589999999999E-6</v>
      </c>
      <c r="H8901" s="158">
        <f>Лист1!G342</f>
        <v>9</v>
      </c>
      <c r="I8901" s="159">
        <f>I8899</f>
        <v>0.16442999999999999</v>
      </c>
      <c r="J8901" s="160"/>
      <c r="K8901" s="161">
        <f>K8899</f>
        <v>169020</v>
      </c>
      <c r="L8901" s="250">
        <v>1</v>
      </c>
      <c r="M8901" s="163" t="str">
        <f t="shared" si="2585"/>
        <v>9 чел(заявленная потребность руководителями учреждений)*0,16443/169020чел/час</v>
      </c>
      <c r="N8901" s="278">
        <f>Лист1!I342</f>
        <v>830.02333333333343</v>
      </c>
      <c r="O8901" s="280">
        <f t="shared" si="2583"/>
        <v>7.267E-3</v>
      </c>
      <c r="P8901" s="166"/>
      <c r="Q8901" s="166">
        <f t="shared" si="2584"/>
        <v>1228.2683400000001</v>
      </c>
      <c r="R8901" s="71"/>
      <c r="S8901" s="71"/>
    </row>
    <row r="8902" spans="1:41" s="61" customFormat="1" ht="63" x14ac:dyDescent="0.25">
      <c r="A8902" s="358"/>
      <c r="B8902" s="361"/>
      <c r="C8902" s="364"/>
      <c r="D8902" s="156" t="s">
        <v>40</v>
      </c>
      <c r="E8902" s="156" t="s">
        <v>20</v>
      </c>
      <c r="F8902" s="156" t="s">
        <v>234</v>
      </c>
      <c r="G8902" s="238">
        <f>MROUND(H8902*L8902*I8902/K8902,0.000000000001)</f>
        <v>1.2646965E-5</v>
      </c>
      <c r="H8902" s="158">
        <f>Лист1!G343</f>
        <v>13</v>
      </c>
      <c r="I8902" s="159">
        <f t="shared" ref="I8902:I8907" si="2586">I8901</f>
        <v>0.16442999999999999</v>
      </c>
      <c r="J8902" s="160"/>
      <c r="K8902" s="161">
        <f t="shared" ref="K8902:K8907" si="2587">K8901</f>
        <v>169020</v>
      </c>
      <c r="L8902" s="250">
        <v>1</v>
      </c>
      <c r="M8902" s="163" t="str">
        <f t="shared" si="2585"/>
        <v>13 чел(заявленная потребность руководителями учреждений)*0,16443/169020чел/час</v>
      </c>
      <c r="N8902" s="278">
        <f>Лист1!I343</f>
        <v>1778.6192307692306</v>
      </c>
      <c r="O8902" s="280">
        <f t="shared" si="2583"/>
        <v>2.2494E-2</v>
      </c>
      <c r="P8902" s="166"/>
      <c r="Q8902" s="166">
        <f t="shared" si="2584"/>
        <v>3801.93588</v>
      </c>
      <c r="R8902" s="71"/>
      <c r="T8902" s="71"/>
    </row>
    <row r="8903" spans="1:41" s="61" customFormat="1" ht="63" x14ac:dyDescent="0.25">
      <c r="A8903" s="358"/>
      <c r="B8903" s="361"/>
      <c r="C8903" s="364"/>
      <c r="D8903" s="156" t="s">
        <v>100</v>
      </c>
      <c r="E8903" s="156" t="s">
        <v>20</v>
      </c>
      <c r="F8903" s="156" t="s">
        <v>234</v>
      </c>
      <c r="G8903" s="238">
        <f>MROUND(H8903*L8903*I8903/K8903,0.0000000000001)</f>
        <v>6.8099041999999998E-6</v>
      </c>
      <c r="H8903" s="158">
        <f>Лист1!G344</f>
        <v>7</v>
      </c>
      <c r="I8903" s="159">
        <f t="shared" si="2586"/>
        <v>0.16442999999999999</v>
      </c>
      <c r="J8903" s="160"/>
      <c r="K8903" s="161">
        <f t="shared" si="2587"/>
        <v>169020</v>
      </c>
      <c r="L8903" s="250">
        <v>1</v>
      </c>
      <c r="M8903" s="163" t="str">
        <f t="shared" si="2585"/>
        <v>7 чел(заявленная потребность руководителями учреждений)*0,16443/169020чел/час</v>
      </c>
      <c r="N8903" s="278">
        <f>Лист1!I344</f>
        <v>3794.3871428571429</v>
      </c>
      <c r="O8903" s="280">
        <f t="shared" si="2583"/>
        <v>2.5838999999999997E-2</v>
      </c>
      <c r="P8903" s="166"/>
      <c r="Q8903" s="166">
        <f t="shared" si="2584"/>
        <v>4367.3077799999992</v>
      </c>
      <c r="R8903" s="71"/>
      <c r="T8903" s="71"/>
    </row>
    <row r="8904" spans="1:41" s="61" customFormat="1" ht="110.25" x14ac:dyDescent="0.25">
      <c r="A8904" s="358"/>
      <c r="B8904" s="361"/>
      <c r="C8904" s="364"/>
      <c r="D8904" s="156" t="s">
        <v>235</v>
      </c>
      <c r="E8904" s="156" t="s">
        <v>50</v>
      </c>
      <c r="F8904" s="156" t="s">
        <v>230</v>
      </c>
      <c r="G8904" s="238">
        <f>MROUND(H8904*L8904*I8904/K8904,0.0000000000001)</f>
        <v>4.8642173000000004E-6</v>
      </c>
      <c r="H8904" s="158">
        <f>Лист1!G345</f>
        <v>5</v>
      </c>
      <c r="I8904" s="159">
        <f t="shared" si="2586"/>
        <v>0.16442999999999999</v>
      </c>
      <c r="J8904" s="160"/>
      <c r="K8904" s="161">
        <f t="shared" si="2587"/>
        <v>169020</v>
      </c>
      <c r="L8904" s="250">
        <v>1</v>
      </c>
      <c r="M8904" s="163" t="str">
        <f t="shared" si="2585"/>
        <v>5 отчетов*0,16443/169020чел/час</v>
      </c>
      <c r="N8904" s="278">
        <f>Лист1!I345</f>
        <v>7114.4699999999993</v>
      </c>
      <c r="O8904" s="280">
        <f t="shared" si="2583"/>
        <v>3.4605999999999998E-2</v>
      </c>
      <c r="P8904" s="166"/>
      <c r="Q8904" s="166">
        <f t="shared" si="2584"/>
        <v>5849.1061199999995</v>
      </c>
      <c r="R8904" s="71"/>
      <c r="T8904" s="71"/>
    </row>
    <row r="8905" spans="1:41" s="61" customFormat="1" ht="63" x14ac:dyDescent="0.25">
      <c r="A8905" s="358"/>
      <c r="B8905" s="361"/>
      <c r="C8905" s="364"/>
      <c r="D8905" s="156" t="s">
        <v>42</v>
      </c>
      <c r="E8905" s="156" t="s">
        <v>51</v>
      </c>
      <c r="F8905" s="156" t="s">
        <v>407</v>
      </c>
      <c r="G8905" s="238">
        <f>MROUND(H8905*L8905*I8905/K8905,0.000000000001)</f>
        <v>2.5293930000000001E-5</v>
      </c>
      <c r="H8905" s="158">
        <f>Лист1!G349</f>
        <v>26</v>
      </c>
      <c r="I8905" s="159">
        <f t="shared" si="2586"/>
        <v>0.16442999999999999</v>
      </c>
      <c r="J8905" s="160"/>
      <c r="K8905" s="161">
        <f t="shared" si="2587"/>
        <v>169020</v>
      </c>
      <c r="L8905" s="250">
        <v>1</v>
      </c>
      <c r="M8905" s="163" t="str">
        <f t="shared" si="2585"/>
        <v>26 ед (заявленная потребность руководителями учреждений)*0,16443/169020чел/час</v>
      </c>
      <c r="N8905" s="278">
        <f>Лист1!I349</f>
        <v>1185.7457692307694</v>
      </c>
      <c r="O8905" s="280">
        <f t="shared" si="2583"/>
        <v>2.9991999999999998E-2</v>
      </c>
      <c r="P8905" s="166"/>
      <c r="Q8905" s="166">
        <f t="shared" si="2584"/>
        <v>5069.24784</v>
      </c>
      <c r="R8905" s="71"/>
      <c r="T8905" s="71"/>
    </row>
    <row r="8906" spans="1:41" s="61" customFormat="1" ht="31.5" x14ac:dyDescent="0.25">
      <c r="A8906" s="358"/>
      <c r="B8906" s="361"/>
      <c r="C8906" s="364"/>
      <c r="D8906" s="156" t="s">
        <v>43</v>
      </c>
      <c r="E8906" s="156" t="s">
        <v>52</v>
      </c>
      <c r="F8906" s="156" t="s">
        <v>231</v>
      </c>
      <c r="G8906" s="238">
        <f>MROUND(H8906*L8906*I8906/K8906,0.000000000001)</f>
        <v>4.8642169999999998E-6</v>
      </c>
      <c r="H8906" s="158">
        <f>Лист1!G350</f>
        <v>5</v>
      </c>
      <c r="I8906" s="159">
        <f t="shared" si="2586"/>
        <v>0.16442999999999999</v>
      </c>
      <c r="J8906" s="160"/>
      <c r="K8906" s="161">
        <f t="shared" si="2587"/>
        <v>169020</v>
      </c>
      <c r="L8906" s="250">
        <v>1</v>
      </c>
      <c r="M8906" s="163" t="str">
        <f t="shared" si="2585"/>
        <v>5 ЭЦП*0,16443/169020чел/час</v>
      </c>
      <c r="N8906" s="278">
        <f>Лист1!I350</f>
        <v>8423.5400000000009</v>
      </c>
      <c r="O8906" s="280">
        <f t="shared" si="2583"/>
        <v>4.0973999999999997E-2</v>
      </c>
      <c r="P8906" s="166"/>
      <c r="Q8906" s="166">
        <f t="shared" si="2584"/>
        <v>6925.425479999999</v>
      </c>
      <c r="R8906" s="71"/>
      <c r="S8906" s="71"/>
    </row>
    <row r="8907" spans="1:41" s="61" customFormat="1" x14ac:dyDescent="0.25">
      <c r="A8907" s="358"/>
      <c r="B8907" s="361"/>
      <c r="C8907" s="364"/>
      <c r="D8907" s="156" t="s">
        <v>373</v>
      </c>
      <c r="E8907" s="156" t="s">
        <v>28</v>
      </c>
      <c r="F8907" s="156" t="s">
        <v>28</v>
      </c>
      <c r="G8907" s="238">
        <f>MROUND(H8907*L8907*I8907/K8907,0.0000000000001)</f>
        <v>4.8642173000000004E-6</v>
      </c>
      <c r="H8907" s="158">
        <f>Лист1!G336</f>
        <v>5</v>
      </c>
      <c r="I8907" s="159">
        <f t="shared" si="2586"/>
        <v>0.16442999999999999</v>
      </c>
      <c r="J8907" s="160"/>
      <c r="K8907" s="161">
        <f t="shared" si="2587"/>
        <v>169020</v>
      </c>
      <c r="L8907" s="250">
        <v>1</v>
      </c>
      <c r="M8907" s="163" t="str">
        <f t="shared" si="2585"/>
        <v>5 шт*0,16443/169020чел/час</v>
      </c>
      <c r="N8907" s="278">
        <f>Лист1!I336</f>
        <v>24000</v>
      </c>
      <c r="O8907" s="280">
        <f>MROUND(N8907*G8907,0.000001)</f>
        <v>0.116741</v>
      </c>
      <c r="P8907" s="166"/>
      <c r="Q8907" s="166">
        <f t="shared" si="2584"/>
        <v>19731.563819999999</v>
      </c>
      <c r="R8907" s="71"/>
    </row>
    <row r="8908" spans="1:41" s="61" customFormat="1" ht="63" x14ac:dyDescent="0.25">
      <c r="A8908" s="358"/>
      <c r="B8908" s="361"/>
      <c r="C8908" s="364"/>
      <c r="D8908" s="156" t="s">
        <v>45</v>
      </c>
      <c r="E8908" s="156" t="s">
        <v>53</v>
      </c>
      <c r="F8908" s="156" t="s">
        <v>257</v>
      </c>
      <c r="G8908" s="238">
        <f>MROUND(H8908*L8908*I8908/K8908,0.00000000001)</f>
        <v>1.1674119999999999E-5</v>
      </c>
      <c r="H8908" s="158">
        <f>Лист1!G353</f>
        <v>1</v>
      </c>
      <c r="I8908" s="159">
        <f>I8906</f>
        <v>0.16442999999999999</v>
      </c>
      <c r="J8908" s="160"/>
      <c r="K8908" s="161">
        <f>K8906</f>
        <v>169020</v>
      </c>
      <c r="L8908" s="250">
        <v>12</v>
      </c>
      <c r="M8908" s="163" t="str">
        <f>CONCATENATE(H8908," ",F8908,"*",L8908,"мес.","*",I8908,"/",K8908,"чел/час")</f>
        <v>1  машина, оборудованная системой ГЛОНАСС*12мес.*0,16443/169020чел/час</v>
      </c>
      <c r="N8908" s="278">
        <f>Лист1!I353</f>
        <v>958.08249999999998</v>
      </c>
      <c r="O8908" s="280">
        <f t="shared" ref="O8908:O8910" si="2588">MROUND(N8908*G8908,0.000001)</f>
        <v>1.1184999999999999E-2</v>
      </c>
      <c r="P8908" s="166"/>
      <c r="Q8908" s="166">
        <f t="shared" si="2584"/>
        <v>1890.4886999999999</v>
      </c>
      <c r="R8908" s="71"/>
      <c r="S8908" s="71"/>
    </row>
    <row r="8909" spans="1:41" s="136" customFormat="1" ht="47.25" x14ac:dyDescent="0.25">
      <c r="A8909" s="375"/>
      <c r="B8909" s="361"/>
      <c r="C8909" s="364"/>
      <c r="D8909" s="156" t="s">
        <v>44</v>
      </c>
      <c r="E8909" s="156" t="s">
        <v>85</v>
      </c>
      <c r="F8909" s="156" t="s">
        <v>232</v>
      </c>
      <c r="G8909" s="238">
        <f>MROUND(H8909*L8909*I8909/K8909,0.00000000001)</f>
        <v>2.9574441000000001E-4</v>
      </c>
      <c r="H8909" s="158">
        <f>Лист1!G351</f>
        <v>304</v>
      </c>
      <c r="I8909" s="159">
        <f>I8908</f>
        <v>0.16442999999999999</v>
      </c>
      <c r="J8909" s="160"/>
      <c r="K8909" s="161">
        <f>K8908</f>
        <v>169020</v>
      </c>
      <c r="L8909" s="250">
        <v>1</v>
      </c>
      <c r="M8909" s="163" t="str">
        <f>CONCATENATE(H8909," ",F8909,"*",L8909,"мес.","*",I8909,"/",K8909,"чел.")</f>
        <v>304 мед.осмотров в мес.*1мес.*0,16443/169020чел.</v>
      </c>
      <c r="N8909" s="278">
        <f>Лист1!I351</f>
        <v>54.392006578947374</v>
      </c>
      <c r="O8909" s="280">
        <f t="shared" si="2588"/>
        <v>1.6086E-2</v>
      </c>
      <c r="P8909" s="166"/>
      <c r="Q8909" s="166">
        <f t="shared" si="2584"/>
        <v>2718.85572</v>
      </c>
      <c r="R8909" s="71"/>
      <c r="S8909" s="71"/>
      <c r="T8909" s="61"/>
      <c r="U8909" s="61"/>
      <c r="V8909" s="61"/>
      <c r="W8909" s="61"/>
      <c r="X8909" s="61"/>
      <c r="Y8909" s="61"/>
      <c r="Z8909" s="61"/>
      <c r="AA8909" s="61"/>
      <c r="AB8909" s="61"/>
      <c r="AC8909" s="61"/>
      <c r="AD8909" s="61"/>
      <c r="AE8909" s="61"/>
      <c r="AF8909" s="61"/>
      <c r="AG8909" s="61"/>
      <c r="AH8909" s="61"/>
      <c r="AI8909" s="61"/>
      <c r="AJ8909" s="61"/>
      <c r="AK8909" s="61"/>
      <c r="AL8909" s="61"/>
      <c r="AM8909" s="61"/>
      <c r="AN8909" s="61"/>
      <c r="AO8909" s="61"/>
    </row>
    <row r="8910" spans="1:41" s="61" customFormat="1" ht="31.5" x14ac:dyDescent="0.25">
      <c r="A8910" s="358"/>
      <c r="B8910" s="361"/>
      <c r="C8910" s="364"/>
      <c r="D8910" s="156" t="s">
        <v>408</v>
      </c>
      <c r="E8910" s="156" t="s">
        <v>20</v>
      </c>
      <c r="F8910" s="156" t="s">
        <v>20</v>
      </c>
      <c r="G8910" s="238">
        <f>MROUND(H8910*L8910*I8910/K8910,0.000000000001)</f>
        <v>0</v>
      </c>
      <c r="H8910" s="158"/>
      <c r="I8910" s="159">
        <f>I8908</f>
        <v>0.16442999999999999</v>
      </c>
      <c r="J8910" s="160"/>
      <c r="K8910" s="161">
        <f>K8908</f>
        <v>169020</v>
      </c>
      <c r="L8910" s="250">
        <v>1</v>
      </c>
      <c r="M8910" s="163"/>
      <c r="N8910" s="278"/>
      <c r="O8910" s="280">
        <f t="shared" si="2588"/>
        <v>0</v>
      </c>
      <c r="P8910" s="166"/>
      <c r="Q8910" s="166">
        <f t="shared" si="2584"/>
        <v>0</v>
      </c>
      <c r="R8910" s="71"/>
      <c r="T8910" s="71"/>
    </row>
    <row r="8911" spans="1:41" s="109" customFormat="1" x14ac:dyDescent="0.25">
      <c r="A8911" s="358"/>
      <c r="B8911" s="361"/>
      <c r="C8911" s="245" t="s">
        <v>329</v>
      </c>
      <c r="D8911" s="240"/>
      <c r="E8911" s="240"/>
      <c r="F8911" s="240"/>
      <c r="G8911" s="227"/>
      <c r="H8911" s="241"/>
      <c r="I8911" s="206"/>
      <c r="J8911" s="228"/>
      <c r="K8911" s="207"/>
      <c r="L8911" s="257"/>
      <c r="M8911" s="209"/>
      <c r="N8911" s="281"/>
      <c r="O8911" s="279">
        <f>SUM(O8899:O8910)</f>
        <v>1.148854</v>
      </c>
      <c r="P8911" s="267"/>
      <c r="Q8911" s="166"/>
      <c r="R8911" s="71"/>
      <c r="S8911" s="62"/>
      <c r="T8911" s="62"/>
      <c r="U8911" s="62"/>
      <c r="V8911" s="62"/>
      <c r="W8911" s="62"/>
      <c r="X8911" s="62"/>
      <c r="Y8911" s="62"/>
      <c r="Z8911" s="62"/>
      <c r="AA8911" s="62"/>
      <c r="AB8911" s="62"/>
      <c r="AC8911" s="62"/>
      <c r="AD8911" s="62"/>
      <c r="AE8911" s="62"/>
      <c r="AF8911" s="62"/>
      <c r="AG8911" s="62"/>
      <c r="AH8911" s="62"/>
      <c r="AI8911" s="62"/>
      <c r="AJ8911" s="62"/>
      <c r="AK8911" s="62"/>
      <c r="AL8911" s="62"/>
      <c r="AM8911" s="62"/>
      <c r="AN8911" s="62"/>
      <c r="AO8911" s="62"/>
    </row>
    <row r="8912" spans="1:41" s="61" customFormat="1" ht="31.5" x14ac:dyDescent="0.25">
      <c r="A8912" s="358"/>
      <c r="B8912" s="361"/>
      <c r="C8912" s="252" t="s">
        <v>237</v>
      </c>
      <c r="D8912" s="156" t="s">
        <v>41</v>
      </c>
      <c r="E8912" s="156" t="s">
        <v>61</v>
      </c>
      <c r="F8912" s="156" t="s">
        <v>254</v>
      </c>
      <c r="G8912" s="238">
        <f>MROUND(H8912*L8912*I8912/K8912,0.000000000001)</f>
        <v>9.7284299999999995E-7</v>
      </c>
      <c r="H8912" s="158">
        <f>Лист1!G355</f>
        <v>1</v>
      </c>
      <c r="I8912" s="159">
        <f>I8910</f>
        <v>0.16442999999999999</v>
      </c>
      <c r="J8912" s="160"/>
      <c r="K8912" s="161">
        <f>K8910</f>
        <v>169020</v>
      </c>
      <c r="L8912" s="250">
        <v>1</v>
      </c>
      <c r="M8912" s="163" t="str">
        <f>CONCATENATE(H8912," ",F8912,"*",I8912,"/",K8912,"чел/час")</f>
        <v>1 автобус*0,16443/169020чел/час</v>
      </c>
      <c r="N8912" s="278">
        <f>Лист1!I355</f>
        <v>27983.599999999999</v>
      </c>
      <c r="O8912" s="280">
        <f t="shared" ref="O8912:O8919" si="2589">MROUND(N8912*G8912,0.000001)</f>
        <v>2.7223999999999998E-2</v>
      </c>
      <c r="P8912" s="166"/>
      <c r="Q8912" s="166">
        <f t="shared" ref="Q8912:Q8923" si="2590">O8912*K8912</f>
        <v>4601.4004799999993</v>
      </c>
      <c r="R8912" s="71"/>
      <c r="S8912" s="71"/>
    </row>
    <row r="8913" spans="1:20" s="61" customFormat="1" ht="78.75" x14ac:dyDescent="0.25">
      <c r="A8913" s="358"/>
      <c r="B8913" s="361"/>
      <c r="C8913" s="221" t="s">
        <v>236</v>
      </c>
      <c r="D8913" s="156" t="s">
        <v>19</v>
      </c>
      <c r="E8913" s="181" t="s">
        <v>20</v>
      </c>
      <c r="F8913" s="181" t="s">
        <v>238</v>
      </c>
      <c r="G8913" s="238">
        <f>MROUND(H8913*L8913*I8913/K8913,0.000000000001)</f>
        <v>0</v>
      </c>
      <c r="H8913" s="158"/>
      <c r="I8913" s="159">
        <f>I8910</f>
        <v>0.16442999999999999</v>
      </c>
      <c r="J8913" s="160"/>
      <c r="K8913" s="161">
        <f>K8910</f>
        <v>169020</v>
      </c>
      <c r="L8913" s="250"/>
      <c r="M8913" s="163"/>
      <c r="N8913" s="278"/>
      <c r="O8913" s="280">
        <f t="shared" si="2589"/>
        <v>0</v>
      </c>
      <c r="P8913" s="166"/>
      <c r="Q8913" s="166">
        <f t="shared" si="2590"/>
        <v>0</v>
      </c>
      <c r="R8913" s="71"/>
      <c r="T8913" s="71"/>
    </row>
    <row r="8914" spans="1:20" s="61" customFormat="1" ht="31.5" x14ac:dyDescent="0.25">
      <c r="A8914" s="358"/>
      <c r="B8914" s="361"/>
      <c r="C8914" s="372" t="s">
        <v>81</v>
      </c>
      <c r="D8914" s="156" t="s">
        <v>419</v>
      </c>
      <c r="E8914" s="156" t="s">
        <v>28</v>
      </c>
      <c r="F8914" s="156" t="s">
        <v>439</v>
      </c>
      <c r="G8914" s="238">
        <f>MROUND(H8914*L8914*I8914/K8914,0.00000000001)</f>
        <v>0</v>
      </c>
      <c r="H8914" s="158"/>
      <c r="I8914" s="159">
        <f>I8913</f>
        <v>0.16442999999999999</v>
      </c>
      <c r="J8914" s="160"/>
      <c r="K8914" s="161">
        <f>K8913</f>
        <v>169020</v>
      </c>
      <c r="L8914" s="250">
        <v>1</v>
      </c>
      <c r="M8914" s="163"/>
      <c r="N8914" s="278"/>
      <c r="O8914" s="280">
        <f t="shared" si="2589"/>
        <v>0</v>
      </c>
      <c r="P8914" s="166"/>
      <c r="Q8914" s="166">
        <f t="shared" si="2590"/>
        <v>0</v>
      </c>
      <c r="R8914" s="71"/>
      <c r="T8914" s="71"/>
    </row>
    <row r="8915" spans="1:20" s="61" customFormat="1" ht="31.5" x14ac:dyDescent="0.25">
      <c r="A8915" s="358"/>
      <c r="B8915" s="361"/>
      <c r="C8915" s="373"/>
      <c r="D8915" s="156" t="s">
        <v>425</v>
      </c>
      <c r="E8915" s="156" t="s">
        <v>28</v>
      </c>
      <c r="F8915" s="156" t="s">
        <v>439</v>
      </c>
      <c r="G8915" s="238">
        <f>MROUND(H8915*L8915*I8915/K8915,0.00000000001)</f>
        <v>0</v>
      </c>
      <c r="H8915" s="158"/>
      <c r="I8915" s="159">
        <f t="shared" ref="I8915:I8923" si="2591">I8914</f>
        <v>0.16442999999999999</v>
      </c>
      <c r="J8915" s="160"/>
      <c r="K8915" s="161">
        <f t="shared" ref="K8915:K8923" si="2592">K8914</f>
        <v>169020</v>
      </c>
      <c r="L8915" s="250">
        <v>1</v>
      </c>
      <c r="M8915" s="163"/>
      <c r="N8915" s="278"/>
      <c r="O8915" s="280">
        <f t="shared" si="2589"/>
        <v>0</v>
      </c>
      <c r="P8915" s="166"/>
      <c r="Q8915" s="166">
        <f t="shared" si="2590"/>
        <v>0</v>
      </c>
      <c r="R8915" s="71"/>
      <c r="T8915" s="71"/>
    </row>
    <row r="8916" spans="1:20" s="61" customFormat="1" ht="31.5" x14ac:dyDescent="0.25">
      <c r="A8916" s="358"/>
      <c r="B8916" s="361"/>
      <c r="C8916" s="373"/>
      <c r="D8916" s="156" t="s">
        <v>426</v>
      </c>
      <c r="E8916" s="156" t="s">
        <v>28</v>
      </c>
      <c r="F8916" s="156" t="s">
        <v>439</v>
      </c>
      <c r="G8916" s="238">
        <f>MROUND(H8916*L8916*I8916/K8916,0.00000000000001)</f>
        <v>0</v>
      </c>
      <c r="H8916" s="158"/>
      <c r="I8916" s="159">
        <f t="shared" si="2591"/>
        <v>0.16442999999999999</v>
      </c>
      <c r="J8916" s="160"/>
      <c r="K8916" s="161">
        <f t="shared" si="2592"/>
        <v>169020</v>
      </c>
      <c r="L8916" s="250">
        <v>1</v>
      </c>
      <c r="M8916" s="163"/>
      <c r="N8916" s="278"/>
      <c r="O8916" s="280">
        <f t="shared" si="2589"/>
        <v>0</v>
      </c>
      <c r="P8916" s="166"/>
      <c r="Q8916" s="166">
        <f t="shared" si="2590"/>
        <v>0</v>
      </c>
      <c r="R8916" s="71"/>
      <c r="T8916" s="71"/>
    </row>
    <row r="8917" spans="1:20" s="61" customFormat="1" ht="31.5" x14ac:dyDescent="0.25">
      <c r="A8917" s="358"/>
      <c r="B8917" s="361"/>
      <c r="C8917" s="373"/>
      <c r="D8917" s="156" t="s">
        <v>427</v>
      </c>
      <c r="E8917" s="156" t="s">
        <v>28</v>
      </c>
      <c r="F8917" s="156" t="s">
        <v>439</v>
      </c>
      <c r="G8917" s="238">
        <f>MROUND(H8917*L8917*I8917/K8917,0.000000000000001)</f>
        <v>0</v>
      </c>
      <c r="H8917" s="158"/>
      <c r="I8917" s="159">
        <f t="shared" si="2591"/>
        <v>0.16442999999999999</v>
      </c>
      <c r="J8917" s="160"/>
      <c r="K8917" s="161">
        <f t="shared" si="2592"/>
        <v>169020</v>
      </c>
      <c r="L8917" s="250">
        <v>1</v>
      </c>
      <c r="M8917" s="163"/>
      <c r="N8917" s="278"/>
      <c r="O8917" s="280">
        <f t="shared" si="2589"/>
        <v>0</v>
      </c>
      <c r="P8917" s="166"/>
      <c r="Q8917" s="166">
        <f t="shared" si="2590"/>
        <v>0</v>
      </c>
      <c r="R8917" s="71"/>
      <c r="T8917" s="71"/>
    </row>
    <row r="8918" spans="1:20" s="61" customFormat="1" ht="31.5" x14ac:dyDescent="0.25">
      <c r="A8918" s="358"/>
      <c r="B8918" s="361"/>
      <c r="C8918" s="373"/>
      <c r="D8918" s="156" t="s">
        <v>428</v>
      </c>
      <c r="E8918" s="156" t="s">
        <v>28</v>
      </c>
      <c r="F8918" s="156" t="s">
        <v>439</v>
      </c>
      <c r="G8918" s="238">
        <f>MROUND(H8918*L8918*I8918/K8918,0.00000000001)</f>
        <v>0</v>
      </c>
      <c r="H8918" s="158"/>
      <c r="I8918" s="159">
        <f t="shared" si="2591"/>
        <v>0.16442999999999999</v>
      </c>
      <c r="J8918" s="160"/>
      <c r="K8918" s="161">
        <f t="shared" si="2592"/>
        <v>169020</v>
      </c>
      <c r="L8918" s="250">
        <v>1</v>
      </c>
      <c r="M8918" s="163"/>
      <c r="N8918" s="278"/>
      <c r="O8918" s="280">
        <f t="shared" si="2589"/>
        <v>0</v>
      </c>
      <c r="P8918" s="166"/>
      <c r="Q8918" s="166">
        <f t="shared" si="2590"/>
        <v>0</v>
      </c>
      <c r="R8918" s="71"/>
      <c r="T8918" s="71"/>
    </row>
    <row r="8919" spans="1:20" s="61" customFormat="1" ht="31.5" x14ac:dyDescent="0.25">
      <c r="A8919" s="358"/>
      <c r="B8919" s="361"/>
      <c r="C8919" s="373"/>
      <c r="D8919" s="156" t="s">
        <v>429</v>
      </c>
      <c r="E8919" s="156" t="s">
        <v>28</v>
      </c>
      <c r="F8919" s="156" t="s">
        <v>439</v>
      </c>
      <c r="G8919" s="238">
        <f>MROUND(H8919*L8919*I8919/K8919,0.00000000001)</f>
        <v>0</v>
      </c>
      <c r="H8919" s="158"/>
      <c r="I8919" s="159">
        <f t="shared" si="2591"/>
        <v>0.16442999999999999</v>
      </c>
      <c r="J8919" s="160"/>
      <c r="K8919" s="161">
        <f t="shared" si="2592"/>
        <v>169020</v>
      </c>
      <c r="L8919" s="250">
        <v>1</v>
      </c>
      <c r="M8919" s="163"/>
      <c r="N8919" s="278"/>
      <c r="O8919" s="280">
        <f t="shared" si="2589"/>
        <v>0</v>
      </c>
      <c r="P8919" s="166"/>
      <c r="Q8919" s="166">
        <f t="shared" si="2590"/>
        <v>0</v>
      </c>
      <c r="R8919" s="71"/>
      <c r="T8919" s="71"/>
    </row>
    <row r="8920" spans="1:20" s="61" customFormat="1" ht="31.5" x14ac:dyDescent="0.25">
      <c r="A8920" s="358"/>
      <c r="B8920" s="361"/>
      <c r="C8920" s="373"/>
      <c r="D8920" s="156" t="s">
        <v>110</v>
      </c>
      <c r="E8920" s="156" t="s">
        <v>28</v>
      </c>
      <c r="F8920" s="156" t="s">
        <v>439</v>
      </c>
      <c r="G8920" s="238">
        <f>MROUND(H8920*L8920*I8920/K8920,0.000000000001)</f>
        <v>0</v>
      </c>
      <c r="H8920" s="158"/>
      <c r="I8920" s="159">
        <f t="shared" si="2591"/>
        <v>0.16442999999999999</v>
      </c>
      <c r="J8920" s="160"/>
      <c r="K8920" s="161">
        <f t="shared" si="2592"/>
        <v>169020</v>
      </c>
      <c r="L8920" s="250">
        <v>1</v>
      </c>
      <c r="M8920" s="163"/>
      <c r="N8920" s="278"/>
      <c r="O8920" s="280">
        <f>MROUND(N8920*G8920,0.0000000000001)</f>
        <v>0</v>
      </c>
      <c r="P8920" s="166"/>
      <c r="Q8920" s="166">
        <f t="shared" si="2590"/>
        <v>0</v>
      </c>
      <c r="R8920" s="71"/>
      <c r="T8920" s="71"/>
    </row>
    <row r="8921" spans="1:20" s="61" customFormat="1" ht="31.5" x14ac:dyDescent="0.25">
      <c r="A8921" s="358"/>
      <c r="B8921" s="361"/>
      <c r="C8921" s="373"/>
      <c r="D8921" s="156" t="s">
        <v>112</v>
      </c>
      <c r="E8921" s="156" t="s">
        <v>28</v>
      </c>
      <c r="F8921" s="156" t="s">
        <v>439</v>
      </c>
      <c r="G8921" s="238">
        <f>MROUND(H8921*L8921*I8921/K8921,0.00000000001)</f>
        <v>0</v>
      </c>
      <c r="H8921" s="158"/>
      <c r="I8921" s="159">
        <f t="shared" si="2591"/>
        <v>0.16442999999999999</v>
      </c>
      <c r="J8921" s="160"/>
      <c r="K8921" s="161">
        <f t="shared" si="2592"/>
        <v>169020</v>
      </c>
      <c r="L8921" s="250">
        <v>1</v>
      </c>
      <c r="M8921" s="163"/>
      <c r="N8921" s="278"/>
      <c r="O8921" s="280">
        <f t="shared" ref="O8921:O8923" si="2593">MROUND(N8921*G8921,0.000001)</f>
        <v>0</v>
      </c>
      <c r="P8921" s="166"/>
      <c r="Q8921" s="166">
        <f t="shared" si="2590"/>
        <v>0</v>
      </c>
      <c r="R8921" s="71"/>
      <c r="T8921" s="71"/>
    </row>
    <row r="8922" spans="1:20" s="61" customFormat="1" ht="31.5" x14ac:dyDescent="0.25">
      <c r="A8922" s="358"/>
      <c r="B8922" s="361"/>
      <c r="C8922" s="373"/>
      <c r="D8922" s="156" t="s">
        <v>111</v>
      </c>
      <c r="E8922" s="156" t="s">
        <v>28</v>
      </c>
      <c r="F8922" s="156" t="s">
        <v>439</v>
      </c>
      <c r="G8922" s="238">
        <f>MROUND(H8922*L8922*I8922/K8922,0.00000000001)</f>
        <v>0</v>
      </c>
      <c r="H8922" s="158"/>
      <c r="I8922" s="159">
        <f t="shared" si="2591"/>
        <v>0.16442999999999999</v>
      </c>
      <c r="J8922" s="160"/>
      <c r="K8922" s="161">
        <f t="shared" si="2592"/>
        <v>169020</v>
      </c>
      <c r="L8922" s="250">
        <v>1</v>
      </c>
      <c r="M8922" s="163"/>
      <c r="N8922" s="278"/>
      <c r="O8922" s="280">
        <f t="shared" si="2593"/>
        <v>0</v>
      </c>
      <c r="P8922" s="166"/>
      <c r="Q8922" s="166">
        <f t="shared" si="2590"/>
        <v>0</v>
      </c>
      <c r="R8922" s="71"/>
      <c r="T8922" s="71"/>
    </row>
    <row r="8923" spans="1:20" s="61" customFormat="1" ht="31.5" x14ac:dyDescent="0.25">
      <c r="A8923" s="358"/>
      <c r="B8923" s="361"/>
      <c r="C8923" s="374"/>
      <c r="D8923" s="156" t="s">
        <v>438</v>
      </c>
      <c r="E8923" s="156" t="s">
        <v>28</v>
      </c>
      <c r="F8923" s="156" t="s">
        <v>439</v>
      </c>
      <c r="G8923" s="238">
        <f>MROUND(H8923*L8923*I8923/K8923,0.00000000001)</f>
        <v>0</v>
      </c>
      <c r="H8923" s="158"/>
      <c r="I8923" s="159">
        <f t="shared" si="2591"/>
        <v>0.16442999999999999</v>
      </c>
      <c r="J8923" s="160"/>
      <c r="K8923" s="161">
        <f t="shared" si="2592"/>
        <v>169020</v>
      </c>
      <c r="L8923" s="250">
        <v>1</v>
      </c>
      <c r="M8923" s="163"/>
      <c r="N8923" s="278"/>
      <c r="O8923" s="280">
        <f t="shared" si="2593"/>
        <v>0</v>
      </c>
      <c r="P8923" s="166"/>
      <c r="Q8923" s="166">
        <f t="shared" si="2590"/>
        <v>0</v>
      </c>
      <c r="R8923" s="71"/>
      <c r="T8923" s="71"/>
    </row>
    <row r="8924" spans="1:20" s="62" customFormat="1" x14ac:dyDescent="0.25">
      <c r="A8924" s="358"/>
      <c r="B8924" s="361"/>
      <c r="C8924" s="245" t="s">
        <v>299</v>
      </c>
      <c r="D8924" s="240"/>
      <c r="E8924" s="240"/>
      <c r="F8924" s="181"/>
      <c r="G8924" s="227"/>
      <c r="H8924" s="241"/>
      <c r="I8924" s="206"/>
      <c r="J8924" s="228"/>
      <c r="K8924" s="207"/>
      <c r="L8924" s="257"/>
      <c r="M8924" s="209"/>
      <c r="N8924" s="290"/>
      <c r="O8924" s="279">
        <f>SUM(O8912:O8923)</f>
        <v>2.7223999999999998E-2</v>
      </c>
      <c r="P8924" s="267"/>
      <c r="Q8924" s="267">
        <f>O8924*K8924</f>
        <v>0</v>
      </c>
      <c r="R8924" s="72"/>
    </row>
    <row r="8925" spans="1:20" s="61" customFormat="1" ht="47.25" x14ac:dyDescent="0.25">
      <c r="A8925" s="358"/>
      <c r="B8925" s="361"/>
      <c r="C8925" s="221" t="s">
        <v>434</v>
      </c>
      <c r="D8925" s="156" t="s">
        <v>436</v>
      </c>
      <c r="E8925" s="156" t="s">
        <v>28</v>
      </c>
      <c r="F8925" s="156" t="s">
        <v>437</v>
      </c>
      <c r="G8925" s="157">
        <f>MROUND(H8925*L8925*I8925/K8925,0.000000000001)</f>
        <v>0</v>
      </c>
      <c r="H8925" s="242"/>
      <c r="I8925" s="159">
        <f>I8923</f>
        <v>0.16442999999999999</v>
      </c>
      <c r="J8925" s="160"/>
      <c r="K8925" s="161">
        <f>K8923</f>
        <v>169020</v>
      </c>
      <c r="L8925" s="162"/>
      <c r="M8925" s="163"/>
      <c r="N8925" s="164"/>
      <c r="O8925" s="165">
        <f>MROUND(G8925*N8925,0.000001)</f>
        <v>0</v>
      </c>
      <c r="P8925" s="166"/>
      <c r="Q8925" s="166">
        <f>O8925*K8925</f>
        <v>0</v>
      </c>
      <c r="R8925" s="71"/>
    </row>
    <row r="8926" spans="1:20" s="61" customFormat="1" x14ac:dyDescent="0.25">
      <c r="A8926" s="358"/>
      <c r="B8926" s="361"/>
      <c r="C8926" s="218" t="s">
        <v>435</v>
      </c>
      <c r="D8926" s="240"/>
      <c r="E8926" s="240"/>
      <c r="F8926" s="240"/>
      <c r="G8926" s="251"/>
      <c r="H8926" s="241"/>
      <c r="I8926" s="206"/>
      <c r="J8926" s="228"/>
      <c r="K8926" s="207"/>
      <c r="L8926" s="229"/>
      <c r="M8926" s="209"/>
      <c r="N8926" s="210"/>
      <c r="O8926" s="198">
        <f>SUM(O8925)</f>
        <v>0</v>
      </c>
      <c r="P8926" s="166"/>
      <c r="Q8926" s="166"/>
      <c r="R8926" s="71"/>
    </row>
    <row r="8927" spans="1:20" s="61" customFormat="1" ht="110.25" x14ac:dyDescent="0.25">
      <c r="A8927" s="358"/>
      <c r="B8927" s="361"/>
      <c r="C8927" s="221" t="s">
        <v>82</v>
      </c>
      <c r="D8927" s="156" t="s">
        <v>46</v>
      </c>
      <c r="E8927" s="156" t="s">
        <v>54</v>
      </c>
      <c r="F8927" s="156" t="s">
        <v>285</v>
      </c>
      <c r="G8927" s="238">
        <f>MROUND(H8927*L8927*I8927/K8927,0.000000001)</f>
        <v>2.4450500000000003E-3</v>
      </c>
      <c r="H8927" s="158">
        <f>Лист1!G404</f>
        <v>228.48206225686181</v>
      </c>
      <c r="I8927" s="291">
        <f>I8913</f>
        <v>0.16442999999999999</v>
      </c>
      <c r="J8927" s="160"/>
      <c r="K8927" s="161">
        <f>K8913</f>
        <v>169020</v>
      </c>
      <c r="L8927" s="250">
        <v>11</v>
      </c>
      <c r="M8927" s="163" t="str">
        <f>CONCATENATE(H8927," ",F8927,"*",L8927,"автобус","*",I8927,"/",K8927,"чел/час")</f>
        <v>228,482062256862 л бензина АИ 92 (12,5л/день(зимой)*20дней*7мес+10л/день(летом)*20дней*4мес)*11автобус*0,16443/169020чел/час</v>
      </c>
      <c r="N8927" s="278">
        <f>Лист1!I404</f>
        <v>59.28728000000001</v>
      </c>
      <c r="O8927" s="280">
        <f t="shared" ref="O8927:O8929" si="2594">MROUND(N8927*G8927,0.000001)</f>
        <v>0.14496000000000001</v>
      </c>
      <c r="P8927" s="166"/>
      <c r="Q8927" s="166">
        <f>O8927*K8927</f>
        <v>24501.139200000001</v>
      </c>
      <c r="R8927" s="71"/>
    </row>
    <row r="8928" spans="1:20" s="61" customFormat="1" ht="47.25" x14ac:dyDescent="0.25">
      <c r="A8928" s="358"/>
      <c r="B8928" s="361"/>
      <c r="C8928" s="364" t="s">
        <v>118</v>
      </c>
      <c r="D8928" s="156" t="s">
        <v>47</v>
      </c>
      <c r="E8928" s="156" t="s">
        <v>28</v>
      </c>
      <c r="F8928" s="156" t="s">
        <v>239</v>
      </c>
      <c r="G8928" s="238">
        <f>MROUND(H8928*L8928*I8928/K8928,0.00000000001)</f>
        <v>1.9456869999999998E-5</v>
      </c>
      <c r="H8928" s="158">
        <f>Лист1!G406</f>
        <v>20</v>
      </c>
      <c r="I8928" s="159">
        <f>I8927</f>
        <v>0.16442999999999999</v>
      </c>
      <c r="J8928" s="160"/>
      <c r="K8928" s="161">
        <f>K8927</f>
        <v>169020</v>
      </c>
      <c r="L8928" s="250">
        <v>1</v>
      </c>
      <c r="M8928" s="163" t="str">
        <f>CONCATENATE(H8928," ",F8928,"*",I8928,"/",K8928,"чел/час")</f>
        <v>20 манометров (потребность учреждений) *0,16443/169020чел/час</v>
      </c>
      <c r="N8928" s="278">
        <f>Лист1!I406</f>
        <v>707.09500000000003</v>
      </c>
      <c r="O8928" s="280">
        <f t="shared" si="2594"/>
        <v>1.3757999999999999E-2</v>
      </c>
      <c r="P8928" s="166"/>
      <c r="Q8928" s="166">
        <f>O8928*K8928</f>
        <v>2325.37716</v>
      </c>
      <c r="R8928" s="71"/>
      <c r="T8928" s="71"/>
    </row>
    <row r="8929" spans="1:41" s="61" customFormat="1" ht="47.25" x14ac:dyDescent="0.25">
      <c r="A8929" s="358"/>
      <c r="B8929" s="361"/>
      <c r="C8929" s="364"/>
      <c r="D8929" s="255" t="s">
        <v>113</v>
      </c>
      <c r="E8929" s="156" t="s">
        <v>28</v>
      </c>
      <c r="F8929" s="156" t="s">
        <v>240</v>
      </c>
      <c r="G8929" s="238">
        <f>MROUND(H8929*L8929*I8929/K8929,0.00000000001)</f>
        <v>9.7284349999999996E-5</v>
      </c>
      <c r="H8929" s="158">
        <f>Лист1!G407</f>
        <v>100</v>
      </c>
      <c r="I8929" s="159">
        <f>I8928</f>
        <v>0.16442999999999999</v>
      </c>
      <c r="J8929" s="160"/>
      <c r="K8929" s="161">
        <f>K8928</f>
        <v>169020</v>
      </c>
      <c r="L8929" s="250">
        <v>1</v>
      </c>
      <c r="M8929" s="163" t="str">
        <f>CONCATENATE(H8929," ",F8929,"*",I8929,"/",K8929,"чел/час")</f>
        <v>100 светильников (потребность учреждений)*0,16443/169020чел/час</v>
      </c>
      <c r="N8929" s="278">
        <f>Лист1!I407</f>
        <v>115.61000000000001</v>
      </c>
      <c r="O8929" s="280">
        <f t="shared" si="2594"/>
        <v>1.1247E-2</v>
      </c>
      <c r="P8929" s="166"/>
      <c r="Q8929" s="166">
        <f>O8929*K8929</f>
        <v>1900.96794</v>
      </c>
      <c r="R8929" s="71"/>
    </row>
    <row r="8930" spans="1:41" s="109" customFormat="1" x14ac:dyDescent="0.25">
      <c r="A8930" s="359"/>
      <c r="B8930" s="362"/>
      <c r="C8930" s="218" t="s">
        <v>301</v>
      </c>
      <c r="D8930" s="256"/>
      <c r="E8930" s="240"/>
      <c r="F8930" s="240"/>
      <c r="G8930" s="227"/>
      <c r="H8930" s="241"/>
      <c r="I8930" s="206"/>
      <c r="J8930" s="228"/>
      <c r="K8930" s="207"/>
      <c r="L8930" s="257"/>
      <c r="M8930" s="209"/>
      <c r="N8930" s="281"/>
      <c r="O8930" s="279">
        <f>O8928+O8929</f>
        <v>2.5004999999999999E-2</v>
      </c>
      <c r="P8930" s="267"/>
      <c r="Q8930" s="166"/>
      <c r="R8930" s="71"/>
      <c r="S8930" s="62"/>
      <c r="T8930" s="62"/>
      <c r="U8930" s="62"/>
      <c r="V8930" s="62"/>
      <c r="W8930" s="62"/>
      <c r="X8930" s="62"/>
      <c r="Y8930" s="62"/>
      <c r="Z8930" s="62"/>
      <c r="AA8930" s="62"/>
      <c r="AB8930" s="62"/>
      <c r="AC8930" s="62"/>
      <c r="AD8930" s="62"/>
      <c r="AE8930" s="62"/>
      <c r="AF8930" s="62"/>
      <c r="AG8930" s="62"/>
      <c r="AH8930" s="62"/>
      <c r="AI8930" s="62"/>
      <c r="AJ8930" s="62"/>
      <c r="AK8930" s="62"/>
      <c r="AL8930" s="62"/>
      <c r="AM8930" s="62"/>
      <c r="AN8930" s="62"/>
      <c r="AO8930" s="62"/>
    </row>
    <row r="8931" spans="1:41" s="108" customFormat="1" x14ac:dyDescent="0.25">
      <c r="A8931" s="357" t="str">
        <f>школы!$B$33</f>
        <v>Реализация дополнительных общеразвивающих программ (естественнонаучная направленность)</v>
      </c>
      <c r="B8931" s="360" t="str">
        <f>школы!$A$33</f>
        <v>801012О.99.0.ББ57АЕ28000</v>
      </c>
      <c r="C8931" s="194"/>
      <c r="D8931" s="363" t="s">
        <v>15</v>
      </c>
      <c r="E8931" s="363"/>
      <c r="F8931" s="363"/>
      <c r="G8931" s="363"/>
      <c r="H8931" s="195"/>
      <c r="I8931" s="195"/>
      <c r="J8931" s="195"/>
      <c r="K8931" s="195"/>
      <c r="L8931" s="196"/>
      <c r="M8931" s="197"/>
      <c r="N8931" s="278"/>
      <c r="O8931" s="279">
        <f>O8932+O8937</f>
        <v>129.1865235647</v>
      </c>
      <c r="P8931" s="166"/>
      <c r="Q8931" s="166">
        <f>O8931*K8931</f>
        <v>0</v>
      </c>
      <c r="R8931" s="71"/>
      <c r="S8931" s="61"/>
      <c r="T8931" s="61"/>
      <c r="U8931" s="61"/>
      <c r="V8931" s="61"/>
      <c r="W8931" s="61"/>
      <c r="X8931" s="61"/>
      <c r="Y8931" s="61"/>
      <c r="Z8931" s="61"/>
      <c r="AA8931" s="61"/>
      <c r="AB8931" s="61"/>
      <c r="AC8931" s="61"/>
      <c r="AD8931" s="61"/>
      <c r="AE8931" s="61"/>
      <c r="AF8931" s="61"/>
      <c r="AG8931" s="61"/>
      <c r="AH8931" s="61"/>
      <c r="AI8931" s="61"/>
      <c r="AJ8931" s="61"/>
      <c r="AK8931" s="61"/>
      <c r="AL8931" s="61"/>
      <c r="AM8931" s="61"/>
      <c r="AN8931" s="61"/>
      <c r="AO8931" s="61"/>
    </row>
    <row r="8932" spans="1:41" s="108" customFormat="1" x14ac:dyDescent="0.25">
      <c r="A8932" s="358"/>
      <c r="B8932" s="361"/>
      <c r="C8932" s="194"/>
      <c r="D8932" s="350" t="s">
        <v>62</v>
      </c>
      <c r="E8932" s="350"/>
      <c r="F8932" s="350"/>
      <c r="G8932" s="350"/>
      <c r="H8932" s="195"/>
      <c r="I8932" s="195"/>
      <c r="J8932" s="195"/>
      <c r="K8932" s="195"/>
      <c r="L8932" s="196"/>
      <c r="M8932" s="197"/>
      <c r="N8932" s="278"/>
      <c r="O8932" s="279">
        <f>O8933+O8935</f>
        <v>128.3506175647</v>
      </c>
      <c r="P8932" s="166"/>
      <c r="Q8932" s="166">
        <f>O8932*K8932</f>
        <v>0</v>
      </c>
      <c r="R8932" s="71"/>
      <c r="S8932" s="61"/>
      <c r="T8932" s="61"/>
      <c r="U8932" s="61"/>
      <c r="V8932" s="61"/>
      <c r="W8932" s="61"/>
      <c r="X8932" s="61"/>
      <c r="Y8932" s="61"/>
      <c r="Z8932" s="61"/>
      <c r="AA8932" s="61"/>
      <c r="AB8932" s="61"/>
      <c r="AC8932" s="61"/>
      <c r="AD8932" s="61"/>
      <c r="AE8932" s="61"/>
      <c r="AF8932" s="61"/>
      <c r="AG8932" s="61"/>
      <c r="AH8932" s="61"/>
      <c r="AI8932" s="61"/>
      <c r="AJ8932" s="61"/>
      <c r="AK8932" s="61"/>
      <c r="AL8932" s="61"/>
      <c r="AM8932" s="61"/>
      <c r="AN8932" s="61"/>
      <c r="AO8932" s="61"/>
    </row>
    <row r="8933" spans="1:41" s="61" customFormat="1" ht="31.5" x14ac:dyDescent="0.25">
      <c r="A8933" s="358"/>
      <c r="B8933" s="361"/>
      <c r="C8933" s="194">
        <v>211</v>
      </c>
      <c r="D8933" s="194" t="s">
        <v>86</v>
      </c>
      <c r="E8933" s="199" t="s">
        <v>95</v>
      </c>
      <c r="F8933" s="199" t="s">
        <v>95</v>
      </c>
      <c r="G8933" s="275">
        <f>MROUND(H8933*L8933*I8933/K8933,0.00000000001)</f>
        <v>4.1594434399999996E-3</v>
      </c>
      <c r="H8933" s="201">
        <f>H8829</f>
        <v>368.4</v>
      </c>
      <c r="I8933" s="159">
        <f>школы!$K$33</f>
        <v>5.7547999999999995E-2</v>
      </c>
      <c r="J8933" s="159"/>
      <c r="K8933" s="161">
        <f>школы!$G$33</f>
        <v>61164</v>
      </c>
      <c r="L8933" s="202">
        <v>12</v>
      </c>
      <c r="M8933" s="163" t="str">
        <f>CONCATENATE(H8933," ",F8933," ","в мес.","*",L8933,"мес.","*",I8933,"/",K8933,"чел/час")</f>
        <v>368,4 шт.ед в мес.*12мес.*0,057548/61164чел/час</v>
      </c>
      <c r="N8933" s="278">
        <f>N8829</f>
        <v>23702.349798678973</v>
      </c>
      <c r="O8933" s="280">
        <f>MROUND(N8933*G8933,0.0000000001)-0.009</f>
        <v>98.579583382700008</v>
      </c>
      <c r="P8933" s="166"/>
      <c r="Q8933" s="166">
        <f>O8933*K8933</f>
        <v>6029521.638019463</v>
      </c>
      <c r="R8933" s="71"/>
    </row>
    <row r="8934" spans="1:41" s="110" customFormat="1" x14ac:dyDescent="0.25">
      <c r="A8934" s="358"/>
      <c r="B8934" s="361"/>
      <c r="C8934" s="261" t="s">
        <v>288</v>
      </c>
      <c r="D8934" s="261"/>
      <c r="E8934" s="292"/>
      <c r="F8934" s="292"/>
      <c r="G8934" s="293"/>
      <c r="H8934" s="262"/>
      <c r="I8934" s="262"/>
      <c r="J8934" s="262"/>
      <c r="K8934" s="263"/>
      <c r="L8934" s="264"/>
      <c r="M8934" s="209"/>
      <c r="N8934" s="210"/>
      <c r="O8934" s="294">
        <f>O8933</f>
        <v>98.579583382700008</v>
      </c>
      <c r="P8934" s="295"/>
      <c r="Q8934" s="166"/>
      <c r="R8934" s="71"/>
      <c r="S8934" s="92"/>
      <c r="T8934" s="92"/>
      <c r="U8934" s="92"/>
      <c r="V8934" s="92"/>
      <c r="W8934" s="92"/>
      <c r="X8934" s="92"/>
      <c r="Y8934" s="92"/>
      <c r="Z8934" s="92"/>
      <c r="AA8934" s="92"/>
      <c r="AB8934" s="92"/>
      <c r="AC8934" s="92"/>
      <c r="AD8934" s="92"/>
      <c r="AE8934" s="92"/>
      <c r="AF8934" s="92"/>
      <c r="AG8934" s="92"/>
      <c r="AH8934" s="92"/>
      <c r="AI8934" s="92"/>
      <c r="AJ8934" s="92"/>
      <c r="AK8934" s="92"/>
      <c r="AL8934" s="92"/>
      <c r="AM8934" s="92"/>
      <c r="AN8934" s="92"/>
      <c r="AO8934" s="92"/>
    </row>
    <row r="8935" spans="1:41" s="61" customFormat="1" x14ac:dyDescent="0.25">
      <c r="A8935" s="358"/>
      <c r="B8935" s="361"/>
      <c r="C8935" s="194">
        <v>213</v>
      </c>
      <c r="D8935" s="194" t="s">
        <v>87</v>
      </c>
      <c r="E8935" s="194" t="s">
        <v>88</v>
      </c>
      <c r="F8935" s="194"/>
      <c r="G8935" s="211">
        <v>30.2</v>
      </c>
      <c r="H8935" s="159"/>
      <c r="I8935" s="282">
        <f>I8933</f>
        <v>5.7547999999999995E-2</v>
      </c>
      <c r="J8935" s="159"/>
      <c r="K8935" s="161">
        <f>K8933</f>
        <v>61164</v>
      </c>
      <c r="L8935" s="202"/>
      <c r="M8935" s="212"/>
      <c r="N8935" s="278"/>
      <c r="O8935" s="280">
        <f>MROUND(O8933*0.302,0.000000001)</f>
        <v>29.771034182000001</v>
      </c>
      <c r="P8935" s="166"/>
      <c r="Q8935" s="166">
        <f>O8935*K8935</f>
        <v>1820915.534707848</v>
      </c>
      <c r="R8935" s="71"/>
    </row>
    <row r="8936" spans="1:41" s="109" customFormat="1" x14ac:dyDescent="0.25">
      <c r="A8936" s="358"/>
      <c r="B8936" s="361"/>
      <c r="C8936" s="203" t="s">
        <v>289</v>
      </c>
      <c r="D8936" s="203"/>
      <c r="E8936" s="203"/>
      <c r="F8936" s="203"/>
      <c r="G8936" s="213"/>
      <c r="H8936" s="214"/>
      <c r="I8936" s="206"/>
      <c r="J8936" s="214"/>
      <c r="K8936" s="207"/>
      <c r="L8936" s="215"/>
      <c r="M8936" s="216"/>
      <c r="N8936" s="281"/>
      <c r="O8936" s="279">
        <f>O8935</f>
        <v>29.771034182000001</v>
      </c>
      <c r="P8936" s="267"/>
      <c r="Q8936" s="166">
        <f>O8936*K8936</f>
        <v>0</v>
      </c>
      <c r="R8936" s="71"/>
      <c r="S8936" s="62"/>
      <c r="T8936" s="62"/>
      <c r="U8936" s="62"/>
      <c r="V8936" s="62"/>
      <c r="W8936" s="62"/>
      <c r="X8936" s="62"/>
      <c r="Y8936" s="62"/>
      <c r="Z8936" s="62"/>
      <c r="AA8936" s="62"/>
      <c r="AB8936" s="62"/>
      <c r="AC8936" s="62"/>
      <c r="AD8936" s="62"/>
      <c r="AE8936" s="62"/>
      <c r="AF8936" s="62"/>
      <c r="AG8936" s="62"/>
      <c r="AH8936" s="62"/>
      <c r="AI8936" s="62"/>
      <c r="AJ8936" s="62"/>
      <c r="AK8936" s="62"/>
      <c r="AL8936" s="62"/>
      <c r="AM8936" s="62"/>
      <c r="AN8936" s="62"/>
      <c r="AO8936" s="62"/>
    </row>
    <row r="8937" spans="1:41" s="108" customFormat="1" x14ac:dyDescent="0.25">
      <c r="A8937" s="358"/>
      <c r="B8937" s="361"/>
      <c r="C8937" s="194"/>
      <c r="D8937" s="356" t="s">
        <v>63</v>
      </c>
      <c r="E8937" s="356"/>
      <c r="F8937" s="356"/>
      <c r="G8937" s="356"/>
      <c r="H8937" s="195"/>
      <c r="I8937" s="159"/>
      <c r="J8937" s="195"/>
      <c r="K8937" s="161"/>
      <c r="L8937" s="196"/>
      <c r="M8937" s="197"/>
      <c r="N8937" s="278"/>
      <c r="O8937" s="280">
        <f>O8938</f>
        <v>0.83590599999999993</v>
      </c>
      <c r="P8937" s="166"/>
      <c r="Q8937" s="166">
        <f>O8937*K8937</f>
        <v>0</v>
      </c>
      <c r="R8937" s="71"/>
      <c r="S8937" s="61"/>
      <c r="T8937" s="61"/>
      <c r="U8937" s="61"/>
      <c r="V8937" s="61"/>
      <c r="W8937" s="61"/>
      <c r="X8937" s="61"/>
      <c r="Y8937" s="61"/>
      <c r="Z8937" s="61"/>
      <c r="AA8937" s="61"/>
      <c r="AB8937" s="61"/>
      <c r="AC8937" s="61"/>
      <c r="AD8937" s="61"/>
      <c r="AE8937" s="61"/>
      <c r="AF8937" s="61"/>
      <c r="AG8937" s="61"/>
      <c r="AH8937" s="61"/>
      <c r="AI8937" s="61"/>
      <c r="AJ8937" s="61"/>
      <c r="AK8937" s="61"/>
      <c r="AL8937" s="61"/>
      <c r="AM8937" s="61"/>
      <c r="AN8937" s="61"/>
      <c r="AO8937" s="61"/>
    </row>
    <row r="8938" spans="1:41" s="61" customFormat="1" x14ac:dyDescent="0.25">
      <c r="A8938" s="358"/>
      <c r="B8938" s="361"/>
      <c r="C8938" s="194" t="s">
        <v>118</v>
      </c>
      <c r="D8938" s="194" t="s">
        <v>259</v>
      </c>
      <c r="E8938" s="194" t="s">
        <v>260</v>
      </c>
      <c r="F8938" s="194" t="s">
        <v>261</v>
      </c>
      <c r="G8938" s="238">
        <f>MROUND(H8938*L8938*I8938/K8938,0.000000000001)</f>
        <v>1.140346871E-3</v>
      </c>
      <c r="H8938" s="283">
        <f>H8834</f>
        <v>1212</v>
      </c>
      <c r="I8938" s="282">
        <f>I8935</f>
        <v>5.7547999999999995E-2</v>
      </c>
      <c r="J8938" s="195"/>
      <c r="K8938" s="161">
        <f>K8935</f>
        <v>61164</v>
      </c>
      <c r="L8938" s="196">
        <v>1</v>
      </c>
      <c r="M8938" s="163" t="str">
        <f>CONCATENATE(H8938," ",F8938,"*",I8938,"/",K8938,"чел/час")</f>
        <v>1212 упаковок*0,057548/61164чел/час</v>
      </c>
      <c r="N8938" s="278">
        <f>N8834</f>
        <v>733.02792904290436</v>
      </c>
      <c r="O8938" s="280">
        <f>MROUND(N8938*G8938,0.000001)</f>
        <v>0.83590599999999993</v>
      </c>
      <c r="P8938" s="166"/>
      <c r="Q8938" s="166">
        <f>O8938*K8938</f>
        <v>51127.354583999993</v>
      </c>
      <c r="R8938" s="71"/>
    </row>
    <row r="8939" spans="1:41" s="109" customFormat="1" x14ac:dyDescent="0.25">
      <c r="A8939" s="358"/>
      <c r="B8939" s="361"/>
      <c r="C8939" s="203" t="s">
        <v>301</v>
      </c>
      <c r="D8939" s="203"/>
      <c r="E8939" s="203"/>
      <c r="F8939" s="203"/>
      <c r="G8939" s="227"/>
      <c r="H8939" s="214"/>
      <c r="I8939" s="206"/>
      <c r="J8939" s="214"/>
      <c r="K8939" s="207"/>
      <c r="L8939" s="215"/>
      <c r="M8939" s="209"/>
      <c r="N8939" s="281"/>
      <c r="O8939" s="279">
        <f>O8937+O8938</f>
        <v>1.6718119999999999</v>
      </c>
      <c r="P8939" s="267"/>
      <c r="Q8939" s="166"/>
      <c r="R8939" s="71"/>
      <c r="S8939" s="62"/>
      <c r="T8939" s="62"/>
      <c r="U8939" s="62"/>
      <c r="V8939" s="62"/>
      <c r="W8939" s="62"/>
      <c r="X8939" s="62"/>
      <c r="Y8939" s="62"/>
      <c r="Z8939" s="62"/>
      <c r="AA8939" s="62"/>
      <c r="AB8939" s="62"/>
      <c r="AC8939" s="62"/>
      <c r="AD8939" s="62"/>
      <c r="AE8939" s="62"/>
      <c r="AF8939" s="62"/>
      <c r="AG8939" s="62"/>
      <c r="AH8939" s="62"/>
      <c r="AI8939" s="62"/>
      <c r="AJ8939" s="62"/>
      <c r="AK8939" s="62"/>
      <c r="AL8939" s="62"/>
      <c r="AM8939" s="62"/>
      <c r="AN8939" s="62"/>
      <c r="AO8939" s="62"/>
    </row>
    <row r="8940" spans="1:41" s="108" customFormat="1" x14ac:dyDescent="0.25">
      <c r="A8940" s="358"/>
      <c r="B8940" s="361"/>
      <c r="C8940" s="194"/>
      <c r="D8940" s="350" t="s">
        <v>64</v>
      </c>
      <c r="E8940" s="350"/>
      <c r="F8940" s="350"/>
      <c r="G8940" s="350"/>
      <c r="H8940" s="195"/>
      <c r="I8940" s="159"/>
      <c r="J8940" s="195"/>
      <c r="K8940" s="161"/>
      <c r="L8940" s="196"/>
      <c r="M8940" s="197"/>
      <c r="N8940" s="278"/>
      <c r="O8940" s="280"/>
      <c r="P8940" s="166"/>
      <c r="Q8940" s="166">
        <f t="shared" ref="Q8940:Q8950" si="2595">O8940*K8940</f>
        <v>0</v>
      </c>
      <c r="R8940" s="71"/>
      <c r="S8940" s="61"/>
      <c r="T8940" s="61"/>
      <c r="U8940" s="61"/>
      <c r="V8940" s="61"/>
      <c r="W8940" s="61"/>
      <c r="X8940" s="61"/>
      <c r="Y8940" s="61"/>
      <c r="Z8940" s="61"/>
      <c r="AA8940" s="61"/>
      <c r="AB8940" s="61"/>
      <c r="AC8940" s="61"/>
      <c r="AD8940" s="61"/>
      <c r="AE8940" s="61"/>
      <c r="AF8940" s="61"/>
      <c r="AG8940" s="61"/>
      <c r="AH8940" s="61"/>
      <c r="AI8940" s="61"/>
      <c r="AJ8940" s="61"/>
      <c r="AK8940" s="61"/>
      <c r="AL8940" s="61"/>
      <c r="AM8940" s="61"/>
      <c r="AN8940" s="61"/>
      <c r="AO8940" s="61"/>
    </row>
    <row r="8941" spans="1:41" s="108" customFormat="1" x14ac:dyDescent="0.25">
      <c r="A8941" s="358"/>
      <c r="B8941" s="361"/>
      <c r="C8941" s="194"/>
      <c r="D8941" s="194"/>
      <c r="E8941" s="194"/>
      <c r="F8941" s="194"/>
      <c r="G8941" s="217"/>
      <c r="H8941" s="195"/>
      <c r="I8941" s="159"/>
      <c r="J8941" s="195"/>
      <c r="K8941" s="161"/>
      <c r="L8941" s="196"/>
      <c r="M8941" s="197"/>
      <c r="N8941" s="278"/>
      <c r="O8941" s="280"/>
      <c r="P8941" s="166"/>
      <c r="Q8941" s="166">
        <f t="shared" si="2595"/>
        <v>0</v>
      </c>
      <c r="R8941" s="71"/>
      <c r="S8941" s="61"/>
      <c r="T8941" s="61"/>
      <c r="U8941" s="61"/>
      <c r="V8941" s="61"/>
      <c r="W8941" s="61"/>
      <c r="X8941" s="61"/>
      <c r="Y8941" s="61"/>
      <c r="Z8941" s="61"/>
      <c r="AA8941" s="61"/>
      <c r="AB8941" s="61"/>
      <c r="AC8941" s="61"/>
      <c r="AD8941" s="61"/>
      <c r="AE8941" s="61"/>
      <c r="AF8941" s="61"/>
      <c r="AG8941" s="61"/>
      <c r="AH8941" s="61"/>
      <c r="AI8941" s="61"/>
      <c r="AJ8941" s="61"/>
      <c r="AK8941" s="61"/>
      <c r="AL8941" s="61"/>
      <c r="AM8941" s="61"/>
      <c r="AN8941" s="61"/>
      <c r="AO8941" s="61"/>
    </row>
    <row r="8942" spans="1:41" s="108" customFormat="1" x14ac:dyDescent="0.25">
      <c r="A8942" s="358"/>
      <c r="B8942" s="361"/>
      <c r="C8942" s="194"/>
      <c r="D8942" s="355" t="s">
        <v>5</v>
      </c>
      <c r="E8942" s="355"/>
      <c r="F8942" s="355"/>
      <c r="G8942" s="355"/>
      <c r="H8942" s="195"/>
      <c r="I8942" s="159"/>
      <c r="J8942" s="195"/>
      <c r="K8942" s="161"/>
      <c r="L8942" s="196"/>
      <c r="M8942" s="197"/>
      <c r="N8942" s="278"/>
      <c r="O8942" s="279">
        <f>O8943+O8952+O8963+O8965+O8976+O8972</f>
        <v>21.836801145999996</v>
      </c>
      <c r="P8942" s="166"/>
      <c r="Q8942" s="166">
        <f t="shared" si="2595"/>
        <v>0</v>
      </c>
      <c r="R8942" s="71"/>
      <c r="S8942" s="61"/>
      <c r="T8942" s="61"/>
      <c r="U8942" s="61"/>
      <c r="V8942" s="61"/>
      <c r="W8942" s="61"/>
      <c r="X8942" s="61"/>
      <c r="Y8942" s="61"/>
      <c r="Z8942" s="61"/>
      <c r="AA8942" s="61"/>
      <c r="AB8942" s="61"/>
      <c r="AC8942" s="61"/>
      <c r="AD8942" s="61"/>
      <c r="AE8942" s="61"/>
      <c r="AF8942" s="61"/>
      <c r="AG8942" s="61"/>
      <c r="AH8942" s="61"/>
      <c r="AI8942" s="61"/>
      <c r="AJ8942" s="61"/>
      <c r="AK8942" s="61"/>
      <c r="AL8942" s="61"/>
      <c r="AM8942" s="61"/>
      <c r="AN8942" s="61"/>
      <c r="AO8942" s="61"/>
    </row>
    <row r="8943" spans="1:41" s="108" customFormat="1" x14ac:dyDescent="0.25">
      <c r="A8943" s="358"/>
      <c r="B8943" s="361"/>
      <c r="C8943" s="221" t="s">
        <v>70</v>
      </c>
      <c r="D8943" s="355" t="s">
        <v>6</v>
      </c>
      <c r="E8943" s="355"/>
      <c r="F8943" s="355"/>
      <c r="G8943" s="355"/>
      <c r="H8943" s="189"/>
      <c r="I8943" s="159"/>
      <c r="J8943" s="189"/>
      <c r="K8943" s="161"/>
      <c r="L8943" s="190"/>
      <c r="M8943" s="197"/>
      <c r="N8943" s="278"/>
      <c r="O8943" s="279">
        <f>O8944+O8945+O8946+O8947+O8948+O8949+O8950</f>
        <v>6.2567679999999983</v>
      </c>
      <c r="P8943" s="166"/>
      <c r="Q8943" s="166">
        <f t="shared" si="2595"/>
        <v>0</v>
      </c>
      <c r="R8943" s="71"/>
      <c r="S8943" s="61"/>
      <c r="T8943" s="61"/>
      <c r="U8943" s="61"/>
      <c r="V8943" s="61"/>
      <c r="W8943" s="61"/>
      <c r="X8943" s="61"/>
      <c r="Y8943" s="61"/>
      <c r="Z8943" s="61"/>
      <c r="AA8943" s="61"/>
      <c r="AB8943" s="61"/>
      <c r="AC8943" s="61"/>
      <c r="AD8943" s="61"/>
      <c r="AE8943" s="61"/>
      <c r="AF8943" s="61"/>
      <c r="AG8943" s="61"/>
      <c r="AH8943" s="61"/>
      <c r="AI8943" s="61"/>
      <c r="AJ8943" s="61"/>
      <c r="AK8943" s="61"/>
      <c r="AL8943" s="61"/>
      <c r="AM8943" s="61"/>
      <c r="AN8943" s="61"/>
      <c r="AO8943" s="61"/>
    </row>
    <row r="8944" spans="1:41" s="61" customFormat="1" ht="31.5" x14ac:dyDescent="0.25">
      <c r="A8944" s="358"/>
      <c r="B8944" s="361"/>
      <c r="C8944" s="221" t="s">
        <v>72</v>
      </c>
      <c r="D8944" s="222" t="s">
        <v>7</v>
      </c>
      <c r="E8944" s="223" t="s">
        <v>8</v>
      </c>
      <c r="F8944" s="223" t="s">
        <v>8</v>
      </c>
      <c r="G8944" s="238">
        <f>MROUND(H8944*L8944*I8944/K8944,0.000000000001)</f>
        <v>0.10637605073799999</v>
      </c>
      <c r="H8944" s="160">
        <f>H8840</f>
        <v>113060.13705633247</v>
      </c>
      <c r="I8944" s="282">
        <f>I8938</f>
        <v>5.7547999999999995E-2</v>
      </c>
      <c r="J8944" s="160"/>
      <c r="K8944" s="161">
        <f>K8938</f>
        <v>61164</v>
      </c>
      <c r="L8944" s="250">
        <v>1</v>
      </c>
      <c r="M8944" s="163" t="str">
        <f>CONCATENATE(H8944," ",F8944,"(лимиты выделенные УЖКХ) ","*",I8944,"/",K8944,"чел/час")</f>
        <v>113060,137056332 кВт час.(лимиты выделенные УЖКХ) *0,057548/61164чел/час</v>
      </c>
      <c r="N8944" s="278">
        <f t="shared" ref="N8944:N8950" si="2596">N8840</f>
        <v>11.38065575985371</v>
      </c>
      <c r="O8944" s="280">
        <f>MROUND(N8944*G8944,0.000001)</f>
        <v>1.210629</v>
      </c>
      <c r="P8944" s="166"/>
      <c r="Q8944" s="166">
        <f t="shared" si="2595"/>
        <v>74046.912155999991</v>
      </c>
      <c r="R8944" s="71"/>
    </row>
    <row r="8945" spans="1:41" s="61" customFormat="1" ht="31.5" x14ac:dyDescent="0.25">
      <c r="A8945" s="358"/>
      <c r="B8945" s="361"/>
      <c r="C8945" s="221" t="s">
        <v>73</v>
      </c>
      <c r="D8945" s="222" t="s">
        <v>9</v>
      </c>
      <c r="E8945" s="223" t="s">
        <v>10</v>
      </c>
      <c r="F8945" s="223" t="s">
        <v>10</v>
      </c>
      <c r="G8945" s="238">
        <f>MROUND(H8945*L8945*I8945/K8945,0.0000000001)</f>
        <v>1.3115870999999999E-3</v>
      </c>
      <c r="H8945" s="160">
        <f>H8841</f>
        <v>1394</v>
      </c>
      <c r="I8945" s="159">
        <f t="shared" ref="I8945:I8950" si="2597">I8944</f>
        <v>5.7547999999999995E-2</v>
      </c>
      <c r="J8945" s="160"/>
      <c r="K8945" s="161">
        <f t="shared" ref="K8945:K8950" si="2598">K8944</f>
        <v>61164</v>
      </c>
      <c r="L8945" s="250">
        <v>1</v>
      </c>
      <c r="M8945" s="163" t="str">
        <f>CONCATENATE(H8945," ",F8945,"(лимиты выделенные УЖКХ) ","*",I8945,"/",K8945,"чел/час")</f>
        <v>1394 Гкал(лимиты выделенные УЖКХ) *0,057548/61164чел/час</v>
      </c>
      <c r="N8945" s="278">
        <f t="shared" si="2596"/>
        <v>3095.3018579626978</v>
      </c>
      <c r="O8945" s="280">
        <f t="shared" ref="O8945:O8950" si="2599">MROUND(N8945*G8945,0.000001)</f>
        <v>4.0597579999999995</v>
      </c>
      <c r="P8945" s="166"/>
      <c r="Q8945" s="166">
        <f t="shared" si="2595"/>
        <v>248311.03831199996</v>
      </c>
      <c r="R8945" s="71"/>
    </row>
    <row r="8946" spans="1:41" s="61" customFormat="1" ht="31.5" x14ac:dyDescent="0.25">
      <c r="A8946" s="358"/>
      <c r="B8946" s="361"/>
      <c r="C8946" s="364" t="s">
        <v>74</v>
      </c>
      <c r="D8946" s="222" t="s">
        <v>12</v>
      </c>
      <c r="E8946" s="222" t="s">
        <v>11</v>
      </c>
      <c r="F8946" s="222" t="s">
        <v>11</v>
      </c>
      <c r="G8946" s="238">
        <f>MROUND(H8946*L8946*I8946/K8946,0.00000000001)</f>
        <v>3.8022006099999997E-3</v>
      </c>
      <c r="H8946" s="224">
        <f>H8842</f>
        <v>4041.1099999999997</v>
      </c>
      <c r="I8946" s="159">
        <f t="shared" si="2597"/>
        <v>5.7547999999999995E-2</v>
      </c>
      <c r="J8946" s="160"/>
      <c r="K8946" s="161">
        <f t="shared" si="2598"/>
        <v>61164</v>
      </c>
      <c r="L8946" s="250">
        <v>1</v>
      </c>
      <c r="M8946" s="163" t="str">
        <f>CONCATENATE(H8946," ",F8946,"(лимиты выделенные УЖКХ) ","*",I8946,"/",K8946,"чел/час")</f>
        <v>4041,11 м3(лимиты выделенные УЖКХ) *0,057548/61164чел/час</v>
      </c>
      <c r="N8946" s="278">
        <f t="shared" si="2596"/>
        <v>56.382747190747111</v>
      </c>
      <c r="O8946" s="280">
        <f t="shared" si="2599"/>
        <v>0.21437899999999999</v>
      </c>
      <c r="P8946" s="166"/>
      <c r="Q8946" s="166">
        <f t="shared" si="2595"/>
        <v>13112.277155999998</v>
      </c>
      <c r="R8946" s="71"/>
    </row>
    <row r="8947" spans="1:41" s="61" customFormat="1" ht="47.25" x14ac:dyDescent="0.25">
      <c r="A8947" s="358"/>
      <c r="B8947" s="361"/>
      <c r="C8947" s="364"/>
      <c r="D8947" s="222" t="s">
        <v>17</v>
      </c>
      <c r="E8947" s="222" t="s">
        <v>11</v>
      </c>
      <c r="F8947" s="222" t="s">
        <v>11</v>
      </c>
      <c r="G8947" s="238">
        <f>MROUND(H8947*L8947*I8947/K8947,0.00000000001)</f>
        <v>3.8022006099999997E-3</v>
      </c>
      <c r="H8947" s="160">
        <f>$H$5454</f>
        <v>4041.1099999999997</v>
      </c>
      <c r="I8947" s="159">
        <f t="shared" si="2597"/>
        <v>5.7547999999999995E-2</v>
      </c>
      <c r="J8947" s="160"/>
      <c r="K8947" s="161">
        <f t="shared" si="2598"/>
        <v>61164</v>
      </c>
      <c r="L8947" s="162">
        <f>$L$8843</f>
        <v>1</v>
      </c>
      <c r="M8947" s="163" t="str">
        <f>CONCATENATE(H8947," ",F8947,"(лимиты выделенные УЖКХ) ","*",I8947,"/",K8947,"чел/час")</f>
        <v>4041,11 м3(лимиты выделенные УЖКХ) *0,057548/61164чел/час</v>
      </c>
      <c r="N8947" s="164">
        <f t="shared" si="2596"/>
        <v>85.679537612054801</v>
      </c>
      <c r="O8947" s="280">
        <f t="shared" si="2599"/>
        <v>0.32577099999999998</v>
      </c>
      <c r="P8947" s="166"/>
      <c r="Q8947" s="166">
        <f t="shared" si="2595"/>
        <v>19925.457444</v>
      </c>
      <c r="R8947" s="71"/>
    </row>
    <row r="8948" spans="1:41" s="61" customFormat="1" ht="31.5" x14ac:dyDescent="0.25">
      <c r="A8948" s="358"/>
      <c r="B8948" s="361"/>
      <c r="C8948" s="364"/>
      <c r="D8948" s="222" t="s">
        <v>13</v>
      </c>
      <c r="E8948" s="222" t="s">
        <v>11</v>
      </c>
      <c r="F8948" s="222" t="s">
        <v>11</v>
      </c>
      <c r="G8948" s="238">
        <f>MROUND(H8948*L8948*I8948/K8948,0.00000000001)</f>
        <v>3.8022006099999997E-3</v>
      </c>
      <c r="H8948" s="160">
        <f>H8844</f>
        <v>4041.1099999999997</v>
      </c>
      <c r="I8948" s="159">
        <f t="shared" si="2597"/>
        <v>5.7547999999999995E-2</v>
      </c>
      <c r="J8948" s="160"/>
      <c r="K8948" s="161">
        <f t="shared" si="2598"/>
        <v>61164</v>
      </c>
      <c r="L8948" s="162">
        <v>1</v>
      </c>
      <c r="M8948" s="163" t="str">
        <f>CONCATENATE(H8948," ",F8948,"(лимиты выделенные УЖКХ) ","*",I8948,"/",K8948,"чел/час")</f>
        <v>4041,11 м3(лимиты выделенные УЖКХ) *0,057548/61164чел/час</v>
      </c>
      <c r="N8948" s="278">
        <f t="shared" si="2596"/>
        <v>104.62845363292494</v>
      </c>
      <c r="O8948" s="280">
        <f t="shared" si="2599"/>
        <v>0.397818</v>
      </c>
      <c r="P8948" s="166"/>
      <c r="Q8948" s="166">
        <f t="shared" si="2595"/>
        <v>24332.140152</v>
      </c>
      <c r="R8948" s="71"/>
    </row>
    <row r="8949" spans="1:41" s="61" customFormat="1" x14ac:dyDescent="0.25">
      <c r="A8949" s="358"/>
      <c r="B8949" s="361"/>
      <c r="C8949" s="364" t="s">
        <v>216</v>
      </c>
      <c r="D8949" s="222" t="s">
        <v>23</v>
      </c>
      <c r="E8949" s="222" t="s">
        <v>11</v>
      </c>
      <c r="F8949" s="222" t="s">
        <v>11</v>
      </c>
      <c r="G8949" s="238">
        <f>MROUND(H8949*L8949*I8949/K8949,0.0000000001)</f>
        <v>2.3503200000000002E-5</v>
      </c>
      <c r="H8949" s="160">
        <f>H8845</f>
        <v>24.979999999999997</v>
      </c>
      <c r="I8949" s="159">
        <f t="shared" si="2597"/>
        <v>5.7547999999999995E-2</v>
      </c>
      <c r="J8949" s="160"/>
      <c r="K8949" s="161">
        <f t="shared" si="2598"/>
        <v>61164</v>
      </c>
      <c r="L8949" s="162">
        <v>1</v>
      </c>
      <c r="M8949" s="163" t="str">
        <f>CONCATENATE(H8949," ",F8949," ","*",I8949,"/",K8949,"чел/час")</f>
        <v>24,98 м3 *0,057548/61164чел/час</v>
      </c>
      <c r="N8949" s="164">
        <f t="shared" si="2596"/>
        <v>807.4099279423541</v>
      </c>
      <c r="O8949" s="280">
        <f t="shared" si="2599"/>
        <v>1.8977000000000001E-2</v>
      </c>
      <c r="P8949" s="166"/>
      <c r="Q8949" s="166">
        <f t="shared" si="2595"/>
        <v>1160.7092279999999</v>
      </c>
      <c r="R8949" s="71"/>
    </row>
    <row r="8950" spans="1:41" s="61" customFormat="1" ht="63" x14ac:dyDescent="0.25">
      <c r="A8950" s="358"/>
      <c r="B8950" s="361"/>
      <c r="C8950" s="364"/>
      <c r="D8950" s="222" t="s">
        <v>24</v>
      </c>
      <c r="E8950" s="222" t="s">
        <v>25</v>
      </c>
      <c r="F8950" s="222" t="s">
        <v>248</v>
      </c>
      <c r="G8950" s="238">
        <f>MROUND(H8950*L8950*I8950/K8950,0.0000000001)</f>
        <v>4.7044000000000002E-6</v>
      </c>
      <c r="H8950" s="160">
        <f>H8846</f>
        <v>5</v>
      </c>
      <c r="I8950" s="159">
        <f t="shared" si="2597"/>
        <v>5.7547999999999995E-2</v>
      </c>
      <c r="J8950" s="160"/>
      <c r="K8950" s="161">
        <f t="shared" si="2598"/>
        <v>61164</v>
      </c>
      <c r="L8950" s="250">
        <v>1</v>
      </c>
      <c r="M8950" s="163" t="str">
        <f>CONCATENATE(H8950," ",F8950,"(потребность из расчета 4 контейнера для уборки территории весной и осенью на 1 учреждение)","*",I8950,"/",K8950,"чел/час")</f>
        <v>5 контейнеров(потребность из расчета 4 контейнера для уборки территории весной и осенью на 1 учреждение)*0,057548/61164чел/час</v>
      </c>
      <c r="N8950" s="278">
        <f t="shared" si="2596"/>
        <v>6257.04</v>
      </c>
      <c r="O8950" s="280">
        <f t="shared" si="2599"/>
        <v>2.9436E-2</v>
      </c>
      <c r="P8950" s="166"/>
      <c r="Q8950" s="166">
        <f t="shared" si="2595"/>
        <v>1800.4235040000001</v>
      </c>
      <c r="R8950" s="71"/>
    </row>
    <row r="8951" spans="1:41" s="109" customFormat="1" x14ac:dyDescent="0.25">
      <c r="A8951" s="358"/>
      <c r="B8951" s="361"/>
      <c r="C8951" s="218" t="s">
        <v>290</v>
      </c>
      <c r="D8951" s="226"/>
      <c r="E8951" s="226"/>
      <c r="F8951" s="226"/>
      <c r="G8951" s="227"/>
      <c r="H8951" s="228"/>
      <c r="I8951" s="206"/>
      <c r="J8951" s="228"/>
      <c r="K8951" s="207"/>
      <c r="L8951" s="257"/>
      <c r="M8951" s="209"/>
      <c r="N8951" s="281"/>
      <c r="O8951" s="279">
        <f>SUM(O8944:O8950)</f>
        <v>6.2567679999999983</v>
      </c>
      <c r="P8951" s="267"/>
      <c r="Q8951" s="166"/>
      <c r="R8951" s="71"/>
      <c r="S8951" s="62"/>
      <c r="T8951" s="62"/>
      <c r="U8951" s="62"/>
      <c r="V8951" s="62"/>
      <c r="W8951" s="62"/>
      <c r="X8951" s="62"/>
      <c r="Y8951" s="62"/>
      <c r="Z8951" s="62"/>
      <c r="AA8951" s="62"/>
      <c r="AB8951" s="62"/>
      <c r="AC8951" s="62"/>
      <c r="AD8951" s="62"/>
      <c r="AE8951" s="62"/>
      <c r="AF8951" s="62"/>
      <c r="AG8951" s="62"/>
      <c r="AH8951" s="62"/>
      <c r="AI8951" s="62"/>
      <c r="AJ8951" s="62"/>
      <c r="AK8951" s="62"/>
      <c r="AL8951" s="62"/>
      <c r="AM8951" s="62"/>
      <c r="AN8951" s="62"/>
      <c r="AO8951" s="62"/>
    </row>
    <row r="8952" spans="1:41" s="108" customFormat="1" x14ac:dyDescent="0.25">
      <c r="A8952" s="358"/>
      <c r="B8952" s="361"/>
      <c r="C8952" s="221"/>
      <c r="D8952" s="356" t="s">
        <v>14</v>
      </c>
      <c r="E8952" s="356"/>
      <c r="F8952" s="356"/>
      <c r="G8952" s="356"/>
      <c r="H8952" s="188"/>
      <c r="I8952" s="159"/>
      <c r="J8952" s="188"/>
      <c r="K8952" s="161"/>
      <c r="L8952" s="250"/>
      <c r="M8952" s="230"/>
      <c r="N8952" s="278"/>
      <c r="O8952" s="279">
        <f>O8956+O8960+O8962</f>
        <v>11.575700673</v>
      </c>
      <c r="P8952" s="166"/>
      <c r="Q8952" s="166">
        <f>O8952*K8952</f>
        <v>0</v>
      </c>
      <c r="R8952" s="71"/>
      <c r="S8952" s="61"/>
      <c r="T8952" s="61"/>
      <c r="U8952" s="61"/>
      <c r="V8952" s="61"/>
      <c r="W8952" s="61"/>
      <c r="X8952" s="61"/>
      <c r="Y8952" s="61"/>
      <c r="Z8952" s="61"/>
      <c r="AA8952" s="61"/>
      <c r="AB8952" s="61"/>
      <c r="AC8952" s="61"/>
      <c r="AD8952" s="61"/>
      <c r="AE8952" s="61"/>
      <c r="AF8952" s="61"/>
      <c r="AG8952" s="61"/>
      <c r="AH8952" s="61"/>
      <c r="AI8952" s="61"/>
      <c r="AJ8952" s="61"/>
      <c r="AK8952" s="61"/>
      <c r="AL8952" s="61"/>
      <c r="AM8952" s="61"/>
      <c r="AN8952" s="61"/>
      <c r="AO8952" s="61"/>
    </row>
    <row r="8953" spans="1:41" s="61" customFormat="1" x14ac:dyDescent="0.25">
      <c r="A8953" s="358"/>
      <c r="B8953" s="361"/>
      <c r="C8953" s="221" t="s">
        <v>379</v>
      </c>
      <c r="D8953" s="231" t="s">
        <v>49</v>
      </c>
      <c r="E8953" s="231" t="s">
        <v>22</v>
      </c>
      <c r="F8953" s="231" t="s">
        <v>22</v>
      </c>
      <c r="G8953" s="238">
        <f>MROUND(H8953*L8953*I8953/K8953,0.00000000000001)</f>
        <v>0</v>
      </c>
      <c r="H8953" s="160"/>
      <c r="I8953" s="159">
        <f>I8948</f>
        <v>5.7547999999999995E-2</v>
      </c>
      <c r="J8953" s="160"/>
      <c r="K8953" s="161">
        <f>K8948</f>
        <v>61164</v>
      </c>
      <c r="L8953" s="250">
        <v>1</v>
      </c>
      <c r="M8953" s="163"/>
      <c r="N8953" s="278"/>
      <c r="O8953" s="280">
        <f>MROUND(N8953*G8953,0.000000001)</f>
        <v>0</v>
      </c>
      <c r="P8953" s="166"/>
      <c r="Q8953" s="166">
        <f>O8953*K8953</f>
        <v>0</v>
      </c>
      <c r="R8953" s="71"/>
    </row>
    <row r="8954" spans="1:41" s="61" customFormat="1" x14ac:dyDescent="0.25">
      <c r="A8954" s="358"/>
      <c r="B8954" s="361"/>
      <c r="C8954" s="221" t="s">
        <v>379</v>
      </c>
      <c r="D8954" s="231" t="s">
        <v>49</v>
      </c>
      <c r="E8954" s="231" t="s">
        <v>28</v>
      </c>
      <c r="F8954" s="231" t="s">
        <v>28</v>
      </c>
      <c r="G8954" s="238">
        <f>MROUND(H8954*L8954*I8954/K8954,0.0000000000001)</f>
        <v>0</v>
      </c>
      <c r="H8954" s="160"/>
      <c r="I8954" s="159">
        <f>I8953</f>
        <v>5.7547999999999995E-2</v>
      </c>
      <c r="J8954" s="160"/>
      <c r="K8954" s="161">
        <f>K8953</f>
        <v>61164</v>
      </c>
      <c r="L8954" s="250">
        <v>1</v>
      </c>
      <c r="M8954" s="163"/>
      <c r="N8954" s="278"/>
      <c r="O8954" s="280">
        <f>MROUND(N8954*G8954,0.000000001)</f>
        <v>0</v>
      </c>
      <c r="P8954" s="166"/>
      <c r="Q8954" s="166">
        <f>O8954*K8954</f>
        <v>0</v>
      </c>
      <c r="R8954" s="71"/>
    </row>
    <row r="8955" spans="1:41" s="61" customFormat="1" x14ac:dyDescent="0.25">
      <c r="A8955" s="358"/>
      <c r="B8955" s="361"/>
      <c r="C8955" s="221" t="s">
        <v>379</v>
      </c>
      <c r="D8955" s="231" t="s">
        <v>49</v>
      </c>
      <c r="E8955" s="231" t="s">
        <v>101</v>
      </c>
      <c r="F8955" s="231" t="s">
        <v>101</v>
      </c>
      <c r="G8955" s="238">
        <f>MROUND(H8955*L8955*I8955/K8955,0.0000000001)</f>
        <v>0</v>
      </c>
      <c r="H8955" s="160"/>
      <c r="I8955" s="159">
        <f>I8953</f>
        <v>5.7547999999999995E-2</v>
      </c>
      <c r="J8955" s="160"/>
      <c r="K8955" s="161">
        <f>K8953</f>
        <v>61164</v>
      </c>
      <c r="L8955" s="250">
        <v>1</v>
      </c>
      <c r="M8955" s="163"/>
      <c r="N8955" s="278"/>
      <c r="O8955" s="280">
        <f>MROUND(N8955*G8955,0.000001)</f>
        <v>0</v>
      </c>
      <c r="P8955" s="166"/>
      <c r="Q8955" s="166">
        <f>O8955*K8955</f>
        <v>0</v>
      </c>
      <c r="R8955" s="71"/>
    </row>
    <row r="8956" spans="1:41" s="109" customFormat="1" x14ac:dyDescent="0.25">
      <c r="A8956" s="358"/>
      <c r="B8956" s="361"/>
      <c r="C8956" s="218" t="s">
        <v>380</v>
      </c>
      <c r="D8956" s="232"/>
      <c r="E8956" s="232"/>
      <c r="F8956" s="232"/>
      <c r="G8956" s="227"/>
      <c r="H8956" s="228"/>
      <c r="I8956" s="206"/>
      <c r="J8956" s="228"/>
      <c r="K8956" s="207"/>
      <c r="L8956" s="257"/>
      <c r="M8956" s="209"/>
      <c r="N8956" s="281"/>
      <c r="O8956" s="279">
        <f>O8953+O8955+O8954</f>
        <v>0</v>
      </c>
      <c r="P8956" s="267"/>
      <c r="Q8956" s="166"/>
      <c r="R8956" s="71"/>
      <c r="S8956" s="62"/>
      <c r="T8956" s="62"/>
      <c r="U8956" s="62"/>
      <c r="V8956" s="62"/>
      <c r="W8956" s="62"/>
      <c r="X8956" s="62"/>
      <c r="Y8956" s="62"/>
      <c r="Z8956" s="62"/>
      <c r="AA8956" s="62"/>
      <c r="AB8956" s="62"/>
      <c r="AC8956" s="62"/>
      <c r="AD8956" s="62"/>
      <c r="AE8956" s="62"/>
      <c r="AF8956" s="62"/>
      <c r="AG8956" s="62"/>
      <c r="AH8956" s="62"/>
      <c r="AI8956" s="62"/>
      <c r="AJ8956" s="62"/>
      <c r="AK8956" s="62"/>
      <c r="AL8956" s="62"/>
      <c r="AM8956" s="62"/>
      <c r="AN8956" s="62"/>
      <c r="AO8956" s="62"/>
    </row>
    <row r="8957" spans="1:41" s="61" customFormat="1" x14ac:dyDescent="0.25">
      <c r="A8957" s="358"/>
      <c r="B8957" s="361"/>
      <c r="C8957" s="221" t="s">
        <v>76</v>
      </c>
      <c r="D8957" s="231" t="s">
        <v>49</v>
      </c>
      <c r="E8957" s="231" t="s">
        <v>22</v>
      </c>
      <c r="F8957" s="231" t="s">
        <v>22</v>
      </c>
      <c r="G8957" s="238">
        <f>MROUND(H8957*L8957*I8957/K8957,0.0000000000001)</f>
        <v>2.1790786737E-3</v>
      </c>
      <c r="H8957" s="160">
        <f>H8853</f>
        <v>2316</v>
      </c>
      <c r="I8957" s="159">
        <f>I8955</f>
        <v>5.7547999999999995E-2</v>
      </c>
      <c r="J8957" s="160"/>
      <c r="K8957" s="161">
        <f>K8955</f>
        <v>61164</v>
      </c>
      <c r="L8957" s="250">
        <v>1</v>
      </c>
      <c r="M8957" s="163" t="str">
        <f>CONCATENATE(H8957," ",F8957,"*",I8957,"/",K8957,"чел/час")</f>
        <v>2316 м2*0,057548/61164чел/час</v>
      </c>
      <c r="N8957" s="278">
        <f>N8853</f>
        <v>5226.2521588946456</v>
      </c>
      <c r="O8957" s="280">
        <f>MROUND(N8957*G8957,0.000000001)-0.00009</f>
        <v>11.388324623000001</v>
      </c>
      <c r="P8957" s="166"/>
      <c r="Q8957" s="166">
        <f>O8957*K8957</f>
        <v>696555.487241172</v>
      </c>
      <c r="R8957" s="71"/>
    </row>
    <row r="8958" spans="1:41" s="61" customFormat="1" x14ac:dyDescent="0.25">
      <c r="A8958" s="358"/>
      <c r="B8958" s="361"/>
      <c r="C8958" s="221"/>
      <c r="D8958" s="231" t="s">
        <v>49</v>
      </c>
      <c r="E8958" s="231" t="s">
        <v>28</v>
      </c>
      <c r="F8958" s="231" t="s">
        <v>28</v>
      </c>
      <c r="G8958" s="238">
        <f>MROUND(H8958*L8958*I8958/K8958,0.0000000000001)</f>
        <v>1.8817605E-6</v>
      </c>
      <c r="H8958" s="160">
        <f>H8854</f>
        <v>2</v>
      </c>
      <c r="I8958" s="159">
        <f>I8957</f>
        <v>5.7547999999999995E-2</v>
      </c>
      <c r="J8958" s="160"/>
      <c r="K8958" s="161">
        <f>K8957</f>
        <v>61164</v>
      </c>
      <c r="L8958" s="250">
        <v>1</v>
      </c>
      <c r="M8958" s="163" t="str">
        <f>CONCATENATE(H8958," ",F8958,"*",I8958,"/",K8958,"чел/час")</f>
        <v>2 шт*0,057548/61164чел/час</v>
      </c>
      <c r="N8958" s="278">
        <f>N8854</f>
        <v>100000</v>
      </c>
      <c r="O8958" s="280">
        <f>MROUND(N8958*G8958,0.000000001)-0.0008</f>
        <v>0.18737605000000002</v>
      </c>
      <c r="P8958" s="166"/>
      <c r="Q8958" s="166">
        <f>O8958*K8958</f>
        <v>11460.668722200002</v>
      </c>
      <c r="R8958" s="71"/>
    </row>
    <row r="8959" spans="1:41" s="61" customFormat="1" x14ac:dyDescent="0.25">
      <c r="A8959" s="358"/>
      <c r="B8959" s="361"/>
      <c r="C8959" s="221"/>
      <c r="D8959" s="231" t="s">
        <v>49</v>
      </c>
      <c r="E8959" s="231" t="s">
        <v>101</v>
      </c>
      <c r="F8959" s="231" t="s">
        <v>101</v>
      </c>
      <c r="G8959" s="238">
        <f>MROUND(H8959*L8959*I8959/K8959,0.00000000001)</f>
        <v>0</v>
      </c>
      <c r="H8959" s="160">
        <f>H8855</f>
        <v>0</v>
      </c>
      <c r="I8959" s="159">
        <f>I8957</f>
        <v>5.7547999999999995E-2</v>
      </c>
      <c r="J8959" s="160"/>
      <c r="K8959" s="161">
        <f>K8957</f>
        <v>61164</v>
      </c>
      <c r="L8959" s="250">
        <v>1</v>
      </c>
      <c r="M8959" s="163" t="str">
        <f>CONCATENATE(H8959," ",F8959,"*",I8959,"/",K8959,"чел/час")</f>
        <v>0 погон.м.*0,057548/61164чел/час</v>
      </c>
      <c r="N8959" s="278">
        <f>N8855</f>
        <v>0</v>
      </c>
      <c r="O8959" s="280">
        <f>MROUND(N8959*G8959,0.000001)</f>
        <v>0</v>
      </c>
      <c r="P8959" s="166"/>
      <c r="Q8959" s="166">
        <f>O8959*K8959</f>
        <v>0</v>
      </c>
      <c r="R8959" s="71"/>
    </row>
    <row r="8960" spans="1:41" s="109" customFormat="1" x14ac:dyDescent="0.25">
      <c r="A8960" s="358"/>
      <c r="B8960" s="361"/>
      <c r="C8960" s="218" t="s">
        <v>291</v>
      </c>
      <c r="D8960" s="232"/>
      <c r="E8960" s="232"/>
      <c r="F8960" s="232"/>
      <c r="G8960" s="227"/>
      <c r="H8960" s="228"/>
      <c r="I8960" s="206"/>
      <c r="J8960" s="228"/>
      <c r="K8960" s="207"/>
      <c r="L8960" s="257"/>
      <c r="M8960" s="209"/>
      <c r="N8960" s="281"/>
      <c r="O8960" s="279">
        <f>O8957+O8959+O8958</f>
        <v>11.575700673</v>
      </c>
      <c r="P8960" s="267"/>
      <c r="Q8960" s="166"/>
      <c r="R8960" s="71"/>
      <c r="S8960" s="62"/>
      <c r="T8960" s="62"/>
      <c r="U8960" s="62"/>
      <c r="V8960" s="62"/>
      <c r="W8960" s="62"/>
      <c r="X8960" s="62"/>
      <c r="Y8960" s="62"/>
      <c r="Z8960" s="62"/>
      <c r="AA8960" s="62"/>
      <c r="AB8960" s="62"/>
      <c r="AC8960" s="62"/>
      <c r="AD8960" s="62"/>
      <c r="AE8960" s="62"/>
      <c r="AF8960" s="62"/>
      <c r="AG8960" s="62"/>
      <c r="AH8960" s="62"/>
      <c r="AI8960" s="62"/>
      <c r="AJ8960" s="62"/>
      <c r="AK8960" s="62"/>
      <c r="AL8960" s="62"/>
      <c r="AM8960" s="62"/>
      <c r="AN8960" s="62"/>
      <c r="AO8960" s="62"/>
    </row>
    <row r="8961" spans="1:41" s="61" customFormat="1" x14ac:dyDescent="0.25">
      <c r="A8961" s="358"/>
      <c r="B8961" s="361"/>
      <c r="C8961" s="221" t="s">
        <v>77</v>
      </c>
      <c r="D8961" s="231"/>
      <c r="E8961" s="231"/>
      <c r="F8961" s="231"/>
      <c r="G8961" s="238">
        <f>MROUND(H8961*L8961*I8961/K8961,0.000000001)</f>
        <v>0</v>
      </c>
      <c r="H8961" s="160"/>
      <c r="I8961" s="159">
        <f>I8959</f>
        <v>5.7547999999999995E-2</v>
      </c>
      <c r="J8961" s="160"/>
      <c r="K8961" s="161">
        <f>K8959</f>
        <v>61164</v>
      </c>
      <c r="L8961" s="250"/>
      <c r="M8961" s="163"/>
      <c r="N8961" s="278"/>
      <c r="O8961" s="280">
        <f>MROUND(N8961*G8961,0.000001)</f>
        <v>0</v>
      </c>
      <c r="P8961" s="166"/>
      <c r="Q8961" s="166">
        <f>O8961*K8961</f>
        <v>0</v>
      </c>
      <c r="R8961" s="71"/>
    </row>
    <row r="8962" spans="1:41" s="109" customFormat="1" x14ac:dyDescent="0.25">
      <c r="A8962" s="358"/>
      <c r="B8962" s="361"/>
      <c r="C8962" s="218" t="s">
        <v>292</v>
      </c>
      <c r="D8962" s="232"/>
      <c r="E8962" s="232"/>
      <c r="F8962" s="232"/>
      <c r="G8962" s="227"/>
      <c r="H8962" s="228"/>
      <c r="I8962" s="206"/>
      <c r="J8962" s="228"/>
      <c r="K8962" s="207"/>
      <c r="L8962" s="257"/>
      <c r="M8962" s="209"/>
      <c r="N8962" s="281"/>
      <c r="O8962" s="279">
        <f>O8961</f>
        <v>0</v>
      </c>
      <c r="P8962" s="267"/>
      <c r="Q8962" s="166"/>
      <c r="R8962" s="71"/>
      <c r="S8962" s="62"/>
      <c r="T8962" s="62"/>
      <c r="U8962" s="62"/>
      <c r="V8962" s="62"/>
      <c r="W8962" s="62"/>
      <c r="X8962" s="62"/>
      <c r="Y8962" s="62"/>
      <c r="Z8962" s="62"/>
      <c r="AA8962" s="62"/>
      <c r="AB8962" s="62"/>
      <c r="AC8962" s="62"/>
      <c r="AD8962" s="62"/>
      <c r="AE8962" s="62"/>
      <c r="AF8962" s="62"/>
      <c r="AG8962" s="62"/>
      <c r="AH8962" s="62"/>
      <c r="AI8962" s="62"/>
      <c r="AJ8962" s="62"/>
      <c r="AK8962" s="62"/>
      <c r="AL8962" s="62"/>
      <c r="AM8962" s="62"/>
      <c r="AN8962" s="62"/>
      <c r="AO8962" s="62"/>
    </row>
    <row r="8963" spans="1:41" s="108" customFormat="1" x14ac:dyDescent="0.25">
      <c r="A8963" s="358"/>
      <c r="B8963" s="361"/>
      <c r="C8963" s="221"/>
      <c r="D8963" s="350" t="s">
        <v>65</v>
      </c>
      <c r="E8963" s="350"/>
      <c r="F8963" s="350"/>
      <c r="G8963" s="350"/>
      <c r="H8963" s="195"/>
      <c r="I8963" s="159"/>
      <c r="J8963" s="195"/>
      <c r="K8963" s="161"/>
      <c r="L8963" s="196"/>
      <c r="M8963" s="230"/>
      <c r="N8963" s="278"/>
      <c r="O8963" s="280"/>
      <c r="P8963" s="166"/>
      <c r="Q8963" s="166">
        <f t="shared" ref="Q8963:Q8982" si="2600">O8963*K8963</f>
        <v>0</v>
      </c>
      <c r="R8963" s="71"/>
      <c r="S8963" s="61"/>
      <c r="T8963" s="61"/>
      <c r="U8963" s="61"/>
      <c r="V8963" s="61"/>
      <c r="W8963" s="61"/>
      <c r="X8963" s="61"/>
      <c r="Y8963" s="61"/>
      <c r="Z8963" s="61"/>
      <c r="AA8963" s="61"/>
      <c r="AB8963" s="61"/>
      <c r="AC8963" s="61"/>
      <c r="AD8963" s="61"/>
      <c r="AE8963" s="61"/>
      <c r="AF8963" s="61"/>
      <c r="AG8963" s="61"/>
      <c r="AH8963" s="61"/>
      <c r="AI8963" s="61"/>
      <c r="AJ8963" s="61"/>
      <c r="AK8963" s="61"/>
      <c r="AL8963" s="61"/>
      <c r="AM8963" s="61"/>
      <c r="AN8963" s="61"/>
      <c r="AO8963" s="61"/>
    </row>
    <row r="8964" spans="1:41" s="108" customFormat="1" x14ac:dyDescent="0.25">
      <c r="A8964" s="358"/>
      <c r="B8964" s="361"/>
      <c r="C8964" s="221"/>
      <c r="D8964" s="194"/>
      <c r="E8964" s="194"/>
      <c r="F8964" s="194"/>
      <c r="G8964" s="217"/>
      <c r="H8964" s="195"/>
      <c r="I8964" s="159"/>
      <c r="J8964" s="195"/>
      <c r="K8964" s="161"/>
      <c r="L8964" s="196"/>
      <c r="M8964" s="230"/>
      <c r="N8964" s="278"/>
      <c r="O8964" s="280"/>
      <c r="P8964" s="166"/>
      <c r="Q8964" s="166">
        <f t="shared" si="2600"/>
        <v>0</v>
      </c>
      <c r="R8964" s="71"/>
      <c r="S8964" s="61"/>
      <c r="T8964" s="61"/>
      <c r="U8964" s="61"/>
      <c r="V8964" s="61"/>
      <c r="W8964" s="61"/>
      <c r="X8964" s="61"/>
      <c r="Y8964" s="61"/>
      <c r="Z8964" s="61"/>
      <c r="AA8964" s="61"/>
      <c r="AB8964" s="61"/>
      <c r="AC8964" s="61"/>
      <c r="AD8964" s="61"/>
      <c r="AE8964" s="61"/>
      <c r="AF8964" s="61"/>
      <c r="AG8964" s="61"/>
      <c r="AH8964" s="61"/>
      <c r="AI8964" s="61"/>
      <c r="AJ8964" s="61"/>
      <c r="AK8964" s="61"/>
      <c r="AL8964" s="61"/>
      <c r="AM8964" s="61"/>
      <c r="AN8964" s="61"/>
      <c r="AO8964" s="61"/>
    </row>
    <row r="8965" spans="1:41" s="108" customFormat="1" x14ac:dyDescent="0.25">
      <c r="A8965" s="358"/>
      <c r="B8965" s="361"/>
      <c r="C8965" s="365" t="s">
        <v>357</v>
      </c>
      <c r="D8965" s="368" t="s">
        <v>66</v>
      </c>
      <c r="E8965" s="368"/>
      <c r="F8965" s="368"/>
      <c r="G8965" s="368"/>
      <c r="H8965" s="195"/>
      <c r="I8965" s="159"/>
      <c r="J8965" s="195"/>
      <c r="K8965" s="161"/>
      <c r="L8965" s="196"/>
      <c r="M8965" s="230"/>
      <c r="N8965" s="278"/>
      <c r="O8965" s="279">
        <f>O8971</f>
        <v>0.45851547299999995</v>
      </c>
      <c r="P8965" s="166"/>
      <c r="Q8965" s="166">
        <f t="shared" si="2600"/>
        <v>0</v>
      </c>
      <c r="R8965" s="71"/>
      <c r="S8965" s="61"/>
      <c r="T8965" s="61"/>
      <c r="U8965" s="61"/>
      <c r="V8965" s="61"/>
      <c r="W8965" s="61"/>
      <c r="X8965" s="61"/>
      <c r="Y8965" s="61"/>
      <c r="Z8965" s="61"/>
      <c r="AA8965" s="61"/>
      <c r="AB8965" s="61"/>
      <c r="AC8965" s="61"/>
      <c r="AD8965" s="61"/>
      <c r="AE8965" s="61"/>
      <c r="AF8965" s="61"/>
      <c r="AG8965" s="61"/>
      <c r="AH8965" s="61"/>
      <c r="AI8965" s="61"/>
      <c r="AJ8965" s="61"/>
      <c r="AK8965" s="61"/>
      <c r="AL8965" s="61"/>
      <c r="AM8965" s="61"/>
      <c r="AN8965" s="61"/>
      <c r="AO8965" s="61"/>
    </row>
    <row r="8966" spans="1:41" s="61" customFormat="1" x14ac:dyDescent="0.25">
      <c r="A8966" s="358"/>
      <c r="B8966" s="361"/>
      <c r="C8966" s="366"/>
      <c r="D8966" s="284" t="s">
        <v>241</v>
      </c>
      <c r="E8966" s="156" t="s">
        <v>28</v>
      </c>
      <c r="F8966" s="156" t="s">
        <v>28</v>
      </c>
      <c r="G8966" s="238">
        <f>MROUND(H8966*L8966*I8966/K8966,0.00000000001)</f>
        <v>1.9193956999999999E-4</v>
      </c>
      <c r="H8966" s="158">
        <f>H8862</f>
        <v>17</v>
      </c>
      <c r="I8966" s="159">
        <f>I8961</f>
        <v>5.7547999999999995E-2</v>
      </c>
      <c r="J8966" s="160"/>
      <c r="K8966" s="161">
        <f>K8961</f>
        <v>61164</v>
      </c>
      <c r="L8966" s="250">
        <v>12</v>
      </c>
      <c r="M8966" s="163" t="str">
        <f>CONCATENATE(H8966," ",F8966,"*",L8966,"мес.","*",I8966,"/",K8966,"чел/час")</f>
        <v>17 шт*12мес.*0,057548/61164чел/час</v>
      </c>
      <c r="N8966" s="278">
        <f>N8862</f>
        <v>356.56073529411765</v>
      </c>
      <c r="O8966" s="280">
        <f>MROUND(N8966*G8966,0.000001)</f>
        <v>6.8437999999999999E-2</v>
      </c>
      <c r="P8966" s="166"/>
      <c r="Q8966" s="166">
        <f t="shared" si="2600"/>
        <v>4185.9418319999995</v>
      </c>
      <c r="R8966" s="71"/>
    </row>
    <row r="8967" spans="1:41" s="61" customFormat="1" x14ac:dyDescent="0.25">
      <c r="A8967" s="358"/>
      <c r="B8967" s="361"/>
      <c r="C8967" s="366"/>
      <c r="D8967" s="284" t="s">
        <v>242</v>
      </c>
      <c r="E8967" s="156" t="s">
        <v>243</v>
      </c>
      <c r="F8967" s="156" t="s">
        <v>243</v>
      </c>
      <c r="G8967" s="238">
        <f>MROUND(H8967*L8967*I8967/K8967,0.0000000001)</f>
        <v>0.1953944846</v>
      </c>
      <c r="H8967" s="158">
        <f>H8863</f>
        <v>17306</v>
      </c>
      <c r="I8967" s="159">
        <f>I8966</f>
        <v>5.7547999999999995E-2</v>
      </c>
      <c r="J8967" s="160"/>
      <c r="K8967" s="161">
        <f>K8966</f>
        <v>61164</v>
      </c>
      <c r="L8967" s="250">
        <v>12</v>
      </c>
      <c r="M8967" s="163" t="str">
        <f>CONCATENATE(H8967," ",F8967,"*",L8967,"мес.","*",I8967,"/",K8967,"чел/час")</f>
        <v>17306 мин.*12мес.*0,057548/61164чел/час</v>
      </c>
      <c r="N8967" s="278">
        <f>N8863</f>
        <v>0.85373685427019519</v>
      </c>
      <c r="O8967" s="280">
        <f>MROUND(N8967*G8967,0.000000001)</f>
        <v>0.16681547300000002</v>
      </c>
      <c r="P8967" s="166"/>
      <c r="Q8967" s="166">
        <f t="shared" si="2600"/>
        <v>10203.101590572001</v>
      </c>
      <c r="R8967" s="71"/>
    </row>
    <row r="8968" spans="1:41" s="61" customFormat="1" ht="31.5" x14ac:dyDescent="0.25">
      <c r="A8968" s="358"/>
      <c r="B8968" s="361"/>
      <c r="C8968" s="366"/>
      <c r="D8968" s="285" t="s">
        <v>244</v>
      </c>
      <c r="E8968" s="286" t="s">
        <v>245</v>
      </c>
      <c r="F8968" s="286" t="s">
        <v>247</v>
      </c>
      <c r="G8968" s="238">
        <f>MROUND(H8968*L8968*I8968/K8968,0.0000000001)</f>
        <v>5.6452800000000003E-5</v>
      </c>
      <c r="H8968" s="158">
        <f>H8864</f>
        <v>5</v>
      </c>
      <c r="I8968" s="159">
        <f>I8967</f>
        <v>5.7547999999999995E-2</v>
      </c>
      <c r="J8968" s="160"/>
      <c r="K8968" s="161">
        <f>K8967</f>
        <v>61164</v>
      </c>
      <c r="L8968" s="250">
        <v>12</v>
      </c>
      <c r="M8968" s="163" t="str">
        <f>CONCATENATE(H8968," ",F8968,"*",L8968,"мес.","*",I8968,"/",K8968,"чел/час")</f>
        <v>5 радиоточек*12мес.*0,057548/61164чел/час</v>
      </c>
      <c r="N8968" s="278">
        <f>N8864</f>
        <v>180.23333333333335</v>
      </c>
      <c r="O8968" s="280">
        <f>MROUND(N8968*G8968,0.000001)</f>
        <v>1.0175E-2</v>
      </c>
      <c r="P8968" s="166"/>
      <c r="Q8968" s="166">
        <f t="shared" si="2600"/>
        <v>622.34370000000001</v>
      </c>
      <c r="R8968" s="71"/>
    </row>
    <row r="8969" spans="1:41" s="61" customFormat="1" ht="47.25" x14ac:dyDescent="0.25">
      <c r="A8969" s="358"/>
      <c r="B8969" s="361"/>
      <c r="C8969" s="366"/>
      <c r="D8969" s="285" t="s">
        <v>374</v>
      </c>
      <c r="E8969" s="156" t="s">
        <v>28</v>
      </c>
      <c r="F8969" s="156" t="s">
        <v>28</v>
      </c>
      <c r="G8969" s="238">
        <f>MROUND(H8969*L8969*I8969/K8969,0.000000000001)</f>
        <v>2.6344647E-5</v>
      </c>
      <c r="H8969" s="158">
        <f>H8865</f>
        <v>7</v>
      </c>
      <c r="I8969" s="159">
        <f>I8967</f>
        <v>5.7547999999999995E-2</v>
      </c>
      <c r="J8969" s="160"/>
      <c r="K8969" s="161">
        <f>K8967</f>
        <v>61164</v>
      </c>
      <c r="L8969" s="250">
        <f>L8865</f>
        <v>4</v>
      </c>
      <c r="M8969" s="163" t="str">
        <f>CONCATENATE(H8969," ",F8969,"*",L8969,"мес.","*",I8969,"/",K8969,"чел/час")</f>
        <v>7 шт*4мес.*0,057548/61164чел/час</v>
      </c>
      <c r="N8969" s="278">
        <f>N8865</f>
        <v>1366.3700000000001</v>
      </c>
      <c r="O8969" s="280">
        <f>MROUND(N8969*G8969,0.000001)</f>
        <v>3.5997000000000001E-2</v>
      </c>
      <c r="P8969" s="166"/>
      <c r="Q8969" s="166">
        <f t="shared" si="2600"/>
        <v>2201.7205079999999</v>
      </c>
      <c r="R8969" s="71"/>
    </row>
    <row r="8970" spans="1:41" s="61" customFormat="1" x14ac:dyDescent="0.25">
      <c r="A8970" s="358"/>
      <c r="B8970" s="361"/>
      <c r="C8970" s="367"/>
      <c r="D8970" s="284" t="s">
        <v>246</v>
      </c>
      <c r="E8970" s="156" t="s">
        <v>28</v>
      </c>
      <c r="F8970" s="156" t="s">
        <v>28</v>
      </c>
      <c r="G8970" s="238">
        <f>MROUND(H8970*L8970*I8970/K8970,0.000000000001)</f>
        <v>5.6452814999999997E-5</v>
      </c>
      <c r="H8970" s="158">
        <v>5</v>
      </c>
      <c r="I8970" s="159">
        <f>I8968</f>
        <v>5.7547999999999995E-2</v>
      </c>
      <c r="J8970" s="160"/>
      <c r="K8970" s="161">
        <f>K8968</f>
        <v>61164</v>
      </c>
      <c r="L8970" s="250">
        <v>12</v>
      </c>
      <c r="M8970" s="163" t="str">
        <f>CONCATENATE(H8970," ",F8970,"*",L8970,"мес.","*",I8970,"/",K8970,"чел/час")</f>
        <v>5 шт*12мес.*0,057548/61164чел/час</v>
      </c>
      <c r="N8970" s="278">
        <f>N8866</f>
        <v>3136.9611666666665</v>
      </c>
      <c r="O8970" s="280">
        <f>MROUND(N8970*G8970,0.000001)</f>
        <v>0.17709</v>
      </c>
      <c r="P8970" s="166"/>
      <c r="Q8970" s="166">
        <f t="shared" si="2600"/>
        <v>10831.53276</v>
      </c>
      <c r="R8970" s="71"/>
    </row>
    <row r="8971" spans="1:41" s="109" customFormat="1" x14ac:dyDescent="0.25">
      <c r="A8971" s="358"/>
      <c r="B8971" s="361"/>
      <c r="C8971" s="218" t="s">
        <v>358</v>
      </c>
      <c r="D8971" s="287"/>
      <c r="E8971" s="287"/>
      <c r="F8971" s="287"/>
      <c r="G8971" s="288"/>
      <c r="H8971" s="214"/>
      <c r="I8971" s="206"/>
      <c r="J8971" s="214"/>
      <c r="K8971" s="207"/>
      <c r="L8971" s="215"/>
      <c r="M8971" s="289"/>
      <c r="N8971" s="281"/>
      <c r="O8971" s="279">
        <f>SUM(O8966:O8970)</f>
        <v>0.45851547299999995</v>
      </c>
      <c r="P8971" s="267"/>
      <c r="Q8971" s="166">
        <f t="shared" si="2600"/>
        <v>0</v>
      </c>
      <c r="R8971" s="71"/>
      <c r="S8971" s="62"/>
      <c r="T8971" s="62"/>
      <c r="U8971" s="62"/>
      <c r="V8971" s="62"/>
      <c r="W8971" s="62"/>
      <c r="X8971" s="62"/>
      <c r="Y8971" s="62"/>
      <c r="Z8971" s="62"/>
      <c r="AA8971" s="62"/>
      <c r="AB8971" s="62"/>
      <c r="AC8971" s="62"/>
      <c r="AD8971" s="62"/>
      <c r="AE8971" s="62"/>
      <c r="AF8971" s="62"/>
      <c r="AG8971" s="62"/>
      <c r="AH8971" s="62"/>
      <c r="AI8971" s="62"/>
      <c r="AJ8971" s="62"/>
      <c r="AK8971" s="62"/>
      <c r="AL8971" s="62"/>
      <c r="AM8971" s="62"/>
      <c r="AN8971" s="62"/>
      <c r="AO8971" s="62"/>
    </row>
    <row r="8972" spans="1:41" s="108" customFormat="1" x14ac:dyDescent="0.25">
      <c r="A8972" s="358"/>
      <c r="B8972" s="361"/>
      <c r="C8972" s="365" t="s">
        <v>366</v>
      </c>
      <c r="D8972" s="368" t="s">
        <v>67</v>
      </c>
      <c r="E8972" s="368"/>
      <c r="F8972" s="368"/>
      <c r="G8972" s="368"/>
      <c r="H8972" s="195"/>
      <c r="I8972" s="159"/>
      <c r="J8972" s="195"/>
      <c r="K8972" s="161"/>
      <c r="L8972" s="196"/>
      <c r="M8972" s="230"/>
      <c r="N8972" s="278"/>
      <c r="O8972" s="279">
        <f>O8973</f>
        <v>6.123E-2</v>
      </c>
      <c r="P8972" s="166"/>
      <c r="Q8972" s="166">
        <f t="shared" si="2600"/>
        <v>0</v>
      </c>
      <c r="R8972" s="71"/>
      <c r="S8972" s="61"/>
      <c r="T8972" s="61"/>
      <c r="U8972" s="61"/>
      <c r="V8972" s="61"/>
      <c r="W8972" s="61"/>
      <c r="X8972" s="61"/>
      <c r="Y8972" s="61"/>
      <c r="Z8972" s="61"/>
      <c r="AA8972" s="61"/>
      <c r="AB8972" s="61"/>
      <c r="AC8972" s="61"/>
      <c r="AD8972" s="61"/>
      <c r="AE8972" s="61"/>
      <c r="AF8972" s="61"/>
      <c r="AG8972" s="61"/>
      <c r="AH8972" s="61"/>
      <c r="AI8972" s="61"/>
      <c r="AJ8972" s="61"/>
      <c r="AK8972" s="61"/>
      <c r="AL8972" s="61"/>
      <c r="AM8972" s="61"/>
      <c r="AN8972" s="61"/>
      <c r="AO8972" s="61"/>
    </row>
    <row r="8973" spans="1:41" s="61" customFormat="1" x14ac:dyDescent="0.25">
      <c r="A8973" s="358"/>
      <c r="B8973" s="361"/>
      <c r="C8973" s="367"/>
      <c r="D8973" s="194" t="s">
        <v>367</v>
      </c>
      <c r="E8973" s="194" t="s">
        <v>28</v>
      </c>
      <c r="F8973" s="194" t="s">
        <v>28</v>
      </c>
      <c r="G8973" s="217">
        <f>MROUND(H8973*L8973*I8973/K8973,0.00000000001)</f>
        <v>2.2581129999999998E-5</v>
      </c>
      <c r="H8973" s="283">
        <f>H8869</f>
        <v>2</v>
      </c>
      <c r="I8973" s="159">
        <f>I8970</f>
        <v>5.7547999999999995E-2</v>
      </c>
      <c r="J8973" s="195"/>
      <c r="K8973" s="161">
        <f>K8970</f>
        <v>61164</v>
      </c>
      <c r="L8973" s="196">
        <v>12</v>
      </c>
      <c r="M8973" s="163" t="str">
        <f>CONCATENATE(H8973," ",F8973,"*",L8973,"мес.","*",I8973,"/",K8973,"чел/час")</f>
        <v>2 шт*12мес.*0,057548/61164чел/час</v>
      </c>
      <c r="N8973" s="278">
        <f>N8869</f>
        <v>2711.57125</v>
      </c>
      <c r="O8973" s="280">
        <f>MROUND(N8973*G8973,0.000001)</f>
        <v>6.123E-2</v>
      </c>
      <c r="P8973" s="166"/>
      <c r="Q8973" s="166">
        <f t="shared" si="2600"/>
        <v>3745.0717199999999</v>
      </c>
      <c r="R8973" s="71"/>
    </row>
    <row r="8974" spans="1:41" s="108" customFormat="1" x14ac:dyDescent="0.25">
      <c r="A8974" s="358"/>
      <c r="B8974" s="361"/>
      <c r="C8974" s="221"/>
      <c r="D8974" s="350" t="s">
        <v>68</v>
      </c>
      <c r="E8974" s="350"/>
      <c r="F8974" s="350"/>
      <c r="G8974" s="350"/>
      <c r="H8974" s="195"/>
      <c r="I8974" s="159"/>
      <c r="J8974" s="195"/>
      <c r="K8974" s="161"/>
      <c r="L8974" s="196"/>
      <c r="M8974" s="230"/>
      <c r="N8974" s="278"/>
      <c r="O8974" s="280"/>
      <c r="P8974" s="166"/>
      <c r="Q8974" s="166">
        <f t="shared" si="2600"/>
        <v>0</v>
      </c>
      <c r="R8974" s="71"/>
      <c r="S8974" s="61"/>
      <c r="T8974" s="61"/>
      <c r="U8974" s="61"/>
      <c r="V8974" s="61"/>
      <c r="W8974" s="61"/>
      <c r="X8974" s="61"/>
      <c r="Y8974" s="61"/>
      <c r="Z8974" s="61"/>
      <c r="AA8974" s="61"/>
      <c r="AB8974" s="61"/>
      <c r="AC8974" s="61"/>
      <c r="AD8974" s="61"/>
      <c r="AE8974" s="61"/>
      <c r="AF8974" s="61"/>
      <c r="AG8974" s="61"/>
      <c r="AH8974" s="61"/>
      <c r="AI8974" s="61"/>
      <c r="AJ8974" s="61"/>
      <c r="AK8974" s="61"/>
      <c r="AL8974" s="61"/>
      <c r="AM8974" s="61"/>
      <c r="AN8974" s="61"/>
      <c r="AO8974" s="61"/>
    </row>
    <row r="8975" spans="1:41" s="108" customFormat="1" x14ac:dyDescent="0.25">
      <c r="A8975" s="358"/>
      <c r="B8975" s="361"/>
      <c r="C8975" s="221"/>
      <c r="D8975" s="156"/>
      <c r="E8975" s="156"/>
      <c r="F8975" s="156"/>
      <c r="G8975" s="236"/>
      <c r="H8975" s="195"/>
      <c r="I8975" s="159"/>
      <c r="J8975" s="195"/>
      <c r="K8975" s="161"/>
      <c r="L8975" s="196"/>
      <c r="M8975" s="230"/>
      <c r="N8975" s="278"/>
      <c r="O8975" s="280"/>
      <c r="P8975" s="166"/>
      <c r="Q8975" s="166">
        <f t="shared" si="2600"/>
        <v>0</v>
      </c>
      <c r="R8975" s="71"/>
      <c r="S8975" s="61"/>
      <c r="T8975" s="61"/>
      <c r="U8975" s="61"/>
      <c r="V8975" s="61"/>
      <c r="W8975" s="61"/>
      <c r="X8975" s="61"/>
      <c r="Y8975" s="61"/>
      <c r="Z8975" s="61"/>
      <c r="AA8975" s="61"/>
      <c r="AB8975" s="61"/>
      <c r="AC8975" s="61"/>
      <c r="AD8975" s="61"/>
      <c r="AE8975" s="61"/>
      <c r="AF8975" s="61"/>
      <c r="AG8975" s="61"/>
      <c r="AH8975" s="61"/>
      <c r="AI8975" s="61"/>
      <c r="AJ8975" s="61"/>
      <c r="AK8975" s="61"/>
      <c r="AL8975" s="61"/>
      <c r="AM8975" s="61"/>
      <c r="AN8975" s="61"/>
      <c r="AO8975" s="61"/>
    </row>
    <row r="8976" spans="1:41" s="108" customFormat="1" x14ac:dyDescent="0.25">
      <c r="A8976" s="358"/>
      <c r="B8976" s="361"/>
      <c r="C8976" s="221"/>
      <c r="D8976" s="368" t="s">
        <v>69</v>
      </c>
      <c r="E8976" s="368"/>
      <c r="F8976" s="368"/>
      <c r="G8976" s="368"/>
      <c r="H8976" s="187"/>
      <c r="I8976" s="159"/>
      <c r="J8976" s="187"/>
      <c r="K8976" s="161"/>
      <c r="L8976" s="276"/>
      <c r="M8976" s="230"/>
      <c r="N8976" s="278"/>
      <c r="O8976" s="279">
        <f>O8983+O8999+O9002+O9015+O9016+O9017+O9028+O9030+O9034+O9031</f>
        <v>3.4845869999999994</v>
      </c>
      <c r="P8976" s="166"/>
      <c r="Q8976" s="166">
        <f t="shared" si="2600"/>
        <v>0</v>
      </c>
      <c r="R8976" s="71"/>
      <c r="S8976" s="61"/>
      <c r="T8976" s="61"/>
      <c r="U8976" s="61"/>
      <c r="V8976" s="61"/>
      <c r="W8976" s="61"/>
      <c r="X8976" s="61"/>
      <c r="Y8976" s="61"/>
      <c r="Z8976" s="61"/>
      <c r="AA8976" s="61"/>
      <c r="AB8976" s="61"/>
      <c r="AC8976" s="61"/>
      <c r="AD8976" s="61"/>
      <c r="AE8976" s="61"/>
      <c r="AF8976" s="61"/>
      <c r="AG8976" s="61"/>
      <c r="AH8976" s="61"/>
      <c r="AI8976" s="61"/>
      <c r="AJ8976" s="61"/>
      <c r="AK8976" s="61"/>
      <c r="AL8976" s="61"/>
      <c r="AM8976" s="61"/>
      <c r="AN8976" s="61"/>
      <c r="AO8976" s="61"/>
    </row>
    <row r="8977" spans="1:41" s="61" customFormat="1" ht="31.5" x14ac:dyDescent="0.25">
      <c r="A8977" s="358"/>
      <c r="B8977" s="361"/>
      <c r="C8977" s="365" t="s">
        <v>78</v>
      </c>
      <c r="D8977" s="156" t="s">
        <v>26</v>
      </c>
      <c r="E8977" s="156" t="s">
        <v>22</v>
      </c>
      <c r="F8977" s="156" t="s">
        <v>22</v>
      </c>
      <c r="G8977" s="238">
        <f>MROUND(H8977*L8977*I8977/K8977,0.0000000001)</f>
        <v>5.6004128399999999E-2</v>
      </c>
      <c r="H8977" s="158">
        <f>H8873</f>
        <v>4960.26</v>
      </c>
      <c r="I8977" s="159">
        <f>I8973</f>
        <v>5.7547999999999995E-2</v>
      </c>
      <c r="J8977" s="160"/>
      <c r="K8977" s="161">
        <f>K8973</f>
        <v>61164</v>
      </c>
      <c r="L8977" s="250">
        <v>12</v>
      </c>
      <c r="M8977" s="163" t="str">
        <f>CONCATENATE(H8977," ",F8977,"(обрабатываемая площадь в мес.)","*",L8977,"мес.","*",I8977,"/",K8977,"чел/час")</f>
        <v>4960,26 м2(обрабатываемая площадь в мес.)*12мес.*0,057548/61164чел/час</v>
      </c>
      <c r="N8977" s="278">
        <f>N8873</f>
        <v>1.2568900958148699</v>
      </c>
      <c r="O8977" s="280">
        <f>MROUND(N8977*G8977,0.000001)</f>
        <v>7.0390999999999995E-2</v>
      </c>
      <c r="P8977" s="166"/>
      <c r="Q8977" s="166">
        <f t="shared" si="2600"/>
        <v>4305.3951239999997</v>
      </c>
      <c r="R8977" s="71"/>
    </row>
    <row r="8978" spans="1:41" s="61" customFormat="1" ht="31.5" x14ac:dyDescent="0.25">
      <c r="A8978" s="358"/>
      <c r="B8978" s="361"/>
      <c r="C8978" s="366"/>
      <c r="D8978" s="156" t="s">
        <v>96</v>
      </c>
      <c r="E8978" s="156" t="s">
        <v>22</v>
      </c>
      <c r="F8978" s="156" t="s">
        <v>22</v>
      </c>
      <c r="G8978" s="238">
        <f>MROUND(H8978*L8978*I8978/K8978,0.0000000001)</f>
        <v>3.1018112300000001E-2</v>
      </c>
      <c r="H8978" s="158">
        <f>H8874</f>
        <v>2747.26</v>
      </c>
      <c r="I8978" s="159">
        <f>I8977</f>
        <v>5.7547999999999995E-2</v>
      </c>
      <c r="J8978" s="160"/>
      <c r="K8978" s="161">
        <f>K8977</f>
        <v>61164</v>
      </c>
      <c r="L8978" s="250">
        <v>12</v>
      </c>
      <c r="M8978" s="163" t="str">
        <f>CONCATENATE(H8978," ",F8978,"(обрабатываемая площадь в мес.)","*",L8978,"мес.","*",I8978,"/",K8978,"чел/час")</f>
        <v>2747,26 м2(обрабатываемая площадь в мес.)*12мес.*0,057548/61164чел/час</v>
      </c>
      <c r="N8978" s="278">
        <f>N8874</f>
        <v>1.7523653870887115</v>
      </c>
      <c r="O8978" s="280">
        <f>MROUND(N8978*G8978,0.000001)</f>
        <v>5.4355000000000001E-2</v>
      </c>
      <c r="P8978" s="166"/>
      <c r="Q8978" s="166">
        <f t="shared" si="2600"/>
        <v>3324.5692199999999</v>
      </c>
      <c r="R8978" s="71"/>
    </row>
    <row r="8979" spans="1:41" s="135" customFormat="1" ht="31.5" x14ac:dyDescent="0.25">
      <c r="A8979" s="358"/>
      <c r="B8979" s="361"/>
      <c r="C8979" s="366"/>
      <c r="D8979" s="156" t="s">
        <v>385</v>
      </c>
      <c r="E8979" s="156" t="s">
        <v>22</v>
      </c>
      <c r="F8979" s="156" t="s">
        <v>22</v>
      </c>
      <c r="G8979" s="238">
        <f>MROUND(H8979*L8979*I8979/K8979,0.0000000001)</f>
        <v>6.2036224600000002E-2</v>
      </c>
      <c r="H8979" s="242">
        <f>$H$2098</f>
        <v>2747.26</v>
      </c>
      <c r="I8979" s="159">
        <f>I8978</f>
        <v>5.7547999999999995E-2</v>
      </c>
      <c r="J8979" s="160"/>
      <c r="K8979" s="161">
        <f>K8978</f>
        <v>61164</v>
      </c>
      <c r="L8979" s="162">
        <v>24</v>
      </c>
      <c r="M8979" s="163" t="str">
        <f>CONCATENATE(H8979," ",F8979,"(обрабатываемая площадь в год)","*",L8979," раза в год.","*",I8979,"/",K8979,"чел.")</f>
        <v>2747,26 м2(обрабатываемая площадь в год)*24 раза в год.*0,057548/61164чел.</v>
      </c>
      <c r="N8979" s="164">
        <f>$N$8875</f>
        <v>1.9341167805983659</v>
      </c>
      <c r="O8979" s="165">
        <f>MROUND(G8979*N8979,0.000001)</f>
        <v>0.11998499999999999</v>
      </c>
      <c r="P8979" s="166"/>
      <c r="Q8979" s="166">
        <f t="shared" si="2600"/>
        <v>7338.7625399999997</v>
      </c>
      <c r="R8979" s="71"/>
      <c r="S8979" s="61"/>
      <c r="T8979" s="61"/>
      <c r="U8979" s="61"/>
      <c r="V8979" s="61"/>
      <c r="W8979" s="61"/>
      <c r="X8979" s="61"/>
      <c r="Y8979" s="61"/>
      <c r="Z8979" s="61"/>
      <c r="AA8979" s="61"/>
      <c r="AB8979" s="61"/>
      <c r="AC8979" s="61"/>
      <c r="AD8979" s="61"/>
      <c r="AE8979" s="61"/>
      <c r="AF8979" s="61"/>
      <c r="AG8979" s="61"/>
      <c r="AH8979" s="61"/>
      <c r="AI8979" s="61"/>
      <c r="AJ8979" s="61"/>
      <c r="AK8979" s="61"/>
      <c r="AL8979" s="61"/>
      <c r="AM8979" s="61"/>
      <c r="AN8979" s="61"/>
      <c r="AO8979" s="61"/>
    </row>
    <row r="8980" spans="1:41" s="135" customFormat="1" ht="31.5" x14ac:dyDescent="0.25">
      <c r="A8980" s="358"/>
      <c r="B8980" s="361"/>
      <c r="C8980" s="366"/>
      <c r="D8980" s="156" t="s">
        <v>394</v>
      </c>
      <c r="E8980" s="156" t="s">
        <v>22</v>
      </c>
      <c r="F8980" s="156" t="s">
        <v>22</v>
      </c>
      <c r="G8980" s="238">
        <f>MROUND(H8980*L8980*I8980/K8980,0.000000001)</f>
        <v>5.6004128E-2</v>
      </c>
      <c r="H8980" s="243">
        <f>$H$2099</f>
        <v>4960.26</v>
      </c>
      <c r="I8980" s="159">
        <f>I8979</f>
        <v>5.7547999999999995E-2</v>
      </c>
      <c r="J8980" s="160"/>
      <c r="K8980" s="161">
        <f>K8979</f>
        <v>61164</v>
      </c>
      <c r="L8980" s="162">
        <v>12</v>
      </c>
      <c r="M8980" s="163" t="str">
        <f>CONCATENATE(H8980," ",F8980,"(обрабатываемая площадь в мес.)","*",L8980,"мес.","*",I8980,"/",K8980,"чел.")</f>
        <v>4960,26 м2(обрабатываемая площадь в мес.)*12мес.*0,057548/61164чел.</v>
      </c>
      <c r="N8980" s="164">
        <f>$N$8876</f>
        <v>0.59287281983874496</v>
      </c>
      <c r="O8980" s="165">
        <f>MROUND(G8980*N8980,0.000001)</f>
        <v>3.3202999999999996E-2</v>
      </c>
      <c r="P8980" s="166"/>
      <c r="Q8980" s="166">
        <f t="shared" si="2600"/>
        <v>2030.8282919999997</v>
      </c>
      <c r="R8980" s="71"/>
      <c r="S8980" s="61"/>
      <c r="T8980" s="61"/>
      <c r="U8980" s="61"/>
      <c r="V8980" s="61"/>
      <c r="W8980" s="61"/>
      <c r="X8980" s="61"/>
      <c r="Y8980" s="61"/>
      <c r="Z8980" s="61"/>
      <c r="AA8980" s="61"/>
      <c r="AB8980" s="61"/>
      <c r="AC8980" s="61"/>
      <c r="AD8980" s="61"/>
      <c r="AE8980" s="61"/>
      <c r="AF8980" s="61"/>
      <c r="AG8980" s="61"/>
      <c r="AH8980" s="61"/>
      <c r="AI8980" s="61"/>
      <c r="AJ8980" s="61"/>
      <c r="AK8980" s="61"/>
      <c r="AL8980" s="61"/>
      <c r="AM8980" s="61"/>
      <c r="AN8980" s="61"/>
      <c r="AO8980" s="61"/>
    </row>
    <row r="8981" spans="1:41" s="135" customFormat="1" ht="31.5" x14ac:dyDescent="0.25">
      <c r="A8981" s="358"/>
      <c r="B8981" s="361"/>
      <c r="C8981" s="366"/>
      <c r="D8981" s="156" t="s">
        <v>395</v>
      </c>
      <c r="E8981" s="156" t="s">
        <v>98</v>
      </c>
      <c r="F8981" s="156" t="s">
        <v>98</v>
      </c>
      <c r="G8981" s="238">
        <f>MROUND(H8981*L8981*I8981/K8981,0.0000000000001)</f>
        <v>1.7688549E-6</v>
      </c>
      <c r="H8981" s="242">
        <f>$H$2100</f>
        <v>1.8800000000000001</v>
      </c>
      <c r="I8981" s="159">
        <f>I8980</f>
        <v>5.7547999999999995E-2</v>
      </c>
      <c r="J8981" s="160"/>
      <c r="K8981" s="161">
        <f>K8980</f>
        <v>61164</v>
      </c>
      <c r="L8981" s="162">
        <v>1</v>
      </c>
      <c r="M8981" s="163" t="str">
        <f>CONCATENATE(H8981," ",F8981,"(обрабатываемая площадь в год)","*",L8981," раз в год","*",I8981,"/",K8981,"чел.")</f>
        <v>1,88 Га(обрабатываемая площадь в год)*1 раз в год*0,057548/61164чел.</v>
      </c>
      <c r="N8981" s="164">
        <f>$N$8877</f>
        <v>592.87234042553177</v>
      </c>
      <c r="O8981" s="165">
        <f>MROUND(G8981*N8981,0.000001)</f>
        <v>1.049E-3</v>
      </c>
      <c r="P8981" s="166"/>
      <c r="Q8981" s="166">
        <f t="shared" si="2600"/>
        <v>64.161035999999996</v>
      </c>
      <c r="R8981" s="71"/>
      <c r="S8981" s="61"/>
      <c r="T8981" s="61"/>
      <c r="U8981" s="61"/>
      <c r="V8981" s="61"/>
      <c r="W8981" s="61"/>
      <c r="X8981" s="61"/>
      <c r="Y8981" s="61"/>
      <c r="Z8981" s="61"/>
      <c r="AA8981" s="61"/>
      <c r="AB8981" s="61"/>
      <c r="AC8981" s="61"/>
      <c r="AD8981" s="61"/>
      <c r="AE8981" s="61"/>
      <c r="AF8981" s="61"/>
      <c r="AG8981" s="61"/>
      <c r="AH8981" s="61"/>
      <c r="AI8981" s="61"/>
      <c r="AJ8981" s="61"/>
      <c r="AK8981" s="61"/>
      <c r="AL8981" s="61"/>
      <c r="AM8981" s="61"/>
      <c r="AN8981" s="61"/>
      <c r="AO8981" s="61"/>
    </row>
    <row r="8982" spans="1:41" s="61" customFormat="1" ht="31.5" x14ac:dyDescent="0.25">
      <c r="A8982" s="358"/>
      <c r="B8982" s="361"/>
      <c r="C8982" s="367"/>
      <c r="D8982" s="156" t="s">
        <v>97</v>
      </c>
      <c r="E8982" s="156" t="s">
        <v>363</v>
      </c>
      <c r="F8982" s="156" t="s">
        <v>363</v>
      </c>
      <c r="G8982" s="238">
        <f>MROUND(H8982*L8982*I8982/K8982,0.00000000001)</f>
        <v>1.7688499999999998E-6</v>
      </c>
      <c r="H8982" s="158">
        <f>$H$2101</f>
        <v>1.8800000000000001</v>
      </c>
      <c r="I8982" s="159">
        <f>I8978</f>
        <v>5.7547999999999995E-2</v>
      </c>
      <c r="J8982" s="160"/>
      <c r="K8982" s="161">
        <f>K8978</f>
        <v>61164</v>
      </c>
      <c r="L8982" s="250">
        <v>1</v>
      </c>
      <c r="M8982" s="163" t="str">
        <f>CONCATENATE(H8982," ",F8982,"(обрабатываемая площадь в мес.)","*",L8982,"мес.","*",I8982,"/",K8982,"чел/час")</f>
        <v>1,88 га(обрабатываемая площадь в мес.)*1мес.*0,057548/61164чел/час</v>
      </c>
      <c r="N8982" s="278">
        <f>$N$8878</f>
        <v>3226.4999999999995</v>
      </c>
      <c r="O8982" s="280">
        <f>MROUND(N8982*G8982,0.000001)</f>
        <v>5.7069999999999994E-3</v>
      </c>
      <c r="P8982" s="166"/>
      <c r="Q8982" s="166">
        <f t="shared" si="2600"/>
        <v>349.06294799999995</v>
      </c>
      <c r="R8982" s="71"/>
    </row>
    <row r="8983" spans="1:41" s="109" customFormat="1" x14ac:dyDescent="0.25">
      <c r="A8983" s="358"/>
      <c r="B8983" s="361"/>
      <c r="C8983" s="218" t="s">
        <v>327</v>
      </c>
      <c r="D8983" s="240"/>
      <c r="E8983" s="240"/>
      <c r="F8983" s="240"/>
      <c r="G8983" s="227"/>
      <c r="H8983" s="241"/>
      <c r="I8983" s="206"/>
      <c r="J8983" s="228"/>
      <c r="K8983" s="207"/>
      <c r="L8983" s="257"/>
      <c r="M8983" s="209"/>
      <c r="N8983" s="281"/>
      <c r="O8983" s="279">
        <f>SUM(O8977:O8982)</f>
        <v>0.28469</v>
      </c>
      <c r="P8983" s="267"/>
      <c r="Q8983" s="166"/>
      <c r="R8983" s="71"/>
      <c r="S8983" s="62"/>
      <c r="T8983" s="62"/>
      <c r="U8983" s="62"/>
      <c r="V8983" s="62"/>
      <c r="W8983" s="62"/>
      <c r="X8983" s="62"/>
      <c r="Y8983" s="62"/>
      <c r="Z8983" s="62"/>
      <c r="AA8983" s="62"/>
      <c r="AB8983" s="62"/>
      <c r="AC8983" s="62"/>
      <c r="AD8983" s="62"/>
      <c r="AE8983" s="62"/>
      <c r="AF8983" s="62"/>
      <c r="AG8983" s="62"/>
      <c r="AH8983" s="62"/>
      <c r="AI8983" s="62"/>
      <c r="AJ8983" s="62"/>
      <c r="AK8983" s="62"/>
      <c r="AL8983" s="62"/>
      <c r="AM8983" s="62"/>
      <c r="AN8983" s="62"/>
      <c r="AO8983" s="62"/>
    </row>
    <row r="8984" spans="1:41" s="61" customFormat="1" x14ac:dyDescent="0.25">
      <c r="A8984" s="358"/>
      <c r="B8984" s="361"/>
      <c r="C8984" s="366" t="s">
        <v>77</v>
      </c>
      <c r="D8984" s="156" t="s">
        <v>397</v>
      </c>
      <c r="E8984" s="156" t="s">
        <v>433</v>
      </c>
      <c r="F8984" s="156" t="s">
        <v>433</v>
      </c>
      <c r="G8984" s="238">
        <f>MROUND(H8984*L8984*I8984/K8984,0.000000000001)</f>
        <v>0</v>
      </c>
      <c r="H8984" s="158"/>
      <c r="I8984" s="159">
        <f>I8978</f>
        <v>5.7547999999999995E-2</v>
      </c>
      <c r="J8984" s="160"/>
      <c r="K8984" s="161">
        <f>K8978</f>
        <v>61164</v>
      </c>
      <c r="L8984" s="162">
        <v>1</v>
      </c>
      <c r="M8984" s="163"/>
      <c r="N8984" s="278"/>
      <c r="O8984" s="280">
        <f t="shared" ref="O8984:O8995" si="2601">MROUND(N8984*G8984,0.000001)</f>
        <v>0</v>
      </c>
      <c r="P8984" s="166"/>
      <c r="Q8984" s="166">
        <f t="shared" ref="Q8984:Q8998" si="2602">O8984*K8984</f>
        <v>0</v>
      </c>
      <c r="R8984" s="71"/>
    </row>
    <row r="8985" spans="1:41" s="61" customFormat="1" ht="63" x14ac:dyDescent="0.25">
      <c r="A8985" s="358"/>
      <c r="B8985" s="361"/>
      <c r="C8985" s="366"/>
      <c r="D8985" s="156" t="s">
        <v>249</v>
      </c>
      <c r="E8985" s="156" t="s">
        <v>22</v>
      </c>
      <c r="F8985" s="156" t="s">
        <v>22</v>
      </c>
      <c r="G8985" s="238">
        <f t="shared" ref="G8985:G8998" si="2603">MROUND(H8985*L8985*I8985/K8985,0.000000000001)</f>
        <v>7.799408067E-3</v>
      </c>
      <c r="H8985" s="158">
        <f>H8881</f>
        <v>690.79</v>
      </c>
      <c r="I8985" s="159">
        <f>I8984</f>
        <v>5.7547999999999995E-2</v>
      </c>
      <c r="J8985" s="160"/>
      <c r="K8985" s="161">
        <f>K8984</f>
        <v>61164</v>
      </c>
      <c r="L8985" s="250">
        <v>12</v>
      </c>
      <c r="M8985" s="163" t="str">
        <f>CONCATENATE(H8985," ",F8985,"*",L8985,"мес.","*",I8985,"/",K8985,"чел/час")</f>
        <v>690,79 м2*12мес.*0,057548/61164чел/час</v>
      </c>
      <c r="N8985" s="278">
        <f>N8881</f>
        <v>32.968811071382042</v>
      </c>
      <c r="O8985" s="280">
        <f t="shared" si="2601"/>
        <v>0.257137</v>
      </c>
      <c r="P8985" s="166"/>
      <c r="Q8985" s="166">
        <f t="shared" si="2602"/>
        <v>15727.527468</v>
      </c>
      <c r="R8985" s="71"/>
    </row>
    <row r="8986" spans="1:41" s="136" customFormat="1" x14ac:dyDescent="0.25">
      <c r="A8986" s="358"/>
      <c r="B8986" s="361"/>
      <c r="C8986" s="366"/>
      <c r="D8986" s="194" t="s">
        <v>398</v>
      </c>
      <c r="E8986" s="156" t="s">
        <v>60</v>
      </c>
      <c r="F8986" s="156" t="s">
        <v>60</v>
      </c>
      <c r="G8986" s="238">
        <f t="shared" si="2603"/>
        <v>4.7044009999999996E-6</v>
      </c>
      <c r="H8986" s="158">
        <f>$H$2105</f>
        <v>5</v>
      </c>
      <c r="I8986" s="159">
        <f>I8985</f>
        <v>5.7547999999999995E-2</v>
      </c>
      <c r="J8986" s="160"/>
      <c r="K8986" s="161">
        <f>K8985</f>
        <v>61164</v>
      </c>
      <c r="L8986" s="250">
        <v>1</v>
      </c>
      <c r="M8986" s="163" t="str">
        <f>CONCATENATE(H8986," ",F8986,"*",I8986,"/",K8986,"чел/час")</f>
        <v>5 шт.*0,057548/61164чел/час</v>
      </c>
      <c r="N8986" s="278">
        <f>$N$8882</f>
        <v>5928.7300000000005</v>
      </c>
      <c r="O8986" s="280">
        <f t="shared" si="2601"/>
        <v>2.7890999999999999E-2</v>
      </c>
      <c r="P8986" s="166"/>
      <c r="Q8986" s="166">
        <f t="shared" si="2602"/>
        <v>1705.9251239999999</v>
      </c>
      <c r="R8986" s="71"/>
      <c r="S8986" s="61"/>
      <c r="T8986" s="61"/>
      <c r="U8986" s="61"/>
      <c r="V8986" s="61"/>
      <c r="W8986" s="61"/>
      <c r="X8986" s="61"/>
      <c r="Y8986" s="61"/>
      <c r="Z8986" s="61"/>
      <c r="AA8986" s="61"/>
      <c r="AB8986" s="61"/>
      <c r="AC8986" s="61"/>
      <c r="AD8986" s="61"/>
      <c r="AE8986" s="61"/>
      <c r="AF8986" s="61"/>
      <c r="AG8986" s="61"/>
      <c r="AH8986" s="61"/>
      <c r="AI8986" s="61"/>
      <c r="AJ8986" s="61"/>
      <c r="AK8986" s="61"/>
      <c r="AL8986" s="61"/>
      <c r="AM8986" s="61"/>
      <c r="AN8986" s="61"/>
      <c r="AO8986" s="61"/>
    </row>
    <row r="8987" spans="1:41" s="136" customFormat="1" ht="63" x14ac:dyDescent="0.25">
      <c r="A8987" s="358"/>
      <c r="B8987" s="361"/>
      <c r="C8987" s="366"/>
      <c r="D8987" s="156" t="s">
        <v>33</v>
      </c>
      <c r="E8987" s="156" t="s">
        <v>56</v>
      </c>
      <c r="F8987" s="156" t="s">
        <v>220</v>
      </c>
      <c r="G8987" s="238">
        <f t="shared" si="2603"/>
        <v>4.7044009999999996E-6</v>
      </c>
      <c r="H8987" s="158">
        <f>$H$2106</f>
        <v>5</v>
      </c>
      <c r="I8987" s="159">
        <f>I8986</f>
        <v>5.7547999999999995E-2</v>
      </c>
      <c r="J8987" s="160"/>
      <c r="K8987" s="161">
        <f>K8986</f>
        <v>61164</v>
      </c>
      <c r="L8987" s="250">
        <f>$L$2106</f>
        <v>1</v>
      </c>
      <c r="M8987" s="163" t="str">
        <f>CONCATENATE(H8987," ",F8987,"*",L8987," раз в год","*",I8987,"/",K8987,"чел.")</f>
        <v>5 дымоходов*1 раз в год*0,057548/61164чел.</v>
      </c>
      <c r="N8987" s="278">
        <f>$N$8883</f>
        <v>7114.4699999999993</v>
      </c>
      <c r="O8987" s="280">
        <f t="shared" si="2601"/>
        <v>3.3468999999999999E-2</v>
      </c>
      <c r="P8987" s="166"/>
      <c r="Q8987" s="166">
        <f t="shared" si="2602"/>
        <v>2047.0979159999999</v>
      </c>
      <c r="R8987" s="71"/>
      <c r="S8987" s="61"/>
      <c r="T8987" s="61"/>
      <c r="U8987" s="61"/>
      <c r="V8987" s="61"/>
      <c r="W8987" s="61"/>
      <c r="X8987" s="61"/>
      <c r="Y8987" s="61"/>
      <c r="Z8987" s="61"/>
      <c r="AA8987" s="61"/>
      <c r="AB8987" s="61"/>
      <c r="AC8987" s="61"/>
      <c r="AD8987" s="61"/>
      <c r="AE8987" s="61"/>
      <c r="AF8987" s="61"/>
      <c r="AG8987" s="61"/>
      <c r="AH8987" s="61"/>
      <c r="AI8987" s="61"/>
      <c r="AJ8987" s="61"/>
      <c r="AK8987" s="61"/>
      <c r="AL8987" s="61"/>
      <c r="AM8987" s="61"/>
      <c r="AN8987" s="61"/>
      <c r="AO8987" s="61"/>
    </row>
    <row r="8988" spans="1:41" s="61" customFormat="1" ht="78.75" x14ac:dyDescent="0.25">
      <c r="A8988" s="358"/>
      <c r="B8988" s="361"/>
      <c r="C8988" s="366"/>
      <c r="D8988" s="156" t="s">
        <v>250</v>
      </c>
      <c r="E8988" s="156" t="s">
        <v>251</v>
      </c>
      <c r="F8988" s="156" t="s">
        <v>60</v>
      </c>
      <c r="G8988" s="238">
        <f t="shared" si="2603"/>
        <v>4.7044009999999996E-6</v>
      </c>
      <c r="H8988" s="158">
        <f>$H$2107</f>
        <v>5</v>
      </c>
      <c r="I8988" s="159">
        <f>I8985</f>
        <v>5.7547999999999995E-2</v>
      </c>
      <c r="J8988" s="160"/>
      <c r="K8988" s="161">
        <f>K8985</f>
        <v>61164</v>
      </c>
      <c r="L8988" s="250">
        <v>1</v>
      </c>
      <c r="M8988" s="163" t="str">
        <f>CONCATENATE(H8988," ",F8988,"*",I8988,"/",K8988,"чел/час")</f>
        <v>5 шт.*0,057548/61164чел/час</v>
      </c>
      <c r="N8988" s="278">
        <f t="shared" ref="N8988:N8998" si="2604">N8884</f>
        <v>4742.9800000000005</v>
      </c>
      <c r="O8988" s="280">
        <f t="shared" si="2601"/>
        <v>2.2313E-2</v>
      </c>
      <c r="P8988" s="166"/>
      <c r="Q8988" s="166">
        <f t="shared" si="2602"/>
        <v>1364.752332</v>
      </c>
      <c r="R8988" s="71"/>
    </row>
    <row r="8989" spans="1:41" s="61" customFormat="1" ht="47.25" x14ac:dyDescent="0.25">
      <c r="A8989" s="358"/>
      <c r="B8989" s="361"/>
      <c r="C8989" s="366"/>
      <c r="D8989" s="156" t="s">
        <v>401</v>
      </c>
      <c r="E8989" s="156" t="s">
        <v>60</v>
      </c>
      <c r="F8989" s="156" t="s">
        <v>402</v>
      </c>
      <c r="G8989" s="238">
        <f t="shared" si="2603"/>
        <v>9.4088030000000003E-6</v>
      </c>
      <c r="H8989" s="158">
        <f>H8885</f>
        <v>5</v>
      </c>
      <c r="I8989" s="159">
        <f>I8988</f>
        <v>5.7547999999999995E-2</v>
      </c>
      <c r="J8989" s="160"/>
      <c r="K8989" s="161">
        <f>K8988</f>
        <v>61164</v>
      </c>
      <c r="L8989" s="250">
        <f>$L$2108</f>
        <v>2</v>
      </c>
      <c r="M8989" s="163" t="str">
        <f>CONCATENATE(H8989," ",F8989,"*",I8989,"/",K8989,"чел/час")</f>
        <v>5 противопожарных водопроводов*0,057548/61164чел/час</v>
      </c>
      <c r="N8989" s="278">
        <f t="shared" si="2604"/>
        <v>2964.3650000000002</v>
      </c>
      <c r="O8989" s="280">
        <f t="shared" si="2601"/>
        <v>2.7890999999999999E-2</v>
      </c>
      <c r="P8989" s="166"/>
      <c r="Q8989" s="166">
        <f t="shared" si="2602"/>
        <v>1705.9251239999999</v>
      </c>
      <c r="R8989" s="71"/>
    </row>
    <row r="8990" spans="1:41" s="61" customFormat="1" ht="47.25" x14ac:dyDescent="0.25">
      <c r="A8990" s="358"/>
      <c r="B8990" s="361"/>
      <c r="C8990" s="366"/>
      <c r="D8990" s="156" t="s">
        <v>34</v>
      </c>
      <c r="E8990" s="156" t="s">
        <v>59</v>
      </c>
      <c r="F8990" s="156" t="s">
        <v>28</v>
      </c>
      <c r="G8990" s="238">
        <f t="shared" si="2603"/>
        <v>1.8817609999999999E-6</v>
      </c>
      <c r="H8990" s="158">
        <f>H8886</f>
        <v>2</v>
      </c>
      <c r="I8990" s="159">
        <f>I8989</f>
        <v>5.7547999999999995E-2</v>
      </c>
      <c r="J8990" s="160"/>
      <c r="K8990" s="161">
        <f>K8989</f>
        <v>61164</v>
      </c>
      <c r="L8990" s="250">
        <v>1</v>
      </c>
      <c r="M8990" s="163" t="str">
        <f>CONCATENATE(H8990," ",F8990,"*",I8990,"/",K8990,"чел/час")</f>
        <v>2 шт*0,057548/61164чел/час</v>
      </c>
      <c r="N8990" s="278">
        <f t="shared" si="2604"/>
        <v>8158.8</v>
      </c>
      <c r="O8990" s="280">
        <f t="shared" si="2601"/>
        <v>1.5352999999999999E-2</v>
      </c>
      <c r="P8990" s="166"/>
      <c r="Q8990" s="166">
        <f t="shared" si="2602"/>
        <v>939.05089199999986</v>
      </c>
      <c r="R8990" s="71"/>
    </row>
    <row r="8991" spans="1:41" s="61" customFormat="1" ht="47.25" x14ac:dyDescent="0.25">
      <c r="A8991" s="358"/>
      <c r="B8991" s="361"/>
      <c r="C8991" s="366"/>
      <c r="D8991" s="156" t="s">
        <v>222</v>
      </c>
      <c r="E8991" s="156" t="s">
        <v>60</v>
      </c>
      <c r="F8991" s="156" t="s">
        <v>60</v>
      </c>
      <c r="G8991" s="238">
        <f t="shared" si="2603"/>
        <v>1.8817609999999999E-6</v>
      </c>
      <c r="H8991" s="158">
        <f>H8887</f>
        <v>2</v>
      </c>
      <c r="I8991" s="159">
        <f>I8990</f>
        <v>5.7547999999999995E-2</v>
      </c>
      <c r="J8991" s="160"/>
      <c r="K8991" s="161">
        <f>K8990</f>
        <v>61164</v>
      </c>
      <c r="L8991" s="250">
        <v>1</v>
      </c>
      <c r="M8991" s="163" t="str">
        <f>CONCATENATE(H8991," ",F8991,"*",I8991,"/",K8991,"чел/час")</f>
        <v>2 шт.*0,057548/61164чел/час</v>
      </c>
      <c r="N8991" s="278">
        <f t="shared" si="2604"/>
        <v>14141.92</v>
      </c>
      <c r="O8991" s="280">
        <f t="shared" si="2601"/>
        <v>2.6612E-2</v>
      </c>
      <c r="P8991" s="166"/>
      <c r="Q8991" s="166">
        <f t="shared" si="2602"/>
        <v>1627.6963680000001</v>
      </c>
      <c r="R8991" s="71"/>
    </row>
    <row r="8992" spans="1:41" s="61" customFormat="1" ht="31.5" x14ac:dyDescent="0.25">
      <c r="A8992" s="358"/>
      <c r="B8992" s="361"/>
      <c r="C8992" s="366"/>
      <c r="D8992" s="156" t="s">
        <v>35</v>
      </c>
      <c r="E8992" s="156" t="s">
        <v>102</v>
      </c>
      <c r="F8992" s="156" t="s">
        <v>252</v>
      </c>
      <c r="G8992" s="238">
        <f t="shared" si="2603"/>
        <v>1.8817609999999999E-6</v>
      </c>
      <c r="H8992" s="158">
        <f>H8888</f>
        <v>2</v>
      </c>
      <c r="I8992" s="159">
        <f>I8990</f>
        <v>5.7547999999999995E-2</v>
      </c>
      <c r="J8992" s="160"/>
      <c r="K8992" s="161">
        <f>K8990</f>
        <v>61164</v>
      </c>
      <c r="L8992" s="250">
        <v>1</v>
      </c>
      <c r="M8992" s="163" t="str">
        <f>CONCATENATE(H8992," ",F8992,"*",I8992,"/",K8992,"чел/час")</f>
        <v>2 замера*0,057548/61164чел/час</v>
      </c>
      <c r="N8992" s="278">
        <f t="shared" si="2604"/>
        <v>40794</v>
      </c>
      <c r="O8992" s="280">
        <f t="shared" si="2601"/>
        <v>7.6765E-2</v>
      </c>
      <c r="P8992" s="166"/>
      <c r="Q8992" s="166">
        <f t="shared" si="2602"/>
        <v>4695.2544600000001</v>
      </c>
      <c r="R8992" s="71"/>
    </row>
    <row r="8993" spans="1:41" s="61" customFormat="1" ht="47.25" x14ac:dyDescent="0.25">
      <c r="A8993" s="358"/>
      <c r="B8993" s="361"/>
      <c r="C8993" s="366"/>
      <c r="D8993" s="156" t="s">
        <v>399</v>
      </c>
      <c r="E8993" s="156" t="s">
        <v>60</v>
      </c>
      <c r="F8993" s="156" t="s">
        <v>60</v>
      </c>
      <c r="G8993" s="238">
        <f t="shared" si="2603"/>
        <v>3.7635210000000002E-5</v>
      </c>
      <c r="H8993" s="158">
        <f>$H$2112</f>
        <v>4</v>
      </c>
      <c r="I8993" s="159">
        <f>I8992</f>
        <v>5.7547999999999995E-2</v>
      </c>
      <c r="J8993" s="160"/>
      <c r="K8993" s="161">
        <f>K8992</f>
        <v>61164</v>
      </c>
      <c r="L8993" s="250">
        <v>10</v>
      </c>
      <c r="M8993" s="163" t="str">
        <f>CONCATENATE(H8993," ",F8993,"*",L8993,"мес.","*",I8993,"/",K8993,"чел/час")</f>
        <v>4 шт.*10мес.*0,057548/61164чел/час</v>
      </c>
      <c r="N8993" s="278">
        <f t="shared" si="2604"/>
        <v>2623.4625000000001</v>
      </c>
      <c r="O8993" s="280">
        <f t="shared" si="2601"/>
        <v>9.8734999999999989E-2</v>
      </c>
      <c r="P8993" s="166"/>
      <c r="Q8993" s="166">
        <f t="shared" si="2602"/>
        <v>6039.0275399999991</v>
      </c>
      <c r="R8993" s="71"/>
    </row>
    <row r="8994" spans="1:41" s="61" customFormat="1" ht="47.25" x14ac:dyDescent="0.25">
      <c r="A8994" s="358"/>
      <c r="B8994" s="361"/>
      <c r="C8994" s="366"/>
      <c r="D8994" s="156" t="s">
        <v>36</v>
      </c>
      <c r="E8994" s="156" t="s">
        <v>31</v>
      </c>
      <c r="F8994" s="156" t="s">
        <v>224</v>
      </c>
      <c r="G8994" s="238">
        <f t="shared" si="2603"/>
        <v>9.0324504999999999E-5</v>
      </c>
      <c r="H8994" s="158">
        <f>H8890</f>
        <v>8</v>
      </c>
      <c r="I8994" s="159">
        <f>I8993</f>
        <v>5.7547999999999995E-2</v>
      </c>
      <c r="J8994" s="160"/>
      <c r="K8994" s="161">
        <f>K8993</f>
        <v>61164</v>
      </c>
      <c r="L8994" s="250">
        <v>12</v>
      </c>
      <c r="M8994" s="163" t="str">
        <f>CONCATENATE(H8994," ",F8994,"*",L8994,"мес.","*",I8994,"/",K8994,"чел/час")</f>
        <v>8 устройств*12мес.*0,057548/61164чел/час</v>
      </c>
      <c r="N8994" s="278">
        <f t="shared" si="2604"/>
        <v>2393.2480208333336</v>
      </c>
      <c r="O8994" s="280">
        <f t="shared" si="2601"/>
        <v>0.216169</v>
      </c>
      <c r="P8994" s="166"/>
      <c r="Q8994" s="166">
        <f t="shared" si="2602"/>
        <v>13221.760716000001</v>
      </c>
      <c r="R8994" s="71"/>
    </row>
    <row r="8995" spans="1:41" s="61" customFormat="1" ht="63" x14ac:dyDescent="0.25">
      <c r="A8995" s="358"/>
      <c r="B8995" s="361"/>
      <c r="C8995" s="366"/>
      <c r="D8995" s="156" t="s">
        <v>253</v>
      </c>
      <c r="E8995" s="156" t="s">
        <v>55</v>
      </c>
      <c r="F8995" s="156" t="s">
        <v>55</v>
      </c>
      <c r="G8995" s="238">
        <f t="shared" si="2603"/>
        <v>5.6452814999999997E-5</v>
      </c>
      <c r="H8995" s="158">
        <f>H8891</f>
        <v>5</v>
      </c>
      <c r="I8995" s="159">
        <f>I8994</f>
        <v>5.7547999999999995E-2</v>
      </c>
      <c r="J8995" s="160"/>
      <c r="K8995" s="161">
        <f>K8994</f>
        <v>61164</v>
      </c>
      <c r="L8995" s="250">
        <v>12</v>
      </c>
      <c r="M8995" s="163" t="str">
        <f>CONCATENATE(H8995," ",F8995,"*",I8995,"/",K8995,"чел/час")</f>
        <v>5 система*0,057548/61164чел/час</v>
      </c>
      <c r="N8995" s="278">
        <f t="shared" si="2604"/>
        <v>4624.4081666666671</v>
      </c>
      <c r="O8995" s="280">
        <f t="shared" si="2601"/>
        <v>0.26106099999999999</v>
      </c>
      <c r="P8995" s="166"/>
      <c r="Q8995" s="166">
        <f t="shared" si="2602"/>
        <v>15967.535003999999</v>
      </c>
      <c r="R8995" s="71"/>
    </row>
    <row r="8996" spans="1:41" s="61" customFormat="1" ht="31.5" x14ac:dyDescent="0.25">
      <c r="A8996" s="358"/>
      <c r="B8996" s="361"/>
      <c r="C8996" s="366"/>
      <c r="D8996" s="156" t="s">
        <v>99</v>
      </c>
      <c r="E8996" s="156" t="s">
        <v>103</v>
      </c>
      <c r="F8996" s="156" t="s">
        <v>225</v>
      </c>
      <c r="G8996" s="238">
        <f t="shared" si="2603"/>
        <v>2.3522005999999999E-5</v>
      </c>
      <c r="H8996" s="158">
        <f>H8892</f>
        <v>25</v>
      </c>
      <c r="I8996" s="159">
        <f>I8995</f>
        <v>5.7547999999999995E-2</v>
      </c>
      <c r="J8996" s="160"/>
      <c r="K8996" s="161">
        <f>K8995</f>
        <v>61164</v>
      </c>
      <c r="L8996" s="250">
        <v>1</v>
      </c>
      <c r="M8996" s="163" t="str">
        <f>CONCATENATE(H8996," ",F8996,"*",I8996,"/",K8996,"чел.")</f>
        <v>25 ед.*0,057548/61164чел.</v>
      </c>
      <c r="N8996" s="164">
        <f t="shared" si="2604"/>
        <v>15690</v>
      </c>
      <c r="O8996" s="165">
        <f>MROUND(G8996*N8996,0.000001)</f>
        <v>0.36906</v>
      </c>
      <c r="P8996" s="166"/>
      <c r="Q8996" s="166">
        <f t="shared" si="2602"/>
        <v>22573.185839999998</v>
      </c>
      <c r="R8996" s="71"/>
    </row>
    <row r="8997" spans="1:41" s="61" customFormat="1" x14ac:dyDescent="0.25">
      <c r="A8997" s="358"/>
      <c r="B8997" s="361"/>
      <c r="C8997" s="366"/>
      <c r="D8997" s="156" t="s">
        <v>27</v>
      </c>
      <c r="E8997" s="156" t="s">
        <v>28</v>
      </c>
      <c r="F8997" s="156" t="s">
        <v>28</v>
      </c>
      <c r="G8997" s="238">
        <f t="shared" si="2603"/>
        <v>1.4113203799999999E-4</v>
      </c>
      <c r="H8997" s="160">
        <f>H8893</f>
        <v>150</v>
      </c>
      <c r="I8997" s="159">
        <f>I8995</f>
        <v>5.7547999999999995E-2</v>
      </c>
      <c r="J8997" s="160"/>
      <c r="K8997" s="161">
        <f>K8995</f>
        <v>61164</v>
      </c>
      <c r="L8997" s="250">
        <v>1</v>
      </c>
      <c r="M8997" s="163" t="str">
        <f>CONCATENATE(H8997," ",F8997,"*",I8997,"/",K8997,"чел/час")</f>
        <v>150 шт*0,057548/61164чел/час</v>
      </c>
      <c r="N8997" s="278">
        <f t="shared" si="2604"/>
        <v>435.13599999999997</v>
      </c>
      <c r="O8997" s="280">
        <f t="shared" ref="O8997:O8998" si="2605">MROUND(N8997*G8997,0.000001)</f>
        <v>6.1411999999999994E-2</v>
      </c>
      <c r="P8997" s="166"/>
      <c r="Q8997" s="166">
        <f t="shared" si="2602"/>
        <v>3756.2035679999994</v>
      </c>
      <c r="R8997" s="71"/>
    </row>
    <row r="8998" spans="1:41" s="61" customFormat="1" ht="31.5" x14ac:dyDescent="0.25">
      <c r="A8998" s="358"/>
      <c r="B8998" s="361"/>
      <c r="C8998" s="367"/>
      <c r="D8998" s="156" t="s">
        <v>104</v>
      </c>
      <c r="E8998" s="156" t="s">
        <v>105</v>
      </c>
      <c r="F8998" s="156" t="s">
        <v>226</v>
      </c>
      <c r="G8998" s="238">
        <f t="shared" si="2603"/>
        <v>4.7044009999999996E-6</v>
      </c>
      <c r="H8998" s="160">
        <f>H8894</f>
        <v>5</v>
      </c>
      <c r="I8998" s="159">
        <f>I8997</f>
        <v>5.7547999999999995E-2</v>
      </c>
      <c r="J8998" s="160"/>
      <c r="K8998" s="161">
        <f>K8997</f>
        <v>61164</v>
      </c>
      <c r="L8998" s="250">
        <v>1</v>
      </c>
      <c r="M8998" s="163" t="str">
        <f>CONCATENATE(H8998," ",F8998,"*",I8998,"/",K8998,"чел/час")</f>
        <v>5 отключений*0,057548/61164чел/час</v>
      </c>
      <c r="N8998" s="278">
        <f t="shared" si="2604"/>
        <v>9790.56</v>
      </c>
      <c r="O8998" s="280">
        <f t="shared" si="2605"/>
        <v>4.6058999999999996E-2</v>
      </c>
      <c r="P8998" s="166"/>
      <c r="Q8998" s="166">
        <f t="shared" si="2602"/>
        <v>2817.1526759999997</v>
      </c>
      <c r="R8998" s="71"/>
    </row>
    <row r="8999" spans="1:41" s="109" customFormat="1" x14ac:dyDescent="0.25">
      <c r="A8999" s="358"/>
      <c r="B8999" s="361"/>
      <c r="C8999" s="249" t="s">
        <v>326</v>
      </c>
      <c r="D8999" s="240"/>
      <c r="E8999" s="240"/>
      <c r="F8999" s="240"/>
      <c r="G8999" s="227"/>
      <c r="H8999" s="228"/>
      <c r="I8999" s="206"/>
      <c r="J8999" s="228"/>
      <c r="K8999" s="207"/>
      <c r="L8999" s="257"/>
      <c r="M8999" s="209"/>
      <c r="N8999" s="281"/>
      <c r="O8999" s="279">
        <f>SUM(O8984:O8998)</f>
        <v>1.539927</v>
      </c>
      <c r="P8999" s="267"/>
      <c r="Q8999" s="166"/>
      <c r="R8999" s="71"/>
      <c r="S8999" s="62"/>
      <c r="T8999" s="62"/>
      <c r="U8999" s="62"/>
      <c r="V8999" s="62"/>
      <c r="W8999" s="62"/>
      <c r="X8999" s="62"/>
      <c r="Y8999" s="62"/>
      <c r="Z8999" s="62"/>
      <c r="AA8999" s="62"/>
      <c r="AB8999" s="62"/>
      <c r="AC8999" s="62"/>
      <c r="AD8999" s="62"/>
      <c r="AE8999" s="62"/>
      <c r="AF8999" s="62"/>
      <c r="AG8999" s="62"/>
      <c r="AH8999" s="62"/>
      <c r="AI8999" s="62"/>
      <c r="AJ8999" s="62"/>
      <c r="AK8999" s="62"/>
      <c r="AL8999" s="62"/>
      <c r="AM8999" s="62"/>
      <c r="AN8999" s="62"/>
      <c r="AO8999" s="62"/>
    </row>
    <row r="9000" spans="1:41" s="61" customFormat="1" ht="31.5" x14ac:dyDescent="0.25">
      <c r="A9000" s="358"/>
      <c r="B9000" s="361"/>
      <c r="C9000" s="221" t="s">
        <v>79</v>
      </c>
      <c r="D9000" s="156" t="s">
        <v>37</v>
      </c>
      <c r="E9000" s="156" t="s">
        <v>61</v>
      </c>
      <c r="F9000" s="156" t="s">
        <v>254</v>
      </c>
      <c r="G9000" s="238">
        <f>MROUND(H9000*L9000*I9000/K9000,0.000000000001)</f>
        <v>9.4087999999999994E-7</v>
      </c>
      <c r="H9000" s="158">
        <f>$H$2119</f>
        <v>1</v>
      </c>
      <c r="I9000" s="159">
        <f>I8998</f>
        <v>5.7547999999999995E-2</v>
      </c>
      <c r="J9000" s="160"/>
      <c r="K9000" s="161">
        <f>K8998</f>
        <v>61164</v>
      </c>
      <c r="L9000" s="250">
        <v>1</v>
      </c>
      <c r="M9000" s="163" t="str">
        <f>CONCATENATE(H9000," ",F9000,"*",I9000,"/",K9000,"чел/час")</f>
        <v>1 автобус*0,057548/61164чел/час</v>
      </c>
      <c r="N9000" s="278">
        <f>N8896</f>
        <v>25403.41</v>
      </c>
      <c r="O9000" s="280">
        <f>MROUND(N9000*G9000,0.000001)</f>
        <v>2.3902E-2</v>
      </c>
      <c r="P9000" s="166"/>
      <c r="Q9000" s="166">
        <f>O9000*K9000</f>
        <v>1461.941928</v>
      </c>
      <c r="R9000" s="71"/>
    </row>
    <row r="9001" spans="1:41" s="61" customFormat="1" x14ac:dyDescent="0.25">
      <c r="A9001" s="358"/>
      <c r="B9001" s="361"/>
      <c r="C9001" s="221"/>
      <c r="D9001" s="156" t="s">
        <v>255</v>
      </c>
      <c r="E9001" s="156" t="s">
        <v>28</v>
      </c>
      <c r="F9001" s="156" t="s">
        <v>28</v>
      </c>
      <c r="G9001" s="238">
        <f>MROUND(H9001*L9001*I9001/K9001,0.000000000001)</f>
        <v>6.4920737699999996E-4</v>
      </c>
      <c r="H9001" s="158">
        <f>H8897</f>
        <v>345</v>
      </c>
      <c r="I9001" s="159">
        <f>I9000</f>
        <v>5.7547999999999995E-2</v>
      </c>
      <c r="J9001" s="160"/>
      <c r="K9001" s="161">
        <f>K9000</f>
        <v>61164</v>
      </c>
      <c r="L9001" s="250">
        <v>2</v>
      </c>
      <c r="M9001" s="163" t="str">
        <f>CONCATENATE(H9001," ",F9001,"*",L9001,"раза в год","*",I9001,"/",K9001,"чел/час")</f>
        <v>345 шт*2раза в год*0,057548/61164чел/час</v>
      </c>
      <c r="N9001" s="278">
        <f>N8897</f>
        <v>474.29824637681156</v>
      </c>
      <c r="O9001" s="280">
        <f>MROUND(N9001*G9001,0.000001)</f>
        <v>0.30791799999999997</v>
      </c>
      <c r="P9001" s="166"/>
      <c r="Q9001" s="166">
        <f>O9001*K9001</f>
        <v>18833.496551999997</v>
      </c>
      <c r="R9001" s="71"/>
    </row>
    <row r="9002" spans="1:41" s="109" customFormat="1" x14ac:dyDescent="0.25">
      <c r="A9002" s="358"/>
      <c r="B9002" s="361"/>
      <c r="C9002" s="218" t="s">
        <v>328</v>
      </c>
      <c r="D9002" s="240"/>
      <c r="E9002" s="240"/>
      <c r="F9002" s="240"/>
      <c r="G9002" s="227"/>
      <c r="H9002" s="241"/>
      <c r="I9002" s="206"/>
      <c r="J9002" s="228"/>
      <c r="K9002" s="207"/>
      <c r="L9002" s="257"/>
      <c r="M9002" s="209"/>
      <c r="N9002" s="281"/>
      <c r="O9002" s="279">
        <f>O9001+O9000</f>
        <v>0.33181999999999995</v>
      </c>
      <c r="P9002" s="267"/>
      <c r="Q9002" s="166"/>
      <c r="R9002" s="71"/>
      <c r="S9002" s="62"/>
      <c r="T9002" s="62"/>
      <c r="U9002" s="62"/>
      <c r="V9002" s="62"/>
      <c r="W9002" s="62"/>
      <c r="X9002" s="62"/>
      <c r="Y9002" s="62"/>
      <c r="Z9002" s="62"/>
      <c r="AA9002" s="62"/>
      <c r="AB9002" s="62"/>
      <c r="AC9002" s="62"/>
      <c r="AD9002" s="62"/>
      <c r="AE9002" s="62"/>
      <c r="AF9002" s="62"/>
      <c r="AG9002" s="62"/>
      <c r="AH9002" s="62"/>
      <c r="AI9002" s="62"/>
      <c r="AJ9002" s="62"/>
      <c r="AK9002" s="62"/>
      <c r="AL9002" s="62"/>
      <c r="AM9002" s="62"/>
      <c r="AN9002" s="62"/>
      <c r="AO9002" s="62"/>
    </row>
    <row r="9003" spans="1:41" s="61" customFormat="1" x14ac:dyDescent="0.25">
      <c r="A9003" s="358"/>
      <c r="B9003" s="361"/>
      <c r="C9003" s="364" t="s">
        <v>80</v>
      </c>
      <c r="D9003" s="156" t="s">
        <v>38</v>
      </c>
      <c r="E9003" s="156" t="s">
        <v>57</v>
      </c>
      <c r="F9003" s="156" t="s">
        <v>228</v>
      </c>
      <c r="G9003" s="238">
        <f t="shared" ref="G9003:G9014" si="2606">MROUND(H9003*L9003*I9003/K9003,0.000000000001)</f>
        <v>9.0324504999999999E-5</v>
      </c>
      <c r="H9003" s="158">
        <f>H8899</f>
        <v>8</v>
      </c>
      <c r="I9003" s="159">
        <f>I9000</f>
        <v>5.7547999999999995E-2</v>
      </c>
      <c r="J9003" s="160"/>
      <c r="K9003" s="161">
        <f>K9000</f>
        <v>61164</v>
      </c>
      <c r="L9003" s="250">
        <v>12</v>
      </c>
      <c r="M9003" s="163" t="str">
        <f>CONCATENATE(H9003," ",F9003,"*",L9003,"мес.","*",I9003,"/",K9003,"чел/час")</f>
        <v>8 зданий*12мес.*0,057548/61164чел/час</v>
      </c>
      <c r="N9003" s="278">
        <f t="shared" ref="N9003:N9011" si="2607">N8899</f>
        <v>5107.0063541666668</v>
      </c>
      <c r="O9003" s="280">
        <f t="shared" ref="O9003:O9014" si="2608">MROUND(N9003*G9003,0.000001)</f>
        <v>0.46128799999999998</v>
      </c>
      <c r="P9003" s="166"/>
      <c r="Q9003" s="166">
        <f t="shared" ref="Q9003:Q9014" si="2609">O9003*K9003</f>
        <v>28214.219231999999</v>
      </c>
      <c r="R9003" s="71"/>
    </row>
    <row r="9004" spans="1:41" s="61" customFormat="1" x14ac:dyDescent="0.25">
      <c r="A9004" s="358"/>
      <c r="B9004" s="361"/>
      <c r="C9004" s="364"/>
      <c r="D9004" s="156" t="s">
        <v>256</v>
      </c>
      <c r="E9004" s="156" t="s">
        <v>20</v>
      </c>
      <c r="F9004" s="156" t="s">
        <v>20</v>
      </c>
      <c r="G9004" s="238">
        <f t="shared" si="2606"/>
        <v>1.7594460799999999E-4</v>
      </c>
      <c r="H9004" s="158">
        <f>H8900</f>
        <v>187</v>
      </c>
      <c r="I9004" s="159">
        <f>I9001</f>
        <v>5.7547999999999995E-2</v>
      </c>
      <c r="J9004" s="160"/>
      <c r="K9004" s="161">
        <f>K9001</f>
        <v>61164</v>
      </c>
      <c r="L9004" s="250">
        <v>1</v>
      </c>
      <c r="M9004" s="163" t="str">
        <f t="shared" ref="M9004:M9011" si="2610">CONCATENATE(H9004," ",F9004,"*",I9004,"/",K9004,"чел/час")</f>
        <v>187 чел.*0,057548/61164чел/час</v>
      </c>
      <c r="N9004" s="278">
        <f t="shared" si="2607"/>
        <v>2015.7675401069516</v>
      </c>
      <c r="O9004" s="280">
        <f t="shared" si="2608"/>
        <v>0.35466300000000001</v>
      </c>
      <c r="P9004" s="166"/>
      <c r="Q9004" s="166">
        <f t="shared" si="2609"/>
        <v>21692.607732</v>
      </c>
      <c r="R9004" s="71"/>
    </row>
    <row r="9005" spans="1:41" s="61" customFormat="1" ht="63" x14ac:dyDescent="0.25">
      <c r="A9005" s="358"/>
      <c r="B9005" s="361"/>
      <c r="C9005" s="364"/>
      <c r="D9005" s="156" t="s">
        <v>39</v>
      </c>
      <c r="E9005" s="156" t="s">
        <v>20</v>
      </c>
      <c r="F9005" s="156" t="s">
        <v>234</v>
      </c>
      <c r="G9005" s="238">
        <f t="shared" si="2606"/>
        <v>8.4679219999999992E-6</v>
      </c>
      <c r="H9005" s="158">
        <f>H8901</f>
        <v>9</v>
      </c>
      <c r="I9005" s="159">
        <f>I9003</f>
        <v>5.7547999999999995E-2</v>
      </c>
      <c r="J9005" s="160"/>
      <c r="K9005" s="161">
        <f>K9003</f>
        <v>61164</v>
      </c>
      <c r="L9005" s="250">
        <v>1</v>
      </c>
      <c r="M9005" s="163" t="str">
        <f t="shared" si="2610"/>
        <v>9 чел(заявленная потребность руководителями учреждений)*0,057548/61164чел/час</v>
      </c>
      <c r="N9005" s="278">
        <f t="shared" si="2607"/>
        <v>830.02333333333343</v>
      </c>
      <c r="O9005" s="280">
        <f t="shared" si="2608"/>
        <v>7.0289999999999997E-3</v>
      </c>
      <c r="P9005" s="166"/>
      <c r="Q9005" s="166">
        <f t="shared" si="2609"/>
        <v>429.92175599999996</v>
      </c>
      <c r="R9005" s="71"/>
    </row>
    <row r="9006" spans="1:41" s="61" customFormat="1" ht="63" x14ac:dyDescent="0.25">
      <c r="A9006" s="358"/>
      <c r="B9006" s="361"/>
      <c r="C9006" s="364"/>
      <c r="D9006" s="156" t="s">
        <v>40</v>
      </c>
      <c r="E9006" s="156" t="s">
        <v>20</v>
      </c>
      <c r="F9006" s="156" t="s">
        <v>234</v>
      </c>
      <c r="G9006" s="238">
        <f t="shared" si="2606"/>
        <v>1.2231443E-5</v>
      </c>
      <c r="H9006" s="158">
        <f>H8902</f>
        <v>13</v>
      </c>
      <c r="I9006" s="159">
        <f t="shared" ref="I9006:I9011" si="2611">I9005</f>
        <v>5.7547999999999995E-2</v>
      </c>
      <c r="J9006" s="160"/>
      <c r="K9006" s="161">
        <f t="shared" ref="K9006:K9011" si="2612">K9005</f>
        <v>61164</v>
      </c>
      <c r="L9006" s="250">
        <v>1</v>
      </c>
      <c r="M9006" s="163" t="str">
        <f t="shared" si="2610"/>
        <v>13 чел(заявленная потребность руководителями учреждений)*0,057548/61164чел/час</v>
      </c>
      <c r="N9006" s="278">
        <f t="shared" si="2607"/>
        <v>1778.6192307692306</v>
      </c>
      <c r="O9006" s="280">
        <f t="shared" si="2608"/>
        <v>2.1755E-2</v>
      </c>
      <c r="P9006" s="166"/>
      <c r="Q9006" s="166">
        <f t="shared" si="2609"/>
        <v>1330.62282</v>
      </c>
      <c r="R9006" s="71"/>
    </row>
    <row r="9007" spans="1:41" s="61" customFormat="1" ht="63" x14ac:dyDescent="0.25">
      <c r="A9007" s="358"/>
      <c r="B9007" s="361"/>
      <c r="C9007" s="364"/>
      <c r="D9007" s="156" t="s">
        <v>100</v>
      </c>
      <c r="E9007" s="156" t="s">
        <v>20</v>
      </c>
      <c r="F9007" s="156" t="s">
        <v>234</v>
      </c>
      <c r="G9007" s="238">
        <f t="shared" si="2606"/>
        <v>6.5861619999999999E-6</v>
      </c>
      <c r="H9007" s="158">
        <f>H8903</f>
        <v>7</v>
      </c>
      <c r="I9007" s="159">
        <f t="shared" si="2611"/>
        <v>5.7547999999999995E-2</v>
      </c>
      <c r="J9007" s="160"/>
      <c r="K9007" s="161">
        <f t="shared" si="2612"/>
        <v>61164</v>
      </c>
      <c r="L9007" s="250">
        <v>1</v>
      </c>
      <c r="M9007" s="163" t="str">
        <f t="shared" si="2610"/>
        <v>7 чел(заявленная потребность руководителями учреждений)*0,057548/61164чел/час</v>
      </c>
      <c r="N9007" s="278">
        <f t="shared" si="2607"/>
        <v>3794.3871428571429</v>
      </c>
      <c r="O9007" s="280">
        <f t="shared" si="2608"/>
        <v>2.4989999999999998E-2</v>
      </c>
      <c r="P9007" s="166"/>
      <c r="Q9007" s="166">
        <f t="shared" si="2609"/>
        <v>1528.4883599999998</v>
      </c>
      <c r="R9007" s="71"/>
    </row>
    <row r="9008" spans="1:41" s="61" customFormat="1" ht="110.25" x14ac:dyDescent="0.25">
      <c r="A9008" s="358"/>
      <c r="B9008" s="361"/>
      <c r="C9008" s="364"/>
      <c r="D9008" s="156" t="s">
        <v>235</v>
      </c>
      <c r="E9008" s="156" t="s">
        <v>50</v>
      </c>
      <c r="F9008" s="156" t="s">
        <v>230</v>
      </c>
      <c r="G9008" s="238">
        <f t="shared" si="2606"/>
        <v>4.7044009999999996E-6</v>
      </c>
      <c r="H9008" s="158">
        <v>5</v>
      </c>
      <c r="I9008" s="159">
        <f t="shared" si="2611"/>
        <v>5.7547999999999995E-2</v>
      </c>
      <c r="J9008" s="160"/>
      <c r="K9008" s="161">
        <f t="shared" si="2612"/>
        <v>61164</v>
      </c>
      <c r="L9008" s="250">
        <v>1</v>
      </c>
      <c r="M9008" s="163" t="str">
        <f t="shared" si="2610"/>
        <v>5 отчетов*0,057548/61164чел/час</v>
      </c>
      <c r="N9008" s="278">
        <f t="shared" si="2607"/>
        <v>7114.4699999999993</v>
      </c>
      <c r="O9008" s="280">
        <f t="shared" si="2608"/>
        <v>3.3468999999999999E-2</v>
      </c>
      <c r="P9008" s="166"/>
      <c r="Q9008" s="166">
        <f t="shared" si="2609"/>
        <v>2047.0979159999999</v>
      </c>
      <c r="R9008" s="71"/>
    </row>
    <row r="9009" spans="1:41" s="61" customFormat="1" ht="63" x14ac:dyDescent="0.25">
      <c r="A9009" s="358"/>
      <c r="B9009" s="361"/>
      <c r="C9009" s="364"/>
      <c r="D9009" s="156" t="s">
        <v>42</v>
      </c>
      <c r="E9009" s="156" t="s">
        <v>51</v>
      </c>
      <c r="F9009" s="156" t="s">
        <v>407</v>
      </c>
      <c r="G9009" s="238">
        <f t="shared" si="2606"/>
        <v>2.4462887E-5</v>
      </c>
      <c r="H9009" s="158">
        <f>H8905</f>
        <v>26</v>
      </c>
      <c r="I9009" s="159">
        <f t="shared" si="2611"/>
        <v>5.7547999999999995E-2</v>
      </c>
      <c r="J9009" s="160"/>
      <c r="K9009" s="161">
        <f t="shared" si="2612"/>
        <v>61164</v>
      </c>
      <c r="L9009" s="250">
        <v>1</v>
      </c>
      <c r="M9009" s="163" t="str">
        <f t="shared" si="2610"/>
        <v>26 ед (заявленная потребность руководителями учреждений)*0,057548/61164чел/час</v>
      </c>
      <c r="N9009" s="278">
        <f t="shared" si="2607"/>
        <v>1185.7457692307694</v>
      </c>
      <c r="O9009" s="280">
        <f t="shared" si="2608"/>
        <v>2.9006999999999998E-2</v>
      </c>
      <c r="P9009" s="166"/>
      <c r="Q9009" s="166">
        <f t="shared" si="2609"/>
        <v>1774.1841479999998</v>
      </c>
      <c r="R9009" s="71"/>
    </row>
    <row r="9010" spans="1:41" s="61" customFormat="1" ht="31.5" x14ac:dyDescent="0.25">
      <c r="A9010" s="358"/>
      <c r="B9010" s="361"/>
      <c r="C9010" s="364"/>
      <c r="D9010" s="156" t="s">
        <v>43</v>
      </c>
      <c r="E9010" s="156" t="s">
        <v>52</v>
      </c>
      <c r="F9010" s="156" t="s">
        <v>231</v>
      </c>
      <c r="G9010" s="238">
        <f t="shared" si="2606"/>
        <v>4.7044009999999996E-6</v>
      </c>
      <c r="H9010" s="158">
        <v>5</v>
      </c>
      <c r="I9010" s="159">
        <f t="shared" si="2611"/>
        <v>5.7547999999999995E-2</v>
      </c>
      <c r="J9010" s="160"/>
      <c r="K9010" s="161">
        <f t="shared" si="2612"/>
        <v>61164</v>
      </c>
      <c r="L9010" s="250">
        <v>1</v>
      </c>
      <c r="M9010" s="163" t="str">
        <f t="shared" si="2610"/>
        <v>5 ЭЦП*0,057548/61164чел/час</v>
      </c>
      <c r="N9010" s="278">
        <f t="shared" si="2607"/>
        <v>8423.5400000000009</v>
      </c>
      <c r="O9010" s="280">
        <f t="shared" si="2608"/>
        <v>3.9627999999999997E-2</v>
      </c>
      <c r="P9010" s="166"/>
      <c r="Q9010" s="166">
        <f t="shared" si="2609"/>
        <v>2423.8069919999998</v>
      </c>
      <c r="R9010" s="71"/>
    </row>
    <row r="9011" spans="1:41" s="61" customFormat="1" x14ac:dyDescent="0.25">
      <c r="A9011" s="358"/>
      <c r="B9011" s="361"/>
      <c r="C9011" s="364"/>
      <c r="D9011" s="156" t="s">
        <v>373</v>
      </c>
      <c r="E9011" s="156" t="s">
        <v>28</v>
      </c>
      <c r="F9011" s="156" t="s">
        <v>28</v>
      </c>
      <c r="G9011" s="238">
        <f t="shared" si="2606"/>
        <v>4.7044009999999996E-6</v>
      </c>
      <c r="H9011" s="158">
        <f>H8907</f>
        <v>5</v>
      </c>
      <c r="I9011" s="159">
        <f t="shared" si="2611"/>
        <v>5.7547999999999995E-2</v>
      </c>
      <c r="J9011" s="160"/>
      <c r="K9011" s="161">
        <f t="shared" si="2612"/>
        <v>61164</v>
      </c>
      <c r="L9011" s="250">
        <v>1</v>
      </c>
      <c r="M9011" s="163" t="str">
        <f t="shared" si="2610"/>
        <v>5 шт*0,057548/61164чел/час</v>
      </c>
      <c r="N9011" s="278">
        <f t="shared" si="2607"/>
        <v>24000</v>
      </c>
      <c r="O9011" s="280">
        <f t="shared" si="2608"/>
        <v>0.11290599999999999</v>
      </c>
      <c r="P9011" s="166"/>
      <c r="Q9011" s="166">
        <f t="shared" si="2609"/>
        <v>6905.7825839999996</v>
      </c>
      <c r="R9011" s="71"/>
    </row>
    <row r="9012" spans="1:41" s="136" customFormat="1" ht="47.25" x14ac:dyDescent="0.25">
      <c r="A9012" s="358"/>
      <c r="B9012" s="361"/>
      <c r="C9012" s="364"/>
      <c r="D9012" s="156" t="s">
        <v>44</v>
      </c>
      <c r="E9012" s="156" t="s">
        <v>85</v>
      </c>
      <c r="F9012" s="156" t="s">
        <v>232</v>
      </c>
      <c r="G9012" s="238">
        <f t="shared" si="2606"/>
        <v>2.86027598E-4</v>
      </c>
      <c r="H9012" s="158">
        <f>$H$2132</f>
        <v>304</v>
      </c>
      <c r="I9012" s="159">
        <f>I9010</f>
        <v>5.7547999999999995E-2</v>
      </c>
      <c r="J9012" s="160"/>
      <c r="K9012" s="161">
        <f>K9010</f>
        <v>61164</v>
      </c>
      <c r="L9012" s="250">
        <v>1</v>
      </c>
      <c r="M9012" s="163" t="str">
        <f>CONCATENATE(H9012," ",F9012,"*",L9012,"мес.","*",I9012,"/",K9012,"чел.")</f>
        <v>304 мед.осмотров в мес.*1мес.*0,057548/61164чел.</v>
      </c>
      <c r="N9012" s="278">
        <f>$N$8909</f>
        <v>54.392006578947374</v>
      </c>
      <c r="O9012" s="280">
        <f t="shared" si="2608"/>
        <v>1.5557999999999999E-2</v>
      </c>
      <c r="P9012" s="166"/>
      <c r="Q9012" s="166">
        <f t="shared" si="2609"/>
        <v>951.5895119999999</v>
      </c>
      <c r="R9012" s="71"/>
      <c r="S9012" s="71"/>
      <c r="T9012" s="61"/>
      <c r="U9012" s="61"/>
      <c r="V9012" s="61"/>
      <c r="W9012" s="61"/>
      <c r="X9012" s="61"/>
      <c r="Y9012" s="61"/>
      <c r="Z9012" s="61"/>
      <c r="AA9012" s="61"/>
      <c r="AB9012" s="61"/>
      <c r="AC9012" s="61"/>
      <c r="AD9012" s="61"/>
      <c r="AE9012" s="61"/>
      <c r="AF9012" s="61"/>
      <c r="AG9012" s="61"/>
      <c r="AH9012" s="61"/>
      <c r="AI9012" s="61"/>
      <c r="AJ9012" s="61"/>
      <c r="AK9012" s="61"/>
      <c r="AL9012" s="61"/>
      <c r="AM9012" s="61"/>
      <c r="AN9012" s="61"/>
      <c r="AO9012" s="61"/>
    </row>
    <row r="9013" spans="1:41" s="61" customFormat="1" ht="63" x14ac:dyDescent="0.25">
      <c r="A9013" s="358"/>
      <c r="B9013" s="361"/>
      <c r="C9013" s="364"/>
      <c r="D9013" s="156" t="s">
        <v>45</v>
      </c>
      <c r="E9013" s="156" t="s">
        <v>53</v>
      </c>
      <c r="F9013" s="156" t="s">
        <v>257</v>
      </c>
      <c r="G9013" s="238">
        <f t="shared" si="2606"/>
        <v>1.1290563E-5</v>
      </c>
      <c r="H9013" s="158">
        <v>1</v>
      </c>
      <c r="I9013" s="159">
        <f>I9012</f>
        <v>5.7547999999999995E-2</v>
      </c>
      <c r="J9013" s="160"/>
      <c r="K9013" s="161">
        <f>K9012</f>
        <v>61164</v>
      </c>
      <c r="L9013" s="250">
        <v>12</v>
      </c>
      <c r="M9013" s="163" t="str">
        <f>CONCATENATE(H9013," ",F9013,"*",L9013,"мес.","*",I9013,"/",K9013,"чел/час")</f>
        <v>1  машина, оборудованная системой ГЛОНАСС*12мес.*0,057548/61164чел/час</v>
      </c>
      <c r="N9013" s="278">
        <f>N8908</f>
        <v>958.08249999999998</v>
      </c>
      <c r="O9013" s="280">
        <f t="shared" si="2608"/>
        <v>1.0817E-2</v>
      </c>
      <c r="P9013" s="166"/>
      <c r="Q9013" s="166">
        <f t="shared" si="2609"/>
        <v>661.61098800000002</v>
      </c>
      <c r="R9013" s="71"/>
    </row>
    <row r="9014" spans="1:41" s="61" customFormat="1" ht="31.5" x14ac:dyDescent="0.25">
      <c r="A9014" s="358"/>
      <c r="B9014" s="361"/>
      <c r="C9014" s="364"/>
      <c r="D9014" s="156" t="s">
        <v>408</v>
      </c>
      <c r="E9014" s="156" t="s">
        <v>20</v>
      </c>
      <c r="F9014" s="156" t="s">
        <v>20</v>
      </c>
      <c r="G9014" s="238">
        <f t="shared" si="2606"/>
        <v>0</v>
      </c>
      <c r="H9014" s="158"/>
      <c r="I9014" s="159">
        <f>I9012</f>
        <v>5.7547999999999995E-2</v>
      </c>
      <c r="J9014" s="160"/>
      <c r="K9014" s="161">
        <f>K9012</f>
        <v>61164</v>
      </c>
      <c r="L9014" s="250">
        <f>L8910</f>
        <v>1</v>
      </c>
      <c r="M9014" s="163"/>
      <c r="N9014" s="278"/>
      <c r="O9014" s="280">
        <f t="shared" si="2608"/>
        <v>0</v>
      </c>
      <c r="P9014" s="166"/>
      <c r="Q9014" s="166">
        <f t="shared" si="2609"/>
        <v>0</v>
      </c>
      <c r="R9014" s="71"/>
    </row>
    <row r="9015" spans="1:41" s="109" customFormat="1" x14ac:dyDescent="0.25">
      <c r="A9015" s="358"/>
      <c r="B9015" s="361"/>
      <c r="C9015" s="245" t="s">
        <v>329</v>
      </c>
      <c r="D9015" s="240"/>
      <c r="E9015" s="240"/>
      <c r="F9015" s="240"/>
      <c r="G9015" s="227"/>
      <c r="H9015" s="241"/>
      <c r="I9015" s="206"/>
      <c r="J9015" s="228"/>
      <c r="K9015" s="207"/>
      <c r="L9015" s="257"/>
      <c r="M9015" s="209"/>
      <c r="N9015" s="281"/>
      <c r="O9015" s="279">
        <f>SUM(O9003:O9014)</f>
        <v>1.1111099999999998</v>
      </c>
      <c r="P9015" s="267"/>
      <c r="Q9015" s="166"/>
      <c r="R9015" s="71"/>
      <c r="S9015" s="62"/>
      <c r="T9015" s="62"/>
      <c r="U9015" s="62"/>
      <c r="V9015" s="62"/>
      <c r="W9015" s="62"/>
      <c r="X9015" s="62"/>
      <c r="Y9015" s="62"/>
      <c r="Z9015" s="62"/>
      <c r="AA9015" s="62"/>
      <c r="AB9015" s="62"/>
      <c r="AC9015" s="62"/>
      <c r="AD9015" s="62"/>
      <c r="AE9015" s="62"/>
      <c r="AF9015" s="62"/>
      <c r="AG9015" s="62"/>
      <c r="AH9015" s="62"/>
      <c r="AI9015" s="62"/>
      <c r="AJ9015" s="62"/>
      <c r="AK9015" s="62"/>
      <c r="AL9015" s="62"/>
      <c r="AM9015" s="62"/>
      <c r="AN9015" s="62"/>
      <c r="AO9015" s="62"/>
    </row>
    <row r="9016" spans="1:41" s="61" customFormat="1" ht="31.5" x14ac:dyDescent="0.25">
      <c r="A9016" s="358"/>
      <c r="B9016" s="361"/>
      <c r="C9016" s="252" t="s">
        <v>237</v>
      </c>
      <c r="D9016" s="156" t="s">
        <v>41</v>
      </c>
      <c r="E9016" s="156" t="s">
        <v>61</v>
      </c>
      <c r="F9016" s="156" t="s">
        <v>254</v>
      </c>
      <c r="G9016" s="238">
        <f t="shared" ref="G9016:G9027" si="2613">MROUND(H9016*L9016*I9016/K9016,0.000000000001)</f>
        <v>9.4087999999999994E-7</v>
      </c>
      <c r="H9016" s="158">
        <v>1</v>
      </c>
      <c r="I9016" s="159">
        <f>I9014</f>
        <v>5.7547999999999995E-2</v>
      </c>
      <c r="J9016" s="160"/>
      <c r="K9016" s="161">
        <f>K9014</f>
        <v>61164</v>
      </c>
      <c r="L9016" s="250">
        <v>1</v>
      </c>
      <c r="M9016" s="163" t="str">
        <f>CONCATENATE(H9016," ",F9016,"*",I9016,"/",K9016,"чел/час")</f>
        <v>1 автобус*0,057548/61164чел/час</v>
      </c>
      <c r="N9016" s="278">
        <f>N8912</f>
        <v>27983.599999999999</v>
      </c>
      <c r="O9016" s="280">
        <f t="shared" ref="O9016:O9027" si="2614">MROUND(N9016*G9016,0.000001)</f>
        <v>2.6328999999999998E-2</v>
      </c>
      <c r="P9016" s="166"/>
      <c r="Q9016" s="166">
        <f t="shared" ref="Q9016:Q9027" si="2615">O9016*K9016</f>
        <v>1610.3869559999998</v>
      </c>
      <c r="R9016" s="71"/>
    </row>
    <row r="9017" spans="1:41" s="61" customFormat="1" ht="78.75" x14ac:dyDescent="0.25">
      <c r="A9017" s="358"/>
      <c r="B9017" s="361"/>
      <c r="C9017" s="221" t="s">
        <v>236</v>
      </c>
      <c r="D9017" s="156" t="s">
        <v>19</v>
      </c>
      <c r="E9017" s="181" t="s">
        <v>20</v>
      </c>
      <c r="F9017" s="181" t="s">
        <v>238</v>
      </c>
      <c r="G9017" s="238">
        <f t="shared" si="2613"/>
        <v>0</v>
      </c>
      <c r="H9017" s="158"/>
      <c r="I9017" s="159">
        <f>I9014</f>
        <v>5.7547999999999995E-2</v>
      </c>
      <c r="J9017" s="160"/>
      <c r="K9017" s="161">
        <f>K9014</f>
        <v>61164</v>
      </c>
      <c r="L9017" s="250"/>
      <c r="M9017" s="163"/>
      <c r="N9017" s="278"/>
      <c r="O9017" s="280">
        <f t="shared" si="2614"/>
        <v>0</v>
      </c>
      <c r="P9017" s="166"/>
      <c r="Q9017" s="166">
        <f t="shared" si="2615"/>
        <v>0</v>
      </c>
      <c r="R9017" s="71"/>
    </row>
    <row r="9018" spans="1:41" s="136" customFormat="1" ht="31.5" x14ac:dyDescent="0.25">
      <c r="A9018" s="358"/>
      <c r="B9018" s="361"/>
      <c r="C9018" s="372" t="s">
        <v>81</v>
      </c>
      <c r="D9018" s="156" t="s">
        <v>419</v>
      </c>
      <c r="E9018" s="156" t="s">
        <v>28</v>
      </c>
      <c r="F9018" s="156" t="s">
        <v>439</v>
      </c>
      <c r="G9018" s="238">
        <f t="shared" si="2613"/>
        <v>0</v>
      </c>
      <c r="H9018" s="158"/>
      <c r="I9018" s="159">
        <f>I9017</f>
        <v>5.7547999999999995E-2</v>
      </c>
      <c r="J9018" s="160"/>
      <c r="K9018" s="161">
        <f>K9017</f>
        <v>61164</v>
      </c>
      <c r="L9018" s="250">
        <v>1</v>
      </c>
      <c r="M9018" s="163"/>
      <c r="N9018" s="278"/>
      <c r="O9018" s="280">
        <f t="shared" si="2614"/>
        <v>0</v>
      </c>
      <c r="P9018" s="166"/>
      <c r="Q9018" s="166">
        <f t="shared" si="2615"/>
        <v>0</v>
      </c>
      <c r="R9018" s="71"/>
      <c r="S9018" s="61"/>
      <c r="T9018" s="71"/>
      <c r="U9018" s="61"/>
      <c r="V9018" s="61"/>
      <c r="W9018" s="61"/>
      <c r="X9018" s="61"/>
      <c r="Y9018" s="61"/>
      <c r="Z9018" s="61"/>
      <c r="AA9018" s="61"/>
      <c r="AB9018" s="61"/>
      <c r="AC9018" s="61"/>
      <c r="AD9018" s="61"/>
      <c r="AE9018" s="61"/>
      <c r="AF9018" s="61"/>
      <c r="AG9018" s="61"/>
      <c r="AH9018" s="61"/>
      <c r="AI9018" s="61"/>
      <c r="AJ9018" s="61"/>
      <c r="AK9018" s="61"/>
      <c r="AL9018" s="61"/>
      <c r="AM9018" s="61"/>
      <c r="AN9018" s="61"/>
      <c r="AO9018" s="61"/>
    </row>
    <row r="9019" spans="1:41" s="136" customFormat="1" ht="31.5" x14ac:dyDescent="0.25">
      <c r="A9019" s="358"/>
      <c r="B9019" s="361"/>
      <c r="C9019" s="373"/>
      <c r="D9019" s="156" t="s">
        <v>425</v>
      </c>
      <c r="E9019" s="156" t="s">
        <v>28</v>
      </c>
      <c r="F9019" s="156" t="s">
        <v>439</v>
      </c>
      <c r="G9019" s="238">
        <f t="shared" si="2613"/>
        <v>0</v>
      </c>
      <c r="H9019" s="158"/>
      <c r="I9019" s="159">
        <f t="shared" ref="I9019:I9027" si="2616">I9018</f>
        <v>5.7547999999999995E-2</v>
      </c>
      <c r="J9019" s="160"/>
      <c r="K9019" s="161">
        <f t="shared" ref="K9019:K9027" si="2617">K9018</f>
        <v>61164</v>
      </c>
      <c r="L9019" s="250">
        <v>1</v>
      </c>
      <c r="M9019" s="163"/>
      <c r="N9019" s="278"/>
      <c r="O9019" s="280">
        <f t="shared" si="2614"/>
        <v>0</v>
      </c>
      <c r="P9019" s="166"/>
      <c r="Q9019" s="166">
        <f t="shared" si="2615"/>
        <v>0</v>
      </c>
      <c r="R9019" s="71"/>
      <c r="S9019" s="61"/>
      <c r="T9019" s="71"/>
      <c r="U9019" s="61"/>
      <c r="V9019" s="61"/>
      <c r="W9019" s="61"/>
      <c r="X9019" s="61"/>
      <c r="Y9019" s="61"/>
      <c r="Z9019" s="61"/>
      <c r="AA9019" s="61"/>
      <c r="AB9019" s="61"/>
      <c r="AC9019" s="61"/>
      <c r="AD9019" s="61"/>
      <c r="AE9019" s="61"/>
      <c r="AF9019" s="61"/>
      <c r="AG9019" s="61"/>
      <c r="AH9019" s="61"/>
      <c r="AI9019" s="61"/>
      <c r="AJ9019" s="61"/>
      <c r="AK9019" s="61"/>
      <c r="AL9019" s="61"/>
      <c r="AM9019" s="61"/>
      <c r="AN9019" s="61"/>
      <c r="AO9019" s="61"/>
    </row>
    <row r="9020" spans="1:41" s="136" customFormat="1" ht="31.5" x14ac:dyDescent="0.25">
      <c r="A9020" s="358"/>
      <c r="B9020" s="361"/>
      <c r="C9020" s="373"/>
      <c r="D9020" s="156" t="s">
        <v>426</v>
      </c>
      <c r="E9020" s="156" t="s">
        <v>28</v>
      </c>
      <c r="F9020" s="156" t="s">
        <v>439</v>
      </c>
      <c r="G9020" s="238">
        <f t="shared" si="2613"/>
        <v>0</v>
      </c>
      <c r="H9020" s="158"/>
      <c r="I9020" s="159">
        <f t="shared" si="2616"/>
        <v>5.7547999999999995E-2</v>
      </c>
      <c r="J9020" s="160"/>
      <c r="K9020" s="161">
        <f t="shared" si="2617"/>
        <v>61164</v>
      </c>
      <c r="L9020" s="250">
        <v>1</v>
      </c>
      <c r="M9020" s="163"/>
      <c r="N9020" s="278"/>
      <c r="O9020" s="280">
        <f t="shared" si="2614"/>
        <v>0</v>
      </c>
      <c r="P9020" s="166"/>
      <c r="Q9020" s="166">
        <f t="shared" si="2615"/>
        <v>0</v>
      </c>
      <c r="R9020" s="71"/>
      <c r="S9020" s="61"/>
      <c r="T9020" s="71"/>
      <c r="U9020" s="61"/>
      <c r="V9020" s="61"/>
      <c r="W9020" s="61"/>
      <c r="X9020" s="61"/>
      <c r="Y9020" s="61"/>
      <c r="Z9020" s="61"/>
      <c r="AA9020" s="61"/>
      <c r="AB9020" s="61"/>
      <c r="AC9020" s="61"/>
      <c r="AD9020" s="61"/>
      <c r="AE9020" s="61"/>
      <c r="AF9020" s="61"/>
      <c r="AG9020" s="61"/>
      <c r="AH9020" s="61"/>
      <c r="AI9020" s="61"/>
      <c r="AJ9020" s="61"/>
      <c r="AK9020" s="61"/>
      <c r="AL9020" s="61"/>
      <c r="AM9020" s="61"/>
      <c r="AN9020" s="61"/>
      <c r="AO9020" s="61"/>
    </row>
    <row r="9021" spans="1:41" s="136" customFormat="1" ht="31.5" x14ac:dyDescent="0.25">
      <c r="A9021" s="358"/>
      <c r="B9021" s="361"/>
      <c r="C9021" s="373"/>
      <c r="D9021" s="156" t="s">
        <v>427</v>
      </c>
      <c r="E9021" s="156" t="s">
        <v>28</v>
      </c>
      <c r="F9021" s="156" t="s">
        <v>439</v>
      </c>
      <c r="G9021" s="238">
        <f t="shared" si="2613"/>
        <v>0</v>
      </c>
      <c r="H9021" s="158"/>
      <c r="I9021" s="159">
        <f t="shared" si="2616"/>
        <v>5.7547999999999995E-2</v>
      </c>
      <c r="J9021" s="160"/>
      <c r="K9021" s="161">
        <f t="shared" si="2617"/>
        <v>61164</v>
      </c>
      <c r="L9021" s="250">
        <v>1</v>
      </c>
      <c r="M9021" s="163"/>
      <c r="N9021" s="278"/>
      <c r="O9021" s="280">
        <f t="shared" si="2614"/>
        <v>0</v>
      </c>
      <c r="P9021" s="166"/>
      <c r="Q9021" s="166">
        <f t="shared" si="2615"/>
        <v>0</v>
      </c>
      <c r="R9021" s="71"/>
      <c r="S9021" s="61"/>
      <c r="T9021" s="71"/>
      <c r="U9021" s="61"/>
      <c r="V9021" s="61"/>
      <c r="W9021" s="61"/>
      <c r="X9021" s="61"/>
      <c r="Y9021" s="61"/>
      <c r="Z9021" s="61"/>
      <c r="AA9021" s="61"/>
      <c r="AB9021" s="61"/>
      <c r="AC9021" s="61"/>
      <c r="AD9021" s="61"/>
      <c r="AE9021" s="61"/>
      <c r="AF9021" s="61"/>
      <c r="AG9021" s="61"/>
      <c r="AH9021" s="61"/>
      <c r="AI9021" s="61"/>
      <c r="AJ9021" s="61"/>
      <c r="AK9021" s="61"/>
      <c r="AL9021" s="61"/>
      <c r="AM9021" s="61"/>
      <c r="AN9021" s="61"/>
      <c r="AO9021" s="61"/>
    </row>
    <row r="9022" spans="1:41" s="136" customFormat="1" ht="31.5" x14ac:dyDescent="0.25">
      <c r="A9022" s="358"/>
      <c r="B9022" s="361"/>
      <c r="C9022" s="373"/>
      <c r="D9022" s="156" t="s">
        <v>428</v>
      </c>
      <c r="E9022" s="156" t="s">
        <v>28</v>
      </c>
      <c r="F9022" s="156" t="s">
        <v>439</v>
      </c>
      <c r="G9022" s="238">
        <f t="shared" si="2613"/>
        <v>0</v>
      </c>
      <c r="H9022" s="158"/>
      <c r="I9022" s="159">
        <f t="shared" si="2616"/>
        <v>5.7547999999999995E-2</v>
      </c>
      <c r="J9022" s="160"/>
      <c r="K9022" s="161">
        <f t="shared" si="2617"/>
        <v>61164</v>
      </c>
      <c r="L9022" s="250">
        <v>1</v>
      </c>
      <c r="M9022" s="163"/>
      <c r="N9022" s="278"/>
      <c r="O9022" s="280">
        <f t="shared" si="2614"/>
        <v>0</v>
      </c>
      <c r="P9022" s="166"/>
      <c r="Q9022" s="166">
        <f t="shared" si="2615"/>
        <v>0</v>
      </c>
      <c r="R9022" s="71"/>
      <c r="S9022" s="61"/>
      <c r="T9022" s="71"/>
      <c r="U9022" s="61"/>
      <c r="V9022" s="61"/>
      <c r="W9022" s="61"/>
      <c r="X9022" s="61"/>
      <c r="Y9022" s="61"/>
      <c r="Z9022" s="61"/>
      <c r="AA9022" s="61"/>
      <c r="AB9022" s="61"/>
      <c r="AC9022" s="61"/>
      <c r="AD9022" s="61"/>
      <c r="AE9022" s="61"/>
      <c r="AF9022" s="61"/>
      <c r="AG9022" s="61"/>
      <c r="AH9022" s="61"/>
      <c r="AI9022" s="61"/>
      <c r="AJ9022" s="61"/>
      <c r="AK9022" s="61"/>
      <c r="AL9022" s="61"/>
      <c r="AM9022" s="61"/>
      <c r="AN9022" s="61"/>
      <c r="AO9022" s="61"/>
    </row>
    <row r="9023" spans="1:41" s="136" customFormat="1" ht="31.5" x14ac:dyDescent="0.25">
      <c r="A9023" s="358"/>
      <c r="B9023" s="361"/>
      <c r="C9023" s="373"/>
      <c r="D9023" s="156" t="s">
        <v>429</v>
      </c>
      <c r="E9023" s="156" t="s">
        <v>28</v>
      </c>
      <c r="F9023" s="156" t="s">
        <v>439</v>
      </c>
      <c r="G9023" s="238">
        <f t="shared" si="2613"/>
        <v>0</v>
      </c>
      <c r="H9023" s="158"/>
      <c r="I9023" s="159">
        <f t="shared" si="2616"/>
        <v>5.7547999999999995E-2</v>
      </c>
      <c r="J9023" s="160"/>
      <c r="K9023" s="161">
        <f t="shared" si="2617"/>
        <v>61164</v>
      </c>
      <c r="L9023" s="250">
        <v>1</v>
      </c>
      <c r="M9023" s="163"/>
      <c r="N9023" s="278"/>
      <c r="O9023" s="280">
        <f t="shared" si="2614"/>
        <v>0</v>
      </c>
      <c r="P9023" s="166"/>
      <c r="Q9023" s="166">
        <f t="shared" si="2615"/>
        <v>0</v>
      </c>
      <c r="R9023" s="71"/>
      <c r="S9023" s="61"/>
      <c r="T9023" s="71"/>
      <c r="U9023" s="61"/>
      <c r="V9023" s="61"/>
      <c r="W9023" s="61"/>
      <c r="X9023" s="61"/>
      <c r="Y9023" s="61"/>
      <c r="Z9023" s="61"/>
      <c r="AA9023" s="61"/>
      <c r="AB9023" s="61"/>
      <c r="AC9023" s="61"/>
      <c r="AD9023" s="61"/>
      <c r="AE9023" s="61"/>
      <c r="AF9023" s="61"/>
      <c r="AG9023" s="61"/>
      <c r="AH9023" s="61"/>
      <c r="AI9023" s="61"/>
      <c r="AJ9023" s="61"/>
      <c r="AK9023" s="61"/>
      <c r="AL9023" s="61"/>
      <c r="AM9023" s="61"/>
      <c r="AN9023" s="61"/>
      <c r="AO9023" s="61"/>
    </row>
    <row r="9024" spans="1:41" s="136" customFormat="1" ht="31.5" x14ac:dyDescent="0.25">
      <c r="A9024" s="358"/>
      <c r="B9024" s="361"/>
      <c r="C9024" s="373"/>
      <c r="D9024" s="156" t="s">
        <v>110</v>
      </c>
      <c r="E9024" s="156" t="s">
        <v>28</v>
      </c>
      <c r="F9024" s="156" t="s">
        <v>439</v>
      </c>
      <c r="G9024" s="238">
        <f t="shared" si="2613"/>
        <v>0</v>
      </c>
      <c r="H9024" s="158"/>
      <c r="I9024" s="159">
        <f t="shared" si="2616"/>
        <v>5.7547999999999995E-2</v>
      </c>
      <c r="J9024" s="160"/>
      <c r="K9024" s="161">
        <f t="shared" si="2617"/>
        <v>61164</v>
      </c>
      <c r="L9024" s="250">
        <v>1</v>
      </c>
      <c r="M9024" s="163"/>
      <c r="N9024" s="278"/>
      <c r="O9024" s="280">
        <f t="shared" si="2614"/>
        <v>0</v>
      </c>
      <c r="P9024" s="166"/>
      <c r="Q9024" s="166">
        <f t="shared" si="2615"/>
        <v>0</v>
      </c>
      <c r="R9024" s="71"/>
      <c r="S9024" s="61"/>
      <c r="T9024" s="71"/>
      <c r="U9024" s="61"/>
      <c r="V9024" s="61"/>
      <c r="W9024" s="61"/>
      <c r="X9024" s="61"/>
      <c r="Y9024" s="61"/>
      <c r="Z9024" s="61"/>
      <c r="AA9024" s="61"/>
      <c r="AB9024" s="61"/>
      <c r="AC9024" s="61"/>
      <c r="AD9024" s="61"/>
      <c r="AE9024" s="61"/>
      <c r="AF9024" s="61"/>
      <c r="AG9024" s="61"/>
      <c r="AH9024" s="61"/>
      <c r="AI9024" s="61"/>
      <c r="AJ9024" s="61"/>
      <c r="AK9024" s="61"/>
      <c r="AL9024" s="61"/>
      <c r="AM9024" s="61"/>
      <c r="AN9024" s="61"/>
      <c r="AO9024" s="61"/>
    </row>
    <row r="9025" spans="1:41" s="136" customFormat="1" ht="31.5" x14ac:dyDescent="0.25">
      <c r="A9025" s="358"/>
      <c r="B9025" s="361"/>
      <c r="C9025" s="373"/>
      <c r="D9025" s="156" t="s">
        <v>112</v>
      </c>
      <c r="E9025" s="156" t="s">
        <v>28</v>
      </c>
      <c r="F9025" s="156" t="s">
        <v>439</v>
      </c>
      <c r="G9025" s="238">
        <f t="shared" si="2613"/>
        <v>0</v>
      </c>
      <c r="H9025" s="158"/>
      <c r="I9025" s="159">
        <f t="shared" si="2616"/>
        <v>5.7547999999999995E-2</v>
      </c>
      <c r="J9025" s="160"/>
      <c r="K9025" s="161">
        <f t="shared" si="2617"/>
        <v>61164</v>
      </c>
      <c r="L9025" s="250">
        <v>1</v>
      </c>
      <c r="M9025" s="163"/>
      <c r="N9025" s="278"/>
      <c r="O9025" s="280">
        <f t="shared" si="2614"/>
        <v>0</v>
      </c>
      <c r="P9025" s="166"/>
      <c r="Q9025" s="166">
        <f t="shared" si="2615"/>
        <v>0</v>
      </c>
      <c r="R9025" s="71"/>
      <c r="S9025" s="61"/>
      <c r="T9025" s="71"/>
      <c r="U9025" s="61"/>
      <c r="V9025" s="61"/>
      <c r="W9025" s="61"/>
      <c r="X9025" s="61"/>
      <c r="Y9025" s="61"/>
      <c r="Z9025" s="61"/>
      <c r="AA9025" s="61"/>
      <c r="AB9025" s="61"/>
      <c r="AC9025" s="61"/>
      <c r="AD9025" s="61"/>
      <c r="AE9025" s="61"/>
      <c r="AF9025" s="61"/>
      <c r="AG9025" s="61"/>
      <c r="AH9025" s="61"/>
      <c r="AI9025" s="61"/>
      <c r="AJ9025" s="61"/>
      <c r="AK9025" s="61"/>
      <c r="AL9025" s="61"/>
      <c r="AM9025" s="61"/>
      <c r="AN9025" s="61"/>
      <c r="AO9025" s="61"/>
    </row>
    <row r="9026" spans="1:41" s="136" customFormat="1" ht="31.5" x14ac:dyDescent="0.25">
      <c r="A9026" s="358"/>
      <c r="B9026" s="361"/>
      <c r="C9026" s="373"/>
      <c r="D9026" s="156" t="s">
        <v>111</v>
      </c>
      <c r="E9026" s="156" t="s">
        <v>28</v>
      </c>
      <c r="F9026" s="156" t="s">
        <v>439</v>
      </c>
      <c r="G9026" s="238">
        <f t="shared" si="2613"/>
        <v>0</v>
      </c>
      <c r="H9026" s="158"/>
      <c r="I9026" s="159">
        <f t="shared" si="2616"/>
        <v>5.7547999999999995E-2</v>
      </c>
      <c r="J9026" s="160"/>
      <c r="K9026" s="161">
        <f t="shared" si="2617"/>
        <v>61164</v>
      </c>
      <c r="L9026" s="250">
        <v>1</v>
      </c>
      <c r="M9026" s="163"/>
      <c r="N9026" s="278"/>
      <c r="O9026" s="280">
        <f t="shared" si="2614"/>
        <v>0</v>
      </c>
      <c r="P9026" s="166"/>
      <c r="Q9026" s="166">
        <f t="shared" si="2615"/>
        <v>0</v>
      </c>
      <c r="R9026" s="71"/>
      <c r="S9026" s="61"/>
      <c r="T9026" s="71"/>
      <c r="U9026" s="61"/>
      <c r="V9026" s="61"/>
      <c r="W9026" s="61"/>
      <c r="X9026" s="61"/>
      <c r="Y9026" s="61"/>
      <c r="Z9026" s="61"/>
      <c r="AA9026" s="61"/>
      <c r="AB9026" s="61"/>
      <c r="AC9026" s="61"/>
      <c r="AD9026" s="61"/>
      <c r="AE9026" s="61"/>
      <c r="AF9026" s="61"/>
      <c r="AG9026" s="61"/>
      <c r="AH9026" s="61"/>
      <c r="AI9026" s="61"/>
      <c r="AJ9026" s="61"/>
      <c r="AK9026" s="61"/>
      <c r="AL9026" s="61"/>
      <c r="AM9026" s="61"/>
      <c r="AN9026" s="61"/>
      <c r="AO9026" s="61"/>
    </row>
    <row r="9027" spans="1:41" s="136" customFormat="1" ht="31.5" x14ac:dyDescent="0.25">
      <c r="A9027" s="358"/>
      <c r="B9027" s="361"/>
      <c r="C9027" s="374"/>
      <c r="D9027" s="156" t="s">
        <v>438</v>
      </c>
      <c r="E9027" s="156" t="s">
        <v>28</v>
      </c>
      <c r="F9027" s="156" t="s">
        <v>439</v>
      </c>
      <c r="G9027" s="238">
        <f t="shared" si="2613"/>
        <v>0</v>
      </c>
      <c r="H9027" s="158"/>
      <c r="I9027" s="159">
        <f t="shared" si="2616"/>
        <v>5.7547999999999995E-2</v>
      </c>
      <c r="J9027" s="160"/>
      <c r="K9027" s="161">
        <f t="shared" si="2617"/>
        <v>61164</v>
      </c>
      <c r="L9027" s="250">
        <v>1</v>
      </c>
      <c r="M9027" s="163"/>
      <c r="N9027" s="278"/>
      <c r="O9027" s="280">
        <f t="shared" si="2614"/>
        <v>0</v>
      </c>
      <c r="P9027" s="166"/>
      <c r="Q9027" s="166">
        <f t="shared" si="2615"/>
        <v>0</v>
      </c>
      <c r="R9027" s="71"/>
      <c r="S9027" s="61"/>
      <c r="T9027" s="71"/>
      <c r="U9027" s="61"/>
      <c r="V9027" s="61"/>
      <c r="W9027" s="61"/>
      <c r="X9027" s="61"/>
      <c r="Y9027" s="61"/>
      <c r="Z9027" s="61"/>
      <c r="AA9027" s="61"/>
      <c r="AB9027" s="61"/>
      <c r="AC9027" s="61"/>
      <c r="AD9027" s="61"/>
      <c r="AE9027" s="61"/>
      <c r="AF9027" s="61"/>
      <c r="AG9027" s="61"/>
      <c r="AH9027" s="61"/>
      <c r="AI9027" s="61"/>
      <c r="AJ9027" s="61"/>
      <c r="AK9027" s="61"/>
      <c r="AL9027" s="61"/>
      <c r="AM9027" s="61"/>
      <c r="AN9027" s="61"/>
      <c r="AO9027" s="61"/>
    </row>
    <row r="9028" spans="1:41" s="61" customFormat="1" x14ac:dyDescent="0.25">
      <c r="A9028" s="358"/>
      <c r="B9028" s="361"/>
      <c r="C9028" s="245" t="s">
        <v>299</v>
      </c>
      <c r="D9028" s="240"/>
      <c r="E9028" s="240"/>
      <c r="F9028" s="181"/>
      <c r="G9028" s="227"/>
      <c r="H9028" s="241"/>
      <c r="I9028" s="206"/>
      <c r="J9028" s="228"/>
      <c r="K9028" s="207"/>
      <c r="L9028" s="257"/>
      <c r="M9028" s="209"/>
      <c r="N9028" s="290"/>
      <c r="O9028" s="279">
        <f>SUM(O9016:O9027)</f>
        <v>2.6328999999999998E-2</v>
      </c>
      <c r="P9028" s="166"/>
      <c r="Q9028" s="166">
        <f>O9028*K9028</f>
        <v>0</v>
      </c>
      <c r="R9028" s="71"/>
    </row>
    <row r="9029" spans="1:41" s="61" customFormat="1" ht="47.25" x14ac:dyDescent="0.25">
      <c r="A9029" s="358"/>
      <c r="B9029" s="361"/>
      <c r="C9029" s="221" t="s">
        <v>434</v>
      </c>
      <c r="D9029" s="156" t="s">
        <v>436</v>
      </c>
      <c r="E9029" s="156" t="s">
        <v>28</v>
      </c>
      <c r="F9029" s="156" t="s">
        <v>437</v>
      </c>
      <c r="G9029" s="238">
        <f>MROUND(H9029*L9029*I9029/K9029,0.000000000001)</f>
        <v>0</v>
      </c>
      <c r="H9029" s="242">
        <f>$H$2148</f>
        <v>26</v>
      </c>
      <c r="I9029" s="159">
        <f>I9027</f>
        <v>5.7547999999999995E-2</v>
      </c>
      <c r="J9029" s="160"/>
      <c r="K9029" s="161">
        <f>K9027</f>
        <v>61164</v>
      </c>
      <c r="L9029" s="162"/>
      <c r="M9029" s="163"/>
      <c r="N9029" s="164">
        <f>$N$5536</f>
        <v>2280.2800000000002</v>
      </c>
      <c r="O9029" s="165">
        <f>MROUND(G9029*N9029,0.000001)</f>
        <v>0</v>
      </c>
      <c r="P9029" s="166"/>
      <c r="Q9029" s="166">
        <f>O9029*K9029</f>
        <v>0</v>
      </c>
      <c r="R9029" s="71"/>
    </row>
    <row r="9030" spans="1:41" s="61" customFormat="1" x14ac:dyDescent="0.25">
      <c r="A9030" s="358"/>
      <c r="B9030" s="361"/>
      <c r="C9030" s="218" t="s">
        <v>435</v>
      </c>
      <c r="D9030" s="240"/>
      <c r="E9030" s="240"/>
      <c r="F9030" s="240"/>
      <c r="G9030" s="251"/>
      <c r="H9030" s="241"/>
      <c r="I9030" s="206"/>
      <c r="J9030" s="228"/>
      <c r="K9030" s="207"/>
      <c r="L9030" s="229"/>
      <c r="M9030" s="209"/>
      <c r="N9030" s="210"/>
      <c r="O9030" s="198">
        <f>SUM(O9029)</f>
        <v>0</v>
      </c>
      <c r="P9030" s="166"/>
      <c r="Q9030" s="166"/>
      <c r="R9030" s="71"/>
    </row>
    <row r="9031" spans="1:41" s="61" customFormat="1" ht="110.25" x14ac:dyDescent="0.25">
      <c r="A9031" s="358"/>
      <c r="B9031" s="361"/>
      <c r="C9031" s="221" t="s">
        <v>82</v>
      </c>
      <c r="D9031" s="156" t="s">
        <v>46</v>
      </c>
      <c r="E9031" s="156" t="s">
        <v>54</v>
      </c>
      <c r="F9031" s="156" t="s">
        <v>285</v>
      </c>
      <c r="G9031" s="238">
        <f>MROUND(H9031*L9031*I9031/K9031,0.000000000001)</f>
        <v>2.3647168739999998E-3</v>
      </c>
      <c r="H9031" s="158">
        <f>H8927</f>
        <v>228.48206225686181</v>
      </c>
      <c r="I9031" s="291">
        <f>I9017</f>
        <v>5.7547999999999995E-2</v>
      </c>
      <c r="J9031" s="160"/>
      <c r="K9031" s="161">
        <f>K9017</f>
        <v>61164</v>
      </c>
      <c r="L9031" s="250">
        <f>$L$2150</f>
        <v>11</v>
      </c>
      <c r="M9031" s="163" t="str">
        <f>CONCATENATE(H9031," ",F9031,"*",L9031,"автобус","*",I9031,"/",K9031,"чел/час")</f>
        <v>228,482062256862 л бензина АИ 92 (12,5л/день(зимой)*20дней*7мес+10л/день(летом)*20дней*4мес)*11автобус*0,057548/61164чел/час</v>
      </c>
      <c r="N9031" s="278">
        <f>$N$8927</f>
        <v>59.28728000000001</v>
      </c>
      <c r="O9031" s="280">
        <f t="shared" ref="O9031:O9033" si="2618">MROUND(N9031*G9031,0.000001)</f>
        <v>0.14019799999999999</v>
      </c>
      <c r="P9031" s="166"/>
      <c r="Q9031" s="166">
        <f>O9031*K9031</f>
        <v>8575.0704719999994</v>
      </c>
      <c r="R9031" s="71"/>
    </row>
    <row r="9032" spans="1:41" s="61" customFormat="1" ht="47.25" x14ac:dyDescent="0.25">
      <c r="A9032" s="358"/>
      <c r="B9032" s="361"/>
      <c r="C9032" s="364" t="s">
        <v>118</v>
      </c>
      <c r="D9032" s="156" t="s">
        <v>47</v>
      </c>
      <c r="E9032" s="156" t="s">
        <v>28</v>
      </c>
      <c r="F9032" s="156" t="s">
        <v>239</v>
      </c>
      <c r="G9032" s="238">
        <f>MROUND(H9032*L9032*I9032/K9032,0.000000000001)</f>
        <v>1.8817605000000001E-5</v>
      </c>
      <c r="H9032" s="158">
        <f>H8928</f>
        <v>20</v>
      </c>
      <c r="I9032" s="159">
        <f>I9031</f>
        <v>5.7547999999999995E-2</v>
      </c>
      <c r="J9032" s="160"/>
      <c r="K9032" s="161">
        <f>K9031</f>
        <v>61164</v>
      </c>
      <c r="L9032" s="250">
        <v>1</v>
      </c>
      <c r="M9032" s="163" t="str">
        <f>CONCATENATE(H9032," ",F9032,"*",I9032,"/",K9032,"чел/час")</f>
        <v>20 манометров (потребность учреждений) *0,057548/61164чел/час</v>
      </c>
      <c r="N9032" s="278">
        <f>N8928</f>
        <v>707.09500000000003</v>
      </c>
      <c r="O9032" s="280">
        <f t="shared" si="2618"/>
        <v>1.3306E-2</v>
      </c>
      <c r="P9032" s="166"/>
      <c r="Q9032" s="166">
        <f>O9032*K9032</f>
        <v>813.84818400000006</v>
      </c>
      <c r="R9032" s="71"/>
    </row>
    <row r="9033" spans="1:41" s="61" customFormat="1" ht="47.25" x14ac:dyDescent="0.25">
      <c r="A9033" s="358"/>
      <c r="B9033" s="361"/>
      <c r="C9033" s="364"/>
      <c r="D9033" s="255" t="s">
        <v>113</v>
      </c>
      <c r="E9033" s="156" t="s">
        <v>28</v>
      </c>
      <c r="F9033" s="156" t="s">
        <v>240</v>
      </c>
      <c r="G9033" s="238">
        <f>MROUND(H9033*L9033*I9033/K9033,0.000000000001)</f>
        <v>9.4088026000000002E-5</v>
      </c>
      <c r="H9033" s="158">
        <v>100</v>
      </c>
      <c r="I9033" s="159">
        <f>I9032</f>
        <v>5.7547999999999995E-2</v>
      </c>
      <c r="J9033" s="160"/>
      <c r="K9033" s="161">
        <f>K9032</f>
        <v>61164</v>
      </c>
      <c r="L9033" s="250">
        <v>1</v>
      </c>
      <c r="M9033" s="163" t="str">
        <f>CONCATENATE(H9033," ",F9033,"*",I9033,"/",K9033,"чел/час")</f>
        <v>100 светильников (потребность учреждений)*0,057548/61164чел/час</v>
      </c>
      <c r="N9033" s="278">
        <f>N8929</f>
        <v>115.61000000000001</v>
      </c>
      <c r="O9033" s="280">
        <f t="shared" si="2618"/>
        <v>1.0877999999999999E-2</v>
      </c>
      <c r="P9033" s="166"/>
      <c r="Q9033" s="166">
        <f>O9033*K9033</f>
        <v>665.34199199999989</v>
      </c>
      <c r="R9033" s="71"/>
    </row>
    <row r="9034" spans="1:41" s="109" customFormat="1" x14ac:dyDescent="0.25">
      <c r="A9034" s="359"/>
      <c r="B9034" s="362"/>
      <c r="C9034" s="218" t="s">
        <v>301</v>
      </c>
      <c r="D9034" s="256"/>
      <c r="E9034" s="240"/>
      <c r="F9034" s="240"/>
      <c r="G9034" s="227"/>
      <c r="H9034" s="241"/>
      <c r="I9034" s="206"/>
      <c r="J9034" s="228"/>
      <c r="K9034" s="207"/>
      <c r="L9034" s="257"/>
      <c r="M9034" s="209"/>
      <c r="N9034" s="281"/>
      <c r="O9034" s="279">
        <f>O9032+O9033</f>
        <v>2.4183999999999997E-2</v>
      </c>
      <c r="P9034" s="267"/>
      <c r="Q9034" s="166"/>
      <c r="R9034" s="71"/>
      <c r="S9034" s="62"/>
      <c r="T9034" s="62"/>
      <c r="U9034" s="62"/>
      <c r="V9034" s="62"/>
      <c r="W9034" s="62"/>
      <c r="X9034" s="62"/>
      <c r="Y9034" s="62"/>
      <c r="Z9034" s="62"/>
      <c r="AA9034" s="62"/>
      <c r="AB9034" s="62"/>
      <c r="AC9034" s="62"/>
      <c r="AD9034" s="62"/>
      <c r="AE9034" s="62"/>
      <c r="AF9034" s="62"/>
      <c r="AG9034" s="62"/>
      <c r="AH9034" s="62"/>
      <c r="AI9034" s="62"/>
      <c r="AJ9034" s="62"/>
      <c r="AK9034" s="62"/>
      <c r="AL9034" s="62"/>
      <c r="AM9034" s="62"/>
      <c r="AN9034" s="62"/>
      <c r="AO9034" s="62"/>
    </row>
    <row r="9035" spans="1:41" s="108" customFormat="1" x14ac:dyDescent="0.25">
      <c r="A9035" s="357" t="str">
        <f>школы!$B$34</f>
        <v>Реализация дополнительных общеразвивающих программ (художественная направленность)</v>
      </c>
      <c r="B9035" s="360" t="str">
        <f>школы!$A$34</f>
        <v>801012О.99.0.ББ57АЕ76000</v>
      </c>
      <c r="C9035" s="194"/>
      <c r="D9035" s="363" t="s">
        <v>15</v>
      </c>
      <c r="E9035" s="363"/>
      <c r="F9035" s="363"/>
      <c r="G9035" s="363"/>
      <c r="H9035" s="195"/>
      <c r="I9035" s="195"/>
      <c r="J9035" s="195"/>
      <c r="K9035" s="195"/>
      <c r="L9035" s="196"/>
      <c r="M9035" s="197"/>
      <c r="N9035" s="278"/>
      <c r="O9035" s="279">
        <f>O9036+O9041</f>
        <v>134.01194870547997</v>
      </c>
      <c r="P9035" s="166"/>
      <c r="Q9035" s="166">
        <f>O9035*K9035</f>
        <v>0</v>
      </c>
      <c r="R9035" s="71"/>
      <c r="S9035" s="61"/>
      <c r="T9035" s="61"/>
      <c r="U9035" s="61"/>
      <c r="V9035" s="61"/>
      <c r="W9035" s="61"/>
      <c r="X9035" s="61"/>
      <c r="Y9035" s="61"/>
      <c r="Z9035" s="61"/>
      <c r="AA9035" s="61"/>
      <c r="AB9035" s="61"/>
      <c r="AC9035" s="61"/>
      <c r="AD9035" s="61"/>
      <c r="AE9035" s="61"/>
      <c r="AF9035" s="61"/>
      <c r="AG9035" s="61"/>
      <c r="AH9035" s="61"/>
      <c r="AI9035" s="61"/>
      <c r="AJ9035" s="61"/>
      <c r="AK9035" s="61"/>
      <c r="AL9035" s="61"/>
      <c r="AM9035" s="61"/>
      <c r="AN9035" s="61"/>
      <c r="AO9035" s="61"/>
    </row>
    <row r="9036" spans="1:41" s="108" customFormat="1" x14ac:dyDescent="0.25">
      <c r="A9036" s="358"/>
      <c r="B9036" s="361"/>
      <c r="C9036" s="194"/>
      <c r="D9036" s="350" t="s">
        <v>62</v>
      </c>
      <c r="E9036" s="350"/>
      <c r="F9036" s="350"/>
      <c r="G9036" s="350"/>
      <c r="H9036" s="195"/>
      <c r="I9036" s="195"/>
      <c r="J9036" s="195"/>
      <c r="K9036" s="195"/>
      <c r="L9036" s="196"/>
      <c r="M9036" s="197"/>
      <c r="N9036" s="278"/>
      <c r="O9036" s="279">
        <f>O9037+O9039</f>
        <v>133.14489070547998</v>
      </c>
      <c r="P9036" s="166"/>
      <c r="Q9036" s="166">
        <f>O9036*K9036</f>
        <v>0</v>
      </c>
      <c r="R9036" s="71"/>
      <c r="S9036" s="61"/>
      <c r="T9036" s="61"/>
      <c r="U9036" s="61"/>
      <c r="V9036" s="61"/>
      <c r="W9036" s="61"/>
      <c r="X9036" s="61"/>
      <c r="Y9036" s="61"/>
      <c r="Z9036" s="61"/>
      <c r="AA9036" s="61"/>
      <c r="AB9036" s="61"/>
      <c r="AC9036" s="61"/>
      <c r="AD9036" s="61"/>
      <c r="AE9036" s="61"/>
      <c r="AF9036" s="61"/>
      <c r="AG9036" s="61"/>
      <c r="AH9036" s="61"/>
      <c r="AI9036" s="61"/>
      <c r="AJ9036" s="61"/>
      <c r="AK9036" s="61"/>
      <c r="AL9036" s="61"/>
      <c r="AM9036" s="61"/>
      <c r="AN9036" s="61"/>
      <c r="AO9036" s="61"/>
    </row>
    <row r="9037" spans="1:41" s="61" customFormat="1" ht="31.5" x14ac:dyDescent="0.25">
      <c r="A9037" s="358"/>
      <c r="B9037" s="361"/>
      <c r="C9037" s="194">
        <v>211</v>
      </c>
      <c r="D9037" s="194" t="s">
        <v>86</v>
      </c>
      <c r="E9037" s="199" t="s">
        <v>95</v>
      </c>
      <c r="F9037" s="199" t="s">
        <v>95</v>
      </c>
      <c r="G9037" s="238">
        <f>MROUND(H9037*L9037*I9037/K9037,0.000000000001)</f>
        <v>4.3144549669999997E-3</v>
      </c>
      <c r="H9037" s="201">
        <f>H8829</f>
        <v>368.4</v>
      </c>
      <c r="I9037" s="159">
        <f>школы!$K$34</f>
        <v>0.36996099999999998</v>
      </c>
      <c r="J9037" s="159"/>
      <c r="K9037" s="161">
        <f>школы!$G$34</f>
        <v>379080</v>
      </c>
      <c r="L9037" s="202">
        <v>12</v>
      </c>
      <c r="M9037" s="163" t="str">
        <f>CONCATENATE(H9037," ",F9037," ","в мес.","*",L9037,"мес.","*",I9037,"/",K9037,"чел/час")</f>
        <v>368,4 шт.ед в мес.*12мес.*0,369961/379080чел/час</v>
      </c>
      <c r="N9037" s="278">
        <f>N8829</f>
        <v>23702.349798678973</v>
      </c>
      <c r="O9037" s="280">
        <f>MROUND(N9037*G9037,0.00000000001)-0.0009</f>
        <v>102.26182081847999</v>
      </c>
      <c r="P9037" s="166"/>
      <c r="Q9037" s="166">
        <f>O9037*K9037</f>
        <v>38765411.035869397</v>
      </c>
      <c r="R9037" s="71"/>
    </row>
    <row r="9038" spans="1:41" s="109" customFormat="1" x14ac:dyDescent="0.25">
      <c r="A9038" s="358"/>
      <c r="B9038" s="361"/>
      <c r="C9038" s="203" t="s">
        <v>288</v>
      </c>
      <c r="D9038" s="203"/>
      <c r="E9038" s="204"/>
      <c r="F9038" s="204"/>
      <c r="G9038" s="205"/>
      <c r="H9038" s="206"/>
      <c r="I9038" s="206"/>
      <c r="J9038" s="206"/>
      <c r="K9038" s="207"/>
      <c r="L9038" s="208"/>
      <c r="M9038" s="209"/>
      <c r="N9038" s="281"/>
      <c r="O9038" s="279">
        <f>O9037</f>
        <v>102.26182081847999</v>
      </c>
      <c r="P9038" s="267"/>
      <c r="Q9038" s="166"/>
      <c r="R9038" s="71"/>
      <c r="S9038" s="62"/>
      <c r="T9038" s="62"/>
      <c r="U9038" s="62"/>
      <c r="V9038" s="62"/>
      <c r="W9038" s="62"/>
      <c r="X9038" s="62"/>
      <c r="Y9038" s="62"/>
      <c r="Z9038" s="62"/>
      <c r="AA9038" s="62"/>
      <c r="AB9038" s="62"/>
      <c r="AC9038" s="62"/>
      <c r="AD9038" s="62"/>
      <c r="AE9038" s="62"/>
      <c r="AF9038" s="62"/>
      <c r="AG9038" s="62"/>
      <c r="AH9038" s="62"/>
      <c r="AI9038" s="62"/>
      <c r="AJ9038" s="62"/>
      <c r="AK9038" s="62"/>
      <c r="AL9038" s="62"/>
      <c r="AM9038" s="62"/>
      <c r="AN9038" s="62"/>
      <c r="AO9038" s="62"/>
    </row>
    <row r="9039" spans="1:41" s="61" customFormat="1" x14ac:dyDescent="0.25">
      <c r="A9039" s="358"/>
      <c r="B9039" s="361"/>
      <c r="C9039" s="194">
        <v>213</v>
      </c>
      <c r="D9039" s="194" t="s">
        <v>87</v>
      </c>
      <c r="E9039" s="194" t="s">
        <v>88</v>
      </c>
      <c r="F9039" s="194"/>
      <c r="G9039" s="211">
        <v>30.2</v>
      </c>
      <c r="H9039" s="159"/>
      <c r="I9039" s="282">
        <f>I9037</f>
        <v>0.36996099999999998</v>
      </c>
      <c r="J9039" s="159"/>
      <c r="K9039" s="161">
        <f>K9037</f>
        <v>379080</v>
      </c>
      <c r="L9039" s="202"/>
      <c r="M9039" s="212"/>
      <c r="N9039" s="278"/>
      <c r="O9039" s="280">
        <f>MROUND(O9037*0.302,0.000000001)</f>
        <v>30.883069887000001</v>
      </c>
      <c r="P9039" s="166"/>
      <c r="Q9039" s="166">
        <f>O9039*K9039</f>
        <v>11707154.132763961</v>
      </c>
      <c r="R9039" s="71"/>
    </row>
    <row r="9040" spans="1:41" s="109" customFormat="1" x14ac:dyDescent="0.25">
      <c r="A9040" s="358"/>
      <c r="B9040" s="361"/>
      <c r="C9040" s="203" t="s">
        <v>289</v>
      </c>
      <c r="D9040" s="203"/>
      <c r="E9040" s="203"/>
      <c r="F9040" s="203"/>
      <c r="G9040" s="213"/>
      <c r="H9040" s="214"/>
      <c r="I9040" s="206"/>
      <c r="J9040" s="214"/>
      <c r="K9040" s="207"/>
      <c r="L9040" s="215"/>
      <c r="M9040" s="216"/>
      <c r="N9040" s="281"/>
      <c r="O9040" s="279">
        <f>O9039</f>
        <v>30.883069887000001</v>
      </c>
      <c r="P9040" s="267"/>
      <c r="Q9040" s="166">
        <f>O9040*K9040</f>
        <v>0</v>
      </c>
      <c r="R9040" s="71"/>
      <c r="S9040" s="62"/>
      <c r="T9040" s="62"/>
      <c r="U9040" s="62"/>
      <c r="V9040" s="62"/>
      <c r="W9040" s="62"/>
      <c r="X9040" s="62"/>
      <c r="Y9040" s="62"/>
      <c r="Z9040" s="62"/>
      <c r="AA9040" s="62"/>
      <c r="AB9040" s="62"/>
      <c r="AC9040" s="62"/>
      <c r="AD9040" s="62"/>
      <c r="AE9040" s="62"/>
      <c r="AF9040" s="62"/>
      <c r="AG9040" s="62"/>
      <c r="AH9040" s="62"/>
      <c r="AI9040" s="62"/>
      <c r="AJ9040" s="62"/>
      <c r="AK9040" s="62"/>
      <c r="AL9040" s="62"/>
      <c r="AM9040" s="62"/>
      <c r="AN9040" s="62"/>
      <c r="AO9040" s="62"/>
    </row>
    <row r="9041" spans="1:41" s="108" customFormat="1" x14ac:dyDescent="0.25">
      <c r="A9041" s="358"/>
      <c r="B9041" s="361"/>
      <c r="C9041" s="194"/>
      <c r="D9041" s="356" t="s">
        <v>63</v>
      </c>
      <c r="E9041" s="356"/>
      <c r="F9041" s="356"/>
      <c r="G9041" s="356"/>
      <c r="H9041" s="195"/>
      <c r="I9041" s="159"/>
      <c r="J9041" s="195"/>
      <c r="K9041" s="161"/>
      <c r="L9041" s="196"/>
      <c r="M9041" s="197"/>
      <c r="N9041" s="278"/>
      <c r="O9041" s="280">
        <f>O9042</f>
        <v>0.867058</v>
      </c>
      <c r="P9041" s="166"/>
      <c r="Q9041" s="166">
        <f>O9041*K9041</f>
        <v>0</v>
      </c>
      <c r="R9041" s="71"/>
      <c r="S9041" s="61"/>
      <c r="T9041" s="61"/>
      <c r="U9041" s="61"/>
      <c r="V9041" s="61"/>
      <c r="W9041" s="61"/>
      <c r="X9041" s="61"/>
      <c r="Y9041" s="61"/>
      <c r="Z9041" s="61"/>
      <c r="AA9041" s="61"/>
      <c r="AB9041" s="61"/>
      <c r="AC9041" s="61"/>
      <c r="AD9041" s="61"/>
      <c r="AE9041" s="61"/>
      <c r="AF9041" s="61"/>
      <c r="AG9041" s="61"/>
      <c r="AH9041" s="61"/>
      <c r="AI9041" s="61"/>
      <c r="AJ9041" s="61"/>
      <c r="AK9041" s="61"/>
      <c r="AL9041" s="61"/>
      <c r="AM9041" s="61"/>
      <c r="AN9041" s="61"/>
      <c r="AO9041" s="61"/>
    </row>
    <row r="9042" spans="1:41" s="61" customFormat="1" x14ac:dyDescent="0.25">
      <c r="A9042" s="358"/>
      <c r="B9042" s="361"/>
      <c r="C9042" s="194" t="s">
        <v>118</v>
      </c>
      <c r="D9042" s="194" t="s">
        <v>259</v>
      </c>
      <c r="E9042" s="194" t="s">
        <v>260</v>
      </c>
      <c r="F9042" s="194" t="s">
        <v>261</v>
      </c>
      <c r="G9042" s="238">
        <f>MROUND(H9042*L9042*I9042/K9042,0.000000000001)</f>
        <v>1.1828446029999999E-3</v>
      </c>
      <c r="H9042" s="283">
        <f>H8834</f>
        <v>1212</v>
      </c>
      <c r="I9042" s="282">
        <f>I9039</f>
        <v>0.36996099999999998</v>
      </c>
      <c r="J9042" s="195"/>
      <c r="K9042" s="161">
        <f>K9039</f>
        <v>379080</v>
      </c>
      <c r="L9042" s="196">
        <v>1</v>
      </c>
      <c r="M9042" s="163" t="str">
        <f>CONCATENATE(H9042," ",F9042,"*",I9042,"/",K9042,"чел/час")</f>
        <v>1212 упаковок*0,369961/379080чел/час</v>
      </c>
      <c r="N9042" s="278">
        <f>N8834</f>
        <v>733.02792904290436</v>
      </c>
      <c r="O9042" s="280">
        <f>MROUND(N9042*G9042,0.000001)</f>
        <v>0.867058</v>
      </c>
      <c r="P9042" s="166"/>
      <c r="Q9042" s="166">
        <f>O9042*K9042</f>
        <v>328684.34664</v>
      </c>
      <c r="R9042" s="71"/>
    </row>
    <row r="9043" spans="1:41" s="109" customFormat="1" x14ac:dyDescent="0.25">
      <c r="A9043" s="358"/>
      <c r="B9043" s="361"/>
      <c r="C9043" s="203" t="s">
        <v>301</v>
      </c>
      <c r="D9043" s="203"/>
      <c r="E9043" s="203"/>
      <c r="F9043" s="203"/>
      <c r="G9043" s="227"/>
      <c r="H9043" s="214"/>
      <c r="I9043" s="206"/>
      <c r="J9043" s="214"/>
      <c r="K9043" s="207"/>
      <c r="L9043" s="215"/>
      <c r="M9043" s="209"/>
      <c r="N9043" s="281"/>
      <c r="O9043" s="279">
        <f>O9041+O9042</f>
        <v>1.734116</v>
      </c>
      <c r="P9043" s="267"/>
      <c r="Q9043" s="166"/>
      <c r="R9043" s="71"/>
      <c r="S9043" s="62"/>
      <c r="T9043" s="62"/>
      <c r="U9043" s="62"/>
      <c r="V9043" s="62"/>
      <c r="W9043" s="62"/>
      <c r="X9043" s="62"/>
      <c r="Y9043" s="62"/>
      <c r="Z9043" s="62"/>
      <c r="AA9043" s="62"/>
      <c r="AB9043" s="62"/>
      <c r="AC9043" s="62"/>
      <c r="AD9043" s="62"/>
      <c r="AE9043" s="62"/>
      <c r="AF9043" s="62"/>
      <c r="AG9043" s="62"/>
      <c r="AH9043" s="62"/>
      <c r="AI9043" s="62"/>
      <c r="AJ9043" s="62"/>
      <c r="AK9043" s="62"/>
      <c r="AL9043" s="62"/>
      <c r="AM9043" s="62"/>
      <c r="AN9043" s="62"/>
      <c r="AO9043" s="62"/>
    </row>
    <row r="9044" spans="1:41" s="108" customFormat="1" x14ac:dyDescent="0.25">
      <c r="A9044" s="358"/>
      <c r="B9044" s="361"/>
      <c r="C9044" s="194"/>
      <c r="D9044" s="350" t="s">
        <v>64</v>
      </c>
      <c r="E9044" s="350"/>
      <c r="F9044" s="350"/>
      <c r="G9044" s="350"/>
      <c r="H9044" s="195"/>
      <c r="I9044" s="159"/>
      <c r="J9044" s="195"/>
      <c r="K9044" s="161"/>
      <c r="L9044" s="196"/>
      <c r="M9044" s="197"/>
      <c r="N9044" s="278"/>
      <c r="O9044" s="280"/>
      <c r="P9044" s="166"/>
      <c r="Q9044" s="166">
        <f t="shared" ref="Q9044:Q9054" si="2619">O9044*K9044</f>
        <v>0</v>
      </c>
      <c r="R9044" s="71"/>
      <c r="S9044" s="61"/>
      <c r="T9044" s="61"/>
      <c r="U9044" s="61"/>
      <c r="V9044" s="61"/>
      <c r="W9044" s="61"/>
      <c r="X9044" s="61"/>
      <c r="Y9044" s="61"/>
      <c r="Z9044" s="61"/>
      <c r="AA9044" s="61"/>
      <c r="AB9044" s="61"/>
      <c r="AC9044" s="61"/>
      <c r="AD9044" s="61"/>
      <c r="AE9044" s="61"/>
      <c r="AF9044" s="61"/>
      <c r="AG9044" s="61"/>
      <c r="AH9044" s="61"/>
      <c r="AI9044" s="61"/>
      <c r="AJ9044" s="61"/>
      <c r="AK9044" s="61"/>
      <c r="AL9044" s="61"/>
      <c r="AM9044" s="61"/>
      <c r="AN9044" s="61"/>
      <c r="AO9044" s="61"/>
    </row>
    <row r="9045" spans="1:41" s="108" customFormat="1" x14ac:dyDescent="0.25">
      <c r="A9045" s="358"/>
      <c r="B9045" s="361"/>
      <c r="C9045" s="194"/>
      <c r="D9045" s="194"/>
      <c r="E9045" s="194"/>
      <c r="F9045" s="194"/>
      <c r="G9045" s="217"/>
      <c r="H9045" s="195"/>
      <c r="I9045" s="159"/>
      <c r="J9045" s="195"/>
      <c r="K9045" s="161"/>
      <c r="L9045" s="196"/>
      <c r="M9045" s="197"/>
      <c r="N9045" s="278"/>
      <c r="O9045" s="280"/>
      <c r="P9045" s="166"/>
      <c r="Q9045" s="166">
        <f t="shared" si="2619"/>
        <v>0</v>
      </c>
      <c r="R9045" s="71"/>
      <c r="S9045" s="61"/>
      <c r="T9045" s="61"/>
      <c r="U9045" s="61"/>
      <c r="V9045" s="61"/>
      <c r="W9045" s="61"/>
      <c r="X9045" s="61"/>
      <c r="Y9045" s="61"/>
      <c r="Z9045" s="61"/>
      <c r="AA9045" s="61"/>
      <c r="AB9045" s="61"/>
      <c r="AC9045" s="61"/>
      <c r="AD9045" s="61"/>
      <c r="AE9045" s="61"/>
      <c r="AF9045" s="61"/>
      <c r="AG9045" s="61"/>
      <c r="AH9045" s="61"/>
      <c r="AI9045" s="61"/>
      <c r="AJ9045" s="61"/>
      <c r="AK9045" s="61"/>
      <c r="AL9045" s="61"/>
      <c r="AM9045" s="61"/>
      <c r="AN9045" s="61"/>
      <c r="AO9045" s="61"/>
    </row>
    <row r="9046" spans="1:41" s="108" customFormat="1" x14ac:dyDescent="0.25">
      <c r="A9046" s="358"/>
      <c r="B9046" s="361"/>
      <c r="C9046" s="194"/>
      <c r="D9046" s="355" t="s">
        <v>5</v>
      </c>
      <c r="E9046" s="355"/>
      <c r="F9046" s="355"/>
      <c r="G9046" s="355"/>
      <c r="H9046" s="195"/>
      <c r="I9046" s="159"/>
      <c r="J9046" s="195"/>
      <c r="K9046" s="161"/>
      <c r="L9046" s="196"/>
      <c r="M9046" s="197"/>
      <c r="N9046" s="278"/>
      <c r="O9046" s="279">
        <f>O9047+O9056+O9067+O9069+O9080+O9076</f>
        <v>22.650521062999996</v>
      </c>
      <c r="P9046" s="166"/>
      <c r="Q9046" s="166">
        <f t="shared" si="2619"/>
        <v>0</v>
      </c>
      <c r="R9046" s="71"/>
      <c r="S9046" s="61"/>
      <c r="T9046" s="61"/>
      <c r="U9046" s="61"/>
      <c r="V9046" s="61"/>
      <c r="W9046" s="61"/>
      <c r="X9046" s="61"/>
      <c r="Y9046" s="61"/>
      <c r="Z9046" s="61"/>
      <c r="AA9046" s="61"/>
      <c r="AB9046" s="61"/>
      <c r="AC9046" s="61"/>
      <c r="AD9046" s="61"/>
      <c r="AE9046" s="61"/>
      <c r="AF9046" s="61"/>
      <c r="AG9046" s="61"/>
      <c r="AH9046" s="61"/>
      <c r="AI9046" s="61"/>
      <c r="AJ9046" s="61"/>
      <c r="AK9046" s="61"/>
      <c r="AL9046" s="61"/>
      <c r="AM9046" s="61"/>
      <c r="AN9046" s="61"/>
      <c r="AO9046" s="61"/>
    </row>
    <row r="9047" spans="1:41" s="108" customFormat="1" x14ac:dyDescent="0.25">
      <c r="A9047" s="358"/>
      <c r="B9047" s="361"/>
      <c r="C9047" s="221" t="s">
        <v>70</v>
      </c>
      <c r="D9047" s="355" t="s">
        <v>6</v>
      </c>
      <c r="E9047" s="355"/>
      <c r="F9047" s="355"/>
      <c r="G9047" s="355"/>
      <c r="H9047" s="189"/>
      <c r="I9047" s="159"/>
      <c r="J9047" s="189"/>
      <c r="K9047" s="161"/>
      <c r="L9047" s="190"/>
      <c r="M9047" s="197"/>
      <c r="N9047" s="278"/>
      <c r="O9047" s="279">
        <f>O9048+O9049+O9050+O9051+O9052+O9053+O9054</f>
        <v>6.4898400000000001</v>
      </c>
      <c r="P9047" s="166"/>
      <c r="Q9047" s="166">
        <f t="shared" si="2619"/>
        <v>0</v>
      </c>
      <c r="R9047" s="71"/>
      <c r="S9047" s="61"/>
      <c r="T9047" s="61"/>
      <c r="U9047" s="61"/>
      <c r="V9047" s="61"/>
      <c r="W9047" s="61"/>
      <c r="X9047" s="61"/>
      <c r="Y9047" s="61"/>
      <c r="Z9047" s="61"/>
      <c r="AA9047" s="61"/>
      <c r="AB9047" s="61"/>
      <c r="AC9047" s="61"/>
      <c r="AD9047" s="61"/>
      <c r="AE9047" s="61"/>
      <c r="AF9047" s="61"/>
      <c r="AG9047" s="61"/>
      <c r="AH9047" s="61"/>
      <c r="AI9047" s="61"/>
      <c r="AJ9047" s="61"/>
      <c r="AK9047" s="61"/>
      <c r="AL9047" s="61"/>
      <c r="AM9047" s="61"/>
      <c r="AN9047" s="61"/>
      <c r="AO9047" s="61"/>
    </row>
    <row r="9048" spans="1:41" s="61" customFormat="1" ht="31.5" x14ac:dyDescent="0.25">
      <c r="A9048" s="358"/>
      <c r="B9048" s="361"/>
      <c r="C9048" s="221" t="s">
        <v>72</v>
      </c>
      <c r="D9048" s="222" t="s">
        <v>7</v>
      </c>
      <c r="E9048" s="223" t="s">
        <v>8</v>
      </c>
      <c r="F9048" s="223" t="s">
        <v>8</v>
      </c>
      <c r="G9048" s="238">
        <f>MROUND(H9048*L9048*I9048/K9048,0.000000000001)</f>
        <v>0.11034040668299999</v>
      </c>
      <c r="H9048" s="160">
        <f>H8840</f>
        <v>113060.13705633247</v>
      </c>
      <c r="I9048" s="282">
        <f>I9042</f>
        <v>0.36996099999999998</v>
      </c>
      <c r="J9048" s="160"/>
      <c r="K9048" s="161">
        <f>K9042</f>
        <v>379080</v>
      </c>
      <c r="L9048" s="250">
        <v>1</v>
      </c>
      <c r="M9048" s="163" t="str">
        <f>CONCATENATE(H9048," ",F9048,"(лимиты выделенные УЖКХ) ","*",I9048,"/",K9048,"чел/час")</f>
        <v>113060,137056332 кВт час.(лимиты выделенные УЖКХ) *0,369961/379080чел/час</v>
      </c>
      <c r="N9048" s="278">
        <f>N8840</f>
        <v>11.38065575985371</v>
      </c>
      <c r="O9048" s="280">
        <f>MROUND(N9048*G9048,0.000001)-0.0001</f>
        <v>1.255646</v>
      </c>
      <c r="P9048" s="166"/>
      <c r="Q9048" s="166">
        <f t="shared" si="2619"/>
        <v>475990.28568000003</v>
      </c>
      <c r="R9048" s="71"/>
    </row>
    <row r="9049" spans="1:41" s="61" customFormat="1" ht="31.5" x14ac:dyDescent="0.25">
      <c r="A9049" s="358"/>
      <c r="B9049" s="361"/>
      <c r="C9049" s="221" t="s">
        <v>73</v>
      </c>
      <c r="D9049" s="222" t="s">
        <v>9</v>
      </c>
      <c r="E9049" s="223" t="s">
        <v>10</v>
      </c>
      <c r="F9049" s="223" t="s">
        <v>10</v>
      </c>
      <c r="G9049" s="238">
        <f t="shared" ref="G9049:G9054" si="2620">MROUND(H9049*L9049*I9049/K9049,0.000000000001)</f>
        <v>1.3604664819999999E-3</v>
      </c>
      <c r="H9049" s="160">
        <f>H8841</f>
        <v>1394</v>
      </c>
      <c r="I9049" s="159">
        <f t="shared" ref="I9049:I9054" si="2621">I9048</f>
        <v>0.36996099999999998</v>
      </c>
      <c r="J9049" s="160"/>
      <c r="K9049" s="161">
        <f t="shared" ref="K9049:K9054" si="2622">K9048</f>
        <v>379080</v>
      </c>
      <c r="L9049" s="250">
        <v>1</v>
      </c>
      <c r="M9049" s="163" t="str">
        <f>CONCATENATE(H9049," ",F9049,"(лимиты выделенные УЖКХ) ","*",I9049,"/",K9049,"чел/час")</f>
        <v>1394 Гкал(лимиты выделенные УЖКХ) *0,369961/379080чел/час</v>
      </c>
      <c r="N9049" s="278">
        <f>N8945</f>
        <v>3095.3018579626978</v>
      </c>
      <c r="O9049" s="280">
        <f t="shared" ref="O9049:O9054" si="2623">MROUND(N9049*G9049,0.000001)</f>
        <v>4.2110539999999999</v>
      </c>
      <c r="P9049" s="166"/>
      <c r="Q9049" s="166">
        <f t="shared" si="2619"/>
        <v>1596326.35032</v>
      </c>
      <c r="R9049" s="71"/>
    </row>
    <row r="9050" spans="1:41" s="61" customFormat="1" ht="31.5" x14ac:dyDescent="0.25">
      <c r="A9050" s="358"/>
      <c r="B9050" s="361"/>
      <c r="C9050" s="364" t="s">
        <v>74</v>
      </c>
      <c r="D9050" s="222" t="s">
        <v>12</v>
      </c>
      <c r="E9050" s="222" t="s">
        <v>11</v>
      </c>
      <c r="F9050" s="222" t="s">
        <v>11</v>
      </c>
      <c r="G9050" s="238">
        <f t="shared" si="2620"/>
        <v>3.943898641E-3</v>
      </c>
      <c r="H9050" s="224">
        <f>H8842</f>
        <v>4041.1099999999997</v>
      </c>
      <c r="I9050" s="159">
        <f t="shared" si="2621"/>
        <v>0.36996099999999998</v>
      </c>
      <c r="J9050" s="160"/>
      <c r="K9050" s="161">
        <f t="shared" si="2622"/>
        <v>379080</v>
      </c>
      <c r="L9050" s="250">
        <v>1</v>
      </c>
      <c r="M9050" s="163" t="str">
        <f>CONCATENATE(H9050," ",F9050,"(лимиты выделенные УЖКХ) ","*",I9050,"/",K9050,"чел/час")</f>
        <v>4041,11 м3(лимиты выделенные УЖКХ) *0,369961/379080чел/час</v>
      </c>
      <c r="N9050" s="278">
        <f>N8842</f>
        <v>56.382747190747111</v>
      </c>
      <c r="O9050" s="280">
        <f t="shared" si="2623"/>
        <v>0.22236799999999998</v>
      </c>
      <c r="P9050" s="166"/>
      <c r="Q9050" s="166">
        <f t="shared" si="2619"/>
        <v>84295.261439999987</v>
      </c>
      <c r="R9050" s="71"/>
    </row>
    <row r="9051" spans="1:41" s="61" customFormat="1" ht="47.25" x14ac:dyDescent="0.25">
      <c r="A9051" s="358"/>
      <c r="B9051" s="361"/>
      <c r="C9051" s="364"/>
      <c r="D9051" s="222" t="s">
        <v>17</v>
      </c>
      <c r="E9051" s="222" t="s">
        <v>11</v>
      </c>
      <c r="F9051" s="222" t="s">
        <v>11</v>
      </c>
      <c r="G9051" s="238">
        <f t="shared" si="2620"/>
        <v>3.943898641E-3</v>
      </c>
      <c r="H9051" s="160">
        <f>H8947</f>
        <v>4041.1099999999997</v>
      </c>
      <c r="I9051" s="159">
        <f t="shared" si="2621"/>
        <v>0.36996099999999998</v>
      </c>
      <c r="J9051" s="160"/>
      <c r="K9051" s="161">
        <f t="shared" si="2622"/>
        <v>379080</v>
      </c>
      <c r="L9051" s="162">
        <f>$L$8843</f>
        <v>1</v>
      </c>
      <c r="M9051" s="163" t="str">
        <f>CONCATENATE(H9051," ",F9051,"(лимиты выделенные УЖКХ) ","*",I9051,"/",K9051,"чел/час")</f>
        <v>4041,11 м3(лимиты выделенные УЖКХ) *0,369961/379080чел/час</v>
      </c>
      <c r="N9051" s="164">
        <f>N8843</f>
        <v>85.679537612054801</v>
      </c>
      <c r="O9051" s="280">
        <f t="shared" si="2623"/>
        <v>0.33791099999999996</v>
      </c>
      <c r="P9051" s="166"/>
      <c r="Q9051" s="166">
        <f t="shared" si="2619"/>
        <v>128095.30187999998</v>
      </c>
      <c r="R9051" s="71"/>
    </row>
    <row r="9052" spans="1:41" s="61" customFormat="1" ht="31.5" x14ac:dyDescent="0.25">
      <c r="A9052" s="358"/>
      <c r="B9052" s="361"/>
      <c r="C9052" s="364"/>
      <c r="D9052" s="222" t="s">
        <v>13</v>
      </c>
      <c r="E9052" s="222" t="s">
        <v>11</v>
      </c>
      <c r="F9052" s="222" t="s">
        <v>11</v>
      </c>
      <c r="G9052" s="238">
        <f t="shared" si="2620"/>
        <v>3.943898641E-3</v>
      </c>
      <c r="H9052" s="160">
        <f>H8844</f>
        <v>4041.1099999999997</v>
      </c>
      <c r="I9052" s="159">
        <f t="shared" si="2621"/>
        <v>0.36996099999999998</v>
      </c>
      <c r="J9052" s="160"/>
      <c r="K9052" s="161">
        <f t="shared" si="2622"/>
        <v>379080</v>
      </c>
      <c r="L9052" s="162">
        <v>1</v>
      </c>
      <c r="M9052" s="163" t="str">
        <f>CONCATENATE(H9052," ",F9052,"(лимиты выделенные УЖКХ) ","*",I9052,"/",K9052,"чел/час")</f>
        <v>4041,11 м3(лимиты выделенные УЖКХ) *0,369961/379080чел/час</v>
      </c>
      <c r="N9052" s="278">
        <f>N8844</f>
        <v>104.62845363292494</v>
      </c>
      <c r="O9052" s="280">
        <f t="shared" si="2623"/>
        <v>0.41264399999999996</v>
      </c>
      <c r="P9052" s="166"/>
      <c r="Q9052" s="166">
        <f t="shared" si="2619"/>
        <v>156425.08751999997</v>
      </c>
      <c r="R9052" s="71"/>
    </row>
    <row r="9053" spans="1:41" s="61" customFormat="1" x14ac:dyDescent="0.25">
      <c r="A9053" s="358"/>
      <c r="B9053" s="361"/>
      <c r="C9053" s="364" t="s">
        <v>216</v>
      </c>
      <c r="D9053" s="222" t="s">
        <v>23</v>
      </c>
      <c r="E9053" s="222" t="s">
        <v>11</v>
      </c>
      <c r="F9053" s="222" t="s">
        <v>11</v>
      </c>
      <c r="G9053" s="238">
        <f t="shared" si="2620"/>
        <v>2.4379091E-5</v>
      </c>
      <c r="H9053" s="160">
        <f>H8845</f>
        <v>24.979999999999997</v>
      </c>
      <c r="I9053" s="159">
        <f t="shared" si="2621"/>
        <v>0.36996099999999998</v>
      </c>
      <c r="J9053" s="160"/>
      <c r="K9053" s="161">
        <f t="shared" si="2622"/>
        <v>379080</v>
      </c>
      <c r="L9053" s="162">
        <v>1</v>
      </c>
      <c r="M9053" s="163" t="str">
        <f>CONCATENATE(H9053," ",F9053," ","*",I9053,"/",K9053,"чел/час")</f>
        <v>24,98 м3 *0,369961/379080чел/час</v>
      </c>
      <c r="N9053" s="164">
        <f>N8845</f>
        <v>807.4099279423541</v>
      </c>
      <c r="O9053" s="280">
        <f t="shared" si="2623"/>
        <v>1.9684E-2</v>
      </c>
      <c r="P9053" s="166"/>
      <c r="Q9053" s="166">
        <f t="shared" si="2619"/>
        <v>7461.8107200000004</v>
      </c>
      <c r="R9053" s="71"/>
    </row>
    <row r="9054" spans="1:41" s="61" customFormat="1" ht="63" x14ac:dyDescent="0.25">
      <c r="A9054" s="358"/>
      <c r="B9054" s="361"/>
      <c r="C9054" s="364"/>
      <c r="D9054" s="222" t="s">
        <v>24</v>
      </c>
      <c r="E9054" s="222" t="s">
        <v>25</v>
      </c>
      <c r="F9054" s="222" t="s">
        <v>248</v>
      </c>
      <c r="G9054" s="238">
        <f t="shared" si="2620"/>
        <v>4.8797220000000002E-6</v>
      </c>
      <c r="H9054" s="160">
        <f>H8846</f>
        <v>5</v>
      </c>
      <c r="I9054" s="159">
        <f t="shared" si="2621"/>
        <v>0.36996099999999998</v>
      </c>
      <c r="J9054" s="160"/>
      <c r="K9054" s="161">
        <f t="shared" si="2622"/>
        <v>379080</v>
      </c>
      <c r="L9054" s="250">
        <v>1</v>
      </c>
      <c r="M9054" s="163" t="str">
        <f>CONCATENATE(H9054," ",F9054,"(потребность из расчета 4 контейнера для уборки территории весной и осенью на 1 учреждение)","*",I9054,"/",K9054,"чел/час")</f>
        <v>5 контейнеров(потребность из расчета 4 контейнера для уборки территории весной и осенью на 1 учреждение)*0,369961/379080чел/час</v>
      </c>
      <c r="N9054" s="278">
        <f>N8846</f>
        <v>6257.04</v>
      </c>
      <c r="O9054" s="280">
        <f t="shared" si="2623"/>
        <v>3.0532999999999998E-2</v>
      </c>
      <c r="P9054" s="166"/>
      <c r="Q9054" s="166">
        <f t="shared" si="2619"/>
        <v>11574.449639999999</v>
      </c>
      <c r="R9054" s="71"/>
    </row>
    <row r="9055" spans="1:41" s="109" customFormat="1" x14ac:dyDescent="0.25">
      <c r="A9055" s="358"/>
      <c r="B9055" s="361"/>
      <c r="C9055" s="218" t="s">
        <v>290</v>
      </c>
      <c r="D9055" s="226"/>
      <c r="E9055" s="226"/>
      <c r="F9055" s="226"/>
      <c r="G9055" s="227"/>
      <c r="H9055" s="228"/>
      <c r="I9055" s="206"/>
      <c r="J9055" s="228"/>
      <c r="K9055" s="207"/>
      <c r="L9055" s="257"/>
      <c r="M9055" s="209"/>
      <c r="N9055" s="281"/>
      <c r="O9055" s="279">
        <f>SUM(O9048:O9054)</f>
        <v>6.4898400000000001</v>
      </c>
      <c r="P9055" s="267"/>
      <c r="Q9055" s="166"/>
      <c r="R9055" s="71"/>
      <c r="S9055" s="62"/>
      <c r="T9055" s="62"/>
      <c r="U9055" s="62"/>
      <c r="V9055" s="62"/>
      <c r="W9055" s="62"/>
      <c r="X9055" s="62"/>
      <c r="Y9055" s="62"/>
      <c r="Z9055" s="62"/>
      <c r="AA9055" s="62"/>
      <c r="AB9055" s="62"/>
      <c r="AC9055" s="62"/>
      <c r="AD9055" s="62"/>
      <c r="AE9055" s="62"/>
      <c r="AF9055" s="62"/>
      <c r="AG9055" s="62"/>
      <c r="AH9055" s="62"/>
      <c r="AI9055" s="62"/>
      <c r="AJ9055" s="62"/>
      <c r="AK9055" s="62"/>
      <c r="AL9055" s="62"/>
      <c r="AM9055" s="62"/>
      <c r="AN9055" s="62"/>
      <c r="AO9055" s="62"/>
    </row>
    <row r="9056" spans="1:41" s="108" customFormat="1" x14ac:dyDescent="0.25">
      <c r="A9056" s="358"/>
      <c r="B9056" s="361"/>
      <c r="C9056" s="221"/>
      <c r="D9056" s="356" t="s">
        <v>14</v>
      </c>
      <c r="E9056" s="356"/>
      <c r="F9056" s="356"/>
      <c r="G9056" s="356"/>
      <c r="H9056" s="188"/>
      <c r="I9056" s="159"/>
      <c r="J9056" s="188"/>
      <c r="K9056" s="161"/>
      <c r="L9056" s="250"/>
      <c r="M9056" s="230"/>
      <c r="N9056" s="278"/>
      <c r="O9056" s="279">
        <f>O9060+O9064+O9066</f>
        <v>12.007119816000001</v>
      </c>
      <c r="P9056" s="166"/>
      <c r="Q9056" s="166">
        <f>O9056*K9056</f>
        <v>0</v>
      </c>
      <c r="R9056" s="71"/>
      <c r="S9056" s="61"/>
      <c r="T9056" s="61"/>
      <c r="U9056" s="61"/>
      <c r="V9056" s="61"/>
      <c r="W9056" s="61"/>
      <c r="X9056" s="61"/>
      <c r="Y9056" s="61"/>
      <c r="Z9056" s="61"/>
      <c r="AA9056" s="61"/>
      <c r="AB9056" s="61"/>
      <c r="AC9056" s="61"/>
      <c r="AD9056" s="61"/>
      <c r="AE9056" s="61"/>
      <c r="AF9056" s="61"/>
      <c r="AG9056" s="61"/>
      <c r="AH9056" s="61"/>
      <c r="AI9056" s="61"/>
      <c r="AJ9056" s="61"/>
      <c r="AK9056" s="61"/>
      <c r="AL9056" s="61"/>
      <c r="AM9056" s="61"/>
      <c r="AN9056" s="61"/>
      <c r="AO9056" s="61"/>
    </row>
    <row r="9057" spans="1:41" s="61" customFormat="1" x14ac:dyDescent="0.25">
      <c r="A9057" s="358"/>
      <c r="B9057" s="361"/>
      <c r="C9057" s="221" t="s">
        <v>379</v>
      </c>
      <c r="D9057" s="231" t="s">
        <v>49</v>
      </c>
      <c r="E9057" s="231" t="s">
        <v>22</v>
      </c>
      <c r="F9057" s="231" t="s">
        <v>22</v>
      </c>
      <c r="G9057" s="238">
        <f>MROUND(H9057*L9057*I9057/K9057,0.000000000001)</f>
        <v>0</v>
      </c>
      <c r="H9057" s="160"/>
      <c r="I9057" s="159">
        <f>I9052</f>
        <v>0.36996099999999998</v>
      </c>
      <c r="J9057" s="160"/>
      <c r="K9057" s="161">
        <f>K9052</f>
        <v>379080</v>
      </c>
      <c r="L9057" s="250">
        <v>1</v>
      </c>
      <c r="M9057" s="163"/>
      <c r="N9057" s="278"/>
      <c r="O9057" s="280">
        <f>MROUND(N9057*G9057,0.000000001)</f>
        <v>0</v>
      </c>
      <c r="P9057" s="166"/>
      <c r="Q9057" s="166">
        <f>O9057*K9057</f>
        <v>0</v>
      </c>
      <c r="R9057" s="71"/>
    </row>
    <row r="9058" spans="1:41" s="61" customFormat="1" x14ac:dyDescent="0.25">
      <c r="A9058" s="358"/>
      <c r="B9058" s="361"/>
      <c r="C9058" s="221" t="s">
        <v>379</v>
      </c>
      <c r="D9058" s="231" t="s">
        <v>49</v>
      </c>
      <c r="E9058" s="231" t="s">
        <v>28</v>
      </c>
      <c r="F9058" s="231" t="s">
        <v>28</v>
      </c>
      <c r="G9058" s="238">
        <f>MROUND(H9058*L9058*I9058/K9058,0.000000000001)</f>
        <v>0</v>
      </c>
      <c r="H9058" s="160"/>
      <c r="I9058" s="159">
        <f>I9057</f>
        <v>0.36996099999999998</v>
      </c>
      <c r="J9058" s="160"/>
      <c r="K9058" s="161">
        <f>K9057</f>
        <v>379080</v>
      </c>
      <c r="L9058" s="250">
        <v>1</v>
      </c>
      <c r="M9058" s="163"/>
      <c r="N9058" s="278"/>
      <c r="O9058" s="280">
        <f>MROUND(N9058*G9058,0.000000001)</f>
        <v>0</v>
      </c>
      <c r="P9058" s="166"/>
      <c r="Q9058" s="166">
        <f>O9058*K9058</f>
        <v>0</v>
      </c>
      <c r="R9058" s="71"/>
    </row>
    <row r="9059" spans="1:41" s="61" customFormat="1" x14ac:dyDescent="0.25">
      <c r="A9059" s="358"/>
      <c r="B9059" s="361"/>
      <c r="C9059" s="221" t="s">
        <v>379</v>
      </c>
      <c r="D9059" s="231" t="s">
        <v>49</v>
      </c>
      <c r="E9059" s="231" t="s">
        <v>101</v>
      </c>
      <c r="F9059" s="231" t="s">
        <v>101</v>
      </c>
      <c r="G9059" s="238">
        <f>MROUND(H9059*L9059*I9059/K9059,0.000000000001)</f>
        <v>0</v>
      </c>
      <c r="H9059" s="160"/>
      <c r="I9059" s="159">
        <f>I9057</f>
        <v>0.36996099999999998</v>
      </c>
      <c r="J9059" s="160"/>
      <c r="K9059" s="161">
        <f>K9057</f>
        <v>379080</v>
      </c>
      <c r="L9059" s="250">
        <v>1</v>
      </c>
      <c r="M9059" s="163"/>
      <c r="N9059" s="278"/>
      <c r="O9059" s="280">
        <f>MROUND(N9059*G9059,0.000001)</f>
        <v>0</v>
      </c>
      <c r="P9059" s="166"/>
      <c r="Q9059" s="166">
        <f>O9059*K9059</f>
        <v>0</v>
      </c>
      <c r="R9059" s="71"/>
    </row>
    <row r="9060" spans="1:41" s="108" customFormat="1" x14ac:dyDescent="0.25">
      <c r="A9060" s="358"/>
      <c r="B9060" s="361"/>
      <c r="C9060" s="218" t="s">
        <v>380</v>
      </c>
      <c r="D9060" s="231"/>
      <c r="E9060" s="231"/>
      <c r="F9060" s="231"/>
      <c r="G9060" s="238"/>
      <c r="H9060" s="160"/>
      <c r="I9060" s="206"/>
      <c r="J9060" s="228"/>
      <c r="K9060" s="207"/>
      <c r="L9060" s="250"/>
      <c r="M9060" s="163"/>
      <c r="N9060" s="278"/>
      <c r="O9060" s="279">
        <f>SUM(O9057:O9059)</f>
        <v>0</v>
      </c>
      <c r="P9060" s="166"/>
      <c r="Q9060" s="166"/>
      <c r="R9060" s="71"/>
      <c r="S9060" s="61"/>
      <c r="T9060" s="61"/>
      <c r="U9060" s="61"/>
      <c r="V9060" s="61"/>
      <c r="W9060" s="61"/>
      <c r="X9060" s="61"/>
      <c r="Y9060" s="61"/>
      <c r="Z9060" s="61"/>
      <c r="AA9060" s="61"/>
      <c r="AB9060" s="61"/>
      <c r="AC9060" s="61"/>
      <c r="AD9060" s="61"/>
      <c r="AE9060" s="61"/>
      <c r="AF9060" s="61"/>
      <c r="AG9060" s="61"/>
      <c r="AH9060" s="61"/>
      <c r="AI9060" s="61"/>
      <c r="AJ9060" s="61"/>
      <c r="AK9060" s="61"/>
      <c r="AL9060" s="61"/>
      <c r="AM9060" s="61"/>
      <c r="AN9060" s="61"/>
      <c r="AO9060" s="61"/>
    </row>
    <row r="9061" spans="1:41" s="61" customFormat="1" x14ac:dyDescent="0.25">
      <c r="A9061" s="358"/>
      <c r="B9061" s="361"/>
      <c r="C9061" s="221" t="s">
        <v>76</v>
      </c>
      <c r="D9061" s="231" t="s">
        <v>49</v>
      </c>
      <c r="E9061" s="231" t="s">
        <v>22</v>
      </c>
      <c r="F9061" s="231" t="s">
        <v>22</v>
      </c>
      <c r="G9061" s="238">
        <f>MROUND(H9061*L9061*I9061/K9061,0.000000000001)</f>
        <v>2.2602872110000002E-3</v>
      </c>
      <c r="H9061" s="160">
        <f>H8853</f>
        <v>2316</v>
      </c>
      <c r="I9061" s="159">
        <f>I9059</f>
        <v>0.36996099999999998</v>
      </c>
      <c r="J9061" s="160"/>
      <c r="K9061" s="161">
        <f>K9059</f>
        <v>379080</v>
      </c>
      <c r="L9061" s="250">
        <v>1</v>
      </c>
      <c r="M9061" s="163" t="str">
        <f>CONCATENATE(H9061," ",F9061,"*",I9061,"/",K9061,"чел/час")</f>
        <v>2316 м2*0,369961/379080чел/час</v>
      </c>
      <c r="N9061" s="278">
        <f>N8853</f>
        <v>5226.2521588946456</v>
      </c>
      <c r="O9061" s="280">
        <f>MROUND(N9061*G9061,0.000000001)-0.0009</f>
        <v>11.811930916000001</v>
      </c>
      <c r="P9061" s="166"/>
      <c r="Q9061" s="166">
        <f>O9061*K9061</f>
        <v>4477666.7716372805</v>
      </c>
      <c r="R9061" s="71"/>
    </row>
    <row r="9062" spans="1:41" s="61" customFormat="1" x14ac:dyDescent="0.25">
      <c r="A9062" s="358"/>
      <c r="B9062" s="361"/>
      <c r="C9062" s="221"/>
      <c r="D9062" s="231" t="s">
        <v>49</v>
      </c>
      <c r="E9062" s="231" t="s">
        <v>28</v>
      </c>
      <c r="F9062" s="231" t="s">
        <v>28</v>
      </c>
      <c r="G9062" s="238">
        <f>MROUND(H9062*L9062*I9062/K9062,0.000000000001)</f>
        <v>1.9518889999999998E-6</v>
      </c>
      <c r="H9062" s="160">
        <f>H8854</f>
        <v>2</v>
      </c>
      <c r="I9062" s="159">
        <f>I9061</f>
        <v>0.36996099999999998</v>
      </c>
      <c r="J9062" s="160"/>
      <c r="K9062" s="161">
        <f>K9061</f>
        <v>379080</v>
      </c>
      <c r="L9062" s="250">
        <v>1</v>
      </c>
      <c r="M9062" s="163" t="str">
        <f>CONCATENATE(H9062," ",F9062,"*",I9062,"/",K9062,"чел/час")</f>
        <v>2 шт*0,369961/379080чел/час</v>
      </c>
      <c r="N9062" s="278">
        <f>N8854</f>
        <v>100000</v>
      </c>
      <c r="O9062" s="280">
        <f>MROUND(N9062*G9062,0.000000001)</f>
        <v>0.1951889</v>
      </c>
      <c r="P9062" s="166"/>
      <c r="Q9062" s="166">
        <f>O9062*K9062</f>
        <v>73992.208211999998</v>
      </c>
      <c r="R9062" s="71"/>
    </row>
    <row r="9063" spans="1:41" s="61" customFormat="1" x14ac:dyDescent="0.25">
      <c r="A9063" s="358"/>
      <c r="B9063" s="361"/>
      <c r="C9063" s="221"/>
      <c r="D9063" s="231" t="s">
        <v>49</v>
      </c>
      <c r="E9063" s="231" t="s">
        <v>101</v>
      </c>
      <c r="F9063" s="231" t="s">
        <v>101</v>
      </c>
      <c r="G9063" s="238">
        <f>MROUND(H9063*L9063*I9063/K9063,0.000000000001)</f>
        <v>0</v>
      </c>
      <c r="H9063" s="160">
        <f>H8855</f>
        <v>0</v>
      </c>
      <c r="I9063" s="159">
        <f>I9061</f>
        <v>0.36996099999999998</v>
      </c>
      <c r="J9063" s="160"/>
      <c r="K9063" s="161">
        <f>K9061</f>
        <v>379080</v>
      </c>
      <c r="L9063" s="250">
        <v>1</v>
      </c>
      <c r="M9063" s="163" t="str">
        <f>CONCATENATE(H9063," ",F9063,"*",I9063,"/",K9063,"чел/час")</f>
        <v>0 погон.м.*0,369961/379080чел/час</v>
      </c>
      <c r="N9063" s="278">
        <f>N8855</f>
        <v>0</v>
      </c>
      <c r="O9063" s="280">
        <f>MROUND(N9063*G9063,0.000001)</f>
        <v>0</v>
      </c>
      <c r="P9063" s="166"/>
      <c r="Q9063" s="166">
        <f>O9063*K9063</f>
        <v>0</v>
      </c>
      <c r="R9063" s="71"/>
    </row>
    <row r="9064" spans="1:41" s="108" customFormat="1" x14ac:dyDescent="0.25">
      <c r="A9064" s="358"/>
      <c r="B9064" s="361"/>
      <c r="C9064" s="218" t="s">
        <v>291</v>
      </c>
      <c r="D9064" s="231"/>
      <c r="E9064" s="231"/>
      <c r="F9064" s="231"/>
      <c r="G9064" s="238"/>
      <c r="H9064" s="160"/>
      <c r="I9064" s="206"/>
      <c r="J9064" s="228"/>
      <c r="K9064" s="207"/>
      <c r="L9064" s="250"/>
      <c r="M9064" s="163"/>
      <c r="N9064" s="278"/>
      <c r="O9064" s="279">
        <f>SUM(O9061:O9063)</f>
        <v>12.007119816000001</v>
      </c>
      <c r="P9064" s="166"/>
      <c r="Q9064" s="166"/>
      <c r="R9064" s="71"/>
      <c r="S9064" s="61"/>
      <c r="T9064" s="61"/>
      <c r="U9064" s="61"/>
      <c r="V9064" s="61"/>
      <c r="W9064" s="61"/>
      <c r="X9064" s="61"/>
      <c r="Y9064" s="61"/>
      <c r="Z9064" s="61"/>
      <c r="AA9064" s="61"/>
      <c r="AB9064" s="61"/>
      <c r="AC9064" s="61"/>
      <c r="AD9064" s="61"/>
      <c r="AE9064" s="61"/>
      <c r="AF9064" s="61"/>
      <c r="AG9064" s="61"/>
      <c r="AH9064" s="61"/>
      <c r="AI9064" s="61"/>
      <c r="AJ9064" s="61"/>
      <c r="AK9064" s="61"/>
      <c r="AL9064" s="61"/>
      <c r="AM9064" s="61"/>
      <c r="AN9064" s="61"/>
      <c r="AO9064" s="61"/>
    </row>
    <row r="9065" spans="1:41" s="61" customFormat="1" x14ac:dyDescent="0.25">
      <c r="A9065" s="358"/>
      <c r="B9065" s="361"/>
      <c r="C9065" s="221" t="s">
        <v>77</v>
      </c>
      <c r="D9065" s="231"/>
      <c r="E9065" s="231"/>
      <c r="F9065" s="231"/>
      <c r="G9065" s="238">
        <f>MROUND(H9065*L9065*I9065/K9065,0.000000000001)</f>
        <v>0</v>
      </c>
      <c r="H9065" s="160"/>
      <c r="I9065" s="159">
        <f>I9063</f>
        <v>0.36996099999999998</v>
      </c>
      <c r="J9065" s="160"/>
      <c r="K9065" s="161">
        <f>K9063</f>
        <v>379080</v>
      </c>
      <c r="L9065" s="250"/>
      <c r="M9065" s="163"/>
      <c r="N9065" s="278"/>
      <c r="O9065" s="280">
        <f>MROUND(N9065*G9065,0.000001)</f>
        <v>0</v>
      </c>
      <c r="P9065" s="166"/>
      <c r="Q9065" s="166">
        <f>O9065*K9065</f>
        <v>0</v>
      </c>
      <c r="R9065" s="71"/>
    </row>
    <row r="9066" spans="1:41" s="108" customFormat="1" x14ac:dyDescent="0.25">
      <c r="A9066" s="358"/>
      <c r="B9066" s="361"/>
      <c r="C9066" s="218" t="s">
        <v>292</v>
      </c>
      <c r="D9066" s="231"/>
      <c r="E9066" s="231"/>
      <c r="F9066" s="231"/>
      <c r="G9066" s="238"/>
      <c r="H9066" s="160"/>
      <c r="I9066" s="206"/>
      <c r="J9066" s="228"/>
      <c r="K9066" s="207"/>
      <c r="L9066" s="250"/>
      <c r="M9066" s="163"/>
      <c r="N9066" s="278"/>
      <c r="O9066" s="279">
        <f>O9065</f>
        <v>0</v>
      </c>
      <c r="P9066" s="166"/>
      <c r="Q9066" s="166"/>
      <c r="R9066" s="71"/>
      <c r="S9066" s="61"/>
      <c r="T9066" s="61"/>
      <c r="U9066" s="61"/>
      <c r="V9066" s="61"/>
      <c r="W9066" s="61"/>
      <c r="X9066" s="61"/>
      <c r="Y9066" s="61"/>
      <c r="Z9066" s="61"/>
      <c r="AA9066" s="61"/>
      <c r="AB9066" s="61"/>
      <c r="AC9066" s="61"/>
      <c r="AD9066" s="61"/>
      <c r="AE9066" s="61"/>
      <c r="AF9066" s="61"/>
      <c r="AG9066" s="61"/>
      <c r="AH9066" s="61"/>
      <c r="AI9066" s="61"/>
      <c r="AJ9066" s="61"/>
      <c r="AK9066" s="61"/>
      <c r="AL9066" s="61"/>
      <c r="AM9066" s="61"/>
      <c r="AN9066" s="61"/>
      <c r="AO9066" s="61"/>
    </row>
    <row r="9067" spans="1:41" s="108" customFormat="1" x14ac:dyDescent="0.25">
      <c r="A9067" s="358"/>
      <c r="B9067" s="361"/>
      <c r="C9067" s="221"/>
      <c r="D9067" s="350" t="s">
        <v>65</v>
      </c>
      <c r="E9067" s="350"/>
      <c r="F9067" s="350"/>
      <c r="G9067" s="350"/>
      <c r="H9067" s="195"/>
      <c r="I9067" s="159"/>
      <c r="J9067" s="195"/>
      <c r="K9067" s="161"/>
      <c r="L9067" s="196"/>
      <c r="M9067" s="230"/>
      <c r="N9067" s="278"/>
      <c r="O9067" s="280"/>
      <c r="P9067" s="166"/>
      <c r="Q9067" s="166">
        <f t="shared" ref="Q9067:Q9086" si="2624">O9067*K9067</f>
        <v>0</v>
      </c>
      <c r="R9067" s="71"/>
      <c r="S9067" s="61"/>
      <c r="T9067" s="61"/>
      <c r="U9067" s="61"/>
      <c r="V9067" s="61"/>
      <c r="W9067" s="61"/>
      <c r="X9067" s="61"/>
      <c r="Y9067" s="61"/>
      <c r="Z9067" s="61"/>
      <c r="AA9067" s="61"/>
      <c r="AB9067" s="61"/>
      <c r="AC9067" s="61"/>
      <c r="AD9067" s="61"/>
      <c r="AE9067" s="61"/>
      <c r="AF9067" s="61"/>
      <c r="AG9067" s="61"/>
      <c r="AH9067" s="61"/>
      <c r="AI9067" s="61"/>
      <c r="AJ9067" s="61"/>
      <c r="AK9067" s="61"/>
      <c r="AL9067" s="61"/>
      <c r="AM9067" s="61"/>
      <c r="AN9067" s="61"/>
      <c r="AO9067" s="61"/>
    </row>
    <row r="9068" spans="1:41" s="108" customFormat="1" x14ac:dyDescent="0.25">
      <c r="A9068" s="358"/>
      <c r="B9068" s="361"/>
      <c r="C9068" s="221"/>
      <c r="D9068" s="194"/>
      <c r="E9068" s="194"/>
      <c r="F9068" s="194"/>
      <c r="G9068" s="217"/>
      <c r="H9068" s="195"/>
      <c r="I9068" s="159"/>
      <c r="J9068" s="195"/>
      <c r="K9068" s="161"/>
      <c r="L9068" s="196"/>
      <c r="M9068" s="230"/>
      <c r="N9068" s="278"/>
      <c r="O9068" s="280"/>
      <c r="P9068" s="166"/>
      <c r="Q9068" s="166">
        <f t="shared" si="2624"/>
        <v>0</v>
      </c>
      <c r="R9068" s="71"/>
      <c r="S9068" s="61"/>
      <c r="T9068" s="61"/>
      <c r="U9068" s="61"/>
      <c r="V9068" s="61"/>
      <c r="W9068" s="61"/>
      <c r="X9068" s="61"/>
      <c r="Y9068" s="61"/>
      <c r="Z9068" s="61"/>
      <c r="AA9068" s="61"/>
      <c r="AB9068" s="61"/>
      <c r="AC9068" s="61"/>
      <c r="AD9068" s="61"/>
      <c r="AE9068" s="61"/>
      <c r="AF9068" s="61"/>
      <c r="AG9068" s="61"/>
      <c r="AH9068" s="61"/>
      <c r="AI9068" s="61"/>
      <c r="AJ9068" s="61"/>
      <c r="AK9068" s="61"/>
      <c r="AL9068" s="61"/>
      <c r="AM9068" s="61"/>
      <c r="AN9068" s="61"/>
      <c r="AO9068" s="61"/>
    </row>
    <row r="9069" spans="1:41" s="108" customFormat="1" x14ac:dyDescent="0.25">
      <c r="A9069" s="358"/>
      <c r="B9069" s="361"/>
      <c r="C9069" s="365" t="s">
        <v>357</v>
      </c>
      <c r="D9069" s="368" t="s">
        <v>66</v>
      </c>
      <c r="E9069" s="368"/>
      <c r="F9069" s="368"/>
      <c r="G9069" s="368"/>
      <c r="H9069" s="195"/>
      <c r="I9069" s="159"/>
      <c r="J9069" s="195"/>
      <c r="K9069" s="161"/>
      <c r="L9069" s="196"/>
      <c r="M9069" s="230"/>
      <c r="N9069" s="278"/>
      <c r="O9069" s="279">
        <f>O9075</f>
        <v>0.47560324700000001</v>
      </c>
      <c r="P9069" s="166"/>
      <c r="Q9069" s="166">
        <f t="shared" si="2624"/>
        <v>0</v>
      </c>
      <c r="R9069" s="71"/>
      <c r="S9069" s="61"/>
      <c r="T9069" s="61"/>
      <c r="U9069" s="61"/>
      <c r="V9069" s="61"/>
      <c r="W9069" s="61"/>
      <c r="X9069" s="61"/>
      <c r="Y9069" s="61"/>
      <c r="Z9069" s="61"/>
      <c r="AA9069" s="61"/>
      <c r="AB9069" s="61"/>
      <c r="AC9069" s="61"/>
      <c r="AD9069" s="61"/>
      <c r="AE9069" s="61"/>
      <c r="AF9069" s="61"/>
      <c r="AG9069" s="61"/>
      <c r="AH9069" s="61"/>
      <c r="AI9069" s="61"/>
      <c r="AJ9069" s="61"/>
      <c r="AK9069" s="61"/>
      <c r="AL9069" s="61"/>
      <c r="AM9069" s="61"/>
      <c r="AN9069" s="61"/>
      <c r="AO9069" s="61"/>
    </row>
    <row r="9070" spans="1:41" s="61" customFormat="1" x14ac:dyDescent="0.25">
      <c r="A9070" s="358"/>
      <c r="B9070" s="361"/>
      <c r="C9070" s="366"/>
      <c r="D9070" s="284" t="s">
        <v>241</v>
      </c>
      <c r="E9070" s="156" t="s">
        <v>28</v>
      </c>
      <c r="F9070" s="156" t="s">
        <v>28</v>
      </c>
      <c r="G9070" s="238">
        <f>MROUND(H9070*L9070*I9070/K9070,0.000000000001)</f>
        <v>1.9909265600000001E-4</v>
      </c>
      <c r="H9070" s="158">
        <f>H8862</f>
        <v>17</v>
      </c>
      <c r="I9070" s="159">
        <f>I9065</f>
        <v>0.36996099999999998</v>
      </c>
      <c r="J9070" s="160"/>
      <c r="K9070" s="161">
        <f>K9065</f>
        <v>379080</v>
      </c>
      <c r="L9070" s="250">
        <v>12</v>
      </c>
      <c r="M9070" s="163" t="str">
        <f>CONCATENATE(H9070," ",F9070,"*",L9070,"мес.","*",I9070,"/",K9070,"чел/час")</f>
        <v>17 шт*12мес.*0,369961/379080чел/час</v>
      </c>
      <c r="N9070" s="278">
        <f>N8862</f>
        <v>356.56073529411765</v>
      </c>
      <c r="O9070" s="280">
        <f>MROUND(N9070*G9070,0.000001)</f>
        <v>7.0988999999999997E-2</v>
      </c>
      <c r="P9070" s="166"/>
      <c r="Q9070" s="166">
        <f t="shared" si="2624"/>
        <v>26910.510119999999</v>
      </c>
      <c r="R9070" s="71"/>
    </row>
    <row r="9071" spans="1:41" s="61" customFormat="1" x14ac:dyDescent="0.25">
      <c r="A9071" s="358"/>
      <c r="B9071" s="361"/>
      <c r="C9071" s="366"/>
      <c r="D9071" s="284" t="s">
        <v>242</v>
      </c>
      <c r="E9071" s="156" t="s">
        <v>243</v>
      </c>
      <c r="F9071" s="156" t="s">
        <v>243</v>
      </c>
      <c r="G9071" s="238">
        <f>MROUND(H9071*L9071*I9071/K9071,0.000000000001)</f>
        <v>0.20267632370999999</v>
      </c>
      <c r="H9071" s="158">
        <f>H8863</f>
        <v>17306</v>
      </c>
      <c r="I9071" s="159">
        <f>I9070</f>
        <v>0.36996099999999998</v>
      </c>
      <c r="J9071" s="160"/>
      <c r="K9071" s="161">
        <f>K9070</f>
        <v>379080</v>
      </c>
      <c r="L9071" s="250">
        <v>12</v>
      </c>
      <c r="M9071" s="163" t="str">
        <f>CONCATENATE(H9071," ",F9071,"*",L9071,"мес.","*",I9071,"/",K9071,"чел/час")</f>
        <v>17306 мин.*12мес.*0,369961/379080чел/час</v>
      </c>
      <c r="N9071" s="278">
        <f>N8863</f>
        <v>0.85373685427019519</v>
      </c>
      <c r="O9071" s="280">
        <f>MROUND(N9071*G9071,0.000000001)</f>
        <v>0.173032247</v>
      </c>
      <c r="P9071" s="166"/>
      <c r="Q9071" s="166">
        <f t="shared" si="2624"/>
        <v>65593.064192759994</v>
      </c>
      <c r="R9071" s="71"/>
    </row>
    <row r="9072" spans="1:41" s="61" customFormat="1" ht="31.5" x14ac:dyDescent="0.25">
      <c r="A9072" s="358"/>
      <c r="B9072" s="361"/>
      <c r="C9072" s="366"/>
      <c r="D9072" s="285" t="s">
        <v>244</v>
      </c>
      <c r="E9072" s="286" t="s">
        <v>245</v>
      </c>
      <c r="F9072" s="286" t="s">
        <v>247</v>
      </c>
      <c r="G9072" s="238">
        <f>MROUND(H9072*L9072*I9072/K9072,0.000000000001)</f>
        <v>5.8556663999999996E-5</v>
      </c>
      <c r="H9072" s="158">
        <f>H8864</f>
        <v>5</v>
      </c>
      <c r="I9072" s="159">
        <f>I9071</f>
        <v>0.36996099999999998</v>
      </c>
      <c r="J9072" s="160"/>
      <c r="K9072" s="161">
        <f>K9071</f>
        <v>379080</v>
      </c>
      <c r="L9072" s="250">
        <v>12</v>
      </c>
      <c r="M9072" s="163" t="str">
        <f>CONCATENATE(H9072," ",F9072,"*",L9072,"мес.","*",I9072,"/",K9072,"чел/час")</f>
        <v>5 радиоточек*12мес.*0,369961/379080чел/час</v>
      </c>
      <c r="N9072" s="278">
        <f>N8864</f>
        <v>180.23333333333335</v>
      </c>
      <c r="O9072" s="280">
        <f>MROUND(N9072*G9072,0.000001)</f>
        <v>1.0553999999999999E-2</v>
      </c>
      <c r="P9072" s="166"/>
      <c r="Q9072" s="166">
        <f t="shared" si="2624"/>
        <v>4000.8103199999996</v>
      </c>
      <c r="R9072" s="71"/>
    </row>
    <row r="9073" spans="1:41" s="61" customFormat="1" ht="47.25" x14ac:dyDescent="0.25">
      <c r="A9073" s="358"/>
      <c r="B9073" s="361"/>
      <c r="C9073" s="366"/>
      <c r="D9073" s="285" t="s">
        <v>374</v>
      </c>
      <c r="E9073" s="156" t="s">
        <v>28</v>
      </c>
      <c r="F9073" s="156" t="s">
        <v>28</v>
      </c>
      <c r="G9073" s="238">
        <f>MROUND(H9073*L9073*I9073/K9073,0.000000000001)</f>
        <v>2.7326443000000001E-5</v>
      </c>
      <c r="H9073" s="158">
        <f>H8865</f>
        <v>7</v>
      </c>
      <c r="I9073" s="159">
        <f>I9071</f>
        <v>0.36996099999999998</v>
      </c>
      <c r="J9073" s="160"/>
      <c r="K9073" s="161">
        <f>K9071</f>
        <v>379080</v>
      </c>
      <c r="L9073" s="250">
        <f>L8865</f>
        <v>4</v>
      </c>
      <c r="M9073" s="163" t="str">
        <f>CONCATENATE(H9073," ",F9073,"*",L9073,"мес.","*",I9073,"/",K9073,"чел/час")</f>
        <v>7 шт*4мес.*0,369961/379080чел/час</v>
      </c>
      <c r="N9073" s="278">
        <f>N8865</f>
        <v>1366.3700000000001</v>
      </c>
      <c r="O9073" s="280">
        <f>MROUND(N9073*G9073,0.000001)</f>
        <v>3.7337999999999996E-2</v>
      </c>
      <c r="P9073" s="166"/>
      <c r="Q9073" s="166">
        <f t="shared" si="2624"/>
        <v>14154.089039999999</v>
      </c>
      <c r="R9073" s="71"/>
    </row>
    <row r="9074" spans="1:41" s="61" customFormat="1" x14ac:dyDescent="0.25">
      <c r="A9074" s="358"/>
      <c r="B9074" s="361"/>
      <c r="C9074" s="367"/>
      <c r="D9074" s="284" t="s">
        <v>246</v>
      </c>
      <c r="E9074" s="156" t="s">
        <v>28</v>
      </c>
      <c r="F9074" s="156" t="s">
        <v>28</v>
      </c>
      <c r="G9074" s="238">
        <f>MROUND(H9074*L9074*I9074/K9074,0.000000000001)</f>
        <v>5.8556663999999996E-5</v>
      </c>
      <c r="H9074" s="158">
        <v>5</v>
      </c>
      <c r="I9074" s="159">
        <f>I9072</f>
        <v>0.36996099999999998</v>
      </c>
      <c r="J9074" s="160"/>
      <c r="K9074" s="161">
        <f>K9072</f>
        <v>379080</v>
      </c>
      <c r="L9074" s="250">
        <v>12</v>
      </c>
      <c r="M9074" s="163" t="str">
        <f>CONCATENATE(H9074," ",F9074,"*",L9074,"мес.","*",I9074,"/",K9074,"чел/час")</f>
        <v>5 шт*12мес.*0,369961/379080чел/час</v>
      </c>
      <c r="N9074" s="278">
        <f>N8866</f>
        <v>3136.9611666666665</v>
      </c>
      <c r="O9074" s="280">
        <f>MROUND(N9074*G9074,0.000001)</f>
        <v>0.18368999999999999</v>
      </c>
      <c r="P9074" s="166"/>
      <c r="Q9074" s="166">
        <f t="shared" si="2624"/>
        <v>69633.205199999997</v>
      </c>
      <c r="R9074" s="71"/>
    </row>
    <row r="9075" spans="1:41" s="109" customFormat="1" x14ac:dyDescent="0.25">
      <c r="A9075" s="358"/>
      <c r="B9075" s="361"/>
      <c r="C9075" s="218" t="s">
        <v>358</v>
      </c>
      <c r="D9075" s="287"/>
      <c r="E9075" s="287"/>
      <c r="F9075" s="287"/>
      <c r="G9075" s="288"/>
      <c r="H9075" s="214"/>
      <c r="I9075" s="206"/>
      <c r="J9075" s="214"/>
      <c r="K9075" s="207"/>
      <c r="L9075" s="215"/>
      <c r="M9075" s="289"/>
      <c r="N9075" s="281"/>
      <c r="O9075" s="279">
        <f>SUM(O9070:O9074)</f>
        <v>0.47560324700000001</v>
      </c>
      <c r="P9075" s="267"/>
      <c r="Q9075" s="166">
        <f t="shared" si="2624"/>
        <v>0</v>
      </c>
      <c r="R9075" s="71"/>
      <c r="S9075" s="62"/>
      <c r="T9075" s="62"/>
      <c r="U9075" s="62"/>
      <c r="V9075" s="62"/>
      <c r="W9075" s="62"/>
      <c r="X9075" s="62"/>
      <c r="Y9075" s="62"/>
      <c r="Z9075" s="62"/>
      <c r="AA9075" s="62"/>
      <c r="AB9075" s="62"/>
      <c r="AC9075" s="62"/>
      <c r="AD9075" s="62"/>
      <c r="AE9075" s="62"/>
      <c r="AF9075" s="62"/>
      <c r="AG9075" s="62"/>
      <c r="AH9075" s="62"/>
      <c r="AI9075" s="62"/>
      <c r="AJ9075" s="62"/>
      <c r="AK9075" s="62"/>
      <c r="AL9075" s="62"/>
      <c r="AM9075" s="62"/>
      <c r="AN9075" s="62"/>
      <c r="AO9075" s="62"/>
    </row>
    <row r="9076" spans="1:41" s="108" customFormat="1" ht="15" customHeight="1" x14ac:dyDescent="0.25">
      <c r="A9076" s="358"/>
      <c r="B9076" s="361"/>
      <c r="C9076" s="365" t="s">
        <v>366</v>
      </c>
      <c r="D9076" s="368" t="s">
        <v>67</v>
      </c>
      <c r="E9076" s="368"/>
      <c r="F9076" s="368"/>
      <c r="G9076" s="368"/>
      <c r="H9076" s="195"/>
      <c r="I9076" s="159"/>
      <c r="J9076" s="195"/>
      <c r="K9076" s="161"/>
      <c r="L9076" s="196"/>
      <c r="M9076" s="230"/>
      <c r="N9076" s="278"/>
      <c r="O9076" s="279">
        <f>O9077</f>
        <v>6.3511999999999999E-2</v>
      </c>
      <c r="P9076" s="166"/>
      <c r="Q9076" s="166">
        <f t="shared" si="2624"/>
        <v>0</v>
      </c>
      <c r="R9076" s="71"/>
      <c r="S9076" s="61"/>
      <c r="T9076" s="61"/>
      <c r="U9076" s="61"/>
      <c r="V9076" s="61"/>
      <c r="W9076" s="61"/>
      <c r="X9076" s="61"/>
      <c r="Y9076" s="61"/>
      <c r="Z9076" s="61"/>
      <c r="AA9076" s="61"/>
      <c r="AB9076" s="61"/>
      <c r="AC9076" s="61"/>
      <c r="AD9076" s="61"/>
      <c r="AE9076" s="61"/>
      <c r="AF9076" s="61"/>
      <c r="AG9076" s="61"/>
      <c r="AH9076" s="61"/>
      <c r="AI9076" s="61"/>
      <c r="AJ9076" s="61"/>
      <c r="AK9076" s="61"/>
      <c r="AL9076" s="61"/>
      <c r="AM9076" s="61"/>
      <c r="AN9076" s="61"/>
      <c r="AO9076" s="61"/>
    </row>
    <row r="9077" spans="1:41" s="61" customFormat="1" x14ac:dyDescent="0.25">
      <c r="A9077" s="358"/>
      <c r="B9077" s="361"/>
      <c r="C9077" s="367"/>
      <c r="D9077" s="194" t="s">
        <v>367</v>
      </c>
      <c r="E9077" s="156" t="s">
        <v>28</v>
      </c>
      <c r="F9077" s="156" t="s">
        <v>28</v>
      </c>
      <c r="G9077" s="238">
        <f>MROUND(H9077*L9077*I9077/K9077,0.000000000001)</f>
        <v>2.3422664999999999E-5</v>
      </c>
      <c r="H9077" s="158">
        <f>H8869</f>
        <v>2</v>
      </c>
      <c r="I9077" s="159">
        <f>I9074</f>
        <v>0.36996099999999998</v>
      </c>
      <c r="J9077" s="195"/>
      <c r="K9077" s="161">
        <f>K9074</f>
        <v>379080</v>
      </c>
      <c r="L9077" s="250">
        <v>12</v>
      </c>
      <c r="M9077" s="163" t="str">
        <f>CONCATENATE(H9077," ",F9077,"*",L9077,"мес.","*",I9077,"/",K9077,"чел/час")</f>
        <v>2 шт*12мес.*0,369961/379080чел/час</v>
      </c>
      <c r="N9077" s="278">
        <f>N8869</f>
        <v>2711.57125</v>
      </c>
      <c r="O9077" s="280">
        <f>MROUND(N9077*G9077,0.000001)</f>
        <v>6.3511999999999999E-2</v>
      </c>
      <c r="P9077" s="166"/>
      <c r="Q9077" s="166">
        <f t="shared" si="2624"/>
        <v>24076.128959999998</v>
      </c>
      <c r="R9077" s="71"/>
    </row>
    <row r="9078" spans="1:41" s="108" customFormat="1" x14ac:dyDescent="0.25">
      <c r="A9078" s="358"/>
      <c r="B9078" s="361"/>
      <c r="C9078" s="221"/>
      <c r="D9078" s="350" t="s">
        <v>68</v>
      </c>
      <c r="E9078" s="350"/>
      <c r="F9078" s="350"/>
      <c r="G9078" s="350"/>
      <c r="H9078" s="195"/>
      <c r="I9078" s="159"/>
      <c r="J9078" s="195"/>
      <c r="K9078" s="161"/>
      <c r="L9078" s="196"/>
      <c r="M9078" s="230"/>
      <c r="N9078" s="278"/>
      <c r="O9078" s="280"/>
      <c r="P9078" s="166"/>
      <c r="Q9078" s="166">
        <f t="shared" si="2624"/>
        <v>0</v>
      </c>
      <c r="R9078" s="71"/>
      <c r="S9078" s="61"/>
      <c r="T9078" s="61"/>
      <c r="U9078" s="61"/>
      <c r="V9078" s="61"/>
      <c r="W9078" s="61"/>
      <c r="X9078" s="61"/>
      <c r="Y9078" s="61"/>
      <c r="Z9078" s="61"/>
      <c r="AA9078" s="61"/>
      <c r="AB9078" s="61"/>
      <c r="AC9078" s="61"/>
      <c r="AD9078" s="61"/>
      <c r="AE9078" s="61"/>
      <c r="AF9078" s="61"/>
      <c r="AG9078" s="61"/>
      <c r="AH9078" s="61"/>
      <c r="AI9078" s="61"/>
      <c r="AJ9078" s="61"/>
      <c r="AK9078" s="61"/>
      <c r="AL9078" s="61"/>
      <c r="AM9078" s="61"/>
      <c r="AN9078" s="61"/>
      <c r="AO9078" s="61"/>
    </row>
    <row r="9079" spans="1:41" s="108" customFormat="1" x14ac:dyDescent="0.25">
      <c r="A9079" s="358"/>
      <c r="B9079" s="361"/>
      <c r="C9079" s="221"/>
      <c r="D9079" s="156"/>
      <c r="E9079" s="156"/>
      <c r="F9079" s="156"/>
      <c r="G9079" s="236"/>
      <c r="H9079" s="195"/>
      <c r="I9079" s="159"/>
      <c r="J9079" s="195"/>
      <c r="K9079" s="161"/>
      <c r="L9079" s="196"/>
      <c r="M9079" s="230"/>
      <c r="N9079" s="278"/>
      <c r="O9079" s="280"/>
      <c r="P9079" s="166"/>
      <c r="Q9079" s="166">
        <f t="shared" si="2624"/>
        <v>0</v>
      </c>
      <c r="R9079" s="71"/>
      <c r="S9079" s="61"/>
      <c r="T9079" s="61"/>
      <c r="U9079" s="61"/>
      <c r="V9079" s="61"/>
      <c r="W9079" s="61"/>
      <c r="X9079" s="61"/>
      <c r="Y9079" s="61"/>
      <c r="Z9079" s="61"/>
      <c r="AA9079" s="61"/>
      <c r="AB9079" s="61"/>
      <c r="AC9079" s="61"/>
      <c r="AD9079" s="61"/>
      <c r="AE9079" s="61"/>
      <c r="AF9079" s="61"/>
      <c r="AG9079" s="61"/>
      <c r="AH9079" s="61"/>
      <c r="AI9079" s="61"/>
      <c r="AJ9079" s="61"/>
      <c r="AK9079" s="61"/>
      <c r="AL9079" s="61"/>
      <c r="AM9079" s="61"/>
      <c r="AN9079" s="61"/>
      <c r="AO9079" s="61"/>
    </row>
    <row r="9080" spans="1:41" s="108" customFormat="1" x14ac:dyDescent="0.25">
      <c r="A9080" s="358"/>
      <c r="B9080" s="361"/>
      <c r="C9080" s="221"/>
      <c r="D9080" s="368" t="s">
        <v>69</v>
      </c>
      <c r="E9080" s="368"/>
      <c r="F9080" s="368"/>
      <c r="G9080" s="368"/>
      <c r="H9080" s="187"/>
      <c r="I9080" s="159"/>
      <c r="J9080" s="187"/>
      <c r="K9080" s="161"/>
      <c r="L9080" s="276"/>
      <c r="M9080" s="230"/>
      <c r="N9080" s="278"/>
      <c r="O9080" s="279">
        <f>O9087+O9103+O9106+O9119+O9120+O9121+O9132+O9134+O9138+O9135</f>
        <v>3.6144459999999992</v>
      </c>
      <c r="P9080" s="166"/>
      <c r="Q9080" s="166">
        <f t="shared" si="2624"/>
        <v>0</v>
      </c>
      <c r="R9080" s="71"/>
      <c r="S9080" s="61"/>
      <c r="T9080" s="61"/>
      <c r="U9080" s="61"/>
      <c r="V9080" s="61"/>
      <c r="W9080" s="61"/>
      <c r="X9080" s="61"/>
      <c r="Y9080" s="61"/>
      <c r="Z9080" s="61"/>
      <c r="AA9080" s="61"/>
      <c r="AB9080" s="61"/>
      <c r="AC9080" s="61"/>
      <c r="AD9080" s="61"/>
      <c r="AE9080" s="61"/>
      <c r="AF9080" s="61"/>
      <c r="AG9080" s="61"/>
      <c r="AH9080" s="61"/>
      <c r="AI9080" s="61"/>
      <c r="AJ9080" s="61"/>
      <c r="AK9080" s="61"/>
      <c r="AL9080" s="61"/>
      <c r="AM9080" s="61"/>
      <c r="AN9080" s="61"/>
      <c r="AO9080" s="61"/>
    </row>
    <row r="9081" spans="1:41" s="61" customFormat="1" ht="31.5" x14ac:dyDescent="0.25">
      <c r="A9081" s="358"/>
      <c r="B9081" s="361"/>
      <c r="C9081" s="365" t="s">
        <v>78</v>
      </c>
      <c r="D9081" s="156" t="s">
        <v>26</v>
      </c>
      <c r="E9081" s="156" t="s">
        <v>22</v>
      </c>
      <c r="F9081" s="156" t="s">
        <v>22</v>
      </c>
      <c r="G9081" s="238">
        <f t="shared" ref="G9081:G9086" si="2625">MROUND(H9081*L9081*I9081/K9081,0.000000000001)</f>
        <v>5.8091255139999999E-2</v>
      </c>
      <c r="H9081" s="158">
        <f>H8873</f>
        <v>4960.26</v>
      </c>
      <c r="I9081" s="159">
        <f>I9077</f>
        <v>0.36996099999999998</v>
      </c>
      <c r="J9081" s="160"/>
      <c r="K9081" s="161">
        <f>K9077</f>
        <v>379080</v>
      </c>
      <c r="L9081" s="250">
        <v>12</v>
      </c>
      <c r="M9081" s="163" t="str">
        <f>CONCATENATE(H9081," ",F9081,"(обрабатываемая площадь в мес.)","*",L9081,"мес.","*",I9081,"/",K9081,"чел/час")</f>
        <v>4960,26 м2(обрабатываемая площадь в мес.)*12мес.*0,369961/379080чел/час</v>
      </c>
      <c r="N9081" s="278">
        <f>N8873</f>
        <v>1.2568900958148699</v>
      </c>
      <c r="O9081" s="280">
        <f>MROUND(N9081*G9081,0.000001)</f>
        <v>7.3013999999999996E-2</v>
      </c>
      <c r="P9081" s="166"/>
      <c r="Q9081" s="166">
        <f t="shared" si="2624"/>
        <v>27678.147119999998</v>
      </c>
      <c r="R9081" s="71"/>
    </row>
    <row r="9082" spans="1:41" s="61" customFormat="1" ht="31.5" x14ac:dyDescent="0.25">
      <c r="A9082" s="358"/>
      <c r="B9082" s="361"/>
      <c r="C9082" s="366"/>
      <c r="D9082" s="156" t="s">
        <v>96</v>
      </c>
      <c r="E9082" s="156" t="s">
        <v>22</v>
      </c>
      <c r="F9082" s="156" t="s">
        <v>22</v>
      </c>
      <c r="G9082" s="238">
        <f t="shared" si="2625"/>
        <v>3.2174075874000001E-2</v>
      </c>
      <c r="H9082" s="158">
        <f>H8874</f>
        <v>2747.26</v>
      </c>
      <c r="I9082" s="159">
        <f>I9081</f>
        <v>0.36996099999999998</v>
      </c>
      <c r="J9082" s="160"/>
      <c r="K9082" s="161">
        <f>K9081</f>
        <v>379080</v>
      </c>
      <c r="L9082" s="250">
        <v>12</v>
      </c>
      <c r="M9082" s="163" t="str">
        <f>CONCATENATE(H9082," ",F9082,"(обрабатываемая площадь в мес.)","*",L9082,"мес.","*",I9082,"/",K9082,"чел/час")</f>
        <v>2747,26 м2(обрабатываемая площадь в мес.)*12мес.*0,369961/379080чел/час</v>
      </c>
      <c r="N9082" s="278">
        <f>N8874</f>
        <v>1.7523653870887115</v>
      </c>
      <c r="O9082" s="280">
        <f>MROUND(N9082*G9082,0.000001)</f>
        <v>5.6381000000000001E-2</v>
      </c>
      <c r="P9082" s="166"/>
      <c r="Q9082" s="166">
        <f t="shared" si="2624"/>
        <v>21372.909479999998</v>
      </c>
      <c r="R9082" s="71"/>
    </row>
    <row r="9083" spans="1:41" s="135" customFormat="1" ht="31.5" x14ac:dyDescent="0.25">
      <c r="A9083" s="358"/>
      <c r="B9083" s="361"/>
      <c r="C9083" s="366"/>
      <c r="D9083" s="156" t="s">
        <v>385</v>
      </c>
      <c r="E9083" s="156" t="s">
        <v>22</v>
      </c>
      <c r="F9083" s="156" t="s">
        <v>22</v>
      </c>
      <c r="G9083" s="238">
        <f t="shared" si="2625"/>
        <v>6.4348151748000001E-2</v>
      </c>
      <c r="H9083" s="242">
        <f>$H$2098</f>
        <v>2747.26</v>
      </c>
      <c r="I9083" s="159">
        <f>I9082</f>
        <v>0.36996099999999998</v>
      </c>
      <c r="J9083" s="160"/>
      <c r="K9083" s="161">
        <f>K9082</f>
        <v>379080</v>
      </c>
      <c r="L9083" s="162">
        <v>24</v>
      </c>
      <c r="M9083" s="163" t="str">
        <f>CONCATENATE(H9083," ",F9083,"(обрабатываемая площадь в год)","*",L9083," раза в год.","*",I9083,"/",K9083,"чел.")</f>
        <v>2747,26 м2(обрабатываемая площадь в год)*24 раза в год.*0,369961/379080чел.</v>
      </c>
      <c r="N9083" s="164">
        <f>$N$8875</f>
        <v>1.9341167805983659</v>
      </c>
      <c r="O9083" s="165">
        <f>MROUND(G9083*N9083,0.000001)</f>
        <v>0.124457</v>
      </c>
      <c r="P9083" s="166"/>
      <c r="Q9083" s="166">
        <f t="shared" si="2624"/>
        <v>47179.15956</v>
      </c>
      <c r="R9083" s="71"/>
      <c r="S9083" s="61"/>
      <c r="T9083" s="61"/>
      <c r="U9083" s="61"/>
      <c r="V9083" s="61"/>
      <c r="W9083" s="61"/>
      <c r="X9083" s="61"/>
      <c r="Y9083" s="61"/>
      <c r="Z9083" s="61"/>
      <c r="AA9083" s="61"/>
      <c r="AB9083" s="61"/>
      <c r="AC9083" s="61"/>
      <c r="AD9083" s="61"/>
      <c r="AE9083" s="61"/>
      <c r="AF9083" s="61"/>
      <c r="AG9083" s="61"/>
      <c r="AH9083" s="61"/>
      <c r="AI9083" s="61"/>
      <c r="AJ9083" s="61"/>
      <c r="AK9083" s="61"/>
      <c r="AL9083" s="61"/>
      <c r="AM9083" s="61"/>
      <c r="AN9083" s="61"/>
      <c r="AO9083" s="61"/>
    </row>
    <row r="9084" spans="1:41" s="135" customFormat="1" ht="31.5" x14ac:dyDescent="0.25">
      <c r="A9084" s="358"/>
      <c r="B9084" s="361"/>
      <c r="C9084" s="366"/>
      <c r="D9084" s="156" t="s">
        <v>394</v>
      </c>
      <c r="E9084" s="156" t="s">
        <v>22</v>
      </c>
      <c r="F9084" s="156" t="s">
        <v>22</v>
      </c>
      <c r="G9084" s="238">
        <f t="shared" si="2625"/>
        <v>5.8091255139999999E-2</v>
      </c>
      <c r="H9084" s="243">
        <f>$H$2099</f>
        <v>4960.26</v>
      </c>
      <c r="I9084" s="159">
        <f>I9083</f>
        <v>0.36996099999999998</v>
      </c>
      <c r="J9084" s="160"/>
      <c r="K9084" s="161">
        <f>K9083</f>
        <v>379080</v>
      </c>
      <c r="L9084" s="162">
        <v>12</v>
      </c>
      <c r="M9084" s="163" t="str">
        <f>CONCATENATE(H9084," ",F9084,"(обрабатываемая площадь в мес.)","*",L9084,"мес.","*",I9084,"/",K9084,"чел.")</f>
        <v>4960,26 м2(обрабатываемая площадь в мес.)*12мес.*0,369961/379080чел.</v>
      </c>
      <c r="N9084" s="164">
        <f>$N$8876</f>
        <v>0.59287281983874496</v>
      </c>
      <c r="O9084" s="165">
        <f>MROUND(G9084*N9084,0.000001)</f>
        <v>3.4440999999999999E-2</v>
      </c>
      <c r="P9084" s="166"/>
      <c r="Q9084" s="166">
        <f t="shared" si="2624"/>
        <v>13055.89428</v>
      </c>
      <c r="R9084" s="71"/>
      <c r="S9084" s="61"/>
      <c r="T9084" s="61"/>
      <c r="U9084" s="61"/>
      <c r="V9084" s="61"/>
      <c r="W9084" s="61"/>
      <c r="X9084" s="61"/>
      <c r="Y9084" s="61"/>
      <c r="Z9084" s="61"/>
      <c r="AA9084" s="61"/>
      <c r="AB9084" s="61"/>
      <c r="AC9084" s="61"/>
      <c r="AD9084" s="61"/>
      <c r="AE9084" s="61"/>
      <c r="AF9084" s="61"/>
      <c r="AG9084" s="61"/>
      <c r="AH9084" s="61"/>
      <c r="AI9084" s="61"/>
      <c r="AJ9084" s="61"/>
      <c r="AK9084" s="61"/>
      <c r="AL9084" s="61"/>
      <c r="AM9084" s="61"/>
      <c r="AN9084" s="61"/>
      <c r="AO9084" s="61"/>
    </row>
    <row r="9085" spans="1:41" s="135" customFormat="1" ht="31.5" x14ac:dyDescent="0.25">
      <c r="A9085" s="358"/>
      <c r="B9085" s="361"/>
      <c r="C9085" s="366"/>
      <c r="D9085" s="156" t="s">
        <v>395</v>
      </c>
      <c r="E9085" s="156" t="s">
        <v>98</v>
      </c>
      <c r="F9085" s="156" t="s">
        <v>98</v>
      </c>
      <c r="G9085" s="238">
        <f t="shared" si="2625"/>
        <v>1.8347749999999999E-6</v>
      </c>
      <c r="H9085" s="242">
        <f>$H$2100</f>
        <v>1.8800000000000001</v>
      </c>
      <c r="I9085" s="159">
        <f>I9084</f>
        <v>0.36996099999999998</v>
      </c>
      <c r="J9085" s="160"/>
      <c r="K9085" s="161">
        <f>K9084</f>
        <v>379080</v>
      </c>
      <c r="L9085" s="162">
        <v>1</v>
      </c>
      <c r="M9085" s="163" t="str">
        <f>CONCATENATE(H9085," ",F9085,"(обрабатываемая площадь в год)","*",L9085," раз в год","*",I9085,"/",K9085,"чел.")</f>
        <v>1,88 Га(обрабатываемая площадь в год)*1 раз в год*0,369961/379080чел.</v>
      </c>
      <c r="N9085" s="164">
        <f>$N$8877</f>
        <v>592.87234042553177</v>
      </c>
      <c r="O9085" s="165">
        <f>MROUND(G9085*N9085,0.000001)</f>
        <v>1.088E-3</v>
      </c>
      <c r="P9085" s="166"/>
      <c r="Q9085" s="166">
        <f t="shared" si="2624"/>
        <v>412.43903999999998</v>
      </c>
      <c r="R9085" s="71"/>
      <c r="S9085" s="61"/>
      <c r="T9085" s="61"/>
      <c r="U9085" s="61"/>
      <c r="V9085" s="61"/>
      <c r="W9085" s="61"/>
      <c r="X9085" s="61"/>
      <c r="Y9085" s="61"/>
      <c r="Z9085" s="61"/>
      <c r="AA9085" s="61"/>
      <c r="AB9085" s="61"/>
      <c r="AC9085" s="61"/>
      <c r="AD9085" s="61"/>
      <c r="AE9085" s="61"/>
      <c r="AF9085" s="61"/>
      <c r="AG9085" s="61"/>
      <c r="AH9085" s="61"/>
      <c r="AI9085" s="61"/>
      <c r="AJ9085" s="61"/>
      <c r="AK9085" s="61"/>
      <c r="AL9085" s="61"/>
      <c r="AM9085" s="61"/>
      <c r="AN9085" s="61"/>
      <c r="AO9085" s="61"/>
    </row>
    <row r="9086" spans="1:41" s="61" customFormat="1" ht="31.5" x14ac:dyDescent="0.25">
      <c r="A9086" s="358"/>
      <c r="B9086" s="361"/>
      <c r="C9086" s="367"/>
      <c r="D9086" s="156" t="s">
        <v>97</v>
      </c>
      <c r="E9086" s="156" t="s">
        <v>363</v>
      </c>
      <c r="F9086" s="156" t="s">
        <v>363</v>
      </c>
      <c r="G9086" s="238">
        <f t="shared" si="2625"/>
        <v>1.8347749999999999E-6</v>
      </c>
      <c r="H9086" s="158">
        <f>$H$2101</f>
        <v>1.8800000000000001</v>
      </c>
      <c r="I9086" s="159">
        <f>I9082</f>
        <v>0.36996099999999998</v>
      </c>
      <c r="J9086" s="160"/>
      <c r="K9086" s="161">
        <f>K9082</f>
        <v>379080</v>
      </c>
      <c r="L9086" s="250">
        <v>1</v>
      </c>
      <c r="M9086" s="163" t="str">
        <f>CONCATENATE(H9086," ",F9086,"(обрабатываемая площадь в мес.)","*",L9086,"мес.","*",I9086,"/",K9086,"чел/час")</f>
        <v>1,88 га(обрабатываемая площадь в мес.)*1мес.*0,369961/379080чел/час</v>
      </c>
      <c r="N9086" s="278">
        <f>$N$8878</f>
        <v>3226.4999999999995</v>
      </c>
      <c r="O9086" s="280">
        <f>MROUND(N9086*G9086,0.000001)</f>
        <v>5.9199999999999999E-3</v>
      </c>
      <c r="P9086" s="166"/>
      <c r="Q9086" s="166">
        <f t="shared" si="2624"/>
        <v>2244.1536000000001</v>
      </c>
      <c r="R9086" s="71"/>
    </row>
    <row r="9087" spans="1:41" s="109" customFormat="1" x14ac:dyDescent="0.25">
      <c r="A9087" s="358"/>
      <c r="B9087" s="361"/>
      <c r="C9087" s="218" t="s">
        <v>327</v>
      </c>
      <c r="D9087" s="240"/>
      <c r="E9087" s="240"/>
      <c r="F9087" s="240"/>
      <c r="G9087" s="227"/>
      <c r="H9087" s="241"/>
      <c r="I9087" s="206"/>
      <c r="J9087" s="228"/>
      <c r="K9087" s="207"/>
      <c r="L9087" s="257"/>
      <c r="M9087" s="209"/>
      <c r="N9087" s="281"/>
      <c r="O9087" s="279">
        <f>SUM(O9081:O9086)</f>
        <v>0.29530099999999992</v>
      </c>
      <c r="P9087" s="267"/>
      <c r="Q9087" s="166"/>
      <c r="R9087" s="71"/>
      <c r="S9087" s="62"/>
      <c r="T9087" s="62"/>
      <c r="U9087" s="62"/>
      <c r="V9087" s="62"/>
      <c r="W9087" s="62"/>
      <c r="X9087" s="62"/>
      <c r="Y9087" s="62"/>
      <c r="Z9087" s="62"/>
      <c r="AA9087" s="62"/>
      <c r="AB9087" s="62"/>
      <c r="AC9087" s="62"/>
      <c r="AD9087" s="62"/>
      <c r="AE9087" s="62"/>
      <c r="AF9087" s="62"/>
      <c r="AG9087" s="62"/>
      <c r="AH9087" s="62"/>
      <c r="AI9087" s="62"/>
      <c r="AJ9087" s="62"/>
      <c r="AK9087" s="62"/>
      <c r="AL9087" s="62"/>
      <c r="AM9087" s="62"/>
      <c r="AN9087" s="62"/>
      <c r="AO9087" s="62"/>
    </row>
    <row r="9088" spans="1:41" s="61" customFormat="1" x14ac:dyDescent="0.25">
      <c r="A9088" s="358"/>
      <c r="B9088" s="361"/>
      <c r="C9088" s="366" t="s">
        <v>77</v>
      </c>
      <c r="D9088" s="156" t="s">
        <v>397</v>
      </c>
      <c r="E9088" s="156" t="s">
        <v>433</v>
      </c>
      <c r="F9088" s="156" t="s">
        <v>433</v>
      </c>
      <c r="G9088" s="238">
        <f t="shared" ref="G9088:G9102" si="2626">MROUND(H9088*L9088*I9088/K9088,0.000000000001)</f>
        <v>0</v>
      </c>
      <c r="H9088" s="158"/>
      <c r="I9088" s="159">
        <f>I9082</f>
        <v>0.36996099999999998</v>
      </c>
      <c r="J9088" s="160"/>
      <c r="K9088" s="161">
        <f>K9082</f>
        <v>379080</v>
      </c>
      <c r="L9088" s="162">
        <v>1</v>
      </c>
      <c r="M9088" s="163"/>
      <c r="N9088" s="278"/>
      <c r="O9088" s="280">
        <f t="shared" ref="O9088:O9099" si="2627">MROUND(N9088*G9088,0.000001)</f>
        <v>0</v>
      </c>
      <c r="P9088" s="166"/>
      <c r="Q9088" s="166">
        <f t="shared" ref="Q9088:Q9102" si="2628">O9088*K9088</f>
        <v>0</v>
      </c>
      <c r="R9088" s="71"/>
    </row>
    <row r="9089" spans="1:41" s="61" customFormat="1" ht="63" x14ac:dyDescent="0.25">
      <c r="A9089" s="358"/>
      <c r="B9089" s="361"/>
      <c r="C9089" s="366"/>
      <c r="D9089" s="156" t="s">
        <v>249</v>
      </c>
      <c r="E9089" s="156" t="s">
        <v>22</v>
      </c>
      <c r="F9089" s="156" t="s">
        <v>22</v>
      </c>
      <c r="G9089" s="238">
        <f t="shared" si="2626"/>
        <v>8.0900715160000004E-3</v>
      </c>
      <c r="H9089" s="158">
        <f>H8881</f>
        <v>690.79</v>
      </c>
      <c r="I9089" s="159">
        <f>I9088</f>
        <v>0.36996099999999998</v>
      </c>
      <c r="J9089" s="160"/>
      <c r="K9089" s="161">
        <f>K9088</f>
        <v>379080</v>
      </c>
      <c r="L9089" s="250">
        <v>12</v>
      </c>
      <c r="M9089" s="163" t="str">
        <f>CONCATENATE(H9089," ",F9089,"*",L9089,"мес.","*",I9089,"/",K9089,"чел/час")</f>
        <v>690,79 м2*12мес.*0,369961/379080чел/час</v>
      </c>
      <c r="N9089" s="278">
        <f>N8881</f>
        <v>32.968811071382042</v>
      </c>
      <c r="O9089" s="280">
        <f t="shared" si="2627"/>
        <v>0.26672000000000001</v>
      </c>
      <c r="P9089" s="166"/>
      <c r="Q9089" s="166">
        <f t="shared" si="2628"/>
        <v>101108.2176</v>
      </c>
      <c r="R9089" s="71"/>
    </row>
    <row r="9090" spans="1:41" s="136" customFormat="1" x14ac:dyDescent="0.25">
      <c r="A9090" s="358"/>
      <c r="B9090" s="361"/>
      <c r="C9090" s="366"/>
      <c r="D9090" s="194" t="s">
        <v>398</v>
      </c>
      <c r="E9090" s="156" t="s">
        <v>60</v>
      </c>
      <c r="F9090" s="156" t="s">
        <v>60</v>
      </c>
      <c r="G9090" s="238">
        <f t="shared" si="2626"/>
        <v>4.8797220000000002E-6</v>
      </c>
      <c r="H9090" s="158">
        <f>$H$2105</f>
        <v>5</v>
      </c>
      <c r="I9090" s="159">
        <f>I9089</f>
        <v>0.36996099999999998</v>
      </c>
      <c r="J9090" s="160"/>
      <c r="K9090" s="161">
        <f>K9089</f>
        <v>379080</v>
      </c>
      <c r="L9090" s="250">
        <v>1</v>
      </c>
      <c r="M9090" s="163" t="str">
        <f>CONCATENATE(H9090," ",F9090,"*",I9090,"/",K9090,"чел/час")</f>
        <v>5 шт.*0,369961/379080чел/час</v>
      </c>
      <c r="N9090" s="278">
        <f>$N$8882</f>
        <v>5928.7300000000005</v>
      </c>
      <c r="O9090" s="280">
        <f>MROUND(N9090*G9090,0.000001)</f>
        <v>2.8930999999999998E-2</v>
      </c>
      <c r="P9090" s="166"/>
      <c r="Q9090" s="166">
        <f t="shared" si="2628"/>
        <v>10967.163479999999</v>
      </c>
      <c r="R9090" s="71"/>
      <c r="S9090" s="61"/>
      <c r="T9090" s="61"/>
      <c r="U9090" s="61"/>
      <c r="V9090" s="61"/>
      <c r="W9090" s="61"/>
      <c r="X9090" s="61"/>
      <c r="Y9090" s="61"/>
      <c r="Z9090" s="61"/>
      <c r="AA9090" s="61"/>
      <c r="AB9090" s="61"/>
      <c r="AC9090" s="61"/>
      <c r="AD9090" s="61"/>
      <c r="AE9090" s="61"/>
      <c r="AF9090" s="61"/>
      <c r="AG9090" s="61"/>
      <c r="AH9090" s="61"/>
      <c r="AI9090" s="61"/>
      <c r="AJ9090" s="61"/>
      <c r="AK9090" s="61"/>
      <c r="AL9090" s="61"/>
      <c r="AM9090" s="61"/>
      <c r="AN9090" s="61"/>
      <c r="AO9090" s="61"/>
    </row>
    <row r="9091" spans="1:41" s="136" customFormat="1" ht="63" x14ac:dyDescent="0.25">
      <c r="A9091" s="358"/>
      <c r="B9091" s="361"/>
      <c r="C9091" s="366"/>
      <c r="D9091" s="156" t="s">
        <v>33</v>
      </c>
      <c r="E9091" s="156" t="s">
        <v>56</v>
      </c>
      <c r="F9091" s="156" t="s">
        <v>220</v>
      </c>
      <c r="G9091" s="238">
        <f t="shared" si="2626"/>
        <v>4.8797220000000002E-6</v>
      </c>
      <c r="H9091" s="158">
        <f>$H$2106</f>
        <v>5</v>
      </c>
      <c r="I9091" s="159">
        <f>I9090</f>
        <v>0.36996099999999998</v>
      </c>
      <c r="J9091" s="160"/>
      <c r="K9091" s="161">
        <f>K9090</f>
        <v>379080</v>
      </c>
      <c r="L9091" s="250">
        <f>$L$2106</f>
        <v>1</v>
      </c>
      <c r="M9091" s="163" t="str">
        <f>CONCATENATE(H9091," ",F9091,"*",L9091," раз в год","*",I9091,"/",K9091,"чел.")</f>
        <v>5 дымоходов*1 раз в год*0,369961/379080чел.</v>
      </c>
      <c r="N9091" s="278">
        <f>$N$8883</f>
        <v>7114.4699999999993</v>
      </c>
      <c r="O9091" s="280">
        <f t="shared" si="2627"/>
        <v>3.4716999999999998E-2</v>
      </c>
      <c r="P9091" s="166"/>
      <c r="Q9091" s="166">
        <f t="shared" si="2628"/>
        <v>13160.520359999999</v>
      </c>
      <c r="R9091" s="71"/>
      <c r="S9091" s="61"/>
      <c r="T9091" s="61"/>
      <c r="U9091" s="61"/>
      <c r="V9091" s="61"/>
      <c r="W9091" s="61"/>
      <c r="X9091" s="61"/>
      <c r="Y9091" s="61"/>
      <c r="Z9091" s="61"/>
      <c r="AA9091" s="61"/>
      <c r="AB9091" s="61"/>
      <c r="AC9091" s="61"/>
      <c r="AD9091" s="61"/>
      <c r="AE9091" s="61"/>
      <c r="AF9091" s="61"/>
      <c r="AG9091" s="61"/>
      <c r="AH9091" s="61"/>
      <c r="AI9091" s="61"/>
      <c r="AJ9091" s="61"/>
      <c r="AK9091" s="61"/>
      <c r="AL9091" s="61"/>
      <c r="AM9091" s="61"/>
      <c r="AN9091" s="61"/>
      <c r="AO9091" s="61"/>
    </row>
    <row r="9092" spans="1:41" s="61" customFormat="1" ht="78.75" x14ac:dyDescent="0.25">
      <c r="A9092" s="358"/>
      <c r="B9092" s="361"/>
      <c r="C9092" s="366"/>
      <c r="D9092" s="156" t="s">
        <v>250</v>
      </c>
      <c r="E9092" s="156" t="s">
        <v>251</v>
      </c>
      <c r="F9092" s="156" t="s">
        <v>60</v>
      </c>
      <c r="G9092" s="238">
        <f t="shared" si="2626"/>
        <v>4.8797220000000002E-6</v>
      </c>
      <c r="H9092" s="158">
        <f>$H$2107</f>
        <v>5</v>
      </c>
      <c r="I9092" s="159">
        <f>I9089</f>
        <v>0.36996099999999998</v>
      </c>
      <c r="J9092" s="160"/>
      <c r="K9092" s="161">
        <f>K9089</f>
        <v>379080</v>
      </c>
      <c r="L9092" s="250">
        <v>1</v>
      </c>
      <c r="M9092" s="163" t="str">
        <f>CONCATENATE(H9092," ",F9092,"*",I9092,"/",K9092,"чел/час")</f>
        <v>5 шт.*0,369961/379080чел/час</v>
      </c>
      <c r="N9092" s="278">
        <f t="shared" ref="N9092:N9102" si="2629">N8884</f>
        <v>4742.9800000000005</v>
      </c>
      <c r="O9092" s="280">
        <f t="shared" si="2627"/>
        <v>2.3143999999999998E-2</v>
      </c>
      <c r="P9092" s="166"/>
      <c r="Q9092" s="166">
        <f t="shared" si="2628"/>
        <v>8773.4275199999993</v>
      </c>
      <c r="R9092" s="71"/>
    </row>
    <row r="9093" spans="1:41" s="61" customFormat="1" ht="47.25" x14ac:dyDescent="0.25">
      <c r="A9093" s="358"/>
      <c r="B9093" s="361"/>
      <c r="C9093" s="366"/>
      <c r="D9093" s="156" t="s">
        <v>401</v>
      </c>
      <c r="E9093" s="156" t="s">
        <v>60</v>
      </c>
      <c r="F9093" s="156" t="s">
        <v>402</v>
      </c>
      <c r="G9093" s="238">
        <f t="shared" si="2626"/>
        <v>9.7594440000000005E-6</v>
      </c>
      <c r="H9093" s="158">
        <f>H8885</f>
        <v>5</v>
      </c>
      <c r="I9093" s="159">
        <f>I9092</f>
        <v>0.36996099999999998</v>
      </c>
      <c r="J9093" s="160"/>
      <c r="K9093" s="161">
        <f>K9092</f>
        <v>379080</v>
      </c>
      <c r="L9093" s="250">
        <f>$L$2108</f>
        <v>2</v>
      </c>
      <c r="M9093" s="163" t="str">
        <f>CONCATENATE(H9093," ",F9093,"*",I9093,"/",K9093,"чел/час")</f>
        <v>5 противопожарных водопроводов*0,369961/379080чел/час</v>
      </c>
      <c r="N9093" s="278">
        <f t="shared" si="2629"/>
        <v>2964.3650000000002</v>
      </c>
      <c r="O9093" s="280">
        <f t="shared" si="2627"/>
        <v>2.8930999999999998E-2</v>
      </c>
      <c r="P9093" s="166"/>
      <c r="Q9093" s="166">
        <f t="shared" si="2628"/>
        <v>10967.163479999999</v>
      </c>
      <c r="R9093" s="71"/>
    </row>
    <row r="9094" spans="1:41" s="61" customFormat="1" ht="47.25" x14ac:dyDescent="0.25">
      <c r="A9094" s="358"/>
      <c r="B9094" s="361"/>
      <c r="C9094" s="366"/>
      <c r="D9094" s="156" t="s">
        <v>34</v>
      </c>
      <c r="E9094" s="156" t="s">
        <v>59</v>
      </c>
      <c r="F9094" s="156" t="s">
        <v>28</v>
      </c>
      <c r="G9094" s="238">
        <f t="shared" si="2626"/>
        <v>1.9518889999999998E-6</v>
      </c>
      <c r="H9094" s="158">
        <f>H8886</f>
        <v>2</v>
      </c>
      <c r="I9094" s="159">
        <f>I9093</f>
        <v>0.36996099999999998</v>
      </c>
      <c r="J9094" s="160"/>
      <c r="K9094" s="161">
        <f>K9093</f>
        <v>379080</v>
      </c>
      <c r="L9094" s="250">
        <v>1</v>
      </c>
      <c r="M9094" s="163" t="str">
        <f>CONCATENATE(H9094," ",F9094,"*",I9094,"/",K9094,"чел/час")</f>
        <v>2 шт*0,369961/379080чел/час</v>
      </c>
      <c r="N9094" s="278">
        <f t="shared" si="2629"/>
        <v>8158.8</v>
      </c>
      <c r="O9094" s="280">
        <f t="shared" si="2627"/>
        <v>1.5924999999999998E-2</v>
      </c>
      <c r="P9094" s="166"/>
      <c r="Q9094" s="166">
        <f t="shared" si="2628"/>
        <v>6036.8489999999993</v>
      </c>
      <c r="R9094" s="71"/>
    </row>
    <row r="9095" spans="1:41" s="61" customFormat="1" ht="47.25" x14ac:dyDescent="0.25">
      <c r="A9095" s="358"/>
      <c r="B9095" s="361"/>
      <c r="C9095" s="366"/>
      <c r="D9095" s="156" t="s">
        <v>222</v>
      </c>
      <c r="E9095" s="156" t="s">
        <v>60</v>
      </c>
      <c r="F9095" s="156" t="s">
        <v>60</v>
      </c>
      <c r="G9095" s="238">
        <f t="shared" si="2626"/>
        <v>1.9518889999999998E-6</v>
      </c>
      <c r="H9095" s="158">
        <f>H8887</f>
        <v>2</v>
      </c>
      <c r="I9095" s="159">
        <f>I9094</f>
        <v>0.36996099999999998</v>
      </c>
      <c r="J9095" s="160"/>
      <c r="K9095" s="161">
        <f>K9094</f>
        <v>379080</v>
      </c>
      <c r="L9095" s="250">
        <v>1</v>
      </c>
      <c r="M9095" s="163" t="str">
        <f>CONCATENATE(H9095," ",F9095,"*",I9095,"/",K9095,"чел/час")</f>
        <v>2 шт.*0,369961/379080чел/час</v>
      </c>
      <c r="N9095" s="278">
        <f t="shared" si="2629"/>
        <v>14141.92</v>
      </c>
      <c r="O9095" s="280">
        <f t="shared" si="2627"/>
        <v>2.7602999999999999E-2</v>
      </c>
      <c r="P9095" s="166"/>
      <c r="Q9095" s="166">
        <f t="shared" si="2628"/>
        <v>10463.74524</v>
      </c>
      <c r="R9095" s="71"/>
    </row>
    <row r="9096" spans="1:41" s="61" customFormat="1" ht="31.5" x14ac:dyDescent="0.25">
      <c r="A9096" s="358"/>
      <c r="B9096" s="361"/>
      <c r="C9096" s="366"/>
      <c r="D9096" s="156" t="s">
        <v>35</v>
      </c>
      <c r="E9096" s="156" t="s">
        <v>102</v>
      </c>
      <c r="F9096" s="156" t="s">
        <v>252</v>
      </c>
      <c r="G9096" s="238">
        <f t="shared" si="2626"/>
        <v>1.9518889999999998E-6</v>
      </c>
      <c r="H9096" s="158">
        <f>H8888</f>
        <v>2</v>
      </c>
      <c r="I9096" s="159">
        <f>I9094</f>
        <v>0.36996099999999998</v>
      </c>
      <c r="J9096" s="160"/>
      <c r="K9096" s="161">
        <f>K9094</f>
        <v>379080</v>
      </c>
      <c r="L9096" s="250">
        <v>1</v>
      </c>
      <c r="M9096" s="163" t="str">
        <f>CONCATENATE(H9096," ",F9096,"*",I9096,"/",K9096,"чел/час")</f>
        <v>2 замера*0,369961/379080чел/час</v>
      </c>
      <c r="N9096" s="278">
        <f t="shared" si="2629"/>
        <v>40794</v>
      </c>
      <c r="O9096" s="280">
        <f t="shared" si="2627"/>
        <v>7.9625000000000001E-2</v>
      </c>
      <c r="P9096" s="166"/>
      <c r="Q9096" s="166">
        <f t="shared" si="2628"/>
        <v>30184.244999999999</v>
      </c>
      <c r="R9096" s="71"/>
    </row>
    <row r="9097" spans="1:41" s="61" customFormat="1" ht="47.25" x14ac:dyDescent="0.25">
      <c r="A9097" s="358"/>
      <c r="B9097" s="361"/>
      <c r="C9097" s="366"/>
      <c r="D9097" s="156" t="s">
        <v>399</v>
      </c>
      <c r="E9097" s="156" t="s">
        <v>60</v>
      </c>
      <c r="F9097" s="156" t="s">
        <v>60</v>
      </c>
      <c r="G9097" s="238">
        <f t="shared" si="2626"/>
        <v>3.9037776000000002E-5</v>
      </c>
      <c r="H9097" s="158">
        <f>$H$2112</f>
        <v>4</v>
      </c>
      <c r="I9097" s="159">
        <f>I9096</f>
        <v>0.36996099999999998</v>
      </c>
      <c r="J9097" s="160"/>
      <c r="K9097" s="161">
        <f>K9096</f>
        <v>379080</v>
      </c>
      <c r="L9097" s="250">
        <v>10</v>
      </c>
      <c r="M9097" s="163" t="str">
        <f>CONCATENATE(H9097," ",F9097,"*",L9097,"мес.","*",I9097,"/",K9097,"чел/час")</f>
        <v>4 шт.*10мес.*0,369961/379080чел/час</v>
      </c>
      <c r="N9097" s="278">
        <f t="shared" si="2629"/>
        <v>2623.4625000000001</v>
      </c>
      <c r="O9097" s="280">
        <f t="shared" si="2627"/>
        <v>0.10241399999999999</v>
      </c>
      <c r="P9097" s="166"/>
      <c r="Q9097" s="166">
        <f t="shared" si="2628"/>
        <v>38823.099119999999</v>
      </c>
      <c r="R9097" s="71"/>
    </row>
    <row r="9098" spans="1:41" s="61" customFormat="1" ht="47.25" x14ac:dyDescent="0.25">
      <c r="A9098" s="358"/>
      <c r="B9098" s="361"/>
      <c r="C9098" s="366"/>
      <c r="D9098" s="156" t="s">
        <v>36</v>
      </c>
      <c r="E9098" s="156" t="s">
        <v>31</v>
      </c>
      <c r="F9098" s="156" t="s">
        <v>224</v>
      </c>
      <c r="G9098" s="238">
        <f t="shared" si="2626"/>
        <v>9.3690662000000003E-5</v>
      </c>
      <c r="H9098" s="158">
        <f>H8890</f>
        <v>8</v>
      </c>
      <c r="I9098" s="159">
        <f>I9097</f>
        <v>0.36996099999999998</v>
      </c>
      <c r="J9098" s="160"/>
      <c r="K9098" s="161">
        <f>K9097</f>
        <v>379080</v>
      </c>
      <c r="L9098" s="250">
        <v>12</v>
      </c>
      <c r="M9098" s="163" t="str">
        <f>CONCATENATE(H9098," ",F9098,"*",L9098,"мес.","*",I9098,"/",K9098,"чел/час")</f>
        <v>8 устройств*12мес.*0,369961/379080чел/час</v>
      </c>
      <c r="N9098" s="278">
        <f t="shared" si="2629"/>
        <v>2393.2480208333336</v>
      </c>
      <c r="O9098" s="280">
        <f t="shared" si="2627"/>
        <v>0.22422499999999998</v>
      </c>
      <c r="P9098" s="166"/>
      <c r="Q9098" s="166">
        <f t="shared" si="2628"/>
        <v>84999.212999999989</v>
      </c>
      <c r="R9098" s="71"/>
    </row>
    <row r="9099" spans="1:41" s="61" customFormat="1" ht="63" x14ac:dyDescent="0.25">
      <c r="A9099" s="358"/>
      <c r="B9099" s="361"/>
      <c r="C9099" s="366"/>
      <c r="D9099" s="156" t="s">
        <v>253</v>
      </c>
      <c r="E9099" s="156" t="s">
        <v>55</v>
      </c>
      <c r="F9099" s="156" t="s">
        <v>55</v>
      </c>
      <c r="G9099" s="238">
        <f t="shared" si="2626"/>
        <v>5.8556663999999996E-5</v>
      </c>
      <c r="H9099" s="158">
        <f>H8891</f>
        <v>5</v>
      </c>
      <c r="I9099" s="159">
        <f>I9098</f>
        <v>0.36996099999999998</v>
      </c>
      <c r="J9099" s="160"/>
      <c r="K9099" s="161">
        <f>K9098</f>
        <v>379080</v>
      </c>
      <c r="L9099" s="250">
        <v>12</v>
      </c>
      <c r="M9099" s="163" t="str">
        <f>CONCATENATE(H9099," ",F9099,"*",I9099,"/",K9099,"чел/час")</f>
        <v>5 система*0,369961/379080чел/час</v>
      </c>
      <c r="N9099" s="278">
        <f t="shared" si="2629"/>
        <v>4624.4081666666671</v>
      </c>
      <c r="O9099" s="280">
        <f t="shared" si="2627"/>
        <v>0.27078999999999998</v>
      </c>
      <c r="P9099" s="166"/>
      <c r="Q9099" s="166">
        <f t="shared" si="2628"/>
        <v>102651.07319999998</v>
      </c>
      <c r="R9099" s="71"/>
    </row>
    <row r="9100" spans="1:41" s="61" customFormat="1" ht="31.5" x14ac:dyDescent="0.25">
      <c r="A9100" s="358"/>
      <c r="B9100" s="361"/>
      <c r="C9100" s="366"/>
      <c r="D9100" s="156" t="s">
        <v>99</v>
      </c>
      <c r="E9100" s="156" t="s">
        <v>103</v>
      </c>
      <c r="F9100" s="156" t="s">
        <v>225</v>
      </c>
      <c r="G9100" s="238">
        <f t="shared" si="2626"/>
        <v>2.4398610000000001E-5</v>
      </c>
      <c r="H9100" s="158">
        <f>H8892</f>
        <v>25</v>
      </c>
      <c r="I9100" s="159">
        <f>I9099</f>
        <v>0.36996099999999998</v>
      </c>
      <c r="J9100" s="160"/>
      <c r="K9100" s="161">
        <f>K9099</f>
        <v>379080</v>
      </c>
      <c r="L9100" s="250">
        <v>1</v>
      </c>
      <c r="M9100" s="163" t="str">
        <f>CONCATENATE(H9100," ",F9100,"*",I9100,"/",K9100,"чел.")</f>
        <v>25 ед.*0,369961/379080чел.</v>
      </c>
      <c r="N9100" s="164">
        <f t="shared" si="2629"/>
        <v>15690</v>
      </c>
      <c r="O9100" s="165">
        <f>MROUND(G9100*N9100,0.000001)</f>
        <v>0.38281399999999999</v>
      </c>
      <c r="P9100" s="166"/>
      <c r="Q9100" s="166">
        <f t="shared" si="2628"/>
        <v>145117.13112000001</v>
      </c>
      <c r="R9100" s="71"/>
    </row>
    <row r="9101" spans="1:41" s="61" customFormat="1" x14ac:dyDescent="0.25">
      <c r="A9101" s="358"/>
      <c r="B9101" s="361"/>
      <c r="C9101" s="366"/>
      <c r="D9101" s="156" t="s">
        <v>27</v>
      </c>
      <c r="E9101" s="156" t="s">
        <v>28</v>
      </c>
      <c r="F9101" s="156" t="s">
        <v>28</v>
      </c>
      <c r="G9101" s="238">
        <f t="shared" si="2626"/>
        <v>1.46391659E-4</v>
      </c>
      <c r="H9101" s="160">
        <f>H8893</f>
        <v>150</v>
      </c>
      <c r="I9101" s="159">
        <f>I9099</f>
        <v>0.36996099999999998</v>
      </c>
      <c r="J9101" s="160"/>
      <c r="K9101" s="161">
        <f>K9099</f>
        <v>379080</v>
      </c>
      <c r="L9101" s="250">
        <v>1</v>
      </c>
      <c r="M9101" s="163" t="str">
        <f>CONCATENATE(H9101," ",F9101,"*",I9101,"/",K9101,"чел/час")</f>
        <v>150 шт*0,369961/379080чел/час</v>
      </c>
      <c r="N9101" s="278">
        <f t="shared" si="2629"/>
        <v>435.13599999999997</v>
      </c>
      <c r="O9101" s="280">
        <f t="shared" ref="O9101:O9102" si="2630">MROUND(N9101*G9101,0.000001)</f>
        <v>6.3699999999999993E-2</v>
      </c>
      <c r="P9101" s="166"/>
      <c r="Q9101" s="166">
        <f t="shared" si="2628"/>
        <v>24147.395999999997</v>
      </c>
      <c r="R9101" s="71"/>
    </row>
    <row r="9102" spans="1:41" s="61" customFormat="1" ht="31.5" x14ac:dyDescent="0.25">
      <c r="A9102" s="358"/>
      <c r="B9102" s="361"/>
      <c r="C9102" s="367"/>
      <c r="D9102" s="156" t="s">
        <v>104</v>
      </c>
      <c r="E9102" s="156" t="s">
        <v>105</v>
      </c>
      <c r="F9102" s="156" t="s">
        <v>226</v>
      </c>
      <c r="G9102" s="238">
        <f t="shared" si="2626"/>
        <v>4.8797220000000002E-6</v>
      </c>
      <c r="H9102" s="160">
        <f>H8894</f>
        <v>5</v>
      </c>
      <c r="I9102" s="159">
        <f>I9101</f>
        <v>0.36996099999999998</v>
      </c>
      <c r="J9102" s="160"/>
      <c r="K9102" s="161">
        <f>K9101</f>
        <v>379080</v>
      </c>
      <c r="L9102" s="250">
        <v>1</v>
      </c>
      <c r="M9102" s="163" t="str">
        <f>CONCATENATE(H9102," ",F9102,"*",I9102,"/",K9102,"чел/час")</f>
        <v>5 отключений*0,369961/379080чел/час</v>
      </c>
      <c r="N9102" s="278">
        <f t="shared" si="2629"/>
        <v>9790.56</v>
      </c>
      <c r="O9102" s="280">
        <f t="shared" si="2630"/>
        <v>4.7774999999999998E-2</v>
      </c>
      <c r="P9102" s="166"/>
      <c r="Q9102" s="166">
        <f t="shared" si="2628"/>
        <v>18110.546999999999</v>
      </c>
      <c r="R9102" s="71"/>
    </row>
    <row r="9103" spans="1:41" s="109" customFormat="1" x14ac:dyDescent="0.25">
      <c r="A9103" s="358"/>
      <c r="B9103" s="361"/>
      <c r="C9103" s="249" t="s">
        <v>326</v>
      </c>
      <c r="D9103" s="240"/>
      <c r="E9103" s="240"/>
      <c r="F9103" s="240"/>
      <c r="G9103" s="227"/>
      <c r="H9103" s="228"/>
      <c r="I9103" s="206"/>
      <c r="J9103" s="228"/>
      <c r="K9103" s="207"/>
      <c r="L9103" s="257"/>
      <c r="M9103" s="209"/>
      <c r="N9103" s="281"/>
      <c r="O9103" s="279">
        <f>SUM(O9088:O9102)</f>
        <v>1.5973139999999999</v>
      </c>
      <c r="P9103" s="267"/>
      <c r="Q9103" s="166"/>
      <c r="R9103" s="71"/>
      <c r="S9103" s="62"/>
      <c r="T9103" s="62"/>
      <c r="U9103" s="62"/>
      <c r="V9103" s="62"/>
      <c r="W9103" s="62"/>
      <c r="X9103" s="62"/>
      <c r="Y9103" s="62"/>
      <c r="Z9103" s="62"/>
      <c r="AA9103" s="62"/>
      <c r="AB9103" s="62"/>
      <c r="AC9103" s="62"/>
      <c r="AD9103" s="62"/>
      <c r="AE9103" s="62"/>
      <c r="AF9103" s="62"/>
      <c r="AG9103" s="62"/>
      <c r="AH9103" s="62"/>
      <c r="AI9103" s="62"/>
      <c r="AJ9103" s="62"/>
      <c r="AK9103" s="62"/>
      <c r="AL9103" s="62"/>
      <c r="AM9103" s="62"/>
      <c r="AN9103" s="62"/>
      <c r="AO9103" s="62"/>
    </row>
    <row r="9104" spans="1:41" s="61" customFormat="1" ht="31.5" x14ac:dyDescent="0.25">
      <c r="A9104" s="358"/>
      <c r="B9104" s="361"/>
      <c r="C9104" s="221" t="s">
        <v>79</v>
      </c>
      <c r="D9104" s="156" t="s">
        <v>37</v>
      </c>
      <c r="E9104" s="156" t="s">
        <v>61</v>
      </c>
      <c r="F9104" s="156" t="s">
        <v>254</v>
      </c>
      <c r="G9104" s="238">
        <f>MROUND(H9104*L9104*I9104/K9104,0.000000000001)</f>
        <v>9.7594399999999999E-7</v>
      </c>
      <c r="H9104" s="158">
        <f>$H$2119</f>
        <v>1</v>
      </c>
      <c r="I9104" s="159">
        <f>I9102</f>
        <v>0.36996099999999998</v>
      </c>
      <c r="J9104" s="160"/>
      <c r="K9104" s="161">
        <f>K9102</f>
        <v>379080</v>
      </c>
      <c r="L9104" s="250">
        <v>1</v>
      </c>
      <c r="M9104" s="163" t="str">
        <f>CONCATENATE(H9104," ",F9104,"*",I9104,"/",K9104,"чел/час")</f>
        <v>1 автобус*0,369961/379080чел/час</v>
      </c>
      <c r="N9104" s="278">
        <f>N8896</f>
        <v>25403.41</v>
      </c>
      <c r="O9104" s="280">
        <f>MROUND(N9104*G9104,0.000001)</f>
        <v>2.4791999999999998E-2</v>
      </c>
      <c r="P9104" s="166"/>
      <c r="Q9104" s="166">
        <f>O9104*K9104</f>
        <v>9398.1513599999998</v>
      </c>
      <c r="R9104" s="71"/>
    </row>
    <row r="9105" spans="1:41" s="61" customFormat="1" x14ac:dyDescent="0.25">
      <c r="A9105" s="358"/>
      <c r="B9105" s="361"/>
      <c r="C9105" s="221"/>
      <c r="D9105" s="156" t="s">
        <v>255</v>
      </c>
      <c r="E9105" s="156" t="s">
        <v>28</v>
      </c>
      <c r="F9105" s="156" t="s">
        <v>28</v>
      </c>
      <c r="G9105" s="238">
        <f>MROUND(H9105*L9105*I9105/K9105,0.000000000001)</f>
        <v>6.7340162999999999E-4</v>
      </c>
      <c r="H9105" s="158">
        <f>H8897</f>
        <v>345</v>
      </c>
      <c r="I9105" s="159">
        <f>I9104</f>
        <v>0.36996099999999998</v>
      </c>
      <c r="J9105" s="160"/>
      <c r="K9105" s="161">
        <f>K9104</f>
        <v>379080</v>
      </c>
      <c r="L9105" s="250">
        <v>2</v>
      </c>
      <c r="M9105" s="163" t="str">
        <f>CONCATENATE(H9105," ",F9105,"*",L9105,"раза в год","*",I9105,"/",K9105,"чел/час")</f>
        <v>345 шт*2раза в год*0,369961/379080чел/час</v>
      </c>
      <c r="N9105" s="278">
        <f>N8897</f>
        <v>474.29824637681156</v>
      </c>
      <c r="O9105" s="280">
        <f>MROUND(N9105*G9105,0.000001)</f>
        <v>0.31939299999999998</v>
      </c>
      <c r="P9105" s="166"/>
      <c r="Q9105" s="166">
        <f>O9105*K9105</f>
        <v>121075.49844</v>
      </c>
      <c r="R9105" s="71"/>
    </row>
    <row r="9106" spans="1:41" s="109" customFormat="1" x14ac:dyDescent="0.25">
      <c r="A9106" s="358"/>
      <c r="B9106" s="361"/>
      <c r="C9106" s="218" t="s">
        <v>328</v>
      </c>
      <c r="D9106" s="240"/>
      <c r="E9106" s="240"/>
      <c r="F9106" s="240"/>
      <c r="G9106" s="227"/>
      <c r="H9106" s="241"/>
      <c r="I9106" s="206"/>
      <c r="J9106" s="228"/>
      <c r="K9106" s="207"/>
      <c r="L9106" s="257"/>
      <c r="M9106" s="209"/>
      <c r="N9106" s="281"/>
      <c r="O9106" s="279">
        <f>O9105+O9104</f>
        <v>0.34418499999999996</v>
      </c>
      <c r="P9106" s="267"/>
      <c r="Q9106" s="166"/>
      <c r="R9106" s="71"/>
      <c r="S9106" s="62"/>
      <c r="T9106" s="62"/>
      <c r="U9106" s="62"/>
      <c r="V9106" s="62"/>
      <c r="W9106" s="62"/>
      <c r="X9106" s="62"/>
      <c r="Y9106" s="62"/>
      <c r="Z9106" s="62"/>
      <c r="AA9106" s="62"/>
      <c r="AB9106" s="62"/>
      <c r="AC9106" s="62"/>
      <c r="AD9106" s="62"/>
      <c r="AE9106" s="62"/>
      <c r="AF9106" s="62"/>
      <c r="AG9106" s="62"/>
      <c r="AH9106" s="62"/>
      <c r="AI9106" s="62"/>
      <c r="AJ9106" s="62"/>
      <c r="AK9106" s="62"/>
      <c r="AL9106" s="62"/>
      <c r="AM9106" s="62"/>
      <c r="AN9106" s="62"/>
      <c r="AO9106" s="62"/>
    </row>
    <row r="9107" spans="1:41" s="61" customFormat="1" x14ac:dyDescent="0.25">
      <c r="A9107" s="358"/>
      <c r="B9107" s="361"/>
      <c r="C9107" s="364" t="s">
        <v>80</v>
      </c>
      <c r="D9107" s="156" t="s">
        <v>38</v>
      </c>
      <c r="E9107" s="156" t="s">
        <v>57</v>
      </c>
      <c r="F9107" s="156" t="s">
        <v>228</v>
      </c>
      <c r="G9107" s="238">
        <f t="shared" ref="G9107:G9118" si="2631">MROUND(H9107*L9107*I9107/K9107,0.000000000001)</f>
        <v>9.3690662000000003E-5</v>
      </c>
      <c r="H9107" s="158">
        <f>H8899</f>
        <v>8</v>
      </c>
      <c r="I9107" s="159">
        <f>I9104</f>
        <v>0.36996099999999998</v>
      </c>
      <c r="J9107" s="160"/>
      <c r="K9107" s="161">
        <f>K9104</f>
        <v>379080</v>
      </c>
      <c r="L9107" s="250">
        <v>12</v>
      </c>
      <c r="M9107" s="163" t="str">
        <f>CONCATENATE(H9107," ",F9107,"*",L9107,"мес.","*",I9107,"/",K9107,"чел/час")</f>
        <v>8 зданий*12мес.*0,369961/379080чел/час</v>
      </c>
      <c r="N9107" s="278">
        <f t="shared" ref="N9107:N9115" si="2632">N8899</f>
        <v>5107.0063541666668</v>
      </c>
      <c r="O9107" s="280">
        <f t="shared" ref="O9107:O9118" si="2633">MROUND(N9107*G9107,0.000001)</f>
        <v>0.47847899999999999</v>
      </c>
      <c r="P9107" s="166"/>
      <c r="Q9107" s="166">
        <f t="shared" ref="Q9107:Q9118" si="2634">O9107*K9107</f>
        <v>181381.81932000001</v>
      </c>
      <c r="R9107" s="71"/>
    </row>
    <row r="9108" spans="1:41" s="61" customFormat="1" x14ac:dyDescent="0.25">
      <c r="A9108" s="358"/>
      <c r="B9108" s="361"/>
      <c r="C9108" s="364"/>
      <c r="D9108" s="156" t="s">
        <v>256</v>
      </c>
      <c r="E9108" s="156" t="s">
        <v>20</v>
      </c>
      <c r="F9108" s="156" t="s">
        <v>20</v>
      </c>
      <c r="G9108" s="238">
        <f t="shared" si="2631"/>
        <v>1.8250160099999999E-4</v>
      </c>
      <c r="H9108" s="158">
        <f>H8900</f>
        <v>187</v>
      </c>
      <c r="I9108" s="159">
        <f>I9105</f>
        <v>0.36996099999999998</v>
      </c>
      <c r="J9108" s="160"/>
      <c r="K9108" s="161">
        <f>K9105</f>
        <v>379080</v>
      </c>
      <c r="L9108" s="250">
        <v>1</v>
      </c>
      <c r="M9108" s="163" t="str">
        <f t="shared" ref="M9108:M9115" si="2635">CONCATENATE(H9108," ",F9108,"*",I9108,"/",K9108,"чел/час")</f>
        <v>187 чел.*0,369961/379080чел/час</v>
      </c>
      <c r="N9108" s="278">
        <f t="shared" si="2632"/>
        <v>2015.7675401069516</v>
      </c>
      <c r="O9108" s="280">
        <f t="shared" si="2633"/>
        <v>0.36788099999999996</v>
      </c>
      <c r="P9108" s="166"/>
      <c r="Q9108" s="166">
        <f t="shared" si="2634"/>
        <v>139456.32947999999</v>
      </c>
      <c r="R9108" s="71"/>
    </row>
    <row r="9109" spans="1:41" s="61" customFormat="1" ht="63" x14ac:dyDescent="0.25">
      <c r="A9109" s="358"/>
      <c r="B9109" s="361"/>
      <c r="C9109" s="364"/>
      <c r="D9109" s="156" t="s">
        <v>39</v>
      </c>
      <c r="E9109" s="156" t="s">
        <v>20</v>
      </c>
      <c r="F9109" s="156" t="s">
        <v>234</v>
      </c>
      <c r="G9109" s="238">
        <f t="shared" si="2631"/>
        <v>8.7834999999999998E-6</v>
      </c>
      <c r="H9109" s="158">
        <f>H8901</f>
        <v>9</v>
      </c>
      <c r="I9109" s="159">
        <f>I9107</f>
        <v>0.36996099999999998</v>
      </c>
      <c r="J9109" s="160"/>
      <c r="K9109" s="161">
        <f>K9107</f>
        <v>379080</v>
      </c>
      <c r="L9109" s="250">
        <v>1</v>
      </c>
      <c r="M9109" s="163" t="str">
        <f t="shared" si="2635"/>
        <v>9 чел(заявленная потребность руководителями учреждений)*0,369961/379080чел/час</v>
      </c>
      <c r="N9109" s="278">
        <f t="shared" si="2632"/>
        <v>830.02333333333343</v>
      </c>
      <c r="O9109" s="280">
        <f t="shared" si="2633"/>
        <v>7.2909999999999997E-3</v>
      </c>
      <c r="P9109" s="166"/>
      <c r="Q9109" s="166">
        <f t="shared" si="2634"/>
        <v>2763.87228</v>
      </c>
      <c r="R9109" s="71"/>
    </row>
    <row r="9110" spans="1:41" s="61" customFormat="1" ht="63" x14ac:dyDescent="0.25">
      <c r="A9110" s="358"/>
      <c r="B9110" s="361"/>
      <c r="C9110" s="364"/>
      <c r="D9110" s="156" t="s">
        <v>40</v>
      </c>
      <c r="E9110" s="156" t="s">
        <v>20</v>
      </c>
      <c r="F9110" s="156" t="s">
        <v>234</v>
      </c>
      <c r="G9110" s="238">
        <f t="shared" si="2631"/>
        <v>1.2687277E-5</v>
      </c>
      <c r="H9110" s="158">
        <f>H8902</f>
        <v>13</v>
      </c>
      <c r="I9110" s="159">
        <f t="shared" ref="I9110:I9115" si="2636">I9109</f>
        <v>0.36996099999999998</v>
      </c>
      <c r="J9110" s="160"/>
      <c r="K9110" s="161">
        <f t="shared" ref="K9110:K9115" si="2637">K9109</f>
        <v>379080</v>
      </c>
      <c r="L9110" s="250">
        <v>1</v>
      </c>
      <c r="M9110" s="163" t="str">
        <f t="shared" si="2635"/>
        <v>13 чел(заявленная потребность руководителями учреждений)*0,369961/379080чел/час</v>
      </c>
      <c r="N9110" s="278">
        <f t="shared" si="2632"/>
        <v>1778.6192307692306</v>
      </c>
      <c r="O9110" s="280">
        <f t="shared" si="2633"/>
        <v>2.2565999999999999E-2</v>
      </c>
      <c r="P9110" s="166"/>
      <c r="Q9110" s="166">
        <f t="shared" si="2634"/>
        <v>8554.3192799999997</v>
      </c>
      <c r="R9110" s="71"/>
    </row>
    <row r="9111" spans="1:41" s="61" customFormat="1" ht="63" x14ac:dyDescent="0.25">
      <c r="A9111" s="358"/>
      <c r="B9111" s="361"/>
      <c r="C9111" s="364"/>
      <c r="D9111" s="156" t="s">
        <v>100</v>
      </c>
      <c r="E9111" s="156" t="s">
        <v>20</v>
      </c>
      <c r="F9111" s="156" t="s">
        <v>234</v>
      </c>
      <c r="G9111" s="238">
        <f t="shared" si="2631"/>
        <v>6.831611E-6</v>
      </c>
      <c r="H9111" s="158">
        <f>H8903</f>
        <v>7</v>
      </c>
      <c r="I9111" s="159">
        <f t="shared" si="2636"/>
        <v>0.36996099999999998</v>
      </c>
      <c r="J9111" s="160"/>
      <c r="K9111" s="161">
        <f t="shared" si="2637"/>
        <v>379080</v>
      </c>
      <c r="L9111" s="250">
        <v>1</v>
      </c>
      <c r="M9111" s="163" t="str">
        <f t="shared" si="2635"/>
        <v>7 чел(заявленная потребность руководителями учреждений)*0,369961/379080чел/час</v>
      </c>
      <c r="N9111" s="278">
        <f t="shared" si="2632"/>
        <v>3794.3871428571429</v>
      </c>
      <c r="O9111" s="280">
        <f t="shared" si="2633"/>
        <v>2.5921999999999997E-2</v>
      </c>
      <c r="P9111" s="166"/>
      <c r="Q9111" s="166">
        <f t="shared" si="2634"/>
        <v>9826.5117599999994</v>
      </c>
      <c r="R9111" s="71"/>
    </row>
    <row r="9112" spans="1:41" s="61" customFormat="1" ht="110.25" x14ac:dyDescent="0.25">
      <c r="A9112" s="358"/>
      <c r="B9112" s="361"/>
      <c r="C9112" s="364"/>
      <c r="D9112" s="156" t="s">
        <v>235</v>
      </c>
      <c r="E9112" s="156" t="s">
        <v>50</v>
      </c>
      <c r="F9112" s="156" t="s">
        <v>230</v>
      </c>
      <c r="G9112" s="238">
        <f t="shared" si="2631"/>
        <v>4.8797220000000002E-6</v>
      </c>
      <c r="H9112" s="158">
        <v>5</v>
      </c>
      <c r="I9112" s="159">
        <f t="shared" si="2636"/>
        <v>0.36996099999999998</v>
      </c>
      <c r="J9112" s="160"/>
      <c r="K9112" s="161">
        <f t="shared" si="2637"/>
        <v>379080</v>
      </c>
      <c r="L9112" s="250">
        <v>1</v>
      </c>
      <c r="M9112" s="163" t="str">
        <f t="shared" si="2635"/>
        <v>5 отчетов*0,369961/379080чел/час</v>
      </c>
      <c r="N9112" s="278">
        <f t="shared" si="2632"/>
        <v>7114.4699999999993</v>
      </c>
      <c r="O9112" s="280">
        <f t="shared" si="2633"/>
        <v>3.4716999999999998E-2</v>
      </c>
      <c r="P9112" s="166"/>
      <c r="Q9112" s="166">
        <f t="shared" si="2634"/>
        <v>13160.520359999999</v>
      </c>
      <c r="R9112" s="71"/>
    </row>
    <row r="9113" spans="1:41" s="61" customFormat="1" ht="63" x14ac:dyDescent="0.25">
      <c r="A9113" s="358"/>
      <c r="B9113" s="361"/>
      <c r="C9113" s="364"/>
      <c r="D9113" s="156" t="s">
        <v>42</v>
      </c>
      <c r="E9113" s="156" t="s">
        <v>51</v>
      </c>
      <c r="F9113" s="156" t="s">
        <v>407</v>
      </c>
      <c r="G9113" s="238">
        <f t="shared" si="2631"/>
        <v>2.5374554E-5</v>
      </c>
      <c r="H9113" s="158">
        <f>H8905</f>
        <v>26</v>
      </c>
      <c r="I9113" s="159">
        <f t="shared" si="2636"/>
        <v>0.36996099999999998</v>
      </c>
      <c r="J9113" s="160"/>
      <c r="K9113" s="161">
        <f t="shared" si="2637"/>
        <v>379080</v>
      </c>
      <c r="L9113" s="250">
        <v>1</v>
      </c>
      <c r="M9113" s="163" t="str">
        <f t="shared" si="2635"/>
        <v>26 ед (заявленная потребность руководителями учреждений)*0,369961/379080чел/час</v>
      </c>
      <c r="N9113" s="278">
        <f t="shared" si="2632"/>
        <v>1185.7457692307694</v>
      </c>
      <c r="O9113" s="280">
        <f t="shared" si="2633"/>
        <v>3.0088E-2</v>
      </c>
      <c r="P9113" s="166"/>
      <c r="Q9113" s="166">
        <f t="shared" si="2634"/>
        <v>11405.759040000001</v>
      </c>
      <c r="R9113" s="71"/>
    </row>
    <row r="9114" spans="1:41" s="61" customFormat="1" ht="31.5" x14ac:dyDescent="0.25">
      <c r="A9114" s="358"/>
      <c r="B9114" s="361"/>
      <c r="C9114" s="364"/>
      <c r="D9114" s="156" t="s">
        <v>43</v>
      </c>
      <c r="E9114" s="156" t="s">
        <v>52</v>
      </c>
      <c r="F9114" s="156" t="s">
        <v>231</v>
      </c>
      <c r="G9114" s="238">
        <f t="shared" si="2631"/>
        <v>4.8797220000000002E-6</v>
      </c>
      <c r="H9114" s="158">
        <v>5</v>
      </c>
      <c r="I9114" s="159">
        <f t="shared" si="2636"/>
        <v>0.36996099999999998</v>
      </c>
      <c r="J9114" s="160"/>
      <c r="K9114" s="161">
        <f t="shared" si="2637"/>
        <v>379080</v>
      </c>
      <c r="L9114" s="250">
        <v>1</v>
      </c>
      <c r="M9114" s="163" t="str">
        <f t="shared" si="2635"/>
        <v>5 ЭЦП*0,369961/379080чел/час</v>
      </c>
      <c r="N9114" s="278">
        <f t="shared" si="2632"/>
        <v>8423.5400000000009</v>
      </c>
      <c r="O9114" s="280">
        <f t="shared" si="2633"/>
        <v>4.1104999999999996E-2</v>
      </c>
      <c r="P9114" s="166"/>
      <c r="Q9114" s="166">
        <f t="shared" si="2634"/>
        <v>15582.083399999998</v>
      </c>
      <c r="R9114" s="71"/>
    </row>
    <row r="9115" spans="1:41" s="61" customFormat="1" x14ac:dyDescent="0.25">
      <c r="A9115" s="358"/>
      <c r="B9115" s="361"/>
      <c r="C9115" s="364"/>
      <c r="D9115" s="156" t="s">
        <v>373</v>
      </c>
      <c r="E9115" s="156" t="s">
        <v>28</v>
      </c>
      <c r="F9115" s="156" t="s">
        <v>28</v>
      </c>
      <c r="G9115" s="238">
        <f t="shared" si="2631"/>
        <v>4.8797220000000002E-6</v>
      </c>
      <c r="H9115" s="158">
        <f>H8907</f>
        <v>5</v>
      </c>
      <c r="I9115" s="159">
        <f t="shared" si="2636"/>
        <v>0.36996099999999998</v>
      </c>
      <c r="J9115" s="160"/>
      <c r="K9115" s="161">
        <f t="shared" si="2637"/>
        <v>379080</v>
      </c>
      <c r="L9115" s="250">
        <v>1</v>
      </c>
      <c r="M9115" s="163" t="str">
        <f t="shared" si="2635"/>
        <v>5 шт*0,369961/379080чел/час</v>
      </c>
      <c r="N9115" s="278">
        <f t="shared" si="2632"/>
        <v>24000</v>
      </c>
      <c r="O9115" s="280">
        <f t="shared" si="2633"/>
        <v>0.11711299999999999</v>
      </c>
      <c r="P9115" s="166"/>
      <c r="Q9115" s="166">
        <f t="shared" si="2634"/>
        <v>44395.196039999995</v>
      </c>
      <c r="R9115" s="71"/>
    </row>
    <row r="9116" spans="1:41" s="136" customFormat="1" ht="47.25" x14ac:dyDescent="0.25">
      <c r="A9116" s="358"/>
      <c r="B9116" s="361"/>
      <c r="C9116" s="364"/>
      <c r="D9116" s="156" t="s">
        <v>44</v>
      </c>
      <c r="E9116" s="156" t="s">
        <v>85</v>
      </c>
      <c r="F9116" s="156" t="s">
        <v>232</v>
      </c>
      <c r="G9116" s="238">
        <f t="shared" si="2631"/>
        <v>2.9668709500000001E-4</v>
      </c>
      <c r="H9116" s="158">
        <f>$H$2132</f>
        <v>304</v>
      </c>
      <c r="I9116" s="159">
        <f>I9114</f>
        <v>0.36996099999999998</v>
      </c>
      <c r="J9116" s="160"/>
      <c r="K9116" s="161">
        <f>K9114</f>
        <v>379080</v>
      </c>
      <c r="L9116" s="250">
        <v>1</v>
      </c>
      <c r="M9116" s="163" t="str">
        <f>CONCATENATE(H9116," ",F9116,"*",L9116,"мес.","*",I9116,"/",K9116,"чел.")</f>
        <v>304 мед.осмотров в мес.*1мес.*0,369961/379080чел.</v>
      </c>
      <c r="N9116" s="278">
        <f>$N$8909</f>
        <v>54.392006578947374</v>
      </c>
      <c r="O9116" s="280">
        <f t="shared" si="2633"/>
        <v>1.6136999999999999E-2</v>
      </c>
      <c r="P9116" s="166"/>
      <c r="Q9116" s="166">
        <f t="shared" si="2634"/>
        <v>6117.2139599999991</v>
      </c>
      <c r="R9116" s="71"/>
      <c r="S9116" s="71"/>
      <c r="T9116" s="61"/>
      <c r="U9116" s="61"/>
      <c r="V9116" s="61"/>
      <c r="W9116" s="61"/>
      <c r="X9116" s="61"/>
      <c r="Y9116" s="61"/>
      <c r="Z9116" s="61"/>
      <c r="AA9116" s="61"/>
      <c r="AB9116" s="61"/>
      <c r="AC9116" s="61"/>
      <c r="AD9116" s="61"/>
      <c r="AE9116" s="61"/>
      <c r="AF9116" s="61"/>
      <c r="AG9116" s="61"/>
      <c r="AH9116" s="61"/>
      <c r="AI9116" s="61"/>
      <c r="AJ9116" s="61"/>
      <c r="AK9116" s="61"/>
      <c r="AL9116" s="61"/>
      <c r="AM9116" s="61"/>
      <c r="AN9116" s="61"/>
      <c r="AO9116" s="61"/>
    </row>
    <row r="9117" spans="1:41" s="61" customFormat="1" ht="63" x14ac:dyDescent="0.25">
      <c r="A9117" s="358"/>
      <c r="B9117" s="361"/>
      <c r="C9117" s="364"/>
      <c r="D9117" s="156" t="s">
        <v>45</v>
      </c>
      <c r="E9117" s="156" t="s">
        <v>53</v>
      </c>
      <c r="F9117" s="156" t="s">
        <v>257</v>
      </c>
      <c r="G9117" s="238">
        <f t="shared" si="2631"/>
        <v>1.1711332999999999E-5</v>
      </c>
      <c r="H9117" s="158">
        <v>1</v>
      </c>
      <c r="I9117" s="159">
        <f>I9116</f>
        <v>0.36996099999999998</v>
      </c>
      <c r="J9117" s="160"/>
      <c r="K9117" s="161">
        <f>K9116</f>
        <v>379080</v>
      </c>
      <c r="L9117" s="250">
        <v>12</v>
      </c>
      <c r="M9117" s="163" t="str">
        <f>CONCATENATE(H9117," ",F9117,"*",L9117,"мес.","*",I9117,"/",K9117,"чел/час")</f>
        <v>1  машина, оборудованная системой ГЛОНАСС*12мес.*0,369961/379080чел/час</v>
      </c>
      <c r="N9117" s="278">
        <f>N8908</f>
        <v>958.08249999999998</v>
      </c>
      <c r="O9117" s="280">
        <f t="shared" si="2633"/>
        <v>1.1219999999999999E-2</v>
      </c>
      <c r="P9117" s="166"/>
      <c r="Q9117" s="166">
        <f t="shared" si="2634"/>
        <v>4253.2775999999994</v>
      </c>
      <c r="R9117" s="71"/>
    </row>
    <row r="9118" spans="1:41" s="61" customFormat="1" ht="31.5" x14ac:dyDescent="0.25">
      <c r="A9118" s="358"/>
      <c r="B9118" s="361"/>
      <c r="C9118" s="364"/>
      <c r="D9118" s="156" t="s">
        <v>408</v>
      </c>
      <c r="E9118" s="156" t="s">
        <v>20</v>
      </c>
      <c r="F9118" s="156" t="s">
        <v>20</v>
      </c>
      <c r="G9118" s="238">
        <f t="shared" si="2631"/>
        <v>0</v>
      </c>
      <c r="H9118" s="158"/>
      <c r="I9118" s="159">
        <f>I9116</f>
        <v>0.36996099999999998</v>
      </c>
      <c r="J9118" s="160"/>
      <c r="K9118" s="161">
        <f>K9116</f>
        <v>379080</v>
      </c>
      <c r="L9118" s="250">
        <f>L8910</f>
        <v>1</v>
      </c>
      <c r="M9118" s="163"/>
      <c r="N9118" s="278"/>
      <c r="O9118" s="280">
        <f t="shared" si="2633"/>
        <v>0</v>
      </c>
      <c r="P9118" s="166"/>
      <c r="Q9118" s="166">
        <f t="shared" si="2634"/>
        <v>0</v>
      </c>
      <c r="R9118" s="71"/>
    </row>
    <row r="9119" spans="1:41" s="109" customFormat="1" x14ac:dyDescent="0.25">
      <c r="A9119" s="358"/>
      <c r="B9119" s="361"/>
      <c r="C9119" s="245" t="s">
        <v>329</v>
      </c>
      <c r="D9119" s="240"/>
      <c r="E9119" s="240"/>
      <c r="F9119" s="240"/>
      <c r="G9119" s="227"/>
      <c r="H9119" s="241"/>
      <c r="I9119" s="206"/>
      <c r="J9119" s="228"/>
      <c r="K9119" s="207"/>
      <c r="L9119" s="257"/>
      <c r="M9119" s="209"/>
      <c r="N9119" s="281"/>
      <c r="O9119" s="279">
        <f>SUM(O9107:O9118)</f>
        <v>1.1525190000000001</v>
      </c>
      <c r="P9119" s="267"/>
      <c r="Q9119" s="166"/>
      <c r="R9119" s="71"/>
      <c r="S9119" s="62"/>
      <c r="T9119" s="62"/>
      <c r="U9119" s="62"/>
      <c r="V9119" s="62"/>
      <c r="W9119" s="62"/>
      <c r="X9119" s="62"/>
      <c r="Y9119" s="62"/>
      <c r="Z9119" s="62"/>
      <c r="AA9119" s="62"/>
      <c r="AB9119" s="62"/>
      <c r="AC9119" s="62"/>
      <c r="AD9119" s="62"/>
      <c r="AE9119" s="62"/>
      <c r="AF9119" s="62"/>
      <c r="AG9119" s="62"/>
      <c r="AH9119" s="62"/>
      <c r="AI9119" s="62"/>
      <c r="AJ9119" s="62"/>
      <c r="AK9119" s="62"/>
      <c r="AL9119" s="62"/>
      <c r="AM9119" s="62"/>
      <c r="AN9119" s="62"/>
      <c r="AO9119" s="62"/>
    </row>
    <row r="9120" spans="1:41" s="61" customFormat="1" ht="31.5" x14ac:dyDescent="0.25">
      <c r="A9120" s="358"/>
      <c r="B9120" s="361"/>
      <c r="C9120" s="252" t="s">
        <v>237</v>
      </c>
      <c r="D9120" s="156" t="s">
        <v>41</v>
      </c>
      <c r="E9120" s="156" t="s">
        <v>61</v>
      </c>
      <c r="F9120" s="156" t="s">
        <v>254</v>
      </c>
      <c r="G9120" s="238">
        <f t="shared" ref="G9120:G9127" si="2638">MROUND(H9120*L9120*I9120/K9120,0.000000000001)</f>
        <v>9.7594399999999999E-7</v>
      </c>
      <c r="H9120" s="158">
        <v>1</v>
      </c>
      <c r="I9120" s="159">
        <f>I9118</f>
        <v>0.36996099999999998</v>
      </c>
      <c r="J9120" s="160"/>
      <c r="K9120" s="161">
        <f>K9118</f>
        <v>379080</v>
      </c>
      <c r="L9120" s="250">
        <v>1</v>
      </c>
      <c r="M9120" s="163" t="str">
        <f>CONCATENATE(H9120," ",F9120,"*",I9120,"/",K9120,"чел/час")</f>
        <v>1 автобус*0,369961/379080чел/час</v>
      </c>
      <c r="N9120" s="278">
        <f>N8912</f>
        <v>27983.599999999999</v>
      </c>
      <c r="O9120" s="280">
        <f t="shared" ref="O9120:O9131" si="2639">MROUND(N9120*G9120,0.000001)</f>
        <v>2.7309999999999997E-2</v>
      </c>
      <c r="P9120" s="166"/>
      <c r="Q9120" s="166">
        <f t="shared" ref="Q9120:Q9131" si="2640">O9120*K9120</f>
        <v>10352.674799999999</v>
      </c>
      <c r="R9120" s="71"/>
    </row>
    <row r="9121" spans="1:41" s="61" customFormat="1" ht="78.75" x14ac:dyDescent="0.25">
      <c r="A9121" s="358"/>
      <c r="B9121" s="361"/>
      <c r="C9121" s="221" t="s">
        <v>236</v>
      </c>
      <c r="D9121" s="156" t="s">
        <v>19</v>
      </c>
      <c r="E9121" s="181" t="s">
        <v>20</v>
      </c>
      <c r="F9121" s="181" t="s">
        <v>238</v>
      </c>
      <c r="G9121" s="238">
        <f t="shared" si="2638"/>
        <v>0</v>
      </c>
      <c r="H9121" s="158"/>
      <c r="I9121" s="159">
        <f>I9118</f>
        <v>0.36996099999999998</v>
      </c>
      <c r="J9121" s="160"/>
      <c r="K9121" s="161">
        <f>K9118</f>
        <v>379080</v>
      </c>
      <c r="L9121" s="250"/>
      <c r="M9121" s="163"/>
      <c r="N9121" s="278"/>
      <c r="O9121" s="280">
        <f t="shared" si="2639"/>
        <v>0</v>
      </c>
      <c r="P9121" s="166"/>
      <c r="Q9121" s="166">
        <f t="shared" si="2640"/>
        <v>0</v>
      </c>
      <c r="R9121" s="71"/>
    </row>
    <row r="9122" spans="1:41" s="136" customFormat="1" ht="31.5" x14ac:dyDescent="0.25">
      <c r="A9122" s="358"/>
      <c r="B9122" s="361"/>
      <c r="C9122" s="372" t="s">
        <v>81</v>
      </c>
      <c r="D9122" s="156" t="s">
        <v>419</v>
      </c>
      <c r="E9122" s="156" t="s">
        <v>28</v>
      </c>
      <c r="F9122" s="156" t="s">
        <v>439</v>
      </c>
      <c r="G9122" s="238">
        <f t="shared" si="2638"/>
        <v>0</v>
      </c>
      <c r="H9122" s="158"/>
      <c r="I9122" s="159">
        <f>I9121</f>
        <v>0.36996099999999998</v>
      </c>
      <c r="J9122" s="160"/>
      <c r="K9122" s="161">
        <f>K9121</f>
        <v>379080</v>
      </c>
      <c r="L9122" s="250">
        <v>1</v>
      </c>
      <c r="M9122" s="163"/>
      <c r="N9122" s="278"/>
      <c r="O9122" s="280">
        <f t="shared" si="2639"/>
        <v>0</v>
      </c>
      <c r="P9122" s="166"/>
      <c r="Q9122" s="166">
        <f t="shared" si="2640"/>
        <v>0</v>
      </c>
      <c r="R9122" s="71"/>
      <c r="S9122" s="61"/>
      <c r="T9122" s="71"/>
      <c r="U9122" s="61"/>
      <c r="V9122" s="61"/>
      <c r="W9122" s="61"/>
      <c r="X9122" s="61"/>
      <c r="Y9122" s="61"/>
      <c r="Z9122" s="61"/>
      <c r="AA9122" s="61"/>
      <c r="AB9122" s="61"/>
      <c r="AC9122" s="61"/>
      <c r="AD9122" s="61"/>
      <c r="AE9122" s="61"/>
      <c r="AF9122" s="61"/>
      <c r="AG9122" s="61"/>
      <c r="AH9122" s="61"/>
      <c r="AI9122" s="61"/>
      <c r="AJ9122" s="61"/>
      <c r="AK9122" s="61"/>
      <c r="AL9122" s="61"/>
      <c r="AM9122" s="61"/>
      <c r="AN9122" s="61"/>
      <c r="AO9122" s="61"/>
    </row>
    <row r="9123" spans="1:41" s="136" customFormat="1" ht="31.5" x14ac:dyDescent="0.25">
      <c r="A9123" s="358"/>
      <c r="B9123" s="361"/>
      <c r="C9123" s="373"/>
      <c r="D9123" s="156" t="s">
        <v>425</v>
      </c>
      <c r="E9123" s="156" t="s">
        <v>28</v>
      </c>
      <c r="F9123" s="156" t="s">
        <v>439</v>
      </c>
      <c r="G9123" s="238">
        <f t="shared" si="2638"/>
        <v>0</v>
      </c>
      <c r="H9123" s="158"/>
      <c r="I9123" s="159">
        <f t="shared" ref="I9123:I9131" si="2641">I9122</f>
        <v>0.36996099999999998</v>
      </c>
      <c r="J9123" s="160"/>
      <c r="K9123" s="161">
        <f t="shared" ref="K9123:K9131" si="2642">K9122</f>
        <v>379080</v>
      </c>
      <c r="L9123" s="250">
        <v>1</v>
      </c>
      <c r="M9123" s="163" t="str">
        <f t="shared" ref="M9123:M9125" si="2643">CONCATENATE(H9123," ",F9123,"*",I9123,"/",K9123,"чел/час")</f>
        <v xml:space="preserve"> шт (потребность учреждений) *0,369961/379080чел/час</v>
      </c>
      <c r="N9123" s="278"/>
      <c r="O9123" s="280">
        <f t="shared" si="2639"/>
        <v>0</v>
      </c>
      <c r="P9123" s="166"/>
      <c r="Q9123" s="166">
        <f t="shared" si="2640"/>
        <v>0</v>
      </c>
      <c r="R9123" s="71"/>
      <c r="S9123" s="61"/>
      <c r="T9123" s="71"/>
      <c r="U9123" s="61"/>
      <c r="V9123" s="61"/>
      <c r="W9123" s="61"/>
      <c r="X9123" s="61"/>
      <c r="Y9123" s="61"/>
      <c r="Z9123" s="61"/>
      <c r="AA9123" s="61"/>
      <c r="AB9123" s="61"/>
      <c r="AC9123" s="61"/>
      <c r="AD9123" s="61"/>
      <c r="AE9123" s="61"/>
      <c r="AF9123" s="61"/>
      <c r="AG9123" s="61"/>
      <c r="AH9123" s="61"/>
      <c r="AI9123" s="61"/>
      <c r="AJ9123" s="61"/>
      <c r="AK9123" s="61"/>
      <c r="AL9123" s="61"/>
      <c r="AM9123" s="61"/>
      <c r="AN9123" s="61"/>
      <c r="AO9123" s="61"/>
    </row>
    <row r="9124" spans="1:41" s="136" customFormat="1" ht="31.5" x14ac:dyDescent="0.25">
      <c r="A9124" s="358"/>
      <c r="B9124" s="361"/>
      <c r="C9124" s="373"/>
      <c r="D9124" s="156" t="s">
        <v>426</v>
      </c>
      <c r="E9124" s="156" t="s">
        <v>28</v>
      </c>
      <c r="F9124" s="156" t="s">
        <v>439</v>
      </c>
      <c r="G9124" s="238">
        <f t="shared" si="2638"/>
        <v>0</v>
      </c>
      <c r="H9124" s="158"/>
      <c r="I9124" s="159">
        <f t="shared" si="2641"/>
        <v>0.36996099999999998</v>
      </c>
      <c r="J9124" s="160"/>
      <c r="K9124" s="161">
        <f t="shared" si="2642"/>
        <v>379080</v>
      </c>
      <c r="L9124" s="250">
        <v>1</v>
      </c>
      <c r="M9124" s="163" t="str">
        <f t="shared" si="2643"/>
        <v xml:space="preserve"> шт (потребность учреждений) *0,369961/379080чел/час</v>
      </c>
      <c r="N9124" s="278"/>
      <c r="O9124" s="280">
        <f t="shared" si="2639"/>
        <v>0</v>
      </c>
      <c r="P9124" s="166"/>
      <c r="Q9124" s="166">
        <f t="shared" si="2640"/>
        <v>0</v>
      </c>
      <c r="R9124" s="71"/>
      <c r="S9124" s="61"/>
      <c r="T9124" s="71"/>
      <c r="U9124" s="61"/>
      <c r="V9124" s="61"/>
      <c r="W9124" s="61"/>
      <c r="X9124" s="61"/>
      <c r="Y9124" s="61"/>
      <c r="Z9124" s="61"/>
      <c r="AA9124" s="61"/>
      <c r="AB9124" s="61"/>
      <c r="AC9124" s="61"/>
      <c r="AD9124" s="61"/>
      <c r="AE9124" s="61"/>
      <c r="AF9124" s="61"/>
      <c r="AG9124" s="61"/>
      <c r="AH9124" s="61"/>
      <c r="AI9124" s="61"/>
      <c r="AJ9124" s="61"/>
      <c r="AK9124" s="61"/>
      <c r="AL9124" s="61"/>
      <c r="AM9124" s="61"/>
      <c r="AN9124" s="61"/>
      <c r="AO9124" s="61"/>
    </row>
    <row r="9125" spans="1:41" s="136" customFormat="1" ht="31.5" x14ac:dyDescent="0.25">
      <c r="A9125" s="358"/>
      <c r="B9125" s="361"/>
      <c r="C9125" s="373"/>
      <c r="D9125" s="156" t="s">
        <v>427</v>
      </c>
      <c r="E9125" s="156" t="s">
        <v>28</v>
      </c>
      <c r="F9125" s="156" t="s">
        <v>439</v>
      </c>
      <c r="G9125" s="238">
        <f t="shared" si="2638"/>
        <v>0</v>
      </c>
      <c r="H9125" s="158"/>
      <c r="I9125" s="159">
        <f t="shared" si="2641"/>
        <v>0.36996099999999998</v>
      </c>
      <c r="J9125" s="160"/>
      <c r="K9125" s="161">
        <f t="shared" si="2642"/>
        <v>379080</v>
      </c>
      <c r="L9125" s="250">
        <v>1</v>
      </c>
      <c r="M9125" s="163" t="str">
        <f t="shared" si="2643"/>
        <v xml:space="preserve"> шт (потребность учреждений) *0,369961/379080чел/час</v>
      </c>
      <c r="N9125" s="278"/>
      <c r="O9125" s="280">
        <f t="shared" si="2639"/>
        <v>0</v>
      </c>
      <c r="P9125" s="166"/>
      <c r="Q9125" s="166">
        <f t="shared" si="2640"/>
        <v>0</v>
      </c>
      <c r="R9125" s="71"/>
      <c r="S9125" s="61"/>
      <c r="T9125" s="71"/>
      <c r="U9125" s="61"/>
      <c r="V9125" s="61"/>
      <c r="W9125" s="61"/>
      <c r="X9125" s="61"/>
      <c r="Y9125" s="61"/>
      <c r="Z9125" s="61"/>
      <c r="AA9125" s="61"/>
      <c r="AB9125" s="61"/>
      <c r="AC9125" s="61"/>
      <c r="AD9125" s="61"/>
      <c r="AE9125" s="61"/>
      <c r="AF9125" s="61"/>
      <c r="AG9125" s="61"/>
      <c r="AH9125" s="61"/>
      <c r="AI9125" s="61"/>
      <c r="AJ9125" s="61"/>
      <c r="AK9125" s="61"/>
      <c r="AL9125" s="61"/>
      <c r="AM9125" s="61"/>
      <c r="AN9125" s="61"/>
      <c r="AO9125" s="61"/>
    </row>
    <row r="9126" spans="1:41" s="136" customFormat="1" ht="31.5" x14ac:dyDescent="0.25">
      <c r="A9126" s="358"/>
      <c r="B9126" s="361"/>
      <c r="C9126" s="373"/>
      <c r="D9126" s="156" t="s">
        <v>428</v>
      </c>
      <c r="E9126" s="156" t="s">
        <v>28</v>
      </c>
      <c r="F9126" s="156" t="s">
        <v>439</v>
      </c>
      <c r="G9126" s="238">
        <f t="shared" si="2638"/>
        <v>0</v>
      </c>
      <c r="H9126" s="158"/>
      <c r="I9126" s="159">
        <f t="shared" si="2641"/>
        <v>0.36996099999999998</v>
      </c>
      <c r="J9126" s="160"/>
      <c r="K9126" s="161">
        <f t="shared" si="2642"/>
        <v>379080</v>
      </c>
      <c r="L9126" s="250">
        <v>1</v>
      </c>
      <c r="M9126" s="163"/>
      <c r="N9126" s="278"/>
      <c r="O9126" s="280">
        <f t="shared" si="2639"/>
        <v>0</v>
      </c>
      <c r="P9126" s="166"/>
      <c r="Q9126" s="166">
        <f t="shared" si="2640"/>
        <v>0</v>
      </c>
      <c r="R9126" s="71"/>
      <c r="S9126" s="61"/>
      <c r="T9126" s="71"/>
      <c r="U9126" s="61"/>
      <c r="V9126" s="61"/>
      <c r="W9126" s="61"/>
      <c r="X9126" s="61"/>
      <c r="Y9126" s="61"/>
      <c r="Z9126" s="61"/>
      <c r="AA9126" s="61"/>
      <c r="AB9126" s="61"/>
      <c r="AC9126" s="61"/>
      <c r="AD9126" s="61"/>
      <c r="AE9126" s="61"/>
      <c r="AF9126" s="61"/>
      <c r="AG9126" s="61"/>
      <c r="AH9126" s="61"/>
      <c r="AI9126" s="61"/>
      <c r="AJ9126" s="61"/>
      <c r="AK9126" s="61"/>
      <c r="AL9126" s="61"/>
      <c r="AM9126" s="61"/>
      <c r="AN9126" s="61"/>
      <c r="AO9126" s="61"/>
    </row>
    <row r="9127" spans="1:41" s="136" customFormat="1" ht="31.5" x14ac:dyDescent="0.25">
      <c r="A9127" s="358"/>
      <c r="B9127" s="361"/>
      <c r="C9127" s="373"/>
      <c r="D9127" s="156" t="s">
        <v>429</v>
      </c>
      <c r="E9127" s="156" t="s">
        <v>28</v>
      </c>
      <c r="F9127" s="156" t="s">
        <v>439</v>
      </c>
      <c r="G9127" s="238">
        <f t="shared" si="2638"/>
        <v>0</v>
      </c>
      <c r="H9127" s="158"/>
      <c r="I9127" s="159">
        <f t="shared" si="2641"/>
        <v>0.36996099999999998</v>
      </c>
      <c r="J9127" s="160"/>
      <c r="K9127" s="161">
        <f t="shared" si="2642"/>
        <v>379080</v>
      </c>
      <c r="L9127" s="250">
        <v>1</v>
      </c>
      <c r="M9127" s="163"/>
      <c r="N9127" s="278"/>
      <c r="O9127" s="280">
        <f t="shared" si="2639"/>
        <v>0</v>
      </c>
      <c r="P9127" s="166"/>
      <c r="Q9127" s="166">
        <f t="shared" si="2640"/>
        <v>0</v>
      </c>
      <c r="R9127" s="71"/>
      <c r="S9127" s="61"/>
      <c r="T9127" s="71"/>
      <c r="U9127" s="61"/>
      <c r="V9127" s="61"/>
      <c r="W9127" s="61"/>
      <c r="X9127" s="61"/>
      <c r="Y9127" s="61"/>
      <c r="Z9127" s="61"/>
      <c r="AA9127" s="61"/>
      <c r="AB9127" s="61"/>
      <c r="AC9127" s="61"/>
      <c r="AD9127" s="61"/>
      <c r="AE9127" s="61"/>
      <c r="AF9127" s="61"/>
      <c r="AG9127" s="61"/>
      <c r="AH9127" s="61"/>
      <c r="AI9127" s="61"/>
      <c r="AJ9127" s="61"/>
      <c r="AK9127" s="61"/>
      <c r="AL9127" s="61"/>
      <c r="AM9127" s="61"/>
      <c r="AN9127" s="61"/>
      <c r="AO9127" s="61"/>
    </row>
    <row r="9128" spans="1:41" s="136" customFormat="1" ht="31.5" x14ac:dyDescent="0.25">
      <c r="A9128" s="358"/>
      <c r="B9128" s="361"/>
      <c r="C9128" s="373"/>
      <c r="D9128" s="156" t="s">
        <v>110</v>
      </c>
      <c r="E9128" s="156" t="s">
        <v>28</v>
      </c>
      <c r="F9128" s="156" t="s">
        <v>439</v>
      </c>
      <c r="G9128" s="238">
        <f>MROUND(H9128*L9128*I9128/K9128,0.0000000000000001)</f>
        <v>0</v>
      </c>
      <c r="H9128" s="158"/>
      <c r="I9128" s="159">
        <f t="shared" si="2641"/>
        <v>0.36996099999999998</v>
      </c>
      <c r="J9128" s="160"/>
      <c r="K9128" s="161">
        <f t="shared" si="2642"/>
        <v>379080</v>
      </c>
      <c r="L9128" s="250">
        <v>1</v>
      </c>
      <c r="M9128" s="163"/>
      <c r="N9128" s="278"/>
      <c r="O9128" s="280">
        <f t="shared" si="2639"/>
        <v>0</v>
      </c>
      <c r="P9128" s="166"/>
      <c r="Q9128" s="166">
        <f t="shared" si="2640"/>
        <v>0</v>
      </c>
      <c r="R9128" s="71"/>
      <c r="S9128" s="61"/>
      <c r="T9128" s="71"/>
      <c r="U9128" s="61"/>
      <c r="V9128" s="61"/>
      <c r="W9128" s="61"/>
      <c r="X9128" s="61"/>
      <c r="Y9128" s="61"/>
      <c r="Z9128" s="61"/>
      <c r="AA9128" s="61"/>
      <c r="AB9128" s="61"/>
      <c r="AC9128" s="61"/>
      <c r="AD9128" s="61"/>
      <c r="AE9128" s="61"/>
      <c r="AF9128" s="61"/>
      <c r="AG9128" s="61"/>
      <c r="AH9128" s="61"/>
      <c r="AI9128" s="61"/>
      <c r="AJ9128" s="61"/>
      <c r="AK9128" s="61"/>
      <c r="AL9128" s="61"/>
      <c r="AM9128" s="61"/>
      <c r="AN9128" s="61"/>
      <c r="AO9128" s="61"/>
    </row>
    <row r="9129" spans="1:41" s="136" customFormat="1" ht="31.5" x14ac:dyDescent="0.25">
      <c r="A9129" s="358"/>
      <c r="B9129" s="361"/>
      <c r="C9129" s="373"/>
      <c r="D9129" s="156" t="s">
        <v>112</v>
      </c>
      <c r="E9129" s="156" t="s">
        <v>28</v>
      </c>
      <c r="F9129" s="156" t="s">
        <v>439</v>
      </c>
      <c r="G9129" s="238">
        <f t="shared" ref="G9129:G9131" si="2644">MROUND(H9129*L9129*I9129/K9129,0.000000000001)</f>
        <v>0</v>
      </c>
      <c r="H9129" s="158"/>
      <c r="I9129" s="159">
        <f t="shared" si="2641"/>
        <v>0.36996099999999998</v>
      </c>
      <c r="J9129" s="160"/>
      <c r="K9129" s="161">
        <f t="shared" si="2642"/>
        <v>379080</v>
      </c>
      <c r="L9129" s="250">
        <v>1</v>
      </c>
      <c r="M9129" s="163"/>
      <c r="N9129" s="278"/>
      <c r="O9129" s="280">
        <f t="shared" si="2639"/>
        <v>0</v>
      </c>
      <c r="P9129" s="166"/>
      <c r="Q9129" s="166">
        <f t="shared" si="2640"/>
        <v>0</v>
      </c>
      <c r="R9129" s="71"/>
      <c r="S9129" s="61"/>
      <c r="T9129" s="71"/>
      <c r="U9129" s="61"/>
      <c r="V9129" s="61"/>
      <c r="W9129" s="61"/>
      <c r="X9129" s="61"/>
      <c r="Y9129" s="61"/>
      <c r="Z9129" s="61"/>
      <c r="AA9129" s="61"/>
      <c r="AB9129" s="61"/>
      <c r="AC9129" s="61"/>
      <c r="AD9129" s="61"/>
      <c r="AE9129" s="61"/>
      <c r="AF9129" s="61"/>
      <c r="AG9129" s="61"/>
      <c r="AH9129" s="61"/>
      <c r="AI9129" s="61"/>
      <c r="AJ9129" s="61"/>
      <c r="AK9129" s="61"/>
      <c r="AL9129" s="61"/>
      <c r="AM9129" s="61"/>
      <c r="AN9129" s="61"/>
      <c r="AO9129" s="61"/>
    </row>
    <row r="9130" spans="1:41" s="136" customFormat="1" ht="31.5" x14ac:dyDescent="0.25">
      <c r="A9130" s="358"/>
      <c r="B9130" s="361"/>
      <c r="C9130" s="373"/>
      <c r="D9130" s="156" t="s">
        <v>111</v>
      </c>
      <c r="E9130" s="156" t="s">
        <v>28</v>
      </c>
      <c r="F9130" s="156" t="s">
        <v>439</v>
      </c>
      <c r="G9130" s="238">
        <f t="shared" si="2644"/>
        <v>0</v>
      </c>
      <c r="H9130" s="158"/>
      <c r="I9130" s="159">
        <f t="shared" si="2641"/>
        <v>0.36996099999999998</v>
      </c>
      <c r="J9130" s="160"/>
      <c r="K9130" s="161">
        <f t="shared" si="2642"/>
        <v>379080</v>
      </c>
      <c r="L9130" s="250">
        <v>1</v>
      </c>
      <c r="M9130" s="163"/>
      <c r="N9130" s="278"/>
      <c r="O9130" s="280">
        <f t="shared" si="2639"/>
        <v>0</v>
      </c>
      <c r="P9130" s="166"/>
      <c r="Q9130" s="166">
        <f t="shared" si="2640"/>
        <v>0</v>
      </c>
      <c r="R9130" s="71"/>
      <c r="S9130" s="61"/>
      <c r="T9130" s="71"/>
      <c r="U9130" s="61"/>
      <c r="V9130" s="61"/>
      <c r="W9130" s="61"/>
      <c r="X9130" s="61"/>
      <c r="Y9130" s="61"/>
      <c r="Z9130" s="61"/>
      <c r="AA9130" s="61"/>
      <c r="AB9130" s="61"/>
      <c r="AC9130" s="61"/>
      <c r="AD9130" s="61"/>
      <c r="AE9130" s="61"/>
      <c r="AF9130" s="61"/>
      <c r="AG9130" s="61"/>
      <c r="AH9130" s="61"/>
      <c r="AI9130" s="61"/>
      <c r="AJ9130" s="61"/>
      <c r="AK9130" s="61"/>
      <c r="AL9130" s="61"/>
      <c r="AM9130" s="61"/>
      <c r="AN9130" s="61"/>
      <c r="AO9130" s="61"/>
    </row>
    <row r="9131" spans="1:41" s="136" customFormat="1" ht="31.5" x14ac:dyDescent="0.25">
      <c r="A9131" s="358"/>
      <c r="B9131" s="361"/>
      <c r="C9131" s="374"/>
      <c r="D9131" s="156" t="s">
        <v>438</v>
      </c>
      <c r="E9131" s="156" t="s">
        <v>28</v>
      </c>
      <c r="F9131" s="156" t="s">
        <v>439</v>
      </c>
      <c r="G9131" s="238">
        <f t="shared" si="2644"/>
        <v>0</v>
      </c>
      <c r="H9131" s="158"/>
      <c r="I9131" s="159">
        <f t="shared" si="2641"/>
        <v>0.36996099999999998</v>
      </c>
      <c r="J9131" s="160"/>
      <c r="K9131" s="161">
        <f t="shared" si="2642"/>
        <v>379080</v>
      </c>
      <c r="L9131" s="250">
        <v>1</v>
      </c>
      <c r="M9131" s="163"/>
      <c r="N9131" s="278"/>
      <c r="O9131" s="280">
        <f t="shared" si="2639"/>
        <v>0</v>
      </c>
      <c r="P9131" s="166"/>
      <c r="Q9131" s="166">
        <f t="shared" si="2640"/>
        <v>0</v>
      </c>
      <c r="R9131" s="71"/>
      <c r="S9131" s="61"/>
      <c r="T9131" s="71"/>
      <c r="U9131" s="61"/>
      <c r="V9131" s="61"/>
      <c r="W9131" s="61"/>
      <c r="X9131" s="61"/>
      <c r="Y9131" s="61"/>
      <c r="Z9131" s="61"/>
      <c r="AA9131" s="61"/>
      <c r="AB9131" s="61"/>
      <c r="AC9131" s="61"/>
      <c r="AD9131" s="61"/>
      <c r="AE9131" s="61"/>
      <c r="AF9131" s="61"/>
      <c r="AG9131" s="61"/>
      <c r="AH9131" s="61"/>
      <c r="AI9131" s="61"/>
      <c r="AJ9131" s="61"/>
      <c r="AK9131" s="61"/>
      <c r="AL9131" s="61"/>
      <c r="AM9131" s="61"/>
      <c r="AN9131" s="61"/>
      <c r="AO9131" s="61"/>
    </row>
    <row r="9132" spans="1:41" s="61" customFormat="1" x14ac:dyDescent="0.25">
      <c r="A9132" s="358"/>
      <c r="B9132" s="361"/>
      <c r="C9132" s="245" t="s">
        <v>299</v>
      </c>
      <c r="D9132" s="240"/>
      <c r="E9132" s="240"/>
      <c r="F9132" s="181"/>
      <c r="G9132" s="227"/>
      <c r="H9132" s="241"/>
      <c r="I9132" s="206"/>
      <c r="J9132" s="228"/>
      <c r="K9132" s="207"/>
      <c r="L9132" s="257"/>
      <c r="M9132" s="209"/>
      <c r="N9132" s="290"/>
      <c r="O9132" s="279">
        <f>SUM(O9120:O9131)</f>
        <v>2.7309999999999997E-2</v>
      </c>
      <c r="P9132" s="166"/>
      <c r="Q9132" s="166">
        <f>O9132*K9132</f>
        <v>0</v>
      </c>
      <c r="R9132" s="71"/>
    </row>
    <row r="9133" spans="1:41" s="61" customFormat="1" ht="47.25" x14ac:dyDescent="0.25">
      <c r="A9133" s="358"/>
      <c r="B9133" s="361"/>
      <c r="C9133" s="221" t="s">
        <v>434</v>
      </c>
      <c r="D9133" s="156" t="s">
        <v>436</v>
      </c>
      <c r="E9133" s="156" t="s">
        <v>28</v>
      </c>
      <c r="F9133" s="156" t="s">
        <v>437</v>
      </c>
      <c r="G9133" s="238">
        <f>MROUND(H9133*L9133*I9133/K9133,0.000000000001)</f>
        <v>0</v>
      </c>
      <c r="H9133" s="242">
        <f>$H$2148</f>
        <v>26</v>
      </c>
      <c r="I9133" s="159">
        <f>I9131</f>
        <v>0.36996099999999998</v>
      </c>
      <c r="J9133" s="160"/>
      <c r="K9133" s="161">
        <f>K9131</f>
        <v>379080</v>
      </c>
      <c r="L9133" s="162"/>
      <c r="M9133" s="163"/>
      <c r="N9133" s="164">
        <f>$N$5536</f>
        <v>2280.2800000000002</v>
      </c>
      <c r="O9133" s="165">
        <f>MROUND(G9133*N9133,0.000001)</f>
        <v>0</v>
      </c>
      <c r="P9133" s="166"/>
      <c r="Q9133" s="166">
        <f>O9133*K9133</f>
        <v>0</v>
      </c>
      <c r="R9133" s="71"/>
    </row>
    <row r="9134" spans="1:41" s="61" customFormat="1" x14ac:dyDescent="0.25">
      <c r="A9134" s="358"/>
      <c r="B9134" s="361"/>
      <c r="C9134" s="218" t="s">
        <v>435</v>
      </c>
      <c r="D9134" s="240"/>
      <c r="E9134" s="240"/>
      <c r="F9134" s="240"/>
      <c r="G9134" s="251"/>
      <c r="H9134" s="241"/>
      <c r="I9134" s="206"/>
      <c r="J9134" s="228"/>
      <c r="K9134" s="207"/>
      <c r="L9134" s="229"/>
      <c r="M9134" s="209"/>
      <c r="N9134" s="210"/>
      <c r="O9134" s="198">
        <f>SUM(O9133)</f>
        <v>0</v>
      </c>
      <c r="P9134" s="166"/>
      <c r="Q9134" s="166"/>
      <c r="R9134" s="71"/>
    </row>
    <row r="9135" spans="1:41" s="61" customFormat="1" ht="110.25" x14ac:dyDescent="0.25">
      <c r="A9135" s="358"/>
      <c r="B9135" s="361"/>
      <c r="C9135" s="221" t="s">
        <v>82</v>
      </c>
      <c r="D9135" s="156" t="s">
        <v>46</v>
      </c>
      <c r="E9135" s="156" t="s">
        <v>54</v>
      </c>
      <c r="F9135" s="156" t="s">
        <v>285</v>
      </c>
      <c r="G9135" s="238">
        <f>MROUND(H9135*L9135*I9135/K9135,0.000000000001)</f>
        <v>2.4528436600000001E-3</v>
      </c>
      <c r="H9135" s="158">
        <f>H8927</f>
        <v>228.48206225686181</v>
      </c>
      <c r="I9135" s="291">
        <f>I9121</f>
        <v>0.36996099999999998</v>
      </c>
      <c r="J9135" s="160"/>
      <c r="K9135" s="161">
        <f>K9121</f>
        <v>379080</v>
      </c>
      <c r="L9135" s="250">
        <f>$L$2150</f>
        <v>11</v>
      </c>
      <c r="M9135" s="163" t="str">
        <f>CONCATENATE(H9135," ",F9135,"*",L9135,"автобус","*",I9135,"/",K9135,"чел/час")</f>
        <v>228,482062256862 л бензина АИ 92 (12,5л/день(зимой)*20дней*7мес+10л/день(летом)*20дней*4мес)*11автобус*0,369961/379080чел/час</v>
      </c>
      <c r="N9135" s="278">
        <f>$N$8927</f>
        <v>59.28728000000001</v>
      </c>
      <c r="O9135" s="280">
        <f t="shared" ref="O9135:O9137" si="2645">MROUND(N9135*G9135,0.000001)</f>
        <v>0.145422</v>
      </c>
      <c r="P9135" s="166"/>
      <c r="Q9135" s="166">
        <f>O9135*K9135</f>
        <v>55126.571759999999</v>
      </c>
      <c r="R9135" s="71"/>
    </row>
    <row r="9136" spans="1:41" s="61" customFormat="1" ht="47.25" x14ac:dyDescent="0.25">
      <c r="A9136" s="358"/>
      <c r="B9136" s="361"/>
      <c r="C9136" s="364" t="s">
        <v>118</v>
      </c>
      <c r="D9136" s="156" t="s">
        <v>47</v>
      </c>
      <c r="E9136" s="156" t="s">
        <v>28</v>
      </c>
      <c r="F9136" s="156" t="s">
        <v>239</v>
      </c>
      <c r="G9136" s="238">
        <f>MROUND(H9136*L9136*I9136/K9136,0.000000000001)</f>
        <v>1.9518888000000001E-5</v>
      </c>
      <c r="H9136" s="158">
        <f>H8928</f>
        <v>20</v>
      </c>
      <c r="I9136" s="159">
        <f>I9135</f>
        <v>0.36996099999999998</v>
      </c>
      <c r="J9136" s="160"/>
      <c r="K9136" s="161">
        <f>K9135</f>
        <v>379080</v>
      </c>
      <c r="L9136" s="250">
        <v>1</v>
      </c>
      <c r="M9136" s="163" t="str">
        <f>CONCATENATE(H9136," ",F9136,"*",I9136,"/",K9136,"чел/час")</f>
        <v>20 манометров (потребность учреждений) *0,369961/379080чел/час</v>
      </c>
      <c r="N9136" s="278">
        <f>N8928</f>
        <v>707.09500000000003</v>
      </c>
      <c r="O9136" s="280">
        <f t="shared" si="2645"/>
        <v>1.3802E-2</v>
      </c>
      <c r="P9136" s="166"/>
      <c r="Q9136" s="166">
        <f>O9136*K9136</f>
        <v>5232.0621600000004</v>
      </c>
      <c r="R9136" s="71"/>
    </row>
    <row r="9137" spans="1:41" s="61" customFormat="1" ht="47.25" x14ac:dyDescent="0.25">
      <c r="A9137" s="358"/>
      <c r="B9137" s="361"/>
      <c r="C9137" s="364"/>
      <c r="D9137" s="255" t="s">
        <v>113</v>
      </c>
      <c r="E9137" s="156" t="s">
        <v>28</v>
      </c>
      <c r="F9137" s="156" t="s">
        <v>240</v>
      </c>
      <c r="G9137" s="238">
        <f>MROUND(H9137*L9137*I9137/K9137,0.000000000001)</f>
        <v>9.7594438999999995E-5</v>
      </c>
      <c r="H9137" s="158">
        <v>100</v>
      </c>
      <c r="I9137" s="159">
        <f>I9136</f>
        <v>0.36996099999999998</v>
      </c>
      <c r="J9137" s="160"/>
      <c r="K9137" s="161">
        <f>K9136</f>
        <v>379080</v>
      </c>
      <c r="L9137" s="250">
        <v>1</v>
      </c>
      <c r="M9137" s="163" t="str">
        <f>CONCATENATE(H9137," ",F9137,"*",I9137,"/",K9137,"чел/час")</f>
        <v>100 светильников (потребность учреждений)*0,369961/379080чел/час</v>
      </c>
      <c r="N9137" s="278">
        <f>N8929</f>
        <v>115.61000000000001</v>
      </c>
      <c r="O9137" s="280">
        <f t="shared" si="2645"/>
        <v>1.1283E-2</v>
      </c>
      <c r="P9137" s="166"/>
      <c r="Q9137" s="166">
        <f>O9137*K9137</f>
        <v>4277.1596399999999</v>
      </c>
      <c r="R9137" s="71"/>
    </row>
    <row r="9138" spans="1:41" s="109" customFormat="1" x14ac:dyDescent="0.25">
      <c r="A9138" s="359"/>
      <c r="B9138" s="362"/>
      <c r="C9138" s="218" t="s">
        <v>301</v>
      </c>
      <c r="D9138" s="256"/>
      <c r="E9138" s="240"/>
      <c r="F9138" s="240"/>
      <c r="G9138" s="227"/>
      <c r="H9138" s="241"/>
      <c r="I9138" s="206"/>
      <c r="J9138" s="228"/>
      <c r="K9138" s="207"/>
      <c r="L9138" s="257"/>
      <c r="M9138" s="209"/>
      <c r="N9138" s="281"/>
      <c r="O9138" s="279">
        <f>O9136+O9137</f>
        <v>2.5085E-2</v>
      </c>
      <c r="P9138" s="267"/>
      <c r="Q9138" s="166"/>
      <c r="R9138" s="71"/>
      <c r="S9138" s="62"/>
      <c r="T9138" s="62"/>
      <c r="U9138" s="62"/>
      <c r="V9138" s="62"/>
      <c r="W9138" s="62"/>
      <c r="X9138" s="62"/>
      <c r="Y9138" s="62"/>
      <c r="Z9138" s="62"/>
      <c r="AA9138" s="62"/>
      <c r="AB9138" s="62"/>
      <c r="AC9138" s="62"/>
      <c r="AD9138" s="62"/>
      <c r="AE9138" s="62"/>
      <c r="AF9138" s="62"/>
      <c r="AG9138" s="62"/>
      <c r="AH9138" s="62"/>
      <c r="AI9138" s="62"/>
      <c r="AJ9138" s="62"/>
      <c r="AK9138" s="62"/>
      <c r="AL9138" s="62"/>
      <c r="AM9138" s="62"/>
      <c r="AN9138" s="62"/>
      <c r="AO9138" s="62"/>
    </row>
    <row r="9139" spans="1:41" s="108" customFormat="1" x14ac:dyDescent="0.25">
      <c r="A9139" s="357" t="str">
        <f>школы!$B$35</f>
        <v>Реализация дополнительных общеразвивающих программ (туристско-краеведческая направленность)</v>
      </c>
      <c r="B9139" s="360" t="str">
        <f>школы!$A$35</f>
        <v>801012О.99.0.ББ57АЖ00000</v>
      </c>
      <c r="C9139" s="194"/>
      <c r="D9139" s="363" t="s">
        <v>15</v>
      </c>
      <c r="E9139" s="363"/>
      <c r="F9139" s="363"/>
      <c r="G9139" s="363"/>
      <c r="H9139" s="195"/>
      <c r="I9139" s="195"/>
      <c r="J9139" s="195"/>
      <c r="K9139" s="195"/>
      <c r="L9139" s="196"/>
      <c r="M9139" s="197"/>
      <c r="N9139" s="278"/>
      <c r="O9139" s="279">
        <f>O9140+O9144</f>
        <v>161.61803999789998</v>
      </c>
      <c r="P9139" s="166"/>
      <c r="Q9139" s="166">
        <f t="shared" ref="Q9139:Q9156" si="2646">O9139*K9139</f>
        <v>0</v>
      </c>
      <c r="R9139" s="71"/>
      <c r="S9139" s="61"/>
      <c r="T9139" s="61"/>
      <c r="U9139" s="61"/>
      <c r="V9139" s="61"/>
      <c r="W9139" s="61"/>
      <c r="X9139" s="61"/>
      <c r="Y9139" s="61"/>
      <c r="Z9139" s="61"/>
      <c r="AA9139" s="61"/>
      <c r="AB9139" s="61"/>
      <c r="AC9139" s="61"/>
      <c r="AD9139" s="61"/>
      <c r="AE9139" s="61"/>
      <c r="AF9139" s="61"/>
      <c r="AG9139" s="61"/>
      <c r="AH9139" s="61"/>
      <c r="AI9139" s="61"/>
      <c r="AJ9139" s="61"/>
      <c r="AK9139" s="61"/>
      <c r="AL9139" s="61"/>
      <c r="AM9139" s="61"/>
      <c r="AN9139" s="61"/>
      <c r="AO9139" s="61"/>
    </row>
    <row r="9140" spans="1:41" s="108" customFormat="1" x14ac:dyDescent="0.25">
      <c r="A9140" s="358"/>
      <c r="B9140" s="361"/>
      <c r="C9140" s="194"/>
      <c r="D9140" s="350" t="s">
        <v>62</v>
      </c>
      <c r="E9140" s="350"/>
      <c r="F9140" s="350"/>
      <c r="G9140" s="350"/>
      <c r="H9140" s="195"/>
      <c r="I9140" s="195"/>
      <c r="J9140" s="195"/>
      <c r="K9140" s="195"/>
      <c r="L9140" s="196"/>
      <c r="M9140" s="197"/>
      <c r="N9140" s="278"/>
      <c r="O9140" s="279">
        <f>O9141+O9142</f>
        <v>160.57237899789999</v>
      </c>
      <c r="P9140" s="166"/>
      <c r="Q9140" s="166">
        <f t="shared" si="2646"/>
        <v>0</v>
      </c>
      <c r="R9140" s="71"/>
      <c r="S9140" s="61"/>
      <c r="T9140" s="61"/>
      <c r="U9140" s="61"/>
      <c r="V9140" s="61"/>
      <c r="W9140" s="61"/>
      <c r="X9140" s="61"/>
      <c r="Y9140" s="61"/>
      <c r="Z9140" s="61"/>
      <c r="AA9140" s="61"/>
      <c r="AB9140" s="61"/>
      <c r="AC9140" s="61"/>
      <c r="AD9140" s="61"/>
      <c r="AE9140" s="61"/>
      <c r="AF9140" s="61"/>
      <c r="AG9140" s="61"/>
      <c r="AH9140" s="61"/>
      <c r="AI9140" s="61"/>
      <c r="AJ9140" s="61"/>
      <c r="AK9140" s="61"/>
      <c r="AL9140" s="61"/>
      <c r="AM9140" s="61"/>
      <c r="AN9140" s="61"/>
      <c r="AO9140" s="61"/>
    </row>
    <row r="9141" spans="1:41" s="61" customFormat="1" ht="31.5" x14ac:dyDescent="0.25">
      <c r="A9141" s="358"/>
      <c r="B9141" s="361"/>
      <c r="C9141" s="194">
        <v>211</v>
      </c>
      <c r="D9141" s="194" t="s">
        <v>86</v>
      </c>
      <c r="E9141" s="199" t="s">
        <v>95</v>
      </c>
      <c r="F9141" s="199" t="s">
        <v>95</v>
      </c>
      <c r="G9141" s="238">
        <f>MROUND(H9141*L9141*I9141/K9141,0.000000000001)</f>
        <v>5.2031752579999998E-3</v>
      </c>
      <c r="H9141" s="201">
        <f>H8829</f>
        <v>368.4</v>
      </c>
      <c r="I9141" s="159">
        <f>школы!$K$35</f>
        <v>1.644E-2</v>
      </c>
      <c r="J9141" s="159"/>
      <c r="K9141" s="161">
        <f>школы!$G$35</f>
        <v>13968</v>
      </c>
      <c r="L9141" s="202">
        <v>12</v>
      </c>
      <c r="M9141" s="163" t="str">
        <f>CONCATENATE(H9141," ",F9141," ","в мес.","*",L9141,"мес.","*",I9141,"/",K9141,"чел/час")</f>
        <v>368,4 шт.ед в мес.*12мес.*0,01644/13968чел/час</v>
      </c>
      <c r="N9141" s="278">
        <f>N8829</f>
        <v>23702.349798678973</v>
      </c>
      <c r="O9141" s="280">
        <f>MROUND(N9141*G9141,0.0000000001)</f>
        <v>123.3274800289</v>
      </c>
      <c r="P9141" s="166"/>
      <c r="Q9141" s="166">
        <f t="shared" si="2646"/>
        <v>1722638.2410436752</v>
      </c>
      <c r="R9141" s="71"/>
    </row>
    <row r="9142" spans="1:41" s="61" customFormat="1" x14ac:dyDescent="0.25">
      <c r="A9142" s="358"/>
      <c r="B9142" s="361"/>
      <c r="C9142" s="194">
        <v>213</v>
      </c>
      <c r="D9142" s="194" t="s">
        <v>87</v>
      </c>
      <c r="E9142" s="194" t="s">
        <v>88</v>
      </c>
      <c r="F9142" s="194"/>
      <c r="G9142" s="211">
        <v>30.2</v>
      </c>
      <c r="H9142" s="159"/>
      <c r="I9142" s="282">
        <f>I9141</f>
        <v>1.644E-2</v>
      </c>
      <c r="J9142" s="159"/>
      <c r="K9142" s="161">
        <f>K9141</f>
        <v>13968</v>
      </c>
      <c r="L9142" s="202"/>
      <c r="M9142" s="212"/>
      <c r="N9142" s="278"/>
      <c r="O9142" s="280">
        <f>MROUND(O9141*0.302,0.000000001)</f>
        <v>37.244898969000005</v>
      </c>
      <c r="P9142" s="166"/>
      <c r="Q9142" s="166">
        <f t="shared" si="2646"/>
        <v>520236.74879899208</v>
      </c>
      <c r="R9142" s="71"/>
    </row>
    <row r="9143" spans="1:41" s="108" customFormat="1" x14ac:dyDescent="0.25">
      <c r="A9143" s="358"/>
      <c r="B9143" s="361"/>
      <c r="C9143" s="194"/>
      <c r="D9143" s="194"/>
      <c r="E9143" s="194"/>
      <c r="F9143" s="194"/>
      <c r="G9143" s="217"/>
      <c r="H9143" s="195"/>
      <c r="I9143" s="159"/>
      <c r="J9143" s="195"/>
      <c r="K9143" s="161"/>
      <c r="L9143" s="196"/>
      <c r="M9143" s="197"/>
      <c r="N9143" s="278"/>
      <c r="O9143" s="280"/>
      <c r="P9143" s="166"/>
      <c r="Q9143" s="166">
        <f t="shared" si="2646"/>
        <v>0</v>
      </c>
      <c r="R9143" s="71"/>
      <c r="S9143" s="61"/>
      <c r="T9143" s="61"/>
      <c r="U9143" s="61"/>
      <c r="V9143" s="61"/>
      <c r="W9143" s="61"/>
      <c r="X9143" s="61"/>
      <c r="Y9143" s="61"/>
      <c r="Z9143" s="61"/>
      <c r="AA9143" s="61"/>
      <c r="AB9143" s="61"/>
      <c r="AC9143" s="61"/>
      <c r="AD9143" s="61"/>
      <c r="AE9143" s="61"/>
      <c r="AF9143" s="61"/>
      <c r="AG9143" s="61"/>
      <c r="AH9143" s="61"/>
      <c r="AI9143" s="61"/>
      <c r="AJ9143" s="61"/>
      <c r="AK9143" s="61"/>
      <c r="AL9143" s="61"/>
      <c r="AM9143" s="61"/>
      <c r="AN9143" s="61"/>
      <c r="AO9143" s="61"/>
    </row>
    <row r="9144" spans="1:41" s="108" customFormat="1" x14ac:dyDescent="0.25">
      <c r="A9144" s="358"/>
      <c r="B9144" s="361"/>
      <c r="C9144" s="194"/>
      <c r="D9144" s="356" t="s">
        <v>63</v>
      </c>
      <c r="E9144" s="356"/>
      <c r="F9144" s="356"/>
      <c r="G9144" s="356"/>
      <c r="H9144" s="195"/>
      <c r="I9144" s="159"/>
      <c r="J9144" s="195"/>
      <c r="K9144" s="161"/>
      <c r="L9144" s="196"/>
      <c r="M9144" s="197"/>
      <c r="N9144" s="278"/>
      <c r="O9144" s="280">
        <f>O9145</f>
        <v>1.045661</v>
      </c>
      <c r="P9144" s="166"/>
      <c r="Q9144" s="166">
        <f t="shared" si="2646"/>
        <v>0</v>
      </c>
      <c r="R9144" s="71"/>
      <c r="S9144" s="61"/>
      <c r="T9144" s="61"/>
      <c r="U9144" s="61"/>
      <c r="V9144" s="61"/>
      <c r="W9144" s="61"/>
      <c r="X9144" s="61"/>
      <c r="Y9144" s="61"/>
      <c r="Z9144" s="61"/>
      <c r="AA9144" s="61"/>
      <c r="AB9144" s="61"/>
      <c r="AC9144" s="61"/>
      <c r="AD9144" s="61"/>
      <c r="AE9144" s="61"/>
      <c r="AF9144" s="61"/>
      <c r="AG9144" s="61"/>
      <c r="AH9144" s="61"/>
      <c r="AI9144" s="61"/>
      <c r="AJ9144" s="61"/>
      <c r="AK9144" s="61"/>
      <c r="AL9144" s="61"/>
      <c r="AM9144" s="61"/>
      <c r="AN9144" s="61"/>
      <c r="AO9144" s="61"/>
    </row>
    <row r="9145" spans="1:41" s="61" customFormat="1" x14ac:dyDescent="0.25">
      <c r="A9145" s="358"/>
      <c r="B9145" s="361"/>
      <c r="C9145" s="194">
        <v>346</v>
      </c>
      <c r="D9145" s="194" t="s">
        <v>259</v>
      </c>
      <c r="E9145" s="194" t="s">
        <v>260</v>
      </c>
      <c r="F9145" s="194" t="s">
        <v>261</v>
      </c>
      <c r="G9145" s="238">
        <f>MROUND(H9145*L9145*I9145/K9145,0.000000000001)</f>
        <v>1.426494845E-3</v>
      </c>
      <c r="H9145" s="283">
        <f>H8834</f>
        <v>1212</v>
      </c>
      <c r="I9145" s="282">
        <f>I9142</f>
        <v>1.644E-2</v>
      </c>
      <c r="J9145" s="195"/>
      <c r="K9145" s="161">
        <f>K9142</f>
        <v>13968</v>
      </c>
      <c r="L9145" s="196">
        <v>1</v>
      </c>
      <c r="M9145" s="163" t="str">
        <f>CONCATENATE(H9145," ",F9145,"*",I9145,"/",K9145,"чел/час")</f>
        <v>1212 упаковок*0,01644/13968чел/час</v>
      </c>
      <c r="N9145" s="278">
        <f>N8834</f>
        <v>733.02792904290436</v>
      </c>
      <c r="O9145" s="280">
        <f>MROUND(N9145*G9145,0.000001)</f>
        <v>1.045661</v>
      </c>
      <c r="P9145" s="166"/>
      <c r="Q9145" s="166">
        <f t="shared" si="2646"/>
        <v>14605.792847999999</v>
      </c>
      <c r="R9145" s="71"/>
    </row>
    <row r="9146" spans="1:41" s="108" customFormat="1" x14ac:dyDescent="0.25">
      <c r="A9146" s="358"/>
      <c r="B9146" s="361"/>
      <c r="C9146" s="194"/>
      <c r="D9146" s="350" t="s">
        <v>64</v>
      </c>
      <c r="E9146" s="350"/>
      <c r="F9146" s="350"/>
      <c r="G9146" s="350"/>
      <c r="H9146" s="195"/>
      <c r="I9146" s="159"/>
      <c r="J9146" s="195"/>
      <c r="K9146" s="161"/>
      <c r="L9146" s="196"/>
      <c r="M9146" s="197"/>
      <c r="N9146" s="278"/>
      <c r="O9146" s="280"/>
      <c r="P9146" s="166"/>
      <c r="Q9146" s="166">
        <f t="shared" si="2646"/>
        <v>0</v>
      </c>
      <c r="R9146" s="71"/>
      <c r="S9146" s="61"/>
      <c r="T9146" s="61"/>
      <c r="U9146" s="61"/>
      <c r="V9146" s="61"/>
      <c r="W9146" s="61"/>
      <c r="X9146" s="61"/>
      <c r="Y9146" s="61"/>
      <c r="Z9146" s="61"/>
      <c r="AA9146" s="61"/>
      <c r="AB9146" s="61"/>
      <c r="AC9146" s="61"/>
      <c r="AD9146" s="61"/>
      <c r="AE9146" s="61"/>
      <c r="AF9146" s="61"/>
      <c r="AG9146" s="61"/>
      <c r="AH9146" s="61"/>
      <c r="AI9146" s="61"/>
      <c r="AJ9146" s="61"/>
      <c r="AK9146" s="61"/>
      <c r="AL9146" s="61"/>
      <c r="AM9146" s="61"/>
      <c r="AN9146" s="61"/>
      <c r="AO9146" s="61"/>
    </row>
    <row r="9147" spans="1:41" s="108" customFormat="1" x14ac:dyDescent="0.25">
      <c r="A9147" s="358"/>
      <c r="B9147" s="361"/>
      <c r="C9147" s="194"/>
      <c r="D9147" s="194"/>
      <c r="E9147" s="194"/>
      <c r="F9147" s="194"/>
      <c r="G9147" s="217"/>
      <c r="H9147" s="195"/>
      <c r="I9147" s="159"/>
      <c r="J9147" s="195"/>
      <c r="K9147" s="161"/>
      <c r="L9147" s="196"/>
      <c r="M9147" s="197"/>
      <c r="N9147" s="278"/>
      <c r="O9147" s="280"/>
      <c r="P9147" s="166"/>
      <c r="Q9147" s="166">
        <f t="shared" si="2646"/>
        <v>0</v>
      </c>
      <c r="R9147" s="71"/>
      <c r="S9147" s="61"/>
      <c r="T9147" s="61"/>
      <c r="U9147" s="61"/>
      <c r="V9147" s="61"/>
      <c r="W9147" s="61"/>
      <c r="X9147" s="61"/>
      <c r="Y9147" s="61"/>
      <c r="Z9147" s="61"/>
      <c r="AA9147" s="61"/>
      <c r="AB9147" s="61"/>
      <c r="AC9147" s="61"/>
      <c r="AD9147" s="61"/>
      <c r="AE9147" s="61"/>
      <c r="AF9147" s="61"/>
      <c r="AG9147" s="61"/>
      <c r="AH9147" s="61"/>
      <c r="AI9147" s="61"/>
      <c r="AJ9147" s="61"/>
      <c r="AK9147" s="61"/>
      <c r="AL9147" s="61"/>
      <c r="AM9147" s="61"/>
      <c r="AN9147" s="61"/>
      <c r="AO9147" s="61"/>
    </row>
    <row r="9148" spans="1:41" s="108" customFormat="1" x14ac:dyDescent="0.25">
      <c r="A9148" s="358"/>
      <c r="B9148" s="361"/>
      <c r="C9148" s="194"/>
      <c r="D9148" s="355" t="s">
        <v>5</v>
      </c>
      <c r="E9148" s="355"/>
      <c r="F9148" s="355"/>
      <c r="G9148" s="355"/>
      <c r="H9148" s="195"/>
      <c r="I9148" s="159"/>
      <c r="J9148" s="195"/>
      <c r="K9148" s="161"/>
      <c r="L9148" s="196"/>
      <c r="M9148" s="197"/>
      <c r="N9148" s="278"/>
      <c r="O9148" s="279">
        <f>O9149+O9158+O9169+O9171+O9182+O9178</f>
        <v>27.317343040000004</v>
      </c>
      <c r="P9148" s="166"/>
      <c r="Q9148" s="166">
        <f t="shared" si="2646"/>
        <v>0</v>
      </c>
      <c r="R9148" s="71"/>
      <c r="S9148" s="61"/>
      <c r="T9148" s="61"/>
      <c r="U9148" s="61"/>
      <c r="V9148" s="61"/>
      <c r="W9148" s="61"/>
      <c r="X9148" s="61"/>
      <c r="Y9148" s="61"/>
      <c r="Z9148" s="61"/>
      <c r="AA9148" s="61"/>
      <c r="AB9148" s="61"/>
      <c r="AC9148" s="61"/>
      <c r="AD9148" s="61"/>
      <c r="AE9148" s="61"/>
      <c r="AF9148" s="61"/>
      <c r="AG9148" s="61"/>
      <c r="AH9148" s="61"/>
      <c r="AI9148" s="61"/>
      <c r="AJ9148" s="61"/>
      <c r="AK9148" s="61"/>
      <c r="AL9148" s="61"/>
      <c r="AM9148" s="61"/>
      <c r="AN9148" s="61"/>
      <c r="AO9148" s="61"/>
    </row>
    <row r="9149" spans="1:41" s="108" customFormat="1" x14ac:dyDescent="0.25">
      <c r="A9149" s="358"/>
      <c r="B9149" s="361"/>
      <c r="C9149" s="221" t="s">
        <v>70</v>
      </c>
      <c r="D9149" s="355" t="s">
        <v>6</v>
      </c>
      <c r="E9149" s="355"/>
      <c r="F9149" s="355"/>
      <c r="G9149" s="355"/>
      <c r="H9149" s="189"/>
      <c r="I9149" s="159"/>
      <c r="J9149" s="189"/>
      <c r="K9149" s="161"/>
      <c r="L9149" s="190"/>
      <c r="M9149" s="197"/>
      <c r="N9149" s="278"/>
      <c r="O9149" s="279">
        <f>O9150+O9151+O9152+O9153+O9154+O9155+O9156</f>
        <v>7.8267830000000007</v>
      </c>
      <c r="P9149" s="166"/>
      <c r="Q9149" s="166">
        <f t="shared" si="2646"/>
        <v>0</v>
      </c>
      <c r="R9149" s="71"/>
      <c r="S9149" s="61"/>
      <c r="T9149" s="61"/>
      <c r="U9149" s="61"/>
      <c r="V9149" s="61"/>
      <c r="W9149" s="61"/>
      <c r="X9149" s="61"/>
      <c r="Y9149" s="61"/>
      <c r="Z9149" s="61"/>
      <c r="AA9149" s="61"/>
      <c r="AB9149" s="61"/>
      <c r="AC9149" s="61"/>
      <c r="AD9149" s="61"/>
      <c r="AE9149" s="61"/>
      <c r="AF9149" s="61"/>
      <c r="AG9149" s="61"/>
      <c r="AH9149" s="61"/>
      <c r="AI9149" s="61"/>
      <c r="AJ9149" s="61"/>
      <c r="AK9149" s="61"/>
      <c r="AL9149" s="61"/>
      <c r="AM9149" s="61"/>
      <c r="AN9149" s="61"/>
      <c r="AO9149" s="61"/>
    </row>
    <row r="9150" spans="1:41" s="61" customFormat="1" ht="31.5" x14ac:dyDescent="0.25">
      <c r="A9150" s="358"/>
      <c r="B9150" s="361"/>
      <c r="C9150" s="221" t="s">
        <v>72</v>
      </c>
      <c r="D9150" s="222" t="s">
        <v>7</v>
      </c>
      <c r="E9150" s="223" t="s">
        <v>8</v>
      </c>
      <c r="F9150" s="223" t="s">
        <v>8</v>
      </c>
      <c r="G9150" s="238">
        <f t="shared" ref="G9150:G9156" si="2647">MROUND(H9150*L9150*I9150/K9150,0.000000000001)</f>
        <v>0.13306906165599999</v>
      </c>
      <c r="H9150" s="160">
        <f>H8840</f>
        <v>113060.13705633247</v>
      </c>
      <c r="I9150" s="282">
        <f>I9142</f>
        <v>1.644E-2</v>
      </c>
      <c r="J9150" s="160"/>
      <c r="K9150" s="161">
        <f>K9142</f>
        <v>13968</v>
      </c>
      <c r="L9150" s="250">
        <v>1</v>
      </c>
      <c r="M9150" s="163" t="str">
        <f>CONCATENATE(H9150," ",F9150,"(лимиты выделенные УЖКХ) ","*",I9150,"/",K9150,"чел/час")</f>
        <v>113060,137056332 кВт час.(лимиты выделенные УЖКХ) *0,01644/13968чел/час</v>
      </c>
      <c r="N9150" s="278">
        <f>N8840</f>
        <v>11.38065575985371</v>
      </c>
      <c r="O9150" s="280">
        <f>MROUND(N9150*G9150,0.000001)</f>
        <v>1.514413</v>
      </c>
      <c r="P9150" s="166"/>
      <c r="Q9150" s="166">
        <f t="shared" si="2646"/>
        <v>21153.320784</v>
      </c>
      <c r="R9150" s="71"/>
    </row>
    <row r="9151" spans="1:41" s="61" customFormat="1" ht="31.5" x14ac:dyDescent="0.25">
      <c r="A9151" s="358"/>
      <c r="B9151" s="361"/>
      <c r="C9151" s="221" t="s">
        <v>73</v>
      </c>
      <c r="D9151" s="222" t="s">
        <v>9</v>
      </c>
      <c r="E9151" s="223" t="s">
        <v>10</v>
      </c>
      <c r="F9151" s="223" t="s">
        <v>10</v>
      </c>
      <c r="G9151" s="238">
        <f t="shared" si="2647"/>
        <v>1.6407044669999999E-3</v>
      </c>
      <c r="H9151" s="160">
        <f>H8841</f>
        <v>1394</v>
      </c>
      <c r="I9151" s="159">
        <f t="shared" ref="I9151:I9156" si="2648">I9150</f>
        <v>1.644E-2</v>
      </c>
      <c r="J9151" s="160"/>
      <c r="K9151" s="161">
        <f t="shared" ref="K9151:K9156" si="2649">K9150</f>
        <v>13968</v>
      </c>
      <c r="L9151" s="250">
        <v>1</v>
      </c>
      <c r="M9151" s="163" t="str">
        <f>CONCATENATE(H9151," ",F9151,"(лимиты выделенные УЖКХ) ","*",I9151,"/",K9151,"чел/час")</f>
        <v>1394 Гкал(лимиты выделенные УЖКХ) *0,01644/13968чел/час</v>
      </c>
      <c r="N9151" s="278">
        <f>N8945</f>
        <v>3095.3018579626978</v>
      </c>
      <c r="O9151" s="280">
        <f t="shared" ref="O9151:O9156" si="2650">MROUND(N9151*G9151,0.000001)</f>
        <v>5.0784760000000002</v>
      </c>
      <c r="P9151" s="166"/>
      <c r="Q9151" s="166">
        <f t="shared" si="2646"/>
        <v>70936.152768</v>
      </c>
      <c r="R9151" s="71"/>
    </row>
    <row r="9152" spans="1:41" s="61" customFormat="1" ht="31.5" x14ac:dyDescent="0.25">
      <c r="A9152" s="358"/>
      <c r="B9152" s="361"/>
      <c r="C9152" s="364" t="s">
        <v>74</v>
      </c>
      <c r="D9152" s="222" t="s">
        <v>12</v>
      </c>
      <c r="E9152" s="222" t="s">
        <v>11</v>
      </c>
      <c r="F9152" s="222" t="s">
        <v>11</v>
      </c>
      <c r="G9152" s="238">
        <f t="shared" si="2647"/>
        <v>4.7562892609999997E-3</v>
      </c>
      <c r="H9152" s="224">
        <f>H8842</f>
        <v>4041.1099999999997</v>
      </c>
      <c r="I9152" s="159">
        <f t="shared" si="2648"/>
        <v>1.644E-2</v>
      </c>
      <c r="J9152" s="160"/>
      <c r="K9152" s="161">
        <f t="shared" si="2649"/>
        <v>13968</v>
      </c>
      <c r="L9152" s="250">
        <v>1</v>
      </c>
      <c r="M9152" s="163" t="str">
        <f>CONCATENATE(H9152," ",F9152,"(лимиты выделенные УЖКХ) ","*",I9152,"/",K9152,"чел/час")</f>
        <v>4041,11 м3(лимиты выделенные УЖКХ) *0,01644/13968чел/час</v>
      </c>
      <c r="N9152" s="278">
        <f>N8842</f>
        <v>56.382747190747111</v>
      </c>
      <c r="O9152" s="280">
        <f t="shared" si="2650"/>
        <v>0.26817299999999999</v>
      </c>
      <c r="P9152" s="166"/>
      <c r="Q9152" s="166">
        <f t="shared" si="2646"/>
        <v>3745.8404639999999</v>
      </c>
      <c r="R9152" s="71"/>
    </row>
    <row r="9153" spans="1:41" s="61" customFormat="1" ht="47.25" x14ac:dyDescent="0.25">
      <c r="A9153" s="358"/>
      <c r="B9153" s="361"/>
      <c r="C9153" s="364"/>
      <c r="D9153" s="222" t="s">
        <v>17</v>
      </c>
      <c r="E9153" s="222" t="s">
        <v>11</v>
      </c>
      <c r="F9153" s="222" t="s">
        <v>11</v>
      </c>
      <c r="G9153" s="238">
        <f t="shared" si="2647"/>
        <v>4.7562892609999997E-3</v>
      </c>
      <c r="H9153" s="160">
        <f>H8947</f>
        <v>4041.1099999999997</v>
      </c>
      <c r="I9153" s="159">
        <f t="shared" si="2648"/>
        <v>1.644E-2</v>
      </c>
      <c r="J9153" s="160"/>
      <c r="K9153" s="161">
        <f t="shared" si="2649"/>
        <v>13968</v>
      </c>
      <c r="L9153" s="162">
        <f>$L$8843</f>
        <v>1</v>
      </c>
      <c r="M9153" s="163" t="str">
        <f>CONCATENATE(H9153," ",F9153,"(лимиты выделенные УЖКХ) ","*",I9153,"/",K9153,"чел/час")</f>
        <v>4041,11 м3(лимиты выделенные УЖКХ) *0,01644/13968чел/час</v>
      </c>
      <c r="N9153" s="164">
        <f>N8843</f>
        <v>85.679537612054801</v>
      </c>
      <c r="O9153" s="280">
        <f t="shared" si="2650"/>
        <v>0.40751699999999996</v>
      </c>
      <c r="P9153" s="166"/>
      <c r="Q9153" s="166">
        <f t="shared" si="2646"/>
        <v>5692.1974559999999</v>
      </c>
      <c r="R9153" s="71"/>
    </row>
    <row r="9154" spans="1:41" s="61" customFormat="1" ht="31.5" x14ac:dyDescent="0.25">
      <c r="A9154" s="358"/>
      <c r="B9154" s="361"/>
      <c r="C9154" s="364"/>
      <c r="D9154" s="222" t="s">
        <v>13</v>
      </c>
      <c r="E9154" s="222" t="s">
        <v>11</v>
      </c>
      <c r="F9154" s="222" t="s">
        <v>11</v>
      </c>
      <c r="G9154" s="238">
        <f t="shared" si="2647"/>
        <v>4.7562892609999997E-3</v>
      </c>
      <c r="H9154" s="160">
        <f>H8844</f>
        <v>4041.1099999999997</v>
      </c>
      <c r="I9154" s="159">
        <f t="shared" si="2648"/>
        <v>1.644E-2</v>
      </c>
      <c r="J9154" s="160"/>
      <c r="K9154" s="161">
        <f t="shared" si="2649"/>
        <v>13968</v>
      </c>
      <c r="L9154" s="162">
        <v>1</v>
      </c>
      <c r="M9154" s="163" t="str">
        <f>CONCATENATE(H9154," ",F9154,"(лимиты выделенные УЖКХ) ","*",I9154,"/",K9154,"чел/час")</f>
        <v>4041,11 м3(лимиты выделенные УЖКХ) *0,01644/13968чел/час</v>
      </c>
      <c r="N9154" s="278">
        <f>N8844</f>
        <v>104.62845363292494</v>
      </c>
      <c r="O9154" s="280">
        <f t="shared" si="2650"/>
        <v>0.497643</v>
      </c>
      <c r="P9154" s="166"/>
      <c r="Q9154" s="166">
        <f t="shared" si="2646"/>
        <v>6951.0774240000001</v>
      </c>
      <c r="R9154" s="71"/>
    </row>
    <row r="9155" spans="1:41" s="61" customFormat="1" x14ac:dyDescent="0.25">
      <c r="A9155" s="358"/>
      <c r="B9155" s="361"/>
      <c r="C9155" s="364" t="s">
        <v>216</v>
      </c>
      <c r="D9155" s="222" t="s">
        <v>23</v>
      </c>
      <c r="E9155" s="222" t="s">
        <v>11</v>
      </c>
      <c r="F9155" s="222" t="s">
        <v>11</v>
      </c>
      <c r="G9155" s="238">
        <f t="shared" si="2647"/>
        <v>2.9400859E-5</v>
      </c>
      <c r="H9155" s="160">
        <f>H8845</f>
        <v>24.979999999999997</v>
      </c>
      <c r="I9155" s="159">
        <f t="shared" si="2648"/>
        <v>1.644E-2</v>
      </c>
      <c r="J9155" s="160"/>
      <c r="K9155" s="161">
        <f t="shared" si="2649"/>
        <v>13968</v>
      </c>
      <c r="L9155" s="162">
        <v>1</v>
      </c>
      <c r="M9155" s="163" t="str">
        <f>CONCATENATE(H9155," ",F9155," ","*",I9155,"/",K9155,"чел/час")</f>
        <v>24,98 м3 *0,01644/13968чел/час</v>
      </c>
      <c r="N9155" s="164">
        <f>N8845</f>
        <v>807.4099279423541</v>
      </c>
      <c r="O9155" s="280">
        <f t="shared" si="2650"/>
        <v>2.3739E-2</v>
      </c>
      <c r="P9155" s="166"/>
      <c r="Q9155" s="166">
        <f t="shared" si="2646"/>
        <v>331.58635199999998</v>
      </c>
      <c r="R9155" s="71"/>
    </row>
    <row r="9156" spans="1:41" s="61" customFormat="1" ht="63" x14ac:dyDescent="0.25">
      <c r="A9156" s="358"/>
      <c r="B9156" s="361"/>
      <c r="C9156" s="364"/>
      <c r="D9156" s="222" t="s">
        <v>24</v>
      </c>
      <c r="E9156" s="222" t="s">
        <v>25</v>
      </c>
      <c r="F9156" s="222" t="s">
        <v>248</v>
      </c>
      <c r="G9156" s="238">
        <f t="shared" si="2647"/>
        <v>5.8848799999999996E-6</v>
      </c>
      <c r="H9156" s="160">
        <f>H8846</f>
        <v>5</v>
      </c>
      <c r="I9156" s="159">
        <f t="shared" si="2648"/>
        <v>1.644E-2</v>
      </c>
      <c r="J9156" s="160"/>
      <c r="K9156" s="161">
        <f t="shared" si="2649"/>
        <v>13968</v>
      </c>
      <c r="L9156" s="250">
        <v>1</v>
      </c>
      <c r="M9156" s="163" t="str">
        <f>CONCATENATE(H9156," ",F9156,"(потребность из расчета 4 контейнера для уборки территории весной и осенью на 1 учреждение)","*",I9156,"/",K9156,"чел/час")</f>
        <v>5 контейнеров(потребность из расчета 4 контейнера для уборки территории весной и осенью на 1 учреждение)*0,01644/13968чел/час</v>
      </c>
      <c r="N9156" s="278">
        <f>N8846</f>
        <v>6257.04</v>
      </c>
      <c r="O9156" s="280">
        <f t="shared" si="2650"/>
        <v>3.6822000000000001E-2</v>
      </c>
      <c r="P9156" s="166"/>
      <c r="Q9156" s="166">
        <f t="shared" si="2646"/>
        <v>514.32969600000001</v>
      </c>
      <c r="R9156" s="71"/>
    </row>
    <row r="9157" spans="1:41" s="109" customFormat="1" x14ac:dyDescent="0.25">
      <c r="A9157" s="358"/>
      <c r="B9157" s="361"/>
      <c r="C9157" s="218" t="s">
        <v>290</v>
      </c>
      <c r="D9157" s="226"/>
      <c r="E9157" s="226"/>
      <c r="F9157" s="226"/>
      <c r="G9157" s="227"/>
      <c r="H9157" s="228"/>
      <c r="I9157" s="206"/>
      <c r="J9157" s="228"/>
      <c r="K9157" s="207"/>
      <c r="L9157" s="257"/>
      <c r="M9157" s="209"/>
      <c r="N9157" s="281"/>
      <c r="O9157" s="279">
        <f>SUM(O9150:O9156)</f>
        <v>7.8267830000000007</v>
      </c>
      <c r="P9157" s="267"/>
      <c r="Q9157" s="166"/>
      <c r="R9157" s="71"/>
      <c r="S9157" s="62"/>
      <c r="T9157" s="62"/>
      <c r="U9157" s="62"/>
      <c r="V9157" s="62"/>
      <c r="W9157" s="62"/>
      <c r="X9157" s="62"/>
      <c r="Y9157" s="62"/>
      <c r="Z9157" s="62"/>
      <c r="AA9157" s="62"/>
      <c r="AB9157" s="62"/>
      <c r="AC9157" s="62"/>
      <c r="AD9157" s="62"/>
      <c r="AE9157" s="62"/>
      <c r="AF9157" s="62"/>
      <c r="AG9157" s="62"/>
      <c r="AH9157" s="62"/>
      <c r="AI9157" s="62"/>
      <c r="AJ9157" s="62"/>
      <c r="AK9157" s="62"/>
      <c r="AL9157" s="62"/>
      <c r="AM9157" s="62"/>
      <c r="AN9157" s="62"/>
      <c r="AO9157" s="62"/>
    </row>
    <row r="9158" spans="1:41" s="108" customFormat="1" x14ac:dyDescent="0.25">
      <c r="A9158" s="358"/>
      <c r="B9158" s="361"/>
      <c r="C9158" s="221"/>
      <c r="D9158" s="356" t="s">
        <v>14</v>
      </c>
      <c r="E9158" s="356"/>
      <c r="F9158" s="356"/>
      <c r="G9158" s="356"/>
      <c r="H9158" s="188"/>
      <c r="I9158" s="159"/>
      <c r="J9158" s="188"/>
      <c r="K9158" s="161"/>
      <c r="L9158" s="250"/>
      <c r="M9158" s="230"/>
      <c r="N9158" s="278"/>
      <c r="O9158" s="279">
        <f>O9162+O9166+O9167</f>
        <v>14.48142204</v>
      </c>
      <c r="P9158" s="166"/>
      <c r="Q9158" s="166">
        <f>O9158*K9158</f>
        <v>0</v>
      </c>
      <c r="R9158" s="71"/>
      <c r="S9158" s="61"/>
      <c r="T9158" s="61"/>
      <c r="U9158" s="61"/>
      <c r="V9158" s="61"/>
      <c r="W9158" s="61"/>
      <c r="X9158" s="61"/>
      <c r="Y9158" s="61"/>
      <c r="Z9158" s="61"/>
      <c r="AA9158" s="61"/>
      <c r="AB9158" s="61"/>
      <c r="AC9158" s="61"/>
      <c r="AD9158" s="61"/>
      <c r="AE9158" s="61"/>
      <c r="AF9158" s="61"/>
      <c r="AG9158" s="61"/>
      <c r="AH9158" s="61"/>
      <c r="AI9158" s="61"/>
      <c r="AJ9158" s="61"/>
      <c r="AK9158" s="61"/>
      <c r="AL9158" s="61"/>
      <c r="AM9158" s="61"/>
      <c r="AN9158" s="61"/>
      <c r="AO9158" s="61"/>
    </row>
    <row r="9159" spans="1:41" s="61" customFormat="1" x14ac:dyDescent="0.25">
      <c r="A9159" s="358"/>
      <c r="B9159" s="361"/>
      <c r="C9159" s="221" t="s">
        <v>379</v>
      </c>
      <c r="D9159" s="231" t="s">
        <v>49</v>
      </c>
      <c r="E9159" s="231" t="s">
        <v>22</v>
      </c>
      <c r="F9159" s="231" t="s">
        <v>22</v>
      </c>
      <c r="G9159" s="238">
        <f>MROUND(H9159*L9159*I9159/K9159,0.000000000001)</f>
        <v>0</v>
      </c>
      <c r="H9159" s="160"/>
      <c r="I9159" s="159">
        <f>I9154</f>
        <v>1.644E-2</v>
      </c>
      <c r="J9159" s="160"/>
      <c r="K9159" s="161">
        <f>K9154</f>
        <v>13968</v>
      </c>
      <c r="L9159" s="250">
        <v>1</v>
      </c>
      <c r="M9159" s="163"/>
      <c r="N9159" s="278"/>
      <c r="O9159" s="280">
        <f>MROUND(N9159*G9159,0.000000001)</f>
        <v>0</v>
      </c>
      <c r="P9159" s="166"/>
      <c r="Q9159" s="166">
        <f>O9159*K9159</f>
        <v>0</v>
      </c>
      <c r="R9159" s="71"/>
    </row>
    <row r="9160" spans="1:41" s="61" customFormat="1" x14ac:dyDescent="0.25">
      <c r="A9160" s="358"/>
      <c r="B9160" s="361"/>
      <c r="C9160" s="221" t="s">
        <v>379</v>
      </c>
      <c r="D9160" s="231" t="s">
        <v>49</v>
      </c>
      <c r="E9160" s="231" t="s">
        <v>28</v>
      </c>
      <c r="F9160" s="231" t="s">
        <v>28</v>
      </c>
      <c r="G9160" s="238">
        <f>MROUND(H9160*L9160*I9160/K9160,0.000000000001)</f>
        <v>0</v>
      </c>
      <c r="H9160" s="160"/>
      <c r="I9160" s="159">
        <f>I9159</f>
        <v>1.644E-2</v>
      </c>
      <c r="J9160" s="160"/>
      <c r="K9160" s="161">
        <f>K9159</f>
        <v>13968</v>
      </c>
      <c r="L9160" s="250">
        <v>1</v>
      </c>
      <c r="M9160" s="163"/>
      <c r="N9160" s="278"/>
      <c r="O9160" s="280">
        <f>MROUND(N9160*G9160,0.000000001)</f>
        <v>0</v>
      </c>
      <c r="P9160" s="166"/>
      <c r="Q9160" s="166">
        <f>O9160*K9160</f>
        <v>0</v>
      </c>
      <c r="R9160" s="71"/>
    </row>
    <row r="9161" spans="1:41" s="61" customFormat="1" x14ac:dyDescent="0.25">
      <c r="A9161" s="358"/>
      <c r="B9161" s="361"/>
      <c r="C9161" s="221" t="s">
        <v>379</v>
      </c>
      <c r="D9161" s="231" t="s">
        <v>49</v>
      </c>
      <c r="E9161" s="231" t="s">
        <v>101</v>
      </c>
      <c r="F9161" s="231" t="s">
        <v>101</v>
      </c>
      <c r="G9161" s="238">
        <f>MROUND(H9161*L9161*I9161/K9161,0.000000000001)</f>
        <v>0</v>
      </c>
      <c r="H9161" s="160"/>
      <c r="I9161" s="159">
        <f>I9159</f>
        <v>1.644E-2</v>
      </c>
      <c r="J9161" s="160"/>
      <c r="K9161" s="161">
        <f>K9159</f>
        <v>13968</v>
      </c>
      <c r="L9161" s="250">
        <v>1</v>
      </c>
      <c r="M9161" s="163"/>
      <c r="N9161" s="278"/>
      <c r="O9161" s="280">
        <f>MROUND(N9161*G9161,0.000001)</f>
        <v>0</v>
      </c>
      <c r="P9161" s="166"/>
      <c r="Q9161" s="166">
        <f>O9161*K9161</f>
        <v>0</v>
      </c>
      <c r="R9161" s="71"/>
    </row>
    <row r="9162" spans="1:41" s="109" customFormat="1" x14ac:dyDescent="0.25">
      <c r="A9162" s="358"/>
      <c r="B9162" s="361"/>
      <c r="C9162" s="218" t="s">
        <v>380</v>
      </c>
      <c r="D9162" s="232"/>
      <c r="E9162" s="232"/>
      <c r="F9162" s="232"/>
      <c r="G9162" s="227"/>
      <c r="H9162" s="228"/>
      <c r="I9162" s="206"/>
      <c r="J9162" s="228"/>
      <c r="K9162" s="207"/>
      <c r="L9162" s="257"/>
      <c r="M9162" s="209"/>
      <c r="N9162" s="281"/>
      <c r="O9162" s="279">
        <f>SUM(O9159:O9161)</f>
        <v>0</v>
      </c>
      <c r="P9162" s="267"/>
      <c r="Q9162" s="166"/>
      <c r="R9162" s="72"/>
      <c r="S9162" s="62"/>
      <c r="T9162" s="62"/>
      <c r="U9162" s="62"/>
      <c r="V9162" s="62"/>
      <c r="W9162" s="62"/>
      <c r="X9162" s="62"/>
      <c r="Y9162" s="62"/>
      <c r="Z9162" s="62"/>
      <c r="AA9162" s="62"/>
      <c r="AB9162" s="62"/>
      <c r="AC9162" s="62"/>
      <c r="AD9162" s="62"/>
      <c r="AE9162" s="62"/>
      <c r="AF9162" s="62"/>
      <c r="AG9162" s="62"/>
      <c r="AH9162" s="62"/>
      <c r="AI9162" s="62"/>
      <c r="AJ9162" s="62"/>
      <c r="AK9162" s="62"/>
      <c r="AL9162" s="62"/>
      <c r="AM9162" s="62"/>
      <c r="AN9162" s="62"/>
      <c r="AO9162" s="62"/>
    </row>
    <row r="9163" spans="1:41" s="61" customFormat="1" x14ac:dyDescent="0.25">
      <c r="A9163" s="358"/>
      <c r="B9163" s="361"/>
      <c r="C9163" s="221" t="s">
        <v>76</v>
      </c>
      <c r="D9163" s="231" t="s">
        <v>49</v>
      </c>
      <c r="E9163" s="231" t="s">
        <v>22</v>
      </c>
      <c r="F9163" s="231" t="s">
        <v>22</v>
      </c>
      <c r="G9163" s="238">
        <f>MROUND(H9163*L9163*I9163/K9163,0.000000000001)</f>
        <v>2.7258762890000001E-3</v>
      </c>
      <c r="H9163" s="160">
        <f>H8853</f>
        <v>2316</v>
      </c>
      <c r="I9163" s="159">
        <f>I9161</f>
        <v>1.644E-2</v>
      </c>
      <c r="J9163" s="160"/>
      <c r="K9163" s="161">
        <f>K9161</f>
        <v>13968</v>
      </c>
      <c r="L9163" s="250">
        <v>1</v>
      </c>
      <c r="M9163" s="163" t="str">
        <f>CONCATENATE(H9163," ",F9163,"*",I9163,"/",K9163,"чел/час")</f>
        <v>2316 м2*0,01644/13968чел/час</v>
      </c>
      <c r="N9163" s="278">
        <f>N8853</f>
        <v>5226.2521588946456</v>
      </c>
      <c r="O9163" s="280">
        <f>MROUND(N9163*G9163,0.000000001)-0.00009</f>
        <v>14.246026840000001</v>
      </c>
      <c r="P9163" s="166"/>
      <c r="Q9163" s="166">
        <f>O9163*K9163</f>
        <v>198988.50290112002</v>
      </c>
      <c r="R9163" s="71"/>
    </row>
    <row r="9164" spans="1:41" s="61" customFormat="1" x14ac:dyDescent="0.25">
      <c r="A9164" s="358"/>
      <c r="B9164" s="361"/>
      <c r="C9164" s="221"/>
      <c r="D9164" s="231" t="s">
        <v>49</v>
      </c>
      <c r="E9164" s="231" t="s">
        <v>28</v>
      </c>
      <c r="F9164" s="231" t="s">
        <v>28</v>
      </c>
      <c r="G9164" s="238">
        <f>MROUND(H9164*L9164*I9164/K9164,0.000000000001)</f>
        <v>2.3539519999999998E-6</v>
      </c>
      <c r="H9164" s="160">
        <f>H8854</f>
        <v>2</v>
      </c>
      <c r="I9164" s="159">
        <f>I9163</f>
        <v>1.644E-2</v>
      </c>
      <c r="J9164" s="160"/>
      <c r="K9164" s="161">
        <f>K9163</f>
        <v>13968</v>
      </c>
      <c r="L9164" s="250">
        <v>1</v>
      </c>
      <c r="M9164" s="163" t="str">
        <f>CONCATENATE(H9164," ",F9164,"*",I9164,"/",K9164,"чел/час")</f>
        <v>2 шт*0,01644/13968чел/час</v>
      </c>
      <c r="N9164" s="278">
        <f>N8854</f>
        <v>100000</v>
      </c>
      <c r="O9164" s="280">
        <f>MROUND(N9164*G9164,0.000000001)</f>
        <v>0.23539520000000003</v>
      </c>
      <c r="P9164" s="166"/>
      <c r="Q9164" s="166">
        <f>O9164*K9164</f>
        <v>3288.0001536000004</v>
      </c>
      <c r="R9164" s="71"/>
    </row>
    <row r="9165" spans="1:41" s="61" customFormat="1" x14ac:dyDescent="0.25">
      <c r="A9165" s="358"/>
      <c r="B9165" s="361"/>
      <c r="C9165" s="221"/>
      <c r="D9165" s="231" t="s">
        <v>49</v>
      </c>
      <c r="E9165" s="231" t="s">
        <v>101</v>
      </c>
      <c r="F9165" s="231" t="s">
        <v>101</v>
      </c>
      <c r="G9165" s="238">
        <f>MROUND(H9165*L9165*I9165/K9165,0.000000000001)</f>
        <v>0</v>
      </c>
      <c r="H9165" s="160">
        <f>H8855</f>
        <v>0</v>
      </c>
      <c r="I9165" s="159">
        <f>I9163</f>
        <v>1.644E-2</v>
      </c>
      <c r="J9165" s="160"/>
      <c r="K9165" s="161">
        <f>K9163</f>
        <v>13968</v>
      </c>
      <c r="L9165" s="250">
        <v>1</v>
      </c>
      <c r="M9165" s="163" t="str">
        <f>CONCATENATE(H9165," ",F9165,"*",I9165,"/",K9165,"чел/час")</f>
        <v>0 погон.м.*0,01644/13968чел/час</v>
      </c>
      <c r="N9165" s="278">
        <f>N8855</f>
        <v>0</v>
      </c>
      <c r="O9165" s="280">
        <f>MROUND(N9165*G9165,0.000001)</f>
        <v>0</v>
      </c>
      <c r="P9165" s="166"/>
      <c r="Q9165" s="166">
        <f>O9165*K9165</f>
        <v>0</v>
      </c>
      <c r="R9165" s="71"/>
    </row>
    <row r="9166" spans="1:41" s="109" customFormat="1" x14ac:dyDescent="0.25">
      <c r="A9166" s="358"/>
      <c r="B9166" s="361"/>
      <c r="C9166" s="218" t="s">
        <v>291</v>
      </c>
      <c r="D9166" s="232"/>
      <c r="E9166" s="232"/>
      <c r="F9166" s="232"/>
      <c r="G9166" s="227"/>
      <c r="H9166" s="228"/>
      <c r="I9166" s="206"/>
      <c r="J9166" s="228"/>
      <c r="K9166" s="207"/>
      <c r="L9166" s="257"/>
      <c r="M9166" s="209"/>
      <c r="N9166" s="281"/>
      <c r="O9166" s="279">
        <f>SUM(O9163:O9165)</f>
        <v>14.48142204</v>
      </c>
      <c r="P9166" s="267"/>
      <c r="Q9166" s="166"/>
      <c r="R9166" s="72"/>
      <c r="S9166" s="62"/>
      <c r="T9166" s="62"/>
      <c r="U9166" s="62"/>
      <c r="V9166" s="62"/>
      <c r="W9166" s="62"/>
      <c r="X9166" s="62"/>
      <c r="Y9166" s="62"/>
      <c r="Z9166" s="62"/>
      <c r="AA9166" s="62"/>
      <c r="AB9166" s="62"/>
      <c r="AC9166" s="62"/>
      <c r="AD9166" s="62"/>
      <c r="AE9166" s="62"/>
      <c r="AF9166" s="62"/>
      <c r="AG9166" s="62"/>
      <c r="AH9166" s="62"/>
      <c r="AI9166" s="62"/>
      <c r="AJ9166" s="62"/>
      <c r="AK9166" s="62"/>
      <c r="AL9166" s="62"/>
      <c r="AM9166" s="62"/>
      <c r="AN9166" s="62"/>
      <c r="AO9166" s="62"/>
    </row>
    <row r="9167" spans="1:41" s="61" customFormat="1" x14ac:dyDescent="0.25">
      <c r="A9167" s="358"/>
      <c r="B9167" s="361"/>
      <c r="C9167" s="221" t="s">
        <v>77</v>
      </c>
      <c r="D9167" s="231"/>
      <c r="E9167" s="231"/>
      <c r="F9167" s="231"/>
      <c r="G9167" s="238">
        <f>MROUND(H9167*L9167*I9167/K9167,0.000000000001)</f>
        <v>0</v>
      </c>
      <c r="H9167" s="160"/>
      <c r="I9167" s="159">
        <f>I9165</f>
        <v>1.644E-2</v>
      </c>
      <c r="J9167" s="160"/>
      <c r="K9167" s="161">
        <f>K9165</f>
        <v>13968</v>
      </c>
      <c r="L9167" s="250"/>
      <c r="M9167" s="163"/>
      <c r="N9167" s="278"/>
      <c r="O9167" s="280">
        <f>MROUND(N9167*G9167,0.000001)</f>
        <v>0</v>
      </c>
      <c r="P9167" s="166"/>
      <c r="Q9167" s="166">
        <f>O9167*K9167</f>
        <v>0</v>
      </c>
      <c r="R9167" s="71"/>
    </row>
    <row r="9168" spans="1:41" s="109" customFormat="1" x14ac:dyDescent="0.25">
      <c r="A9168" s="358"/>
      <c r="B9168" s="361"/>
      <c r="C9168" s="218" t="s">
        <v>292</v>
      </c>
      <c r="D9168" s="232"/>
      <c r="E9168" s="232"/>
      <c r="F9168" s="232"/>
      <c r="G9168" s="227"/>
      <c r="H9168" s="228"/>
      <c r="I9168" s="206"/>
      <c r="J9168" s="228"/>
      <c r="K9168" s="207"/>
      <c r="L9168" s="257"/>
      <c r="M9168" s="209"/>
      <c r="N9168" s="281"/>
      <c r="O9168" s="279">
        <f>O9167</f>
        <v>0</v>
      </c>
      <c r="P9168" s="267"/>
      <c r="Q9168" s="166"/>
      <c r="R9168" s="72"/>
      <c r="S9168" s="62"/>
      <c r="T9168" s="62"/>
      <c r="U9168" s="62"/>
      <c r="V9168" s="62"/>
      <c r="W9168" s="62"/>
      <c r="X9168" s="62"/>
      <c r="Y9168" s="62"/>
      <c r="Z9168" s="62"/>
      <c r="AA9168" s="62"/>
      <c r="AB9168" s="62"/>
      <c r="AC9168" s="62"/>
      <c r="AD9168" s="62"/>
      <c r="AE9168" s="62"/>
      <c r="AF9168" s="62"/>
      <c r="AG9168" s="62"/>
      <c r="AH9168" s="62"/>
      <c r="AI9168" s="62"/>
      <c r="AJ9168" s="62"/>
      <c r="AK9168" s="62"/>
      <c r="AL9168" s="62"/>
      <c r="AM9168" s="62"/>
      <c r="AN9168" s="62"/>
      <c r="AO9168" s="62"/>
    </row>
    <row r="9169" spans="1:41" s="108" customFormat="1" x14ac:dyDescent="0.25">
      <c r="A9169" s="358"/>
      <c r="B9169" s="361"/>
      <c r="C9169" s="221"/>
      <c r="D9169" s="350" t="s">
        <v>65</v>
      </c>
      <c r="E9169" s="350"/>
      <c r="F9169" s="350"/>
      <c r="G9169" s="350"/>
      <c r="H9169" s="195"/>
      <c r="I9169" s="159"/>
      <c r="J9169" s="195"/>
      <c r="K9169" s="161"/>
      <c r="L9169" s="196"/>
      <c r="M9169" s="230"/>
      <c r="N9169" s="278"/>
      <c r="O9169" s="280"/>
      <c r="P9169" s="166"/>
      <c r="Q9169" s="166">
        <f t="shared" ref="Q9169:Q9188" si="2651">O9169*K9169</f>
        <v>0</v>
      </c>
      <c r="R9169" s="71"/>
      <c r="S9169" s="61"/>
      <c r="T9169" s="61"/>
      <c r="U9169" s="61"/>
      <c r="V9169" s="61"/>
      <c r="W9169" s="61"/>
      <c r="X9169" s="61"/>
      <c r="Y9169" s="61"/>
      <c r="Z9169" s="61"/>
      <c r="AA9169" s="61"/>
      <c r="AB9169" s="61"/>
      <c r="AC9169" s="61"/>
      <c r="AD9169" s="61"/>
      <c r="AE9169" s="61"/>
      <c r="AF9169" s="61"/>
      <c r="AG9169" s="61"/>
      <c r="AH9169" s="61"/>
      <c r="AI9169" s="61"/>
      <c r="AJ9169" s="61"/>
      <c r="AK9169" s="61"/>
      <c r="AL9169" s="61"/>
      <c r="AM9169" s="61"/>
      <c r="AN9169" s="61"/>
      <c r="AO9169" s="61"/>
    </row>
    <row r="9170" spans="1:41" s="108" customFormat="1" x14ac:dyDescent="0.25">
      <c r="A9170" s="358"/>
      <c r="B9170" s="361"/>
      <c r="C9170" s="221"/>
      <c r="D9170" s="194"/>
      <c r="E9170" s="194"/>
      <c r="F9170" s="194"/>
      <c r="G9170" s="217"/>
      <c r="H9170" s="195"/>
      <c r="I9170" s="159"/>
      <c r="J9170" s="195"/>
      <c r="K9170" s="161"/>
      <c r="L9170" s="196"/>
      <c r="M9170" s="230"/>
      <c r="N9170" s="278"/>
      <c r="O9170" s="280"/>
      <c r="P9170" s="166"/>
      <c r="Q9170" s="166">
        <f t="shared" si="2651"/>
        <v>0</v>
      </c>
      <c r="R9170" s="71"/>
      <c r="S9170" s="61"/>
      <c r="T9170" s="61"/>
      <c r="U9170" s="61"/>
      <c r="V9170" s="61"/>
      <c r="W9170" s="61"/>
      <c r="X9170" s="61"/>
      <c r="Y9170" s="61"/>
      <c r="Z9170" s="61"/>
      <c r="AA9170" s="61"/>
      <c r="AB9170" s="61"/>
      <c r="AC9170" s="61"/>
      <c r="AD9170" s="61"/>
      <c r="AE9170" s="61"/>
      <c r="AF9170" s="61"/>
      <c r="AG9170" s="61"/>
      <c r="AH9170" s="61"/>
      <c r="AI9170" s="61"/>
      <c r="AJ9170" s="61"/>
      <c r="AK9170" s="61"/>
      <c r="AL9170" s="61"/>
      <c r="AM9170" s="61"/>
      <c r="AN9170" s="61"/>
      <c r="AO9170" s="61"/>
    </row>
    <row r="9171" spans="1:41" s="108" customFormat="1" x14ac:dyDescent="0.25">
      <c r="A9171" s="358"/>
      <c r="B9171" s="361"/>
      <c r="C9171" s="365" t="s">
        <v>357</v>
      </c>
      <c r="D9171" s="368" t="s">
        <v>66</v>
      </c>
      <c r="E9171" s="368"/>
      <c r="F9171" s="368"/>
      <c r="G9171" s="368"/>
      <c r="H9171" s="195"/>
      <c r="I9171" s="159"/>
      <c r="J9171" s="195"/>
      <c r="K9171" s="161"/>
      <c r="L9171" s="196"/>
      <c r="M9171" s="230"/>
      <c r="N9171" s="278"/>
      <c r="O9171" s="279">
        <f>O9177</f>
        <v>0.57357100000000005</v>
      </c>
      <c r="P9171" s="166"/>
      <c r="Q9171" s="166">
        <f t="shared" si="2651"/>
        <v>0</v>
      </c>
      <c r="R9171" s="71"/>
      <c r="S9171" s="61"/>
      <c r="T9171" s="61"/>
      <c r="U9171" s="61"/>
      <c r="V9171" s="61"/>
      <c r="W9171" s="61"/>
      <c r="X9171" s="61"/>
      <c r="Y9171" s="61"/>
      <c r="Z9171" s="61"/>
      <c r="AA9171" s="61"/>
      <c r="AB9171" s="61"/>
      <c r="AC9171" s="61"/>
      <c r="AD9171" s="61"/>
      <c r="AE9171" s="61"/>
      <c r="AF9171" s="61"/>
      <c r="AG9171" s="61"/>
      <c r="AH9171" s="61"/>
      <c r="AI9171" s="61"/>
      <c r="AJ9171" s="61"/>
      <c r="AK9171" s="61"/>
      <c r="AL9171" s="61"/>
      <c r="AM9171" s="61"/>
      <c r="AN9171" s="61"/>
      <c r="AO9171" s="61"/>
    </row>
    <row r="9172" spans="1:41" s="61" customFormat="1" x14ac:dyDescent="0.25">
      <c r="A9172" s="358"/>
      <c r="B9172" s="361"/>
      <c r="C9172" s="366"/>
      <c r="D9172" s="284" t="s">
        <v>241</v>
      </c>
      <c r="E9172" s="156" t="s">
        <v>28</v>
      </c>
      <c r="F9172" s="156" t="s">
        <v>28</v>
      </c>
      <c r="G9172" s="238">
        <f>MROUND(H9172*L9172*I9172/K9172,0.000000000001)</f>
        <v>2.4010309299999998E-4</v>
      </c>
      <c r="H9172" s="158">
        <f>H8862</f>
        <v>17</v>
      </c>
      <c r="I9172" s="159">
        <f>I9165</f>
        <v>1.644E-2</v>
      </c>
      <c r="J9172" s="160"/>
      <c r="K9172" s="161">
        <f>K9165</f>
        <v>13968</v>
      </c>
      <c r="L9172" s="250">
        <v>12</v>
      </c>
      <c r="M9172" s="163" t="str">
        <f>CONCATENATE(H9172," ",F9172,"*",L9172,"мес.","*",I9172,"/",K9172,"чел/час")</f>
        <v>17 шт*12мес.*0,01644/13968чел/час</v>
      </c>
      <c r="N9172" s="278">
        <f>N8862</f>
        <v>356.56073529411765</v>
      </c>
      <c r="O9172" s="280">
        <f>MROUND(N9172*G9172,0.000001)</f>
        <v>8.5610999999999993E-2</v>
      </c>
      <c r="P9172" s="166"/>
      <c r="Q9172" s="166">
        <f t="shared" si="2651"/>
        <v>1195.8144479999999</v>
      </c>
      <c r="R9172" s="71"/>
    </row>
    <row r="9173" spans="1:41" s="61" customFormat="1" x14ac:dyDescent="0.25">
      <c r="A9173" s="358"/>
      <c r="B9173" s="361"/>
      <c r="C9173" s="366"/>
      <c r="D9173" s="284" t="s">
        <v>242</v>
      </c>
      <c r="E9173" s="156" t="s">
        <v>243</v>
      </c>
      <c r="F9173" s="156" t="s">
        <v>243</v>
      </c>
      <c r="G9173" s="238">
        <f>MROUND(H9173*L9173*I9173/K9173,0.000000000001)</f>
        <v>0.24442494845400001</v>
      </c>
      <c r="H9173" s="158">
        <f>H8863</f>
        <v>17306</v>
      </c>
      <c r="I9173" s="159">
        <f>I9172</f>
        <v>1.644E-2</v>
      </c>
      <c r="J9173" s="160"/>
      <c r="K9173" s="161">
        <f>K9172</f>
        <v>13968</v>
      </c>
      <c r="L9173" s="250">
        <v>12</v>
      </c>
      <c r="M9173" s="163" t="str">
        <f>CONCATENATE(H9173," ",F9173,"*",L9173,"мес.","*",I9173,"/",K9173,"чел/час")</f>
        <v>17306 мин.*12мес.*0,01644/13968чел/час</v>
      </c>
      <c r="N9173" s="278">
        <f>N8863</f>
        <v>0.85373685427019519</v>
      </c>
      <c r="O9173" s="280">
        <f>MROUND(N9173*G9173,0.000001)</f>
        <v>0.208675</v>
      </c>
      <c r="P9173" s="166"/>
      <c r="Q9173" s="166">
        <f t="shared" si="2651"/>
        <v>2914.7723999999998</v>
      </c>
      <c r="R9173" s="71"/>
    </row>
    <row r="9174" spans="1:41" s="61" customFormat="1" ht="31.5" x14ac:dyDescent="0.25">
      <c r="A9174" s="358"/>
      <c r="B9174" s="361"/>
      <c r="C9174" s="366"/>
      <c r="D9174" s="285" t="s">
        <v>244</v>
      </c>
      <c r="E9174" s="286" t="s">
        <v>245</v>
      </c>
      <c r="F9174" s="286" t="s">
        <v>247</v>
      </c>
      <c r="G9174" s="238">
        <f>MROUND(H9174*L9174*I9174/K9174,0.000000000001)</f>
        <v>7.0618557000000004E-5</v>
      </c>
      <c r="H9174" s="158">
        <f>H8864</f>
        <v>5</v>
      </c>
      <c r="I9174" s="159">
        <f>I9173</f>
        <v>1.644E-2</v>
      </c>
      <c r="J9174" s="160"/>
      <c r="K9174" s="161">
        <f>K9173</f>
        <v>13968</v>
      </c>
      <c r="L9174" s="250">
        <v>12</v>
      </c>
      <c r="M9174" s="163" t="str">
        <f>CONCATENATE(H9174," ",F9174,"*",L9174,"мес.","*",I9174,"/",K9174,"чел/час")</f>
        <v>5 радиоточек*12мес.*0,01644/13968чел/час</v>
      </c>
      <c r="N9174" s="278">
        <f>N8864</f>
        <v>180.23333333333335</v>
      </c>
      <c r="O9174" s="280">
        <f>MROUND(N9174*G9174,0.000001)</f>
        <v>1.2728E-2</v>
      </c>
      <c r="P9174" s="166"/>
      <c r="Q9174" s="166">
        <f t="shared" si="2651"/>
        <v>177.784704</v>
      </c>
      <c r="R9174" s="71"/>
    </row>
    <row r="9175" spans="1:41" s="61" customFormat="1" ht="47.25" x14ac:dyDescent="0.25">
      <c r="A9175" s="358"/>
      <c r="B9175" s="361"/>
      <c r="C9175" s="366"/>
      <c r="D9175" s="285" t="s">
        <v>374</v>
      </c>
      <c r="E9175" s="156" t="s">
        <v>28</v>
      </c>
      <c r="F9175" s="156" t="s">
        <v>28</v>
      </c>
      <c r="G9175" s="238">
        <f>MROUND(H9175*L9175*I9175/K9175,0.000000000001)</f>
        <v>3.2955325999999997E-5</v>
      </c>
      <c r="H9175" s="158">
        <f>H8865</f>
        <v>7</v>
      </c>
      <c r="I9175" s="159">
        <f>I9173</f>
        <v>1.644E-2</v>
      </c>
      <c r="J9175" s="160"/>
      <c r="K9175" s="161">
        <f>K9173</f>
        <v>13968</v>
      </c>
      <c r="L9175" s="250">
        <f>L8865</f>
        <v>4</v>
      </c>
      <c r="M9175" s="163" t="str">
        <f>CONCATENATE(H9175," ",F9175,"*",L9175,"мес.","*",I9175,"/",K9175,"чел/час")</f>
        <v>7 шт*4мес.*0,01644/13968чел/час</v>
      </c>
      <c r="N9175" s="278">
        <f>N8865</f>
        <v>1366.3700000000001</v>
      </c>
      <c r="O9175" s="280">
        <f>MROUND(N9175*G9175,0.000001)</f>
        <v>4.5029E-2</v>
      </c>
      <c r="P9175" s="166"/>
      <c r="Q9175" s="166">
        <f t="shared" si="2651"/>
        <v>628.96507199999996</v>
      </c>
      <c r="R9175" s="71"/>
    </row>
    <row r="9176" spans="1:41" s="61" customFormat="1" x14ac:dyDescent="0.25">
      <c r="A9176" s="358"/>
      <c r="B9176" s="361"/>
      <c r="C9176" s="367"/>
      <c r="D9176" s="284" t="s">
        <v>246</v>
      </c>
      <c r="E9176" s="156" t="s">
        <v>28</v>
      </c>
      <c r="F9176" s="156" t="s">
        <v>28</v>
      </c>
      <c r="G9176" s="238">
        <f>MROUND(H9176*L9176*I9176/K9176,0.000000000001)</f>
        <v>7.0618557000000004E-5</v>
      </c>
      <c r="H9176" s="158">
        <v>5</v>
      </c>
      <c r="I9176" s="159">
        <f>I9174</f>
        <v>1.644E-2</v>
      </c>
      <c r="J9176" s="160"/>
      <c r="K9176" s="161">
        <f>K9174</f>
        <v>13968</v>
      </c>
      <c r="L9176" s="250">
        <v>12</v>
      </c>
      <c r="M9176" s="163" t="str">
        <f>CONCATENATE(H9176," ",F9176,"*",L9176,"мес.","*",I9176,"/",K9176,"чел/час")</f>
        <v>5 шт*12мес.*0,01644/13968чел/час</v>
      </c>
      <c r="N9176" s="278">
        <f>N8866</f>
        <v>3136.9611666666665</v>
      </c>
      <c r="O9176" s="280">
        <f>MROUND(N9176*G9176,0.000001)</f>
        <v>0.221528</v>
      </c>
      <c r="P9176" s="166"/>
      <c r="Q9176" s="166">
        <f t="shared" si="2651"/>
        <v>3094.3031040000001</v>
      </c>
      <c r="R9176" s="71"/>
    </row>
    <row r="9177" spans="1:41" s="109" customFormat="1" x14ac:dyDescent="0.25">
      <c r="A9177" s="358"/>
      <c r="B9177" s="361"/>
      <c r="C9177" s="218" t="s">
        <v>358</v>
      </c>
      <c r="D9177" s="287"/>
      <c r="E9177" s="287"/>
      <c r="F9177" s="287"/>
      <c r="G9177" s="288"/>
      <c r="H9177" s="214"/>
      <c r="I9177" s="206"/>
      <c r="J9177" s="214"/>
      <c r="K9177" s="207"/>
      <c r="L9177" s="215"/>
      <c r="M9177" s="289"/>
      <c r="N9177" s="281"/>
      <c r="O9177" s="279">
        <f>SUM(O9172:O9176)</f>
        <v>0.57357100000000005</v>
      </c>
      <c r="P9177" s="267"/>
      <c r="Q9177" s="166">
        <f t="shared" si="2651"/>
        <v>0</v>
      </c>
      <c r="R9177" s="71"/>
      <c r="S9177" s="62"/>
      <c r="T9177" s="62"/>
      <c r="U9177" s="62"/>
      <c r="V9177" s="62"/>
      <c r="W9177" s="62"/>
      <c r="X9177" s="62"/>
      <c r="Y9177" s="62"/>
      <c r="Z9177" s="62"/>
      <c r="AA9177" s="62"/>
      <c r="AB9177" s="62"/>
      <c r="AC9177" s="62"/>
      <c r="AD9177" s="62"/>
      <c r="AE9177" s="62"/>
      <c r="AF9177" s="62"/>
      <c r="AG9177" s="62"/>
      <c r="AH9177" s="62"/>
      <c r="AI9177" s="62"/>
      <c r="AJ9177" s="62"/>
      <c r="AK9177" s="62"/>
      <c r="AL9177" s="62"/>
      <c r="AM9177" s="62"/>
      <c r="AN9177" s="62"/>
      <c r="AO9177" s="62"/>
    </row>
    <row r="9178" spans="1:41" s="108" customFormat="1" x14ac:dyDescent="0.25">
      <c r="A9178" s="358"/>
      <c r="B9178" s="361"/>
      <c r="C9178" s="365" t="s">
        <v>366</v>
      </c>
      <c r="D9178" s="368" t="s">
        <v>67</v>
      </c>
      <c r="E9178" s="368"/>
      <c r="F9178" s="368"/>
      <c r="G9178" s="368"/>
      <c r="H9178" s="195"/>
      <c r="I9178" s="159"/>
      <c r="J9178" s="195"/>
      <c r="K9178" s="161"/>
      <c r="L9178" s="196"/>
      <c r="M9178" s="230"/>
      <c r="N9178" s="278"/>
      <c r="O9178" s="279">
        <f>O9179</f>
        <v>7.6594999999999996E-2</v>
      </c>
      <c r="P9178" s="166"/>
      <c r="Q9178" s="166">
        <f t="shared" si="2651"/>
        <v>0</v>
      </c>
      <c r="R9178" s="71"/>
      <c r="S9178" s="61"/>
      <c r="T9178" s="61"/>
      <c r="U9178" s="61"/>
      <c r="V9178" s="61"/>
      <c r="W9178" s="61"/>
      <c r="X9178" s="61"/>
      <c r="Y9178" s="61"/>
      <c r="Z9178" s="61"/>
      <c r="AA9178" s="61"/>
      <c r="AB9178" s="61"/>
      <c r="AC9178" s="61"/>
      <c r="AD9178" s="61"/>
      <c r="AE9178" s="61"/>
      <c r="AF9178" s="61"/>
      <c r="AG9178" s="61"/>
      <c r="AH9178" s="61"/>
      <c r="AI9178" s="61"/>
      <c r="AJ9178" s="61"/>
      <c r="AK9178" s="61"/>
      <c r="AL9178" s="61"/>
      <c r="AM9178" s="61"/>
      <c r="AN9178" s="61"/>
      <c r="AO9178" s="61"/>
    </row>
    <row r="9179" spans="1:41" s="61" customFormat="1" x14ac:dyDescent="0.25">
      <c r="A9179" s="358"/>
      <c r="B9179" s="361"/>
      <c r="C9179" s="367"/>
      <c r="D9179" s="194" t="s">
        <v>367</v>
      </c>
      <c r="E9179" s="156" t="s">
        <v>28</v>
      </c>
      <c r="F9179" s="156" t="s">
        <v>28</v>
      </c>
      <c r="G9179" s="238">
        <f>MROUND(H9179*L9179*I9179/K9179,0.000000000001)</f>
        <v>2.8247423E-5</v>
      </c>
      <c r="H9179" s="158">
        <f>H8869</f>
        <v>2</v>
      </c>
      <c r="I9179" s="159">
        <f>I9176</f>
        <v>1.644E-2</v>
      </c>
      <c r="J9179" s="160"/>
      <c r="K9179" s="161">
        <f>K9176</f>
        <v>13968</v>
      </c>
      <c r="L9179" s="250">
        <v>12</v>
      </c>
      <c r="M9179" s="163" t="str">
        <f>CONCATENATE(H9179," ",F9179,"*",L9179,"мес.","*",I9179,"/",K9179,"чел/час")</f>
        <v>2 шт*12мес.*0,01644/13968чел/час</v>
      </c>
      <c r="N9179" s="278">
        <f>N8869</f>
        <v>2711.57125</v>
      </c>
      <c r="O9179" s="280">
        <f>MROUND(N9179*G9179,0.000001)</f>
        <v>7.6594999999999996E-2</v>
      </c>
      <c r="P9179" s="166"/>
      <c r="Q9179" s="166">
        <f t="shared" si="2651"/>
        <v>1069.87896</v>
      </c>
      <c r="R9179" s="71"/>
    </row>
    <row r="9180" spans="1:41" s="108" customFormat="1" x14ac:dyDescent="0.25">
      <c r="A9180" s="358"/>
      <c r="B9180" s="361"/>
      <c r="C9180" s="221"/>
      <c r="D9180" s="350" t="s">
        <v>68</v>
      </c>
      <c r="E9180" s="350"/>
      <c r="F9180" s="350"/>
      <c r="G9180" s="350"/>
      <c r="H9180" s="195"/>
      <c r="I9180" s="159"/>
      <c r="J9180" s="195"/>
      <c r="K9180" s="161"/>
      <c r="L9180" s="196"/>
      <c r="M9180" s="230"/>
      <c r="N9180" s="278"/>
      <c r="O9180" s="280"/>
      <c r="P9180" s="166"/>
      <c r="Q9180" s="166">
        <f t="shared" si="2651"/>
        <v>0</v>
      </c>
      <c r="R9180" s="71"/>
      <c r="S9180" s="61"/>
      <c r="T9180" s="61"/>
      <c r="U9180" s="61"/>
      <c r="V9180" s="61"/>
      <c r="W9180" s="61"/>
      <c r="X9180" s="61"/>
      <c r="Y9180" s="61"/>
      <c r="Z9180" s="61"/>
      <c r="AA9180" s="61"/>
      <c r="AB9180" s="61"/>
      <c r="AC9180" s="61"/>
      <c r="AD9180" s="61"/>
      <c r="AE9180" s="61"/>
      <c r="AF9180" s="61"/>
      <c r="AG9180" s="61"/>
      <c r="AH9180" s="61"/>
      <c r="AI9180" s="61"/>
      <c r="AJ9180" s="61"/>
      <c r="AK9180" s="61"/>
      <c r="AL9180" s="61"/>
      <c r="AM9180" s="61"/>
      <c r="AN9180" s="61"/>
      <c r="AO9180" s="61"/>
    </row>
    <row r="9181" spans="1:41" s="108" customFormat="1" x14ac:dyDescent="0.25">
      <c r="A9181" s="358"/>
      <c r="B9181" s="361"/>
      <c r="C9181" s="221"/>
      <c r="D9181" s="156"/>
      <c r="E9181" s="156"/>
      <c r="F9181" s="156"/>
      <c r="G9181" s="236"/>
      <c r="H9181" s="195"/>
      <c r="I9181" s="159"/>
      <c r="J9181" s="195"/>
      <c r="K9181" s="161"/>
      <c r="L9181" s="196"/>
      <c r="M9181" s="230"/>
      <c r="N9181" s="278"/>
      <c r="O9181" s="280"/>
      <c r="P9181" s="166"/>
      <c r="Q9181" s="166">
        <f t="shared" si="2651"/>
        <v>0</v>
      </c>
      <c r="R9181" s="71"/>
      <c r="S9181" s="61"/>
      <c r="T9181" s="61"/>
      <c r="U9181" s="61"/>
      <c r="V9181" s="61"/>
      <c r="W9181" s="61"/>
      <c r="X9181" s="61"/>
      <c r="Y9181" s="61"/>
      <c r="Z9181" s="61"/>
      <c r="AA9181" s="61"/>
      <c r="AB9181" s="61"/>
      <c r="AC9181" s="61"/>
      <c r="AD9181" s="61"/>
      <c r="AE9181" s="61"/>
      <c r="AF9181" s="61"/>
      <c r="AG9181" s="61"/>
      <c r="AH9181" s="61"/>
      <c r="AI9181" s="61"/>
      <c r="AJ9181" s="61"/>
      <c r="AK9181" s="61"/>
      <c r="AL9181" s="61"/>
      <c r="AM9181" s="61"/>
      <c r="AN9181" s="61"/>
      <c r="AO9181" s="61"/>
    </row>
    <row r="9182" spans="1:41" s="108" customFormat="1" x14ac:dyDescent="0.25">
      <c r="A9182" s="358"/>
      <c r="B9182" s="361"/>
      <c r="C9182" s="221"/>
      <c r="D9182" s="368" t="s">
        <v>69</v>
      </c>
      <c r="E9182" s="368"/>
      <c r="F9182" s="368"/>
      <c r="G9182" s="368"/>
      <c r="H9182" s="187"/>
      <c r="I9182" s="159"/>
      <c r="J9182" s="187"/>
      <c r="K9182" s="161"/>
      <c r="L9182" s="276"/>
      <c r="M9182" s="230"/>
      <c r="N9182" s="278"/>
      <c r="O9182" s="279">
        <f>O9189+O9205+O9208+O9221+O9222+O9223+O9234+O9236+O9240+O9237</f>
        <v>4.3589720000000005</v>
      </c>
      <c r="P9182" s="166"/>
      <c r="Q9182" s="166">
        <f t="shared" si="2651"/>
        <v>0</v>
      </c>
      <c r="R9182" s="71"/>
      <c r="S9182" s="61"/>
      <c r="T9182" s="61"/>
      <c r="U9182" s="61"/>
      <c r="V9182" s="61"/>
      <c r="W9182" s="61"/>
      <c r="X9182" s="61"/>
      <c r="Y9182" s="61"/>
      <c r="Z9182" s="61"/>
      <c r="AA9182" s="61"/>
      <c r="AB9182" s="61"/>
      <c r="AC9182" s="61"/>
      <c r="AD9182" s="61"/>
      <c r="AE9182" s="61"/>
      <c r="AF9182" s="61"/>
      <c r="AG9182" s="61"/>
      <c r="AH9182" s="61"/>
      <c r="AI9182" s="61"/>
      <c r="AJ9182" s="61"/>
      <c r="AK9182" s="61"/>
      <c r="AL9182" s="61"/>
      <c r="AM9182" s="61"/>
      <c r="AN9182" s="61"/>
      <c r="AO9182" s="61"/>
    </row>
    <row r="9183" spans="1:41" s="61" customFormat="1" ht="31.5" x14ac:dyDescent="0.25">
      <c r="A9183" s="358"/>
      <c r="B9183" s="361"/>
      <c r="C9183" s="365" t="s">
        <v>78</v>
      </c>
      <c r="D9183" s="156" t="s">
        <v>26</v>
      </c>
      <c r="E9183" s="156" t="s">
        <v>22</v>
      </c>
      <c r="F9183" s="156" t="s">
        <v>22</v>
      </c>
      <c r="G9183" s="238">
        <f t="shared" ref="G9183:G9188" si="2652">MROUND(H9183*L9183*I9183/K9183,0.000000000001)</f>
        <v>7.0057280412000003E-2</v>
      </c>
      <c r="H9183" s="158">
        <f>H8873</f>
        <v>4960.26</v>
      </c>
      <c r="I9183" s="159">
        <f>I9179</f>
        <v>1.644E-2</v>
      </c>
      <c r="J9183" s="160"/>
      <c r="K9183" s="161">
        <f>K9179</f>
        <v>13968</v>
      </c>
      <c r="L9183" s="250">
        <v>12</v>
      </c>
      <c r="M9183" s="163" t="str">
        <f>CONCATENATE(H9183," ",F9183,"(обрабатываемая площадь в мес.)","*",L9183,"мес.","*",I9183,"/",K9183,"чел/час")</f>
        <v>4960,26 м2(обрабатываемая площадь в мес.)*12мес.*0,01644/13968чел/час</v>
      </c>
      <c r="N9183" s="278">
        <f>N8873</f>
        <v>1.2568900958148699</v>
      </c>
      <c r="O9183" s="280">
        <f>MROUND(N9183*G9183,0.000001)</f>
        <v>8.8053999999999993E-2</v>
      </c>
      <c r="P9183" s="166"/>
      <c r="Q9183" s="166">
        <f t="shared" si="2651"/>
        <v>1229.9382719999999</v>
      </c>
      <c r="R9183" s="71"/>
    </row>
    <row r="9184" spans="1:41" s="61" customFormat="1" ht="31.5" x14ac:dyDescent="0.25">
      <c r="A9184" s="358"/>
      <c r="B9184" s="361"/>
      <c r="C9184" s="366"/>
      <c r="D9184" s="296" t="s">
        <v>96</v>
      </c>
      <c r="E9184" s="296" t="s">
        <v>22</v>
      </c>
      <c r="F9184" s="296" t="s">
        <v>22</v>
      </c>
      <c r="G9184" s="238">
        <f t="shared" si="2652"/>
        <v>3.8801507216000002E-2</v>
      </c>
      <c r="H9184" s="297">
        <f>H8874</f>
        <v>2747.26</v>
      </c>
      <c r="I9184" s="298">
        <f>I9183</f>
        <v>1.644E-2</v>
      </c>
      <c r="J9184" s="299"/>
      <c r="K9184" s="300">
        <f>K9183</f>
        <v>13968</v>
      </c>
      <c r="L9184" s="301">
        <v>12</v>
      </c>
      <c r="M9184" s="163" t="str">
        <f>CONCATENATE(H9184," ",F9184,"(обрабатываемая площадь в мес.)","*",L9184,"мес.","*",I9184,"/",K9184,"чел/час")</f>
        <v>2747,26 м2(обрабатываемая площадь в мес.)*12мес.*0,01644/13968чел/час</v>
      </c>
      <c r="N9184" s="302">
        <f>N8874</f>
        <v>1.7523653870887115</v>
      </c>
      <c r="O9184" s="303">
        <f>MROUND(N9184*G9184,0.000001)</f>
        <v>6.7993999999999999E-2</v>
      </c>
      <c r="P9184" s="166"/>
      <c r="Q9184" s="166">
        <f t="shared" si="2651"/>
        <v>949.74019199999998</v>
      </c>
      <c r="R9184" s="71"/>
    </row>
    <row r="9185" spans="1:41" s="135" customFormat="1" ht="31.5" x14ac:dyDescent="0.25">
      <c r="A9185" s="358"/>
      <c r="B9185" s="361"/>
      <c r="C9185" s="366"/>
      <c r="D9185" s="156" t="s">
        <v>385</v>
      </c>
      <c r="E9185" s="156" t="s">
        <v>22</v>
      </c>
      <c r="F9185" s="156" t="s">
        <v>22</v>
      </c>
      <c r="G9185" s="238">
        <f t="shared" si="2652"/>
        <v>7.7603014432999995E-2</v>
      </c>
      <c r="H9185" s="242">
        <f>$H$2098</f>
        <v>2747.26</v>
      </c>
      <c r="I9185" s="298">
        <f>I9184</f>
        <v>1.644E-2</v>
      </c>
      <c r="J9185" s="160"/>
      <c r="K9185" s="300">
        <f>K9184</f>
        <v>13968</v>
      </c>
      <c r="L9185" s="162">
        <v>24</v>
      </c>
      <c r="M9185" s="163" t="str">
        <f>CONCATENATE(H9185," ",F9185,"(обрабатываемая площадь в год)","*",L9185," раза в год.","*",I9185,"/",K9185,"чел.")</f>
        <v>2747,26 м2(обрабатываемая площадь в год)*24 раза в год.*0,01644/13968чел.</v>
      </c>
      <c r="N9185" s="164">
        <f>$N$8875</f>
        <v>1.9341167805983659</v>
      </c>
      <c r="O9185" s="165">
        <f>MROUND(G9185*N9185,0.000001)</f>
        <v>0.150093</v>
      </c>
      <c r="P9185" s="166"/>
      <c r="Q9185" s="166">
        <f t="shared" si="2651"/>
        <v>2096.4990240000002</v>
      </c>
      <c r="R9185" s="71"/>
      <c r="S9185" s="61"/>
      <c r="T9185" s="61"/>
      <c r="U9185" s="61"/>
      <c r="V9185" s="61"/>
      <c r="W9185" s="61"/>
      <c r="X9185" s="61"/>
      <c r="Y9185" s="61"/>
      <c r="Z9185" s="61"/>
      <c r="AA9185" s="61"/>
      <c r="AB9185" s="61"/>
      <c r="AC9185" s="61"/>
      <c r="AD9185" s="61"/>
      <c r="AE9185" s="61"/>
      <c r="AF9185" s="61"/>
      <c r="AG9185" s="61"/>
      <c r="AH9185" s="61"/>
      <c r="AI9185" s="61"/>
      <c r="AJ9185" s="61"/>
      <c r="AK9185" s="61"/>
      <c r="AL9185" s="61"/>
      <c r="AM9185" s="61"/>
      <c r="AN9185" s="61"/>
      <c r="AO9185" s="61"/>
    </row>
    <row r="9186" spans="1:41" s="135" customFormat="1" ht="31.5" x14ac:dyDescent="0.25">
      <c r="A9186" s="358"/>
      <c r="B9186" s="361"/>
      <c r="C9186" s="366"/>
      <c r="D9186" s="156" t="s">
        <v>394</v>
      </c>
      <c r="E9186" s="156" t="s">
        <v>22</v>
      </c>
      <c r="F9186" s="156" t="s">
        <v>22</v>
      </c>
      <c r="G9186" s="238">
        <f t="shared" si="2652"/>
        <v>7.0057280412000003E-2</v>
      </c>
      <c r="H9186" s="243">
        <f>$H$2099</f>
        <v>4960.26</v>
      </c>
      <c r="I9186" s="298">
        <f>I9185</f>
        <v>1.644E-2</v>
      </c>
      <c r="J9186" s="160"/>
      <c r="K9186" s="300">
        <f>K9185</f>
        <v>13968</v>
      </c>
      <c r="L9186" s="162">
        <v>12</v>
      </c>
      <c r="M9186" s="163" t="str">
        <f>CONCATENATE(H9186," ",F9186,"(обрабатываемая площадь в мес.)","*",L9186,"мес.","*",I9186,"/",K9186,"чел.")</f>
        <v>4960,26 м2(обрабатываемая площадь в мес.)*12мес.*0,01644/13968чел.</v>
      </c>
      <c r="N9186" s="164">
        <f>$N$8876</f>
        <v>0.59287281983874496</v>
      </c>
      <c r="O9186" s="165">
        <f>MROUND(G9186*N9186,0.000001)</f>
        <v>4.1534999999999996E-2</v>
      </c>
      <c r="P9186" s="166"/>
      <c r="Q9186" s="166">
        <f t="shared" si="2651"/>
        <v>580.16087999999991</v>
      </c>
      <c r="R9186" s="71"/>
      <c r="S9186" s="61"/>
      <c r="T9186" s="61"/>
      <c r="U9186" s="61"/>
      <c r="V9186" s="61"/>
      <c r="W9186" s="61"/>
      <c r="X9186" s="61"/>
      <c r="Y9186" s="61"/>
      <c r="Z9186" s="61"/>
      <c r="AA9186" s="61"/>
      <c r="AB9186" s="61"/>
      <c r="AC9186" s="61"/>
      <c r="AD9186" s="61"/>
      <c r="AE9186" s="61"/>
      <c r="AF9186" s="61"/>
      <c r="AG9186" s="61"/>
      <c r="AH9186" s="61"/>
      <c r="AI9186" s="61"/>
      <c r="AJ9186" s="61"/>
      <c r="AK9186" s="61"/>
      <c r="AL9186" s="61"/>
      <c r="AM9186" s="61"/>
      <c r="AN9186" s="61"/>
      <c r="AO9186" s="61"/>
    </row>
    <row r="9187" spans="1:41" s="135" customFormat="1" ht="31.5" x14ac:dyDescent="0.25">
      <c r="A9187" s="358"/>
      <c r="B9187" s="361"/>
      <c r="C9187" s="366"/>
      <c r="D9187" s="156" t="s">
        <v>395</v>
      </c>
      <c r="E9187" s="156" t="s">
        <v>98</v>
      </c>
      <c r="F9187" s="156" t="s">
        <v>98</v>
      </c>
      <c r="G9187" s="238">
        <f t="shared" si="2652"/>
        <v>2.2127149999999998E-6</v>
      </c>
      <c r="H9187" s="242">
        <f>$H$2100</f>
        <v>1.8800000000000001</v>
      </c>
      <c r="I9187" s="298">
        <f>I9186</f>
        <v>1.644E-2</v>
      </c>
      <c r="J9187" s="160"/>
      <c r="K9187" s="300">
        <f>K9186</f>
        <v>13968</v>
      </c>
      <c r="L9187" s="162">
        <v>1</v>
      </c>
      <c r="M9187" s="163" t="str">
        <f>CONCATENATE(H9187," ",F9187,"(обрабатываемая площадь в год)","*",L9187," раз в год","*",I9187,"/",K9187,"чел.")</f>
        <v>1,88 Га(обрабатываемая площадь в год)*1 раз в год*0,01644/13968чел.</v>
      </c>
      <c r="N9187" s="164">
        <f>$N$8877</f>
        <v>592.87234042553177</v>
      </c>
      <c r="O9187" s="165">
        <f>MROUND(G9187*N9187,0.000001)</f>
        <v>1.312E-3</v>
      </c>
      <c r="P9187" s="166"/>
      <c r="Q9187" s="166">
        <f t="shared" si="2651"/>
        <v>18.326015999999999</v>
      </c>
      <c r="R9187" s="71"/>
      <c r="S9187" s="61"/>
      <c r="T9187" s="61"/>
      <c r="U9187" s="61"/>
      <c r="V9187" s="61"/>
      <c r="W9187" s="61"/>
      <c r="X9187" s="61"/>
      <c r="Y9187" s="61"/>
      <c r="Z9187" s="61"/>
      <c r="AA9187" s="61"/>
      <c r="AB9187" s="61"/>
      <c r="AC9187" s="61"/>
      <c r="AD9187" s="61"/>
      <c r="AE9187" s="61"/>
      <c r="AF9187" s="61"/>
      <c r="AG9187" s="61"/>
      <c r="AH9187" s="61"/>
      <c r="AI9187" s="61"/>
      <c r="AJ9187" s="61"/>
      <c r="AK9187" s="61"/>
      <c r="AL9187" s="61"/>
      <c r="AM9187" s="61"/>
      <c r="AN9187" s="61"/>
      <c r="AO9187" s="61"/>
    </row>
    <row r="9188" spans="1:41" s="61" customFormat="1" ht="31.5" x14ac:dyDescent="0.25">
      <c r="A9188" s="358"/>
      <c r="B9188" s="361"/>
      <c r="C9188" s="367"/>
      <c r="D9188" s="156" t="s">
        <v>97</v>
      </c>
      <c r="E9188" s="296" t="s">
        <v>363</v>
      </c>
      <c r="F9188" s="296" t="s">
        <v>363</v>
      </c>
      <c r="G9188" s="238">
        <f t="shared" si="2652"/>
        <v>2.2127149999999998E-6</v>
      </c>
      <c r="H9188" s="158">
        <f>$H$2101</f>
        <v>1.8800000000000001</v>
      </c>
      <c r="I9188" s="298">
        <f>I9184</f>
        <v>1.644E-2</v>
      </c>
      <c r="J9188" s="299"/>
      <c r="K9188" s="300">
        <f>K9184</f>
        <v>13968</v>
      </c>
      <c r="L9188" s="301">
        <v>1</v>
      </c>
      <c r="M9188" s="163" t="str">
        <f>CONCATENATE(H9188," ",F9188,"(обрабатываемая площадь в мес.)","*",L9188,"мес.","*",I9188,"/",K9188,"чел/час")</f>
        <v>1,88 га(обрабатываемая площадь в мес.)*1мес.*0,01644/13968чел/час</v>
      </c>
      <c r="N9188" s="278">
        <f>$N$8878</f>
        <v>3226.4999999999995</v>
      </c>
      <c r="O9188" s="303">
        <f>MROUND(N9188*G9188,0.000001)</f>
        <v>7.1389999999999995E-3</v>
      </c>
      <c r="P9188" s="166"/>
      <c r="Q9188" s="166">
        <f t="shared" si="2651"/>
        <v>99.717551999999998</v>
      </c>
      <c r="R9188" s="71"/>
    </row>
    <row r="9189" spans="1:41" s="111" customFormat="1" x14ac:dyDescent="0.25">
      <c r="A9189" s="358"/>
      <c r="B9189" s="361"/>
      <c r="C9189" s="218" t="s">
        <v>327</v>
      </c>
      <c r="D9189" s="240"/>
      <c r="E9189" s="240"/>
      <c r="F9189" s="240"/>
      <c r="G9189" s="227"/>
      <c r="H9189" s="241"/>
      <c r="I9189" s="206"/>
      <c r="J9189" s="228"/>
      <c r="K9189" s="207"/>
      <c r="L9189" s="257"/>
      <c r="M9189" s="209"/>
      <c r="N9189" s="281"/>
      <c r="O9189" s="279">
        <f>SUM(O9183:O9188)</f>
        <v>0.35612699999999997</v>
      </c>
      <c r="P9189" s="304"/>
      <c r="Q9189" s="166"/>
      <c r="R9189" s="71"/>
      <c r="S9189" s="113"/>
      <c r="T9189" s="113"/>
      <c r="U9189" s="113"/>
      <c r="V9189" s="113"/>
      <c r="W9189" s="113"/>
      <c r="X9189" s="113"/>
      <c r="Y9189" s="113"/>
      <c r="Z9189" s="113"/>
      <c r="AA9189" s="113"/>
      <c r="AB9189" s="113"/>
      <c r="AC9189" s="113"/>
      <c r="AD9189" s="113"/>
      <c r="AE9189" s="113"/>
      <c r="AF9189" s="113"/>
      <c r="AG9189" s="113"/>
      <c r="AH9189" s="113"/>
      <c r="AI9189" s="113"/>
      <c r="AJ9189" s="113"/>
      <c r="AK9189" s="113"/>
      <c r="AL9189" s="113"/>
      <c r="AM9189" s="113"/>
      <c r="AN9189" s="113"/>
      <c r="AO9189" s="113"/>
    </row>
    <row r="9190" spans="1:41" s="61" customFormat="1" x14ac:dyDescent="0.25">
      <c r="A9190" s="358"/>
      <c r="B9190" s="361"/>
      <c r="C9190" s="366" t="s">
        <v>77</v>
      </c>
      <c r="D9190" s="156" t="s">
        <v>397</v>
      </c>
      <c r="E9190" s="156" t="s">
        <v>433</v>
      </c>
      <c r="F9190" s="156" t="s">
        <v>433</v>
      </c>
      <c r="G9190" s="238">
        <f t="shared" ref="G9190:G9204" si="2653">MROUND(H9190*L9190*I9190/K9190,0.000000000001)</f>
        <v>0</v>
      </c>
      <c r="H9190" s="305"/>
      <c r="I9190" s="306">
        <f>I9184</f>
        <v>1.644E-2</v>
      </c>
      <c r="J9190" s="307"/>
      <c r="K9190" s="308">
        <f>K9184</f>
        <v>13968</v>
      </c>
      <c r="L9190" s="162">
        <v>1</v>
      </c>
      <c r="M9190" s="163"/>
      <c r="N9190" s="309"/>
      <c r="O9190" s="310">
        <f t="shared" ref="O9190:O9201" si="2654">MROUND(N9190*G9190,0.000001)</f>
        <v>0</v>
      </c>
      <c r="P9190" s="166"/>
      <c r="Q9190" s="166">
        <f t="shared" ref="Q9190:Q9204" si="2655">O9190*K9190</f>
        <v>0</v>
      </c>
      <c r="R9190" s="71"/>
    </row>
    <row r="9191" spans="1:41" s="61" customFormat="1" ht="63" x14ac:dyDescent="0.25">
      <c r="A9191" s="358"/>
      <c r="B9191" s="361"/>
      <c r="C9191" s="366"/>
      <c r="D9191" s="156" t="s">
        <v>249</v>
      </c>
      <c r="E9191" s="156" t="s">
        <v>22</v>
      </c>
      <c r="F9191" s="156" t="s">
        <v>22</v>
      </c>
      <c r="G9191" s="238">
        <f t="shared" si="2653"/>
        <v>9.7565185570000004E-3</v>
      </c>
      <c r="H9191" s="158">
        <f>H8881</f>
        <v>690.79</v>
      </c>
      <c r="I9191" s="159">
        <f>I9190</f>
        <v>1.644E-2</v>
      </c>
      <c r="J9191" s="160"/>
      <c r="K9191" s="161">
        <f>K9190</f>
        <v>13968</v>
      </c>
      <c r="L9191" s="250">
        <v>12</v>
      </c>
      <c r="M9191" s="163" t="str">
        <f>CONCATENATE(H9191," ",F9191,"*",L9191,"мес.","*",I9191,"/",K9191,"чел/час")</f>
        <v>690,79 м2*12мес.*0,01644/13968чел/час</v>
      </c>
      <c r="N9191" s="278">
        <f>N8881</f>
        <v>32.968811071382042</v>
      </c>
      <c r="O9191" s="280">
        <f t="shared" si="2654"/>
        <v>0.32166099999999997</v>
      </c>
      <c r="P9191" s="166"/>
      <c r="Q9191" s="166">
        <f t="shared" si="2655"/>
        <v>4492.9608479999997</v>
      </c>
      <c r="R9191" s="71"/>
    </row>
    <row r="9192" spans="1:41" s="136" customFormat="1" x14ac:dyDescent="0.25">
      <c r="A9192" s="358"/>
      <c r="B9192" s="361"/>
      <c r="C9192" s="366"/>
      <c r="D9192" s="194" t="s">
        <v>398</v>
      </c>
      <c r="E9192" s="156" t="s">
        <v>60</v>
      </c>
      <c r="F9192" s="156" t="s">
        <v>60</v>
      </c>
      <c r="G9192" s="238">
        <f t="shared" si="2653"/>
        <v>5.8848799999999996E-6</v>
      </c>
      <c r="H9192" s="158">
        <f>$H$2105</f>
        <v>5</v>
      </c>
      <c r="I9192" s="159">
        <f>I9191</f>
        <v>1.644E-2</v>
      </c>
      <c r="J9192" s="160"/>
      <c r="K9192" s="161">
        <f>K9191</f>
        <v>13968</v>
      </c>
      <c r="L9192" s="250">
        <v>1</v>
      </c>
      <c r="M9192" s="163" t="str">
        <f>CONCATENATE(H9192," ",F9192,"*",I9192,"/",K9192,"чел/час")</f>
        <v>5 шт.*0,01644/13968чел/час</v>
      </c>
      <c r="N9192" s="278">
        <f>$N$8882</f>
        <v>5928.7300000000005</v>
      </c>
      <c r="O9192" s="280">
        <f t="shared" si="2654"/>
        <v>3.4889999999999997E-2</v>
      </c>
      <c r="P9192" s="166"/>
      <c r="Q9192" s="166">
        <f t="shared" si="2655"/>
        <v>487.34351999999996</v>
      </c>
      <c r="R9192" s="71"/>
      <c r="S9192" s="61"/>
      <c r="T9192" s="61"/>
      <c r="U9192" s="61"/>
      <c r="V9192" s="61"/>
      <c r="W9192" s="61"/>
      <c r="X9192" s="61"/>
      <c r="Y9192" s="61"/>
      <c r="Z9192" s="61"/>
      <c r="AA9192" s="61"/>
      <c r="AB9192" s="61"/>
      <c r="AC9192" s="61"/>
      <c r="AD9192" s="61"/>
      <c r="AE9192" s="61"/>
      <c r="AF9192" s="61"/>
      <c r="AG9192" s="61"/>
      <c r="AH9192" s="61"/>
      <c r="AI9192" s="61"/>
      <c r="AJ9192" s="61"/>
      <c r="AK9192" s="61"/>
      <c r="AL9192" s="61"/>
      <c r="AM9192" s="61"/>
      <c r="AN9192" s="61"/>
      <c r="AO9192" s="61"/>
    </row>
    <row r="9193" spans="1:41" s="136" customFormat="1" ht="63" x14ac:dyDescent="0.25">
      <c r="A9193" s="358"/>
      <c r="B9193" s="361"/>
      <c r="C9193" s="366"/>
      <c r="D9193" s="156" t="s">
        <v>33</v>
      </c>
      <c r="E9193" s="156" t="s">
        <v>56</v>
      </c>
      <c r="F9193" s="156" t="s">
        <v>220</v>
      </c>
      <c r="G9193" s="238">
        <f t="shared" si="2653"/>
        <v>5.8848799999999996E-6</v>
      </c>
      <c r="H9193" s="158">
        <f>$H$2106</f>
        <v>5</v>
      </c>
      <c r="I9193" s="159">
        <f>I9192</f>
        <v>1.644E-2</v>
      </c>
      <c r="J9193" s="160"/>
      <c r="K9193" s="161">
        <f>K9192</f>
        <v>13968</v>
      </c>
      <c r="L9193" s="250">
        <f>$L$2106</f>
        <v>1</v>
      </c>
      <c r="M9193" s="163" t="str">
        <f>CONCATENATE(H9193," ",F9193,"*",L9193," раз в год","*",I9193,"/",K9193,"чел.")</f>
        <v>5 дымоходов*1 раз в год*0,01644/13968чел.</v>
      </c>
      <c r="N9193" s="278">
        <f>$N$8883</f>
        <v>7114.4699999999993</v>
      </c>
      <c r="O9193" s="280">
        <f t="shared" si="2654"/>
        <v>4.1867999999999995E-2</v>
      </c>
      <c r="P9193" s="166"/>
      <c r="Q9193" s="166">
        <f t="shared" si="2655"/>
        <v>584.8122239999999</v>
      </c>
      <c r="R9193" s="71"/>
      <c r="S9193" s="61"/>
      <c r="T9193" s="61"/>
      <c r="U9193" s="61"/>
      <c r="V9193" s="61"/>
      <c r="W9193" s="61"/>
      <c r="X9193" s="61"/>
      <c r="Y9193" s="61"/>
      <c r="Z9193" s="61"/>
      <c r="AA9193" s="61"/>
      <c r="AB9193" s="61"/>
      <c r="AC9193" s="61"/>
      <c r="AD9193" s="61"/>
      <c r="AE9193" s="61"/>
      <c r="AF9193" s="61"/>
      <c r="AG9193" s="61"/>
      <c r="AH9193" s="61"/>
      <c r="AI9193" s="61"/>
      <c r="AJ9193" s="61"/>
      <c r="AK9193" s="61"/>
      <c r="AL9193" s="61"/>
      <c r="AM9193" s="61"/>
      <c r="AN9193" s="61"/>
      <c r="AO9193" s="61"/>
    </row>
    <row r="9194" spans="1:41" s="61" customFormat="1" ht="78.75" x14ac:dyDescent="0.25">
      <c r="A9194" s="358"/>
      <c r="B9194" s="361"/>
      <c r="C9194" s="366"/>
      <c r="D9194" s="156" t="s">
        <v>250</v>
      </c>
      <c r="E9194" s="156" t="s">
        <v>251</v>
      </c>
      <c r="F9194" s="156" t="s">
        <v>60</v>
      </c>
      <c r="G9194" s="238">
        <f t="shared" si="2653"/>
        <v>5.8848799999999996E-6</v>
      </c>
      <c r="H9194" s="158">
        <f>$H$2107</f>
        <v>5</v>
      </c>
      <c r="I9194" s="159">
        <f>I9191</f>
        <v>1.644E-2</v>
      </c>
      <c r="J9194" s="160"/>
      <c r="K9194" s="161">
        <f>K9191</f>
        <v>13968</v>
      </c>
      <c r="L9194" s="250">
        <v>1</v>
      </c>
      <c r="M9194" s="163" t="str">
        <f>CONCATENATE(H9194," ",F9194,"*",I9194,"/",K9194,"чел/час")</f>
        <v>5 шт.*0,01644/13968чел/час</v>
      </c>
      <c r="N9194" s="278">
        <f t="shared" ref="N9194:N9204" si="2656">N8884</f>
        <v>4742.9800000000005</v>
      </c>
      <c r="O9194" s="280">
        <f t="shared" si="2654"/>
        <v>2.7911999999999999E-2</v>
      </c>
      <c r="P9194" s="166"/>
      <c r="Q9194" s="166">
        <f t="shared" si="2655"/>
        <v>389.87481600000001</v>
      </c>
      <c r="R9194" s="71"/>
    </row>
    <row r="9195" spans="1:41" s="61" customFormat="1" ht="47.25" x14ac:dyDescent="0.25">
      <c r="A9195" s="358"/>
      <c r="B9195" s="361"/>
      <c r="C9195" s="366"/>
      <c r="D9195" s="156" t="s">
        <v>401</v>
      </c>
      <c r="E9195" s="156" t="s">
        <v>60</v>
      </c>
      <c r="F9195" s="156" t="s">
        <v>402</v>
      </c>
      <c r="G9195" s="238">
        <f t="shared" si="2653"/>
        <v>1.1769759E-5</v>
      </c>
      <c r="H9195" s="158">
        <f>H8885</f>
        <v>5</v>
      </c>
      <c r="I9195" s="159">
        <f>I9194</f>
        <v>1.644E-2</v>
      </c>
      <c r="J9195" s="160"/>
      <c r="K9195" s="161">
        <f>K9194</f>
        <v>13968</v>
      </c>
      <c r="L9195" s="250">
        <f>$L$2108</f>
        <v>2</v>
      </c>
      <c r="M9195" s="163" t="str">
        <f>CONCATENATE(H9195," ",F9195,"*",I9195,"/",K9195,"чел/час")</f>
        <v>5 противопожарных водопроводов*0,01644/13968чел/час</v>
      </c>
      <c r="N9195" s="278">
        <f t="shared" si="2656"/>
        <v>2964.3650000000002</v>
      </c>
      <c r="O9195" s="280">
        <f t="shared" si="2654"/>
        <v>3.4889999999999997E-2</v>
      </c>
      <c r="P9195" s="166"/>
      <c r="Q9195" s="166">
        <f t="shared" si="2655"/>
        <v>487.34351999999996</v>
      </c>
      <c r="R9195" s="71"/>
    </row>
    <row r="9196" spans="1:41" s="61" customFormat="1" ht="47.25" x14ac:dyDescent="0.25">
      <c r="A9196" s="358"/>
      <c r="B9196" s="361"/>
      <c r="C9196" s="366"/>
      <c r="D9196" s="156" t="s">
        <v>34</v>
      </c>
      <c r="E9196" s="156" t="s">
        <v>59</v>
      </c>
      <c r="F9196" s="156" t="s">
        <v>28</v>
      </c>
      <c r="G9196" s="238">
        <f t="shared" si="2653"/>
        <v>2.3539519999999998E-6</v>
      </c>
      <c r="H9196" s="158">
        <f>H8886</f>
        <v>2</v>
      </c>
      <c r="I9196" s="159">
        <f>I9195</f>
        <v>1.644E-2</v>
      </c>
      <c r="J9196" s="160"/>
      <c r="K9196" s="161">
        <f>K9195</f>
        <v>13968</v>
      </c>
      <c r="L9196" s="250">
        <v>1</v>
      </c>
      <c r="M9196" s="163" t="str">
        <f>CONCATENATE(H9196," ",F9196,"*",I9196,"/",K9196,"чел/час")</f>
        <v>2 шт*0,01644/13968чел/час</v>
      </c>
      <c r="N9196" s="278">
        <f t="shared" si="2656"/>
        <v>8158.8</v>
      </c>
      <c r="O9196" s="280">
        <f t="shared" si="2654"/>
        <v>1.9205E-2</v>
      </c>
      <c r="P9196" s="166"/>
      <c r="Q9196" s="166">
        <f t="shared" si="2655"/>
        <v>268.25544000000002</v>
      </c>
      <c r="R9196" s="71"/>
    </row>
    <row r="9197" spans="1:41" s="61" customFormat="1" ht="47.25" x14ac:dyDescent="0.25">
      <c r="A9197" s="358"/>
      <c r="B9197" s="361"/>
      <c r="C9197" s="366"/>
      <c r="D9197" s="156" t="s">
        <v>222</v>
      </c>
      <c r="E9197" s="156" t="s">
        <v>60</v>
      </c>
      <c r="F9197" s="156" t="s">
        <v>60</v>
      </c>
      <c r="G9197" s="238">
        <f t="shared" si="2653"/>
        <v>2.3539519999999998E-6</v>
      </c>
      <c r="H9197" s="158">
        <f>H8887</f>
        <v>2</v>
      </c>
      <c r="I9197" s="159">
        <f>I9196</f>
        <v>1.644E-2</v>
      </c>
      <c r="J9197" s="160"/>
      <c r="K9197" s="161">
        <f>K9196</f>
        <v>13968</v>
      </c>
      <c r="L9197" s="250">
        <v>1</v>
      </c>
      <c r="M9197" s="163" t="str">
        <f>CONCATENATE(H9197," ",F9197,"*",I9197,"/",K9197,"чел/час")</f>
        <v>2 шт.*0,01644/13968чел/час</v>
      </c>
      <c r="N9197" s="278">
        <f t="shared" si="2656"/>
        <v>14141.92</v>
      </c>
      <c r="O9197" s="280">
        <f t="shared" si="2654"/>
        <v>3.3288999999999999E-2</v>
      </c>
      <c r="P9197" s="166"/>
      <c r="Q9197" s="166">
        <f t="shared" si="2655"/>
        <v>464.980752</v>
      </c>
      <c r="R9197" s="71"/>
    </row>
    <row r="9198" spans="1:41" s="61" customFormat="1" ht="31.5" x14ac:dyDescent="0.25">
      <c r="A9198" s="358"/>
      <c r="B9198" s="361"/>
      <c r="C9198" s="366"/>
      <c r="D9198" s="156" t="s">
        <v>35</v>
      </c>
      <c r="E9198" s="156" t="s">
        <v>102</v>
      </c>
      <c r="F9198" s="156" t="s">
        <v>252</v>
      </c>
      <c r="G9198" s="238">
        <f t="shared" si="2653"/>
        <v>2.3539519999999998E-6</v>
      </c>
      <c r="H9198" s="158">
        <f>H8888</f>
        <v>2</v>
      </c>
      <c r="I9198" s="159">
        <f>I9196</f>
        <v>1.644E-2</v>
      </c>
      <c r="J9198" s="160"/>
      <c r="K9198" s="161">
        <f>K9196</f>
        <v>13968</v>
      </c>
      <c r="L9198" s="250">
        <v>1</v>
      </c>
      <c r="M9198" s="163" t="str">
        <f>CONCATENATE(H9198," ",F9198,"*",I9198,"/",K9198,"чел/час")</f>
        <v>2 замера*0,01644/13968чел/час</v>
      </c>
      <c r="N9198" s="278">
        <f t="shared" si="2656"/>
        <v>40794</v>
      </c>
      <c r="O9198" s="280">
        <f t="shared" si="2654"/>
        <v>9.6027000000000001E-2</v>
      </c>
      <c r="P9198" s="166"/>
      <c r="Q9198" s="166">
        <f t="shared" si="2655"/>
        <v>1341.3051359999999</v>
      </c>
      <c r="R9198" s="71"/>
    </row>
    <row r="9199" spans="1:41" s="61" customFormat="1" ht="47.25" x14ac:dyDescent="0.25">
      <c r="A9199" s="358"/>
      <c r="B9199" s="361"/>
      <c r="C9199" s="366"/>
      <c r="D9199" s="156" t="s">
        <v>399</v>
      </c>
      <c r="E9199" s="156" t="s">
        <v>60</v>
      </c>
      <c r="F9199" s="156" t="s">
        <v>60</v>
      </c>
      <c r="G9199" s="238">
        <f t="shared" si="2653"/>
        <v>4.7079037999999998E-5</v>
      </c>
      <c r="H9199" s="158">
        <f>$H$2112</f>
        <v>4</v>
      </c>
      <c r="I9199" s="159">
        <f>I9198</f>
        <v>1.644E-2</v>
      </c>
      <c r="J9199" s="160"/>
      <c r="K9199" s="161">
        <f>K9198</f>
        <v>13968</v>
      </c>
      <c r="L9199" s="250">
        <v>10</v>
      </c>
      <c r="M9199" s="163" t="str">
        <f>CONCATENATE(H9199," ",F9199,"*",L9199,"мес.","*",I9199,"/",K9199,"чел/час")</f>
        <v>4 шт.*10мес.*0,01644/13968чел/час</v>
      </c>
      <c r="N9199" s="278">
        <f t="shared" si="2656"/>
        <v>2623.4625000000001</v>
      </c>
      <c r="O9199" s="280">
        <f t="shared" si="2654"/>
        <v>0.12350999999999999</v>
      </c>
      <c r="P9199" s="166"/>
      <c r="Q9199" s="166">
        <f t="shared" si="2655"/>
        <v>1725.18768</v>
      </c>
      <c r="R9199" s="71"/>
    </row>
    <row r="9200" spans="1:41" s="61" customFormat="1" ht="47.25" x14ac:dyDescent="0.25">
      <c r="A9200" s="358"/>
      <c r="B9200" s="361"/>
      <c r="C9200" s="366"/>
      <c r="D9200" s="156" t="s">
        <v>36</v>
      </c>
      <c r="E9200" s="156" t="s">
        <v>31</v>
      </c>
      <c r="F9200" s="156" t="s">
        <v>224</v>
      </c>
      <c r="G9200" s="238">
        <f t="shared" si="2653"/>
        <v>1.12989691E-4</v>
      </c>
      <c r="H9200" s="158">
        <f>H8890</f>
        <v>8</v>
      </c>
      <c r="I9200" s="159">
        <f>I9199</f>
        <v>1.644E-2</v>
      </c>
      <c r="J9200" s="160"/>
      <c r="K9200" s="161">
        <f>K9199</f>
        <v>13968</v>
      </c>
      <c r="L9200" s="250">
        <v>12</v>
      </c>
      <c r="M9200" s="163" t="str">
        <f>CONCATENATE(H9200," ",F9200,"*",L9200,"мес.","*",I9200,"/",K9200,"чел/час")</f>
        <v>8 устройств*12мес.*0,01644/13968чел/час</v>
      </c>
      <c r="N9200" s="278">
        <f t="shared" si="2656"/>
        <v>2393.2480208333336</v>
      </c>
      <c r="O9200" s="280">
        <f t="shared" si="2654"/>
        <v>0.27041199999999999</v>
      </c>
      <c r="P9200" s="166"/>
      <c r="Q9200" s="166">
        <f t="shared" si="2655"/>
        <v>3777.1148159999998</v>
      </c>
      <c r="R9200" s="71"/>
    </row>
    <row r="9201" spans="1:41" s="61" customFormat="1" ht="63" x14ac:dyDescent="0.25">
      <c r="A9201" s="358"/>
      <c r="B9201" s="361"/>
      <c r="C9201" s="366"/>
      <c r="D9201" s="156" t="s">
        <v>253</v>
      </c>
      <c r="E9201" s="156" t="s">
        <v>55</v>
      </c>
      <c r="F9201" s="156" t="s">
        <v>55</v>
      </c>
      <c r="G9201" s="238">
        <f t="shared" si="2653"/>
        <v>7.0618557000000004E-5</v>
      </c>
      <c r="H9201" s="158">
        <f>H8891</f>
        <v>5</v>
      </c>
      <c r="I9201" s="159">
        <f>I9200</f>
        <v>1.644E-2</v>
      </c>
      <c r="J9201" s="160"/>
      <c r="K9201" s="161">
        <f>K9200</f>
        <v>13968</v>
      </c>
      <c r="L9201" s="250">
        <v>12</v>
      </c>
      <c r="M9201" s="163" t="str">
        <f>CONCATENATE(H9201," ",F9201,"*",I9201,"/",K9201,"чел/час")</f>
        <v>5 система*0,01644/13968чел/час</v>
      </c>
      <c r="N9201" s="278">
        <f t="shared" si="2656"/>
        <v>4624.4081666666671</v>
      </c>
      <c r="O9201" s="280">
        <f t="shared" si="2654"/>
        <v>0.326569</v>
      </c>
      <c r="P9201" s="166"/>
      <c r="Q9201" s="166">
        <f t="shared" si="2655"/>
        <v>4561.5157920000001</v>
      </c>
      <c r="R9201" s="71"/>
    </row>
    <row r="9202" spans="1:41" s="61" customFormat="1" ht="31.5" x14ac:dyDescent="0.25">
      <c r="A9202" s="358"/>
      <c r="B9202" s="361"/>
      <c r="C9202" s="366"/>
      <c r="D9202" s="156" t="s">
        <v>99</v>
      </c>
      <c r="E9202" s="156" t="s">
        <v>103</v>
      </c>
      <c r="F9202" s="156" t="s">
        <v>225</v>
      </c>
      <c r="G9202" s="238">
        <f t="shared" si="2653"/>
        <v>2.9424399E-5</v>
      </c>
      <c r="H9202" s="158">
        <f>H8892</f>
        <v>25</v>
      </c>
      <c r="I9202" s="159">
        <f>I9201</f>
        <v>1.644E-2</v>
      </c>
      <c r="J9202" s="160"/>
      <c r="K9202" s="161">
        <f>K9201</f>
        <v>13968</v>
      </c>
      <c r="L9202" s="250">
        <v>1</v>
      </c>
      <c r="M9202" s="163" t="str">
        <f>CONCATENATE(H9202," ",F9202,"*",I9202,"/",K9202,"чел.")</f>
        <v>25 ед.*0,01644/13968чел.</v>
      </c>
      <c r="N9202" s="164">
        <f t="shared" si="2656"/>
        <v>15690</v>
      </c>
      <c r="O9202" s="165">
        <f>MROUND(G9202*N9202,0.000001)</f>
        <v>0.461669</v>
      </c>
      <c r="P9202" s="166"/>
      <c r="Q9202" s="166">
        <f t="shared" si="2655"/>
        <v>6448.592592</v>
      </c>
      <c r="R9202" s="71"/>
    </row>
    <row r="9203" spans="1:41" s="61" customFormat="1" x14ac:dyDescent="0.25">
      <c r="A9203" s="358"/>
      <c r="B9203" s="361"/>
      <c r="C9203" s="366"/>
      <c r="D9203" s="156" t="s">
        <v>27</v>
      </c>
      <c r="E9203" s="156" t="s">
        <v>28</v>
      </c>
      <c r="F9203" s="156" t="s">
        <v>28</v>
      </c>
      <c r="G9203" s="238">
        <f t="shared" si="2653"/>
        <v>1.7654639200000001E-4</v>
      </c>
      <c r="H9203" s="160">
        <f>H8893</f>
        <v>150</v>
      </c>
      <c r="I9203" s="159">
        <f>I9201</f>
        <v>1.644E-2</v>
      </c>
      <c r="J9203" s="160"/>
      <c r="K9203" s="161">
        <f>K9201</f>
        <v>13968</v>
      </c>
      <c r="L9203" s="250">
        <v>1</v>
      </c>
      <c r="M9203" s="163" t="str">
        <f>CONCATENATE(H9203," ",F9203,"*",I9203,"/",K9203,"чел/час")</f>
        <v>150 шт*0,01644/13968чел/час</v>
      </c>
      <c r="N9203" s="278">
        <f t="shared" si="2656"/>
        <v>435.13599999999997</v>
      </c>
      <c r="O9203" s="280">
        <f t="shared" ref="O9203:O9204" si="2657">MROUND(N9203*G9203,0.000001)</f>
        <v>7.6822000000000001E-2</v>
      </c>
      <c r="P9203" s="166"/>
      <c r="Q9203" s="166">
        <f t="shared" si="2655"/>
        <v>1073.049696</v>
      </c>
      <c r="R9203" s="71"/>
    </row>
    <row r="9204" spans="1:41" s="61" customFormat="1" ht="31.5" x14ac:dyDescent="0.25">
      <c r="A9204" s="358"/>
      <c r="B9204" s="361"/>
      <c r="C9204" s="367"/>
      <c r="D9204" s="156" t="s">
        <v>104</v>
      </c>
      <c r="E9204" s="156" t="s">
        <v>105</v>
      </c>
      <c r="F9204" s="156" t="s">
        <v>226</v>
      </c>
      <c r="G9204" s="238">
        <f t="shared" si="2653"/>
        <v>5.8848799999999996E-6</v>
      </c>
      <c r="H9204" s="160">
        <f>H8894</f>
        <v>5</v>
      </c>
      <c r="I9204" s="159">
        <f>I9203</f>
        <v>1.644E-2</v>
      </c>
      <c r="J9204" s="160"/>
      <c r="K9204" s="161">
        <f>K9203</f>
        <v>13968</v>
      </c>
      <c r="L9204" s="250">
        <v>1</v>
      </c>
      <c r="M9204" s="163" t="str">
        <f>CONCATENATE(H9204," ",F9204,"*",I9204,"/",K9204,"чел/час")</f>
        <v>5 отключений*0,01644/13968чел/час</v>
      </c>
      <c r="N9204" s="278">
        <f t="shared" si="2656"/>
        <v>9790.56</v>
      </c>
      <c r="O9204" s="280">
        <f t="shared" si="2657"/>
        <v>5.7616000000000001E-2</v>
      </c>
      <c r="P9204" s="166"/>
      <c r="Q9204" s="166">
        <f t="shared" si="2655"/>
        <v>804.78028800000004</v>
      </c>
      <c r="R9204" s="71"/>
    </row>
    <row r="9205" spans="1:41" s="109" customFormat="1" x14ac:dyDescent="0.25">
      <c r="A9205" s="358"/>
      <c r="B9205" s="361"/>
      <c r="C9205" s="249" t="s">
        <v>326</v>
      </c>
      <c r="D9205" s="240"/>
      <c r="E9205" s="240"/>
      <c r="F9205" s="240"/>
      <c r="G9205" s="227"/>
      <c r="H9205" s="228"/>
      <c r="I9205" s="206"/>
      <c r="J9205" s="228"/>
      <c r="K9205" s="207"/>
      <c r="L9205" s="257"/>
      <c r="M9205" s="209"/>
      <c r="N9205" s="281"/>
      <c r="O9205" s="279">
        <f>SUM(O9190:O9204)</f>
        <v>1.9263399999999997</v>
      </c>
      <c r="P9205" s="267"/>
      <c r="Q9205" s="166"/>
      <c r="R9205" s="71"/>
      <c r="S9205" s="62"/>
      <c r="T9205" s="62"/>
      <c r="U9205" s="62"/>
      <c r="V9205" s="62"/>
      <c r="W9205" s="62"/>
      <c r="X9205" s="62"/>
      <c r="Y9205" s="62"/>
      <c r="Z9205" s="62"/>
      <c r="AA9205" s="62"/>
      <c r="AB9205" s="62"/>
      <c r="AC9205" s="62"/>
      <c r="AD9205" s="62"/>
      <c r="AE9205" s="62"/>
      <c r="AF9205" s="62"/>
      <c r="AG9205" s="62"/>
      <c r="AH9205" s="62"/>
      <c r="AI9205" s="62"/>
      <c r="AJ9205" s="62"/>
      <c r="AK9205" s="62"/>
      <c r="AL9205" s="62"/>
      <c r="AM9205" s="62"/>
      <c r="AN9205" s="62"/>
      <c r="AO9205" s="62"/>
    </row>
    <row r="9206" spans="1:41" s="61" customFormat="1" ht="31.5" x14ac:dyDescent="0.25">
      <c r="A9206" s="358"/>
      <c r="B9206" s="361"/>
      <c r="C9206" s="221" t="s">
        <v>79</v>
      </c>
      <c r="D9206" s="156" t="s">
        <v>37</v>
      </c>
      <c r="E9206" s="156" t="s">
        <v>61</v>
      </c>
      <c r="F9206" s="156" t="s">
        <v>254</v>
      </c>
      <c r="G9206" s="238">
        <f>MROUND(H9206*L9206*I9206/K9206,0.000000000001)</f>
        <v>1.1769759999999999E-6</v>
      </c>
      <c r="H9206" s="158">
        <f>$H$2119</f>
        <v>1</v>
      </c>
      <c r="I9206" s="159">
        <f>I9204</f>
        <v>1.644E-2</v>
      </c>
      <c r="J9206" s="160"/>
      <c r="K9206" s="161">
        <f>K9204</f>
        <v>13968</v>
      </c>
      <c r="L9206" s="250">
        <v>1</v>
      </c>
      <c r="M9206" s="163" t="str">
        <f>CONCATENATE(H9206," ",F9206,"*",I9206,"/",K9206,"чел/час")</f>
        <v>1 автобус*0,01644/13968чел/час</v>
      </c>
      <c r="N9206" s="278">
        <f>N8896</f>
        <v>25403.41</v>
      </c>
      <c r="O9206" s="280">
        <f>MROUND(N9206*G9206,0.000001)</f>
        <v>2.9898999999999998E-2</v>
      </c>
      <c r="P9206" s="166"/>
      <c r="Q9206" s="166">
        <f>O9206*K9206</f>
        <v>417.629232</v>
      </c>
      <c r="R9206" s="71"/>
    </row>
    <row r="9207" spans="1:41" s="61" customFormat="1" x14ac:dyDescent="0.25">
      <c r="A9207" s="358"/>
      <c r="B9207" s="361"/>
      <c r="C9207" s="221"/>
      <c r="D9207" s="156" t="s">
        <v>255</v>
      </c>
      <c r="E9207" s="156" t="s">
        <v>28</v>
      </c>
      <c r="F9207" s="156" t="s">
        <v>28</v>
      </c>
      <c r="G9207" s="238">
        <f>MROUND(H9207*L9207*I9207/K9207,0.000000000001)</f>
        <v>8.1211340199999996E-4</v>
      </c>
      <c r="H9207" s="158">
        <f>H8897</f>
        <v>345</v>
      </c>
      <c r="I9207" s="159">
        <f>I9206</f>
        <v>1.644E-2</v>
      </c>
      <c r="J9207" s="160"/>
      <c r="K9207" s="161">
        <f>K9206</f>
        <v>13968</v>
      </c>
      <c r="L9207" s="250">
        <v>2</v>
      </c>
      <c r="M9207" s="163" t="str">
        <f>CONCATENATE(H9207," ",F9207,"*",L9207,"раза в год","*",I9207,"/",K9207,"чел/час")</f>
        <v>345 шт*2раза в год*0,01644/13968чел/час</v>
      </c>
      <c r="N9207" s="278">
        <f>N8897</f>
        <v>474.29824637681156</v>
      </c>
      <c r="O9207" s="280">
        <f>MROUND(N9207*G9207,0.000001)</f>
        <v>0.38518399999999997</v>
      </c>
      <c r="P9207" s="166"/>
      <c r="Q9207" s="166">
        <f>O9207*K9207</f>
        <v>5380.2501119999997</v>
      </c>
      <c r="R9207" s="71"/>
    </row>
    <row r="9208" spans="1:41" s="109" customFormat="1" x14ac:dyDescent="0.25">
      <c r="A9208" s="358"/>
      <c r="B9208" s="361"/>
      <c r="C9208" s="218" t="s">
        <v>328</v>
      </c>
      <c r="D9208" s="240"/>
      <c r="E9208" s="240"/>
      <c r="F9208" s="240"/>
      <c r="G9208" s="227"/>
      <c r="H9208" s="241"/>
      <c r="I9208" s="206"/>
      <c r="J9208" s="228"/>
      <c r="K9208" s="207"/>
      <c r="L9208" s="257"/>
      <c r="M9208" s="209"/>
      <c r="N9208" s="281"/>
      <c r="O9208" s="279">
        <f>O9207+O9206</f>
        <v>0.41508299999999998</v>
      </c>
      <c r="P9208" s="267"/>
      <c r="Q9208" s="166"/>
      <c r="R9208" s="71"/>
      <c r="S9208" s="62"/>
      <c r="T9208" s="62"/>
      <c r="U9208" s="62"/>
      <c r="V9208" s="62"/>
      <c r="W9208" s="62"/>
      <c r="X9208" s="62"/>
      <c r="Y9208" s="62"/>
      <c r="Z9208" s="62"/>
      <c r="AA9208" s="62"/>
      <c r="AB9208" s="62"/>
      <c r="AC9208" s="62"/>
      <c r="AD9208" s="62"/>
      <c r="AE9208" s="62"/>
      <c r="AF9208" s="62"/>
      <c r="AG9208" s="62"/>
      <c r="AH9208" s="62"/>
      <c r="AI9208" s="62"/>
      <c r="AJ9208" s="62"/>
      <c r="AK9208" s="62"/>
      <c r="AL9208" s="62"/>
      <c r="AM9208" s="62"/>
      <c r="AN9208" s="62"/>
      <c r="AO9208" s="62"/>
    </row>
    <row r="9209" spans="1:41" s="61" customFormat="1" x14ac:dyDescent="0.25">
      <c r="A9209" s="358"/>
      <c r="B9209" s="361"/>
      <c r="C9209" s="364" t="s">
        <v>80</v>
      </c>
      <c r="D9209" s="156" t="s">
        <v>38</v>
      </c>
      <c r="E9209" s="156" t="s">
        <v>57</v>
      </c>
      <c r="F9209" s="156" t="s">
        <v>228</v>
      </c>
      <c r="G9209" s="238">
        <f t="shared" ref="G9209:G9220" si="2658">MROUND(H9209*L9209*I9209/K9209,0.000000000001)</f>
        <v>1.12989691E-4</v>
      </c>
      <c r="H9209" s="158">
        <f>H8899</f>
        <v>8</v>
      </c>
      <c r="I9209" s="159">
        <f>I9206</f>
        <v>1.644E-2</v>
      </c>
      <c r="J9209" s="160"/>
      <c r="K9209" s="161">
        <f>K9206</f>
        <v>13968</v>
      </c>
      <c r="L9209" s="250">
        <v>12</v>
      </c>
      <c r="M9209" s="163" t="str">
        <f>CONCATENATE(H9209," ",F9209,"*",L9209,"мес.","*",I9209,"/",K9209,"чел/час")</f>
        <v>8 зданий*12мес.*0,01644/13968чел/час</v>
      </c>
      <c r="N9209" s="278">
        <f t="shared" ref="N9209:N9218" si="2659">N8899</f>
        <v>5107.0063541666668</v>
      </c>
      <c r="O9209" s="280">
        <f t="shared" ref="O9209:O9220" si="2660">MROUND(N9209*G9209,0.000001)</f>
        <v>0.57703899999999997</v>
      </c>
      <c r="P9209" s="166"/>
      <c r="Q9209" s="166">
        <f t="shared" ref="Q9209:Q9220" si="2661">O9209*K9209</f>
        <v>8060.0807519999998</v>
      </c>
      <c r="R9209" s="71"/>
    </row>
    <row r="9210" spans="1:41" s="61" customFormat="1" x14ac:dyDescent="0.25">
      <c r="A9210" s="358"/>
      <c r="B9210" s="361"/>
      <c r="C9210" s="364"/>
      <c r="D9210" s="156" t="s">
        <v>256</v>
      </c>
      <c r="E9210" s="156" t="s">
        <v>20</v>
      </c>
      <c r="F9210" s="156" t="s">
        <v>20</v>
      </c>
      <c r="G9210" s="238">
        <f t="shared" si="2658"/>
        <v>2.20094502E-4</v>
      </c>
      <c r="H9210" s="158">
        <f>H8900</f>
        <v>187</v>
      </c>
      <c r="I9210" s="159">
        <f>I9207</f>
        <v>1.644E-2</v>
      </c>
      <c r="J9210" s="160"/>
      <c r="K9210" s="161">
        <f>K9207</f>
        <v>13968</v>
      </c>
      <c r="L9210" s="250">
        <v>1</v>
      </c>
      <c r="M9210" s="163" t="str">
        <f t="shared" ref="M9210:M9217" si="2662">CONCATENATE(H9210," ",F9210,"*",I9210,"/",K9210,"чел/час")</f>
        <v>187 чел.*0,01644/13968чел/час</v>
      </c>
      <c r="N9210" s="278">
        <f t="shared" si="2659"/>
        <v>2015.7675401069516</v>
      </c>
      <c r="O9210" s="280">
        <f t="shared" si="2660"/>
        <v>0.44365899999999997</v>
      </c>
      <c r="P9210" s="166"/>
      <c r="Q9210" s="166">
        <f t="shared" si="2661"/>
        <v>6197.0289119999998</v>
      </c>
      <c r="R9210" s="71"/>
    </row>
    <row r="9211" spans="1:41" s="61" customFormat="1" ht="63" x14ac:dyDescent="0.25">
      <c r="A9211" s="358"/>
      <c r="B9211" s="361"/>
      <c r="C9211" s="364"/>
      <c r="D9211" s="156" t="s">
        <v>39</v>
      </c>
      <c r="E9211" s="156" t="s">
        <v>20</v>
      </c>
      <c r="F9211" s="156" t="s">
        <v>234</v>
      </c>
      <c r="G9211" s="238">
        <f t="shared" si="2658"/>
        <v>1.0592783999999999E-5</v>
      </c>
      <c r="H9211" s="158">
        <f>H8901</f>
        <v>9</v>
      </c>
      <c r="I9211" s="159">
        <f>I9209</f>
        <v>1.644E-2</v>
      </c>
      <c r="J9211" s="160"/>
      <c r="K9211" s="161">
        <f>K9209</f>
        <v>13968</v>
      </c>
      <c r="L9211" s="250">
        <v>1</v>
      </c>
      <c r="M9211" s="163" t="str">
        <f t="shared" si="2662"/>
        <v>9 чел(заявленная потребность руководителями учреждений)*0,01644/13968чел/час</v>
      </c>
      <c r="N9211" s="278">
        <f t="shared" si="2659"/>
        <v>830.02333333333343</v>
      </c>
      <c r="O9211" s="280">
        <f t="shared" si="2660"/>
        <v>8.7919999999999995E-3</v>
      </c>
      <c r="P9211" s="166"/>
      <c r="Q9211" s="166">
        <f t="shared" si="2661"/>
        <v>122.80665599999999</v>
      </c>
      <c r="R9211" s="71"/>
    </row>
    <row r="9212" spans="1:41" s="61" customFormat="1" ht="63" x14ac:dyDescent="0.25">
      <c r="A9212" s="358"/>
      <c r="B9212" s="361"/>
      <c r="C9212" s="364"/>
      <c r="D9212" s="156" t="s">
        <v>40</v>
      </c>
      <c r="E9212" s="156" t="s">
        <v>20</v>
      </c>
      <c r="F9212" s="156" t="s">
        <v>234</v>
      </c>
      <c r="G9212" s="238">
        <f t="shared" si="2658"/>
        <v>1.5300686999999998E-5</v>
      </c>
      <c r="H9212" s="158">
        <f>H8902</f>
        <v>13</v>
      </c>
      <c r="I9212" s="159">
        <f t="shared" ref="I9212:I9217" si="2663">I9211</f>
        <v>1.644E-2</v>
      </c>
      <c r="J9212" s="160"/>
      <c r="K9212" s="161">
        <f t="shared" ref="K9212:K9217" si="2664">K9211</f>
        <v>13968</v>
      </c>
      <c r="L9212" s="250">
        <v>1</v>
      </c>
      <c r="M9212" s="163" t="str">
        <f t="shared" si="2662"/>
        <v>13 чел(заявленная потребность руководителями учреждений)*0,01644/13968чел/час</v>
      </c>
      <c r="N9212" s="278">
        <f t="shared" si="2659"/>
        <v>1778.6192307692306</v>
      </c>
      <c r="O9212" s="280">
        <f t="shared" si="2660"/>
        <v>2.7213999999999999E-2</v>
      </c>
      <c r="P9212" s="166"/>
      <c r="Q9212" s="166">
        <f t="shared" si="2661"/>
        <v>380.12515199999996</v>
      </c>
      <c r="R9212" s="71"/>
    </row>
    <row r="9213" spans="1:41" s="61" customFormat="1" ht="63" x14ac:dyDescent="0.25">
      <c r="A9213" s="358"/>
      <c r="B9213" s="361"/>
      <c r="C9213" s="364"/>
      <c r="D9213" s="156" t="s">
        <v>100</v>
      </c>
      <c r="E9213" s="156" t="s">
        <v>20</v>
      </c>
      <c r="F9213" s="156" t="s">
        <v>234</v>
      </c>
      <c r="G9213" s="238">
        <f t="shared" si="2658"/>
        <v>8.2388320000000007E-6</v>
      </c>
      <c r="H9213" s="158">
        <f>H8903</f>
        <v>7</v>
      </c>
      <c r="I9213" s="159">
        <f t="shared" si="2663"/>
        <v>1.644E-2</v>
      </c>
      <c r="J9213" s="160"/>
      <c r="K9213" s="161">
        <f t="shared" si="2664"/>
        <v>13968</v>
      </c>
      <c r="L9213" s="250">
        <v>1</v>
      </c>
      <c r="M9213" s="163" t="str">
        <f t="shared" si="2662"/>
        <v>7 чел(заявленная потребность руководителями учреждений)*0,01644/13968чел/час</v>
      </c>
      <c r="N9213" s="278">
        <f t="shared" si="2659"/>
        <v>3794.3871428571429</v>
      </c>
      <c r="O9213" s="280">
        <f t="shared" si="2660"/>
        <v>3.1260999999999997E-2</v>
      </c>
      <c r="P9213" s="166"/>
      <c r="Q9213" s="166">
        <f t="shared" si="2661"/>
        <v>436.65364799999998</v>
      </c>
      <c r="R9213" s="71"/>
    </row>
    <row r="9214" spans="1:41" s="61" customFormat="1" ht="110.25" x14ac:dyDescent="0.25">
      <c r="A9214" s="358"/>
      <c r="B9214" s="361"/>
      <c r="C9214" s="364"/>
      <c r="D9214" s="156" t="s">
        <v>235</v>
      </c>
      <c r="E9214" s="156" t="s">
        <v>50</v>
      </c>
      <c r="F9214" s="156" t="s">
        <v>230</v>
      </c>
      <c r="G9214" s="238">
        <f t="shared" si="2658"/>
        <v>5.8848799999999996E-6</v>
      </c>
      <c r="H9214" s="158">
        <v>5</v>
      </c>
      <c r="I9214" s="159">
        <f t="shared" si="2663"/>
        <v>1.644E-2</v>
      </c>
      <c r="J9214" s="160"/>
      <c r="K9214" s="161">
        <f t="shared" si="2664"/>
        <v>13968</v>
      </c>
      <c r="L9214" s="250">
        <v>1</v>
      </c>
      <c r="M9214" s="163" t="str">
        <f t="shared" si="2662"/>
        <v>5 отчетов*0,01644/13968чел/час</v>
      </c>
      <c r="N9214" s="278">
        <f t="shared" si="2659"/>
        <v>7114.4699999999993</v>
      </c>
      <c r="O9214" s="280">
        <f t="shared" si="2660"/>
        <v>4.1867999999999995E-2</v>
      </c>
      <c r="P9214" s="166"/>
      <c r="Q9214" s="166">
        <f t="shared" si="2661"/>
        <v>584.8122239999999</v>
      </c>
      <c r="R9214" s="71"/>
    </row>
    <row r="9215" spans="1:41" s="61" customFormat="1" ht="63" x14ac:dyDescent="0.25">
      <c r="A9215" s="358"/>
      <c r="B9215" s="361"/>
      <c r="C9215" s="364"/>
      <c r="D9215" s="156" t="s">
        <v>42</v>
      </c>
      <c r="E9215" s="156" t="s">
        <v>51</v>
      </c>
      <c r="F9215" s="156" t="s">
        <v>407</v>
      </c>
      <c r="G9215" s="238">
        <f t="shared" si="2658"/>
        <v>3.0601375E-5</v>
      </c>
      <c r="H9215" s="158">
        <f>H8905</f>
        <v>26</v>
      </c>
      <c r="I9215" s="159">
        <f t="shared" si="2663"/>
        <v>1.644E-2</v>
      </c>
      <c r="J9215" s="160"/>
      <c r="K9215" s="161">
        <f t="shared" si="2664"/>
        <v>13968</v>
      </c>
      <c r="L9215" s="250">
        <v>1</v>
      </c>
      <c r="M9215" s="163" t="str">
        <f t="shared" si="2662"/>
        <v>26 ед (заявленная потребность руководителями учреждений)*0,01644/13968чел/час</v>
      </c>
      <c r="N9215" s="278">
        <f t="shared" si="2659"/>
        <v>1185.7457692307694</v>
      </c>
      <c r="O9215" s="280">
        <f t="shared" si="2660"/>
        <v>3.6284999999999998E-2</v>
      </c>
      <c r="P9215" s="166"/>
      <c r="Q9215" s="166">
        <f t="shared" si="2661"/>
        <v>506.82887999999997</v>
      </c>
      <c r="R9215" s="71"/>
    </row>
    <row r="9216" spans="1:41" s="61" customFormat="1" ht="31.5" x14ac:dyDescent="0.25">
      <c r="A9216" s="358"/>
      <c r="B9216" s="361"/>
      <c r="C9216" s="364"/>
      <c r="D9216" s="156" t="s">
        <v>43</v>
      </c>
      <c r="E9216" s="156" t="s">
        <v>52</v>
      </c>
      <c r="F9216" s="156" t="s">
        <v>231</v>
      </c>
      <c r="G9216" s="238">
        <f t="shared" si="2658"/>
        <v>5.8848799999999996E-6</v>
      </c>
      <c r="H9216" s="158">
        <v>5</v>
      </c>
      <c r="I9216" s="159">
        <f t="shared" si="2663"/>
        <v>1.644E-2</v>
      </c>
      <c r="J9216" s="160"/>
      <c r="K9216" s="161">
        <f t="shared" si="2664"/>
        <v>13968</v>
      </c>
      <c r="L9216" s="250">
        <v>1</v>
      </c>
      <c r="M9216" s="163" t="str">
        <f t="shared" si="2662"/>
        <v>5 ЭЦП*0,01644/13968чел/час</v>
      </c>
      <c r="N9216" s="278">
        <f t="shared" si="2659"/>
        <v>8423.5400000000009</v>
      </c>
      <c r="O9216" s="280">
        <f t="shared" si="2660"/>
        <v>4.9571999999999998E-2</v>
      </c>
      <c r="P9216" s="166"/>
      <c r="Q9216" s="166">
        <f t="shared" si="2661"/>
        <v>692.421696</v>
      </c>
      <c r="R9216" s="71"/>
    </row>
    <row r="9217" spans="1:41" s="61" customFormat="1" x14ac:dyDescent="0.25">
      <c r="A9217" s="358"/>
      <c r="B9217" s="361"/>
      <c r="C9217" s="364"/>
      <c r="D9217" s="156" t="s">
        <v>373</v>
      </c>
      <c r="E9217" s="156" t="s">
        <v>28</v>
      </c>
      <c r="F9217" s="156" t="s">
        <v>28</v>
      </c>
      <c r="G9217" s="238">
        <f t="shared" si="2658"/>
        <v>5.8848799999999996E-6</v>
      </c>
      <c r="H9217" s="158">
        <f>H8907</f>
        <v>5</v>
      </c>
      <c r="I9217" s="159">
        <f t="shared" si="2663"/>
        <v>1.644E-2</v>
      </c>
      <c r="J9217" s="160"/>
      <c r="K9217" s="161">
        <f t="shared" si="2664"/>
        <v>13968</v>
      </c>
      <c r="L9217" s="250">
        <v>1</v>
      </c>
      <c r="M9217" s="163" t="str">
        <f t="shared" si="2662"/>
        <v>5 шт*0,01644/13968чел/час</v>
      </c>
      <c r="N9217" s="278">
        <f t="shared" si="2659"/>
        <v>24000</v>
      </c>
      <c r="O9217" s="280">
        <f t="shared" si="2660"/>
        <v>0.141237</v>
      </c>
      <c r="P9217" s="166"/>
      <c r="Q9217" s="166">
        <f t="shared" si="2661"/>
        <v>1972.7984160000001</v>
      </c>
      <c r="R9217" s="71"/>
    </row>
    <row r="9218" spans="1:41" s="61" customFormat="1" ht="63" x14ac:dyDescent="0.25">
      <c r="A9218" s="358"/>
      <c r="B9218" s="361"/>
      <c r="C9218" s="364"/>
      <c r="D9218" s="156" t="s">
        <v>45</v>
      </c>
      <c r="E9218" s="156" t="s">
        <v>53</v>
      </c>
      <c r="F9218" s="156" t="s">
        <v>257</v>
      </c>
      <c r="G9218" s="238">
        <f t="shared" si="2658"/>
        <v>1.4123711E-5</v>
      </c>
      <c r="H9218" s="158">
        <v>1</v>
      </c>
      <c r="I9218" s="159">
        <f>I9216</f>
        <v>1.644E-2</v>
      </c>
      <c r="J9218" s="160"/>
      <c r="K9218" s="161">
        <f>K9216</f>
        <v>13968</v>
      </c>
      <c r="L9218" s="250">
        <v>12</v>
      </c>
      <c r="M9218" s="163" t="str">
        <f>CONCATENATE(H9218," ",F9218,"*",L9218,"мес.","*",I9218,"/",K9218,"чел/час")</f>
        <v>1  машина, оборудованная системой ГЛОНАСС*12мес.*0,01644/13968чел/час</v>
      </c>
      <c r="N9218" s="278">
        <f t="shared" si="2659"/>
        <v>958.08249999999998</v>
      </c>
      <c r="O9218" s="280">
        <f t="shared" si="2660"/>
        <v>1.3531999999999999E-2</v>
      </c>
      <c r="P9218" s="166"/>
      <c r="Q9218" s="166">
        <f t="shared" si="2661"/>
        <v>189.01497599999999</v>
      </c>
      <c r="R9218" s="71"/>
    </row>
    <row r="9219" spans="1:41" s="136" customFormat="1" ht="47.25" x14ac:dyDescent="0.25">
      <c r="A9219" s="358"/>
      <c r="B9219" s="361"/>
      <c r="C9219" s="364"/>
      <c r="D9219" s="156" t="s">
        <v>44</v>
      </c>
      <c r="E9219" s="156" t="s">
        <v>85</v>
      </c>
      <c r="F9219" s="156" t="s">
        <v>232</v>
      </c>
      <c r="G9219" s="238">
        <f t="shared" si="2658"/>
        <v>3.5780068699999999E-4</v>
      </c>
      <c r="H9219" s="158">
        <f>$H$2132</f>
        <v>304</v>
      </c>
      <c r="I9219" s="159">
        <f>I9218</f>
        <v>1.644E-2</v>
      </c>
      <c r="J9219" s="160"/>
      <c r="K9219" s="161">
        <f>K9218</f>
        <v>13968</v>
      </c>
      <c r="L9219" s="250">
        <v>1</v>
      </c>
      <c r="M9219" s="163" t="str">
        <f>CONCATENATE(H9219," ",F9219,"*",L9219,"мес.","*",I9219,"/",K9219,"чел.")</f>
        <v>304 мед.осмотров в мес.*1мес.*0,01644/13968чел.</v>
      </c>
      <c r="N9219" s="278">
        <f>$N$8909</f>
        <v>54.392006578947374</v>
      </c>
      <c r="O9219" s="280">
        <f t="shared" si="2660"/>
        <v>1.9460999999999999E-2</v>
      </c>
      <c r="P9219" s="166"/>
      <c r="Q9219" s="166">
        <f t="shared" si="2661"/>
        <v>271.83124799999996</v>
      </c>
      <c r="R9219" s="71"/>
      <c r="S9219" s="71"/>
      <c r="T9219" s="61"/>
      <c r="U9219" s="61"/>
      <c r="V9219" s="61"/>
      <c r="W9219" s="61"/>
      <c r="X9219" s="61"/>
      <c r="Y9219" s="61"/>
      <c r="Z9219" s="61"/>
      <c r="AA9219" s="61"/>
      <c r="AB9219" s="61"/>
      <c r="AC9219" s="61"/>
      <c r="AD9219" s="61"/>
      <c r="AE9219" s="61"/>
      <c r="AF9219" s="61"/>
      <c r="AG9219" s="61"/>
      <c r="AH9219" s="61"/>
      <c r="AI9219" s="61"/>
      <c r="AJ9219" s="61"/>
      <c r="AK9219" s="61"/>
      <c r="AL9219" s="61"/>
      <c r="AM9219" s="61"/>
      <c r="AN9219" s="61"/>
      <c r="AO9219" s="61"/>
    </row>
    <row r="9220" spans="1:41" s="61" customFormat="1" ht="31.5" x14ac:dyDescent="0.25">
      <c r="A9220" s="358"/>
      <c r="B9220" s="361"/>
      <c r="C9220" s="364"/>
      <c r="D9220" s="156" t="s">
        <v>408</v>
      </c>
      <c r="E9220" s="156" t="s">
        <v>20</v>
      </c>
      <c r="F9220" s="156" t="s">
        <v>20</v>
      </c>
      <c r="G9220" s="238">
        <f t="shared" si="2658"/>
        <v>0</v>
      </c>
      <c r="H9220" s="158"/>
      <c r="I9220" s="159">
        <f>I9218</f>
        <v>1.644E-2</v>
      </c>
      <c r="J9220" s="160"/>
      <c r="K9220" s="161">
        <f>K9218</f>
        <v>13968</v>
      </c>
      <c r="L9220" s="250">
        <f>L8910</f>
        <v>1</v>
      </c>
      <c r="M9220" s="163"/>
      <c r="N9220" s="278"/>
      <c r="O9220" s="280">
        <f t="shared" si="2660"/>
        <v>0</v>
      </c>
      <c r="P9220" s="166"/>
      <c r="Q9220" s="166">
        <f t="shared" si="2661"/>
        <v>0</v>
      </c>
      <c r="R9220" s="71"/>
    </row>
    <row r="9221" spans="1:41" s="109" customFormat="1" x14ac:dyDescent="0.25">
      <c r="A9221" s="358"/>
      <c r="B9221" s="361"/>
      <c r="C9221" s="245" t="s">
        <v>329</v>
      </c>
      <c r="D9221" s="240"/>
      <c r="E9221" s="240"/>
      <c r="F9221" s="240"/>
      <c r="G9221" s="227"/>
      <c r="H9221" s="241"/>
      <c r="I9221" s="206"/>
      <c r="J9221" s="228"/>
      <c r="K9221" s="207"/>
      <c r="L9221" s="257"/>
      <c r="M9221" s="209"/>
      <c r="N9221" s="281"/>
      <c r="O9221" s="279">
        <f>SUM(O9209:O9220)</f>
        <v>1.3899199999999998</v>
      </c>
      <c r="P9221" s="267"/>
      <c r="Q9221" s="166"/>
      <c r="R9221" s="71"/>
      <c r="S9221" s="62"/>
      <c r="T9221" s="62"/>
      <c r="U9221" s="62"/>
      <c r="V9221" s="62"/>
      <c r="W9221" s="62"/>
      <c r="X9221" s="62"/>
      <c r="Y9221" s="62"/>
      <c r="Z9221" s="62"/>
      <c r="AA9221" s="62"/>
      <c r="AB9221" s="62"/>
      <c r="AC9221" s="62"/>
      <c r="AD9221" s="62"/>
      <c r="AE9221" s="62"/>
      <c r="AF9221" s="62"/>
      <c r="AG9221" s="62"/>
      <c r="AH9221" s="62"/>
      <c r="AI9221" s="62"/>
      <c r="AJ9221" s="62"/>
      <c r="AK9221" s="62"/>
      <c r="AL9221" s="62"/>
      <c r="AM9221" s="62"/>
      <c r="AN9221" s="62"/>
      <c r="AO9221" s="62"/>
    </row>
    <row r="9222" spans="1:41" s="61" customFormat="1" ht="31.5" x14ac:dyDescent="0.25">
      <c r="A9222" s="358"/>
      <c r="B9222" s="361"/>
      <c r="C9222" s="252" t="s">
        <v>237</v>
      </c>
      <c r="D9222" s="156" t="s">
        <v>41</v>
      </c>
      <c r="E9222" s="156" t="s">
        <v>61</v>
      </c>
      <c r="F9222" s="156" t="s">
        <v>254</v>
      </c>
      <c r="G9222" s="238">
        <f t="shared" ref="G9222:G9233" si="2665">MROUND(H9222*L9222*I9222/K9222,0.000000000001)</f>
        <v>1.1769759999999999E-6</v>
      </c>
      <c r="H9222" s="158">
        <v>1</v>
      </c>
      <c r="I9222" s="159">
        <f>I9220</f>
        <v>1.644E-2</v>
      </c>
      <c r="J9222" s="160"/>
      <c r="K9222" s="161">
        <f>K9220</f>
        <v>13968</v>
      </c>
      <c r="L9222" s="250">
        <v>1</v>
      </c>
      <c r="M9222" s="163" t="str">
        <f>CONCATENATE(H9222," ",F9222,"*",I9222,"/",K9222,"чел/час")</f>
        <v>1 автобус*0,01644/13968чел/час</v>
      </c>
      <c r="N9222" s="278">
        <f>N8912</f>
        <v>27983.599999999999</v>
      </c>
      <c r="O9222" s="280">
        <f t="shared" ref="O9222:O9233" si="2666">MROUND(N9222*G9222,0.000001)</f>
        <v>3.2936E-2</v>
      </c>
      <c r="P9222" s="166"/>
      <c r="Q9222" s="166">
        <f t="shared" ref="Q9222:Q9233" si="2667">O9222*K9222</f>
        <v>460.050048</v>
      </c>
      <c r="R9222" s="71"/>
    </row>
    <row r="9223" spans="1:41" s="61" customFormat="1" ht="78.75" x14ac:dyDescent="0.25">
      <c r="A9223" s="358"/>
      <c r="B9223" s="361"/>
      <c r="C9223" s="221" t="s">
        <v>236</v>
      </c>
      <c r="D9223" s="156" t="s">
        <v>19</v>
      </c>
      <c r="E9223" s="181" t="s">
        <v>20</v>
      </c>
      <c r="F9223" s="181" t="s">
        <v>238</v>
      </c>
      <c r="G9223" s="238">
        <f t="shared" si="2665"/>
        <v>0</v>
      </c>
      <c r="H9223" s="158"/>
      <c r="I9223" s="159">
        <f>I9220</f>
        <v>1.644E-2</v>
      </c>
      <c r="J9223" s="160"/>
      <c r="K9223" s="161">
        <f>K9220</f>
        <v>13968</v>
      </c>
      <c r="L9223" s="250"/>
      <c r="M9223" s="163"/>
      <c r="N9223" s="278"/>
      <c r="O9223" s="280">
        <f t="shared" si="2666"/>
        <v>0</v>
      </c>
      <c r="P9223" s="166"/>
      <c r="Q9223" s="166">
        <f t="shared" si="2667"/>
        <v>0</v>
      </c>
      <c r="R9223" s="71"/>
    </row>
    <row r="9224" spans="1:41" s="136" customFormat="1" ht="31.5" x14ac:dyDescent="0.25">
      <c r="A9224" s="358"/>
      <c r="B9224" s="361"/>
      <c r="C9224" s="372" t="s">
        <v>81</v>
      </c>
      <c r="D9224" s="156" t="s">
        <v>419</v>
      </c>
      <c r="E9224" s="156" t="s">
        <v>28</v>
      </c>
      <c r="F9224" s="156" t="s">
        <v>439</v>
      </c>
      <c r="G9224" s="238">
        <f t="shared" si="2665"/>
        <v>0</v>
      </c>
      <c r="H9224" s="158"/>
      <c r="I9224" s="159">
        <f>I9223</f>
        <v>1.644E-2</v>
      </c>
      <c r="J9224" s="160"/>
      <c r="K9224" s="161">
        <f>K9223</f>
        <v>13968</v>
      </c>
      <c r="L9224" s="250">
        <v>1</v>
      </c>
      <c r="M9224" s="163"/>
      <c r="N9224" s="278"/>
      <c r="O9224" s="280">
        <f t="shared" si="2666"/>
        <v>0</v>
      </c>
      <c r="P9224" s="166"/>
      <c r="Q9224" s="166">
        <f t="shared" si="2667"/>
        <v>0</v>
      </c>
      <c r="R9224" s="71"/>
      <c r="S9224" s="61"/>
      <c r="T9224" s="71"/>
      <c r="U9224" s="61"/>
      <c r="V9224" s="61"/>
      <c r="W9224" s="61"/>
      <c r="X9224" s="61"/>
      <c r="Y9224" s="61"/>
      <c r="Z9224" s="61"/>
      <c r="AA9224" s="61"/>
      <c r="AB9224" s="61"/>
      <c r="AC9224" s="61"/>
      <c r="AD9224" s="61"/>
      <c r="AE9224" s="61"/>
      <c r="AF9224" s="61"/>
      <c r="AG9224" s="61"/>
      <c r="AH9224" s="61"/>
      <c r="AI9224" s="61"/>
      <c r="AJ9224" s="61"/>
      <c r="AK9224" s="61"/>
      <c r="AL9224" s="61"/>
      <c r="AM9224" s="61"/>
      <c r="AN9224" s="61"/>
      <c r="AO9224" s="61"/>
    </row>
    <row r="9225" spans="1:41" s="136" customFormat="1" ht="31.5" x14ac:dyDescent="0.25">
      <c r="A9225" s="358"/>
      <c r="B9225" s="361"/>
      <c r="C9225" s="373"/>
      <c r="D9225" s="156" t="s">
        <v>425</v>
      </c>
      <c r="E9225" s="156" t="s">
        <v>28</v>
      </c>
      <c r="F9225" s="156" t="s">
        <v>439</v>
      </c>
      <c r="G9225" s="238">
        <f t="shared" si="2665"/>
        <v>0</v>
      </c>
      <c r="H9225" s="158"/>
      <c r="I9225" s="159">
        <f t="shared" ref="I9225:I9233" si="2668">I9224</f>
        <v>1.644E-2</v>
      </c>
      <c r="J9225" s="160"/>
      <c r="K9225" s="161">
        <f t="shared" ref="K9225:K9233" si="2669">K9224</f>
        <v>13968</v>
      </c>
      <c r="L9225" s="250">
        <v>1</v>
      </c>
      <c r="M9225" s="163"/>
      <c r="N9225" s="278"/>
      <c r="O9225" s="280">
        <f t="shared" si="2666"/>
        <v>0</v>
      </c>
      <c r="P9225" s="166"/>
      <c r="Q9225" s="166">
        <f t="shared" si="2667"/>
        <v>0</v>
      </c>
      <c r="R9225" s="71"/>
      <c r="S9225" s="61"/>
      <c r="T9225" s="71"/>
      <c r="U9225" s="61"/>
      <c r="V9225" s="61"/>
      <c r="W9225" s="61"/>
      <c r="X9225" s="61"/>
      <c r="Y9225" s="61"/>
      <c r="Z9225" s="61"/>
      <c r="AA9225" s="61"/>
      <c r="AB9225" s="61"/>
      <c r="AC9225" s="61"/>
      <c r="AD9225" s="61"/>
      <c r="AE9225" s="61"/>
      <c r="AF9225" s="61"/>
      <c r="AG9225" s="61"/>
      <c r="AH9225" s="61"/>
      <c r="AI9225" s="61"/>
      <c r="AJ9225" s="61"/>
      <c r="AK9225" s="61"/>
      <c r="AL9225" s="61"/>
      <c r="AM9225" s="61"/>
      <c r="AN9225" s="61"/>
      <c r="AO9225" s="61"/>
    </row>
    <row r="9226" spans="1:41" s="136" customFormat="1" ht="31.5" x14ac:dyDescent="0.25">
      <c r="A9226" s="358"/>
      <c r="B9226" s="361"/>
      <c r="C9226" s="373"/>
      <c r="D9226" s="156" t="s">
        <v>426</v>
      </c>
      <c r="E9226" s="156" t="s">
        <v>28</v>
      </c>
      <c r="F9226" s="156" t="s">
        <v>439</v>
      </c>
      <c r="G9226" s="238">
        <f t="shared" si="2665"/>
        <v>0</v>
      </c>
      <c r="H9226" s="158"/>
      <c r="I9226" s="159">
        <f t="shared" si="2668"/>
        <v>1.644E-2</v>
      </c>
      <c r="J9226" s="160"/>
      <c r="K9226" s="161">
        <f t="shared" si="2669"/>
        <v>13968</v>
      </c>
      <c r="L9226" s="250">
        <v>1</v>
      </c>
      <c r="M9226" s="163"/>
      <c r="N9226" s="278"/>
      <c r="O9226" s="280">
        <f t="shared" si="2666"/>
        <v>0</v>
      </c>
      <c r="P9226" s="166"/>
      <c r="Q9226" s="166">
        <f t="shared" si="2667"/>
        <v>0</v>
      </c>
      <c r="R9226" s="71"/>
      <c r="S9226" s="61"/>
      <c r="T9226" s="71"/>
      <c r="U9226" s="61"/>
      <c r="V9226" s="61"/>
      <c r="W9226" s="61"/>
      <c r="X9226" s="61"/>
      <c r="Y9226" s="61"/>
      <c r="Z9226" s="61"/>
      <c r="AA9226" s="61"/>
      <c r="AB9226" s="61"/>
      <c r="AC9226" s="61"/>
      <c r="AD9226" s="61"/>
      <c r="AE9226" s="61"/>
      <c r="AF9226" s="61"/>
      <c r="AG9226" s="61"/>
      <c r="AH9226" s="61"/>
      <c r="AI9226" s="61"/>
      <c r="AJ9226" s="61"/>
      <c r="AK9226" s="61"/>
      <c r="AL9226" s="61"/>
      <c r="AM9226" s="61"/>
      <c r="AN9226" s="61"/>
      <c r="AO9226" s="61"/>
    </row>
    <row r="9227" spans="1:41" s="136" customFormat="1" ht="31.5" x14ac:dyDescent="0.25">
      <c r="A9227" s="358"/>
      <c r="B9227" s="361"/>
      <c r="C9227" s="373"/>
      <c r="D9227" s="156" t="s">
        <v>427</v>
      </c>
      <c r="E9227" s="156" t="s">
        <v>28</v>
      </c>
      <c r="F9227" s="156" t="s">
        <v>439</v>
      </c>
      <c r="G9227" s="238">
        <f t="shared" si="2665"/>
        <v>0</v>
      </c>
      <c r="H9227" s="158"/>
      <c r="I9227" s="159">
        <f t="shared" si="2668"/>
        <v>1.644E-2</v>
      </c>
      <c r="J9227" s="160"/>
      <c r="K9227" s="161">
        <f t="shared" si="2669"/>
        <v>13968</v>
      </c>
      <c r="L9227" s="250">
        <v>1</v>
      </c>
      <c r="M9227" s="163"/>
      <c r="N9227" s="278"/>
      <c r="O9227" s="280">
        <f t="shared" si="2666"/>
        <v>0</v>
      </c>
      <c r="P9227" s="166"/>
      <c r="Q9227" s="166">
        <f t="shared" si="2667"/>
        <v>0</v>
      </c>
      <c r="R9227" s="71"/>
      <c r="S9227" s="61"/>
      <c r="T9227" s="71"/>
      <c r="U9227" s="61"/>
      <c r="V9227" s="61"/>
      <c r="W9227" s="61"/>
      <c r="X9227" s="61"/>
      <c r="Y9227" s="61"/>
      <c r="Z9227" s="61"/>
      <c r="AA9227" s="61"/>
      <c r="AB9227" s="61"/>
      <c r="AC9227" s="61"/>
      <c r="AD9227" s="61"/>
      <c r="AE9227" s="61"/>
      <c r="AF9227" s="61"/>
      <c r="AG9227" s="61"/>
      <c r="AH9227" s="61"/>
      <c r="AI9227" s="61"/>
      <c r="AJ9227" s="61"/>
      <c r="AK9227" s="61"/>
      <c r="AL9227" s="61"/>
      <c r="AM9227" s="61"/>
      <c r="AN9227" s="61"/>
      <c r="AO9227" s="61"/>
    </row>
    <row r="9228" spans="1:41" s="136" customFormat="1" ht="31.5" x14ac:dyDescent="0.25">
      <c r="A9228" s="358"/>
      <c r="B9228" s="361"/>
      <c r="C9228" s="373"/>
      <c r="D9228" s="156" t="s">
        <v>428</v>
      </c>
      <c r="E9228" s="156" t="s">
        <v>28</v>
      </c>
      <c r="F9228" s="156" t="s">
        <v>439</v>
      </c>
      <c r="G9228" s="238">
        <f t="shared" si="2665"/>
        <v>0</v>
      </c>
      <c r="H9228" s="158"/>
      <c r="I9228" s="159">
        <f t="shared" si="2668"/>
        <v>1.644E-2</v>
      </c>
      <c r="J9228" s="160"/>
      <c r="K9228" s="161">
        <f t="shared" si="2669"/>
        <v>13968</v>
      </c>
      <c r="L9228" s="250">
        <v>1</v>
      </c>
      <c r="M9228" s="163"/>
      <c r="N9228" s="278"/>
      <c r="O9228" s="280">
        <f t="shared" si="2666"/>
        <v>0</v>
      </c>
      <c r="P9228" s="166"/>
      <c r="Q9228" s="166">
        <f t="shared" si="2667"/>
        <v>0</v>
      </c>
      <c r="R9228" s="71"/>
      <c r="S9228" s="61"/>
      <c r="T9228" s="71"/>
      <c r="U9228" s="61"/>
      <c r="V9228" s="61"/>
      <c r="W9228" s="61"/>
      <c r="X9228" s="61"/>
      <c r="Y9228" s="61"/>
      <c r="Z9228" s="61"/>
      <c r="AA9228" s="61"/>
      <c r="AB9228" s="61"/>
      <c r="AC9228" s="61"/>
      <c r="AD9228" s="61"/>
      <c r="AE9228" s="61"/>
      <c r="AF9228" s="61"/>
      <c r="AG9228" s="61"/>
      <c r="AH9228" s="61"/>
      <c r="AI9228" s="61"/>
      <c r="AJ9228" s="61"/>
      <c r="AK9228" s="61"/>
      <c r="AL9228" s="61"/>
      <c r="AM9228" s="61"/>
      <c r="AN9228" s="61"/>
      <c r="AO9228" s="61"/>
    </row>
    <row r="9229" spans="1:41" s="136" customFormat="1" ht="31.5" x14ac:dyDescent="0.25">
      <c r="A9229" s="358"/>
      <c r="B9229" s="361"/>
      <c r="C9229" s="373"/>
      <c r="D9229" s="156" t="s">
        <v>429</v>
      </c>
      <c r="E9229" s="156" t="s">
        <v>28</v>
      </c>
      <c r="F9229" s="156" t="s">
        <v>439</v>
      </c>
      <c r="G9229" s="238">
        <f t="shared" si="2665"/>
        <v>0</v>
      </c>
      <c r="H9229" s="158"/>
      <c r="I9229" s="159">
        <f t="shared" si="2668"/>
        <v>1.644E-2</v>
      </c>
      <c r="J9229" s="160"/>
      <c r="K9229" s="161">
        <f t="shared" si="2669"/>
        <v>13968</v>
      </c>
      <c r="L9229" s="250">
        <v>1</v>
      </c>
      <c r="M9229" s="163"/>
      <c r="N9229" s="278"/>
      <c r="O9229" s="280">
        <f t="shared" si="2666"/>
        <v>0</v>
      </c>
      <c r="P9229" s="166"/>
      <c r="Q9229" s="166">
        <f t="shared" si="2667"/>
        <v>0</v>
      </c>
      <c r="R9229" s="71"/>
      <c r="S9229" s="61"/>
      <c r="T9229" s="71"/>
      <c r="U9229" s="61"/>
      <c r="V9229" s="61"/>
      <c r="W9229" s="61"/>
      <c r="X9229" s="61"/>
      <c r="Y9229" s="61"/>
      <c r="Z9229" s="61"/>
      <c r="AA9229" s="61"/>
      <c r="AB9229" s="61"/>
      <c r="AC9229" s="61"/>
      <c r="AD9229" s="61"/>
      <c r="AE9229" s="61"/>
      <c r="AF9229" s="61"/>
      <c r="AG9229" s="61"/>
      <c r="AH9229" s="61"/>
      <c r="AI9229" s="61"/>
      <c r="AJ9229" s="61"/>
      <c r="AK9229" s="61"/>
      <c r="AL9229" s="61"/>
      <c r="AM9229" s="61"/>
      <c r="AN9229" s="61"/>
      <c r="AO9229" s="61"/>
    </row>
    <row r="9230" spans="1:41" s="136" customFormat="1" ht="31.5" x14ac:dyDescent="0.25">
      <c r="A9230" s="358"/>
      <c r="B9230" s="361"/>
      <c r="C9230" s="373"/>
      <c r="D9230" s="156" t="s">
        <v>110</v>
      </c>
      <c r="E9230" s="156" t="s">
        <v>28</v>
      </c>
      <c r="F9230" s="156" t="s">
        <v>439</v>
      </c>
      <c r="G9230" s="238">
        <f t="shared" si="2665"/>
        <v>0</v>
      </c>
      <c r="H9230" s="158"/>
      <c r="I9230" s="159">
        <f t="shared" si="2668"/>
        <v>1.644E-2</v>
      </c>
      <c r="J9230" s="160"/>
      <c r="K9230" s="161">
        <f t="shared" si="2669"/>
        <v>13968</v>
      </c>
      <c r="L9230" s="250">
        <v>1</v>
      </c>
      <c r="M9230" s="163"/>
      <c r="N9230" s="278"/>
      <c r="O9230" s="280">
        <f t="shared" si="2666"/>
        <v>0</v>
      </c>
      <c r="P9230" s="166"/>
      <c r="Q9230" s="166">
        <f t="shared" si="2667"/>
        <v>0</v>
      </c>
      <c r="R9230" s="71"/>
      <c r="S9230" s="61"/>
      <c r="T9230" s="71"/>
      <c r="U9230" s="61"/>
      <c r="V9230" s="61"/>
      <c r="W9230" s="61"/>
      <c r="X9230" s="61"/>
      <c r="Y9230" s="61"/>
      <c r="Z9230" s="61"/>
      <c r="AA9230" s="61"/>
      <c r="AB9230" s="61"/>
      <c r="AC9230" s="61"/>
      <c r="AD9230" s="61"/>
      <c r="AE9230" s="61"/>
      <c r="AF9230" s="61"/>
      <c r="AG9230" s="61"/>
      <c r="AH9230" s="61"/>
      <c r="AI9230" s="61"/>
      <c r="AJ9230" s="61"/>
      <c r="AK9230" s="61"/>
      <c r="AL9230" s="61"/>
      <c r="AM9230" s="61"/>
      <c r="AN9230" s="61"/>
      <c r="AO9230" s="61"/>
    </row>
    <row r="9231" spans="1:41" s="136" customFormat="1" ht="31.5" x14ac:dyDescent="0.25">
      <c r="A9231" s="358"/>
      <c r="B9231" s="361"/>
      <c r="C9231" s="373"/>
      <c r="D9231" s="156" t="s">
        <v>112</v>
      </c>
      <c r="E9231" s="156" t="s">
        <v>28</v>
      </c>
      <c r="F9231" s="156" t="s">
        <v>439</v>
      </c>
      <c r="G9231" s="238">
        <f t="shared" si="2665"/>
        <v>0</v>
      </c>
      <c r="H9231" s="158"/>
      <c r="I9231" s="159">
        <f t="shared" si="2668"/>
        <v>1.644E-2</v>
      </c>
      <c r="J9231" s="160"/>
      <c r="K9231" s="161">
        <f t="shared" si="2669"/>
        <v>13968</v>
      </c>
      <c r="L9231" s="250">
        <v>1</v>
      </c>
      <c r="M9231" s="163"/>
      <c r="N9231" s="278"/>
      <c r="O9231" s="280">
        <f t="shared" si="2666"/>
        <v>0</v>
      </c>
      <c r="P9231" s="166"/>
      <c r="Q9231" s="166">
        <f t="shared" si="2667"/>
        <v>0</v>
      </c>
      <c r="R9231" s="71"/>
      <c r="S9231" s="61"/>
      <c r="T9231" s="71"/>
      <c r="U9231" s="61"/>
      <c r="V9231" s="61"/>
      <c r="W9231" s="61"/>
      <c r="X9231" s="61"/>
      <c r="Y9231" s="61"/>
      <c r="Z9231" s="61"/>
      <c r="AA9231" s="61"/>
      <c r="AB9231" s="61"/>
      <c r="AC9231" s="61"/>
      <c r="AD9231" s="61"/>
      <c r="AE9231" s="61"/>
      <c r="AF9231" s="61"/>
      <c r="AG9231" s="61"/>
      <c r="AH9231" s="61"/>
      <c r="AI9231" s="61"/>
      <c r="AJ9231" s="61"/>
      <c r="AK9231" s="61"/>
      <c r="AL9231" s="61"/>
      <c r="AM9231" s="61"/>
      <c r="AN9231" s="61"/>
      <c r="AO9231" s="61"/>
    </row>
    <row r="9232" spans="1:41" s="136" customFormat="1" ht="31.5" x14ac:dyDescent="0.25">
      <c r="A9232" s="358"/>
      <c r="B9232" s="361"/>
      <c r="C9232" s="373"/>
      <c r="D9232" s="156" t="s">
        <v>111</v>
      </c>
      <c r="E9232" s="156" t="s">
        <v>28</v>
      </c>
      <c r="F9232" s="156" t="s">
        <v>439</v>
      </c>
      <c r="G9232" s="238">
        <f t="shared" si="2665"/>
        <v>0</v>
      </c>
      <c r="H9232" s="158"/>
      <c r="I9232" s="159">
        <f t="shared" si="2668"/>
        <v>1.644E-2</v>
      </c>
      <c r="J9232" s="160"/>
      <c r="K9232" s="161">
        <f t="shared" si="2669"/>
        <v>13968</v>
      </c>
      <c r="L9232" s="250">
        <v>1</v>
      </c>
      <c r="M9232" s="163"/>
      <c r="N9232" s="278"/>
      <c r="O9232" s="280">
        <f t="shared" si="2666"/>
        <v>0</v>
      </c>
      <c r="P9232" s="166"/>
      <c r="Q9232" s="166">
        <f t="shared" si="2667"/>
        <v>0</v>
      </c>
      <c r="R9232" s="71"/>
      <c r="S9232" s="61"/>
      <c r="T9232" s="71"/>
      <c r="U9232" s="61"/>
      <c r="V9232" s="61"/>
      <c r="W9232" s="61"/>
      <c r="X9232" s="61"/>
      <c r="Y9232" s="61"/>
      <c r="Z9232" s="61"/>
      <c r="AA9232" s="61"/>
      <c r="AB9232" s="61"/>
      <c r="AC9232" s="61"/>
      <c r="AD9232" s="61"/>
      <c r="AE9232" s="61"/>
      <c r="AF9232" s="61"/>
      <c r="AG9232" s="61"/>
      <c r="AH9232" s="61"/>
      <c r="AI9232" s="61"/>
      <c r="AJ9232" s="61"/>
      <c r="AK9232" s="61"/>
      <c r="AL9232" s="61"/>
      <c r="AM9232" s="61"/>
      <c r="AN9232" s="61"/>
      <c r="AO9232" s="61"/>
    </row>
    <row r="9233" spans="1:41" s="136" customFormat="1" ht="31.5" x14ac:dyDescent="0.25">
      <c r="A9233" s="358"/>
      <c r="B9233" s="361"/>
      <c r="C9233" s="374"/>
      <c r="D9233" s="156" t="s">
        <v>438</v>
      </c>
      <c r="E9233" s="156" t="s">
        <v>28</v>
      </c>
      <c r="F9233" s="156" t="s">
        <v>439</v>
      </c>
      <c r="G9233" s="238">
        <f t="shared" si="2665"/>
        <v>0</v>
      </c>
      <c r="H9233" s="158"/>
      <c r="I9233" s="159">
        <f t="shared" si="2668"/>
        <v>1.644E-2</v>
      </c>
      <c r="J9233" s="160"/>
      <c r="K9233" s="161">
        <f t="shared" si="2669"/>
        <v>13968</v>
      </c>
      <c r="L9233" s="250">
        <v>1</v>
      </c>
      <c r="M9233" s="163"/>
      <c r="N9233" s="278"/>
      <c r="O9233" s="280">
        <f t="shared" si="2666"/>
        <v>0</v>
      </c>
      <c r="P9233" s="166"/>
      <c r="Q9233" s="166">
        <f t="shared" si="2667"/>
        <v>0</v>
      </c>
      <c r="R9233" s="71"/>
      <c r="S9233" s="61"/>
      <c r="T9233" s="71"/>
      <c r="U9233" s="61"/>
      <c r="V9233" s="61"/>
      <c r="W9233" s="61"/>
      <c r="X9233" s="61"/>
      <c r="Y9233" s="61"/>
      <c r="Z9233" s="61"/>
      <c r="AA9233" s="61"/>
      <c r="AB9233" s="61"/>
      <c r="AC9233" s="61"/>
      <c r="AD9233" s="61"/>
      <c r="AE9233" s="61"/>
      <c r="AF9233" s="61"/>
      <c r="AG9233" s="61"/>
      <c r="AH9233" s="61"/>
      <c r="AI9233" s="61"/>
      <c r="AJ9233" s="61"/>
      <c r="AK9233" s="61"/>
      <c r="AL9233" s="61"/>
      <c r="AM9233" s="61"/>
      <c r="AN9233" s="61"/>
      <c r="AO9233" s="61"/>
    </row>
    <row r="9234" spans="1:41" s="61" customFormat="1" x14ac:dyDescent="0.25">
      <c r="A9234" s="358"/>
      <c r="B9234" s="361"/>
      <c r="C9234" s="245" t="s">
        <v>299</v>
      </c>
      <c r="D9234" s="240"/>
      <c r="E9234" s="240"/>
      <c r="F9234" s="181"/>
      <c r="G9234" s="227"/>
      <c r="H9234" s="241"/>
      <c r="I9234" s="206"/>
      <c r="J9234" s="228"/>
      <c r="K9234" s="207"/>
      <c r="L9234" s="257"/>
      <c r="M9234" s="209"/>
      <c r="N9234" s="290"/>
      <c r="O9234" s="279">
        <f>SUM(O9222:O9233)</f>
        <v>3.2936E-2</v>
      </c>
      <c r="P9234" s="166"/>
      <c r="Q9234" s="166">
        <f>O9234*K9234</f>
        <v>0</v>
      </c>
      <c r="R9234" s="71"/>
    </row>
    <row r="9235" spans="1:41" s="61" customFormat="1" ht="47.25" x14ac:dyDescent="0.25">
      <c r="A9235" s="358"/>
      <c r="B9235" s="361"/>
      <c r="C9235" s="221" t="s">
        <v>434</v>
      </c>
      <c r="D9235" s="156" t="s">
        <v>436</v>
      </c>
      <c r="E9235" s="156" t="s">
        <v>28</v>
      </c>
      <c r="F9235" s="156" t="s">
        <v>437</v>
      </c>
      <c r="G9235" s="238">
        <f>MROUND(H9235*L9235*I9235/K9235,0.000000000001)</f>
        <v>0</v>
      </c>
      <c r="H9235" s="242">
        <f>$H$2148</f>
        <v>26</v>
      </c>
      <c r="I9235" s="159">
        <f>I9233</f>
        <v>1.644E-2</v>
      </c>
      <c r="J9235" s="160"/>
      <c r="K9235" s="161">
        <f>K9233</f>
        <v>13968</v>
      </c>
      <c r="L9235" s="162"/>
      <c r="M9235" s="163"/>
      <c r="N9235" s="164">
        <f>$N$5536</f>
        <v>2280.2800000000002</v>
      </c>
      <c r="O9235" s="165">
        <f>MROUND(G9235*N9235,0.000001)</f>
        <v>0</v>
      </c>
      <c r="P9235" s="166"/>
      <c r="Q9235" s="166">
        <f>O9235*K9235</f>
        <v>0</v>
      </c>
      <c r="R9235" s="71"/>
    </row>
    <row r="9236" spans="1:41" s="61" customFormat="1" x14ac:dyDescent="0.25">
      <c r="A9236" s="358"/>
      <c r="B9236" s="361"/>
      <c r="C9236" s="218" t="s">
        <v>435</v>
      </c>
      <c r="D9236" s="240"/>
      <c r="E9236" s="240"/>
      <c r="F9236" s="240"/>
      <c r="G9236" s="251"/>
      <c r="H9236" s="241"/>
      <c r="I9236" s="206"/>
      <c r="J9236" s="228"/>
      <c r="K9236" s="207"/>
      <c r="L9236" s="229"/>
      <c r="M9236" s="209"/>
      <c r="N9236" s="210"/>
      <c r="O9236" s="198">
        <f>SUM(O9235)</f>
        <v>0</v>
      </c>
      <c r="P9236" s="166"/>
      <c r="Q9236" s="166"/>
      <c r="R9236" s="71"/>
    </row>
    <row r="9237" spans="1:41" s="61" customFormat="1" ht="110.25" x14ac:dyDescent="0.25">
      <c r="A9237" s="358"/>
      <c r="B9237" s="361"/>
      <c r="C9237" s="221" t="s">
        <v>82</v>
      </c>
      <c r="D9237" s="156" t="s">
        <v>46</v>
      </c>
      <c r="E9237" s="156" t="s">
        <v>54</v>
      </c>
      <c r="F9237" s="156" t="s">
        <v>285</v>
      </c>
      <c r="G9237" s="238">
        <f>MROUND(H9237*L9237*I9237/K9237,0.000000000001)</f>
        <v>2.9580968029999997E-3</v>
      </c>
      <c r="H9237" s="158">
        <f>H8927</f>
        <v>228.48206225686181</v>
      </c>
      <c r="I9237" s="159">
        <f>I9223</f>
        <v>1.644E-2</v>
      </c>
      <c r="J9237" s="160"/>
      <c r="K9237" s="161">
        <f>K9223</f>
        <v>13968</v>
      </c>
      <c r="L9237" s="250">
        <f>$L$2150</f>
        <v>11</v>
      </c>
      <c r="M9237" s="163" t="str">
        <f>CONCATENATE(H9237," ",F9237,"*",L9237,"автобус","*",I9237,"/",K9237,"чел/час")</f>
        <v>228,482062256862 л бензина АИ 92 (12,5л/день(зимой)*20дней*7мес+10л/день(летом)*20дней*4мес)*11автобус*0,01644/13968чел/час</v>
      </c>
      <c r="N9237" s="278">
        <f>$N$8927</f>
        <v>59.28728000000001</v>
      </c>
      <c r="O9237" s="280">
        <f t="shared" ref="O9237:O9239" si="2670">MROUND(N9237*G9237,0.000001)</f>
        <v>0.17537799999999998</v>
      </c>
      <c r="P9237" s="166"/>
      <c r="Q9237" s="166">
        <f>O9237*K9237</f>
        <v>2449.6799039999996</v>
      </c>
      <c r="R9237" s="71"/>
    </row>
    <row r="9238" spans="1:41" s="61" customFormat="1" ht="47.25" x14ac:dyDescent="0.25">
      <c r="A9238" s="358"/>
      <c r="B9238" s="361"/>
      <c r="C9238" s="364" t="s">
        <v>118</v>
      </c>
      <c r="D9238" s="156" t="s">
        <v>47</v>
      </c>
      <c r="E9238" s="156" t="s">
        <v>28</v>
      </c>
      <c r="F9238" s="156" t="s">
        <v>239</v>
      </c>
      <c r="G9238" s="238">
        <f>MROUND(H9238*L9238*I9238/K9238,0.000000000001)</f>
        <v>2.3539518999999999E-5</v>
      </c>
      <c r="H9238" s="158">
        <f>H8928</f>
        <v>20</v>
      </c>
      <c r="I9238" s="159">
        <f>I9237</f>
        <v>1.644E-2</v>
      </c>
      <c r="J9238" s="160"/>
      <c r="K9238" s="161">
        <f>K9237</f>
        <v>13968</v>
      </c>
      <c r="L9238" s="250">
        <v>1</v>
      </c>
      <c r="M9238" s="163" t="str">
        <f>CONCATENATE(H9238," ",F9238,"*",I9238,"/",K9238,"чел/час")</f>
        <v>20 манометров (потребность учреждений) *0,01644/13968чел/час</v>
      </c>
      <c r="N9238" s="278">
        <f>N8928</f>
        <v>707.09500000000003</v>
      </c>
      <c r="O9238" s="280">
        <f t="shared" si="2670"/>
        <v>1.6645E-2</v>
      </c>
      <c r="P9238" s="166"/>
      <c r="Q9238" s="166">
        <f>O9238*K9238</f>
        <v>232.49736000000001</v>
      </c>
      <c r="R9238" s="71"/>
    </row>
    <row r="9239" spans="1:41" s="61" customFormat="1" ht="47.25" x14ac:dyDescent="0.25">
      <c r="A9239" s="358"/>
      <c r="B9239" s="361"/>
      <c r="C9239" s="364"/>
      <c r="D9239" s="255" t="s">
        <v>113</v>
      </c>
      <c r="E9239" s="156" t="s">
        <v>28</v>
      </c>
      <c r="F9239" s="156" t="s">
        <v>240</v>
      </c>
      <c r="G9239" s="238">
        <f>MROUND(H9239*L9239*I9239/K9239,0.000000000001)</f>
        <v>1.17697595E-4</v>
      </c>
      <c r="H9239" s="158">
        <v>100</v>
      </c>
      <c r="I9239" s="159">
        <f>I9238</f>
        <v>1.644E-2</v>
      </c>
      <c r="J9239" s="160"/>
      <c r="K9239" s="161">
        <f>K9238</f>
        <v>13968</v>
      </c>
      <c r="L9239" s="250">
        <v>1</v>
      </c>
      <c r="M9239" s="163" t="str">
        <f>CONCATENATE(H9239," ",F9239,"*",I9239,"/",K9239,"чел/час")</f>
        <v>100 светильников (потребность учреждений)*0,01644/13968чел/час</v>
      </c>
      <c r="N9239" s="278">
        <f>N8929</f>
        <v>115.61000000000001</v>
      </c>
      <c r="O9239" s="280">
        <f t="shared" si="2670"/>
        <v>1.3606999999999999E-2</v>
      </c>
      <c r="P9239" s="166"/>
      <c r="Q9239" s="166">
        <f>O9239*K9239</f>
        <v>190.06257599999998</v>
      </c>
      <c r="R9239" s="71"/>
    </row>
    <row r="9240" spans="1:41" s="109" customFormat="1" x14ac:dyDescent="0.25">
      <c r="A9240" s="359"/>
      <c r="B9240" s="362"/>
      <c r="C9240" s="218" t="s">
        <v>301</v>
      </c>
      <c r="D9240" s="256"/>
      <c r="E9240" s="240"/>
      <c r="F9240" s="240"/>
      <c r="G9240" s="227"/>
      <c r="H9240" s="241"/>
      <c r="I9240" s="206"/>
      <c r="J9240" s="228"/>
      <c r="K9240" s="207"/>
      <c r="L9240" s="257"/>
      <c r="M9240" s="209"/>
      <c r="N9240" s="281"/>
      <c r="O9240" s="279">
        <f>O9238+O9239</f>
        <v>3.0252000000000001E-2</v>
      </c>
      <c r="P9240" s="267"/>
      <c r="Q9240" s="166"/>
      <c r="R9240" s="71"/>
      <c r="S9240" s="62"/>
      <c r="T9240" s="62"/>
      <c r="U9240" s="62"/>
      <c r="V9240" s="62"/>
      <c r="W9240" s="62"/>
      <c r="X9240" s="62"/>
      <c r="Y9240" s="62"/>
      <c r="Z9240" s="62"/>
      <c r="AA9240" s="62"/>
      <c r="AB9240" s="62"/>
      <c r="AC9240" s="62"/>
      <c r="AD9240" s="62"/>
      <c r="AE9240" s="62"/>
      <c r="AF9240" s="62"/>
      <c r="AG9240" s="62"/>
      <c r="AH9240" s="62"/>
      <c r="AI9240" s="62"/>
      <c r="AJ9240" s="62"/>
      <c r="AK9240" s="62"/>
      <c r="AL9240" s="62"/>
      <c r="AM9240" s="62"/>
      <c r="AN9240" s="62"/>
      <c r="AO9240" s="62"/>
    </row>
    <row r="9241" spans="1:41" s="108" customFormat="1" x14ac:dyDescent="0.25">
      <c r="A9241" s="357" t="str">
        <f>школы!$B$36</f>
        <v>Реализация дополнительных общеразвивающих программ (физкультурно-спортивная направленность)</v>
      </c>
      <c r="B9241" s="360" t="str">
        <f>школы!$A$36</f>
        <v>801012О.99.0.ББ57АЕ52000</v>
      </c>
      <c r="C9241" s="194"/>
      <c r="D9241" s="363" t="s">
        <v>15</v>
      </c>
      <c r="E9241" s="363"/>
      <c r="F9241" s="363"/>
      <c r="G9241" s="363"/>
      <c r="H9241" s="195"/>
      <c r="I9241" s="195"/>
      <c r="J9241" s="195"/>
      <c r="K9241" s="195"/>
      <c r="L9241" s="196"/>
      <c r="M9241" s="197"/>
      <c r="N9241" s="278"/>
      <c r="O9241" s="279">
        <f>O9242+O9246</f>
        <v>136.10946659039999</v>
      </c>
      <c r="P9241" s="166"/>
      <c r="Q9241" s="166">
        <f t="shared" ref="Q9241:Q9258" si="2671">O9241*K9241</f>
        <v>0</v>
      </c>
      <c r="R9241" s="71"/>
      <c r="S9241" s="61"/>
      <c r="T9241" s="61"/>
      <c r="U9241" s="61"/>
      <c r="V9241" s="61"/>
      <c r="W9241" s="61"/>
      <c r="X9241" s="61"/>
      <c r="Y9241" s="61"/>
      <c r="Z9241" s="61"/>
      <c r="AA9241" s="61"/>
      <c r="AB9241" s="61"/>
      <c r="AC9241" s="61"/>
      <c r="AD9241" s="61"/>
      <c r="AE9241" s="61"/>
      <c r="AF9241" s="61"/>
      <c r="AG9241" s="61"/>
      <c r="AH9241" s="61"/>
      <c r="AI9241" s="61"/>
      <c r="AJ9241" s="61"/>
      <c r="AK9241" s="61"/>
      <c r="AL9241" s="61"/>
      <c r="AM9241" s="61"/>
      <c r="AN9241" s="61"/>
      <c r="AO9241" s="61"/>
    </row>
    <row r="9242" spans="1:41" s="108" customFormat="1" x14ac:dyDescent="0.25">
      <c r="A9242" s="358"/>
      <c r="B9242" s="361"/>
      <c r="C9242" s="194"/>
      <c r="D9242" s="350" t="s">
        <v>62</v>
      </c>
      <c r="E9242" s="350"/>
      <c r="F9242" s="350"/>
      <c r="G9242" s="350"/>
      <c r="H9242" s="195"/>
      <c r="I9242" s="195"/>
      <c r="J9242" s="195"/>
      <c r="K9242" s="195"/>
      <c r="L9242" s="196"/>
      <c r="M9242" s="197"/>
      <c r="N9242" s="278"/>
      <c r="O9242" s="279">
        <f>O9243+O9244</f>
        <v>135.2288455904</v>
      </c>
      <c r="P9242" s="166"/>
      <c r="Q9242" s="166">
        <f t="shared" si="2671"/>
        <v>0</v>
      </c>
      <c r="R9242" s="71"/>
      <c r="S9242" s="61"/>
      <c r="T9242" s="61"/>
      <c r="U9242" s="61"/>
      <c r="V9242" s="61"/>
      <c r="W9242" s="61"/>
      <c r="X9242" s="61"/>
      <c r="Y9242" s="61"/>
      <c r="Z9242" s="61"/>
      <c r="AA9242" s="61"/>
      <c r="AB9242" s="61"/>
      <c r="AC9242" s="61"/>
      <c r="AD9242" s="61"/>
      <c r="AE9242" s="61"/>
      <c r="AF9242" s="61"/>
      <c r="AG9242" s="61"/>
      <c r="AH9242" s="61"/>
      <c r="AI9242" s="61"/>
      <c r="AJ9242" s="61"/>
      <c r="AK9242" s="61"/>
      <c r="AL9242" s="61"/>
      <c r="AM9242" s="61"/>
      <c r="AN9242" s="61"/>
      <c r="AO9242" s="61"/>
    </row>
    <row r="9243" spans="1:41" s="61" customFormat="1" ht="31.5" x14ac:dyDescent="0.25">
      <c r="A9243" s="358"/>
      <c r="B9243" s="361"/>
      <c r="C9243" s="194">
        <v>211</v>
      </c>
      <c r="D9243" s="194" t="s">
        <v>86</v>
      </c>
      <c r="E9243" s="199" t="s">
        <v>95</v>
      </c>
      <c r="F9243" s="199" t="s">
        <v>95</v>
      </c>
      <c r="G9243" s="238">
        <f>MROUND(H9243*L9243*I9243/K9243,0.000000000001)</f>
        <v>4.381945313E-3</v>
      </c>
      <c r="H9243" s="201">
        <f>H8829</f>
        <v>368.4</v>
      </c>
      <c r="I9243" s="159">
        <f>школы!$K$36</f>
        <v>8.2214999999999996E-2</v>
      </c>
      <c r="J9243" s="159"/>
      <c r="K9243" s="161">
        <f>школы!$G$36</f>
        <v>82944</v>
      </c>
      <c r="L9243" s="202">
        <v>12</v>
      </c>
      <c r="M9243" s="163" t="str">
        <f>CONCATENATE(H9243," ",F9243," ","в мес.","*",L9243,"мес.","*",I9243,"/",K9243,"чел/час")</f>
        <v>368,4 шт.ед в мес.*12мес.*0,082215/82944чел/час</v>
      </c>
      <c r="N9243" s="278">
        <f>N8829</f>
        <v>23702.349798678973</v>
      </c>
      <c r="O9243" s="280">
        <f>MROUND(N9243*G9243,0.0000000001)</f>
        <v>103.86240060740001</v>
      </c>
      <c r="P9243" s="166"/>
      <c r="Q9243" s="166">
        <f t="shared" si="2671"/>
        <v>8614762.9559801854</v>
      </c>
      <c r="R9243" s="71"/>
    </row>
    <row r="9244" spans="1:41" s="61" customFormat="1" x14ac:dyDescent="0.25">
      <c r="A9244" s="358"/>
      <c r="B9244" s="361"/>
      <c r="C9244" s="194">
        <v>213</v>
      </c>
      <c r="D9244" s="194" t="s">
        <v>87</v>
      </c>
      <c r="E9244" s="194" t="s">
        <v>88</v>
      </c>
      <c r="F9244" s="194"/>
      <c r="G9244" s="211">
        <v>30.2</v>
      </c>
      <c r="H9244" s="159"/>
      <c r="I9244" s="282">
        <f>I9243</f>
        <v>8.2214999999999996E-2</v>
      </c>
      <c r="J9244" s="159"/>
      <c r="K9244" s="161">
        <f>K9243</f>
        <v>82944</v>
      </c>
      <c r="L9244" s="202"/>
      <c r="M9244" s="212"/>
      <c r="N9244" s="278"/>
      <c r="O9244" s="280">
        <f>MROUND(O9243*0.302,0.000000001)</f>
        <v>31.366444983000001</v>
      </c>
      <c r="P9244" s="166"/>
      <c r="Q9244" s="166">
        <f t="shared" si="2671"/>
        <v>2601658.412669952</v>
      </c>
      <c r="R9244" s="71"/>
    </row>
    <row r="9245" spans="1:41" s="108" customFormat="1" x14ac:dyDescent="0.25">
      <c r="A9245" s="358"/>
      <c r="B9245" s="361"/>
      <c r="C9245" s="194"/>
      <c r="D9245" s="194"/>
      <c r="E9245" s="194"/>
      <c r="F9245" s="194"/>
      <c r="G9245" s="217"/>
      <c r="H9245" s="195"/>
      <c r="I9245" s="159"/>
      <c r="J9245" s="195"/>
      <c r="K9245" s="161"/>
      <c r="L9245" s="196"/>
      <c r="M9245" s="197"/>
      <c r="N9245" s="278"/>
      <c r="O9245" s="280"/>
      <c r="P9245" s="166"/>
      <c r="Q9245" s="166">
        <f t="shared" si="2671"/>
        <v>0</v>
      </c>
      <c r="R9245" s="71"/>
      <c r="S9245" s="61"/>
      <c r="T9245" s="61"/>
      <c r="U9245" s="61"/>
      <c r="V9245" s="61"/>
      <c r="W9245" s="61"/>
      <c r="X9245" s="61"/>
      <c r="Y9245" s="61"/>
      <c r="Z9245" s="61"/>
      <c r="AA9245" s="61"/>
      <c r="AB9245" s="61"/>
      <c r="AC9245" s="61"/>
      <c r="AD9245" s="61"/>
      <c r="AE9245" s="61"/>
      <c r="AF9245" s="61"/>
      <c r="AG9245" s="61"/>
      <c r="AH9245" s="61"/>
      <c r="AI9245" s="61"/>
      <c r="AJ9245" s="61"/>
      <c r="AK9245" s="61"/>
      <c r="AL9245" s="61"/>
      <c r="AM9245" s="61"/>
      <c r="AN9245" s="61"/>
      <c r="AO9245" s="61"/>
    </row>
    <row r="9246" spans="1:41" s="108" customFormat="1" x14ac:dyDescent="0.25">
      <c r="A9246" s="358"/>
      <c r="B9246" s="361"/>
      <c r="C9246" s="194"/>
      <c r="D9246" s="356" t="s">
        <v>63</v>
      </c>
      <c r="E9246" s="356"/>
      <c r="F9246" s="356"/>
      <c r="G9246" s="356"/>
      <c r="H9246" s="195"/>
      <c r="I9246" s="159"/>
      <c r="J9246" s="195"/>
      <c r="K9246" s="161"/>
      <c r="L9246" s="196"/>
      <c r="M9246" s="197"/>
      <c r="N9246" s="278"/>
      <c r="O9246" s="280">
        <f>O9247</f>
        <v>0.88062099999999999</v>
      </c>
      <c r="P9246" s="166"/>
      <c r="Q9246" s="166">
        <f t="shared" si="2671"/>
        <v>0</v>
      </c>
      <c r="R9246" s="71"/>
      <c r="S9246" s="61"/>
      <c r="T9246" s="61"/>
      <c r="U9246" s="61"/>
      <c r="V9246" s="61"/>
      <c r="W9246" s="61"/>
      <c r="X9246" s="61"/>
      <c r="Y9246" s="61"/>
      <c r="Z9246" s="61"/>
      <c r="AA9246" s="61"/>
      <c r="AB9246" s="61"/>
      <c r="AC9246" s="61"/>
      <c r="AD9246" s="61"/>
      <c r="AE9246" s="61"/>
      <c r="AF9246" s="61"/>
      <c r="AG9246" s="61"/>
      <c r="AH9246" s="61"/>
      <c r="AI9246" s="61"/>
      <c r="AJ9246" s="61"/>
      <c r="AK9246" s="61"/>
      <c r="AL9246" s="61"/>
      <c r="AM9246" s="61"/>
      <c r="AN9246" s="61"/>
      <c r="AO9246" s="61"/>
    </row>
    <row r="9247" spans="1:41" s="61" customFormat="1" x14ac:dyDescent="0.25">
      <c r="A9247" s="358"/>
      <c r="B9247" s="361"/>
      <c r="C9247" s="194">
        <v>346</v>
      </c>
      <c r="D9247" s="194" t="s">
        <v>259</v>
      </c>
      <c r="E9247" s="194" t="s">
        <v>260</v>
      </c>
      <c r="F9247" s="194" t="s">
        <v>261</v>
      </c>
      <c r="G9247" s="238">
        <f>MROUND(H9247*L9247*I9247/K9247,0.00000000001)</f>
        <v>1.2013476599999999E-3</v>
      </c>
      <c r="H9247" s="283">
        <f>H8834</f>
        <v>1212</v>
      </c>
      <c r="I9247" s="282">
        <f>I9244</f>
        <v>8.2214999999999996E-2</v>
      </c>
      <c r="J9247" s="195"/>
      <c r="K9247" s="161">
        <f>K9244</f>
        <v>82944</v>
      </c>
      <c r="L9247" s="196">
        <v>1</v>
      </c>
      <c r="M9247" s="163" t="str">
        <f>CONCATENATE(H9247," ",F9247,"*",I9247,"/",K9247,"чел/час")</f>
        <v>1212 упаковок*0,082215/82944чел/час</v>
      </c>
      <c r="N9247" s="278">
        <f>N8834</f>
        <v>733.02792904290436</v>
      </c>
      <c r="O9247" s="280">
        <f>MROUND(N9247*G9247,0.000001)</f>
        <v>0.88062099999999999</v>
      </c>
      <c r="P9247" s="166"/>
      <c r="Q9247" s="166">
        <f t="shared" si="2671"/>
        <v>73042.228224000006</v>
      </c>
      <c r="R9247" s="71"/>
    </row>
    <row r="9248" spans="1:41" s="108" customFormat="1" x14ac:dyDescent="0.25">
      <c r="A9248" s="358"/>
      <c r="B9248" s="361"/>
      <c r="C9248" s="194"/>
      <c r="D9248" s="350" t="s">
        <v>64</v>
      </c>
      <c r="E9248" s="350"/>
      <c r="F9248" s="350"/>
      <c r="G9248" s="350"/>
      <c r="H9248" s="195"/>
      <c r="I9248" s="159"/>
      <c r="J9248" s="195"/>
      <c r="K9248" s="161"/>
      <c r="L9248" s="196"/>
      <c r="M9248" s="197"/>
      <c r="N9248" s="278"/>
      <c r="O9248" s="280"/>
      <c r="P9248" s="166"/>
      <c r="Q9248" s="166">
        <f t="shared" si="2671"/>
        <v>0</v>
      </c>
      <c r="R9248" s="71"/>
      <c r="S9248" s="61"/>
      <c r="T9248" s="61"/>
      <c r="U9248" s="61"/>
      <c r="V9248" s="61"/>
      <c r="W9248" s="61"/>
      <c r="X9248" s="61"/>
      <c r="Y9248" s="61"/>
      <c r="Z9248" s="61"/>
      <c r="AA9248" s="61"/>
      <c r="AB9248" s="61"/>
      <c r="AC9248" s="61"/>
      <c r="AD9248" s="61"/>
      <c r="AE9248" s="61"/>
      <c r="AF9248" s="61"/>
      <c r="AG9248" s="61"/>
      <c r="AH9248" s="61"/>
      <c r="AI9248" s="61"/>
      <c r="AJ9248" s="61"/>
      <c r="AK9248" s="61"/>
      <c r="AL9248" s="61"/>
      <c r="AM9248" s="61"/>
      <c r="AN9248" s="61"/>
      <c r="AO9248" s="61"/>
    </row>
    <row r="9249" spans="1:41" s="108" customFormat="1" x14ac:dyDescent="0.25">
      <c r="A9249" s="358"/>
      <c r="B9249" s="361"/>
      <c r="C9249" s="194"/>
      <c r="D9249" s="194"/>
      <c r="E9249" s="194"/>
      <c r="F9249" s="194"/>
      <c r="G9249" s="217"/>
      <c r="H9249" s="195"/>
      <c r="I9249" s="159"/>
      <c r="J9249" s="195"/>
      <c r="K9249" s="161"/>
      <c r="L9249" s="196"/>
      <c r="M9249" s="197"/>
      <c r="N9249" s="278"/>
      <c r="O9249" s="280"/>
      <c r="P9249" s="166"/>
      <c r="Q9249" s="166">
        <f t="shared" si="2671"/>
        <v>0</v>
      </c>
      <c r="R9249" s="71"/>
      <c r="S9249" s="61"/>
      <c r="T9249" s="61"/>
      <c r="U9249" s="61"/>
      <c r="V9249" s="61"/>
      <c r="W9249" s="61"/>
      <c r="X9249" s="61"/>
      <c r="Y9249" s="61"/>
      <c r="Z9249" s="61"/>
      <c r="AA9249" s="61"/>
      <c r="AB9249" s="61"/>
      <c r="AC9249" s="61"/>
      <c r="AD9249" s="61"/>
      <c r="AE9249" s="61"/>
      <c r="AF9249" s="61"/>
      <c r="AG9249" s="61"/>
      <c r="AH9249" s="61"/>
      <c r="AI9249" s="61"/>
      <c r="AJ9249" s="61"/>
      <c r="AK9249" s="61"/>
      <c r="AL9249" s="61"/>
      <c r="AM9249" s="61"/>
      <c r="AN9249" s="61"/>
      <c r="AO9249" s="61"/>
    </row>
    <row r="9250" spans="1:41" s="108" customFormat="1" x14ac:dyDescent="0.25">
      <c r="A9250" s="358"/>
      <c r="B9250" s="361"/>
      <c r="C9250" s="194"/>
      <c r="D9250" s="355" t="s">
        <v>5</v>
      </c>
      <c r="E9250" s="355"/>
      <c r="F9250" s="355"/>
      <c r="G9250" s="355"/>
      <c r="H9250" s="195"/>
      <c r="I9250" s="159"/>
      <c r="J9250" s="195"/>
      <c r="K9250" s="161"/>
      <c r="L9250" s="196"/>
      <c r="M9250" s="197"/>
      <c r="N9250" s="278"/>
      <c r="O9250" s="279">
        <f>O9251+O9260+O9271+O9273+O9284+O9280</f>
        <v>23.005855144500003</v>
      </c>
      <c r="P9250" s="166"/>
      <c r="Q9250" s="166">
        <f t="shared" si="2671"/>
        <v>0</v>
      </c>
      <c r="R9250" s="71"/>
      <c r="S9250" s="61"/>
      <c r="T9250" s="61"/>
      <c r="U9250" s="61"/>
      <c r="V9250" s="61"/>
      <c r="W9250" s="61"/>
      <c r="X9250" s="61"/>
      <c r="Y9250" s="61"/>
      <c r="Z9250" s="61"/>
      <c r="AA9250" s="61"/>
      <c r="AB9250" s="61"/>
      <c r="AC9250" s="61"/>
      <c r="AD9250" s="61"/>
      <c r="AE9250" s="61"/>
      <c r="AF9250" s="61"/>
      <c r="AG9250" s="61"/>
      <c r="AH9250" s="61"/>
      <c r="AI9250" s="61"/>
      <c r="AJ9250" s="61"/>
      <c r="AK9250" s="61"/>
      <c r="AL9250" s="61"/>
      <c r="AM9250" s="61"/>
      <c r="AN9250" s="61"/>
      <c r="AO9250" s="61"/>
    </row>
    <row r="9251" spans="1:41" s="108" customFormat="1" x14ac:dyDescent="0.25">
      <c r="A9251" s="358"/>
      <c r="B9251" s="361"/>
      <c r="C9251" s="221" t="s">
        <v>70</v>
      </c>
      <c r="D9251" s="355" t="s">
        <v>6</v>
      </c>
      <c r="E9251" s="355"/>
      <c r="F9251" s="355"/>
      <c r="G9251" s="355"/>
      <c r="H9251" s="189"/>
      <c r="I9251" s="159"/>
      <c r="J9251" s="189"/>
      <c r="K9251" s="161"/>
      <c r="L9251" s="190"/>
      <c r="M9251" s="197"/>
      <c r="N9251" s="278"/>
      <c r="O9251" s="279">
        <f>O9252+O9253+O9254+O9255+O9256+O9257+O9258</f>
        <v>6.5914609999999998</v>
      </c>
      <c r="P9251" s="166"/>
      <c r="Q9251" s="166">
        <f t="shared" si="2671"/>
        <v>0</v>
      </c>
      <c r="R9251" s="71"/>
      <c r="S9251" s="61"/>
      <c r="T9251" s="61"/>
      <c r="U9251" s="61"/>
      <c r="V9251" s="61"/>
      <c r="W9251" s="61"/>
      <c r="X9251" s="61"/>
      <c r="Y9251" s="61"/>
      <c r="Z9251" s="61"/>
      <c r="AA9251" s="61"/>
      <c r="AB9251" s="61"/>
      <c r="AC9251" s="61"/>
      <c r="AD9251" s="61"/>
      <c r="AE9251" s="61"/>
      <c r="AF9251" s="61"/>
      <c r="AG9251" s="61"/>
      <c r="AH9251" s="61"/>
      <c r="AI9251" s="61"/>
      <c r="AJ9251" s="61"/>
      <c r="AK9251" s="61"/>
      <c r="AL9251" s="61"/>
      <c r="AM9251" s="61"/>
      <c r="AN9251" s="61"/>
      <c r="AO9251" s="61"/>
    </row>
    <row r="9252" spans="1:41" s="61" customFormat="1" ht="31.5" x14ac:dyDescent="0.25">
      <c r="A9252" s="358"/>
      <c r="B9252" s="361"/>
      <c r="C9252" s="221" t="s">
        <v>72</v>
      </c>
      <c r="D9252" s="222" t="s">
        <v>7</v>
      </c>
      <c r="E9252" s="223" t="s">
        <v>8</v>
      </c>
      <c r="F9252" s="223" t="s">
        <v>8</v>
      </c>
      <c r="G9252" s="238">
        <f t="shared" ref="G9252:G9258" si="2672">MROUND(H9252*L9252*I9252/K9252,0.00000000001)</f>
        <v>0.11206644445</v>
      </c>
      <c r="H9252" s="160">
        <f>H8840</f>
        <v>113060.13705633247</v>
      </c>
      <c r="I9252" s="282">
        <f>I9244</f>
        <v>8.2214999999999996E-2</v>
      </c>
      <c r="J9252" s="160"/>
      <c r="K9252" s="161">
        <f>K9244</f>
        <v>82944</v>
      </c>
      <c r="L9252" s="250">
        <v>1</v>
      </c>
      <c r="M9252" s="163" t="str">
        <f>CONCATENATE(H9252," ",F9252,"(лимиты выделенные УЖКХ) ","*",I9252,"/",K9252,"чел/час")</f>
        <v>113060,137056332 кВт час.(лимиты выделенные УЖКХ) *0,082215/82944чел/час</v>
      </c>
      <c r="N9252" s="278">
        <f>N8840</f>
        <v>11.38065575985371</v>
      </c>
      <c r="O9252" s="280">
        <f>MROUND(N9252*G9252,0.000001)</f>
        <v>1.27539</v>
      </c>
      <c r="P9252" s="166"/>
      <c r="Q9252" s="166">
        <f t="shared" si="2671"/>
        <v>105785.94816</v>
      </c>
      <c r="R9252" s="71"/>
    </row>
    <row r="9253" spans="1:41" s="61" customFormat="1" ht="31.5" x14ac:dyDescent="0.25">
      <c r="A9253" s="358"/>
      <c r="B9253" s="361"/>
      <c r="C9253" s="221" t="s">
        <v>73</v>
      </c>
      <c r="D9253" s="222" t="s">
        <v>9</v>
      </c>
      <c r="E9253" s="223" t="s">
        <v>10</v>
      </c>
      <c r="F9253" s="223" t="s">
        <v>10</v>
      </c>
      <c r="G9253" s="238">
        <f t="shared" si="2672"/>
        <v>1.3817480499999999E-3</v>
      </c>
      <c r="H9253" s="160">
        <f>H8841</f>
        <v>1394</v>
      </c>
      <c r="I9253" s="159">
        <f t="shared" ref="I9253:I9258" si="2673">I9252</f>
        <v>8.2214999999999996E-2</v>
      </c>
      <c r="J9253" s="160"/>
      <c r="K9253" s="161">
        <f t="shared" ref="K9253:K9258" si="2674">K9252</f>
        <v>82944</v>
      </c>
      <c r="L9253" s="250">
        <v>1</v>
      </c>
      <c r="M9253" s="163" t="str">
        <f>CONCATENATE(H9253," ",F9253,"(лимиты выделенные УЖКХ) ","*",I9253,"/",K9253,"чел/час")</f>
        <v>1394 Гкал(лимиты выделенные УЖКХ) *0,082215/82944чел/час</v>
      </c>
      <c r="N9253" s="278">
        <f>N8945</f>
        <v>3095.3018579626978</v>
      </c>
      <c r="O9253" s="280">
        <f t="shared" ref="O9253:O9258" si="2675">MROUND(N9253*G9253,0.000001)</f>
        <v>4.2769269999999997</v>
      </c>
      <c r="P9253" s="166"/>
      <c r="Q9253" s="166">
        <f t="shared" si="2671"/>
        <v>354745.43308799999</v>
      </c>
      <c r="R9253" s="71"/>
    </row>
    <row r="9254" spans="1:41" s="61" customFormat="1" ht="31.5" x14ac:dyDescent="0.25">
      <c r="A9254" s="358"/>
      <c r="B9254" s="361"/>
      <c r="C9254" s="364" t="s">
        <v>74</v>
      </c>
      <c r="D9254" s="222" t="s">
        <v>12</v>
      </c>
      <c r="E9254" s="222" t="s">
        <v>11</v>
      </c>
      <c r="F9254" s="222" t="s">
        <v>11</v>
      </c>
      <c r="G9254" s="238">
        <f t="shared" si="2672"/>
        <v>4.0055924299999997E-3</v>
      </c>
      <c r="H9254" s="224">
        <f>H8842</f>
        <v>4041.1099999999997</v>
      </c>
      <c r="I9254" s="159">
        <f t="shared" si="2673"/>
        <v>8.2214999999999996E-2</v>
      </c>
      <c r="J9254" s="160"/>
      <c r="K9254" s="161">
        <f t="shared" si="2674"/>
        <v>82944</v>
      </c>
      <c r="L9254" s="250">
        <v>1</v>
      </c>
      <c r="M9254" s="163" t="str">
        <f>CONCATENATE(H9254," ",F9254,"(лимиты выделенные УЖКХ) ","*",I9254,"/",K9254,"чел/час")</f>
        <v>4041,11 м3(лимиты выделенные УЖКХ) *0,082215/82944чел/час</v>
      </c>
      <c r="N9254" s="278">
        <f>N8842</f>
        <v>56.382747190747111</v>
      </c>
      <c r="O9254" s="280">
        <f t="shared" si="2675"/>
        <v>0.22584599999999999</v>
      </c>
      <c r="P9254" s="166"/>
      <c r="Q9254" s="166">
        <f t="shared" si="2671"/>
        <v>18732.570624</v>
      </c>
      <c r="R9254" s="71"/>
    </row>
    <row r="9255" spans="1:41" s="61" customFormat="1" ht="47.25" x14ac:dyDescent="0.25">
      <c r="A9255" s="358"/>
      <c r="B9255" s="361"/>
      <c r="C9255" s="364"/>
      <c r="D9255" s="222" t="s">
        <v>17</v>
      </c>
      <c r="E9255" s="222" t="s">
        <v>11</v>
      </c>
      <c r="F9255" s="222" t="s">
        <v>11</v>
      </c>
      <c r="G9255" s="238">
        <f t="shared" si="2672"/>
        <v>4.0055924299999997E-3</v>
      </c>
      <c r="H9255" s="160">
        <f>H8947</f>
        <v>4041.1099999999997</v>
      </c>
      <c r="I9255" s="159">
        <f t="shared" si="2673"/>
        <v>8.2214999999999996E-2</v>
      </c>
      <c r="J9255" s="160"/>
      <c r="K9255" s="161">
        <f t="shared" si="2674"/>
        <v>82944</v>
      </c>
      <c r="L9255" s="162">
        <f>$L$8843</f>
        <v>1</v>
      </c>
      <c r="M9255" s="163" t="str">
        <f>CONCATENATE(H9255," ",F9255,"(лимиты выделенные УЖКХ) ","*",I9255,"/",K9255,"чел/час")</f>
        <v>4041,11 м3(лимиты выделенные УЖКХ) *0,082215/82944чел/час</v>
      </c>
      <c r="N9255" s="164">
        <f>N8843</f>
        <v>85.679537612054801</v>
      </c>
      <c r="O9255" s="280">
        <f t="shared" si="2675"/>
        <v>0.34319699999999997</v>
      </c>
      <c r="P9255" s="166"/>
      <c r="Q9255" s="166">
        <f t="shared" si="2671"/>
        <v>28466.131967999998</v>
      </c>
      <c r="R9255" s="71"/>
    </row>
    <row r="9256" spans="1:41" s="61" customFormat="1" ht="31.5" x14ac:dyDescent="0.25">
      <c r="A9256" s="358"/>
      <c r="B9256" s="361"/>
      <c r="C9256" s="364"/>
      <c r="D9256" s="222" t="s">
        <v>13</v>
      </c>
      <c r="E9256" s="222" t="s">
        <v>11</v>
      </c>
      <c r="F9256" s="222" t="s">
        <v>11</v>
      </c>
      <c r="G9256" s="238">
        <f t="shared" si="2672"/>
        <v>4.0055924299999997E-3</v>
      </c>
      <c r="H9256" s="160">
        <f>H8844</f>
        <v>4041.1099999999997</v>
      </c>
      <c r="I9256" s="159">
        <f t="shared" si="2673"/>
        <v>8.2214999999999996E-2</v>
      </c>
      <c r="J9256" s="160"/>
      <c r="K9256" s="161">
        <f t="shared" si="2674"/>
        <v>82944</v>
      </c>
      <c r="L9256" s="162">
        <v>1</v>
      </c>
      <c r="M9256" s="163" t="str">
        <f>CONCATENATE(H9256," ",F9256,"(лимиты выделенные УЖКХ) ","*",I9256,"/",K9256,"чел/час")</f>
        <v>4041,11 м3(лимиты выделенные УЖКХ) *0,082215/82944чел/час</v>
      </c>
      <c r="N9256" s="278">
        <f>N8844</f>
        <v>104.62845363292494</v>
      </c>
      <c r="O9256" s="280">
        <f t="shared" si="2675"/>
        <v>0.419099</v>
      </c>
      <c r="P9256" s="166"/>
      <c r="Q9256" s="166">
        <f t="shared" si="2671"/>
        <v>34761.747455999997</v>
      </c>
      <c r="R9256" s="71"/>
    </row>
    <row r="9257" spans="1:41" s="61" customFormat="1" x14ac:dyDescent="0.25">
      <c r="A9257" s="358"/>
      <c r="B9257" s="361"/>
      <c r="C9257" s="364" t="s">
        <v>216</v>
      </c>
      <c r="D9257" s="222" t="s">
        <v>23</v>
      </c>
      <c r="E9257" s="222" t="s">
        <v>11</v>
      </c>
      <c r="F9257" s="222" t="s">
        <v>11</v>
      </c>
      <c r="G9257" s="238">
        <f t="shared" si="2672"/>
        <v>2.4760449999999998E-5</v>
      </c>
      <c r="H9257" s="160">
        <f>H8845</f>
        <v>24.979999999999997</v>
      </c>
      <c r="I9257" s="159">
        <f t="shared" si="2673"/>
        <v>8.2214999999999996E-2</v>
      </c>
      <c r="J9257" s="160"/>
      <c r="K9257" s="161">
        <f t="shared" si="2674"/>
        <v>82944</v>
      </c>
      <c r="L9257" s="162">
        <v>1</v>
      </c>
      <c r="M9257" s="163" t="str">
        <f>CONCATENATE(H9257," ",F9257," ","*",I9257,"/",K9257,"чел/час")</f>
        <v>24,98 м3 *0,082215/82944чел/час</v>
      </c>
      <c r="N9257" s="164">
        <f>N8845</f>
        <v>807.4099279423541</v>
      </c>
      <c r="O9257" s="280">
        <f t="shared" si="2675"/>
        <v>1.9991999999999999E-2</v>
      </c>
      <c r="P9257" s="166"/>
      <c r="Q9257" s="166">
        <f t="shared" si="2671"/>
        <v>1658.2164479999999</v>
      </c>
      <c r="R9257" s="71"/>
    </row>
    <row r="9258" spans="1:41" s="61" customFormat="1" ht="63" x14ac:dyDescent="0.25">
      <c r="A9258" s="358"/>
      <c r="B9258" s="361"/>
      <c r="C9258" s="364"/>
      <c r="D9258" s="222" t="s">
        <v>24</v>
      </c>
      <c r="E9258" s="222" t="s">
        <v>25</v>
      </c>
      <c r="F9258" s="222" t="s">
        <v>248</v>
      </c>
      <c r="G9258" s="238">
        <f t="shared" si="2672"/>
        <v>4.9560499999999998E-6</v>
      </c>
      <c r="H9258" s="160">
        <f>H8846</f>
        <v>5</v>
      </c>
      <c r="I9258" s="159">
        <f t="shared" si="2673"/>
        <v>8.2214999999999996E-2</v>
      </c>
      <c r="J9258" s="160"/>
      <c r="K9258" s="161">
        <f t="shared" si="2674"/>
        <v>82944</v>
      </c>
      <c r="L9258" s="250">
        <v>1</v>
      </c>
      <c r="M9258" s="163" t="str">
        <f>CONCATENATE(H9258," ",F9258,"(потребность из расчета 4 контейнера для уборки территории весной и осенью на 1 учреждение)","*",I9258,"/",K9258,"чел/час")</f>
        <v>5 контейнеров(потребность из расчета 4 контейнера для уборки территории весной и осенью на 1 учреждение)*0,082215/82944чел/час</v>
      </c>
      <c r="N9258" s="278">
        <f>N8846</f>
        <v>6257.04</v>
      </c>
      <c r="O9258" s="280">
        <f t="shared" si="2675"/>
        <v>3.1009999999999999E-2</v>
      </c>
      <c r="P9258" s="166"/>
      <c r="Q9258" s="166">
        <f t="shared" si="2671"/>
        <v>2572.0934400000001</v>
      </c>
      <c r="R9258" s="71"/>
    </row>
    <row r="9259" spans="1:41" s="109" customFormat="1" x14ac:dyDescent="0.25">
      <c r="A9259" s="358"/>
      <c r="B9259" s="361"/>
      <c r="C9259" s="218" t="s">
        <v>290</v>
      </c>
      <c r="D9259" s="226"/>
      <c r="E9259" s="226"/>
      <c r="F9259" s="226"/>
      <c r="G9259" s="227"/>
      <c r="H9259" s="228"/>
      <c r="I9259" s="206"/>
      <c r="J9259" s="228"/>
      <c r="K9259" s="207"/>
      <c r="L9259" s="257"/>
      <c r="M9259" s="209"/>
      <c r="N9259" s="281"/>
      <c r="O9259" s="279">
        <f>SUM(O9252:O9258)</f>
        <v>6.5914609999999998</v>
      </c>
      <c r="P9259" s="267"/>
      <c r="Q9259" s="166"/>
      <c r="R9259" s="71"/>
      <c r="S9259" s="62"/>
      <c r="T9259" s="62"/>
      <c r="U9259" s="62"/>
      <c r="V9259" s="62"/>
      <c r="W9259" s="62"/>
      <c r="X9259" s="62"/>
      <c r="Y9259" s="62"/>
      <c r="Z9259" s="62"/>
      <c r="AA9259" s="62"/>
      <c r="AB9259" s="62"/>
      <c r="AC9259" s="62"/>
      <c r="AD9259" s="62"/>
      <c r="AE9259" s="62"/>
      <c r="AF9259" s="62"/>
      <c r="AG9259" s="62"/>
      <c r="AH9259" s="62"/>
      <c r="AI9259" s="62"/>
      <c r="AJ9259" s="62"/>
      <c r="AK9259" s="62"/>
      <c r="AL9259" s="62"/>
      <c r="AM9259" s="62"/>
      <c r="AN9259" s="62"/>
      <c r="AO9259" s="62"/>
    </row>
    <row r="9260" spans="1:41" s="108" customFormat="1" x14ac:dyDescent="0.25">
      <c r="A9260" s="358"/>
      <c r="B9260" s="361"/>
      <c r="C9260" s="221"/>
      <c r="D9260" s="356" t="s">
        <v>14</v>
      </c>
      <c r="E9260" s="356"/>
      <c r="F9260" s="356"/>
      <c r="G9260" s="356"/>
      <c r="H9260" s="188"/>
      <c r="I9260" s="159"/>
      <c r="J9260" s="188"/>
      <c r="K9260" s="161"/>
      <c r="L9260" s="250"/>
      <c r="M9260" s="230"/>
      <c r="N9260" s="278"/>
      <c r="O9260" s="279">
        <f>O9264+O9268+O9269</f>
        <v>12.195859181000001</v>
      </c>
      <c r="P9260" s="166"/>
      <c r="Q9260" s="166">
        <f>O9260*K9260</f>
        <v>0</v>
      </c>
      <c r="R9260" s="71"/>
      <c r="S9260" s="61"/>
      <c r="T9260" s="61"/>
      <c r="U9260" s="61"/>
      <c r="V9260" s="61"/>
      <c r="W9260" s="61"/>
      <c r="X9260" s="61"/>
      <c r="Y9260" s="61"/>
      <c r="Z9260" s="61"/>
      <c r="AA9260" s="61"/>
      <c r="AB9260" s="61"/>
      <c r="AC9260" s="61"/>
      <c r="AD9260" s="61"/>
      <c r="AE9260" s="61"/>
      <c r="AF9260" s="61"/>
      <c r="AG9260" s="61"/>
      <c r="AH9260" s="61"/>
      <c r="AI9260" s="61"/>
      <c r="AJ9260" s="61"/>
      <c r="AK9260" s="61"/>
      <c r="AL9260" s="61"/>
      <c r="AM9260" s="61"/>
      <c r="AN9260" s="61"/>
      <c r="AO9260" s="61"/>
    </row>
    <row r="9261" spans="1:41" s="61" customFormat="1" x14ac:dyDescent="0.25">
      <c r="A9261" s="358"/>
      <c r="B9261" s="361"/>
      <c r="C9261" s="221" t="s">
        <v>379</v>
      </c>
      <c r="D9261" s="231" t="s">
        <v>49</v>
      </c>
      <c r="E9261" s="231" t="s">
        <v>22</v>
      </c>
      <c r="F9261" s="231" t="s">
        <v>22</v>
      </c>
      <c r="G9261" s="238">
        <f>MROUND(H9261*L9261*I9261/K9261,0.00000000001)</f>
        <v>0</v>
      </c>
      <c r="H9261" s="160"/>
      <c r="I9261" s="159">
        <f>I9256</f>
        <v>8.2214999999999996E-2</v>
      </c>
      <c r="J9261" s="160"/>
      <c r="K9261" s="161">
        <f>K9256</f>
        <v>82944</v>
      </c>
      <c r="L9261" s="250">
        <v>1</v>
      </c>
      <c r="M9261" s="163"/>
      <c r="N9261" s="278"/>
      <c r="O9261" s="280">
        <f>MROUND(N9261*G9261,0.000000001)</f>
        <v>0</v>
      </c>
      <c r="P9261" s="166"/>
      <c r="Q9261" s="166">
        <f>O9261*K9261</f>
        <v>0</v>
      </c>
      <c r="R9261" s="71"/>
    </row>
    <row r="9262" spans="1:41" s="61" customFormat="1" x14ac:dyDescent="0.25">
      <c r="A9262" s="358"/>
      <c r="B9262" s="361"/>
      <c r="C9262" s="221" t="s">
        <v>379</v>
      </c>
      <c r="D9262" s="231" t="s">
        <v>49</v>
      </c>
      <c r="E9262" s="231" t="s">
        <v>28</v>
      </c>
      <c r="F9262" s="231" t="s">
        <v>28</v>
      </c>
      <c r="G9262" s="238">
        <f>MROUND(H9262*L9262*I9262/K9262,0.00000000001)</f>
        <v>0</v>
      </c>
      <c r="H9262" s="160"/>
      <c r="I9262" s="159">
        <f>I9261</f>
        <v>8.2214999999999996E-2</v>
      </c>
      <c r="J9262" s="160"/>
      <c r="K9262" s="161">
        <f>K9261</f>
        <v>82944</v>
      </c>
      <c r="L9262" s="250">
        <v>1</v>
      </c>
      <c r="M9262" s="163"/>
      <c r="N9262" s="278"/>
      <c r="O9262" s="280">
        <f>MROUND(N9262*G9262,0.000000001)</f>
        <v>0</v>
      </c>
      <c r="P9262" s="166"/>
      <c r="Q9262" s="166">
        <f>O9262*K9262</f>
        <v>0</v>
      </c>
      <c r="R9262" s="71"/>
    </row>
    <row r="9263" spans="1:41" s="61" customFormat="1" x14ac:dyDescent="0.25">
      <c r="A9263" s="358"/>
      <c r="B9263" s="361"/>
      <c r="C9263" s="221" t="s">
        <v>379</v>
      </c>
      <c r="D9263" s="231" t="s">
        <v>49</v>
      </c>
      <c r="E9263" s="231" t="s">
        <v>101</v>
      </c>
      <c r="F9263" s="231" t="s">
        <v>101</v>
      </c>
      <c r="G9263" s="238">
        <f>MROUND(H9263*L9263*I9263/K9263,0.00000000001)</f>
        <v>0</v>
      </c>
      <c r="H9263" s="160"/>
      <c r="I9263" s="159">
        <f>I9261</f>
        <v>8.2214999999999996E-2</v>
      </c>
      <c r="J9263" s="160"/>
      <c r="K9263" s="161">
        <f>K9261</f>
        <v>82944</v>
      </c>
      <c r="L9263" s="250">
        <v>1</v>
      </c>
      <c r="M9263" s="163"/>
      <c r="N9263" s="278"/>
      <c r="O9263" s="280">
        <f>MROUND(N9263*G9263,0.000001)</f>
        <v>0</v>
      </c>
      <c r="P9263" s="166"/>
      <c r="Q9263" s="166">
        <f>O9263*K9263</f>
        <v>0</v>
      </c>
      <c r="R9263" s="71"/>
    </row>
    <row r="9264" spans="1:41" s="109" customFormat="1" x14ac:dyDescent="0.25">
      <c r="A9264" s="358"/>
      <c r="B9264" s="361"/>
      <c r="C9264" s="218" t="s">
        <v>380</v>
      </c>
      <c r="D9264" s="232"/>
      <c r="E9264" s="232"/>
      <c r="F9264" s="232"/>
      <c r="G9264" s="227"/>
      <c r="H9264" s="228"/>
      <c r="I9264" s="206"/>
      <c r="J9264" s="228"/>
      <c r="K9264" s="207"/>
      <c r="L9264" s="257"/>
      <c r="M9264" s="209"/>
      <c r="N9264" s="281"/>
      <c r="O9264" s="279">
        <f>SUM(O9261:O9263)</f>
        <v>0</v>
      </c>
      <c r="P9264" s="267"/>
      <c r="Q9264" s="166"/>
      <c r="R9264" s="72"/>
      <c r="S9264" s="62"/>
      <c r="T9264" s="62"/>
      <c r="U9264" s="62"/>
      <c r="V9264" s="62"/>
      <c r="W9264" s="62"/>
      <c r="X9264" s="62"/>
      <c r="Y9264" s="62"/>
      <c r="Z9264" s="62"/>
      <c r="AA9264" s="62"/>
      <c r="AB9264" s="62"/>
      <c r="AC9264" s="62"/>
      <c r="AD9264" s="62"/>
      <c r="AE9264" s="62"/>
      <c r="AF9264" s="62"/>
      <c r="AG9264" s="62"/>
      <c r="AH9264" s="62"/>
      <c r="AI9264" s="62"/>
      <c r="AJ9264" s="62"/>
      <c r="AK9264" s="62"/>
      <c r="AL9264" s="62"/>
      <c r="AM9264" s="62"/>
      <c r="AN9264" s="62"/>
      <c r="AO9264" s="62"/>
    </row>
    <row r="9265" spans="1:41" s="61" customFormat="1" x14ac:dyDescent="0.25">
      <c r="A9265" s="358"/>
      <c r="B9265" s="361"/>
      <c r="C9265" s="221" t="s">
        <v>76</v>
      </c>
      <c r="D9265" s="231" t="s">
        <v>49</v>
      </c>
      <c r="E9265" s="231" t="s">
        <v>22</v>
      </c>
      <c r="F9265" s="231" t="s">
        <v>22</v>
      </c>
      <c r="G9265" s="238">
        <f>MROUND(H9265*L9265*I9265/K9265,0.00000000001)</f>
        <v>2.2956445299999999E-3</v>
      </c>
      <c r="H9265" s="160">
        <f>H8853</f>
        <v>2316</v>
      </c>
      <c r="I9265" s="159">
        <f>I9263</f>
        <v>8.2214999999999996E-2</v>
      </c>
      <c r="J9265" s="160"/>
      <c r="K9265" s="161">
        <f>K9263</f>
        <v>82944</v>
      </c>
      <c r="L9265" s="250">
        <v>1</v>
      </c>
      <c r="M9265" s="163" t="str">
        <f>CONCATENATE(H9265," ",F9265,"*",I9265,"/",K9265,"чел/час")</f>
        <v>2316 м2*0,082215/82944чел/час</v>
      </c>
      <c r="N9265" s="278">
        <f>N8853</f>
        <v>5226.2521588946456</v>
      </c>
      <c r="O9265" s="280">
        <f>MROUND(N9265*G9265,0.000000001)</f>
        <v>11.997617181000001</v>
      </c>
      <c r="P9265" s="166"/>
      <c r="Q9265" s="166">
        <f>O9265*K9265</f>
        <v>995130.3594608641</v>
      </c>
      <c r="R9265" s="71"/>
    </row>
    <row r="9266" spans="1:41" s="61" customFormat="1" x14ac:dyDescent="0.25">
      <c r="A9266" s="358"/>
      <c r="B9266" s="361"/>
      <c r="C9266" s="221"/>
      <c r="D9266" s="231" t="s">
        <v>49</v>
      </c>
      <c r="E9266" s="231" t="s">
        <v>28</v>
      </c>
      <c r="F9266" s="231" t="s">
        <v>28</v>
      </c>
      <c r="G9266" s="238">
        <f>MROUND(H9266*L9266*I9266/K9266,0.00000000001)</f>
        <v>1.98242E-6</v>
      </c>
      <c r="H9266" s="160">
        <f>H8854</f>
        <v>2</v>
      </c>
      <c r="I9266" s="159">
        <f>I9265</f>
        <v>8.2214999999999996E-2</v>
      </c>
      <c r="J9266" s="160"/>
      <c r="K9266" s="161">
        <f>K9265</f>
        <v>82944</v>
      </c>
      <c r="L9266" s="250">
        <v>1</v>
      </c>
      <c r="M9266" s="163" t="str">
        <f>CONCATENATE(H9266," ",F9266,"*",I9266,"/",K9266,"чел/час")</f>
        <v>2 шт*0,082215/82944чел/час</v>
      </c>
      <c r="N9266" s="278">
        <f>N8854</f>
        <v>100000</v>
      </c>
      <c r="O9266" s="280">
        <f>MROUND(N9266*G9266,0.000000001)</f>
        <v>0.198242</v>
      </c>
      <c r="P9266" s="166"/>
      <c r="Q9266" s="166">
        <f>O9266*K9266</f>
        <v>16442.984447999999</v>
      </c>
      <c r="R9266" s="71"/>
    </row>
    <row r="9267" spans="1:41" s="61" customFormat="1" x14ac:dyDescent="0.25">
      <c r="A9267" s="358"/>
      <c r="B9267" s="361"/>
      <c r="C9267" s="221"/>
      <c r="D9267" s="231" t="s">
        <v>49</v>
      </c>
      <c r="E9267" s="231" t="s">
        <v>101</v>
      </c>
      <c r="F9267" s="231" t="s">
        <v>101</v>
      </c>
      <c r="G9267" s="238">
        <f>MROUND(H9267*L9267*I9267/K9267,0.00000000001)</f>
        <v>0</v>
      </c>
      <c r="H9267" s="160">
        <f>H8855</f>
        <v>0</v>
      </c>
      <c r="I9267" s="159">
        <f>I9265</f>
        <v>8.2214999999999996E-2</v>
      </c>
      <c r="J9267" s="160"/>
      <c r="K9267" s="161">
        <f>K9265</f>
        <v>82944</v>
      </c>
      <c r="L9267" s="250">
        <v>1</v>
      </c>
      <c r="M9267" s="163" t="str">
        <f>CONCATENATE(H9267," ",F9267,"*",I9267,"/",K9267,"чел/час")</f>
        <v>0 погон.м.*0,082215/82944чел/час</v>
      </c>
      <c r="N9267" s="278">
        <f>N8855</f>
        <v>0</v>
      </c>
      <c r="O9267" s="280">
        <f>MROUND(N9267*G9267,0.000001)</f>
        <v>0</v>
      </c>
      <c r="P9267" s="166"/>
      <c r="Q9267" s="166">
        <f>O9267*K9267</f>
        <v>0</v>
      </c>
      <c r="R9267" s="71"/>
    </row>
    <row r="9268" spans="1:41" s="109" customFormat="1" x14ac:dyDescent="0.25">
      <c r="A9268" s="358"/>
      <c r="B9268" s="361"/>
      <c r="C9268" s="218" t="s">
        <v>291</v>
      </c>
      <c r="D9268" s="232"/>
      <c r="E9268" s="232"/>
      <c r="F9268" s="232"/>
      <c r="G9268" s="227"/>
      <c r="H9268" s="228"/>
      <c r="I9268" s="206"/>
      <c r="J9268" s="228"/>
      <c r="K9268" s="207"/>
      <c r="L9268" s="257"/>
      <c r="M9268" s="209"/>
      <c r="N9268" s="281"/>
      <c r="O9268" s="279">
        <f>SUM(O9265:O9267)</f>
        <v>12.195859181000001</v>
      </c>
      <c r="P9268" s="267"/>
      <c r="Q9268" s="166"/>
      <c r="R9268" s="72"/>
      <c r="S9268" s="62"/>
      <c r="T9268" s="62"/>
      <c r="U9268" s="62"/>
      <c r="V9268" s="62"/>
      <c r="W9268" s="62"/>
      <c r="X9268" s="62"/>
      <c r="Y9268" s="62"/>
      <c r="Z9268" s="62"/>
      <c r="AA9268" s="62"/>
      <c r="AB9268" s="62"/>
      <c r="AC9268" s="62"/>
      <c r="AD9268" s="62"/>
      <c r="AE9268" s="62"/>
      <c r="AF9268" s="62"/>
      <c r="AG9268" s="62"/>
      <c r="AH9268" s="62"/>
      <c r="AI9268" s="62"/>
      <c r="AJ9268" s="62"/>
      <c r="AK9268" s="62"/>
      <c r="AL9268" s="62"/>
      <c r="AM9268" s="62"/>
      <c r="AN9268" s="62"/>
      <c r="AO9268" s="62"/>
    </row>
    <row r="9269" spans="1:41" s="61" customFormat="1" x14ac:dyDescent="0.25">
      <c r="A9269" s="358"/>
      <c r="B9269" s="361"/>
      <c r="C9269" s="221" t="s">
        <v>77</v>
      </c>
      <c r="D9269" s="231"/>
      <c r="E9269" s="231"/>
      <c r="F9269" s="231"/>
      <c r="G9269" s="238">
        <f>MROUND(H9269*L9269*I9269/K9269,0.00000000001)</f>
        <v>0</v>
      </c>
      <c r="H9269" s="160"/>
      <c r="I9269" s="159">
        <f>I9267</f>
        <v>8.2214999999999996E-2</v>
      </c>
      <c r="J9269" s="160"/>
      <c r="K9269" s="161">
        <f>K9267</f>
        <v>82944</v>
      </c>
      <c r="L9269" s="250"/>
      <c r="M9269" s="163"/>
      <c r="N9269" s="278"/>
      <c r="O9269" s="280">
        <f>MROUND(N9269*G9269,0.000001)</f>
        <v>0</v>
      </c>
      <c r="P9269" s="166"/>
      <c r="Q9269" s="166">
        <f>O9269*K9269</f>
        <v>0</v>
      </c>
      <c r="R9269" s="71"/>
    </row>
    <row r="9270" spans="1:41" s="109" customFormat="1" x14ac:dyDescent="0.25">
      <c r="A9270" s="358"/>
      <c r="B9270" s="361"/>
      <c r="C9270" s="218" t="s">
        <v>292</v>
      </c>
      <c r="D9270" s="232"/>
      <c r="E9270" s="232"/>
      <c r="F9270" s="232"/>
      <c r="G9270" s="227"/>
      <c r="H9270" s="228"/>
      <c r="I9270" s="206"/>
      <c r="J9270" s="228"/>
      <c r="K9270" s="207"/>
      <c r="L9270" s="257"/>
      <c r="M9270" s="209"/>
      <c r="N9270" s="281"/>
      <c r="O9270" s="279">
        <f>O9269</f>
        <v>0</v>
      </c>
      <c r="P9270" s="267"/>
      <c r="Q9270" s="166"/>
      <c r="R9270" s="72"/>
      <c r="S9270" s="62"/>
      <c r="T9270" s="62"/>
      <c r="U9270" s="62"/>
      <c r="V9270" s="62"/>
      <c r="W9270" s="62"/>
      <c r="X9270" s="62"/>
      <c r="Y9270" s="62"/>
      <c r="Z9270" s="62"/>
      <c r="AA9270" s="62"/>
      <c r="AB9270" s="62"/>
      <c r="AC9270" s="62"/>
      <c r="AD9270" s="62"/>
      <c r="AE9270" s="62"/>
      <c r="AF9270" s="62"/>
      <c r="AG9270" s="62"/>
      <c r="AH9270" s="62"/>
      <c r="AI9270" s="62"/>
      <c r="AJ9270" s="62"/>
      <c r="AK9270" s="62"/>
      <c r="AL9270" s="62"/>
      <c r="AM9270" s="62"/>
      <c r="AN9270" s="62"/>
      <c r="AO9270" s="62"/>
    </row>
    <row r="9271" spans="1:41" s="108" customFormat="1" x14ac:dyDescent="0.25">
      <c r="A9271" s="358"/>
      <c r="B9271" s="361"/>
      <c r="C9271" s="221"/>
      <c r="D9271" s="350" t="s">
        <v>65</v>
      </c>
      <c r="E9271" s="350"/>
      <c r="F9271" s="350"/>
      <c r="G9271" s="350"/>
      <c r="H9271" s="195"/>
      <c r="I9271" s="159"/>
      <c r="J9271" s="195"/>
      <c r="K9271" s="161"/>
      <c r="L9271" s="196"/>
      <c r="M9271" s="230"/>
      <c r="N9271" s="278"/>
      <c r="O9271" s="280"/>
      <c r="P9271" s="166"/>
      <c r="Q9271" s="166">
        <f t="shared" ref="Q9271:Q9290" si="2676">O9271*K9271</f>
        <v>0</v>
      </c>
      <c r="R9271" s="71"/>
      <c r="S9271" s="61"/>
      <c r="T9271" s="61"/>
      <c r="U9271" s="61"/>
      <c r="V9271" s="61"/>
      <c r="W9271" s="61"/>
      <c r="X9271" s="61"/>
      <c r="Y9271" s="61"/>
      <c r="Z9271" s="61"/>
      <c r="AA9271" s="61"/>
      <c r="AB9271" s="61"/>
      <c r="AC9271" s="61"/>
      <c r="AD9271" s="61"/>
      <c r="AE9271" s="61"/>
      <c r="AF9271" s="61"/>
      <c r="AG9271" s="61"/>
      <c r="AH9271" s="61"/>
      <c r="AI9271" s="61"/>
      <c r="AJ9271" s="61"/>
      <c r="AK9271" s="61"/>
      <c r="AL9271" s="61"/>
      <c r="AM9271" s="61"/>
      <c r="AN9271" s="61"/>
      <c r="AO9271" s="61"/>
    </row>
    <row r="9272" spans="1:41" s="108" customFormat="1" x14ac:dyDescent="0.25">
      <c r="A9272" s="358"/>
      <c r="B9272" s="361"/>
      <c r="C9272" s="221"/>
      <c r="D9272" s="194"/>
      <c r="E9272" s="194"/>
      <c r="F9272" s="194"/>
      <c r="G9272" s="217"/>
      <c r="H9272" s="195"/>
      <c r="I9272" s="159"/>
      <c r="J9272" s="195"/>
      <c r="K9272" s="161"/>
      <c r="L9272" s="196"/>
      <c r="M9272" s="230"/>
      <c r="N9272" s="278"/>
      <c r="O9272" s="280"/>
      <c r="P9272" s="166"/>
      <c r="Q9272" s="166">
        <f t="shared" si="2676"/>
        <v>0</v>
      </c>
      <c r="R9272" s="71"/>
      <c r="S9272" s="61"/>
      <c r="T9272" s="61"/>
      <c r="U9272" s="61"/>
      <c r="V9272" s="61"/>
      <c r="W9272" s="61"/>
      <c r="X9272" s="61"/>
      <c r="Y9272" s="61"/>
      <c r="Z9272" s="61"/>
      <c r="AA9272" s="61"/>
      <c r="AB9272" s="61"/>
      <c r="AC9272" s="61"/>
      <c r="AD9272" s="61"/>
      <c r="AE9272" s="61"/>
      <c r="AF9272" s="61"/>
      <c r="AG9272" s="61"/>
      <c r="AH9272" s="61"/>
      <c r="AI9272" s="61"/>
      <c r="AJ9272" s="61"/>
      <c r="AK9272" s="61"/>
      <c r="AL9272" s="61"/>
      <c r="AM9272" s="61"/>
      <c r="AN9272" s="61"/>
      <c r="AO9272" s="61"/>
    </row>
    <row r="9273" spans="1:41" s="108" customFormat="1" ht="14.25" customHeight="1" x14ac:dyDescent="0.25">
      <c r="A9273" s="358"/>
      <c r="B9273" s="361"/>
      <c r="C9273" s="365" t="s">
        <v>357</v>
      </c>
      <c r="D9273" s="368" t="s">
        <v>66</v>
      </c>
      <c r="E9273" s="368"/>
      <c r="F9273" s="368"/>
      <c r="G9273" s="368"/>
      <c r="H9273" s="195"/>
      <c r="I9273" s="159"/>
      <c r="J9273" s="195"/>
      <c r="K9273" s="161"/>
      <c r="L9273" s="196"/>
      <c r="M9273" s="230"/>
      <c r="N9273" s="278"/>
      <c r="O9273" s="279">
        <f>O9279</f>
        <v>0.4830419635</v>
      </c>
      <c r="P9273" s="166"/>
      <c r="Q9273" s="166">
        <f t="shared" si="2676"/>
        <v>0</v>
      </c>
      <c r="R9273" s="71"/>
      <c r="S9273" s="61"/>
      <c r="T9273" s="61"/>
      <c r="U9273" s="61"/>
      <c r="V9273" s="61"/>
      <c r="W9273" s="61"/>
      <c r="X9273" s="61"/>
      <c r="Y9273" s="61"/>
      <c r="Z9273" s="61"/>
      <c r="AA9273" s="61"/>
      <c r="AB9273" s="61"/>
      <c r="AC9273" s="61"/>
      <c r="AD9273" s="61"/>
      <c r="AE9273" s="61"/>
      <c r="AF9273" s="61"/>
      <c r="AG9273" s="61"/>
      <c r="AH9273" s="61"/>
      <c r="AI9273" s="61"/>
      <c r="AJ9273" s="61"/>
      <c r="AK9273" s="61"/>
      <c r="AL9273" s="61"/>
      <c r="AM9273" s="61"/>
      <c r="AN9273" s="61"/>
      <c r="AO9273" s="61"/>
    </row>
    <row r="9274" spans="1:41" s="61" customFormat="1" x14ac:dyDescent="0.25">
      <c r="A9274" s="358"/>
      <c r="B9274" s="361"/>
      <c r="C9274" s="366"/>
      <c r="D9274" s="284" t="s">
        <v>241</v>
      </c>
      <c r="E9274" s="156" t="s">
        <v>28</v>
      </c>
      <c r="F9274" s="156" t="s">
        <v>28</v>
      </c>
      <c r="G9274" s="238">
        <f>MROUND(H9274*L9274*I9274/K9274,0.00000000001)</f>
        <v>2.0220703E-4</v>
      </c>
      <c r="H9274" s="158">
        <f>H8862</f>
        <v>17</v>
      </c>
      <c r="I9274" s="159">
        <f>I9267</f>
        <v>8.2214999999999996E-2</v>
      </c>
      <c r="J9274" s="160"/>
      <c r="K9274" s="161">
        <f>K9267</f>
        <v>82944</v>
      </c>
      <c r="L9274" s="250">
        <v>12</v>
      </c>
      <c r="M9274" s="163" t="str">
        <f>CONCATENATE(H9274," ",F9274,"*",L9274,"мес.","*",I9274,"/",K9274,"чел/час")</f>
        <v>17 шт*12мес.*0,082215/82944чел/час</v>
      </c>
      <c r="N9274" s="278">
        <f>N8862</f>
        <v>356.56073529411765</v>
      </c>
      <c r="O9274" s="280">
        <f>MROUND(N9274*G9274,0.000001)</f>
        <v>7.2098999999999996E-2</v>
      </c>
      <c r="P9274" s="166"/>
      <c r="Q9274" s="166">
        <f t="shared" si="2676"/>
        <v>5980.1794559999998</v>
      </c>
      <c r="R9274" s="71"/>
    </row>
    <row r="9275" spans="1:41" s="61" customFormat="1" x14ac:dyDescent="0.25">
      <c r="A9275" s="358"/>
      <c r="B9275" s="361"/>
      <c r="C9275" s="366"/>
      <c r="D9275" s="284" t="s">
        <v>242</v>
      </c>
      <c r="E9275" s="156" t="s">
        <v>243</v>
      </c>
      <c r="F9275" s="156" t="s">
        <v>243</v>
      </c>
      <c r="G9275" s="238">
        <f>MROUND(H9275*L9275*I9275/K9275,0.00000000001)</f>
        <v>0.20584675780999998</v>
      </c>
      <c r="H9275" s="158">
        <f>H8863</f>
        <v>17306</v>
      </c>
      <c r="I9275" s="159">
        <f>I9274</f>
        <v>8.2214999999999996E-2</v>
      </c>
      <c r="J9275" s="160"/>
      <c r="K9275" s="161">
        <f>K9274</f>
        <v>82944</v>
      </c>
      <c r="L9275" s="250">
        <v>12</v>
      </c>
      <c r="M9275" s="163" t="str">
        <f>CONCATENATE(H9275," ",F9275,"*",L9275,"мес.","*",I9275,"/",K9275,"чел/час")</f>
        <v>17306 мин.*12мес.*0,082215/82944чел/час</v>
      </c>
      <c r="N9275" s="278">
        <f>N8863</f>
        <v>0.85373685427019519</v>
      </c>
      <c r="O9275" s="280">
        <f>MROUND(N9275*G9275,0.0000000001)</f>
        <v>0.17573896350000001</v>
      </c>
      <c r="P9275" s="166"/>
      <c r="Q9275" s="166">
        <f t="shared" si="2676"/>
        <v>14576.492588544001</v>
      </c>
      <c r="R9275" s="71"/>
    </row>
    <row r="9276" spans="1:41" s="61" customFormat="1" ht="31.5" x14ac:dyDescent="0.25">
      <c r="A9276" s="358"/>
      <c r="B9276" s="361"/>
      <c r="C9276" s="366"/>
      <c r="D9276" s="285" t="s">
        <v>244</v>
      </c>
      <c r="E9276" s="286" t="s">
        <v>245</v>
      </c>
      <c r="F9276" s="286" t="s">
        <v>247</v>
      </c>
      <c r="G9276" s="238">
        <f>MROUND(H9276*L9276*I9276/K9276,0.00000000001)</f>
        <v>5.9472659999999994E-5</v>
      </c>
      <c r="H9276" s="158">
        <f>H8864</f>
        <v>5</v>
      </c>
      <c r="I9276" s="159">
        <f>I9275</f>
        <v>8.2214999999999996E-2</v>
      </c>
      <c r="J9276" s="160"/>
      <c r="K9276" s="161">
        <f>K9275</f>
        <v>82944</v>
      </c>
      <c r="L9276" s="250">
        <v>12</v>
      </c>
      <c r="M9276" s="163" t="str">
        <f>CONCATENATE(H9276," ",F9276,"*",L9276,"мес.","*",I9276,"/",K9276,"чел/час")</f>
        <v>5 радиоточек*12мес.*0,082215/82944чел/час</v>
      </c>
      <c r="N9276" s="278">
        <f>N8864</f>
        <v>180.23333333333335</v>
      </c>
      <c r="O9276" s="280">
        <f>MROUND(N9276*G9276,0.000001)</f>
        <v>1.0718999999999999E-2</v>
      </c>
      <c r="P9276" s="166"/>
      <c r="Q9276" s="166">
        <f t="shared" si="2676"/>
        <v>889.07673599999998</v>
      </c>
      <c r="R9276" s="71"/>
    </row>
    <row r="9277" spans="1:41" s="61" customFormat="1" ht="47.25" x14ac:dyDescent="0.25">
      <c r="A9277" s="358"/>
      <c r="B9277" s="361"/>
      <c r="C9277" s="366"/>
      <c r="D9277" s="285" t="s">
        <v>374</v>
      </c>
      <c r="E9277" s="156" t="s">
        <v>28</v>
      </c>
      <c r="F9277" s="156" t="s">
        <v>28</v>
      </c>
      <c r="G9277" s="238">
        <f>MROUND(H9277*L9277*I9277/K9277,0.00000000001)</f>
        <v>2.7753909999999999E-5</v>
      </c>
      <c r="H9277" s="158">
        <f>H8865</f>
        <v>7</v>
      </c>
      <c r="I9277" s="159">
        <f>I9275</f>
        <v>8.2214999999999996E-2</v>
      </c>
      <c r="J9277" s="160"/>
      <c r="K9277" s="161">
        <f>K9275</f>
        <v>82944</v>
      </c>
      <c r="L9277" s="250">
        <f>L8865</f>
        <v>4</v>
      </c>
      <c r="M9277" s="163" t="str">
        <f>CONCATENATE(H9277," ",F9277,"*",L9277,"мес.","*",I9277,"/",K9277,"чел/час")</f>
        <v>7 шт*4мес.*0,082215/82944чел/час</v>
      </c>
      <c r="N9277" s="278">
        <f>N8865</f>
        <v>1366.3700000000001</v>
      </c>
      <c r="O9277" s="280">
        <f>MROUND(N9277*G9277,0.000001)</f>
        <v>3.7921999999999997E-2</v>
      </c>
      <c r="P9277" s="166"/>
      <c r="Q9277" s="166">
        <f t="shared" si="2676"/>
        <v>3145.4023679999996</v>
      </c>
      <c r="R9277" s="71"/>
    </row>
    <row r="9278" spans="1:41" s="61" customFormat="1" x14ac:dyDescent="0.25">
      <c r="A9278" s="358"/>
      <c r="B9278" s="361"/>
      <c r="C9278" s="367"/>
      <c r="D9278" s="284" t="s">
        <v>246</v>
      </c>
      <c r="E9278" s="156" t="s">
        <v>28</v>
      </c>
      <c r="F9278" s="156" t="s">
        <v>28</v>
      </c>
      <c r="G9278" s="238">
        <f>MROUND(H9278*L9278*I9278/K9278,0.00000000001)</f>
        <v>5.9472659999999994E-5</v>
      </c>
      <c r="H9278" s="158">
        <v>5</v>
      </c>
      <c r="I9278" s="159">
        <f>I9276</f>
        <v>8.2214999999999996E-2</v>
      </c>
      <c r="J9278" s="160"/>
      <c r="K9278" s="161">
        <f>K9276</f>
        <v>82944</v>
      </c>
      <c r="L9278" s="250">
        <v>12</v>
      </c>
      <c r="M9278" s="163" t="str">
        <f>CONCATENATE(H9278," ",F9278,"*",L9278,"мес.","*",I9278,"/",K9278,"чел/час")</f>
        <v>5 шт*12мес.*0,082215/82944чел/час</v>
      </c>
      <c r="N9278" s="278">
        <f>N8866</f>
        <v>3136.9611666666665</v>
      </c>
      <c r="O9278" s="280">
        <f>MROUND(N9278*G9278,0.000001)</f>
        <v>0.18656299999999998</v>
      </c>
      <c r="P9278" s="166"/>
      <c r="Q9278" s="166">
        <f t="shared" si="2676"/>
        <v>15474.281471999999</v>
      </c>
      <c r="R9278" s="71"/>
    </row>
    <row r="9279" spans="1:41" s="109" customFormat="1" x14ac:dyDescent="0.25">
      <c r="A9279" s="358"/>
      <c r="B9279" s="361"/>
      <c r="C9279" s="218" t="s">
        <v>358</v>
      </c>
      <c r="D9279" s="287"/>
      <c r="E9279" s="287"/>
      <c r="F9279" s="287"/>
      <c r="G9279" s="288"/>
      <c r="H9279" s="214"/>
      <c r="I9279" s="206"/>
      <c r="J9279" s="214"/>
      <c r="K9279" s="207"/>
      <c r="L9279" s="215"/>
      <c r="M9279" s="289"/>
      <c r="N9279" s="281"/>
      <c r="O9279" s="279">
        <f>SUM(O9274:O9278)</f>
        <v>0.4830419635</v>
      </c>
      <c r="P9279" s="267"/>
      <c r="Q9279" s="166">
        <f t="shared" si="2676"/>
        <v>0</v>
      </c>
      <c r="R9279" s="71"/>
      <c r="S9279" s="62"/>
      <c r="T9279" s="62"/>
      <c r="U9279" s="62"/>
      <c r="V9279" s="62"/>
      <c r="W9279" s="62"/>
      <c r="X9279" s="62"/>
      <c r="Y9279" s="62"/>
      <c r="Z9279" s="62"/>
      <c r="AA9279" s="62"/>
      <c r="AB9279" s="62"/>
      <c r="AC9279" s="62"/>
      <c r="AD9279" s="62"/>
      <c r="AE9279" s="62"/>
      <c r="AF9279" s="62"/>
      <c r="AG9279" s="62"/>
      <c r="AH9279" s="62"/>
      <c r="AI9279" s="62"/>
      <c r="AJ9279" s="62"/>
      <c r="AK9279" s="62"/>
      <c r="AL9279" s="62"/>
      <c r="AM9279" s="62"/>
      <c r="AN9279" s="62"/>
      <c r="AO9279" s="62"/>
    </row>
    <row r="9280" spans="1:41" s="108" customFormat="1" x14ac:dyDescent="0.25">
      <c r="A9280" s="358"/>
      <c r="B9280" s="361"/>
      <c r="C9280" s="365" t="s">
        <v>366</v>
      </c>
      <c r="D9280" s="368" t="s">
        <v>67</v>
      </c>
      <c r="E9280" s="368"/>
      <c r="F9280" s="368"/>
      <c r="G9280" s="368"/>
      <c r="H9280" s="195"/>
      <c r="I9280" s="159"/>
      <c r="J9280" s="195"/>
      <c r="K9280" s="161"/>
      <c r="L9280" s="196"/>
      <c r="M9280" s="230"/>
      <c r="N9280" s="278"/>
      <c r="O9280" s="279">
        <f>O9281</f>
        <v>6.4505999999999994E-2</v>
      </c>
      <c r="P9280" s="166"/>
      <c r="Q9280" s="166">
        <f t="shared" si="2676"/>
        <v>0</v>
      </c>
      <c r="R9280" s="71"/>
      <c r="S9280" s="61"/>
      <c r="T9280" s="61"/>
      <c r="U9280" s="61"/>
      <c r="V9280" s="61"/>
      <c r="W9280" s="61"/>
      <c r="X9280" s="61"/>
      <c r="Y9280" s="61"/>
      <c r="Z9280" s="61"/>
      <c r="AA9280" s="61"/>
      <c r="AB9280" s="61"/>
      <c r="AC9280" s="61"/>
      <c r="AD9280" s="61"/>
      <c r="AE9280" s="61"/>
      <c r="AF9280" s="61"/>
      <c r="AG9280" s="61"/>
      <c r="AH9280" s="61"/>
      <c r="AI9280" s="61"/>
      <c r="AJ9280" s="61"/>
      <c r="AK9280" s="61"/>
      <c r="AL9280" s="61"/>
      <c r="AM9280" s="61"/>
      <c r="AN9280" s="61"/>
      <c r="AO9280" s="61"/>
    </row>
    <row r="9281" spans="1:41" s="61" customFormat="1" x14ac:dyDescent="0.25">
      <c r="A9281" s="358"/>
      <c r="B9281" s="361"/>
      <c r="C9281" s="367"/>
      <c r="D9281" s="194" t="s">
        <v>367</v>
      </c>
      <c r="E9281" s="156" t="s">
        <v>28</v>
      </c>
      <c r="F9281" s="156" t="s">
        <v>28</v>
      </c>
      <c r="G9281" s="238">
        <f>MROUND(H9281*L9281*I9281/K9281,0.00000000001)</f>
        <v>2.378906E-5</v>
      </c>
      <c r="H9281" s="158">
        <f>H8869</f>
        <v>2</v>
      </c>
      <c r="I9281" s="159">
        <f>I9278</f>
        <v>8.2214999999999996E-2</v>
      </c>
      <c r="J9281" s="160"/>
      <c r="K9281" s="161">
        <f>K9278</f>
        <v>82944</v>
      </c>
      <c r="L9281" s="250">
        <v>12</v>
      </c>
      <c r="M9281" s="163" t="str">
        <f>CONCATENATE(H9281," ",F9281,"*",L9281,"мес.","*",I9281,"/",K9281,"чел/час")</f>
        <v>2 шт*12мес.*0,082215/82944чел/час</v>
      </c>
      <c r="N9281" s="278">
        <f>N8869</f>
        <v>2711.57125</v>
      </c>
      <c r="O9281" s="280">
        <f>MROUND(N9281*G9281,0.000001)</f>
        <v>6.4505999999999994E-2</v>
      </c>
      <c r="P9281" s="166"/>
      <c r="Q9281" s="166">
        <f t="shared" si="2676"/>
        <v>5350.3856639999995</v>
      </c>
      <c r="R9281" s="71"/>
    </row>
    <row r="9282" spans="1:41" s="108" customFormat="1" x14ac:dyDescent="0.25">
      <c r="A9282" s="358"/>
      <c r="B9282" s="361"/>
      <c r="C9282" s="221"/>
      <c r="D9282" s="350" t="s">
        <v>68</v>
      </c>
      <c r="E9282" s="350"/>
      <c r="F9282" s="350"/>
      <c r="G9282" s="350"/>
      <c r="H9282" s="195"/>
      <c r="I9282" s="159"/>
      <c r="J9282" s="195"/>
      <c r="K9282" s="161"/>
      <c r="L9282" s="196"/>
      <c r="M9282" s="230"/>
      <c r="N9282" s="278"/>
      <c r="O9282" s="280"/>
      <c r="P9282" s="166"/>
      <c r="Q9282" s="166">
        <f t="shared" si="2676"/>
        <v>0</v>
      </c>
      <c r="R9282" s="71"/>
      <c r="S9282" s="61"/>
      <c r="T9282" s="61"/>
      <c r="U9282" s="61"/>
      <c r="V9282" s="61"/>
      <c r="W9282" s="61"/>
      <c r="X9282" s="61"/>
      <c r="Y9282" s="61"/>
      <c r="Z9282" s="61"/>
      <c r="AA9282" s="61"/>
      <c r="AB9282" s="61"/>
      <c r="AC9282" s="61"/>
      <c r="AD9282" s="61"/>
      <c r="AE9282" s="61"/>
      <c r="AF9282" s="61"/>
      <c r="AG9282" s="61"/>
      <c r="AH9282" s="61"/>
      <c r="AI9282" s="61"/>
      <c r="AJ9282" s="61"/>
      <c r="AK9282" s="61"/>
      <c r="AL9282" s="61"/>
      <c r="AM9282" s="61"/>
      <c r="AN9282" s="61"/>
      <c r="AO9282" s="61"/>
    </row>
    <row r="9283" spans="1:41" s="108" customFormat="1" x14ac:dyDescent="0.25">
      <c r="A9283" s="358"/>
      <c r="B9283" s="361"/>
      <c r="C9283" s="221"/>
      <c r="D9283" s="156"/>
      <c r="E9283" s="156"/>
      <c r="F9283" s="156"/>
      <c r="G9283" s="236"/>
      <c r="H9283" s="195"/>
      <c r="I9283" s="159"/>
      <c r="J9283" s="195"/>
      <c r="K9283" s="161"/>
      <c r="L9283" s="196"/>
      <c r="M9283" s="230"/>
      <c r="N9283" s="278"/>
      <c r="O9283" s="280"/>
      <c r="P9283" s="166"/>
      <c r="Q9283" s="166">
        <f t="shared" si="2676"/>
        <v>0</v>
      </c>
      <c r="R9283" s="71"/>
      <c r="S9283" s="61"/>
      <c r="T9283" s="61"/>
      <c r="U9283" s="61"/>
      <c r="V9283" s="61"/>
      <c r="W9283" s="61"/>
      <c r="X9283" s="61"/>
      <c r="Y9283" s="61"/>
      <c r="Z9283" s="61"/>
      <c r="AA9283" s="61"/>
      <c r="AB9283" s="61"/>
      <c r="AC9283" s="61"/>
      <c r="AD9283" s="61"/>
      <c r="AE9283" s="61"/>
      <c r="AF9283" s="61"/>
      <c r="AG9283" s="61"/>
      <c r="AH9283" s="61"/>
      <c r="AI9283" s="61"/>
      <c r="AJ9283" s="61"/>
      <c r="AK9283" s="61"/>
      <c r="AL9283" s="61"/>
      <c r="AM9283" s="61"/>
      <c r="AN9283" s="61"/>
      <c r="AO9283" s="61"/>
    </row>
    <row r="9284" spans="1:41" s="108" customFormat="1" x14ac:dyDescent="0.25">
      <c r="A9284" s="358"/>
      <c r="B9284" s="361"/>
      <c r="C9284" s="221"/>
      <c r="D9284" s="368" t="s">
        <v>69</v>
      </c>
      <c r="E9284" s="368"/>
      <c r="F9284" s="368"/>
      <c r="G9284" s="368"/>
      <c r="H9284" s="187"/>
      <c r="I9284" s="159"/>
      <c r="J9284" s="187"/>
      <c r="K9284" s="161"/>
      <c r="L9284" s="276"/>
      <c r="M9284" s="230"/>
      <c r="N9284" s="278"/>
      <c r="O9284" s="279">
        <f>O9291+O9307+O9310+O9323+O9324+O9325+O9336+O9338+O9342+O9339</f>
        <v>3.6709869999999998</v>
      </c>
      <c r="P9284" s="166"/>
      <c r="Q9284" s="166">
        <f t="shared" si="2676"/>
        <v>0</v>
      </c>
      <c r="R9284" s="71"/>
      <c r="S9284" s="61"/>
      <c r="T9284" s="61"/>
      <c r="U9284" s="61"/>
      <c r="V9284" s="61"/>
      <c r="W9284" s="61"/>
      <c r="X9284" s="61"/>
      <c r="Y9284" s="61"/>
      <c r="Z9284" s="61"/>
      <c r="AA9284" s="61"/>
      <c r="AB9284" s="61"/>
      <c r="AC9284" s="61"/>
      <c r="AD9284" s="61"/>
      <c r="AE9284" s="61"/>
      <c r="AF9284" s="61"/>
      <c r="AG9284" s="61"/>
      <c r="AH9284" s="61"/>
      <c r="AI9284" s="61"/>
      <c r="AJ9284" s="61"/>
      <c r="AK9284" s="61"/>
      <c r="AL9284" s="61"/>
      <c r="AM9284" s="61"/>
      <c r="AN9284" s="61"/>
      <c r="AO9284" s="61"/>
    </row>
    <row r="9285" spans="1:41" s="61" customFormat="1" ht="31.5" x14ac:dyDescent="0.25">
      <c r="A9285" s="358"/>
      <c r="B9285" s="361"/>
      <c r="C9285" s="365" t="s">
        <v>78</v>
      </c>
      <c r="D9285" s="156" t="s">
        <v>26</v>
      </c>
      <c r="E9285" s="156" t="s">
        <v>22</v>
      </c>
      <c r="F9285" s="156" t="s">
        <v>22</v>
      </c>
      <c r="G9285" s="238">
        <f t="shared" ref="G9285:G9290" si="2677">MROUND(H9285*L9285*I9285/K9285,0.00000000001)</f>
        <v>5.899996758E-2</v>
      </c>
      <c r="H9285" s="158">
        <f>H8873</f>
        <v>4960.26</v>
      </c>
      <c r="I9285" s="159">
        <f>I9281</f>
        <v>8.2214999999999996E-2</v>
      </c>
      <c r="J9285" s="160"/>
      <c r="K9285" s="161">
        <f>K9281</f>
        <v>82944</v>
      </c>
      <c r="L9285" s="250">
        <v>12</v>
      </c>
      <c r="M9285" s="163" t="str">
        <f>CONCATENATE(H9285," ",F9285,"(обрабатываемая площадь в мес.)","*",L9285,"мес.","*",I9285,"/",K9285,"чел/час")</f>
        <v>4960,26 м2(обрабатываемая площадь в мес.)*12мес.*0,082215/82944чел/час</v>
      </c>
      <c r="N9285" s="278">
        <f>N8873</f>
        <v>1.2568900958148699</v>
      </c>
      <c r="O9285" s="280">
        <f>MROUND(N9285*G9285,0.000001)</f>
        <v>7.4156E-2</v>
      </c>
      <c r="P9285" s="166"/>
      <c r="Q9285" s="166">
        <f t="shared" si="2676"/>
        <v>6150.7952640000003</v>
      </c>
      <c r="R9285" s="71"/>
    </row>
    <row r="9286" spans="1:41" s="61" customFormat="1" ht="31.5" x14ac:dyDescent="0.25">
      <c r="A9286" s="358"/>
      <c r="B9286" s="361"/>
      <c r="C9286" s="366"/>
      <c r="D9286" s="156" t="s">
        <v>96</v>
      </c>
      <c r="E9286" s="156" t="s">
        <v>22</v>
      </c>
      <c r="F9286" s="156" t="s">
        <v>22</v>
      </c>
      <c r="G9286" s="238">
        <f t="shared" si="2677"/>
        <v>3.2677369919999998E-2</v>
      </c>
      <c r="H9286" s="158">
        <f>H8874</f>
        <v>2747.26</v>
      </c>
      <c r="I9286" s="298">
        <f>I9285</f>
        <v>8.2214999999999996E-2</v>
      </c>
      <c r="J9286" s="299"/>
      <c r="K9286" s="300">
        <f>K9285</f>
        <v>82944</v>
      </c>
      <c r="L9286" s="250">
        <v>12</v>
      </c>
      <c r="M9286" s="163" t="str">
        <f>CONCATENATE(H9286," ",F9286,"(обрабатываемая площадь в мес.)","*",L9286,"мес.","*",I9286,"/",K9286,"чел/час")</f>
        <v>2747,26 м2(обрабатываемая площадь в мес.)*12мес.*0,082215/82944чел/час</v>
      </c>
      <c r="N9286" s="278">
        <f>N8874</f>
        <v>1.7523653870887115</v>
      </c>
      <c r="O9286" s="280">
        <f>MROUND(N9286*G9286,0.000001)</f>
        <v>5.7262999999999994E-2</v>
      </c>
      <c r="P9286" s="166"/>
      <c r="Q9286" s="166">
        <f t="shared" si="2676"/>
        <v>4749.6222719999996</v>
      </c>
      <c r="R9286" s="71"/>
    </row>
    <row r="9287" spans="1:41" s="135" customFormat="1" ht="31.5" x14ac:dyDescent="0.25">
      <c r="A9287" s="358"/>
      <c r="B9287" s="361"/>
      <c r="C9287" s="366"/>
      <c r="D9287" s="156" t="s">
        <v>385</v>
      </c>
      <c r="E9287" s="156" t="s">
        <v>22</v>
      </c>
      <c r="F9287" s="156" t="s">
        <v>22</v>
      </c>
      <c r="G9287" s="238">
        <f t="shared" si="2677"/>
        <v>6.5354739839999995E-2</v>
      </c>
      <c r="H9287" s="242">
        <f>$H$2098</f>
        <v>2747.26</v>
      </c>
      <c r="I9287" s="298">
        <f>I9286</f>
        <v>8.2214999999999996E-2</v>
      </c>
      <c r="J9287" s="160"/>
      <c r="K9287" s="300">
        <f>K9286</f>
        <v>82944</v>
      </c>
      <c r="L9287" s="162">
        <v>24</v>
      </c>
      <c r="M9287" s="163" t="str">
        <f>CONCATENATE(H9287," ",F9287,"(обрабатываемая площадь в год)","*",L9287," раза в год.","*",I9287,"/",K9287,"чел.")</f>
        <v>2747,26 м2(обрабатываемая площадь в год)*24 раза в год.*0,082215/82944чел.</v>
      </c>
      <c r="N9287" s="164">
        <f>$N$8875</f>
        <v>1.9341167805983659</v>
      </c>
      <c r="O9287" s="165">
        <f>MROUND(G9287*N9287,0.000001)</f>
        <v>0.12640399999999999</v>
      </c>
      <c r="P9287" s="166"/>
      <c r="Q9287" s="166">
        <f t="shared" si="2676"/>
        <v>10484.453375999999</v>
      </c>
      <c r="R9287" s="71"/>
      <c r="S9287" s="61"/>
      <c r="T9287" s="61"/>
      <c r="U9287" s="61"/>
      <c r="V9287" s="61"/>
      <c r="W9287" s="61"/>
      <c r="X9287" s="61"/>
      <c r="Y9287" s="61"/>
      <c r="Z9287" s="61"/>
      <c r="AA9287" s="61"/>
      <c r="AB9287" s="61"/>
      <c r="AC9287" s="61"/>
      <c r="AD9287" s="61"/>
      <c r="AE9287" s="61"/>
      <c r="AF9287" s="61"/>
      <c r="AG9287" s="61"/>
      <c r="AH9287" s="61"/>
      <c r="AI9287" s="61"/>
      <c r="AJ9287" s="61"/>
      <c r="AK9287" s="61"/>
      <c r="AL9287" s="61"/>
      <c r="AM9287" s="61"/>
      <c r="AN9287" s="61"/>
      <c r="AO9287" s="61"/>
    </row>
    <row r="9288" spans="1:41" s="135" customFormat="1" ht="31.5" x14ac:dyDescent="0.25">
      <c r="A9288" s="358"/>
      <c r="B9288" s="361"/>
      <c r="C9288" s="366"/>
      <c r="D9288" s="156" t="s">
        <v>394</v>
      </c>
      <c r="E9288" s="156" t="s">
        <v>22</v>
      </c>
      <c r="F9288" s="156" t="s">
        <v>22</v>
      </c>
      <c r="G9288" s="238">
        <f t="shared" si="2677"/>
        <v>5.899996758E-2</v>
      </c>
      <c r="H9288" s="243">
        <f>$H$2099</f>
        <v>4960.26</v>
      </c>
      <c r="I9288" s="298">
        <f>I9287</f>
        <v>8.2214999999999996E-2</v>
      </c>
      <c r="J9288" s="160"/>
      <c r="K9288" s="300">
        <f>K9287</f>
        <v>82944</v>
      </c>
      <c r="L9288" s="162">
        <v>12</v>
      </c>
      <c r="M9288" s="163" t="str">
        <f>CONCATENATE(H9288," ",F9288,"(обрабатываемая площадь в мес.)","*",L9288,"мес.","*",I9288,"/",K9288,"чел.")</f>
        <v>4960,26 м2(обрабатываемая площадь в мес.)*12мес.*0,082215/82944чел.</v>
      </c>
      <c r="N9288" s="164">
        <f>$N$8876</f>
        <v>0.59287281983874496</v>
      </c>
      <c r="O9288" s="165">
        <f>MROUND(G9288*N9288,0.000001)</f>
        <v>3.4978999999999996E-2</v>
      </c>
      <c r="P9288" s="166"/>
      <c r="Q9288" s="166">
        <f t="shared" si="2676"/>
        <v>2901.2981759999998</v>
      </c>
      <c r="R9288" s="71"/>
      <c r="S9288" s="61"/>
      <c r="T9288" s="61"/>
      <c r="U9288" s="61"/>
      <c r="V9288" s="61"/>
      <c r="W9288" s="61"/>
      <c r="X9288" s="61"/>
      <c r="Y9288" s="61"/>
      <c r="Z9288" s="61"/>
      <c r="AA9288" s="61"/>
      <c r="AB9288" s="61"/>
      <c r="AC9288" s="61"/>
      <c r="AD9288" s="61"/>
      <c r="AE9288" s="61"/>
      <c r="AF9288" s="61"/>
      <c r="AG9288" s="61"/>
      <c r="AH9288" s="61"/>
      <c r="AI9288" s="61"/>
      <c r="AJ9288" s="61"/>
      <c r="AK9288" s="61"/>
      <c r="AL9288" s="61"/>
      <c r="AM9288" s="61"/>
      <c r="AN9288" s="61"/>
      <c r="AO9288" s="61"/>
    </row>
    <row r="9289" spans="1:41" s="135" customFormat="1" ht="31.5" x14ac:dyDescent="0.25">
      <c r="A9289" s="358"/>
      <c r="B9289" s="361"/>
      <c r="C9289" s="366"/>
      <c r="D9289" s="156" t="s">
        <v>395</v>
      </c>
      <c r="E9289" s="156" t="s">
        <v>98</v>
      </c>
      <c r="F9289" s="156" t="s">
        <v>98</v>
      </c>
      <c r="G9289" s="238">
        <f t="shared" si="2677"/>
        <v>1.8634799999999999E-6</v>
      </c>
      <c r="H9289" s="242">
        <f>$H$2100</f>
        <v>1.8800000000000001</v>
      </c>
      <c r="I9289" s="298">
        <f>I9288</f>
        <v>8.2214999999999996E-2</v>
      </c>
      <c r="J9289" s="160"/>
      <c r="K9289" s="300">
        <f>K9288</f>
        <v>82944</v>
      </c>
      <c r="L9289" s="162">
        <v>1</v>
      </c>
      <c r="M9289" s="163" t="str">
        <f>CONCATENATE(H9289," ",F9289,"(обрабатываемая площадь в год)","*",L9289," раз в год","*",I9289,"/",K9289,"чел.")</f>
        <v>1,88 Га(обрабатываемая площадь в год)*1 раз в год*0,082215/82944чел.</v>
      </c>
      <c r="N9289" s="164">
        <f>$N$8877</f>
        <v>592.87234042553177</v>
      </c>
      <c r="O9289" s="165">
        <f>MROUND(G9289*N9289,0.000001)</f>
        <v>1.1049999999999999E-3</v>
      </c>
      <c r="P9289" s="166"/>
      <c r="Q9289" s="166">
        <f t="shared" si="2676"/>
        <v>91.653119999999987</v>
      </c>
      <c r="R9289" s="71"/>
      <c r="S9289" s="61"/>
      <c r="T9289" s="61"/>
      <c r="U9289" s="61"/>
      <c r="V9289" s="61"/>
      <c r="W9289" s="61"/>
      <c r="X9289" s="61"/>
      <c r="Y9289" s="61"/>
      <c r="Z9289" s="61"/>
      <c r="AA9289" s="61"/>
      <c r="AB9289" s="61"/>
      <c r="AC9289" s="61"/>
      <c r="AD9289" s="61"/>
      <c r="AE9289" s="61"/>
      <c r="AF9289" s="61"/>
      <c r="AG9289" s="61"/>
      <c r="AH9289" s="61"/>
      <c r="AI9289" s="61"/>
      <c r="AJ9289" s="61"/>
      <c r="AK9289" s="61"/>
      <c r="AL9289" s="61"/>
      <c r="AM9289" s="61"/>
      <c r="AN9289" s="61"/>
      <c r="AO9289" s="61"/>
    </row>
    <row r="9290" spans="1:41" s="61" customFormat="1" ht="31.5" x14ac:dyDescent="0.25">
      <c r="A9290" s="358"/>
      <c r="B9290" s="361"/>
      <c r="C9290" s="367"/>
      <c r="D9290" s="156" t="s">
        <v>97</v>
      </c>
      <c r="E9290" s="156" t="s">
        <v>363</v>
      </c>
      <c r="F9290" s="156" t="s">
        <v>363</v>
      </c>
      <c r="G9290" s="238">
        <f t="shared" si="2677"/>
        <v>1.8634799999999999E-6</v>
      </c>
      <c r="H9290" s="158">
        <f>$H$2101</f>
        <v>1.8800000000000001</v>
      </c>
      <c r="I9290" s="298">
        <f>I9286</f>
        <v>8.2214999999999996E-2</v>
      </c>
      <c r="J9290" s="299"/>
      <c r="K9290" s="300">
        <f>K9286</f>
        <v>82944</v>
      </c>
      <c r="L9290" s="250">
        <v>1</v>
      </c>
      <c r="M9290" s="163" t="str">
        <f>CONCATENATE(H9290," ",F9290,"(обрабатываемая площадь в мес.)","*",L9290,"мес.","*",I9290,"/",K9290,"чел/час")</f>
        <v>1,88 га(обрабатываемая площадь в мес.)*1мес.*0,082215/82944чел/час</v>
      </c>
      <c r="N9290" s="278">
        <f>$N$8878</f>
        <v>3226.4999999999995</v>
      </c>
      <c r="O9290" s="280">
        <f>MROUND(N9290*G9290,0.000001)</f>
        <v>6.0130000000000001E-3</v>
      </c>
      <c r="P9290" s="166"/>
      <c r="Q9290" s="166">
        <f t="shared" si="2676"/>
        <v>498.74227200000001</v>
      </c>
      <c r="R9290" s="71"/>
    </row>
    <row r="9291" spans="1:41" s="109" customFormat="1" x14ac:dyDescent="0.25">
      <c r="A9291" s="358"/>
      <c r="B9291" s="361"/>
      <c r="C9291" s="218" t="s">
        <v>327</v>
      </c>
      <c r="D9291" s="240"/>
      <c r="E9291" s="240"/>
      <c r="F9291" s="240"/>
      <c r="G9291" s="227"/>
      <c r="H9291" s="241"/>
      <c r="I9291" s="206"/>
      <c r="J9291" s="228"/>
      <c r="K9291" s="207"/>
      <c r="L9291" s="257"/>
      <c r="M9291" s="209"/>
      <c r="N9291" s="281"/>
      <c r="O9291" s="279">
        <f>SUM(O9285:O9290)</f>
        <v>0.29992000000000002</v>
      </c>
      <c r="P9291" s="267"/>
      <c r="Q9291" s="166"/>
      <c r="R9291" s="71"/>
      <c r="S9291" s="62"/>
      <c r="T9291" s="62"/>
      <c r="U9291" s="62"/>
      <c r="V9291" s="62"/>
      <c r="W9291" s="62"/>
      <c r="X9291" s="62"/>
      <c r="Y9291" s="62"/>
      <c r="Z9291" s="62"/>
      <c r="AA9291" s="62"/>
      <c r="AB9291" s="62"/>
      <c r="AC9291" s="62"/>
      <c r="AD9291" s="62"/>
      <c r="AE9291" s="62"/>
      <c r="AF9291" s="62"/>
      <c r="AG9291" s="62"/>
      <c r="AH9291" s="62"/>
      <c r="AI9291" s="62"/>
      <c r="AJ9291" s="62"/>
      <c r="AK9291" s="62"/>
      <c r="AL9291" s="62"/>
      <c r="AM9291" s="62"/>
      <c r="AN9291" s="62"/>
      <c r="AO9291" s="62"/>
    </row>
    <row r="9292" spans="1:41" s="61" customFormat="1" x14ac:dyDescent="0.25">
      <c r="A9292" s="358"/>
      <c r="B9292" s="361"/>
      <c r="C9292" s="366" t="s">
        <v>77</v>
      </c>
      <c r="D9292" s="156" t="s">
        <v>397</v>
      </c>
      <c r="E9292" s="156" t="s">
        <v>433</v>
      </c>
      <c r="F9292" s="156" t="s">
        <v>433</v>
      </c>
      <c r="G9292" s="238">
        <f t="shared" ref="G9292:G9306" si="2678">MROUND(H9292*L9292*I9292/K9292,0.00000000001)</f>
        <v>0</v>
      </c>
      <c r="H9292" s="158"/>
      <c r="I9292" s="306">
        <f>I9286</f>
        <v>8.2214999999999996E-2</v>
      </c>
      <c r="J9292" s="307"/>
      <c r="K9292" s="308">
        <f>K9286</f>
        <v>82944</v>
      </c>
      <c r="L9292" s="162">
        <v>1</v>
      </c>
      <c r="M9292" s="163"/>
      <c r="N9292" s="278"/>
      <c r="O9292" s="280">
        <f t="shared" ref="O9292:O9303" si="2679">MROUND(N9292*G9292,0.000001)</f>
        <v>0</v>
      </c>
      <c r="P9292" s="166"/>
      <c r="Q9292" s="166">
        <f t="shared" ref="Q9292:Q9306" si="2680">O9292*K9292</f>
        <v>0</v>
      </c>
      <c r="R9292" s="71"/>
    </row>
    <row r="9293" spans="1:41" s="61" customFormat="1" ht="63" x14ac:dyDescent="0.25">
      <c r="A9293" s="358"/>
      <c r="B9293" s="361"/>
      <c r="C9293" s="366"/>
      <c r="D9293" s="156" t="s">
        <v>249</v>
      </c>
      <c r="E9293" s="156" t="s">
        <v>22</v>
      </c>
      <c r="F9293" s="156" t="s">
        <v>22</v>
      </c>
      <c r="G9293" s="238">
        <f t="shared" si="2678"/>
        <v>8.2166232400000001E-3</v>
      </c>
      <c r="H9293" s="158">
        <f>H8881</f>
        <v>690.79</v>
      </c>
      <c r="I9293" s="159">
        <f>I9292</f>
        <v>8.2214999999999996E-2</v>
      </c>
      <c r="J9293" s="160"/>
      <c r="K9293" s="161">
        <f>K9292</f>
        <v>82944</v>
      </c>
      <c r="L9293" s="250">
        <v>12</v>
      </c>
      <c r="M9293" s="163" t="str">
        <f>CONCATENATE(H9293," ",F9293,"*",L9293,"мес.","*",I9293,"/",K9293,"чел/час")</f>
        <v>690,79 м2*12мес.*0,082215/82944чел/час</v>
      </c>
      <c r="N9293" s="278">
        <f>N8881</f>
        <v>32.968811071382042</v>
      </c>
      <c r="O9293" s="280">
        <f t="shared" si="2679"/>
        <v>0.27089199999999997</v>
      </c>
      <c r="P9293" s="166"/>
      <c r="Q9293" s="166">
        <f t="shared" si="2680"/>
        <v>22468.866047999996</v>
      </c>
      <c r="R9293" s="71"/>
    </row>
    <row r="9294" spans="1:41" s="136" customFormat="1" x14ac:dyDescent="0.25">
      <c r="A9294" s="358"/>
      <c r="B9294" s="361"/>
      <c r="C9294" s="366"/>
      <c r="D9294" s="194" t="s">
        <v>398</v>
      </c>
      <c r="E9294" s="156" t="s">
        <v>60</v>
      </c>
      <c r="F9294" s="156" t="s">
        <v>60</v>
      </c>
      <c r="G9294" s="238">
        <f t="shared" si="2678"/>
        <v>4.9560499999999998E-6</v>
      </c>
      <c r="H9294" s="158">
        <f>$H$2105</f>
        <v>5</v>
      </c>
      <c r="I9294" s="159">
        <f>I9293</f>
        <v>8.2214999999999996E-2</v>
      </c>
      <c r="J9294" s="160"/>
      <c r="K9294" s="161">
        <f>K9293</f>
        <v>82944</v>
      </c>
      <c r="L9294" s="250">
        <v>1</v>
      </c>
      <c r="M9294" s="163" t="str">
        <f>CONCATENATE(H9294," ",F9294,"*",I9294,"/",K9294,"чел/час")</f>
        <v>5 шт.*0,082215/82944чел/час</v>
      </c>
      <c r="N9294" s="278">
        <f>$N$8882</f>
        <v>5928.7300000000005</v>
      </c>
      <c r="O9294" s="280">
        <f t="shared" si="2679"/>
        <v>2.9382999999999999E-2</v>
      </c>
      <c r="P9294" s="166"/>
      <c r="Q9294" s="166">
        <f t="shared" si="2680"/>
        <v>2437.143552</v>
      </c>
      <c r="R9294" s="71"/>
      <c r="S9294" s="61"/>
      <c r="T9294" s="61"/>
      <c r="U9294" s="61"/>
      <c r="V9294" s="61"/>
      <c r="W9294" s="61"/>
      <c r="X9294" s="61"/>
      <c r="Y9294" s="61"/>
      <c r="Z9294" s="61"/>
      <c r="AA9294" s="61"/>
      <c r="AB9294" s="61"/>
      <c r="AC9294" s="61"/>
      <c r="AD9294" s="61"/>
      <c r="AE9294" s="61"/>
      <c r="AF9294" s="61"/>
      <c r="AG9294" s="61"/>
      <c r="AH9294" s="61"/>
      <c r="AI9294" s="61"/>
      <c r="AJ9294" s="61"/>
      <c r="AK9294" s="61"/>
      <c r="AL9294" s="61"/>
      <c r="AM9294" s="61"/>
      <c r="AN9294" s="61"/>
      <c r="AO9294" s="61"/>
    </row>
    <row r="9295" spans="1:41" s="136" customFormat="1" ht="63" x14ac:dyDescent="0.25">
      <c r="A9295" s="358"/>
      <c r="B9295" s="361"/>
      <c r="C9295" s="366"/>
      <c r="D9295" s="156" t="s">
        <v>33</v>
      </c>
      <c r="E9295" s="156" t="s">
        <v>56</v>
      </c>
      <c r="F9295" s="156" t="s">
        <v>220</v>
      </c>
      <c r="G9295" s="238">
        <f t="shared" si="2678"/>
        <v>4.9560499999999998E-6</v>
      </c>
      <c r="H9295" s="158">
        <f>$H$2106</f>
        <v>5</v>
      </c>
      <c r="I9295" s="159">
        <f>I9294</f>
        <v>8.2214999999999996E-2</v>
      </c>
      <c r="J9295" s="160"/>
      <c r="K9295" s="161">
        <f>K9294</f>
        <v>82944</v>
      </c>
      <c r="L9295" s="250">
        <f>$L$2106</f>
        <v>1</v>
      </c>
      <c r="M9295" s="163" t="str">
        <f>CONCATENATE(H9295," ",F9295,"*",L9295," раз в год","*",I9295,"/",K9295,"чел.")</f>
        <v>5 дымоходов*1 раз в год*0,082215/82944чел.</v>
      </c>
      <c r="N9295" s="278">
        <f>$N$8883</f>
        <v>7114.4699999999993</v>
      </c>
      <c r="O9295" s="280">
        <f t="shared" si="2679"/>
        <v>3.526E-2</v>
      </c>
      <c r="P9295" s="166"/>
      <c r="Q9295" s="166">
        <f t="shared" si="2680"/>
        <v>2924.6054399999998</v>
      </c>
      <c r="R9295" s="71"/>
      <c r="S9295" s="61"/>
      <c r="T9295" s="61"/>
      <c r="U9295" s="61"/>
      <c r="V9295" s="61"/>
      <c r="W9295" s="61"/>
      <c r="X9295" s="61"/>
      <c r="Y9295" s="61"/>
      <c r="Z9295" s="61"/>
      <c r="AA9295" s="61"/>
      <c r="AB9295" s="61"/>
      <c r="AC9295" s="61"/>
      <c r="AD9295" s="61"/>
      <c r="AE9295" s="61"/>
      <c r="AF9295" s="61"/>
      <c r="AG9295" s="61"/>
      <c r="AH9295" s="61"/>
      <c r="AI9295" s="61"/>
      <c r="AJ9295" s="61"/>
      <c r="AK9295" s="61"/>
      <c r="AL9295" s="61"/>
      <c r="AM9295" s="61"/>
      <c r="AN9295" s="61"/>
      <c r="AO9295" s="61"/>
    </row>
    <row r="9296" spans="1:41" s="61" customFormat="1" ht="78.75" x14ac:dyDescent="0.25">
      <c r="A9296" s="358"/>
      <c r="B9296" s="361"/>
      <c r="C9296" s="366"/>
      <c r="D9296" s="156" t="s">
        <v>250</v>
      </c>
      <c r="E9296" s="156" t="s">
        <v>251</v>
      </c>
      <c r="F9296" s="156" t="s">
        <v>60</v>
      </c>
      <c r="G9296" s="238">
        <f t="shared" si="2678"/>
        <v>4.9560499999999998E-6</v>
      </c>
      <c r="H9296" s="158">
        <f>$H$2107</f>
        <v>5</v>
      </c>
      <c r="I9296" s="159">
        <f>I9293</f>
        <v>8.2214999999999996E-2</v>
      </c>
      <c r="J9296" s="160"/>
      <c r="K9296" s="161">
        <f>K9293</f>
        <v>82944</v>
      </c>
      <c r="L9296" s="250">
        <v>1</v>
      </c>
      <c r="M9296" s="163" t="str">
        <f>CONCATENATE(H9296," ",F9296,"*",I9296,"/",K9296,"чел/час")</f>
        <v>5 шт.*0,082215/82944чел/час</v>
      </c>
      <c r="N9296" s="278">
        <f t="shared" ref="N9296:N9306" si="2681">N8884</f>
        <v>4742.9800000000005</v>
      </c>
      <c r="O9296" s="280">
        <f t="shared" si="2679"/>
        <v>2.3505999999999999E-2</v>
      </c>
      <c r="P9296" s="166"/>
      <c r="Q9296" s="166">
        <f t="shared" si="2680"/>
        <v>1949.681664</v>
      </c>
      <c r="R9296" s="71"/>
    </row>
    <row r="9297" spans="1:41" s="61" customFormat="1" ht="47.25" x14ac:dyDescent="0.25">
      <c r="A9297" s="358"/>
      <c r="B9297" s="361"/>
      <c r="C9297" s="366"/>
      <c r="D9297" s="156" t="s">
        <v>401</v>
      </c>
      <c r="E9297" s="156" t="s">
        <v>60</v>
      </c>
      <c r="F9297" s="156" t="s">
        <v>402</v>
      </c>
      <c r="G9297" s="238">
        <f t="shared" si="2678"/>
        <v>9.9121100000000002E-6</v>
      </c>
      <c r="H9297" s="158">
        <f>H8885</f>
        <v>5</v>
      </c>
      <c r="I9297" s="159">
        <f>I9296</f>
        <v>8.2214999999999996E-2</v>
      </c>
      <c r="J9297" s="160"/>
      <c r="K9297" s="161">
        <f>K9296</f>
        <v>82944</v>
      </c>
      <c r="L9297" s="250">
        <f>$L$2108</f>
        <v>2</v>
      </c>
      <c r="M9297" s="163" t="str">
        <f>CONCATENATE(H9297," ",F9297,"*",I9297,"/",K9297,"чел/час")</f>
        <v>5 противопожарных водопроводов*0,082215/82944чел/час</v>
      </c>
      <c r="N9297" s="278">
        <f t="shared" si="2681"/>
        <v>2964.3650000000002</v>
      </c>
      <c r="O9297" s="280">
        <f t="shared" si="2679"/>
        <v>2.9382999999999999E-2</v>
      </c>
      <c r="P9297" s="166"/>
      <c r="Q9297" s="166">
        <f t="shared" si="2680"/>
        <v>2437.143552</v>
      </c>
      <c r="R9297" s="71"/>
    </row>
    <row r="9298" spans="1:41" s="61" customFormat="1" ht="47.25" x14ac:dyDescent="0.25">
      <c r="A9298" s="358"/>
      <c r="B9298" s="361"/>
      <c r="C9298" s="366"/>
      <c r="D9298" s="156" t="s">
        <v>34</v>
      </c>
      <c r="E9298" s="156" t="s">
        <v>59</v>
      </c>
      <c r="F9298" s="156" t="s">
        <v>28</v>
      </c>
      <c r="G9298" s="238">
        <f t="shared" si="2678"/>
        <v>1.98242E-6</v>
      </c>
      <c r="H9298" s="158">
        <f>H8886</f>
        <v>2</v>
      </c>
      <c r="I9298" s="159">
        <f>I9297</f>
        <v>8.2214999999999996E-2</v>
      </c>
      <c r="J9298" s="160"/>
      <c r="K9298" s="161">
        <f>K9297</f>
        <v>82944</v>
      </c>
      <c r="L9298" s="250">
        <v>1</v>
      </c>
      <c r="M9298" s="163" t="str">
        <f>CONCATENATE(H9298," ",F9298,"*",I9298,"/",K9298,"чел/час")</f>
        <v>2 шт*0,082215/82944чел/час</v>
      </c>
      <c r="N9298" s="278">
        <f t="shared" si="2681"/>
        <v>8158.8</v>
      </c>
      <c r="O9298" s="280">
        <f t="shared" si="2679"/>
        <v>1.6174000000000001E-2</v>
      </c>
      <c r="P9298" s="166"/>
      <c r="Q9298" s="166">
        <f t="shared" si="2680"/>
        <v>1341.5362560000001</v>
      </c>
      <c r="R9298" s="71"/>
    </row>
    <row r="9299" spans="1:41" s="61" customFormat="1" ht="47.25" x14ac:dyDescent="0.25">
      <c r="A9299" s="358"/>
      <c r="B9299" s="361"/>
      <c r="C9299" s="366"/>
      <c r="D9299" s="156" t="s">
        <v>222</v>
      </c>
      <c r="E9299" s="156" t="s">
        <v>60</v>
      </c>
      <c r="F9299" s="156" t="s">
        <v>60</v>
      </c>
      <c r="G9299" s="238">
        <f t="shared" si="2678"/>
        <v>1.98242E-6</v>
      </c>
      <c r="H9299" s="158">
        <f>H8887</f>
        <v>2</v>
      </c>
      <c r="I9299" s="159">
        <f>I9298</f>
        <v>8.2214999999999996E-2</v>
      </c>
      <c r="J9299" s="160"/>
      <c r="K9299" s="161">
        <f>K9298</f>
        <v>82944</v>
      </c>
      <c r="L9299" s="250">
        <v>1</v>
      </c>
      <c r="M9299" s="163" t="str">
        <f>CONCATENATE(H9299," ",F9299,"*",I9299,"/",K9299,"чел/час")</f>
        <v>2 шт.*0,082215/82944чел/час</v>
      </c>
      <c r="N9299" s="278">
        <f t="shared" si="2681"/>
        <v>14141.92</v>
      </c>
      <c r="O9299" s="280">
        <f t="shared" si="2679"/>
        <v>2.8034999999999997E-2</v>
      </c>
      <c r="P9299" s="166"/>
      <c r="Q9299" s="166">
        <f t="shared" si="2680"/>
        <v>2325.3350399999999</v>
      </c>
      <c r="R9299" s="71"/>
    </row>
    <row r="9300" spans="1:41" s="61" customFormat="1" ht="31.5" x14ac:dyDescent="0.25">
      <c r="A9300" s="358"/>
      <c r="B9300" s="361"/>
      <c r="C9300" s="366"/>
      <c r="D9300" s="156" t="s">
        <v>35</v>
      </c>
      <c r="E9300" s="156" t="s">
        <v>102</v>
      </c>
      <c r="F9300" s="156" t="s">
        <v>252</v>
      </c>
      <c r="G9300" s="238">
        <f t="shared" si="2678"/>
        <v>1.98242E-6</v>
      </c>
      <c r="H9300" s="158">
        <f>H8888</f>
        <v>2</v>
      </c>
      <c r="I9300" s="159">
        <f>I9298</f>
        <v>8.2214999999999996E-2</v>
      </c>
      <c r="J9300" s="160"/>
      <c r="K9300" s="161">
        <f>K9298</f>
        <v>82944</v>
      </c>
      <c r="L9300" s="250">
        <v>1</v>
      </c>
      <c r="M9300" s="163" t="str">
        <f>CONCATENATE(H9300," ",F9300,"*",I9300,"/",K9300,"чел/час")</f>
        <v>2 замера*0,082215/82944чел/час</v>
      </c>
      <c r="N9300" s="278">
        <f t="shared" si="2681"/>
        <v>40794</v>
      </c>
      <c r="O9300" s="280">
        <f t="shared" si="2679"/>
        <v>8.0870999999999998E-2</v>
      </c>
      <c r="P9300" s="166"/>
      <c r="Q9300" s="166">
        <f t="shared" si="2680"/>
        <v>6707.7642239999996</v>
      </c>
      <c r="R9300" s="71"/>
    </row>
    <row r="9301" spans="1:41" s="61" customFormat="1" ht="47.25" x14ac:dyDescent="0.25">
      <c r="A9301" s="358"/>
      <c r="B9301" s="361"/>
      <c r="C9301" s="366"/>
      <c r="D9301" s="156" t="s">
        <v>399</v>
      </c>
      <c r="E9301" s="156" t="s">
        <v>60</v>
      </c>
      <c r="F9301" s="156" t="s">
        <v>60</v>
      </c>
      <c r="G9301" s="238">
        <f t="shared" si="2678"/>
        <v>3.9648440000000001E-5</v>
      </c>
      <c r="H9301" s="158">
        <f>$H$2112</f>
        <v>4</v>
      </c>
      <c r="I9301" s="159">
        <f>I9300</f>
        <v>8.2214999999999996E-2</v>
      </c>
      <c r="J9301" s="160"/>
      <c r="K9301" s="161">
        <f>K9300</f>
        <v>82944</v>
      </c>
      <c r="L9301" s="250">
        <v>10</v>
      </c>
      <c r="M9301" s="163" t="str">
        <f>CONCATENATE(H9301," ",F9301,"*",L9301,"мес.","*",I9301,"/",K9301,"чел/час")</f>
        <v>4 шт.*10мес.*0,082215/82944чел/час</v>
      </c>
      <c r="N9301" s="278">
        <f t="shared" si="2681"/>
        <v>2623.4625000000001</v>
      </c>
      <c r="O9301" s="280">
        <f t="shared" si="2679"/>
        <v>0.104016</v>
      </c>
      <c r="P9301" s="166"/>
      <c r="Q9301" s="166">
        <f t="shared" si="2680"/>
        <v>8627.5031039999994</v>
      </c>
      <c r="R9301" s="71"/>
    </row>
    <row r="9302" spans="1:41" s="61" customFormat="1" ht="47.25" x14ac:dyDescent="0.25">
      <c r="A9302" s="358"/>
      <c r="B9302" s="361"/>
      <c r="C9302" s="366"/>
      <c r="D9302" s="156" t="s">
        <v>36</v>
      </c>
      <c r="E9302" s="156" t="s">
        <v>31</v>
      </c>
      <c r="F9302" s="156" t="s">
        <v>224</v>
      </c>
      <c r="G9302" s="238">
        <f t="shared" si="2678"/>
        <v>9.5156249999999999E-5</v>
      </c>
      <c r="H9302" s="158">
        <f>H8890</f>
        <v>8</v>
      </c>
      <c r="I9302" s="159">
        <f>I9301</f>
        <v>8.2214999999999996E-2</v>
      </c>
      <c r="J9302" s="160"/>
      <c r="K9302" s="161">
        <f>K9301</f>
        <v>82944</v>
      </c>
      <c r="L9302" s="250">
        <v>12</v>
      </c>
      <c r="M9302" s="163" t="str">
        <f>CONCATENATE(H9302," ",F9302,"*",L9302,"мес.","*",I9302,"/",K9302,"чел/час")</f>
        <v>8 устройств*12мес.*0,082215/82944чел/час</v>
      </c>
      <c r="N9302" s="278">
        <f t="shared" si="2681"/>
        <v>2393.2480208333336</v>
      </c>
      <c r="O9302" s="280">
        <f t="shared" si="2679"/>
        <v>0.22773299999999999</v>
      </c>
      <c r="P9302" s="166"/>
      <c r="Q9302" s="166">
        <f t="shared" si="2680"/>
        <v>18889.085951999998</v>
      </c>
      <c r="R9302" s="71"/>
    </row>
    <row r="9303" spans="1:41" s="61" customFormat="1" ht="63" x14ac:dyDescent="0.25">
      <c r="A9303" s="358"/>
      <c r="B9303" s="361"/>
      <c r="C9303" s="366"/>
      <c r="D9303" s="156" t="s">
        <v>253</v>
      </c>
      <c r="E9303" s="156" t="s">
        <v>55</v>
      </c>
      <c r="F9303" s="156" t="s">
        <v>55</v>
      </c>
      <c r="G9303" s="238">
        <f t="shared" si="2678"/>
        <v>5.9472659999999994E-5</v>
      </c>
      <c r="H9303" s="158">
        <f>H8891</f>
        <v>5</v>
      </c>
      <c r="I9303" s="159">
        <f>I9302</f>
        <v>8.2214999999999996E-2</v>
      </c>
      <c r="J9303" s="160"/>
      <c r="K9303" s="161">
        <f>K9302</f>
        <v>82944</v>
      </c>
      <c r="L9303" s="250">
        <v>12</v>
      </c>
      <c r="M9303" s="163" t="str">
        <f>CONCATENATE(H9303," ",F9303,"*",I9303,"/",K9303,"чел/час")</f>
        <v>5 система*0,082215/82944чел/час</v>
      </c>
      <c r="N9303" s="278">
        <f t="shared" si="2681"/>
        <v>4624.4081666666671</v>
      </c>
      <c r="O9303" s="280">
        <f t="shared" si="2679"/>
        <v>0.27502599999999999</v>
      </c>
      <c r="P9303" s="166"/>
      <c r="Q9303" s="166">
        <f t="shared" si="2680"/>
        <v>22811.756544</v>
      </c>
      <c r="R9303" s="71"/>
    </row>
    <row r="9304" spans="1:41" s="61" customFormat="1" ht="31.5" x14ac:dyDescent="0.25">
      <c r="A9304" s="358"/>
      <c r="B9304" s="361"/>
      <c r="C9304" s="366"/>
      <c r="D9304" s="156" t="s">
        <v>99</v>
      </c>
      <c r="E9304" s="156" t="s">
        <v>103</v>
      </c>
      <c r="F9304" s="156" t="s">
        <v>225</v>
      </c>
      <c r="G9304" s="238">
        <f t="shared" si="2678"/>
        <v>2.4780269999999998E-5</v>
      </c>
      <c r="H9304" s="158">
        <f>H8892</f>
        <v>25</v>
      </c>
      <c r="I9304" s="159">
        <f>I9303</f>
        <v>8.2214999999999996E-2</v>
      </c>
      <c r="J9304" s="160"/>
      <c r="K9304" s="161">
        <f>K9303</f>
        <v>82944</v>
      </c>
      <c r="L9304" s="250">
        <v>1</v>
      </c>
      <c r="M9304" s="163" t="str">
        <f>CONCATENATE(H9304," ",F9304,"*",I9304,"/",K9304,"чел.")</f>
        <v>25 ед.*0,082215/82944чел.</v>
      </c>
      <c r="N9304" s="164">
        <f t="shared" si="2681"/>
        <v>15690</v>
      </c>
      <c r="O9304" s="165">
        <f>MROUND(G9304*N9304,0.000001)</f>
        <v>0.38880199999999998</v>
      </c>
      <c r="P9304" s="166"/>
      <c r="Q9304" s="166">
        <f t="shared" si="2680"/>
        <v>32248.793087999999</v>
      </c>
      <c r="R9304" s="71"/>
    </row>
    <row r="9305" spans="1:41" s="61" customFormat="1" x14ac:dyDescent="0.25">
      <c r="A9305" s="358"/>
      <c r="B9305" s="361"/>
      <c r="C9305" s="366"/>
      <c r="D9305" s="156" t="s">
        <v>27</v>
      </c>
      <c r="E9305" s="156" t="s">
        <v>28</v>
      </c>
      <c r="F9305" s="156" t="s">
        <v>28</v>
      </c>
      <c r="G9305" s="238">
        <f t="shared" si="2678"/>
        <v>1.4868164E-4</v>
      </c>
      <c r="H9305" s="160">
        <f>H8893</f>
        <v>150</v>
      </c>
      <c r="I9305" s="159">
        <f>I9303</f>
        <v>8.2214999999999996E-2</v>
      </c>
      <c r="J9305" s="160"/>
      <c r="K9305" s="161">
        <f>K9303</f>
        <v>82944</v>
      </c>
      <c r="L9305" s="250">
        <v>1</v>
      </c>
      <c r="M9305" s="163" t="str">
        <f>CONCATENATE(H9305," ",F9305,"*",I9305,"/",K9305,"чел/час")</f>
        <v>150 шт*0,082215/82944чел/час</v>
      </c>
      <c r="N9305" s="278">
        <f t="shared" si="2681"/>
        <v>435.13599999999997</v>
      </c>
      <c r="O9305" s="280">
        <f t="shared" ref="O9305:O9306" si="2682">MROUND(N9305*G9305,0.000001)</f>
        <v>6.4696999999999991E-2</v>
      </c>
      <c r="P9305" s="166"/>
      <c r="Q9305" s="166">
        <f t="shared" si="2680"/>
        <v>5366.2279679999992</v>
      </c>
      <c r="R9305" s="71"/>
    </row>
    <row r="9306" spans="1:41" s="61" customFormat="1" ht="31.5" x14ac:dyDescent="0.25">
      <c r="A9306" s="358"/>
      <c r="B9306" s="361"/>
      <c r="C9306" s="367"/>
      <c r="D9306" s="156" t="s">
        <v>104</v>
      </c>
      <c r="E9306" s="156" t="s">
        <v>105</v>
      </c>
      <c r="F9306" s="156" t="s">
        <v>226</v>
      </c>
      <c r="G9306" s="238">
        <f t="shared" si="2678"/>
        <v>4.9560499999999998E-6</v>
      </c>
      <c r="H9306" s="160">
        <f>H8894</f>
        <v>5</v>
      </c>
      <c r="I9306" s="159">
        <f>I9305</f>
        <v>8.2214999999999996E-2</v>
      </c>
      <c r="J9306" s="160"/>
      <c r="K9306" s="161">
        <f>K9305</f>
        <v>82944</v>
      </c>
      <c r="L9306" s="250">
        <v>1</v>
      </c>
      <c r="M9306" s="163" t="str">
        <f>CONCATENATE(H9306," ",F9306,"*",I9306,"/",K9306,"чел/час")</f>
        <v>5 отключений*0,082215/82944чел/час</v>
      </c>
      <c r="N9306" s="278">
        <f t="shared" si="2681"/>
        <v>9790.56</v>
      </c>
      <c r="O9306" s="280">
        <f t="shared" si="2682"/>
        <v>4.8522999999999997E-2</v>
      </c>
      <c r="P9306" s="166"/>
      <c r="Q9306" s="166">
        <f t="shared" si="2680"/>
        <v>4024.6917119999998</v>
      </c>
      <c r="R9306" s="71"/>
    </row>
    <row r="9307" spans="1:41" s="109" customFormat="1" x14ac:dyDescent="0.25">
      <c r="A9307" s="358"/>
      <c r="B9307" s="361"/>
      <c r="C9307" s="249" t="s">
        <v>326</v>
      </c>
      <c r="D9307" s="240"/>
      <c r="E9307" s="240"/>
      <c r="F9307" s="240"/>
      <c r="G9307" s="227"/>
      <c r="H9307" s="228"/>
      <c r="I9307" s="206"/>
      <c r="J9307" s="228"/>
      <c r="K9307" s="207"/>
      <c r="L9307" s="257"/>
      <c r="M9307" s="209"/>
      <c r="N9307" s="281"/>
      <c r="O9307" s="279">
        <f>SUM(O9292:O9306)</f>
        <v>1.6223010000000002</v>
      </c>
      <c r="P9307" s="267"/>
      <c r="Q9307" s="166"/>
      <c r="R9307" s="71"/>
      <c r="S9307" s="62"/>
      <c r="T9307" s="62"/>
      <c r="U9307" s="62"/>
      <c r="V9307" s="62"/>
      <c r="W9307" s="62"/>
      <c r="X9307" s="62"/>
      <c r="Y9307" s="62"/>
      <c r="Z9307" s="62"/>
      <c r="AA9307" s="62"/>
      <c r="AB9307" s="62"/>
      <c r="AC9307" s="62"/>
      <c r="AD9307" s="62"/>
      <c r="AE9307" s="62"/>
      <c r="AF9307" s="62"/>
      <c r="AG9307" s="62"/>
      <c r="AH9307" s="62"/>
      <c r="AI9307" s="62"/>
      <c r="AJ9307" s="62"/>
      <c r="AK9307" s="62"/>
      <c r="AL9307" s="62"/>
      <c r="AM9307" s="62"/>
      <c r="AN9307" s="62"/>
      <c r="AO9307" s="62"/>
    </row>
    <row r="9308" spans="1:41" s="61" customFormat="1" ht="31.5" x14ac:dyDescent="0.25">
      <c r="A9308" s="358"/>
      <c r="B9308" s="361"/>
      <c r="C9308" s="221" t="s">
        <v>79</v>
      </c>
      <c r="D9308" s="156" t="s">
        <v>37</v>
      </c>
      <c r="E9308" s="156" t="s">
        <v>61</v>
      </c>
      <c r="F9308" s="156" t="s">
        <v>254</v>
      </c>
      <c r="G9308" s="238">
        <f>MROUND(H9308*L9308*I9308/K9308,0.00000000001)</f>
        <v>9.9120999999999999E-7</v>
      </c>
      <c r="H9308" s="158">
        <f>$H$2119</f>
        <v>1</v>
      </c>
      <c r="I9308" s="159">
        <f>I9306</f>
        <v>8.2214999999999996E-2</v>
      </c>
      <c r="J9308" s="160"/>
      <c r="K9308" s="161">
        <f>K9306</f>
        <v>82944</v>
      </c>
      <c r="L9308" s="250">
        <v>1</v>
      </c>
      <c r="M9308" s="163" t="str">
        <f>CONCATENATE(H9308," ",F9308,"*",I9308,"/",K9308,"чел/час")</f>
        <v>1 автобус*0,082215/82944чел/час</v>
      </c>
      <c r="N9308" s="278">
        <f>N8896</f>
        <v>25403.41</v>
      </c>
      <c r="O9308" s="280">
        <f>MROUND(N9308*G9308,0.000001)</f>
        <v>2.5179999999999998E-2</v>
      </c>
      <c r="P9308" s="166"/>
      <c r="Q9308" s="166">
        <f>O9308*K9308</f>
        <v>2088.5299199999999</v>
      </c>
      <c r="R9308" s="71"/>
    </row>
    <row r="9309" spans="1:41" s="61" customFormat="1" x14ac:dyDescent="0.25">
      <c r="A9309" s="358"/>
      <c r="B9309" s="361"/>
      <c r="C9309" s="221"/>
      <c r="D9309" s="156" t="s">
        <v>255</v>
      </c>
      <c r="E9309" s="156" t="s">
        <v>28</v>
      </c>
      <c r="F9309" s="156" t="s">
        <v>28</v>
      </c>
      <c r="G9309" s="238">
        <f>MROUND(H9309*L9309*I9309/K9309,0.00000000001)</f>
        <v>6.8393554999999996E-4</v>
      </c>
      <c r="H9309" s="158">
        <f>H8897</f>
        <v>345</v>
      </c>
      <c r="I9309" s="159">
        <f>I9308</f>
        <v>8.2214999999999996E-2</v>
      </c>
      <c r="J9309" s="160"/>
      <c r="K9309" s="161">
        <f>K9308</f>
        <v>82944</v>
      </c>
      <c r="L9309" s="250">
        <v>2</v>
      </c>
      <c r="M9309" s="163" t="str">
        <f>CONCATENATE(H9309," ",F9309,"*",L9309,"раза в год","*",I9309,"/",K9309,"чел/час")</f>
        <v>345 шт*2раза в год*0,082215/82944чел/час</v>
      </c>
      <c r="N9309" s="278">
        <f>N8897</f>
        <v>474.29824637681156</v>
      </c>
      <c r="O9309" s="280">
        <f>MROUND(N9309*G9309,0.000001)</f>
        <v>0.32438899999999998</v>
      </c>
      <c r="P9309" s="166"/>
      <c r="Q9309" s="166">
        <f>O9309*K9309</f>
        <v>26906.121216</v>
      </c>
      <c r="R9309" s="71"/>
    </row>
    <row r="9310" spans="1:41" s="109" customFormat="1" x14ac:dyDescent="0.25">
      <c r="A9310" s="358"/>
      <c r="B9310" s="361"/>
      <c r="C9310" s="218" t="s">
        <v>328</v>
      </c>
      <c r="D9310" s="240"/>
      <c r="E9310" s="240"/>
      <c r="F9310" s="240"/>
      <c r="G9310" s="227"/>
      <c r="H9310" s="241"/>
      <c r="I9310" s="206"/>
      <c r="J9310" s="228"/>
      <c r="K9310" s="207"/>
      <c r="L9310" s="257"/>
      <c r="M9310" s="209"/>
      <c r="N9310" s="281"/>
      <c r="O9310" s="279">
        <f>O9309+O9308</f>
        <v>0.34956899999999996</v>
      </c>
      <c r="P9310" s="267"/>
      <c r="Q9310" s="166"/>
      <c r="R9310" s="71"/>
      <c r="S9310" s="62"/>
      <c r="T9310" s="62"/>
      <c r="U9310" s="62"/>
      <c r="V9310" s="62"/>
      <c r="W9310" s="62"/>
      <c r="X9310" s="62"/>
      <c r="Y9310" s="62"/>
      <c r="Z9310" s="62"/>
      <c r="AA9310" s="62"/>
      <c r="AB9310" s="62"/>
      <c r="AC9310" s="62"/>
      <c r="AD9310" s="62"/>
      <c r="AE9310" s="62"/>
      <c r="AF9310" s="62"/>
      <c r="AG9310" s="62"/>
      <c r="AH9310" s="62"/>
      <c r="AI9310" s="62"/>
      <c r="AJ9310" s="62"/>
      <c r="AK9310" s="62"/>
      <c r="AL9310" s="62"/>
      <c r="AM9310" s="62"/>
      <c r="AN9310" s="62"/>
      <c r="AO9310" s="62"/>
    </row>
    <row r="9311" spans="1:41" s="61" customFormat="1" x14ac:dyDescent="0.25">
      <c r="A9311" s="358"/>
      <c r="B9311" s="361"/>
      <c r="C9311" s="364" t="s">
        <v>80</v>
      </c>
      <c r="D9311" s="156" t="s">
        <v>38</v>
      </c>
      <c r="E9311" s="156" t="s">
        <v>57</v>
      </c>
      <c r="F9311" s="156" t="s">
        <v>228</v>
      </c>
      <c r="G9311" s="238">
        <f t="shared" ref="G9311:G9322" si="2683">MROUND(H9311*L9311*I9311/K9311,0.00000000001)</f>
        <v>9.5156249999999999E-5</v>
      </c>
      <c r="H9311" s="158">
        <f>H8899</f>
        <v>8</v>
      </c>
      <c r="I9311" s="159">
        <f>I9308</f>
        <v>8.2214999999999996E-2</v>
      </c>
      <c r="J9311" s="160"/>
      <c r="K9311" s="161">
        <f>K9308</f>
        <v>82944</v>
      </c>
      <c r="L9311" s="250">
        <v>12</v>
      </c>
      <c r="M9311" s="163" t="str">
        <f>CONCATENATE(H9311," ",F9311,"*",L9311,"мес.","*",I9311,"/",K9311,"чел/час")</f>
        <v>8 зданий*12мес.*0,082215/82944чел/час</v>
      </c>
      <c r="N9311" s="278">
        <f t="shared" ref="N9311:N9320" si="2684">N8899</f>
        <v>5107.0063541666668</v>
      </c>
      <c r="O9311" s="280">
        <f t="shared" ref="O9311:O9322" si="2685">MROUND(N9311*G9311,0.000001)</f>
        <v>0.48596399999999995</v>
      </c>
      <c r="P9311" s="166"/>
      <c r="Q9311" s="166">
        <f t="shared" ref="Q9311:Q9322" si="2686">O9311*K9311</f>
        <v>40307.798015999993</v>
      </c>
      <c r="R9311" s="71"/>
    </row>
    <row r="9312" spans="1:41" s="61" customFormat="1" x14ac:dyDescent="0.25">
      <c r="A9312" s="358"/>
      <c r="B9312" s="361"/>
      <c r="C9312" s="364"/>
      <c r="D9312" s="156" t="s">
        <v>256</v>
      </c>
      <c r="E9312" s="156" t="s">
        <v>20</v>
      </c>
      <c r="F9312" s="156" t="s">
        <v>20</v>
      </c>
      <c r="G9312" s="238">
        <f t="shared" si="2683"/>
        <v>1.8535644999999998E-4</v>
      </c>
      <c r="H9312" s="158">
        <f>H8900</f>
        <v>187</v>
      </c>
      <c r="I9312" s="159">
        <f>I9309</f>
        <v>8.2214999999999996E-2</v>
      </c>
      <c r="J9312" s="160"/>
      <c r="K9312" s="161">
        <f>K9309</f>
        <v>82944</v>
      </c>
      <c r="L9312" s="250">
        <v>1</v>
      </c>
      <c r="M9312" s="163" t="str">
        <f t="shared" ref="M9312:M9319" si="2687">CONCATENATE(H9312," ",F9312,"*",I9312,"/",K9312,"чел/час")</f>
        <v>187 чел.*0,082215/82944чел/час</v>
      </c>
      <c r="N9312" s="278">
        <f t="shared" si="2684"/>
        <v>2015.7675401069516</v>
      </c>
      <c r="O9312" s="280">
        <f t="shared" si="2685"/>
        <v>0.37363599999999997</v>
      </c>
      <c r="P9312" s="166"/>
      <c r="Q9312" s="166">
        <f t="shared" si="2686"/>
        <v>30990.864383999997</v>
      </c>
      <c r="R9312" s="71"/>
    </row>
    <row r="9313" spans="1:41" s="61" customFormat="1" ht="63" x14ac:dyDescent="0.25">
      <c r="A9313" s="358"/>
      <c r="B9313" s="361"/>
      <c r="C9313" s="364"/>
      <c r="D9313" s="156" t="s">
        <v>39</v>
      </c>
      <c r="E9313" s="156" t="s">
        <v>20</v>
      </c>
      <c r="F9313" s="156" t="s">
        <v>234</v>
      </c>
      <c r="G9313" s="238">
        <f t="shared" si="2683"/>
        <v>8.9208999999999996E-6</v>
      </c>
      <c r="H9313" s="158">
        <f>H8901</f>
        <v>9</v>
      </c>
      <c r="I9313" s="159">
        <f>I9311</f>
        <v>8.2214999999999996E-2</v>
      </c>
      <c r="J9313" s="160"/>
      <c r="K9313" s="161">
        <f>K9311</f>
        <v>82944</v>
      </c>
      <c r="L9313" s="250">
        <v>1</v>
      </c>
      <c r="M9313" s="163" t="str">
        <f t="shared" si="2687"/>
        <v>9 чел(заявленная потребность руководителями учреждений)*0,082215/82944чел/час</v>
      </c>
      <c r="N9313" s="278">
        <f t="shared" si="2684"/>
        <v>830.02333333333343</v>
      </c>
      <c r="O9313" s="280">
        <f t="shared" si="2685"/>
        <v>7.4049999999999993E-3</v>
      </c>
      <c r="P9313" s="166"/>
      <c r="Q9313" s="166">
        <f t="shared" si="2686"/>
        <v>614.20031999999992</v>
      </c>
      <c r="R9313" s="71"/>
    </row>
    <row r="9314" spans="1:41" s="61" customFormat="1" ht="63" x14ac:dyDescent="0.25">
      <c r="A9314" s="358"/>
      <c r="B9314" s="361"/>
      <c r="C9314" s="364"/>
      <c r="D9314" s="156" t="s">
        <v>40</v>
      </c>
      <c r="E9314" s="156" t="s">
        <v>20</v>
      </c>
      <c r="F9314" s="156" t="s">
        <v>234</v>
      </c>
      <c r="G9314" s="238">
        <f t="shared" si="2683"/>
        <v>1.2885739999999999E-5</v>
      </c>
      <c r="H9314" s="158">
        <f>H8902</f>
        <v>13</v>
      </c>
      <c r="I9314" s="159">
        <f t="shared" ref="I9314:I9319" si="2688">I9313</f>
        <v>8.2214999999999996E-2</v>
      </c>
      <c r="J9314" s="160"/>
      <c r="K9314" s="161">
        <f t="shared" ref="K9314:K9319" si="2689">K9313</f>
        <v>82944</v>
      </c>
      <c r="L9314" s="250">
        <v>1</v>
      </c>
      <c r="M9314" s="163" t="str">
        <f t="shared" si="2687"/>
        <v>13 чел(заявленная потребность руководителями учреждений)*0,082215/82944чел/час</v>
      </c>
      <c r="N9314" s="278">
        <f t="shared" si="2684"/>
        <v>1778.6192307692306</v>
      </c>
      <c r="O9314" s="280">
        <f t="shared" si="2685"/>
        <v>2.2918999999999998E-2</v>
      </c>
      <c r="P9314" s="166"/>
      <c r="Q9314" s="166">
        <f t="shared" si="2686"/>
        <v>1900.9935359999999</v>
      </c>
      <c r="R9314" s="71"/>
    </row>
    <row r="9315" spans="1:41" s="61" customFormat="1" ht="63" x14ac:dyDescent="0.25">
      <c r="A9315" s="358"/>
      <c r="B9315" s="361"/>
      <c r="C9315" s="364"/>
      <c r="D9315" s="156" t="s">
        <v>100</v>
      </c>
      <c r="E9315" s="156" t="s">
        <v>20</v>
      </c>
      <c r="F9315" s="156" t="s">
        <v>234</v>
      </c>
      <c r="G9315" s="238">
        <f t="shared" si="2683"/>
        <v>6.9384799999999992E-6</v>
      </c>
      <c r="H9315" s="158">
        <f>H8903</f>
        <v>7</v>
      </c>
      <c r="I9315" s="159">
        <f t="shared" si="2688"/>
        <v>8.2214999999999996E-2</v>
      </c>
      <c r="J9315" s="160"/>
      <c r="K9315" s="161">
        <f t="shared" si="2689"/>
        <v>82944</v>
      </c>
      <c r="L9315" s="250">
        <v>1</v>
      </c>
      <c r="M9315" s="163" t="str">
        <f t="shared" si="2687"/>
        <v>7 чел(заявленная потребность руководителями учреждений)*0,082215/82944чел/час</v>
      </c>
      <c r="N9315" s="278">
        <f t="shared" si="2684"/>
        <v>3794.3871428571429</v>
      </c>
      <c r="O9315" s="280">
        <f t="shared" si="2685"/>
        <v>2.6327E-2</v>
      </c>
      <c r="P9315" s="166"/>
      <c r="Q9315" s="166">
        <f t="shared" si="2686"/>
        <v>2183.6666879999998</v>
      </c>
      <c r="R9315" s="71"/>
    </row>
    <row r="9316" spans="1:41" s="61" customFormat="1" ht="110.25" x14ac:dyDescent="0.25">
      <c r="A9316" s="358"/>
      <c r="B9316" s="361"/>
      <c r="C9316" s="364"/>
      <c r="D9316" s="156" t="s">
        <v>235</v>
      </c>
      <c r="E9316" s="156" t="s">
        <v>50</v>
      </c>
      <c r="F9316" s="156" t="s">
        <v>230</v>
      </c>
      <c r="G9316" s="238">
        <f t="shared" si="2683"/>
        <v>4.9560499999999998E-6</v>
      </c>
      <c r="H9316" s="158">
        <v>5</v>
      </c>
      <c r="I9316" s="159">
        <f t="shared" si="2688"/>
        <v>8.2214999999999996E-2</v>
      </c>
      <c r="J9316" s="160"/>
      <c r="K9316" s="161">
        <f t="shared" si="2689"/>
        <v>82944</v>
      </c>
      <c r="L9316" s="250">
        <v>1</v>
      </c>
      <c r="M9316" s="163" t="str">
        <f t="shared" si="2687"/>
        <v>5 отчетов*0,082215/82944чел/час</v>
      </c>
      <c r="N9316" s="278">
        <f t="shared" si="2684"/>
        <v>7114.4699999999993</v>
      </c>
      <c r="O9316" s="280">
        <f t="shared" si="2685"/>
        <v>3.526E-2</v>
      </c>
      <c r="P9316" s="166"/>
      <c r="Q9316" s="166">
        <f t="shared" si="2686"/>
        <v>2924.6054399999998</v>
      </c>
      <c r="R9316" s="71"/>
    </row>
    <row r="9317" spans="1:41" s="61" customFormat="1" ht="63" x14ac:dyDescent="0.25">
      <c r="A9317" s="358"/>
      <c r="B9317" s="361"/>
      <c r="C9317" s="364"/>
      <c r="D9317" s="156" t="s">
        <v>42</v>
      </c>
      <c r="E9317" s="156" t="s">
        <v>51</v>
      </c>
      <c r="F9317" s="156" t="s">
        <v>407</v>
      </c>
      <c r="G9317" s="238">
        <f t="shared" si="2683"/>
        <v>2.5771479999999997E-5</v>
      </c>
      <c r="H9317" s="158">
        <f>H8905</f>
        <v>26</v>
      </c>
      <c r="I9317" s="159">
        <f t="shared" si="2688"/>
        <v>8.2214999999999996E-2</v>
      </c>
      <c r="J9317" s="160"/>
      <c r="K9317" s="161">
        <f t="shared" si="2689"/>
        <v>82944</v>
      </c>
      <c r="L9317" s="250">
        <v>1</v>
      </c>
      <c r="M9317" s="163" t="str">
        <f t="shared" si="2687"/>
        <v>26 ед (заявленная потребность руководителями учреждений)*0,082215/82944чел/час</v>
      </c>
      <c r="N9317" s="278">
        <f t="shared" si="2684"/>
        <v>1185.7457692307694</v>
      </c>
      <c r="O9317" s="280">
        <f t="shared" si="2685"/>
        <v>3.0557999999999998E-2</v>
      </c>
      <c r="P9317" s="166"/>
      <c r="Q9317" s="166">
        <f t="shared" si="2686"/>
        <v>2534.6027519999998</v>
      </c>
      <c r="R9317" s="71"/>
    </row>
    <row r="9318" spans="1:41" s="61" customFormat="1" ht="31.5" x14ac:dyDescent="0.25">
      <c r="A9318" s="358"/>
      <c r="B9318" s="361"/>
      <c r="C9318" s="364"/>
      <c r="D9318" s="156" t="s">
        <v>43</v>
      </c>
      <c r="E9318" s="156" t="s">
        <v>52</v>
      </c>
      <c r="F9318" s="156" t="s">
        <v>231</v>
      </c>
      <c r="G9318" s="238">
        <f t="shared" si="2683"/>
        <v>4.9560499999999998E-6</v>
      </c>
      <c r="H9318" s="158">
        <v>5</v>
      </c>
      <c r="I9318" s="159">
        <f t="shared" si="2688"/>
        <v>8.2214999999999996E-2</v>
      </c>
      <c r="J9318" s="160"/>
      <c r="K9318" s="161">
        <f t="shared" si="2689"/>
        <v>82944</v>
      </c>
      <c r="L9318" s="250">
        <v>1</v>
      </c>
      <c r="M9318" s="163" t="str">
        <f t="shared" si="2687"/>
        <v>5 ЭЦП*0,082215/82944чел/час</v>
      </c>
      <c r="N9318" s="278">
        <f t="shared" si="2684"/>
        <v>8423.5400000000009</v>
      </c>
      <c r="O9318" s="280">
        <f t="shared" si="2685"/>
        <v>4.1746999999999999E-2</v>
      </c>
      <c r="P9318" s="166"/>
      <c r="Q9318" s="166">
        <f t="shared" si="2686"/>
        <v>3462.663168</v>
      </c>
      <c r="R9318" s="71"/>
    </row>
    <row r="9319" spans="1:41" s="61" customFormat="1" x14ac:dyDescent="0.25">
      <c r="A9319" s="358"/>
      <c r="B9319" s="361"/>
      <c r="C9319" s="364"/>
      <c r="D9319" s="156" t="s">
        <v>373</v>
      </c>
      <c r="E9319" s="156" t="s">
        <v>28</v>
      </c>
      <c r="F9319" s="156" t="s">
        <v>28</v>
      </c>
      <c r="G9319" s="238">
        <f t="shared" si="2683"/>
        <v>4.9560499999999998E-6</v>
      </c>
      <c r="H9319" s="158">
        <f>H8907</f>
        <v>5</v>
      </c>
      <c r="I9319" s="159">
        <f t="shared" si="2688"/>
        <v>8.2214999999999996E-2</v>
      </c>
      <c r="J9319" s="160"/>
      <c r="K9319" s="161">
        <f t="shared" si="2689"/>
        <v>82944</v>
      </c>
      <c r="L9319" s="250">
        <v>1</v>
      </c>
      <c r="M9319" s="163" t="str">
        <f t="shared" si="2687"/>
        <v>5 шт*0,082215/82944чел/час</v>
      </c>
      <c r="N9319" s="278">
        <f t="shared" si="2684"/>
        <v>24000</v>
      </c>
      <c r="O9319" s="280">
        <f t="shared" si="2685"/>
        <v>0.118945</v>
      </c>
      <c r="P9319" s="166"/>
      <c r="Q9319" s="166">
        <f t="shared" si="2686"/>
        <v>9865.7740799999992</v>
      </c>
      <c r="R9319" s="71"/>
    </row>
    <row r="9320" spans="1:41" s="61" customFormat="1" ht="63" x14ac:dyDescent="0.25">
      <c r="A9320" s="358"/>
      <c r="B9320" s="361"/>
      <c r="C9320" s="364"/>
      <c r="D9320" s="156" t="s">
        <v>45</v>
      </c>
      <c r="E9320" s="156" t="s">
        <v>53</v>
      </c>
      <c r="F9320" s="156" t="s">
        <v>257</v>
      </c>
      <c r="G9320" s="238">
        <f t="shared" si="2683"/>
        <v>1.189453E-5</v>
      </c>
      <c r="H9320" s="158">
        <v>1</v>
      </c>
      <c r="I9320" s="159">
        <f>I9318</f>
        <v>8.2214999999999996E-2</v>
      </c>
      <c r="J9320" s="160"/>
      <c r="K9320" s="161">
        <f>K9318</f>
        <v>82944</v>
      </c>
      <c r="L9320" s="250">
        <v>12</v>
      </c>
      <c r="M9320" s="163" t="str">
        <f>CONCATENATE(H9320," ",F9320,"*",L9320,"мес.","*",I9320,"/",K9320,"чел/час")</f>
        <v>1  машина, оборудованная системой ГЛОНАСС*12мес.*0,082215/82944чел/час</v>
      </c>
      <c r="N9320" s="278">
        <f t="shared" si="2684"/>
        <v>958.08249999999998</v>
      </c>
      <c r="O9320" s="280">
        <f t="shared" si="2685"/>
        <v>1.1396E-2</v>
      </c>
      <c r="P9320" s="166"/>
      <c r="Q9320" s="166">
        <f t="shared" si="2686"/>
        <v>945.22982400000001</v>
      </c>
      <c r="R9320" s="71"/>
    </row>
    <row r="9321" spans="1:41" s="136" customFormat="1" ht="47.25" x14ac:dyDescent="0.25">
      <c r="A9321" s="358"/>
      <c r="B9321" s="361"/>
      <c r="C9321" s="364"/>
      <c r="D9321" s="156" t="s">
        <v>44</v>
      </c>
      <c r="E9321" s="156" t="s">
        <v>85</v>
      </c>
      <c r="F9321" s="156" t="s">
        <v>232</v>
      </c>
      <c r="G9321" s="238">
        <f t="shared" si="2683"/>
        <v>3.0132812999999998E-4</v>
      </c>
      <c r="H9321" s="158">
        <f>$H$2132</f>
        <v>304</v>
      </c>
      <c r="I9321" s="159">
        <f>I9320</f>
        <v>8.2214999999999996E-2</v>
      </c>
      <c r="J9321" s="160"/>
      <c r="K9321" s="161">
        <f>K9320</f>
        <v>82944</v>
      </c>
      <c r="L9321" s="250">
        <v>1</v>
      </c>
      <c r="M9321" s="163" t="str">
        <f>CONCATENATE(H9321," ",F9321,"*",L9321,"мес.","*",I9321,"/",K9321,"чел.")</f>
        <v>304 мед.осмотров в мес.*1мес.*0,082215/82944чел.</v>
      </c>
      <c r="N9321" s="278">
        <f>$N$8909</f>
        <v>54.392006578947374</v>
      </c>
      <c r="O9321" s="280">
        <f t="shared" si="2685"/>
        <v>1.6389999999999998E-2</v>
      </c>
      <c r="P9321" s="166"/>
      <c r="Q9321" s="166">
        <f t="shared" si="2686"/>
        <v>1359.4521599999998</v>
      </c>
      <c r="R9321" s="71"/>
      <c r="S9321" s="71"/>
      <c r="T9321" s="61"/>
      <c r="U9321" s="61"/>
      <c r="V9321" s="61"/>
      <c r="W9321" s="61"/>
      <c r="X9321" s="61"/>
      <c r="Y9321" s="61"/>
      <c r="Z9321" s="61"/>
      <c r="AA9321" s="61"/>
      <c r="AB9321" s="61"/>
      <c r="AC9321" s="61"/>
      <c r="AD9321" s="61"/>
      <c r="AE9321" s="61"/>
      <c r="AF9321" s="61"/>
      <c r="AG9321" s="61"/>
      <c r="AH9321" s="61"/>
      <c r="AI9321" s="61"/>
      <c r="AJ9321" s="61"/>
      <c r="AK9321" s="61"/>
      <c r="AL9321" s="61"/>
      <c r="AM9321" s="61"/>
      <c r="AN9321" s="61"/>
      <c r="AO9321" s="61"/>
    </row>
    <row r="9322" spans="1:41" s="61" customFormat="1" ht="31.5" x14ac:dyDescent="0.25">
      <c r="A9322" s="358"/>
      <c r="B9322" s="361"/>
      <c r="C9322" s="364"/>
      <c r="D9322" s="156" t="s">
        <v>408</v>
      </c>
      <c r="E9322" s="156" t="s">
        <v>20</v>
      </c>
      <c r="F9322" s="156" t="s">
        <v>20</v>
      </c>
      <c r="G9322" s="238">
        <f t="shared" si="2683"/>
        <v>0</v>
      </c>
      <c r="H9322" s="158"/>
      <c r="I9322" s="159">
        <f>I9320</f>
        <v>8.2214999999999996E-2</v>
      </c>
      <c r="J9322" s="160"/>
      <c r="K9322" s="161">
        <f>K9320</f>
        <v>82944</v>
      </c>
      <c r="L9322" s="250">
        <f>L8910</f>
        <v>1</v>
      </c>
      <c r="M9322" s="163"/>
      <c r="N9322" s="278"/>
      <c r="O9322" s="280">
        <f t="shared" si="2685"/>
        <v>0</v>
      </c>
      <c r="P9322" s="166"/>
      <c r="Q9322" s="166">
        <f t="shared" si="2686"/>
        <v>0</v>
      </c>
      <c r="R9322" s="71"/>
    </row>
    <row r="9323" spans="1:41" s="109" customFormat="1" x14ac:dyDescent="0.25">
      <c r="A9323" s="358"/>
      <c r="B9323" s="361"/>
      <c r="C9323" s="245" t="s">
        <v>329</v>
      </c>
      <c r="D9323" s="240"/>
      <c r="E9323" s="240"/>
      <c r="F9323" s="240"/>
      <c r="G9323" s="227"/>
      <c r="H9323" s="241"/>
      <c r="I9323" s="206"/>
      <c r="J9323" s="228"/>
      <c r="K9323" s="207"/>
      <c r="L9323" s="257"/>
      <c r="M9323" s="209"/>
      <c r="N9323" s="281"/>
      <c r="O9323" s="279">
        <f>SUM(O9311:O9322)</f>
        <v>1.1705469999999998</v>
      </c>
      <c r="P9323" s="267"/>
      <c r="Q9323" s="166"/>
      <c r="R9323" s="71"/>
      <c r="S9323" s="62"/>
      <c r="T9323" s="62"/>
      <c r="U9323" s="62"/>
      <c r="V9323" s="62"/>
      <c r="W9323" s="62"/>
      <c r="X9323" s="62"/>
      <c r="Y9323" s="62"/>
      <c r="Z9323" s="62"/>
      <c r="AA9323" s="62"/>
      <c r="AB9323" s="62"/>
      <c r="AC9323" s="62"/>
      <c r="AD9323" s="62"/>
      <c r="AE9323" s="62"/>
      <c r="AF9323" s="62"/>
      <c r="AG9323" s="62"/>
      <c r="AH9323" s="62"/>
      <c r="AI9323" s="62"/>
      <c r="AJ9323" s="62"/>
      <c r="AK9323" s="62"/>
      <c r="AL9323" s="62"/>
      <c r="AM9323" s="62"/>
      <c r="AN9323" s="62"/>
      <c r="AO9323" s="62"/>
    </row>
    <row r="9324" spans="1:41" s="61" customFormat="1" ht="31.5" x14ac:dyDescent="0.25">
      <c r="A9324" s="358"/>
      <c r="B9324" s="361"/>
      <c r="C9324" s="252" t="s">
        <v>237</v>
      </c>
      <c r="D9324" s="156" t="s">
        <v>41</v>
      </c>
      <c r="E9324" s="156" t="s">
        <v>61</v>
      </c>
      <c r="F9324" s="156" t="s">
        <v>254</v>
      </c>
      <c r="G9324" s="238">
        <f t="shared" ref="G9324:G9335" si="2690">MROUND(H9324*L9324*I9324/K9324,0.00000000001)</f>
        <v>9.9120999999999999E-7</v>
      </c>
      <c r="H9324" s="158">
        <v>1</v>
      </c>
      <c r="I9324" s="159">
        <f>I9322</f>
        <v>8.2214999999999996E-2</v>
      </c>
      <c r="J9324" s="160"/>
      <c r="K9324" s="161">
        <f>K9322</f>
        <v>82944</v>
      </c>
      <c r="L9324" s="250">
        <v>1</v>
      </c>
      <c r="M9324" s="163" t="str">
        <f>CONCATENATE(H9324," ",F9324,"*",I9324,"/",K9324,"чел/час")</f>
        <v>1 автобус*0,082215/82944чел/час</v>
      </c>
      <c r="N9324" s="278">
        <f>N8912</f>
        <v>27983.599999999999</v>
      </c>
      <c r="O9324" s="280">
        <f t="shared" ref="O9324:O9335" si="2691">MROUND(N9324*G9324,0.000001)</f>
        <v>2.7737999999999999E-2</v>
      </c>
      <c r="P9324" s="166"/>
      <c r="Q9324" s="166">
        <f t="shared" ref="Q9324:Q9335" si="2692">O9324*K9324</f>
        <v>2300.7006719999999</v>
      </c>
      <c r="R9324" s="71"/>
    </row>
    <row r="9325" spans="1:41" s="61" customFormat="1" ht="78.75" x14ac:dyDescent="0.25">
      <c r="A9325" s="358"/>
      <c r="B9325" s="361"/>
      <c r="C9325" s="221" t="s">
        <v>236</v>
      </c>
      <c r="D9325" s="156" t="s">
        <v>19</v>
      </c>
      <c r="E9325" s="181" t="s">
        <v>20</v>
      </c>
      <c r="F9325" s="181" t="s">
        <v>238</v>
      </c>
      <c r="G9325" s="238">
        <f t="shared" si="2690"/>
        <v>0</v>
      </c>
      <c r="H9325" s="158"/>
      <c r="I9325" s="159">
        <f>I9322</f>
        <v>8.2214999999999996E-2</v>
      </c>
      <c r="J9325" s="160"/>
      <c r="K9325" s="161">
        <f>K9322</f>
        <v>82944</v>
      </c>
      <c r="L9325" s="250"/>
      <c r="M9325" s="163"/>
      <c r="N9325" s="278"/>
      <c r="O9325" s="280">
        <f t="shared" si="2691"/>
        <v>0</v>
      </c>
      <c r="P9325" s="166"/>
      <c r="Q9325" s="166">
        <f t="shared" si="2692"/>
        <v>0</v>
      </c>
      <c r="R9325" s="71"/>
    </row>
    <row r="9326" spans="1:41" s="136" customFormat="1" ht="31.5" x14ac:dyDescent="0.25">
      <c r="A9326" s="358"/>
      <c r="B9326" s="361"/>
      <c r="C9326" s="372" t="s">
        <v>81</v>
      </c>
      <c r="D9326" s="156" t="s">
        <v>419</v>
      </c>
      <c r="E9326" s="156" t="s">
        <v>28</v>
      </c>
      <c r="F9326" s="156" t="s">
        <v>439</v>
      </c>
      <c r="G9326" s="238">
        <f t="shared" si="2690"/>
        <v>0</v>
      </c>
      <c r="H9326" s="158"/>
      <c r="I9326" s="159">
        <f>I9325</f>
        <v>8.2214999999999996E-2</v>
      </c>
      <c r="J9326" s="160"/>
      <c r="K9326" s="161">
        <f>K9325</f>
        <v>82944</v>
      </c>
      <c r="L9326" s="250">
        <v>1</v>
      </c>
      <c r="M9326" s="163"/>
      <c r="N9326" s="278"/>
      <c r="O9326" s="280">
        <f t="shared" si="2691"/>
        <v>0</v>
      </c>
      <c r="P9326" s="166"/>
      <c r="Q9326" s="166">
        <f t="shared" si="2692"/>
        <v>0</v>
      </c>
      <c r="R9326" s="71"/>
      <c r="S9326" s="61"/>
      <c r="T9326" s="71"/>
      <c r="U9326" s="61"/>
      <c r="V9326" s="61"/>
      <c r="W9326" s="61"/>
      <c r="X9326" s="61"/>
      <c r="Y9326" s="61"/>
      <c r="Z9326" s="61"/>
      <c r="AA9326" s="61"/>
      <c r="AB9326" s="61"/>
      <c r="AC9326" s="61"/>
      <c r="AD9326" s="61"/>
      <c r="AE9326" s="61"/>
      <c r="AF9326" s="61"/>
      <c r="AG9326" s="61"/>
      <c r="AH9326" s="61"/>
      <c r="AI9326" s="61"/>
      <c r="AJ9326" s="61"/>
      <c r="AK9326" s="61"/>
      <c r="AL9326" s="61"/>
      <c r="AM9326" s="61"/>
      <c r="AN9326" s="61"/>
      <c r="AO9326" s="61"/>
    </row>
    <row r="9327" spans="1:41" s="136" customFormat="1" ht="31.5" x14ac:dyDescent="0.25">
      <c r="A9327" s="358"/>
      <c r="B9327" s="361"/>
      <c r="C9327" s="373"/>
      <c r="D9327" s="156" t="s">
        <v>425</v>
      </c>
      <c r="E9327" s="156" t="s">
        <v>28</v>
      </c>
      <c r="F9327" s="156" t="s">
        <v>439</v>
      </c>
      <c r="G9327" s="238">
        <f t="shared" si="2690"/>
        <v>0</v>
      </c>
      <c r="H9327" s="158"/>
      <c r="I9327" s="159">
        <f t="shared" ref="I9327:I9335" si="2693">I9326</f>
        <v>8.2214999999999996E-2</v>
      </c>
      <c r="J9327" s="160"/>
      <c r="K9327" s="161">
        <f t="shared" ref="K9327:K9335" si="2694">K9326</f>
        <v>82944</v>
      </c>
      <c r="L9327" s="250">
        <v>1</v>
      </c>
      <c r="M9327" s="163"/>
      <c r="N9327" s="278"/>
      <c r="O9327" s="280">
        <f t="shared" si="2691"/>
        <v>0</v>
      </c>
      <c r="P9327" s="166"/>
      <c r="Q9327" s="166">
        <f t="shared" si="2692"/>
        <v>0</v>
      </c>
      <c r="R9327" s="71"/>
      <c r="S9327" s="61"/>
      <c r="T9327" s="71"/>
      <c r="U9327" s="61"/>
      <c r="V9327" s="61"/>
      <c r="W9327" s="61"/>
      <c r="X9327" s="61"/>
      <c r="Y9327" s="61"/>
      <c r="Z9327" s="61"/>
      <c r="AA9327" s="61"/>
      <c r="AB9327" s="61"/>
      <c r="AC9327" s="61"/>
      <c r="AD9327" s="61"/>
      <c r="AE9327" s="61"/>
      <c r="AF9327" s="61"/>
      <c r="AG9327" s="61"/>
      <c r="AH9327" s="61"/>
      <c r="AI9327" s="61"/>
      <c r="AJ9327" s="61"/>
      <c r="AK9327" s="61"/>
      <c r="AL9327" s="61"/>
      <c r="AM9327" s="61"/>
      <c r="AN9327" s="61"/>
      <c r="AO9327" s="61"/>
    </row>
    <row r="9328" spans="1:41" s="136" customFormat="1" ht="31.5" x14ac:dyDescent="0.25">
      <c r="A9328" s="358"/>
      <c r="B9328" s="361"/>
      <c r="C9328" s="373"/>
      <c r="D9328" s="156" t="s">
        <v>426</v>
      </c>
      <c r="E9328" s="156" t="s">
        <v>28</v>
      </c>
      <c r="F9328" s="156" t="s">
        <v>439</v>
      </c>
      <c r="G9328" s="238">
        <f t="shared" si="2690"/>
        <v>0</v>
      </c>
      <c r="H9328" s="158"/>
      <c r="I9328" s="159">
        <f t="shared" si="2693"/>
        <v>8.2214999999999996E-2</v>
      </c>
      <c r="J9328" s="160"/>
      <c r="K9328" s="161">
        <f t="shared" si="2694"/>
        <v>82944</v>
      </c>
      <c r="L9328" s="250">
        <v>1</v>
      </c>
      <c r="M9328" s="163"/>
      <c r="N9328" s="278"/>
      <c r="O9328" s="280">
        <f t="shared" si="2691"/>
        <v>0</v>
      </c>
      <c r="P9328" s="166"/>
      <c r="Q9328" s="166">
        <f t="shared" si="2692"/>
        <v>0</v>
      </c>
      <c r="R9328" s="71"/>
      <c r="S9328" s="61"/>
      <c r="T9328" s="71"/>
      <c r="U9328" s="61"/>
      <c r="V9328" s="61"/>
      <c r="W9328" s="61"/>
      <c r="X9328" s="61"/>
      <c r="Y9328" s="61"/>
      <c r="Z9328" s="61"/>
      <c r="AA9328" s="61"/>
      <c r="AB9328" s="61"/>
      <c r="AC9328" s="61"/>
      <c r="AD9328" s="61"/>
      <c r="AE9328" s="61"/>
      <c r="AF9328" s="61"/>
      <c r="AG9328" s="61"/>
      <c r="AH9328" s="61"/>
      <c r="AI9328" s="61"/>
      <c r="AJ9328" s="61"/>
      <c r="AK9328" s="61"/>
      <c r="AL9328" s="61"/>
      <c r="AM9328" s="61"/>
      <c r="AN9328" s="61"/>
      <c r="AO9328" s="61"/>
    </row>
    <row r="9329" spans="1:41" s="136" customFormat="1" ht="31.5" x14ac:dyDescent="0.25">
      <c r="A9329" s="358"/>
      <c r="B9329" s="361"/>
      <c r="C9329" s="373"/>
      <c r="D9329" s="156" t="s">
        <v>427</v>
      </c>
      <c r="E9329" s="156" t="s">
        <v>28</v>
      </c>
      <c r="F9329" s="156" t="s">
        <v>439</v>
      </c>
      <c r="G9329" s="238">
        <f t="shared" si="2690"/>
        <v>0</v>
      </c>
      <c r="H9329" s="158"/>
      <c r="I9329" s="159">
        <f t="shared" si="2693"/>
        <v>8.2214999999999996E-2</v>
      </c>
      <c r="J9329" s="160"/>
      <c r="K9329" s="161">
        <f t="shared" si="2694"/>
        <v>82944</v>
      </c>
      <c r="L9329" s="250">
        <v>1</v>
      </c>
      <c r="M9329" s="163"/>
      <c r="N9329" s="278"/>
      <c r="O9329" s="280">
        <f t="shared" si="2691"/>
        <v>0</v>
      </c>
      <c r="P9329" s="166"/>
      <c r="Q9329" s="166">
        <f t="shared" si="2692"/>
        <v>0</v>
      </c>
      <c r="R9329" s="71"/>
      <c r="S9329" s="61"/>
      <c r="T9329" s="71"/>
      <c r="U9329" s="61"/>
      <c r="V9329" s="61"/>
      <c r="W9329" s="61"/>
      <c r="X9329" s="61"/>
      <c r="Y9329" s="61"/>
      <c r="Z9329" s="61"/>
      <c r="AA9329" s="61"/>
      <c r="AB9329" s="61"/>
      <c r="AC9329" s="61"/>
      <c r="AD9329" s="61"/>
      <c r="AE9329" s="61"/>
      <c r="AF9329" s="61"/>
      <c r="AG9329" s="61"/>
      <c r="AH9329" s="61"/>
      <c r="AI9329" s="61"/>
      <c r="AJ9329" s="61"/>
      <c r="AK9329" s="61"/>
      <c r="AL9329" s="61"/>
      <c r="AM9329" s="61"/>
      <c r="AN9329" s="61"/>
      <c r="AO9329" s="61"/>
    </row>
    <row r="9330" spans="1:41" s="136" customFormat="1" ht="31.5" x14ac:dyDescent="0.25">
      <c r="A9330" s="358"/>
      <c r="B9330" s="361"/>
      <c r="C9330" s="373"/>
      <c r="D9330" s="156" t="s">
        <v>428</v>
      </c>
      <c r="E9330" s="156" t="s">
        <v>28</v>
      </c>
      <c r="F9330" s="156" t="s">
        <v>439</v>
      </c>
      <c r="G9330" s="238">
        <f t="shared" si="2690"/>
        <v>0</v>
      </c>
      <c r="H9330" s="158"/>
      <c r="I9330" s="159">
        <f t="shared" si="2693"/>
        <v>8.2214999999999996E-2</v>
      </c>
      <c r="J9330" s="160"/>
      <c r="K9330" s="161">
        <f t="shared" si="2694"/>
        <v>82944</v>
      </c>
      <c r="L9330" s="250">
        <v>1</v>
      </c>
      <c r="M9330" s="163"/>
      <c r="N9330" s="278"/>
      <c r="O9330" s="280">
        <f t="shared" si="2691"/>
        <v>0</v>
      </c>
      <c r="P9330" s="166"/>
      <c r="Q9330" s="166">
        <f t="shared" si="2692"/>
        <v>0</v>
      </c>
      <c r="R9330" s="71"/>
      <c r="S9330" s="61"/>
      <c r="T9330" s="71"/>
      <c r="U9330" s="61"/>
      <c r="V9330" s="61"/>
      <c r="W9330" s="61"/>
      <c r="X9330" s="61"/>
      <c r="Y9330" s="61"/>
      <c r="Z9330" s="61"/>
      <c r="AA9330" s="61"/>
      <c r="AB9330" s="61"/>
      <c r="AC9330" s="61"/>
      <c r="AD9330" s="61"/>
      <c r="AE9330" s="61"/>
      <c r="AF9330" s="61"/>
      <c r="AG9330" s="61"/>
      <c r="AH9330" s="61"/>
      <c r="AI9330" s="61"/>
      <c r="AJ9330" s="61"/>
      <c r="AK9330" s="61"/>
      <c r="AL9330" s="61"/>
      <c r="AM9330" s="61"/>
      <c r="AN9330" s="61"/>
      <c r="AO9330" s="61"/>
    </row>
    <row r="9331" spans="1:41" s="136" customFormat="1" ht="31.5" x14ac:dyDescent="0.25">
      <c r="A9331" s="358"/>
      <c r="B9331" s="361"/>
      <c r="C9331" s="373"/>
      <c r="D9331" s="156" t="s">
        <v>429</v>
      </c>
      <c r="E9331" s="156" t="s">
        <v>28</v>
      </c>
      <c r="F9331" s="156" t="s">
        <v>439</v>
      </c>
      <c r="G9331" s="238">
        <f t="shared" si="2690"/>
        <v>0</v>
      </c>
      <c r="H9331" s="158"/>
      <c r="I9331" s="159">
        <f t="shared" si="2693"/>
        <v>8.2214999999999996E-2</v>
      </c>
      <c r="J9331" s="160"/>
      <c r="K9331" s="161">
        <f t="shared" si="2694"/>
        <v>82944</v>
      </c>
      <c r="L9331" s="250">
        <v>1</v>
      </c>
      <c r="M9331" s="163"/>
      <c r="N9331" s="278"/>
      <c r="O9331" s="280">
        <f t="shared" si="2691"/>
        <v>0</v>
      </c>
      <c r="P9331" s="166"/>
      <c r="Q9331" s="166">
        <f t="shared" si="2692"/>
        <v>0</v>
      </c>
      <c r="R9331" s="71"/>
      <c r="S9331" s="61"/>
      <c r="T9331" s="71"/>
      <c r="U9331" s="61"/>
      <c r="V9331" s="61"/>
      <c r="W9331" s="61"/>
      <c r="X9331" s="61"/>
      <c r="Y9331" s="61"/>
      <c r="Z9331" s="61"/>
      <c r="AA9331" s="61"/>
      <c r="AB9331" s="61"/>
      <c r="AC9331" s="61"/>
      <c r="AD9331" s="61"/>
      <c r="AE9331" s="61"/>
      <c r="AF9331" s="61"/>
      <c r="AG9331" s="61"/>
      <c r="AH9331" s="61"/>
      <c r="AI9331" s="61"/>
      <c r="AJ9331" s="61"/>
      <c r="AK9331" s="61"/>
      <c r="AL9331" s="61"/>
      <c r="AM9331" s="61"/>
      <c r="AN9331" s="61"/>
      <c r="AO9331" s="61"/>
    </row>
    <row r="9332" spans="1:41" s="136" customFormat="1" ht="31.5" x14ac:dyDescent="0.25">
      <c r="A9332" s="358"/>
      <c r="B9332" s="361"/>
      <c r="C9332" s="373"/>
      <c r="D9332" s="156" t="s">
        <v>110</v>
      </c>
      <c r="E9332" s="156" t="s">
        <v>28</v>
      </c>
      <c r="F9332" s="156" t="s">
        <v>439</v>
      </c>
      <c r="G9332" s="238">
        <f t="shared" si="2690"/>
        <v>0</v>
      </c>
      <c r="H9332" s="158"/>
      <c r="I9332" s="159">
        <f t="shared" si="2693"/>
        <v>8.2214999999999996E-2</v>
      </c>
      <c r="J9332" s="160"/>
      <c r="K9332" s="161">
        <f t="shared" si="2694"/>
        <v>82944</v>
      </c>
      <c r="L9332" s="250">
        <v>1</v>
      </c>
      <c r="M9332" s="163"/>
      <c r="N9332" s="278"/>
      <c r="O9332" s="280">
        <f t="shared" si="2691"/>
        <v>0</v>
      </c>
      <c r="P9332" s="166"/>
      <c r="Q9332" s="166">
        <f t="shared" si="2692"/>
        <v>0</v>
      </c>
      <c r="R9332" s="71"/>
      <c r="S9332" s="61"/>
      <c r="T9332" s="71"/>
      <c r="U9332" s="61"/>
      <c r="V9332" s="61"/>
      <c r="W9332" s="61"/>
      <c r="X9332" s="61"/>
      <c r="Y9332" s="61"/>
      <c r="Z9332" s="61"/>
      <c r="AA9332" s="61"/>
      <c r="AB9332" s="61"/>
      <c r="AC9332" s="61"/>
      <c r="AD9332" s="61"/>
      <c r="AE9332" s="61"/>
      <c r="AF9332" s="61"/>
      <c r="AG9332" s="61"/>
      <c r="AH9332" s="61"/>
      <c r="AI9332" s="61"/>
      <c r="AJ9332" s="61"/>
      <c r="AK9332" s="61"/>
      <c r="AL9332" s="61"/>
      <c r="AM9332" s="61"/>
      <c r="AN9332" s="61"/>
      <c r="AO9332" s="61"/>
    </row>
    <row r="9333" spans="1:41" s="136" customFormat="1" ht="31.5" x14ac:dyDescent="0.25">
      <c r="A9333" s="358"/>
      <c r="B9333" s="361"/>
      <c r="C9333" s="373"/>
      <c r="D9333" s="156" t="s">
        <v>112</v>
      </c>
      <c r="E9333" s="156" t="s">
        <v>28</v>
      </c>
      <c r="F9333" s="156" t="s">
        <v>439</v>
      </c>
      <c r="G9333" s="238">
        <f t="shared" si="2690"/>
        <v>0</v>
      </c>
      <c r="H9333" s="158"/>
      <c r="I9333" s="159">
        <f t="shared" si="2693"/>
        <v>8.2214999999999996E-2</v>
      </c>
      <c r="J9333" s="160"/>
      <c r="K9333" s="161">
        <f t="shared" si="2694"/>
        <v>82944</v>
      </c>
      <c r="L9333" s="250">
        <v>1</v>
      </c>
      <c r="M9333" s="163"/>
      <c r="N9333" s="278"/>
      <c r="O9333" s="280">
        <f t="shared" si="2691"/>
        <v>0</v>
      </c>
      <c r="P9333" s="166"/>
      <c r="Q9333" s="166">
        <f t="shared" si="2692"/>
        <v>0</v>
      </c>
      <c r="R9333" s="71"/>
      <c r="S9333" s="61"/>
      <c r="T9333" s="71"/>
      <c r="U9333" s="61"/>
      <c r="V9333" s="61"/>
      <c r="W9333" s="61"/>
      <c r="X9333" s="61"/>
      <c r="Y9333" s="61"/>
      <c r="Z9333" s="61"/>
      <c r="AA9333" s="61"/>
      <c r="AB9333" s="61"/>
      <c r="AC9333" s="61"/>
      <c r="AD9333" s="61"/>
      <c r="AE9333" s="61"/>
      <c r="AF9333" s="61"/>
      <c r="AG9333" s="61"/>
      <c r="AH9333" s="61"/>
      <c r="AI9333" s="61"/>
      <c r="AJ9333" s="61"/>
      <c r="AK9333" s="61"/>
      <c r="AL9333" s="61"/>
      <c r="AM9333" s="61"/>
      <c r="AN9333" s="61"/>
      <c r="AO9333" s="61"/>
    </row>
    <row r="9334" spans="1:41" s="136" customFormat="1" ht="31.5" x14ac:dyDescent="0.25">
      <c r="A9334" s="358"/>
      <c r="B9334" s="361"/>
      <c r="C9334" s="373"/>
      <c r="D9334" s="156" t="s">
        <v>111</v>
      </c>
      <c r="E9334" s="156" t="s">
        <v>28</v>
      </c>
      <c r="F9334" s="156" t="s">
        <v>439</v>
      </c>
      <c r="G9334" s="238">
        <f t="shared" si="2690"/>
        <v>0</v>
      </c>
      <c r="H9334" s="158"/>
      <c r="I9334" s="159">
        <f t="shared" si="2693"/>
        <v>8.2214999999999996E-2</v>
      </c>
      <c r="J9334" s="160"/>
      <c r="K9334" s="161">
        <f t="shared" si="2694"/>
        <v>82944</v>
      </c>
      <c r="L9334" s="250">
        <v>1</v>
      </c>
      <c r="M9334" s="163"/>
      <c r="N9334" s="278"/>
      <c r="O9334" s="280">
        <f t="shared" si="2691"/>
        <v>0</v>
      </c>
      <c r="P9334" s="166"/>
      <c r="Q9334" s="166">
        <f t="shared" si="2692"/>
        <v>0</v>
      </c>
      <c r="R9334" s="71"/>
      <c r="S9334" s="61"/>
      <c r="T9334" s="71"/>
      <c r="U9334" s="61"/>
      <c r="V9334" s="61"/>
      <c r="W9334" s="61"/>
      <c r="X9334" s="61"/>
      <c r="Y9334" s="61"/>
      <c r="Z9334" s="61"/>
      <c r="AA9334" s="61"/>
      <c r="AB9334" s="61"/>
      <c r="AC9334" s="61"/>
      <c r="AD9334" s="61"/>
      <c r="AE9334" s="61"/>
      <c r="AF9334" s="61"/>
      <c r="AG9334" s="61"/>
      <c r="AH9334" s="61"/>
      <c r="AI9334" s="61"/>
      <c r="AJ9334" s="61"/>
      <c r="AK9334" s="61"/>
      <c r="AL9334" s="61"/>
      <c r="AM9334" s="61"/>
      <c r="AN9334" s="61"/>
      <c r="AO9334" s="61"/>
    </row>
    <row r="9335" spans="1:41" s="136" customFormat="1" ht="31.5" x14ac:dyDescent="0.25">
      <c r="A9335" s="358"/>
      <c r="B9335" s="361"/>
      <c r="C9335" s="374"/>
      <c r="D9335" s="156" t="s">
        <v>438</v>
      </c>
      <c r="E9335" s="156" t="s">
        <v>28</v>
      </c>
      <c r="F9335" s="156" t="s">
        <v>439</v>
      </c>
      <c r="G9335" s="238">
        <f t="shared" si="2690"/>
        <v>0</v>
      </c>
      <c r="H9335" s="158"/>
      <c r="I9335" s="159">
        <f t="shared" si="2693"/>
        <v>8.2214999999999996E-2</v>
      </c>
      <c r="J9335" s="160"/>
      <c r="K9335" s="161">
        <f t="shared" si="2694"/>
        <v>82944</v>
      </c>
      <c r="L9335" s="250">
        <v>1</v>
      </c>
      <c r="M9335" s="163"/>
      <c r="N9335" s="278"/>
      <c r="O9335" s="280">
        <f t="shared" si="2691"/>
        <v>0</v>
      </c>
      <c r="P9335" s="166"/>
      <c r="Q9335" s="166">
        <f t="shared" si="2692"/>
        <v>0</v>
      </c>
      <c r="R9335" s="71"/>
      <c r="S9335" s="61"/>
      <c r="T9335" s="71"/>
      <c r="U9335" s="61"/>
      <c r="V9335" s="61"/>
      <c r="W9335" s="61"/>
      <c r="X9335" s="61"/>
      <c r="Y9335" s="61"/>
      <c r="Z9335" s="61"/>
      <c r="AA9335" s="61"/>
      <c r="AB9335" s="61"/>
      <c r="AC9335" s="61"/>
      <c r="AD9335" s="61"/>
      <c r="AE9335" s="61"/>
      <c r="AF9335" s="61"/>
      <c r="AG9335" s="61"/>
      <c r="AH9335" s="61"/>
      <c r="AI9335" s="61"/>
      <c r="AJ9335" s="61"/>
      <c r="AK9335" s="61"/>
      <c r="AL9335" s="61"/>
      <c r="AM9335" s="61"/>
      <c r="AN9335" s="61"/>
      <c r="AO9335" s="61"/>
    </row>
    <row r="9336" spans="1:41" s="61" customFormat="1" x14ac:dyDescent="0.25">
      <c r="A9336" s="358"/>
      <c r="B9336" s="361"/>
      <c r="C9336" s="245" t="s">
        <v>299</v>
      </c>
      <c r="D9336" s="240"/>
      <c r="E9336" s="240"/>
      <c r="F9336" s="181"/>
      <c r="G9336" s="227"/>
      <c r="H9336" s="241"/>
      <c r="I9336" s="206"/>
      <c r="J9336" s="228"/>
      <c r="K9336" s="207"/>
      <c r="L9336" s="257"/>
      <c r="M9336" s="209"/>
      <c r="N9336" s="290"/>
      <c r="O9336" s="279">
        <f>SUM(O9324:O9335)</f>
        <v>2.7737999999999999E-2</v>
      </c>
      <c r="P9336" s="166"/>
      <c r="Q9336" s="166">
        <f>O9336*K9336</f>
        <v>0</v>
      </c>
      <c r="R9336" s="71"/>
    </row>
    <row r="9337" spans="1:41" s="61" customFormat="1" ht="47.25" x14ac:dyDescent="0.25">
      <c r="A9337" s="358"/>
      <c r="B9337" s="361"/>
      <c r="C9337" s="221" t="s">
        <v>434</v>
      </c>
      <c r="D9337" s="156" t="s">
        <v>436</v>
      </c>
      <c r="E9337" s="156" t="s">
        <v>28</v>
      </c>
      <c r="F9337" s="156" t="s">
        <v>437</v>
      </c>
      <c r="G9337" s="238">
        <f>MROUND(H9337*L9337*I9337/K9337,0.00000000001)</f>
        <v>0</v>
      </c>
      <c r="H9337" s="242">
        <f>$H$2148</f>
        <v>26</v>
      </c>
      <c r="I9337" s="159">
        <f>I9335</f>
        <v>8.2214999999999996E-2</v>
      </c>
      <c r="J9337" s="160"/>
      <c r="K9337" s="161">
        <f>K9335</f>
        <v>82944</v>
      </c>
      <c r="L9337" s="162"/>
      <c r="M9337" s="163"/>
      <c r="N9337" s="164">
        <f>$N$5536</f>
        <v>2280.2800000000002</v>
      </c>
      <c r="O9337" s="165">
        <f>MROUND(G9337*N9337,0.000001)</f>
        <v>0</v>
      </c>
      <c r="P9337" s="166"/>
      <c r="Q9337" s="166">
        <f>O9337*K9337</f>
        <v>0</v>
      </c>
      <c r="R9337" s="71"/>
    </row>
    <row r="9338" spans="1:41" s="61" customFormat="1" x14ac:dyDescent="0.25">
      <c r="A9338" s="358"/>
      <c r="B9338" s="361"/>
      <c r="C9338" s="218" t="s">
        <v>435</v>
      </c>
      <c r="D9338" s="240"/>
      <c r="E9338" s="240"/>
      <c r="F9338" s="240"/>
      <c r="G9338" s="251"/>
      <c r="H9338" s="241"/>
      <c r="I9338" s="206"/>
      <c r="J9338" s="228"/>
      <c r="K9338" s="207"/>
      <c r="L9338" s="229"/>
      <c r="M9338" s="209"/>
      <c r="N9338" s="210"/>
      <c r="O9338" s="198">
        <f>SUM(O9337)</f>
        <v>0</v>
      </c>
      <c r="P9338" s="166"/>
      <c r="Q9338" s="166"/>
      <c r="R9338" s="71"/>
    </row>
    <row r="9339" spans="1:41" s="61" customFormat="1" ht="110.25" x14ac:dyDescent="0.25">
      <c r="A9339" s="358"/>
      <c r="B9339" s="361"/>
      <c r="C9339" s="221" t="s">
        <v>82</v>
      </c>
      <c r="D9339" s="156" t="s">
        <v>46</v>
      </c>
      <c r="E9339" s="156" t="s">
        <v>54</v>
      </c>
      <c r="F9339" s="156" t="s">
        <v>285</v>
      </c>
      <c r="G9339" s="238">
        <f>MROUND(H9339*L9339*I9339/K9339,0.00000000001)</f>
        <v>2.4912131099999999E-3</v>
      </c>
      <c r="H9339" s="158">
        <f>H9031</f>
        <v>228.48206225686181</v>
      </c>
      <c r="I9339" s="159">
        <f>I9325</f>
        <v>8.2214999999999996E-2</v>
      </c>
      <c r="J9339" s="160"/>
      <c r="K9339" s="161">
        <f>K9325</f>
        <v>82944</v>
      </c>
      <c r="L9339" s="250">
        <f>$L$2150</f>
        <v>11</v>
      </c>
      <c r="M9339" s="163" t="str">
        <f>CONCATENATE(H9339," ",F9339,"*",L9339,"автобус","*",I9339,"/",K9339,"чел/час")</f>
        <v>228,482062256862 л бензина АИ 92 (12,5л/день(зимой)*20дней*7мес+10л/день(летом)*20дней*4мес)*11автобус*0,082215/82944чел/час</v>
      </c>
      <c r="N9339" s="278">
        <f>$N$8927</f>
        <v>59.28728000000001</v>
      </c>
      <c r="O9339" s="280">
        <f t="shared" ref="O9339:O9341" si="2695">MROUND(N9339*G9339,0.000001)</f>
        <v>0.14769699999999999</v>
      </c>
      <c r="P9339" s="166"/>
      <c r="Q9339" s="166">
        <f>O9339*K9339</f>
        <v>12250.579968</v>
      </c>
      <c r="R9339" s="71"/>
    </row>
    <row r="9340" spans="1:41" s="61" customFormat="1" ht="47.25" x14ac:dyDescent="0.25">
      <c r="A9340" s="358"/>
      <c r="B9340" s="361"/>
      <c r="C9340" s="364" t="s">
        <v>118</v>
      </c>
      <c r="D9340" s="156" t="s">
        <v>47</v>
      </c>
      <c r="E9340" s="156" t="s">
        <v>28</v>
      </c>
      <c r="F9340" s="156" t="s">
        <v>239</v>
      </c>
      <c r="G9340" s="238">
        <f>MROUND(H9340*L9340*I9340/K9340,0.00000000001)</f>
        <v>1.982422E-5</v>
      </c>
      <c r="H9340" s="158">
        <f>H8928</f>
        <v>20</v>
      </c>
      <c r="I9340" s="159">
        <f>I9339</f>
        <v>8.2214999999999996E-2</v>
      </c>
      <c r="J9340" s="160"/>
      <c r="K9340" s="161">
        <f>K9339</f>
        <v>82944</v>
      </c>
      <c r="L9340" s="250">
        <v>1</v>
      </c>
      <c r="M9340" s="163" t="str">
        <f>CONCATENATE(H9340," ",F9340,"*",I9340,"/",K9340,"чел/час")</f>
        <v>20 манометров (потребность учреждений) *0,082215/82944чел/час</v>
      </c>
      <c r="N9340" s="278">
        <f>N8928</f>
        <v>707.09500000000003</v>
      </c>
      <c r="O9340" s="280">
        <f t="shared" si="2695"/>
        <v>1.4017999999999999E-2</v>
      </c>
      <c r="P9340" s="166"/>
      <c r="Q9340" s="166">
        <f>O9340*K9340</f>
        <v>1162.7089919999999</v>
      </c>
      <c r="R9340" s="71"/>
    </row>
    <row r="9341" spans="1:41" s="61" customFormat="1" ht="47.25" x14ac:dyDescent="0.25">
      <c r="A9341" s="358"/>
      <c r="B9341" s="361"/>
      <c r="C9341" s="364"/>
      <c r="D9341" s="255" t="s">
        <v>113</v>
      </c>
      <c r="E9341" s="156" t="s">
        <v>28</v>
      </c>
      <c r="F9341" s="156" t="s">
        <v>240</v>
      </c>
      <c r="G9341" s="238">
        <f>MROUND(H9341*L9341*I9341/K9341,0.00000000001)</f>
        <v>9.9121089999999995E-5</v>
      </c>
      <c r="H9341" s="158">
        <v>100</v>
      </c>
      <c r="I9341" s="159">
        <f>I9340</f>
        <v>8.2214999999999996E-2</v>
      </c>
      <c r="J9341" s="160"/>
      <c r="K9341" s="161">
        <f>K9340</f>
        <v>82944</v>
      </c>
      <c r="L9341" s="250">
        <v>1</v>
      </c>
      <c r="M9341" s="163" t="str">
        <f>CONCATENATE(H9341," ",F9341,"*",I9341,"/",K9341,"чел/час")</f>
        <v>100 светильников (потребность учреждений)*0,082215/82944чел/час</v>
      </c>
      <c r="N9341" s="278">
        <f>N8929</f>
        <v>115.61000000000001</v>
      </c>
      <c r="O9341" s="280">
        <f t="shared" si="2695"/>
        <v>1.1458999999999999E-2</v>
      </c>
      <c r="P9341" s="166"/>
      <c r="Q9341" s="166">
        <f>O9341*K9341</f>
        <v>950.45529599999986</v>
      </c>
      <c r="R9341" s="71"/>
    </row>
    <row r="9342" spans="1:41" s="109" customFormat="1" x14ac:dyDescent="0.25">
      <c r="A9342" s="359"/>
      <c r="B9342" s="362"/>
      <c r="C9342" s="218" t="s">
        <v>301</v>
      </c>
      <c r="D9342" s="256"/>
      <c r="E9342" s="240"/>
      <c r="F9342" s="240"/>
      <c r="G9342" s="227"/>
      <c r="H9342" s="241"/>
      <c r="I9342" s="206"/>
      <c r="J9342" s="228"/>
      <c r="K9342" s="207"/>
      <c r="L9342" s="257"/>
      <c r="M9342" s="209"/>
      <c r="N9342" s="281"/>
      <c r="O9342" s="279">
        <f>O9340+O9341</f>
        <v>2.5477E-2</v>
      </c>
      <c r="P9342" s="267"/>
      <c r="Q9342" s="166"/>
      <c r="R9342" s="71"/>
      <c r="S9342" s="62"/>
      <c r="T9342" s="62"/>
      <c r="U9342" s="62"/>
      <c r="V9342" s="62"/>
      <c r="W9342" s="62"/>
      <c r="X9342" s="62"/>
      <c r="Y9342" s="62"/>
      <c r="Z9342" s="62"/>
      <c r="AA9342" s="62"/>
      <c r="AB9342" s="62"/>
      <c r="AC9342" s="62"/>
      <c r="AD9342" s="62"/>
      <c r="AE9342" s="62"/>
      <c r="AF9342" s="62"/>
      <c r="AG9342" s="62"/>
      <c r="AH9342" s="62"/>
      <c r="AI9342" s="62"/>
      <c r="AJ9342" s="62"/>
      <c r="AK9342" s="62"/>
      <c r="AL9342" s="62"/>
      <c r="AM9342" s="62"/>
      <c r="AN9342" s="62"/>
      <c r="AO9342" s="62"/>
    </row>
    <row r="9343" spans="1:41" s="108" customFormat="1" x14ac:dyDescent="0.25">
      <c r="A9343" s="357" t="str">
        <f>школы!$B$37</f>
        <v>Реализация дополнительных общеразвивающих программ (социально-гуманитпрная направленность)</v>
      </c>
      <c r="B9343" s="360" t="str">
        <f>школы!$A$37</f>
        <v>801012О.99.0.ББ57АЖ24000</v>
      </c>
      <c r="C9343" s="194"/>
      <c r="D9343" s="363" t="s">
        <v>15</v>
      </c>
      <c r="E9343" s="363"/>
      <c r="F9343" s="363"/>
      <c r="G9343" s="363"/>
      <c r="H9343" s="195"/>
      <c r="I9343" s="195"/>
      <c r="J9343" s="195"/>
      <c r="K9343" s="195"/>
      <c r="L9343" s="196"/>
      <c r="M9343" s="197"/>
      <c r="N9343" s="278"/>
      <c r="O9343" s="279">
        <f>O9344+O9348</f>
        <v>186.97568477999999</v>
      </c>
      <c r="P9343" s="166"/>
      <c r="Q9343" s="166">
        <f t="shared" ref="Q9343:Q9360" si="2696">O9343*K9343</f>
        <v>0</v>
      </c>
      <c r="R9343" s="71"/>
      <c r="S9343" s="61"/>
      <c r="T9343" s="61"/>
      <c r="U9343" s="61"/>
      <c r="V9343" s="61"/>
      <c r="W9343" s="61"/>
      <c r="X9343" s="61"/>
      <c r="Y9343" s="61"/>
      <c r="Z9343" s="61"/>
      <c r="AA9343" s="61"/>
      <c r="AB9343" s="61"/>
      <c r="AC9343" s="61"/>
      <c r="AD9343" s="61"/>
      <c r="AE9343" s="61"/>
      <c r="AF9343" s="61"/>
      <c r="AG9343" s="61"/>
      <c r="AH9343" s="61"/>
      <c r="AI9343" s="61"/>
      <c r="AJ9343" s="61"/>
      <c r="AK9343" s="61"/>
      <c r="AL9343" s="61"/>
      <c r="AM9343" s="61"/>
      <c r="AN9343" s="61"/>
      <c r="AO9343" s="61"/>
    </row>
    <row r="9344" spans="1:41" s="108" customFormat="1" x14ac:dyDescent="0.25">
      <c r="A9344" s="358"/>
      <c r="B9344" s="361"/>
      <c r="C9344" s="194"/>
      <c r="D9344" s="350" t="s">
        <v>62</v>
      </c>
      <c r="E9344" s="350"/>
      <c r="F9344" s="350"/>
      <c r="G9344" s="350"/>
      <c r="H9344" s="195"/>
      <c r="I9344" s="195"/>
      <c r="J9344" s="195"/>
      <c r="K9344" s="195"/>
      <c r="L9344" s="196"/>
      <c r="M9344" s="197"/>
      <c r="N9344" s="278"/>
      <c r="O9344" s="279">
        <f>O9345+O9346</f>
        <v>185.76596178</v>
      </c>
      <c r="P9344" s="166"/>
      <c r="Q9344" s="166">
        <f t="shared" si="2696"/>
        <v>0</v>
      </c>
      <c r="R9344" s="71"/>
      <c r="S9344" s="61"/>
      <c r="T9344" s="61"/>
      <c r="U9344" s="61"/>
      <c r="V9344" s="61"/>
      <c r="W9344" s="61"/>
      <c r="X9344" s="61"/>
      <c r="Y9344" s="61"/>
      <c r="Z9344" s="61"/>
      <c r="AA9344" s="61"/>
      <c r="AB9344" s="61"/>
      <c r="AC9344" s="61"/>
      <c r="AD9344" s="61"/>
      <c r="AE9344" s="61"/>
      <c r="AF9344" s="61"/>
      <c r="AG9344" s="61"/>
      <c r="AH9344" s="61"/>
      <c r="AI9344" s="61"/>
      <c r="AJ9344" s="61"/>
      <c r="AK9344" s="61"/>
      <c r="AL9344" s="61"/>
      <c r="AM9344" s="61"/>
      <c r="AN9344" s="61"/>
      <c r="AO9344" s="61"/>
    </row>
    <row r="9345" spans="1:41" s="61" customFormat="1" ht="31.5" x14ac:dyDescent="0.25">
      <c r="A9345" s="358"/>
      <c r="B9345" s="361"/>
      <c r="C9345" s="194">
        <v>211</v>
      </c>
      <c r="D9345" s="194" t="s">
        <v>86</v>
      </c>
      <c r="E9345" s="199" t="s">
        <v>95</v>
      </c>
      <c r="F9345" s="199" t="s">
        <v>95</v>
      </c>
      <c r="G9345" s="238">
        <f>MROUND(H9345*L9345*I9345/K9345,0.00000000001)</f>
        <v>6.0195462099999998E-3</v>
      </c>
      <c r="H9345" s="201">
        <f>H8829</f>
        <v>368.4</v>
      </c>
      <c r="I9345" s="159">
        <f>школы!$K$37+школы!$K$38</f>
        <v>0.19555899999999998</v>
      </c>
      <c r="J9345" s="159"/>
      <c r="K9345" s="161">
        <f>школы!$G$37+школы!$G$38</f>
        <v>143620</v>
      </c>
      <c r="L9345" s="202">
        <v>12</v>
      </c>
      <c r="M9345" s="163" t="str">
        <f>CONCATENATE(H9345," ",F9345," ","в мес.","*",L9345,"мес.","*",I9345,"/",K9345,"чел/час")</f>
        <v>368,4 шт.ед в мес.*12мес.*0,195559/143620чел/час</v>
      </c>
      <c r="N9345" s="278">
        <f>N8829</f>
        <v>23702.349798678973</v>
      </c>
      <c r="O9345" s="280">
        <f>MROUND(N9345*G9345,0.000001)</f>
        <v>142.67739</v>
      </c>
      <c r="P9345" s="166"/>
      <c r="Q9345" s="166">
        <f t="shared" si="2696"/>
        <v>20491326.751800001</v>
      </c>
      <c r="R9345" s="71"/>
    </row>
    <row r="9346" spans="1:41" s="61" customFormat="1" x14ac:dyDescent="0.25">
      <c r="A9346" s="358"/>
      <c r="B9346" s="361"/>
      <c r="C9346" s="194">
        <v>213</v>
      </c>
      <c r="D9346" s="194" t="s">
        <v>87</v>
      </c>
      <c r="E9346" s="194" t="s">
        <v>88</v>
      </c>
      <c r="F9346" s="194"/>
      <c r="G9346" s="211">
        <v>30.2</v>
      </c>
      <c r="H9346" s="159"/>
      <c r="I9346" s="282">
        <f>I9345</f>
        <v>0.19555899999999998</v>
      </c>
      <c r="J9346" s="159"/>
      <c r="K9346" s="161">
        <f>K9345</f>
        <v>143620</v>
      </c>
      <c r="L9346" s="202"/>
      <c r="M9346" s="212"/>
      <c r="N9346" s="278"/>
      <c r="O9346" s="280">
        <f>MROUND(O9345*0.302,0.000000001)</f>
        <v>43.088571780000002</v>
      </c>
      <c r="P9346" s="166"/>
      <c r="Q9346" s="166">
        <f t="shared" si="2696"/>
        <v>6188380.6790436003</v>
      </c>
      <c r="R9346" s="71"/>
    </row>
    <row r="9347" spans="1:41" s="108" customFormat="1" x14ac:dyDescent="0.25">
      <c r="A9347" s="358"/>
      <c r="B9347" s="361"/>
      <c r="C9347" s="194"/>
      <c r="D9347" s="194"/>
      <c r="E9347" s="194"/>
      <c r="F9347" s="194"/>
      <c r="G9347" s="217"/>
      <c r="H9347" s="195"/>
      <c r="I9347" s="159"/>
      <c r="J9347" s="195"/>
      <c r="K9347" s="161"/>
      <c r="L9347" s="196"/>
      <c r="M9347" s="197"/>
      <c r="N9347" s="278"/>
      <c r="O9347" s="280"/>
      <c r="P9347" s="166"/>
      <c r="Q9347" s="166">
        <f t="shared" si="2696"/>
        <v>0</v>
      </c>
      <c r="R9347" s="71"/>
      <c r="S9347" s="61"/>
      <c r="T9347" s="61"/>
      <c r="U9347" s="61"/>
      <c r="V9347" s="61"/>
      <c r="W9347" s="61"/>
      <c r="X9347" s="61"/>
      <c r="Y9347" s="61"/>
      <c r="Z9347" s="61"/>
      <c r="AA9347" s="61"/>
      <c r="AB9347" s="61"/>
      <c r="AC9347" s="61"/>
      <c r="AD9347" s="61"/>
      <c r="AE9347" s="61"/>
      <c r="AF9347" s="61"/>
      <c r="AG9347" s="61"/>
      <c r="AH9347" s="61"/>
      <c r="AI9347" s="61"/>
      <c r="AJ9347" s="61"/>
      <c r="AK9347" s="61"/>
      <c r="AL9347" s="61"/>
      <c r="AM9347" s="61"/>
      <c r="AN9347" s="61"/>
      <c r="AO9347" s="61"/>
    </row>
    <row r="9348" spans="1:41" s="108" customFormat="1" x14ac:dyDescent="0.25">
      <c r="A9348" s="358"/>
      <c r="B9348" s="361"/>
      <c r="C9348" s="194"/>
      <c r="D9348" s="356" t="s">
        <v>63</v>
      </c>
      <c r="E9348" s="356"/>
      <c r="F9348" s="356"/>
      <c r="G9348" s="356"/>
      <c r="H9348" s="195"/>
      <c r="I9348" s="159"/>
      <c r="J9348" s="195"/>
      <c r="K9348" s="161"/>
      <c r="L9348" s="196"/>
      <c r="M9348" s="197"/>
      <c r="N9348" s="278"/>
      <c r="O9348" s="280">
        <f>O9349</f>
        <v>1.2097229999999999</v>
      </c>
      <c r="P9348" s="166"/>
      <c r="Q9348" s="166">
        <f t="shared" si="2696"/>
        <v>0</v>
      </c>
      <c r="R9348" s="71"/>
      <c r="S9348" s="61"/>
      <c r="T9348" s="61"/>
      <c r="U9348" s="61"/>
      <c r="V9348" s="61"/>
      <c r="W9348" s="61"/>
      <c r="X9348" s="61"/>
      <c r="Y9348" s="61"/>
      <c r="Z9348" s="61"/>
      <c r="AA9348" s="61"/>
      <c r="AB9348" s="61"/>
      <c r="AC9348" s="61"/>
      <c r="AD9348" s="61"/>
      <c r="AE9348" s="61"/>
      <c r="AF9348" s="61"/>
      <c r="AG9348" s="61"/>
      <c r="AH9348" s="61"/>
      <c r="AI9348" s="61"/>
      <c r="AJ9348" s="61"/>
      <c r="AK9348" s="61"/>
      <c r="AL9348" s="61"/>
      <c r="AM9348" s="61"/>
      <c r="AN9348" s="61"/>
      <c r="AO9348" s="61"/>
    </row>
    <row r="9349" spans="1:41" s="61" customFormat="1" x14ac:dyDescent="0.25">
      <c r="A9349" s="358"/>
      <c r="B9349" s="361"/>
      <c r="C9349" s="194">
        <v>346</v>
      </c>
      <c r="D9349" s="194" t="s">
        <v>259</v>
      </c>
      <c r="E9349" s="194" t="s">
        <v>260</v>
      </c>
      <c r="F9349" s="194" t="s">
        <v>261</v>
      </c>
      <c r="G9349" s="238">
        <f>MROUND(H9349*L9349*I9349/K9349,0.000000000001)</f>
        <v>1.6503099010000001E-3</v>
      </c>
      <c r="H9349" s="283">
        <f>H8834</f>
        <v>1212</v>
      </c>
      <c r="I9349" s="282">
        <f>I9346</f>
        <v>0.19555899999999998</v>
      </c>
      <c r="J9349" s="195"/>
      <c r="K9349" s="161">
        <f>K9346</f>
        <v>143620</v>
      </c>
      <c r="L9349" s="196">
        <v>1</v>
      </c>
      <c r="M9349" s="163" t="str">
        <f>CONCATENATE(H9349," ",F9349,"*",I9349,"/",K9349,"чел/час")</f>
        <v>1212 упаковок*0,195559/143620чел/час</v>
      </c>
      <c r="N9349" s="278">
        <f>N8834</f>
        <v>733.02792904290436</v>
      </c>
      <c r="O9349" s="280">
        <f>MROUND(N9349*G9349,0.000001)</f>
        <v>1.2097229999999999</v>
      </c>
      <c r="P9349" s="166"/>
      <c r="Q9349" s="166">
        <f t="shared" si="2696"/>
        <v>173740.41725999999</v>
      </c>
      <c r="R9349" s="71"/>
    </row>
    <row r="9350" spans="1:41" s="108" customFormat="1" x14ac:dyDescent="0.25">
      <c r="A9350" s="358"/>
      <c r="B9350" s="361"/>
      <c r="C9350" s="194"/>
      <c r="D9350" s="350" t="s">
        <v>64</v>
      </c>
      <c r="E9350" s="350"/>
      <c r="F9350" s="350"/>
      <c r="G9350" s="350"/>
      <c r="H9350" s="195"/>
      <c r="I9350" s="159"/>
      <c r="J9350" s="195"/>
      <c r="K9350" s="161"/>
      <c r="L9350" s="196"/>
      <c r="M9350" s="197"/>
      <c r="N9350" s="278"/>
      <c r="O9350" s="280"/>
      <c r="P9350" s="166"/>
      <c r="Q9350" s="166">
        <f t="shared" si="2696"/>
        <v>0</v>
      </c>
      <c r="R9350" s="71"/>
      <c r="S9350" s="61"/>
      <c r="T9350" s="61"/>
      <c r="U9350" s="61"/>
      <c r="V9350" s="61"/>
      <c r="W9350" s="61"/>
      <c r="X9350" s="61"/>
      <c r="Y9350" s="61"/>
      <c r="Z9350" s="61"/>
      <c r="AA9350" s="61"/>
      <c r="AB9350" s="61"/>
      <c r="AC9350" s="61"/>
      <c r="AD9350" s="61"/>
      <c r="AE9350" s="61"/>
      <c r="AF9350" s="61"/>
      <c r="AG9350" s="61"/>
      <c r="AH9350" s="61"/>
      <c r="AI9350" s="61"/>
      <c r="AJ9350" s="61"/>
      <c r="AK9350" s="61"/>
      <c r="AL9350" s="61"/>
      <c r="AM9350" s="61"/>
      <c r="AN9350" s="61"/>
      <c r="AO9350" s="61"/>
    </row>
    <row r="9351" spans="1:41" s="108" customFormat="1" x14ac:dyDescent="0.25">
      <c r="A9351" s="358"/>
      <c r="B9351" s="361"/>
      <c r="C9351" s="194"/>
      <c r="D9351" s="194"/>
      <c r="E9351" s="194"/>
      <c r="F9351" s="194"/>
      <c r="G9351" s="217"/>
      <c r="H9351" s="195"/>
      <c r="I9351" s="159"/>
      <c r="J9351" s="195"/>
      <c r="K9351" s="161"/>
      <c r="L9351" s="196"/>
      <c r="M9351" s="197"/>
      <c r="N9351" s="278"/>
      <c r="O9351" s="280"/>
      <c r="P9351" s="166"/>
      <c r="Q9351" s="166">
        <f t="shared" si="2696"/>
        <v>0</v>
      </c>
      <c r="R9351" s="71"/>
      <c r="S9351" s="61"/>
      <c r="T9351" s="61"/>
      <c r="U9351" s="61"/>
      <c r="V9351" s="61"/>
      <c r="W9351" s="61"/>
      <c r="X9351" s="61"/>
      <c r="Y9351" s="61"/>
      <c r="Z9351" s="61"/>
      <c r="AA9351" s="61"/>
      <c r="AB9351" s="61"/>
      <c r="AC9351" s="61"/>
      <c r="AD9351" s="61"/>
      <c r="AE9351" s="61"/>
      <c r="AF9351" s="61"/>
      <c r="AG9351" s="61"/>
      <c r="AH9351" s="61"/>
      <c r="AI9351" s="61"/>
      <c r="AJ9351" s="61"/>
      <c r="AK9351" s="61"/>
      <c r="AL9351" s="61"/>
      <c r="AM9351" s="61"/>
      <c r="AN9351" s="61"/>
      <c r="AO9351" s="61"/>
    </row>
    <row r="9352" spans="1:41" s="108" customFormat="1" x14ac:dyDescent="0.25">
      <c r="A9352" s="358"/>
      <c r="B9352" s="361"/>
      <c r="C9352" s="194"/>
      <c r="D9352" s="355" t="s">
        <v>5</v>
      </c>
      <c r="E9352" s="355"/>
      <c r="F9352" s="355"/>
      <c r="G9352" s="355"/>
      <c r="H9352" s="195"/>
      <c r="I9352" s="159"/>
      <c r="J9352" s="195"/>
      <c r="K9352" s="161"/>
      <c r="L9352" s="196"/>
      <c r="M9352" s="197"/>
      <c r="N9352" s="278"/>
      <c r="O9352" s="279">
        <f>O9353+O9362+O9373+O9375+O9386+O9382</f>
        <v>31.603104139999996</v>
      </c>
      <c r="P9352" s="166"/>
      <c r="Q9352" s="166">
        <f t="shared" si="2696"/>
        <v>0</v>
      </c>
      <c r="R9352" s="71"/>
      <c r="S9352" s="61"/>
      <c r="T9352" s="61"/>
      <c r="U9352" s="61"/>
      <c r="V9352" s="61"/>
      <c r="W9352" s="61"/>
      <c r="X9352" s="61"/>
      <c r="Y9352" s="61"/>
      <c r="Z9352" s="61"/>
      <c r="AA9352" s="61"/>
      <c r="AB9352" s="61"/>
      <c r="AC9352" s="61"/>
      <c r="AD9352" s="61"/>
      <c r="AE9352" s="61"/>
      <c r="AF9352" s="61"/>
      <c r="AG9352" s="61"/>
      <c r="AH9352" s="61"/>
      <c r="AI9352" s="61"/>
      <c r="AJ9352" s="61"/>
      <c r="AK9352" s="61"/>
      <c r="AL9352" s="61"/>
      <c r="AM9352" s="61"/>
      <c r="AN9352" s="61"/>
      <c r="AO9352" s="61"/>
    </row>
    <row r="9353" spans="1:41" s="108" customFormat="1" x14ac:dyDescent="0.25">
      <c r="A9353" s="358"/>
      <c r="B9353" s="361"/>
      <c r="C9353" s="221" t="s">
        <v>70</v>
      </c>
      <c r="D9353" s="355" t="s">
        <v>6</v>
      </c>
      <c r="E9353" s="355"/>
      <c r="F9353" s="355"/>
      <c r="G9353" s="355"/>
      <c r="H9353" s="189"/>
      <c r="I9353" s="159"/>
      <c r="J9353" s="189"/>
      <c r="K9353" s="161"/>
      <c r="L9353" s="190"/>
      <c r="M9353" s="197"/>
      <c r="N9353" s="278"/>
      <c r="O9353" s="279">
        <f>O9354+O9355+O9356+O9357+O9358+O9359+O9360</f>
        <v>9.0547929999999965</v>
      </c>
      <c r="P9353" s="166"/>
      <c r="Q9353" s="166">
        <f t="shared" si="2696"/>
        <v>0</v>
      </c>
      <c r="R9353" s="71"/>
      <c r="S9353" s="61"/>
      <c r="T9353" s="61"/>
      <c r="U9353" s="61"/>
      <c r="V9353" s="61"/>
      <c r="W9353" s="61"/>
      <c r="X9353" s="61"/>
      <c r="Y9353" s="61"/>
      <c r="Z9353" s="61"/>
      <c r="AA9353" s="61"/>
      <c r="AB9353" s="61"/>
      <c r="AC9353" s="61"/>
      <c r="AD9353" s="61"/>
      <c r="AE9353" s="61"/>
      <c r="AF9353" s="61"/>
      <c r="AG9353" s="61"/>
      <c r="AH9353" s="61"/>
      <c r="AI9353" s="61"/>
      <c r="AJ9353" s="61"/>
      <c r="AK9353" s="61"/>
      <c r="AL9353" s="61"/>
      <c r="AM9353" s="61"/>
      <c r="AN9353" s="61"/>
      <c r="AO9353" s="61"/>
    </row>
    <row r="9354" spans="1:41" s="61" customFormat="1" ht="31.5" x14ac:dyDescent="0.25">
      <c r="A9354" s="358"/>
      <c r="B9354" s="361"/>
      <c r="C9354" s="221" t="s">
        <v>72</v>
      </c>
      <c r="D9354" s="222" t="s">
        <v>7</v>
      </c>
      <c r="E9354" s="223" t="s">
        <v>8</v>
      </c>
      <c r="F9354" s="223" t="s">
        <v>8</v>
      </c>
      <c r="G9354" s="238">
        <f t="shared" ref="G9354:G9360" si="2697">MROUND(H9354*L9354*I9354/K9354,0.000000000001)</f>
        <v>0.15394741221700001</v>
      </c>
      <c r="H9354" s="160">
        <f>H8840</f>
        <v>113060.13705633247</v>
      </c>
      <c r="I9354" s="282">
        <f>I9346</f>
        <v>0.19555899999999998</v>
      </c>
      <c r="J9354" s="160"/>
      <c r="K9354" s="161">
        <f>K9346</f>
        <v>143620</v>
      </c>
      <c r="L9354" s="250">
        <v>1</v>
      </c>
      <c r="M9354" s="163" t="str">
        <f>CONCATENATE(H9354," ",F9354,"(лимиты выделенные УЖКХ) ","*",I9354,"/",K9354,"чел/час")</f>
        <v>113060,137056332 кВт час.(лимиты выделенные УЖКХ) *0,195559/143620чел/час</v>
      </c>
      <c r="N9354" s="278">
        <f>N8840</f>
        <v>11.38065575985371</v>
      </c>
      <c r="O9354" s="280">
        <f>MROUND(N9354*G9354,0.000001)</f>
        <v>1.7520229999999999</v>
      </c>
      <c r="P9354" s="166"/>
      <c r="Q9354" s="166">
        <f t="shared" si="2696"/>
        <v>251625.54325999998</v>
      </c>
      <c r="R9354" s="71"/>
    </row>
    <row r="9355" spans="1:41" s="61" customFormat="1" ht="31.5" x14ac:dyDescent="0.25">
      <c r="A9355" s="358"/>
      <c r="B9355" s="361"/>
      <c r="C9355" s="221" t="s">
        <v>73</v>
      </c>
      <c r="D9355" s="222" t="s">
        <v>9</v>
      </c>
      <c r="E9355" s="223" t="s">
        <v>10</v>
      </c>
      <c r="F9355" s="223" t="s">
        <v>10</v>
      </c>
      <c r="G9355" s="238">
        <f t="shared" si="2697"/>
        <v>1.898128715E-3</v>
      </c>
      <c r="H9355" s="160">
        <f>H8841</f>
        <v>1394</v>
      </c>
      <c r="I9355" s="159">
        <f t="shared" ref="I9355:I9360" si="2698">I9354</f>
        <v>0.19555899999999998</v>
      </c>
      <c r="J9355" s="160"/>
      <c r="K9355" s="161">
        <f t="shared" ref="K9355:K9360" si="2699">K9354</f>
        <v>143620</v>
      </c>
      <c r="L9355" s="250">
        <v>1</v>
      </c>
      <c r="M9355" s="163" t="str">
        <f>CONCATENATE(H9355," ",F9355,"(лимиты выделенные УЖКХ) ","*",I9355,"/",K9355,"чел/час")</f>
        <v>1394 Гкал(лимиты выделенные УЖКХ) *0,195559/143620чел/час</v>
      </c>
      <c r="N9355" s="278">
        <f>N8945</f>
        <v>3095.3018579626978</v>
      </c>
      <c r="O9355" s="280">
        <f t="shared" ref="O9355:O9360" si="2700">MROUND(N9355*G9355,0.000001)</f>
        <v>5.8752809999999993</v>
      </c>
      <c r="P9355" s="166"/>
      <c r="Q9355" s="166">
        <f t="shared" si="2696"/>
        <v>843807.85721999989</v>
      </c>
      <c r="R9355" s="71"/>
    </row>
    <row r="9356" spans="1:41" s="61" customFormat="1" ht="31.5" x14ac:dyDescent="0.25">
      <c r="A9356" s="358"/>
      <c r="B9356" s="361"/>
      <c r="C9356" s="364" t="s">
        <v>74</v>
      </c>
      <c r="D9356" s="222" t="s">
        <v>12</v>
      </c>
      <c r="E9356" s="222" t="s">
        <v>11</v>
      </c>
      <c r="F9356" s="222" t="s">
        <v>11</v>
      </c>
      <c r="G9356" s="238">
        <f t="shared" si="2697"/>
        <v>5.5025444259999999E-3</v>
      </c>
      <c r="H9356" s="224">
        <f>H8842</f>
        <v>4041.1099999999997</v>
      </c>
      <c r="I9356" s="159">
        <f t="shared" si="2698"/>
        <v>0.19555899999999998</v>
      </c>
      <c r="J9356" s="160"/>
      <c r="K9356" s="161">
        <f t="shared" si="2699"/>
        <v>143620</v>
      </c>
      <c r="L9356" s="250">
        <v>1</v>
      </c>
      <c r="M9356" s="163" t="str">
        <f>CONCATENATE(H9356," ",F9356,"(лимиты выделенные УЖКХ) ","*",I9356,"/",K9356,"чел/час")</f>
        <v>4041,11 м3(лимиты выделенные УЖКХ) *0,195559/143620чел/час</v>
      </c>
      <c r="N9356" s="278">
        <f>N8842</f>
        <v>56.382747190747111</v>
      </c>
      <c r="O9356" s="280">
        <f t="shared" si="2700"/>
        <v>0.310249</v>
      </c>
      <c r="P9356" s="166"/>
      <c r="Q9356" s="166">
        <f t="shared" si="2696"/>
        <v>44557.961380000001</v>
      </c>
      <c r="R9356" s="71"/>
    </row>
    <row r="9357" spans="1:41" s="61" customFormat="1" ht="47.25" x14ac:dyDescent="0.25">
      <c r="A9357" s="358"/>
      <c r="B9357" s="361"/>
      <c r="C9357" s="364"/>
      <c r="D9357" s="222" t="s">
        <v>17</v>
      </c>
      <c r="E9357" s="222" t="s">
        <v>11</v>
      </c>
      <c r="F9357" s="222" t="s">
        <v>11</v>
      </c>
      <c r="G9357" s="238">
        <f t="shared" si="2697"/>
        <v>5.5025444259999999E-3</v>
      </c>
      <c r="H9357" s="160">
        <f>H8947</f>
        <v>4041.1099999999997</v>
      </c>
      <c r="I9357" s="159">
        <f t="shared" si="2698"/>
        <v>0.19555899999999998</v>
      </c>
      <c r="J9357" s="160"/>
      <c r="K9357" s="161">
        <f t="shared" si="2699"/>
        <v>143620</v>
      </c>
      <c r="L9357" s="162">
        <f>$L$8843</f>
        <v>1</v>
      </c>
      <c r="M9357" s="163" t="str">
        <f>CONCATENATE(H9357," ",F9357,"(лимиты выделенные УЖКХ) ","*",I9357,"/",K9357,"чел/час")</f>
        <v>4041,11 м3(лимиты выделенные УЖКХ) *0,195559/143620чел/час</v>
      </c>
      <c r="N9357" s="164">
        <f>N8843</f>
        <v>85.679537612054801</v>
      </c>
      <c r="O9357" s="280">
        <f t="shared" si="2700"/>
        <v>0.47145499999999996</v>
      </c>
      <c r="P9357" s="166"/>
      <c r="Q9357" s="166">
        <f t="shared" si="2696"/>
        <v>67710.367099999989</v>
      </c>
      <c r="R9357" s="71"/>
    </row>
    <row r="9358" spans="1:41" s="61" customFormat="1" ht="31.5" x14ac:dyDescent="0.25">
      <c r="A9358" s="358"/>
      <c r="B9358" s="361"/>
      <c r="C9358" s="364"/>
      <c r="D9358" s="222" t="s">
        <v>13</v>
      </c>
      <c r="E9358" s="222" t="s">
        <v>11</v>
      </c>
      <c r="F9358" s="222" t="s">
        <v>11</v>
      </c>
      <c r="G9358" s="238">
        <f t="shared" si="2697"/>
        <v>5.5025444259999999E-3</v>
      </c>
      <c r="H9358" s="160">
        <f>H8844</f>
        <v>4041.1099999999997</v>
      </c>
      <c r="I9358" s="159">
        <f t="shared" si="2698"/>
        <v>0.19555899999999998</v>
      </c>
      <c r="J9358" s="160"/>
      <c r="K9358" s="161">
        <f t="shared" si="2699"/>
        <v>143620</v>
      </c>
      <c r="L9358" s="162">
        <v>1</v>
      </c>
      <c r="M9358" s="163" t="str">
        <f>CONCATENATE(H9358," ",F9358,"(лимиты выделенные УЖКХ) ","*",I9358,"/",K9358,"чел/час")</f>
        <v>4041,11 м3(лимиты выделенные УЖКХ) *0,195559/143620чел/час</v>
      </c>
      <c r="N9358" s="278">
        <f>N8844</f>
        <v>104.62845363292494</v>
      </c>
      <c r="O9358" s="280">
        <f t="shared" si="2700"/>
        <v>0.57572299999999998</v>
      </c>
      <c r="P9358" s="166"/>
      <c r="Q9358" s="166">
        <f t="shared" si="2696"/>
        <v>82685.33726</v>
      </c>
      <c r="R9358" s="71"/>
    </row>
    <row r="9359" spans="1:41" s="61" customFormat="1" x14ac:dyDescent="0.25">
      <c r="A9359" s="358"/>
      <c r="B9359" s="361"/>
      <c r="C9359" s="364" t="s">
        <v>216</v>
      </c>
      <c r="D9359" s="222" t="s">
        <v>23</v>
      </c>
      <c r="E9359" s="222" t="s">
        <v>11</v>
      </c>
      <c r="F9359" s="222" t="s">
        <v>11</v>
      </c>
      <c r="G9359" s="238">
        <f t="shared" si="2697"/>
        <v>3.4013812999999998E-5</v>
      </c>
      <c r="H9359" s="160">
        <f>H8845</f>
        <v>24.979999999999997</v>
      </c>
      <c r="I9359" s="159">
        <f t="shared" si="2698"/>
        <v>0.19555899999999998</v>
      </c>
      <c r="J9359" s="160"/>
      <c r="K9359" s="161">
        <f t="shared" si="2699"/>
        <v>143620</v>
      </c>
      <c r="L9359" s="162">
        <v>1</v>
      </c>
      <c r="M9359" s="163" t="str">
        <f>CONCATENATE(H9359," ",F9359," ","*",I9359,"/",K9359,"чел/час")</f>
        <v>24,98 м3 *0,195559/143620чел/час</v>
      </c>
      <c r="N9359" s="164">
        <f>N8845</f>
        <v>807.4099279423541</v>
      </c>
      <c r="O9359" s="280">
        <f t="shared" si="2700"/>
        <v>2.7462999999999998E-2</v>
      </c>
      <c r="P9359" s="166"/>
      <c r="Q9359" s="166">
        <f t="shared" si="2696"/>
        <v>3944.2360599999997</v>
      </c>
      <c r="R9359" s="71"/>
    </row>
    <row r="9360" spans="1:41" s="61" customFormat="1" ht="63" x14ac:dyDescent="0.25">
      <c r="A9360" s="358"/>
      <c r="B9360" s="361"/>
      <c r="C9360" s="364"/>
      <c r="D9360" s="222" t="s">
        <v>24</v>
      </c>
      <c r="E9360" s="222" t="s">
        <v>25</v>
      </c>
      <c r="F9360" s="222" t="s">
        <v>248</v>
      </c>
      <c r="G9360" s="238">
        <f t="shared" si="2697"/>
        <v>6.8082089999999999E-6</v>
      </c>
      <c r="H9360" s="160">
        <f>H8846</f>
        <v>5</v>
      </c>
      <c r="I9360" s="159">
        <f t="shared" si="2698"/>
        <v>0.19555899999999998</v>
      </c>
      <c r="J9360" s="160"/>
      <c r="K9360" s="161">
        <f t="shared" si="2699"/>
        <v>143620</v>
      </c>
      <c r="L9360" s="250">
        <v>1</v>
      </c>
      <c r="M9360" s="163" t="str">
        <f>CONCATENATE(H9360," ",F9360,"(потребность из расчета 4 контейнера для уборки территории весной и осенью на 1 учреждение)","*",I9360,"/",K9360,"чел/час")</f>
        <v>5 контейнеров(потребность из расчета 4 контейнера для уборки территории весной и осенью на 1 учреждение)*0,195559/143620чел/час</v>
      </c>
      <c r="N9360" s="278">
        <f>N8846</f>
        <v>6257.04</v>
      </c>
      <c r="O9360" s="280">
        <f t="shared" si="2700"/>
        <v>4.2598999999999998E-2</v>
      </c>
      <c r="P9360" s="166"/>
      <c r="Q9360" s="166">
        <f t="shared" si="2696"/>
        <v>6118.0683799999997</v>
      </c>
      <c r="R9360" s="71"/>
    </row>
    <row r="9361" spans="1:41" s="109" customFormat="1" x14ac:dyDescent="0.25">
      <c r="A9361" s="358"/>
      <c r="B9361" s="361"/>
      <c r="C9361" s="218" t="s">
        <v>290</v>
      </c>
      <c r="D9361" s="226"/>
      <c r="E9361" s="226"/>
      <c r="F9361" s="226"/>
      <c r="G9361" s="227"/>
      <c r="H9361" s="228"/>
      <c r="I9361" s="206"/>
      <c r="J9361" s="228"/>
      <c r="K9361" s="207"/>
      <c r="L9361" s="257"/>
      <c r="M9361" s="209"/>
      <c r="N9361" s="281"/>
      <c r="O9361" s="279">
        <f>SUM(O9354:O9360)</f>
        <v>9.0547929999999965</v>
      </c>
      <c r="P9361" s="267"/>
      <c r="Q9361" s="166"/>
      <c r="R9361" s="71"/>
      <c r="S9361" s="62"/>
      <c r="T9361" s="62"/>
      <c r="U9361" s="62"/>
      <c r="V9361" s="62"/>
      <c r="W9361" s="62"/>
      <c r="X9361" s="62"/>
      <c r="Y9361" s="62"/>
      <c r="Z9361" s="62"/>
      <c r="AA9361" s="62"/>
      <c r="AB9361" s="62"/>
      <c r="AC9361" s="62"/>
      <c r="AD9361" s="62"/>
      <c r="AE9361" s="62"/>
      <c r="AF9361" s="62"/>
      <c r="AG9361" s="62"/>
      <c r="AH9361" s="62"/>
      <c r="AI9361" s="62"/>
      <c r="AJ9361" s="62"/>
      <c r="AK9361" s="62"/>
      <c r="AL9361" s="62"/>
      <c r="AM9361" s="62"/>
      <c r="AN9361" s="62"/>
      <c r="AO9361" s="62"/>
    </row>
    <row r="9362" spans="1:41" s="108" customFormat="1" ht="15" customHeight="1" x14ac:dyDescent="0.25">
      <c r="A9362" s="358"/>
      <c r="B9362" s="361"/>
      <c r="C9362" s="221"/>
      <c r="D9362" s="356" t="s">
        <v>14</v>
      </c>
      <c r="E9362" s="356"/>
      <c r="F9362" s="356"/>
      <c r="G9362" s="356"/>
      <c r="H9362" s="188"/>
      <c r="I9362" s="159"/>
      <c r="J9362" s="188"/>
      <c r="K9362" s="161"/>
      <c r="L9362" s="250"/>
      <c r="M9362" s="230"/>
      <c r="N9362" s="278"/>
      <c r="O9362" s="279">
        <f>O9366+O9370+O9371</f>
        <v>16.75324114</v>
      </c>
      <c r="P9362" s="166"/>
      <c r="Q9362" s="166">
        <f>O9362*K9362</f>
        <v>0</v>
      </c>
      <c r="R9362" s="71"/>
      <c r="S9362" s="61"/>
      <c r="T9362" s="61"/>
      <c r="U9362" s="61"/>
      <c r="V9362" s="61"/>
      <c r="W9362" s="61"/>
      <c r="X9362" s="61"/>
      <c r="Y9362" s="61"/>
      <c r="Z9362" s="61"/>
      <c r="AA9362" s="61"/>
      <c r="AB9362" s="61"/>
      <c r="AC9362" s="61"/>
      <c r="AD9362" s="61"/>
      <c r="AE9362" s="61"/>
      <c r="AF9362" s="61"/>
      <c r="AG9362" s="61"/>
      <c r="AH9362" s="61"/>
      <c r="AI9362" s="61"/>
      <c r="AJ9362" s="61"/>
      <c r="AK9362" s="61"/>
      <c r="AL9362" s="61"/>
      <c r="AM9362" s="61"/>
      <c r="AN9362" s="61"/>
      <c r="AO9362" s="61"/>
    </row>
    <row r="9363" spans="1:41" s="61" customFormat="1" x14ac:dyDescent="0.25">
      <c r="A9363" s="358"/>
      <c r="B9363" s="361"/>
      <c r="C9363" s="221" t="s">
        <v>379</v>
      </c>
      <c r="D9363" s="231" t="s">
        <v>49</v>
      </c>
      <c r="E9363" s="231" t="s">
        <v>22</v>
      </c>
      <c r="F9363" s="231" t="s">
        <v>22</v>
      </c>
      <c r="G9363" s="238">
        <f>MROUND(H9363*L9363*I9363/K9363,0.000000000001)</f>
        <v>0</v>
      </c>
      <c r="H9363" s="160"/>
      <c r="I9363" s="159">
        <f>I9358</f>
        <v>0.19555899999999998</v>
      </c>
      <c r="J9363" s="160"/>
      <c r="K9363" s="161">
        <f>K9358</f>
        <v>143620</v>
      </c>
      <c r="L9363" s="250">
        <v>1</v>
      </c>
      <c r="M9363" s="163"/>
      <c r="N9363" s="278"/>
      <c r="O9363" s="280">
        <f>MROUND(N9363*G9363,0.000000001)</f>
        <v>0</v>
      </c>
      <c r="P9363" s="166"/>
      <c r="Q9363" s="166">
        <f>O9363*K9363</f>
        <v>0</v>
      </c>
      <c r="R9363" s="71"/>
    </row>
    <row r="9364" spans="1:41" s="61" customFormat="1" x14ac:dyDescent="0.25">
      <c r="A9364" s="358"/>
      <c r="B9364" s="361"/>
      <c r="C9364" s="221" t="s">
        <v>379</v>
      </c>
      <c r="D9364" s="231" t="s">
        <v>49</v>
      </c>
      <c r="E9364" s="231" t="s">
        <v>28</v>
      </c>
      <c r="F9364" s="231" t="s">
        <v>28</v>
      </c>
      <c r="G9364" s="238">
        <f>MROUND(H9364*L9364*I9364/K9364,0.000000000001)</f>
        <v>0</v>
      </c>
      <c r="H9364" s="160"/>
      <c r="I9364" s="159">
        <f>I9363</f>
        <v>0.19555899999999998</v>
      </c>
      <c r="J9364" s="160"/>
      <c r="K9364" s="161">
        <f>K9363</f>
        <v>143620</v>
      </c>
      <c r="L9364" s="250">
        <v>1</v>
      </c>
      <c r="M9364" s="163"/>
      <c r="N9364" s="278"/>
      <c r="O9364" s="280">
        <f>MROUND(N9364*G9364,0.000000001)</f>
        <v>0</v>
      </c>
      <c r="P9364" s="166"/>
      <c r="Q9364" s="166">
        <f>O9364*K9364</f>
        <v>0</v>
      </c>
      <c r="R9364" s="71"/>
    </row>
    <row r="9365" spans="1:41" s="61" customFormat="1" x14ac:dyDescent="0.25">
      <c r="A9365" s="358"/>
      <c r="B9365" s="361"/>
      <c r="C9365" s="221" t="s">
        <v>379</v>
      </c>
      <c r="D9365" s="231" t="s">
        <v>49</v>
      </c>
      <c r="E9365" s="231" t="s">
        <v>101</v>
      </c>
      <c r="F9365" s="231" t="s">
        <v>101</v>
      </c>
      <c r="G9365" s="238">
        <f>MROUND(H9365*L9365*I9365/K9365,0.000000000001)</f>
        <v>0</v>
      </c>
      <c r="H9365" s="160"/>
      <c r="I9365" s="159">
        <f>I9363</f>
        <v>0.19555899999999998</v>
      </c>
      <c r="J9365" s="160"/>
      <c r="K9365" s="161">
        <f>K9363</f>
        <v>143620</v>
      </c>
      <c r="L9365" s="250">
        <v>1</v>
      </c>
      <c r="M9365" s="163"/>
      <c r="N9365" s="278"/>
      <c r="O9365" s="280">
        <f>MROUND(N9365*G9365,0.000001)</f>
        <v>0</v>
      </c>
      <c r="P9365" s="166"/>
      <c r="Q9365" s="166">
        <f>O9365*K9365</f>
        <v>0</v>
      </c>
      <c r="R9365" s="71"/>
    </row>
    <row r="9366" spans="1:41" s="109" customFormat="1" x14ac:dyDescent="0.25">
      <c r="A9366" s="358"/>
      <c r="B9366" s="361"/>
      <c r="C9366" s="218" t="s">
        <v>380</v>
      </c>
      <c r="D9366" s="232"/>
      <c r="E9366" s="232"/>
      <c r="F9366" s="232"/>
      <c r="G9366" s="227"/>
      <c r="H9366" s="228"/>
      <c r="I9366" s="206"/>
      <c r="J9366" s="228"/>
      <c r="K9366" s="207"/>
      <c r="L9366" s="257"/>
      <c r="M9366" s="209"/>
      <c r="N9366" s="281"/>
      <c r="O9366" s="279">
        <f>SUM(O9363:O9365)</f>
        <v>0</v>
      </c>
      <c r="P9366" s="267"/>
      <c r="Q9366" s="166"/>
      <c r="R9366" s="72"/>
      <c r="S9366" s="62"/>
      <c r="T9366" s="62"/>
      <c r="U9366" s="62"/>
      <c r="V9366" s="62"/>
      <c r="W9366" s="62"/>
      <c r="X9366" s="62"/>
      <c r="Y9366" s="62"/>
      <c r="Z9366" s="62"/>
      <c r="AA9366" s="62"/>
      <c r="AB9366" s="62"/>
      <c r="AC9366" s="62"/>
      <c r="AD9366" s="62"/>
      <c r="AE9366" s="62"/>
      <c r="AF9366" s="62"/>
      <c r="AG9366" s="62"/>
      <c r="AH9366" s="62"/>
      <c r="AI9366" s="62"/>
      <c r="AJ9366" s="62"/>
      <c r="AK9366" s="62"/>
      <c r="AL9366" s="62"/>
      <c r="AM9366" s="62"/>
      <c r="AN9366" s="62"/>
      <c r="AO9366" s="62"/>
    </row>
    <row r="9367" spans="1:41" s="61" customFormat="1" x14ac:dyDescent="0.25">
      <c r="A9367" s="358"/>
      <c r="B9367" s="361"/>
      <c r="C9367" s="221" t="s">
        <v>76</v>
      </c>
      <c r="D9367" s="231" t="s">
        <v>49</v>
      </c>
      <c r="E9367" s="231" t="s">
        <v>22</v>
      </c>
      <c r="F9367" s="231" t="s">
        <v>22</v>
      </c>
      <c r="G9367" s="238">
        <f>MROUND(H9367*L9367*I9367/K9367,0.000000000001)</f>
        <v>3.1535624839999997E-3</v>
      </c>
      <c r="H9367" s="160">
        <f>H8853</f>
        <v>2316</v>
      </c>
      <c r="I9367" s="159">
        <f>I9365</f>
        <v>0.19555899999999998</v>
      </c>
      <c r="J9367" s="160"/>
      <c r="K9367" s="161">
        <f>K9365</f>
        <v>143620</v>
      </c>
      <c r="L9367" s="250">
        <v>1</v>
      </c>
      <c r="M9367" s="163" t="str">
        <f>CONCATENATE(H9367," ",F9367,"*",I9367,"/",K9367,"чел/час")</f>
        <v>2316 м2*0,195559/143620чел/час</v>
      </c>
      <c r="N9367" s="278">
        <f>N8853</f>
        <v>5226.2521588946456</v>
      </c>
      <c r="O9367" s="280">
        <f>MROUND(N9367*G9367,0.000000001)-0.0004</f>
        <v>16.480912740000001</v>
      </c>
      <c r="P9367" s="166"/>
      <c r="Q9367" s="166">
        <f>O9367*K9367</f>
        <v>2366988.6877188003</v>
      </c>
      <c r="R9367" s="71"/>
    </row>
    <row r="9368" spans="1:41" s="61" customFormat="1" x14ac:dyDescent="0.25">
      <c r="A9368" s="358"/>
      <c r="B9368" s="361"/>
      <c r="C9368" s="221"/>
      <c r="D9368" s="231" t="s">
        <v>49</v>
      </c>
      <c r="E9368" s="231" t="s">
        <v>28</v>
      </c>
      <c r="F9368" s="231" t="s">
        <v>28</v>
      </c>
      <c r="G9368" s="238">
        <f>MROUND(H9368*L9368*I9368/K9368,0.000000000001)</f>
        <v>2.7232839999999998E-6</v>
      </c>
      <c r="H9368" s="160">
        <f>H8854</f>
        <v>2</v>
      </c>
      <c r="I9368" s="159">
        <f>I9367</f>
        <v>0.19555899999999998</v>
      </c>
      <c r="J9368" s="160"/>
      <c r="K9368" s="161">
        <f>K9367</f>
        <v>143620</v>
      </c>
      <c r="L9368" s="250">
        <v>1</v>
      </c>
      <c r="M9368" s="163" t="str">
        <f>CONCATENATE(H9368," ",F9368,"*",I9368,"/",K9368,"чел/час")</f>
        <v>2 шт*0,195559/143620чел/час</v>
      </c>
      <c r="N9368" s="278">
        <f>N8854</f>
        <v>100000</v>
      </c>
      <c r="O9368" s="280">
        <f>MROUND(N9368*G9368,0.000000001)</f>
        <v>0.27232840000000003</v>
      </c>
      <c r="P9368" s="166"/>
      <c r="Q9368" s="166">
        <f>O9368*K9368</f>
        <v>39111.804808000001</v>
      </c>
      <c r="R9368" s="71"/>
    </row>
    <row r="9369" spans="1:41" s="61" customFormat="1" x14ac:dyDescent="0.25">
      <c r="A9369" s="358"/>
      <c r="B9369" s="361"/>
      <c r="C9369" s="221"/>
      <c r="D9369" s="231" t="s">
        <v>49</v>
      </c>
      <c r="E9369" s="231" t="s">
        <v>101</v>
      </c>
      <c r="F9369" s="231" t="s">
        <v>101</v>
      </c>
      <c r="G9369" s="238">
        <f>MROUND(H9369*L9369*I9369/K9369,0.000000000001)</f>
        <v>0</v>
      </c>
      <c r="H9369" s="160">
        <f>H8855</f>
        <v>0</v>
      </c>
      <c r="I9369" s="159">
        <f>I9367</f>
        <v>0.19555899999999998</v>
      </c>
      <c r="J9369" s="160"/>
      <c r="K9369" s="161">
        <f>K9367</f>
        <v>143620</v>
      </c>
      <c r="L9369" s="250">
        <v>1</v>
      </c>
      <c r="M9369" s="163" t="str">
        <f>CONCATENATE(H9369," ",F9369,"*",I9369,"/",K9369,"чел/час")</f>
        <v>0 погон.м.*0,195559/143620чел/час</v>
      </c>
      <c r="N9369" s="278">
        <f>N8855</f>
        <v>0</v>
      </c>
      <c r="O9369" s="280">
        <f>MROUND(N9369*G9369,0.000001)</f>
        <v>0</v>
      </c>
      <c r="P9369" s="166"/>
      <c r="Q9369" s="166">
        <f>O9369*K9369</f>
        <v>0</v>
      </c>
      <c r="R9369" s="71"/>
    </row>
    <row r="9370" spans="1:41" s="109" customFormat="1" x14ac:dyDescent="0.25">
      <c r="A9370" s="358"/>
      <c r="B9370" s="361"/>
      <c r="C9370" s="218" t="s">
        <v>291</v>
      </c>
      <c r="D9370" s="232"/>
      <c r="E9370" s="232"/>
      <c r="F9370" s="232"/>
      <c r="G9370" s="227"/>
      <c r="H9370" s="228"/>
      <c r="I9370" s="206"/>
      <c r="J9370" s="228"/>
      <c r="K9370" s="207"/>
      <c r="L9370" s="257"/>
      <c r="M9370" s="209"/>
      <c r="N9370" s="281"/>
      <c r="O9370" s="279">
        <f>SUM(O9367:O9369)</f>
        <v>16.75324114</v>
      </c>
      <c r="P9370" s="267"/>
      <c r="Q9370" s="166"/>
      <c r="R9370" s="72"/>
      <c r="S9370" s="62"/>
      <c r="T9370" s="62"/>
      <c r="U9370" s="62"/>
      <c r="V9370" s="62"/>
      <c r="W9370" s="62"/>
      <c r="X9370" s="62"/>
      <c r="Y9370" s="62"/>
      <c r="Z9370" s="62"/>
      <c r="AA9370" s="62"/>
      <c r="AB9370" s="62"/>
      <c r="AC9370" s="62"/>
      <c r="AD9370" s="62"/>
      <c r="AE9370" s="62"/>
      <c r="AF9370" s="62"/>
      <c r="AG9370" s="62"/>
      <c r="AH9370" s="62"/>
      <c r="AI9370" s="62"/>
      <c r="AJ9370" s="62"/>
      <c r="AK9370" s="62"/>
      <c r="AL9370" s="62"/>
      <c r="AM9370" s="62"/>
      <c r="AN9370" s="62"/>
      <c r="AO9370" s="62"/>
    </row>
    <row r="9371" spans="1:41" s="61" customFormat="1" x14ac:dyDescent="0.25">
      <c r="A9371" s="358"/>
      <c r="B9371" s="361"/>
      <c r="C9371" s="221" t="s">
        <v>77</v>
      </c>
      <c r="D9371" s="231"/>
      <c r="E9371" s="231"/>
      <c r="F9371" s="231"/>
      <c r="G9371" s="238">
        <f>MROUND(H9371*L9371*I9371/K9371,0.000000000001)</f>
        <v>0</v>
      </c>
      <c r="H9371" s="160"/>
      <c r="I9371" s="159">
        <f>I9369</f>
        <v>0.19555899999999998</v>
      </c>
      <c r="J9371" s="160"/>
      <c r="K9371" s="161">
        <f>K9369</f>
        <v>143620</v>
      </c>
      <c r="L9371" s="250"/>
      <c r="M9371" s="163"/>
      <c r="N9371" s="278"/>
      <c r="O9371" s="280">
        <f>MROUND(N9371*G9371,0.000001)</f>
        <v>0</v>
      </c>
      <c r="P9371" s="166"/>
      <c r="Q9371" s="166">
        <f>O9371*K9371</f>
        <v>0</v>
      </c>
      <c r="R9371" s="71"/>
    </row>
    <row r="9372" spans="1:41" s="109" customFormat="1" x14ac:dyDescent="0.25">
      <c r="A9372" s="358"/>
      <c r="B9372" s="361"/>
      <c r="C9372" s="218" t="s">
        <v>292</v>
      </c>
      <c r="D9372" s="232"/>
      <c r="E9372" s="232"/>
      <c r="F9372" s="232"/>
      <c r="G9372" s="227"/>
      <c r="H9372" s="228"/>
      <c r="I9372" s="206"/>
      <c r="J9372" s="228"/>
      <c r="K9372" s="207"/>
      <c r="L9372" s="257"/>
      <c r="M9372" s="209"/>
      <c r="N9372" s="281"/>
      <c r="O9372" s="279">
        <f>O9371</f>
        <v>0</v>
      </c>
      <c r="P9372" s="267"/>
      <c r="Q9372" s="166"/>
      <c r="R9372" s="72"/>
      <c r="S9372" s="62"/>
      <c r="T9372" s="62"/>
      <c r="U9372" s="62"/>
      <c r="V9372" s="62"/>
      <c r="W9372" s="62"/>
      <c r="X9372" s="62"/>
      <c r="Y9372" s="62"/>
      <c r="Z9372" s="62"/>
      <c r="AA9372" s="62"/>
      <c r="AB9372" s="62"/>
      <c r="AC9372" s="62"/>
      <c r="AD9372" s="62"/>
      <c r="AE9372" s="62"/>
      <c r="AF9372" s="62"/>
      <c r="AG9372" s="62"/>
      <c r="AH9372" s="62"/>
      <c r="AI9372" s="62"/>
      <c r="AJ9372" s="62"/>
      <c r="AK9372" s="62"/>
      <c r="AL9372" s="62"/>
      <c r="AM9372" s="62"/>
      <c r="AN9372" s="62"/>
      <c r="AO9372" s="62"/>
    </row>
    <row r="9373" spans="1:41" s="108" customFormat="1" x14ac:dyDescent="0.25">
      <c r="A9373" s="358"/>
      <c r="B9373" s="361"/>
      <c r="C9373" s="221"/>
      <c r="D9373" s="350" t="s">
        <v>65</v>
      </c>
      <c r="E9373" s="350"/>
      <c r="F9373" s="350"/>
      <c r="G9373" s="350"/>
      <c r="H9373" s="195"/>
      <c r="I9373" s="159"/>
      <c r="J9373" s="195"/>
      <c r="K9373" s="161"/>
      <c r="L9373" s="196"/>
      <c r="M9373" s="230"/>
      <c r="N9373" s="278"/>
      <c r="O9373" s="280"/>
      <c r="P9373" s="166"/>
      <c r="Q9373" s="166">
        <f t="shared" ref="Q9373:Q9392" si="2701">O9373*K9373</f>
        <v>0</v>
      </c>
      <c r="R9373" s="71"/>
      <c r="S9373" s="61"/>
      <c r="T9373" s="61"/>
      <c r="U9373" s="61"/>
      <c r="V9373" s="61"/>
      <c r="W9373" s="61"/>
      <c r="X9373" s="61"/>
      <c r="Y9373" s="61"/>
      <c r="Z9373" s="61"/>
      <c r="AA9373" s="61"/>
      <c r="AB9373" s="61"/>
      <c r="AC9373" s="61"/>
      <c r="AD9373" s="61"/>
      <c r="AE9373" s="61"/>
      <c r="AF9373" s="61"/>
      <c r="AG9373" s="61"/>
      <c r="AH9373" s="61"/>
      <c r="AI9373" s="61"/>
      <c r="AJ9373" s="61"/>
      <c r="AK9373" s="61"/>
      <c r="AL9373" s="61"/>
      <c r="AM9373" s="61"/>
      <c r="AN9373" s="61"/>
      <c r="AO9373" s="61"/>
    </row>
    <row r="9374" spans="1:41" s="108" customFormat="1" x14ac:dyDescent="0.25">
      <c r="A9374" s="358"/>
      <c r="B9374" s="361"/>
      <c r="C9374" s="221"/>
      <c r="D9374" s="194"/>
      <c r="E9374" s="194"/>
      <c r="F9374" s="194"/>
      <c r="G9374" s="217"/>
      <c r="H9374" s="195"/>
      <c r="I9374" s="159"/>
      <c r="J9374" s="195"/>
      <c r="K9374" s="161"/>
      <c r="L9374" s="196"/>
      <c r="M9374" s="230"/>
      <c r="N9374" s="278"/>
      <c r="O9374" s="280"/>
      <c r="P9374" s="166"/>
      <c r="Q9374" s="166">
        <f t="shared" si="2701"/>
        <v>0</v>
      </c>
      <c r="R9374" s="71"/>
      <c r="S9374" s="61"/>
      <c r="T9374" s="61"/>
      <c r="U9374" s="61"/>
      <c r="V9374" s="61"/>
      <c r="W9374" s="61"/>
      <c r="X9374" s="61"/>
      <c r="Y9374" s="61"/>
      <c r="Z9374" s="61"/>
      <c r="AA9374" s="61"/>
      <c r="AB9374" s="61"/>
      <c r="AC9374" s="61"/>
      <c r="AD9374" s="61"/>
      <c r="AE9374" s="61"/>
      <c r="AF9374" s="61"/>
      <c r="AG9374" s="61"/>
      <c r="AH9374" s="61"/>
      <c r="AI9374" s="61"/>
      <c r="AJ9374" s="61"/>
      <c r="AK9374" s="61"/>
      <c r="AL9374" s="61"/>
      <c r="AM9374" s="61"/>
      <c r="AN9374" s="61"/>
      <c r="AO9374" s="61"/>
    </row>
    <row r="9375" spans="1:41" s="108" customFormat="1" x14ac:dyDescent="0.25">
      <c r="A9375" s="358"/>
      <c r="B9375" s="361"/>
      <c r="C9375" s="365" t="s">
        <v>357</v>
      </c>
      <c r="D9375" s="368" t="s">
        <v>66</v>
      </c>
      <c r="E9375" s="368"/>
      <c r="F9375" s="368"/>
      <c r="G9375" s="368"/>
      <c r="H9375" s="195"/>
      <c r="I9375" s="159"/>
      <c r="J9375" s="195"/>
      <c r="K9375" s="161"/>
      <c r="L9375" s="196"/>
      <c r="M9375" s="230"/>
      <c r="N9375" s="278"/>
      <c r="O9375" s="279">
        <f>O9381</f>
        <v>0.6635629999999999</v>
      </c>
      <c r="P9375" s="166"/>
      <c r="Q9375" s="166">
        <f t="shared" si="2701"/>
        <v>0</v>
      </c>
      <c r="R9375" s="71"/>
      <c r="S9375" s="61"/>
      <c r="T9375" s="61"/>
      <c r="U9375" s="61"/>
      <c r="V9375" s="61"/>
      <c r="W9375" s="61"/>
      <c r="X9375" s="61"/>
      <c r="Y9375" s="61"/>
      <c r="Z9375" s="61"/>
      <c r="AA9375" s="61"/>
      <c r="AB9375" s="61"/>
      <c r="AC9375" s="61"/>
      <c r="AD9375" s="61"/>
      <c r="AE9375" s="61"/>
      <c r="AF9375" s="61"/>
      <c r="AG9375" s="61"/>
      <c r="AH9375" s="61"/>
      <c r="AI9375" s="61"/>
      <c r="AJ9375" s="61"/>
      <c r="AK9375" s="61"/>
      <c r="AL9375" s="61"/>
      <c r="AM9375" s="61"/>
      <c r="AN9375" s="61"/>
      <c r="AO9375" s="61"/>
    </row>
    <row r="9376" spans="1:41" s="61" customFormat="1" x14ac:dyDescent="0.25">
      <c r="A9376" s="358"/>
      <c r="B9376" s="361"/>
      <c r="C9376" s="366"/>
      <c r="D9376" s="284" t="s">
        <v>241</v>
      </c>
      <c r="E9376" s="156" t="s">
        <v>28</v>
      </c>
      <c r="F9376" s="156" t="s">
        <v>28</v>
      </c>
      <c r="G9376" s="238">
        <f>MROUND(H9376*L9376*I9376/K9376,0.000000000001)</f>
        <v>2.7777493400000001E-4</v>
      </c>
      <c r="H9376" s="158">
        <f>H8862</f>
        <v>17</v>
      </c>
      <c r="I9376" s="159">
        <f>I9369</f>
        <v>0.19555899999999998</v>
      </c>
      <c r="J9376" s="160"/>
      <c r="K9376" s="161">
        <f>K9369</f>
        <v>143620</v>
      </c>
      <c r="L9376" s="250">
        <v>12</v>
      </c>
      <c r="M9376" s="163" t="str">
        <f>CONCATENATE(H9376," ",F9376,"*",L9376,"мес.","*",I9376,"/",K9376,"чел/час")</f>
        <v>17 шт*12мес.*0,195559/143620чел/час</v>
      </c>
      <c r="N9376" s="278">
        <f>N8862</f>
        <v>356.56073529411765</v>
      </c>
      <c r="O9376" s="280">
        <f>MROUND(N9376*G9376,0.000001)</f>
        <v>9.9043999999999993E-2</v>
      </c>
      <c r="P9376" s="166"/>
      <c r="Q9376" s="166">
        <f t="shared" si="2701"/>
        <v>14224.699279999999</v>
      </c>
      <c r="R9376" s="71"/>
    </row>
    <row r="9377" spans="1:41" s="61" customFormat="1" x14ac:dyDescent="0.25">
      <c r="A9377" s="358"/>
      <c r="B9377" s="361"/>
      <c r="C9377" s="366"/>
      <c r="D9377" s="284" t="s">
        <v>242</v>
      </c>
      <c r="E9377" s="156" t="s">
        <v>243</v>
      </c>
      <c r="F9377" s="156" t="s">
        <v>243</v>
      </c>
      <c r="G9377" s="238">
        <f>MROUND(H9377*L9377*I9377/K9377,0.000000000001)</f>
        <v>0.28277488266299999</v>
      </c>
      <c r="H9377" s="158">
        <f>H8863</f>
        <v>17306</v>
      </c>
      <c r="I9377" s="159">
        <f>I9376</f>
        <v>0.19555899999999998</v>
      </c>
      <c r="J9377" s="160"/>
      <c r="K9377" s="161">
        <f>K9376</f>
        <v>143620</v>
      </c>
      <c r="L9377" s="250">
        <v>12</v>
      </c>
      <c r="M9377" s="163" t="str">
        <f>CONCATENATE(H9377," ",F9377,"*",L9377,"мес.","*",I9377,"/",K9377,"чел/час")</f>
        <v>17306 мин.*12мес.*0,195559/143620чел/час</v>
      </c>
      <c r="N9377" s="278">
        <f>N8863</f>
        <v>0.85373685427019519</v>
      </c>
      <c r="O9377" s="280">
        <f>MROUND(N9377*G9377,0.000001)</f>
        <v>0.24141499999999999</v>
      </c>
      <c r="P9377" s="166"/>
      <c r="Q9377" s="166">
        <f t="shared" si="2701"/>
        <v>34672.022299999997</v>
      </c>
      <c r="R9377" s="71"/>
    </row>
    <row r="9378" spans="1:41" s="61" customFormat="1" ht="31.5" x14ac:dyDescent="0.25">
      <c r="A9378" s="358"/>
      <c r="B9378" s="361"/>
      <c r="C9378" s="366"/>
      <c r="D9378" s="285" t="s">
        <v>244</v>
      </c>
      <c r="E9378" s="286" t="s">
        <v>245</v>
      </c>
      <c r="F9378" s="286" t="s">
        <v>247</v>
      </c>
      <c r="G9378" s="238">
        <f>MROUND(H9378*L9378*I9378/K9378,0.000000000001)</f>
        <v>8.1698509999999998E-5</v>
      </c>
      <c r="H9378" s="158">
        <f>H8864</f>
        <v>5</v>
      </c>
      <c r="I9378" s="159">
        <f>I9377</f>
        <v>0.19555899999999998</v>
      </c>
      <c r="J9378" s="160"/>
      <c r="K9378" s="161">
        <f>K9377</f>
        <v>143620</v>
      </c>
      <c r="L9378" s="250">
        <v>12</v>
      </c>
      <c r="M9378" s="163" t="str">
        <f>CONCATENATE(H9378," ",F9378,"*",L9378,"мес.","*",I9378,"/",K9378,"чел/час")</f>
        <v>5 радиоточек*12мес.*0,195559/143620чел/час</v>
      </c>
      <c r="N9378" s="278">
        <f>N8864</f>
        <v>180.23333333333335</v>
      </c>
      <c r="O9378" s="280">
        <f>MROUND(N9378*G9378,0.000001)</f>
        <v>1.4724999999999999E-2</v>
      </c>
      <c r="P9378" s="166"/>
      <c r="Q9378" s="166">
        <f t="shared" si="2701"/>
        <v>2114.8044999999997</v>
      </c>
      <c r="R9378" s="71"/>
    </row>
    <row r="9379" spans="1:41" s="61" customFormat="1" ht="47.25" x14ac:dyDescent="0.25">
      <c r="A9379" s="358"/>
      <c r="B9379" s="361"/>
      <c r="C9379" s="366"/>
      <c r="D9379" s="285" t="s">
        <v>374</v>
      </c>
      <c r="E9379" s="156" t="s">
        <v>28</v>
      </c>
      <c r="F9379" s="156" t="s">
        <v>28</v>
      </c>
      <c r="G9379" s="238">
        <f>MROUND(H9379*L9379*I9379/K9379,0.000000000001)</f>
        <v>3.8125971000000001E-5</v>
      </c>
      <c r="H9379" s="158">
        <f>H8865</f>
        <v>7</v>
      </c>
      <c r="I9379" s="159">
        <f>I9377</f>
        <v>0.19555899999999998</v>
      </c>
      <c r="J9379" s="160"/>
      <c r="K9379" s="161">
        <f>K9377</f>
        <v>143620</v>
      </c>
      <c r="L9379" s="250">
        <f>L8865</f>
        <v>4</v>
      </c>
      <c r="M9379" s="163" t="str">
        <f>CONCATENATE(H9379," ",F9379,"*",L9379,"мес.","*",I9379,"/",K9379,"чел/час")</f>
        <v>7 шт*4мес.*0,195559/143620чел/час</v>
      </c>
      <c r="N9379" s="278">
        <f>N8865</f>
        <v>1366.3700000000001</v>
      </c>
      <c r="O9379" s="280">
        <f>MROUND(N9379*G9379,0.000001)</f>
        <v>5.2093999999999994E-2</v>
      </c>
      <c r="P9379" s="166"/>
      <c r="Q9379" s="166">
        <f t="shared" si="2701"/>
        <v>7481.7402799999991</v>
      </c>
      <c r="R9379" s="71"/>
    </row>
    <row r="9380" spans="1:41" s="61" customFormat="1" x14ac:dyDescent="0.25">
      <c r="A9380" s="358"/>
      <c r="B9380" s="361"/>
      <c r="C9380" s="367"/>
      <c r="D9380" s="284" t="s">
        <v>246</v>
      </c>
      <c r="E9380" s="156" t="s">
        <v>28</v>
      </c>
      <c r="F9380" s="156" t="s">
        <v>28</v>
      </c>
      <c r="G9380" s="238">
        <f>MROUND(H9380*L9380*I9380/K9380,0.000000000001)</f>
        <v>8.1698509999999998E-5</v>
      </c>
      <c r="H9380" s="158">
        <v>5</v>
      </c>
      <c r="I9380" s="159">
        <f>I9378</f>
        <v>0.19555899999999998</v>
      </c>
      <c r="J9380" s="160"/>
      <c r="K9380" s="161">
        <f>K9378</f>
        <v>143620</v>
      </c>
      <c r="L9380" s="250">
        <v>12</v>
      </c>
      <c r="M9380" s="163" t="str">
        <f>CONCATENATE(H9380," ",F9380,"*",L9380,"мес.","*",I9380,"/",K9380,"чел/час")</f>
        <v>5 шт*12мес.*0,195559/143620чел/час</v>
      </c>
      <c r="N9380" s="278">
        <f>N8866</f>
        <v>3136.9611666666665</v>
      </c>
      <c r="O9380" s="280">
        <f>MROUND(N9380*G9380,0.000001)</f>
        <v>0.25628499999999999</v>
      </c>
      <c r="P9380" s="166"/>
      <c r="Q9380" s="166">
        <f t="shared" si="2701"/>
        <v>36807.651699999995</v>
      </c>
      <c r="R9380" s="71"/>
    </row>
    <row r="9381" spans="1:41" s="109" customFormat="1" x14ac:dyDescent="0.25">
      <c r="A9381" s="358"/>
      <c r="B9381" s="361"/>
      <c r="C9381" s="218" t="s">
        <v>358</v>
      </c>
      <c r="D9381" s="287"/>
      <c r="E9381" s="287"/>
      <c r="F9381" s="287"/>
      <c r="G9381" s="288"/>
      <c r="H9381" s="214"/>
      <c r="I9381" s="206"/>
      <c r="J9381" s="214"/>
      <c r="K9381" s="207"/>
      <c r="L9381" s="215"/>
      <c r="M9381" s="289"/>
      <c r="N9381" s="281"/>
      <c r="O9381" s="279">
        <f>SUM(O9376:O9380)</f>
        <v>0.6635629999999999</v>
      </c>
      <c r="P9381" s="267"/>
      <c r="Q9381" s="166">
        <f t="shared" si="2701"/>
        <v>0</v>
      </c>
      <c r="R9381" s="71"/>
      <c r="S9381" s="62"/>
      <c r="T9381" s="62"/>
      <c r="U9381" s="62"/>
      <c r="V9381" s="62"/>
      <c r="W9381" s="62"/>
      <c r="X9381" s="62"/>
      <c r="Y9381" s="62"/>
      <c r="Z9381" s="62"/>
      <c r="AA9381" s="62"/>
      <c r="AB9381" s="62"/>
      <c r="AC9381" s="62"/>
      <c r="AD9381" s="62"/>
      <c r="AE9381" s="62"/>
      <c r="AF9381" s="62"/>
      <c r="AG9381" s="62"/>
      <c r="AH9381" s="62"/>
      <c r="AI9381" s="62"/>
      <c r="AJ9381" s="62"/>
      <c r="AK9381" s="62"/>
      <c r="AL9381" s="62"/>
      <c r="AM9381" s="62"/>
      <c r="AN9381" s="62"/>
      <c r="AO9381" s="62"/>
    </row>
    <row r="9382" spans="1:41" s="108" customFormat="1" x14ac:dyDescent="0.25">
      <c r="A9382" s="358"/>
      <c r="B9382" s="361"/>
      <c r="C9382" s="365" t="s">
        <v>366</v>
      </c>
      <c r="D9382" s="368" t="s">
        <v>67</v>
      </c>
      <c r="E9382" s="368"/>
      <c r="F9382" s="368"/>
      <c r="G9382" s="368"/>
      <c r="H9382" s="195"/>
      <c r="I9382" s="159"/>
      <c r="J9382" s="195"/>
      <c r="K9382" s="161"/>
      <c r="L9382" s="196"/>
      <c r="M9382" s="230"/>
      <c r="N9382" s="278"/>
      <c r="O9382" s="279">
        <f>O9383</f>
        <v>8.8612999999999997E-2</v>
      </c>
      <c r="P9382" s="166"/>
      <c r="Q9382" s="166">
        <f t="shared" si="2701"/>
        <v>0</v>
      </c>
      <c r="R9382" s="71"/>
      <c r="S9382" s="61"/>
      <c r="T9382" s="61"/>
      <c r="U9382" s="61"/>
      <c r="V9382" s="61"/>
      <c r="W9382" s="61"/>
      <c r="X9382" s="61"/>
      <c r="Y9382" s="61"/>
      <c r="Z9382" s="61"/>
      <c r="AA9382" s="61"/>
      <c r="AB9382" s="61"/>
      <c r="AC9382" s="61"/>
      <c r="AD9382" s="61"/>
      <c r="AE9382" s="61"/>
      <c r="AF9382" s="61"/>
      <c r="AG9382" s="61"/>
      <c r="AH9382" s="61"/>
      <c r="AI9382" s="61"/>
      <c r="AJ9382" s="61"/>
      <c r="AK9382" s="61"/>
      <c r="AL9382" s="61"/>
      <c r="AM9382" s="61"/>
      <c r="AN9382" s="61"/>
      <c r="AO9382" s="61"/>
    </row>
    <row r="9383" spans="1:41" s="61" customFormat="1" x14ac:dyDescent="0.25">
      <c r="A9383" s="358"/>
      <c r="B9383" s="361"/>
      <c r="C9383" s="367"/>
      <c r="D9383" s="194" t="s">
        <v>367</v>
      </c>
      <c r="E9383" s="156" t="s">
        <v>28</v>
      </c>
      <c r="F9383" s="156" t="s">
        <v>28</v>
      </c>
      <c r="G9383" s="238">
        <f>MROUND(H9383*L9383*I9383/K9383,0.000000000001)</f>
        <v>3.2679404000000002E-5</v>
      </c>
      <c r="H9383" s="158">
        <f>H8869</f>
        <v>2</v>
      </c>
      <c r="I9383" s="159">
        <f>I9380</f>
        <v>0.19555899999999998</v>
      </c>
      <c r="J9383" s="160"/>
      <c r="K9383" s="161">
        <f>K9380</f>
        <v>143620</v>
      </c>
      <c r="L9383" s="250">
        <v>12</v>
      </c>
      <c r="M9383" s="163" t="str">
        <f>CONCATENATE(H9383," ",F9383,"*",L9383,"мес.","*",I9383,"/",K9383,"чел/час")</f>
        <v>2 шт*12мес.*0,195559/143620чел/час</v>
      </c>
      <c r="N9383" s="278">
        <f>N8869</f>
        <v>2711.57125</v>
      </c>
      <c r="O9383" s="280">
        <f>MROUND(N9383*G9383,0.000001)</f>
        <v>8.8612999999999997E-2</v>
      </c>
      <c r="P9383" s="166"/>
      <c r="Q9383" s="166">
        <f t="shared" si="2701"/>
        <v>12726.59906</v>
      </c>
      <c r="R9383" s="71"/>
    </row>
    <row r="9384" spans="1:41" s="108" customFormat="1" x14ac:dyDescent="0.25">
      <c r="A9384" s="358"/>
      <c r="B9384" s="361"/>
      <c r="C9384" s="221"/>
      <c r="D9384" s="350" t="s">
        <v>68</v>
      </c>
      <c r="E9384" s="350"/>
      <c r="F9384" s="350"/>
      <c r="G9384" s="350"/>
      <c r="H9384" s="195"/>
      <c r="I9384" s="159"/>
      <c r="J9384" s="195"/>
      <c r="K9384" s="161"/>
      <c r="L9384" s="196"/>
      <c r="M9384" s="230"/>
      <c r="N9384" s="278"/>
      <c r="O9384" s="280"/>
      <c r="P9384" s="166"/>
      <c r="Q9384" s="166">
        <f t="shared" si="2701"/>
        <v>0</v>
      </c>
      <c r="R9384" s="71"/>
      <c r="S9384" s="61"/>
      <c r="T9384" s="61"/>
      <c r="U9384" s="61"/>
      <c r="V9384" s="61"/>
      <c r="W9384" s="61"/>
      <c r="X9384" s="61"/>
      <c r="Y9384" s="61"/>
      <c r="Z9384" s="61"/>
      <c r="AA9384" s="61"/>
      <c r="AB9384" s="61"/>
      <c r="AC9384" s="61"/>
      <c r="AD9384" s="61"/>
      <c r="AE9384" s="61"/>
      <c r="AF9384" s="61"/>
      <c r="AG9384" s="61"/>
      <c r="AH9384" s="61"/>
      <c r="AI9384" s="61"/>
      <c r="AJ9384" s="61"/>
      <c r="AK9384" s="61"/>
      <c r="AL9384" s="61"/>
      <c r="AM9384" s="61"/>
      <c r="AN9384" s="61"/>
      <c r="AO9384" s="61"/>
    </row>
    <row r="9385" spans="1:41" s="108" customFormat="1" x14ac:dyDescent="0.25">
      <c r="A9385" s="358"/>
      <c r="B9385" s="361"/>
      <c r="C9385" s="221"/>
      <c r="D9385" s="156"/>
      <c r="E9385" s="156"/>
      <c r="F9385" s="156"/>
      <c r="G9385" s="236"/>
      <c r="H9385" s="195"/>
      <c r="I9385" s="159"/>
      <c r="J9385" s="195"/>
      <c r="K9385" s="161"/>
      <c r="L9385" s="196"/>
      <c r="M9385" s="230"/>
      <c r="N9385" s="278"/>
      <c r="O9385" s="280"/>
      <c r="P9385" s="166"/>
      <c r="Q9385" s="166">
        <f t="shared" si="2701"/>
        <v>0</v>
      </c>
      <c r="R9385" s="71"/>
      <c r="S9385" s="61"/>
      <c r="T9385" s="61"/>
      <c r="U9385" s="61"/>
      <c r="V9385" s="61"/>
      <c r="W9385" s="61"/>
      <c r="X9385" s="61"/>
      <c r="Y9385" s="61"/>
      <c r="Z9385" s="61"/>
      <c r="AA9385" s="61"/>
      <c r="AB9385" s="61"/>
      <c r="AC9385" s="61"/>
      <c r="AD9385" s="61"/>
      <c r="AE9385" s="61"/>
      <c r="AF9385" s="61"/>
      <c r="AG9385" s="61"/>
      <c r="AH9385" s="61"/>
      <c r="AI9385" s="61"/>
      <c r="AJ9385" s="61"/>
      <c r="AK9385" s="61"/>
      <c r="AL9385" s="61"/>
      <c r="AM9385" s="61"/>
      <c r="AN9385" s="61"/>
      <c r="AO9385" s="61"/>
    </row>
    <row r="9386" spans="1:41" s="108" customFormat="1" x14ac:dyDescent="0.25">
      <c r="A9386" s="358"/>
      <c r="B9386" s="361"/>
      <c r="C9386" s="221"/>
      <c r="D9386" s="368" t="s">
        <v>69</v>
      </c>
      <c r="E9386" s="368"/>
      <c r="F9386" s="368"/>
      <c r="G9386" s="368"/>
      <c r="H9386" s="187"/>
      <c r="I9386" s="159"/>
      <c r="J9386" s="187"/>
      <c r="K9386" s="161"/>
      <c r="L9386" s="276"/>
      <c r="M9386" s="230"/>
      <c r="N9386" s="278"/>
      <c r="O9386" s="279">
        <f>O9393+O9409+O9412+O9425+O9426+O9427+O9438+O9440+O9444+O9441</f>
        <v>5.0428939999999987</v>
      </c>
      <c r="P9386" s="166"/>
      <c r="Q9386" s="166">
        <f t="shared" si="2701"/>
        <v>0</v>
      </c>
      <c r="R9386" s="71"/>
      <c r="S9386" s="61"/>
      <c r="T9386" s="61"/>
      <c r="U9386" s="61"/>
      <c r="V9386" s="61"/>
      <c r="W9386" s="61"/>
      <c r="X9386" s="61"/>
      <c r="Y9386" s="61"/>
      <c r="Z9386" s="61"/>
      <c r="AA9386" s="61"/>
      <c r="AB9386" s="61"/>
      <c r="AC9386" s="61"/>
      <c r="AD9386" s="61"/>
      <c r="AE9386" s="61"/>
      <c r="AF9386" s="61"/>
      <c r="AG9386" s="61"/>
      <c r="AH9386" s="61"/>
      <c r="AI9386" s="61"/>
      <c r="AJ9386" s="61"/>
      <c r="AK9386" s="61"/>
      <c r="AL9386" s="61"/>
      <c r="AM9386" s="61"/>
      <c r="AN9386" s="61"/>
      <c r="AO9386" s="61"/>
    </row>
    <row r="9387" spans="1:41" s="61" customFormat="1" ht="31.5" x14ac:dyDescent="0.25">
      <c r="A9387" s="358"/>
      <c r="B9387" s="361"/>
      <c r="C9387" s="365" t="s">
        <v>78</v>
      </c>
      <c r="D9387" s="156" t="s">
        <v>26</v>
      </c>
      <c r="E9387" s="156" t="s">
        <v>22</v>
      </c>
      <c r="F9387" s="156" t="s">
        <v>22</v>
      </c>
      <c r="G9387" s="238">
        <f t="shared" ref="G9387:G9392" si="2702">MROUND(H9387*L9387*I9387/K9387,0.000000000001)</f>
        <v>8.1049170199999993E-2</v>
      </c>
      <c r="H9387" s="158">
        <f>H8873</f>
        <v>4960.26</v>
      </c>
      <c r="I9387" s="159">
        <f>I9383</f>
        <v>0.19555899999999998</v>
      </c>
      <c r="J9387" s="160"/>
      <c r="K9387" s="161">
        <f>K9383</f>
        <v>143620</v>
      </c>
      <c r="L9387" s="250">
        <v>12</v>
      </c>
      <c r="M9387" s="163" t="str">
        <f>CONCATENATE(H9387," ",F9387,"(обрабатываемая площадь в мес.)","*",L9387,"мес.","*",I9387,"/",K9387,"чел/час")</f>
        <v>4960,26 м2(обрабатываемая площадь в мес.)*12мес.*0,195559/143620чел/час</v>
      </c>
      <c r="N9387" s="278">
        <f>N8873</f>
        <v>1.2568900958148699</v>
      </c>
      <c r="O9387" s="280">
        <f>MROUND(N9387*G9387,0.000001)</f>
        <v>0.10187</v>
      </c>
      <c r="P9387" s="166"/>
      <c r="Q9387" s="166">
        <f t="shared" si="2701"/>
        <v>14630.5694</v>
      </c>
      <c r="R9387" s="71"/>
    </row>
    <row r="9388" spans="1:41" s="61" customFormat="1" ht="31.5" x14ac:dyDescent="0.25">
      <c r="A9388" s="358"/>
      <c r="B9388" s="361"/>
      <c r="C9388" s="366"/>
      <c r="D9388" s="156" t="s">
        <v>96</v>
      </c>
      <c r="E9388" s="156" t="s">
        <v>22</v>
      </c>
      <c r="F9388" s="156" t="s">
        <v>22</v>
      </c>
      <c r="G9388" s="238">
        <f t="shared" si="2702"/>
        <v>4.4889409692999996E-2</v>
      </c>
      <c r="H9388" s="158">
        <f>H8874</f>
        <v>2747.26</v>
      </c>
      <c r="I9388" s="298">
        <f>I9387</f>
        <v>0.19555899999999998</v>
      </c>
      <c r="J9388" s="299"/>
      <c r="K9388" s="300">
        <f>K9387</f>
        <v>143620</v>
      </c>
      <c r="L9388" s="250">
        <v>12</v>
      </c>
      <c r="M9388" s="163" t="str">
        <f>CONCATENATE(H9388," ",F9388,"(обрабатываемая площадь в мес.)","*",L9388,"мес.","*",I9388,"/",K9388,"чел/час")</f>
        <v>2747,26 м2(обрабатываемая площадь в мес.)*12мес.*0,195559/143620чел/час</v>
      </c>
      <c r="N9388" s="278">
        <f>N8874</f>
        <v>1.7523653870887115</v>
      </c>
      <c r="O9388" s="280">
        <f>MROUND(N9388*G9388,0.000001)</f>
        <v>7.8662999999999997E-2</v>
      </c>
      <c r="P9388" s="166"/>
      <c r="Q9388" s="166">
        <f t="shared" si="2701"/>
        <v>11297.58006</v>
      </c>
      <c r="R9388" s="71"/>
    </row>
    <row r="9389" spans="1:41" s="135" customFormat="1" ht="31.5" x14ac:dyDescent="0.25">
      <c r="A9389" s="358"/>
      <c r="B9389" s="361"/>
      <c r="C9389" s="366"/>
      <c r="D9389" s="156" t="s">
        <v>385</v>
      </c>
      <c r="E9389" s="156" t="s">
        <v>22</v>
      </c>
      <c r="F9389" s="156" t="s">
        <v>22</v>
      </c>
      <c r="G9389" s="238">
        <f t="shared" si="2702"/>
        <v>8.9778819385999992E-2</v>
      </c>
      <c r="H9389" s="242">
        <f>$H$2098</f>
        <v>2747.26</v>
      </c>
      <c r="I9389" s="298">
        <f>I9388</f>
        <v>0.19555899999999998</v>
      </c>
      <c r="J9389" s="160"/>
      <c r="K9389" s="300">
        <f>K9388</f>
        <v>143620</v>
      </c>
      <c r="L9389" s="162">
        <v>24</v>
      </c>
      <c r="M9389" s="163" t="str">
        <f>CONCATENATE(H9389," ",F9389,"(обрабатываемая площадь в год)","*",L9389," раза в год.","*",I9389,"/",K9389,"чел.")</f>
        <v>2747,26 м2(обрабатываемая площадь в год)*24 раза в год.*0,195559/143620чел.</v>
      </c>
      <c r="N9389" s="164">
        <f>$N$8875</f>
        <v>1.9341167805983659</v>
      </c>
      <c r="O9389" s="165">
        <f>MROUND(G9389*N9389,0.000001)</f>
        <v>0.17364299999999999</v>
      </c>
      <c r="P9389" s="166"/>
      <c r="Q9389" s="166">
        <f t="shared" si="2701"/>
        <v>24938.607659999998</v>
      </c>
      <c r="R9389" s="71"/>
      <c r="S9389" s="61"/>
      <c r="T9389" s="61"/>
      <c r="U9389" s="61"/>
      <c r="V9389" s="61"/>
      <c r="W9389" s="61"/>
      <c r="X9389" s="61"/>
      <c r="Y9389" s="61"/>
      <c r="Z9389" s="61"/>
      <c r="AA9389" s="61"/>
      <c r="AB9389" s="61"/>
      <c r="AC9389" s="61"/>
      <c r="AD9389" s="61"/>
      <c r="AE9389" s="61"/>
      <c r="AF9389" s="61"/>
      <c r="AG9389" s="61"/>
      <c r="AH9389" s="61"/>
      <c r="AI9389" s="61"/>
      <c r="AJ9389" s="61"/>
      <c r="AK9389" s="61"/>
      <c r="AL9389" s="61"/>
      <c r="AM9389" s="61"/>
      <c r="AN9389" s="61"/>
      <c r="AO9389" s="61"/>
    </row>
    <row r="9390" spans="1:41" s="135" customFormat="1" ht="31.5" x14ac:dyDescent="0.25">
      <c r="A9390" s="358"/>
      <c r="B9390" s="361"/>
      <c r="C9390" s="366"/>
      <c r="D9390" s="156" t="s">
        <v>394</v>
      </c>
      <c r="E9390" s="156" t="s">
        <v>22</v>
      </c>
      <c r="F9390" s="156" t="s">
        <v>22</v>
      </c>
      <c r="G9390" s="238">
        <f t="shared" si="2702"/>
        <v>8.1049170199999993E-2</v>
      </c>
      <c r="H9390" s="243">
        <f>$H$2099</f>
        <v>4960.26</v>
      </c>
      <c r="I9390" s="298">
        <f>I9389</f>
        <v>0.19555899999999998</v>
      </c>
      <c r="J9390" s="160"/>
      <c r="K9390" s="300">
        <f>K9389</f>
        <v>143620</v>
      </c>
      <c r="L9390" s="162">
        <v>12</v>
      </c>
      <c r="M9390" s="163" t="str">
        <f>CONCATENATE(H9390," ",F9390,"(обрабатываемая площадь в мес.)","*",L9390,"мес.","*",I9390,"/",K9390,"чел.")</f>
        <v>4960,26 м2(обрабатываемая площадь в мес.)*12мес.*0,195559/143620чел.</v>
      </c>
      <c r="N9390" s="164">
        <f>$N$8876</f>
        <v>0.59287281983874496</v>
      </c>
      <c r="O9390" s="165">
        <f>MROUND(G9390*N9390,0.000001)</f>
        <v>4.8051999999999997E-2</v>
      </c>
      <c r="P9390" s="166"/>
      <c r="Q9390" s="166">
        <f t="shared" si="2701"/>
        <v>6901.2282399999995</v>
      </c>
      <c r="R9390" s="71"/>
      <c r="S9390" s="61"/>
      <c r="T9390" s="61"/>
      <c r="U9390" s="61"/>
      <c r="V9390" s="61"/>
      <c r="W9390" s="61"/>
      <c r="X9390" s="61"/>
      <c r="Y9390" s="61"/>
      <c r="Z9390" s="61"/>
      <c r="AA9390" s="61"/>
      <c r="AB9390" s="61"/>
      <c r="AC9390" s="61"/>
      <c r="AD9390" s="61"/>
      <c r="AE9390" s="61"/>
      <c r="AF9390" s="61"/>
      <c r="AG9390" s="61"/>
      <c r="AH9390" s="61"/>
      <c r="AI9390" s="61"/>
      <c r="AJ9390" s="61"/>
      <c r="AK9390" s="61"/>
      <c r="AL9390" s="61"/>
      <c r="AM9390" s="61"/>
      <c r="AN9390" s="61"/>
      <c r="AO9390" s="61"/>
    </row>
    <row r="9391" spans="1:41" s="135" customFormat="1" ht="31.5" x14ac:dyDescent="0.25">
      <c r="A9391" s="358"/>
      <c r="B9391" s="361"/>
      <c r="C9391" s="366"/>
      <c r="D9391" s="156" t="s">
        <v>395</v>
      </c>
      <c r="E9391" s="156" t="s">
        <v>98</v>
      </c>
      <c r="F9391" s="156" t="s">
        <v>98</v>
      </c>
      <c r="G9391" s="238">
        <f t="shared" si="2702"/>
        <v>2.5598870000000001E-6</v>
      </c>
      <c r="H9391" s="242">
        <f>$H$2100</f>
        <v>1.8800000000000001</v>
      </c>
      <c r="I9391" s="298">
        <f>I9390</f>
        <v>0.19555899999999998</v>
      </c>
      <c r="J9391" s="160"/>
      <c r="K9391" s="300">
        <f>K9390</f>
        <v>143620</v>
      </c>
      <c r="L9391" s="162">
        <v>1</v>
      </c>
      <c r="M9391" s="163" t="str">
        <f>CONCATENATE(H9391," ",F9391,"(обрабатываемая площадь в год)","*",L9391," раз в год","*",I9391,"/",K9391,"чел.")</f>
        <v>1,88 Га(обрабатываемая площадь в год)*1 раз в год*0,195559/143620чел.</v>
      </c>
      <c r="N9391" s="164">
        <f>$N$8877</f>
        <v>592.87234042553177</v>
      </c>
      <c r="O9391" s="165">
        <f>MROUND(G9391*N9391,0.000001)</f>
        <v>1.518E-3</v>
      </c>
      <c r="P9391" s="166"/>
      <c r="Q9391" s="166">
        <f t="shared" si="2701"/>
        <v>218.01516000000001</v>
      </c>
      <c r="R9391" s="71"/>
      <c r="S9391" s="61"/>
      <c r="T9391" s="61"/>
      <c r="U9391" s="61"/>
      <c r="V9391" s="61"/>
      <c r="W9391" s="61"/>
      <c r="X9391" s="61"/>
      <c r="Y9391" s="61"/>
      <c r="Z9391" s="61"/>
      <c r="AA9391" s="61"/>
      <c r="AB9391" s="61"/>
      <c r="AC9391" s="61"/>
      <c r="AD9391" s="61"/>
      <c r="AE9391" s="61"/>
      <c r="AF9391" s="61"/>
      <c r="AG9391" s="61"/>
      <c r="AH9391" s="61"/>
      <c r="AI9391" s="61"/>
      <c r="AJ9391" s="61"/>
      <c r="AK9391" s="61"/>
      <c r="AL9391" s="61"/>
      <c r="AM9391" s="61"/>
      <c r="AN9391" s="61"/>
      <c r="AO9391" s="61"/>
    </row>
    <row r="9392" spans="1:41" s="61" customFormat="1" ht="31.5" x14ac:dyDescent="0.25">
      <c r="A9392" s="358"/>
      <c r="B9392" s="361"/>
      <c r="C9392" s="367"/>
      <c r="D9392" s="156" t="s">
        <v>97</v>
      </c>
      <c r="E9392" s="156" t="s">
        <v>363</v>
      </c>
      <c r="F9392" s="156" t="s">
        <v>363</v>
      </c>
      <c r="G9392" s="238">
        <f t="shared" si="2702"/>
        <v>2.5598870000000001E-6</v>
      </c>
      <c r="H9392" s="158">
        <f>$H$2101</f>
        <v>1.8800000000000001</v>
      </c>
      <c r="I9392" s="298">
        <f>I9388</f>
        <v>0.19555899999999998</v>
      </c>
      <c r="J9392" s="299"/>
      <c r="K9392" s="300">
        <f>K9388</f>
        <v>143620</v>
      </c>
      <c r="L9392" s="250">
        <v>1</v>
      </c>
      <c r="M9392" s="163" t="str">
        <f>CONCATENATE(H9392," ",F9392,"(обрабатываемая площадь в мес.)","*",L9392,"мес.","*",I9392,"/",K9392,"чел/час")</f>
        <v>1,88 га(обрабатываемая площадь в мес.)*1мес.*0,195559/143620чел/час</v>
      </c>
      <c r="N9392" s="278">
        <f>$N$8878</f>
        <v>3226.4999999999995</v>
      </c>
      <c r="O9392" s="280">
        <f>MROUND(N9392*G9392,0.000001)</f>
        <v>8.258999999999999E-3</v>
      </c>
      <c r="P9392" s="166"/>
      <c r="Q9392" s="166">
        <f t="shared" si="2701"/>
        <v>1186.1575799999998</v>
      </c>
      <c r="R9392" s="71"/>
    </row>
    <row r="9393" spans="1:41" s="109" customFormat="1" x14ac:dyDescent="0.25">
      <c r="A9393" s="358"/>
      <c r="B9393" s="361"/>
      <c r="C9393" s="218" t="s">
        <v>327</v>
      </c>
      <c r="D9393" s="240"/>
      <c r="E9393" s="240"/>
      <c r="F9393" s="240"/>
      <c r="G9393" s="227"/>
      <c r="H9393" s="241"/>
      <c r="I9393" s="206"/>
      <c r="J9393" s="228"/>
      <c r="K9393" s="207"/>
      <c r="L9393" s="257"/>
      <c r="M9393" s="209"/>
      <c r="N9393" s="281"/>
      <c r="O9393" s="279">
        <f>SUM(O9387:O9392)</f>
        <v>0.41200500000000001</v>
      </c>
      <c r="P9393" s="267"/>
      <c r="Q9393" s="166"/>
      <c r="R9393" s="71"/>
      <c r="S9393" s="62"/>
      <c r="T9393" s="62"/>
      <c r="U9393" s="62"/>
      <c r="V9393" s="62"/>
      <c r="W9393" s="62"/>
      <c r="X9393" s="62"/>
      <c r="Y9393" s="62"/>
      <c r="Z9393" s="62"/>
      <c r="AA9393" s="62"/>
      <c r="AB9393" s="62"/>
      <c r="AC9393" s="62"/>
      <c r="AD9393" s="62"/>
      <c r="AE9393" s="62"/>
      <c r="AF9393" s="62"/>
      <c r="AG9393" s="62"/>
      <c r="AH9393" s="62"/>
      <c r="AI9393" s="62"/>
      <c r="AJ9393" s="62"/>
      <c r="AK9393" s="62"/>
      <c r="AL9393" s="62"/>
      <c r="AM9393" s="62"/>
      <c r="AN9393" s="62"/>
      <c r="AO9393" s="62"/>
    </row>
    <row r="9394" spans="1:41" s="61" customFormat="1" x14ac:dyDescent="0.25">
      <c r="A9394" s="358"/>
      <c r="B9394" s="361"/>
      <c r="C9394" s="366" t="s">
        <v>77</v>
      </c>
      <c r="D9394" s="156" t="s">
        <v>397</v>
      </c>
      <c r="E9394" s="156" t="s">
        <v>433</v>
      </c>
      <c r="F9394" s="156" t="s">
        <v>433</v>
      </c>
      <c r="G9394" s="238">
        <f t="shared" ref="G9394:G9408" si="2703">MROUND(H9394*L9394*I9394/K9394,0.000000000001)</f>
        <v>0</v>
      </c>
      <c r="H9394" s="158"/>
      <c r="I9394" s="306">
        <f>I9388</f>
        <v>0.19555899999999998</v>
      </c>
      <c r="J9394" s="307"/>
      <c r="K9394" s="308">
        <f>K9388</f>
        <v>143620</v>
      </c>
      <c r="L9394" s="162">
        <v>1</v>
      </c>
      <c r="M9394" s="163"/>
      <c r="N9394" s="278"/>
      <c r="O9394" s="280">
        <f t="shared" ref="O9394:O9405" si="2704">MROUND(N9394*G9394,0.000001)</f>
        <v>0</v>
      </c>
      <c r="P9394" s="166"/>
      <c r="Q9394" s="166">
        <f t="shared" ref="Q9394:Q9408" si="2705">O9394*K9394</f>
        <v>0</v>
      </c>
      <c r="R9394" s="71"/>
    </row>
    <row r="9395" spans="1:41" s="61" customFormat="1" ht="63" x14ac:dyDescent="0.25">
      <c r="A9395" s="358"/>
      <c r="B9395" s="361"/>
      <c r="C9395" s="366"/>
      <c r="D9395" s="156" t="s">
        <v>249</v>
      </c>
      <c r="E9395" s="156" t="s">
        <v>22</v>
      </c>
      <c r="F9395" s="156" t="s">
        <v>22</v>
      </c>
      <c r="G9395" s="238">
        <f t="shared" si="2703"/>
        <v>1.1287302738999999E-2</v>
      </c>
      <c r="H9395" s="158">
        <f>H8881</f>
        <v>690.79</v>
      </c>
      <c r="I9395" s="159">
        <f>I9394</f>
        <v>0.19555899999999998</v>
      </c>
      <c r="J9395" s="160"/>
      <c r="K9395" s="161">
        <f>K9394</f>
        <v>143620</v>
      </c>
      <c r="L9395" s="250">
        <v>12</v>
      </c>
      <c r="M9395" s="163" t="str">
        <f>CONCATENATE(H9395," ",F9395,"*",L9395,"мес.","*",I9395,"/",K9395,"чел/час")</f>
        <v>690,79 м2*12мес.*0,195559/143620чел/час</v>
      </c>
      <c r="N9395" s="278">
        <f>N8985</f>
        <v>32.968811071382042</v>
      </c>
      <c r="O9395" s="280">
        <f t="shared" si="2704"/>
        <v>0.37212899999999999</v>
      </c>
      <c r="P9395" s="166"/>
      <c r="Q9395" s="166">
        <f t="shared" si="2705"/>
        <v>53445.166980000002</v>
      </c>
      <c r="R9395" s="71"/>
    </row>
    <row r="9396" spans="1:41" s="136" customFormat="1" x14ac:dyDescent="0.25">
      <c r="A9396" s="358"/>
      <c r="B9396" s="361"/>
      <c r="C9396" s="366"/>
      <c r="D9396" s="194" t="s">
        <v>398</v>
      </c>
      <c r="E9396" s="156" t="s">
        <v>60</v>
      </c>
      <c r="F9396" s="156" t="s">
        <v>60</v>
      </c>
      <c r="G9396" s="238">
        <f t="shared" si="2703"/>
        <v>6.8082089999999999E-6</v>
      </c>
      <c r="H9396" s="158">
        <f>$H$2105</f>
        <v>5</v>
      </c>
      <c r="I9396" s="159">
        <f>I9395</f>
        <v>0.19555899999999998</v>
      </c>
      <c r="J9396" s="160"/>
      <c r="K9396" s="161">
        <f>K9395</f>
        <v>143620</v>
      </c>
      <c r="L9396" s="250">
        <v>1</v>
      </c>
      <c r="M9396" s="163" t="str">
        <f>CONCATENATE(H9396," ",F9396,"*",I9396,"/",K9396,"чел/час")</f>
        <v>5 шт.*0,195559/143620чел/час</v>
      </c>
      <c r="N9396" s="278">
        <f>$N$8882</f>
        <v>5928.7300000000005</v>
      </c>
      <c r="O9396" s="280">
        <f t="shared" si="2704"/>
        <v>4.0363999999999997E-2</v>
      </c>
      <c r="P9396" s="166"/>
      <c r="Q9396" s="166">
        <f t="shared" si="2705"/>
        <v>5797.0776799999994</v>
      </c>
      <c r="R9396" s="71"/>
      <c r="S9396" s="61"/>
      <c r="T9396" s="61"/>
      <c r="U9396" s="61"/>
      <c r="V9396" s="61"/>
      <c r="W9396" s="61"/>
      <c r="X9396" s="61"/>
      <c r="Y9396" s="61"/>
      <c r="Z9396" s="61"/>
      <c r="AA9396" s="61"/>
      <c r="AB9396" s="61"/>
      <c r="AC9396" s="61"/>
      <c r="AD9396" s="61"/>
      <c r="AE9396" s="61"/>
      <c r="AF9396" s="61"/>
      <c r="AG9396" s="61"/>
      <c r="AH9396" s="61"/>
      <c r="AI9396" s="61"/>
      <c r="AJ9396" s="61"/>
      <c r="AK9396" s="61"/>
      <c r="AL9396" s="61"/>
      <c r="AM9396" s="61"/>
      <c r="AN9396" s="61"/>
      <c r="AO9396" s="61"/>
    </row>
    <row r="9397" spans="1:41" s="136" customFormat="1" ht="63" x14ac:dyDescent="0.25">
      <c r="A9397" s="358"/>
      <c r="B9397" s="361"/>
      <c r="C9397" s="366"/>
      <c r="D9397" s="156" t="s">
        <v>33</v>
      </c>
      <c r="E9397" s="156" t="s">
        <v>56</v>
      </c>
      <c r="F9397" s="156" t="s">
        <v>220</v>
      </c>
      <c r="G9397" s="238">
        <f t="shared" si="2703"/>
        <v>6.8082089999999999E-6</v>
      </c>
      <c r="H9397" s="158">
        <f>$H$2106</f>
        <v>5</v>
      </c>
      <c r="I9397" s="159">
        <f>I9396</f>
        <v>0.19555899999999998</v>
      </c>
      <c r="J9397" s="160"/>
      <c r="K9397" s="161">
        <f>K9396</f>
        <v>143620</v>
      </c>
      <c r="L9397" s="250">
        <f>$L$2106</f>
        <v>1</v>
      </c>
      <c r="M9397" s="163" t="str">
        <f>CONCATENATE(H9397," ",F9397,"*",L9397," раз в год","*",I9397,"/",K9397,"чел.")</f>
        <v>5 дымоходов*1 раз в год*0,195559/143620чел.</v>
      </c>
      <c r="N9397" s="278">
        <f>$N$8883</f>
        <v>7114.4699999999993</v>
      </c>
      <c r="O9397" s="280">
        <f t="shared" si="2704"/>
        <v>4.8437000000000001E-2</v>
      </c>
      <c r="P9397" s="166"/>
      <c r="Q9397" s="166">
        <f t="shared" si="2705"/>
        <v>6956.5219400000005</v>
      </c>
      <c r="R9397" s="71"/>
      <c r="S9397" s="61"/>
      <c r="T9397" s="61"/>
      <c r="U9397" s="61"/>
      <c r="V9397" s="61"/>
      <c r="W9397" s="61"/>
      <c r="X9397" s="61"/>
      <c r="Y9397" s="61"/>
      <c r="Z9397" s="61"/>
      <c r="AA9397" s="61"/>
      <c r="AB9397" s="61"/>
      <c r="AC9397" s="61"/>
      <c r="AD9397" s="61"/>
      <c r="AE9397" s="61"/>
      <c r="AF9397" s="61"/>
      <c r="AG9397" s="61"/>
      <c r="AH9397" s="61"/>
      <c r="AI9397" s="61"/>
      <c r="AJ9397" s="61"/>
      <c r="AK9397" s="61"/>
      <c r="AL9397" s="61"/>
      <c r="AM9397" s="61"/>
      <c r="AN9397" s="61"/>
      <c r="AO9397" s="61"/>
    </row>
    <row r="9398" spans="1:41" s="61" customFormat="1" ht="78.75" x14ac:dyDescent="0.25">
      <c r="A9398" s="358"/>
      <c r="B9398" s="361"/>
      <c r="C9398" s="366"/>
      <c r="D9398" s="156" t="s">
        <v>250</v>
      </c>
      <c r="E9398" s="156" t="s">
        <v>251</v>
      </c>
      <c r="F9398" s="156" t="s">
        <v>60</v>
      </c>
      <c r="G9398" s="238">
        <f t="shared" si="2703"/>
        <v>6.8082089999999999E-6</v>
      </c>
      <c r="H9398" s="158">
        <f>$H$2107</f>
        <v>5</v>
      </c>
      <c r="I9398" s="159">
        <f>I9395</f>
        <v>0.19555899999999998</v>
      </c>
      <c r="J9398" s="160"/>
      <c r="K9398" s="161">
        <f>K9395</f>
        <v>143620</v>
      </c>
      <c r="L9398" s="250">
        <v>1</v>
      </c>
      <c r="M9398" s="163" t="str">
        <f>CONCATENATE(H9398," ",F9398,"*",I9398,"/",K9398,"чел/час")</f>
        <v>5 шт.*0,195559/143620чел/час</v>
      </c>
      <c r="N9398" s="278">
        <f t="shared" ref="N9398:N9408" si="2706">N8884</f>
        <v>4742.9800000000005</v>
      </c>
      <c r="O9398" s="280">
        <f t="shared" si="2704"/>
        <v>3.2291E-2</v>
      </c>
      <c r="P9398" s="166"/>
      <c r="Q9398" s="166">
        <f t="shared" si="2705"/>
        <v>4637.6334200000001</v>
      </c>
      <c r="R9398" s="71"/>
    </row>
    <row r="9399" spans="1:41" s="61" customFormat="1" ht="47.25" x14ac:dyDescent="0.25">
      <c r="A9399" s="358"/>
      <c r="B9399" s="361"/>
      <c r="C9399" s="366"/>
      <c r="D9399" s="156" t="s">
        <v>401</v>
      </c>
      <c r="E9399" s="156" t="s">
        <v>60</v>
      </c>
      <c r="F9399" s="156" t="s">
        <v>402</v>
      </c>
      <c r="G9399" s="238">
        <f t="shared" si="2703"/>
        <v>1.3616418E-5</v>
      </c>
      <c r="H9399" s="158">
        <f>H8885</f>
        <v>5</v>
      </c>
      <c r="I9399" s="159">
        <f>I9398</f>
        <v>0.19555899999999998</v>
      </c>
      <c r="J9399" s="160"/>
      <c r="K9399" s="161">
        <f>K9398</f>
        <v>143620</v>
      </c>
      <c r="L9399" s="250">
        <f>$L$2108</f>
        <v>2</v>
      </c>
      <c r="M9399" s="163" t="str">
        <f>CONCATENATE(H9399," ",F9399,"*",I9399,"/",K9399,"чел/час")</f>
        <v>5 противопожарных водопроводов*0,195559/143620чел/час</v>
      </c>
      <c r="N9399" s="278">
        <f t="shared" si="2706"/>
        <v>2964.3650000000002</v>
      </c>
      <c r="O9399" s="280">
        <f t="shared" si="2704"/>
        <v>4.0363999999999997E-2</v>
      </c>
      <c r="P9399" s="166"/>
      <c r="Q9399" s="166">
        <f t="shared" si="2705"/>
        <v>5797.0776799999994</v>
      </c>
      <c r="R9399" s="71"/>
    </row>
    <row r="9400" spans="1:41" s="61" customFormat="1" ht="47.25" x14ac:dyDescent="0.25">
      <c r="A9400" s="358"/>
      <c r="B9400" s="361"/>
      <c r="C9400" s="366"/>
      <c r="D9400" s="156" t="s">
        <v>34</v>
      </c>
      <c r="E9400" s="156" t="s">
        <v>59</v>
      </c>
      <c r="F9400" s="156" t="s">
        <v>28</v>
      </c>
      <c r="G9400" s="238">
        <f t="shared" si="2703"/>
        <v>2.7232839999999998E-6</v>
      </c>
      <c r="H9400" s="158">
        <f>H8886</f>
        <v>2</v>
      </c>
      <c r="I9400" s="159">
        <f>I9399</f>
        <v>0.19555899999999998</v>
      </c>
      <c r="J9400" s="160"/>
      <c r="K9400" s="161">
        <f>K9399</f>
        <v>143620</v>
      </c>
      <c r="L9400" s="250">
        <v>1</v>
      </c>
      <c r="M9400" s="163" t="str">
        <f>CONCATENATE(H9400," ",F9400,"*",I9400,"/",K9400,"чел/час")</f>
        <v>2 шт*0,195559/143620чел/час</v>
      </c>
      <c r="N9400" s="278">
        <f t="shared" si="2706"/>
        <v>8158.8</v>
      </c>
      <c r="O9400" s="280">
        <f t="shared" si="2704"/>
        <v>2.2218999999999999E-2</v>
      </c>
      <c r="P9400" s="166"/>
      <c r="Q9400" s="166">
        <f t="shared" si="2705"/>
        <v>3191.0927799999999</v>
      </c>
      <c r="R9400" s="71"/>
    </row>
    <row r="9401" spans="1:41" s="61" customFormat="1" ht="47.25" x14ac:dyDescent="0.25">
      <c r="A9401" s="358"/>
      <c r="B9401" s="361"/>
      <c r="C9401" s="366"/>
      <c r="D9401" s="156" t="s">
        <v>222</v>
      </c>
      <c r="E9401" s="156" t="s">
        <v>60</v>
      </c>
      <c r="F9401" s="156" t="s">
        <v>60</v>
      </c>
      <c r="G9401" s="238">
        <f t="shared" si="2703"/>
        <v>2.7232839999999998E-6</v>
      </c>
      <c r="H9401" s="158">
        <f>H8887</f>
        <v>2</v>
      </c>
      <c r="I9401" s="159">
        <f>I9400</f>
        <v>0.19555899999999998</v>
      </c>
      <c r="J9401" s="160"/>
      <c r="K9401" s="161">
        <f>K9400</f>
        <v>143620</v>
      </c>
      <c r="L9401" s="250">
        <v>1</v>
      </c>
      <c r="M9401" s="163" t="str">
        <f>CONCATENATE(H9401," ",F9401,"*",I9401,"/",K9401,"чел/час")</f>
        <v>2 шт.*0,195559/143620чел/час</v>
      </c>
      <c r="N9401" s="278">
        <f t="shared" si="2706"/>
        <v>14141.92</v>
      </c>
      <c r="O9401" s="280">
        <f t="shared" si="2704"/>
        <v>3.8511999999999998E-2</v>
      </c>
      <c r="P9401" s="166"/>
      <c r="Q9401" s="166">
        <f t="shared" si="2705"/>
        <v>5531.0934399999996</v>
      </c>
      <c r="R9401" s="71"/>
    </row>
    <row r="9402" spans="1:41" s="61" customFormat="1" ht="31.5" x14ac:dyDescent="0.25">
      <c r="A9402" s="358"/>
      <c r="B9402" s="361"/>
      <c r="C9402" s="366"/>
      <c r="D9402" s="156" t="s">
        <v>35</v>
      </c>
      <c r="E9402" s="156" t="s">
        <v>102</v>
      </c>
      <c r="F9402" s="156" t="s">
        <v>252</v>
      </c>
      <c r="G9402" s="238">
        <f t="shared" si="2703"/>
        <v>2.7232839999999998E-6</v>
      </c>
      <c r="H9402" s="158">
        <f>H8888</f>
        <v>2</v>
      </c>
      <c r="I9402" s="159">
        <f>I9400</f>
        <v>0.19555899999999998</v>
      </c>
      <c r="J9402" s="160"/>
      <c r="K9402" s="161">
        <f>K9400</f>
        <v>143620</v>
      </c>
      <c r="L9402" s="250">
        <v>1</v>
      </c>
      <c r="M9402" s="163" t="str">
        <f>CONCATENATE(H9402," ",F9402,"*",I9402,"/",K9402,"чел/час")</f>
        <v>2 замера*0,195559/143620чел/час</v>
      </c>
      <c r="N9402" s="278">
        <f t="shared" si="2706"/>
        <v>40794</v>
      </c>
      <c r="O9402" s="280">
        <f t="shared" si="2704"/>
        <v>0.111094</v>
      </c>
      <c r="P9402" s="166"/>
      <c r="Q9402" s="166">
        <f t="shared" si="2705"/>
        <v>15955.32028</v>
      </c>
      <c r="R9402" s="71"/>
    </row>
    <row r="9403" spans="1:41" s="61" customFormat="1" ht="47.25" x14ac:dyDescent="0.25">
      <c r="A9403" s="358"/>
      <c r="B9403" s="361"/>
      <c r="C9403" s="366"/>
      <c r="D9403" s="156" t="s">
        <v>399</v>
      </c>
      <c r="E9403" s="156" t="s">
        <v>60</v>
      </c>
      <c r="F9403" s="156" t="s">
        <v>60</v>
      </c>
      <c r="G9403" s="238">
        <f t="shared" si="2703"/>
        <v>5.4465673000000002E-5</v>
      </c>
      <c r="H9403" s="158">
        <f>$H$2112</f>
        <v>4</v>
      </c>
      <c r="I9403" s="159">
        <f>I9402</f>
        <v>0.19555899999999998</v>
      </c>
      <c r="J9403" s="160"/>
      <c r="K9403" s="161">
        <f>K9402</f>
        <v>143620</v>
      </c>
      <c r="L9403" s="250">
        <v>10</v>
      </c>
      <c r="M9403" s="163" t="str">
        <f>CONCATENATE(H9403," ",F9403,"*",L9403,"мес.","*",I9403,"/",K9403,"чел/час")</f>
        <v>4 шт.*10мес.*0,195559/143620чел/час</v>
      </c>
      <c r="N9403" s="278">
        <f t="shared" si="2706"/>
        <v>2623.4625000000001</v>
      </c>
      <c r="O9403" s="280">
        <f t="shared" si="2704"/>
        <v>0.14288899999999999</v>
      </c>
      <c r="P9403" s="166"/>
      <c r="Q9403" s="166">
        <f t="shared" si="2705"/>
        <v>20521.71818</v>
      </c>
      <c r="R9403" s="71"/>
    </row>
    <row r="9404" spans="1:41" s="61" customFormat="1" ht="47.25" x14ac:dyDescent="0.25">
      <c r="A9404" s="358"/>
      <c r="B9404" s="361"/>
      <c r="C9404" s="366"/>
      <c r="D9404" s="156" t="s">
        <v>36</v>
      </c>
      <c r="E9404" s="156" t="s">
        <v>31</v>
      </c>
      <c r="F9404" s="156" t="s">
        <v>224</v>
      </c>
      <c r="G9404" s="238">
        <f t="shared" si="2703"/>
        <v>1.3071761600000001E-4</v>
      </c>
      <c r="H9404" s="158">
        <f>H8890</f>
        <v>8</v>
      </c>
      <c r="I9404" s="159">
        <f>I9403</f>
        <v>0.19555899999999998</v>
      </c>
      <c r="J9404" s="160"/>
      <c r="K9404" s="161">
        <f>K9403</f>
        <v>143620</v>
      </c>
      <c r="L9404" s="250">
        <v>12</v>
      </c>
      <c r="M9404" s="163" t="str">
        <f>CONCATENATE(H9404," ",F9404,"*",L9404,"мес.","*",I9404,"/",K9404,"чел/час")</f>
        <v>8 устройств*12мес.*0,195559/143620чел/час</v>
      </c>
      <c r="N9404" s="278">
        <f t="shared" si="2706"/>
        <v>2393.2480208333336</v>
      </c>
      <c r="O9404" s="280">
        <f t="shared" si="2704"/>
        <v>0.31284000000000001</v>
      </c>
      <c r="P9404" s="166"/>
      <c r="Q9404" s="166">
        <f t="shared" si="2705"/>
        <v>44930.080800000003</v>
      </c>
      <c r="R9404" s="71"/>
    </row>
    <row r="9405" spans="1:41" s="61" customFormat="1" ht="63" x14ac:dyDescent="0.25">
      <c r="A9405" s="358"/>
      <c r="B9405" s="361"/>
      <c r="C9405" s="366"/>
      <c r="D9405" s="156" t="s">
        <v>253</v>
      </c>
      <c r="E9405" s="156" t="s">
        <v>55</v>
      </c>
      <c r="F9405" s="156" t="s">
        <v>55</v>
      </c>
      <c r="G9405" s="238">
        <f t="shared" si="2703"/>
        <v>8.1698509999999998E-5</v>
      </c>
      <c r="H9405" s="158">
        <f>H8891</f>
        <v>5</v>
      </c>
      <c r="I9405" s="159">
        <f>I9404</f>
        <v>0.19555899999999998</v>
      </c>
      <c r="J9405" s="160"/>
      <c r="K9405" s="161">
        <f>K9404</f>
        <v>143620</v>
      </c>
      <c r="L9405" s="250">
        <v>12</v>
      </c>
      <c r="M9405" s="163" t="str">
        <f>CONCATENATE(H9405," ",F9405,"*",I9405,"/",K9405,"чел/час")</f>
        <v>5 система*0,195559/143620чел/час</v>
      </c>
      <c r="N9405" s="278">
        <f t="shared" si="2706"/>
        <v>4624.4081666666671</v>
      </c>
      <c r="O9405" s="280">
        <f t="shared" si="2704"/>
        <v>0.377807</v>
      </c>
      <c r="P9405" s="166"/>
      <c r="Q9405" s="166">
        <f t="shared" si="2705"/>
        <v>54260.641340000002</v>
      </c>
      <c r="R9405" s="71"/>
    </row>
    <row r="9406" spans="1:41" s="61" customFormat="1" ht="31.5" x14ac:dyDescent="0.25">
      <c r="A9406" s="358"/>
      <c r="B9406" s="361"/>
      <c r="C9406" s="366"/>
      <c r="D9406" s="156" t="s">
        <v>99</v>
      </c>
      <c r="E9406" s="156" t="s">
        <v>103</v>
      </c>
      <c r="F9406" s="156" t="s">
        <v>225</v>
      </c>
      <c r="G9406" s="238">
        <f t="shared" si="2703"/>
        <v>3.4041046000000001E-5</v>
      </c>
      <c r="H9406" s="158">
        <f>H8892</f>
        <v>25</v>
      </c>
      <c r="I9406" s="159">
        <f>I9405</f>
        <v>0.19555899999999998</v>
      </c>
      <c r="J9406" s="160"/>
      <c r="K9406" s="161">
        <f>K9405</f>
        <v>143620</v>
      </c>
      <c r="L9406" s="250">
        <v>1</v>
      </c>
      <c r="M9406" s="163" t="str">
        <f>CONCATENATE(H9406," ",F9406,"*",I9406,"/",K9406,"чел.")</f>
        <v>25 ед.*0,195559/143620чел.</v>
      </c>
      <c r="N9406" s="164">
        <f t="shared" si="2706"/>
        <v>15690</v>
      </c>
      <c r="O9406" s="165">
        <f>MROUND(G9406*N9406,0.000001)</f>
        <v>0.53410400000000002</v>
      </c>
      <c r="P9406" s="166"/>
      <c r="Q9406" s="166">
        <f t="shared" si="2705"/>
        <v>76708.016480000006</v>
      </c>
      <c r="R9406" s="71"/>
    </row>
    <row r="9407" spans="1:41" s="61" customFormat="1" x14ac:dyDescent="0.25">
      <c r="A9407" s="358"/>
      <c r="B9407" s="361"/>
      <c r="C9407" s="366"/>
      <c r="D9407" s="156" t="s">
        <v>27</v>
      </c>
      <c r="E9407" s="156" t="s">
        <v>28</v>
      </c>
      <c r="F9407" s="156" t="s">
        <v>28</v>
      </c>
      <c r="G9407" s="238">
        <f t="shared" si="2703"/>
        <v>2.0424627500000001E-4</v>
      </c>
      <c r="H9407" s="160">
        <f>H8893</f>
        <v>150</v>
      </c>
      <c r="I9407" s="159">
        <f>I9405</f>
        <v>0.19555899999999998</v>
      </c>
      <c r="J9407" s="160"/>
      <c r="K9407" s="161">
        <f>K9405</f>
        <v>143620</v>
      </c>
      <c r="L9407" s="250">
        <v>1</v>
      </c>
      <c r="M9407" s="163" t="str">
        <f>CONCATENATE(H9407," ",F9407,"*",I9407,"/",K9407,"чел/час")</f>
        <v>150 шт*0,195559/143620чел/час</v>
      </c>
      <c r="N9407" s="278">
        <f t="shared" si="2706"/>
        <v>435.13599999999997</v>
      </c>
      <c r="O9407" s="280">
        <f t="shared" ref="O9407:O9408" si="2707">MROUND(N9407*G9407,0.000001)</f>
        <v>8.8874999999999996E-2</v>
      </c>
      <c r="P9407" s="166"/>
      <c r="Q9407" s="166">
        <f t="shared" si="2705"/>
        <v>12764.227499999999</v>
      </c>
      <c r="R9407" s="71"/>
    </row>
    <row r="9408" spans="1:41" s="61" customFormat="1" ht="31.5" x14ac:dyDescent="0.25">
      <c r="A9408" s="358"/>
      <c r="B9408" s="361"/>
      <c r="C9408" s="367"/>
      <c r="D9408" s="156" t="s">
        <v>104</v>
      </c>
      <c r="E9408" s="156" t="s">
        <v>105</v>
      </c>
      <c r="F9408" s="156" t="s">
        <v>226</v>
      </c>
      <c r="G9408" s="238">
        <f t="shared" si="2703"/>
        <v>6.8082089999999999E-6</v>
      </c>
      <c r="H9408" s="160">
        <f>H8894</f>
        <v>5</v>
      </c>
      <c r="I9408" s="159">
        <f>I9407</f>
        <v>0.19555899999999998</v>
      </c>
      <c r="J9408" s="160"/>
      <c r="K9408" s="161">
        <f>K9407</f>
        <v>143620</v>
      </c>
      <c r="L9408" s="250">
        <v>1</v>
      </c>
      <c r="M9408" s="163" t="str">
        <f>CONCATENATE(H9408," ",F9408,"*",I9408,"/",K9408,"чел/час")</f>
        <v>5 отключений*0,195559/143620чел/час</v>
      </c>
      <c r="N9408" s="278">
        <f t="shared" si="2706"/>
        <v>9790.56</v>
      </c>
      <c r="O9408" s="280">
        <f t="shared" si="2707"/>
        <v>6.6655999999999993E-2</v>
      </c>
      <c r="P9408" s="166"/>
      <c r="Q9408" s="166">
        <f t="shared" si="2705"/>
        <v>9573.1347199999982</v>
      </c>
      <c r="R9408" s="71"/>
    </row>
    <row r="9409" spans="1:41" s="109" customFormat="1" x14ac:dyDescent="0.25">
      <c r="A9409" s="358"/>
      <c r="B9409" s="361"/>
      <c r="C9409" s="249" t="s">
        <v>326</v>
      </c>
      <c r="D9409" s="240"/>
      <c r="E9409" s="240"/>
      <c r="F9409" s="240"/>
      <c r="G9409" s="227"/>
      <c r="H9409" s="228"/>
      <c r="I9409" s="206"/>
      <c r="J9409" s="228"/>
      <c r="K9409" s="207"/>
      <c r="L9409" s="257"/>
      <c r="M9409" s="209"/>
      <c r="N9409" s="281"/>
      <c r="O9409" s="279">
        <f>SUM(O9394:O9408)</f>
        <v>2.2285809999999997</v>
      </c>
      <c r="P9409" s="267"/>
      <c r="Q9409" s="166"/>
      <c r="R9409" s="71"/>
      <c r="S9409" s="62"/>
      <c r="T9409" s="62"/>
      <c r="U9409" s="62"/>
      <c r="V9409" s="62"/>
      <c r="W9409" s="62"/>
      <c r="X9409" s="62"/>
      <c r="Y9409" s="62"/>
      <c r="Z9409" s="62"/>
      <c r="AA9409" s="62"/>
      <c r="AB9409" s="62"/>
      <c r="AC9409" s="62"/>
      <c r="AD9409" s="62"/>
      <c r="AE9409" s="62"/>
      <c r="AF9409" s="62"/>
      <c r="AG9409" s="62"/>
      <c r="AH9409" s="62"/>
      <c r="AI9409" s="62"/>
      <c r="AJ9409" s="62"/>
      <c r="AK9409" s="62"/>
      <c r="AL9409" s="62"/>
      <c r="AM9409" s="62"/>
      <c r="AN9409" s="62"/>
      <c r="AO9409" s="62"/>
    </row>
    <row r="9410" spans="1:41" s="61" customFormat="1" ht="31.5" x14ac:dyDescent="0.25">
      <c r="A9410" s="358"/>
      <c r="B9410" s="361"/>
      <c r="C9410" s="221" t="s">
        <v>79</v>
      </c>
      <c r="D9410" s="156" t="s">
        <v>37</v>
      </c>
      <c r="E9410" s="156" t="s">
        <v>61</v>
      </c>
      <c r="F9410" s="156" t="s">
        <v>254</v>
      </c>
      <c r="G9410" s="238">
        <f>MROUND(H9410*L9410*I9410/K9410,0.000000000001)</f>
        <v>1.3616419999999999E-6</v>
      </c>
      <c r="H9410" s="158">
        <f>$H$2119</f>
        <v>1</v>
      </c>
      <c r="I9410" s="159">
        <f>I9408</f>
        <v>0.19555899999999998</v>
      </c>
      <c r="J9410" s="160"/>
      <c r="K9410" s="161">
        <f>K9408</f>
        <v>143620</v>
      </c>
      <c r="L9410" s="250">
        <v>1</v>
      </c>
      <c r="M9410" s="163" t="str">
        <f>CONCATENATE(H9410," ",F9410,"*",I9410,"/",K9410,"чел/час")</f>
        <v>1 автобус*0,195559/143620чел/час</v>
      </c>
      <c r="N9410" s="278">
        <f>N8896</f>
        <v>25403.41</v>
      </c>
      <c r="O9410" s="280">
        <f>MROUND(N9410*G9410,0.000001)</f>
        <v>3.4589999999999996E-2</v>
      </c>
      <c r="P9410" s="166"/>
      <c r="Q9410" s="166">
        <f>O9410*K9410</f>
        <v>4967.8157999999994</v>
      </c>
      <c r="R9410" s="71"/>
    </row>
    <row r="9411" spans="1:41" s="61" customFormat="1" x14ac:dyDescent="0.25">
      <c r="A9411" s="358"/>
      <c r="B9411" s="361"/>
      <c r="C9411" s="221"/>
      <c r="D9411" s="156" t="s">
        <v>255</v>
      </c>
      <c r="E9411" s="156" t="s">
        <v>28</v>
      </c>
      <c r="F9411" s="156" t="s">
        <v>28</v>
      </c>
      <c r="G9411" s="238">
        <f>MROUND(H9411*L9411*I9411/K9411,0.000000000001)</f>
        <v>9.3953286499999999E-4</v>
      </c>
      <c r="H9411" s="158">
        <f>H8897</f>
        <v>345</v>
      </c>
      <c r="I9411" s="159">
        <f>I9410</f>
        <v>0.19555899999999998</v>
      </c>
      <c r="J9411" s="160"/>
      <c r="K9411" s="161">
        <f>K9410</f>
        <v>143620</v>
      </c>
      <c r="L9411" s="250">
        <v>2</v>
      </c>
      <c r="M9411" s="163" t="str">
        <f>CONCATENATE(H9411," ",F9411,"*",L9411,"раза в год","*",I9411,"/",K9411,"чел/час")</f>
        <v>345 шт*2раза в год*0,195559/143620чел/час</v>
      </c>
      <c r="N9411" s="278">
        <f>N8897</f>
        <v>474.29824637681156</v>
      </c>
      <c r="O9411" s="280">
        <f>MROUND(N9411*G9411,0.000001)</f>
        <v>0.44561899999999999</v>
      </c>
      <c r="P9411" s="166"/>
      <c r="Q9411" s="166">
        <f>O9411*K9411</f>
        <v>63999.800779999998</v>
      </c>
      <c r="R9411" s="71"/>
    </row>
    <row r="9412" spans="1:41" s="109" customFormat="1" x14ac:dyDescent="0.25">
      <c r="A9412" s="358"/>
      <c r="B9412" s="361"/>
      <c r="C9412" s="218" t="s">
        <v>328</v>
      </c>
      <c r="D9412" s="240"/>
      <c r="E9412" s="240"/>
      <c r="F9412" s="240"/>
      <c r="G9412" s="227"/>
      <c r="H9412" s="241"/>
      <c r="I9412" s="206"/>
      <c r="J9412" s="228"/>
      <c r="K9412" s="207"/>
      <c r="L9412" s="257"/>
      <c r="M9412" s="209"/>
      <c r="N9412" s="281"/>
      <c r="O9412" s="279">
        <f>O9411+O9410</f>
        <v>0.480209</v>
      </c>
      <c r="P9412" s="267"/>
      <c r="Q9412" s="166"/>
      <c r="R9412" s="71"/>
      <c r="S9412" s="62"/>
      <c r="T9412" s="62"/>
      <c r="U9412" s="62"/>
      <c r="V9412" s="62"/>
      <c r="W9412" s="62"/>
      <c r="X9412" s="62"/>
      <c r="Y9412" s="62"/>
      <c r="Z9412" s="62"/>
      <c r="AA9412" s="62"/>
      <c r="AB9412" s="62"/>
      <c r="AC9412" s="62"/>
      <c r="AD9412" s="62"/>
      <c r="AE9412" s="62"/>
      <c r="AF9412" s="62"/>
      <c r="AG9412" s="62"/>
      <c r="AH9412" s="62"/>
      <c r="AI9412" s="62"/>
      <c r="AJ9412" s="62"/>
      <c r="AK9412" s="62"/>
      <c r="AL9412" s="62"/>
      <c r="AM9412" s="62"/>
      <c r="AN9412" s="62"/>
      <c r="AO9412" s="62"/>
    </row>
    <row r="9413" spans="1:41" s="61" customFormat="1" x14ac:dyDescent="0.25">
      <c r="A9413" s="358"/>
      <c r="B9413" s="361"/>
      <c r="C9413" s="364" t="s">
        <v>80</v>
      </c>
      <c r="D9413" s="156" t="s">
        <v>38</v>
      </c>
      <c r="E9413" s="156" t="s">
        <v>57</v>
      </c>
      <c r="F9413" s="156" t="s">
        <v>228</v>
      </c>
      <c r="G9413" s="238">
        <f t="shared" ref="G9413:G9424" si="2708">MROUND(H9413*L9413*I9413/K9413,0.000000000001)</f>
        <v>1.3071761600000001E-4</v>
      </c>
      <c r="H9413" s="158">
        <f>H8899</f>
        <v>8</v>
      </c>
      <c r="I9413" s="159">
        <f>I9410</f>
        <v>0.19555899999999998</v>
      </c>
      <c r="J9413" s="160"/>
      <c r="K9413" s="161">
        <f>K9410</f>
        <v>143620</v>
      </c>
      <c r="L9413" s="250">
        <v>12</v>
      </c>
      <c r="M9413" s="163" t="str">
        <f>CONCATENATE(H9413," ",F9413,"*",L9413,"мес.","*",I9413,"/",K9413,"чел/час")</f>
        <v>8 зданий*12мес.*0,195559/143620чел/час</v>
      </c>
      <c r="N9413" s="278">
        <f t="shared" ref="N9413:N9422" si="2709">N8899</f>
        <v>5107.0063541666668</v>
      </c>
      <c r="O9413" s="280">
        <f t="shared" ref="O9413:O9424" si="2710">MROUND(N9413*G9413,0.000001)</f>
        <v>0.66757599999999995</v>
      </c>
      <c r="P9413" s="166"/>
      <c r="Q9413" s="166">
        <f t="shared" ref="Q9413:Q9424" si="2711">O9413*K9413</f>
        <v>95877.265119999996</v>
      </c>
      <c r="R9413" s="71"/>
    </row>
    <row r="9414" spans="1:41" s="61" customFormat="1" x14ac:dyDescent="0.25">
      <c r="A9414" s="358"/>
      <c r="B9414" s="361"/>
      <c r="C9414" s="364"/>
      <c r="D9414" s="156" t="s">
        <v>256</v>
      </c>
      <c r="E9414" s="156" t="s">
        <v>20</v>
      </c>
      <c r="F9414" s="156" t="s">
        <v>20</v>
      </c>
      <c r="G9414" s="238">
        <f t="shared" si="2708"/>
        <v>2.5462702300000002E-4</v>
      </c>
      <c r="H9414" s="158">
        <f>H8900</f>
        <v>187</v>
      </c>
      <c r="I9414" s="159">
        <f>I9411</f>
        <v>0.19555899999999998</v>
      </c>
      <c r="J9414" s="160"/>
      <c r="K9414" s="161">
        <f>K9411</f>
        <v>143620</v>
      </c>
      <c r="L9414" s="250">
        <v>1</v>
      </c>
      <c r="M9414" s="163" t="str">
        <f t="shared" ref="M9414:M9421" si="2712">CONCATENATE(H9414," ",F9414,"*",I9414,"/",K9414,"чел/час")</f>
        <v>187 чел.*0,195559/143620чел/час</v>
      </c>
      <c r="N9414" s="278">
        <f t="shared" si="2709"/>
        <v>2015.7675401069516</v>
      </c>
      <c r="O9414" s="280">
        <f t="shared" si="2710"/>
        <v>0.51326899999999998</v>
      </c>
      <c r="P9414" s="166"/>
      <c r="Q9414" s="166">
        <f t="shared" si="2711"/>
        <v>73715.693780000001</v>
      </c>
      <c r="R9414" s="71"/>
    </row>
    <row r="9415" spans="1:41" s="61" customFormat="1" ht="63" x14ac:dyDescent="0.25">
      <c r="A9415" s="358"/>
      <c r="B9415" s="361"/>
      <c r="C9415" s="364"/>
      <c r="D9415" s="156" t="s">
        <v>39</v>
      </c>
      <c r="E9415" s="156" t="s">
        <v>20</v>
      </c>
      <c r="F9415" s="156" t="s">
        <v>234</v>
      </c>
      <c r="G9415" s="238">
        <f t="shared" si="2708"/>
        <v>1.2254775999999999E-5</v>
      </c>
      <c r="H9415" s="158">
        <f>H8901</f>
        <v>9</v>
      </c>
      <c r="I9415" s="159">
        <f>I9413</f>
        <v>0.19555899999999998</v>
      </c>
      <c r="J9415" s="160"/>
      <c r="K9415" s="161">
        <f>K9413</f>
        <v>143620</v>
      </c>
      <c r="L9415" s="250">
        <v>1</v>
      </c>
      <c r="M9415" s="163" t="str">
        <f t="shared" si="2712"/>
        <v>9 чел(заявленная потребность руководителями учреждений)*0,195559/143620чел/час</v>
      </c>
      <c r="N9415" s="278">
        <f t="shared" si="2709"/>
        <v>830.02333333333343</v>
      </c>
      <c r="O9415" s="280">
        <f t="shared" si="2710"/>
        <v>1.0171999999999999E-2</v>
      </c>
      <c r="P9415" s="166"/>
      <c r="Q9415" s="166">
        <f t="shared" si="2711"/>
        <v>1460.9026399999998</v>
      </c>
      <c r="R9415" s="71"/>
    </row>
    <row r="9416" spans="1:41" s="61" customFormat="1" ht="63" x14ac:dyDescent="0.25">
      <c r="A9416" s="358"/>
      <c r="B9416" s="361"/>
      <c r="C9416" s="364"/>
      <c r="D9416" s="156" t="s">
        <v>40</v>
      </c>
      <c r="E9416" s="156" t="s">
        <v>20</v>
      </c>
      <c r="F9416" s="156" t="s">
        <v>234</v>
      </c>
      <c r="G9416" s="238">
        <f t="shared" si="2708"/>
        <v>1.7701344E-5</v>
      </c>
      <c r="H9416" s="158">
        <f>H8902</f>
        <v>13</v>
      </c>
      <c r="I9416" s="159">
        <f t="shared" ref="I9416:I9421" si="2713">I9415</f>
        <v>0.19555899999999998</v>
      </c>
      <c r="J9416" s="160"/>
      <c r="K9416" s="161">
        <f t="shared" ref="K9416:K9421" si="2714">K9415</f>
        <v>143620</v>
      </c>
      <c r="L9416" s="250">
        <v>1</v>
      </c>
      <c r="M9416" s="163" t="str">
        <f t="shared" si="2712"/>
        <v>13 чел(заявленная потребность руководителями учреждений)*0,195559/143620чел/час</v>
      </c>
      <c r="N9416" s="278">
        <f t="shared" si="2709"/>
        <v>1778.6192307692306</v>
      </c>
      <c r="O9416" s="280">
        <f t="shared" si="2710"/>
        <v>3.1483999999999998E-2</v>
      </c>
      <c r="P9416" s="166"/>
      <c r="Q9416" s="166">
        <f t="shared" si="2711"/>
        <v>4521.7320799999998</v>
      </c>
      <c r="R9416" s="71"/>
    </row>
    <row r="9417" spans="1:41" s="61" customFormat="1" ht="63" x14ac:dyDescent="0.25">
      <c r="A9417" s="358"/>
      <c r="B9417" s="361"/>
      <c r="C9417" s="364"/>
      <c r="D9417" s="156" t="s">
        <v>100</v>
      </c>
      <c r="E9417" s="156" t="s">
        <v>20</v>
      </c>
      <c r="F9417" s="156" t="s">
        <v>234</v>
      </c>
      <c r="G9417" s="238">
        <f t="shared" si="2708"/>
        <v>9.5314929999999993E-6</v>
      </c>
      <c r="H9417" s="158">
        <f>H8903</f>
        <v>7</v>
      </c>
      <c r="I9417" s="159">
        <f t="shared" si="2713"/>
        <v>0.19555899999999998</v>
      </c>
      <c r="J9417" s="160"/>
      <c r="K9417" s="161">
        <f t="shared" si="2714"/>
        <v>143620</v>
      </c>
      <c r="L9417" s="250">
        <v>1</v>
      </c>
      <c r="M9417" s="163" t="str">
        <f t="shared" si="2712"/>
        <v>7 чел(заявленная потребность руководителями учреждений)*0,195559/143620чел/час</v>
      </c>
      <c r="N9417" s="278">
        <f t="shared" si="2709"/>
        <v>3794.3871428571429</v>
      </c>
      <c r="O9417" s="280">
        <f t="shared" si="2710"/>
        <v>3.6165999999999997E-2</v>
      </c>
      <c r="P9417" s="166"/>
      <c r="Q9417" s="166">
        <f t="shared" si="2711"/>
        <v>5194.1609199999994</v>
      </c>
      <c r="R9417" s="71"/>
    </row>
    <row r="9418" spans="1:41" s="61" customFormat="1" ht="110.25" x14ac:dyDescent="0.25">
      <c r="A9418" s="358"/>
      <c r="B9418" s="361"/>
      <c r="C9418" s="364"/>
      <c r="D9418" s="156" t="s">
        <v>235</v>
      </c>
      <c r="E9418" s="156" t="s">
        <v>50</v>
      </c>
      <c r="F9418" s="156" t="s">
        <v>230</v>
      </c>
      <c r="G9418" s="238">
        <f t="shared" si="2708"/>
        <v>6.8082089999999999E-6</v>
      </c>
      <c r="H9418" s="158">
        <v>5</v>
      </c>
      <c r="I9418" s="159">
        <f t="shared" si="2713"/>
        <v>0.19555899999999998</v>
      </c>
      <c r="J9418" s="160"/>
      <c r="K9418" s="161">
        <f t="shared" si="2714"/>
        <v>143620</v>
      </c>
      <c r="L9418" s="250">
        <v>1</v>
      </c>
      <c r="M9418" s="163" t="str">
        <f t="shared" si="2712"/>
        <v>5 отчетов*0,195559/143620чел/час</v>
      </c>
      <c r="N9418" s="278">
        <f t="shared" si="2709"/>
        <v>7114.4699999999993</v>
      </c>
      <c r="O9418" s="280">
        <f t="shared" si="2710"/>
        <v>4.8437000000000001E-2</v>
      </c>
      <c r="P9418" s="166"/>
      <c r="Q9418" s="166">
        <f t="shared" si="2711"/>
        <v>6956.5219400000005</v>
      </c>
      <c r="R9418" s="71"/>
    </row>
    <row r="9419" spans="1:41" s="61" customFormat="1" ht="63" x14ac:dyDescent="0.25">
      <c r="A9419" s="358"/>
      <c r="B9419" s="361"/>
      <c r="C9419" s="364"/>
      <c r="D9419" s="156" t="s">
        <v>42</v>
      </c>
      <c r="E9419" s="156" t="s">
        <v>51</v>
      </c>
      <c r="F9419" s="156" t="s">
        <v>407</v>
      </c>
      <c r="G9419" s="238">
        <f t="shared" si="2708"/>
        <v>3.5402688E-5</v>
      </c>
      <c r="H9419" s="158">
        <f>H8905</f>
        <v>26</v>
      </c>
      <c r="I9419" s="159">
        <f t="shared" si="2713"/>
        <v>0.19555899999999998</v>
      </c>
      <c r="J9419" s="160"/>
      <c r="K9419" s="161">
        <f t="shared" si="2714"/>
        <v>143620</v>
      </c>
      <c r="L9419" s="250">
        <v>1</v>
      </c>
      <c r="M9419" s="163" t="str">
        <f t="shared" si="2712"/>
        <v>26 ед (заявленная потребность руководителями учреждений)*0,195559/143620чел/час</v>
      </c>
      <c r="N9419" s="278">
        <f t="shared" si="2709"/>
        <v>1185.7457692307694</v>
      </c>
      <c r="O9419" s="280">
        <f t="shared" si="2710"/>
        <v>4.1978999999999995E-2</v>
      </c>
      <c r="P9419" s="166"/>
      <c r="Q9419" s="166">
        <f t="shared" si="2711"/>
        <v>6029.023979999999</v>
      </c>
      <c r="R9419" s="71"/>
    </row>
    <row r="9420" spans="1:41" s="61" customFormat="1" ht="31.5" x14ac:dyDescent="0.25">
      <c r="A9420" s="358"/>
      <c r="B9420" s="361"/>
      <c r="C9420" s="364"/>
      <c r="D9420" s="156" t="s">
        <v>43</v>
      </c>
      <c r="E9420" s="156" t="s">
        <v>52</v>
      </c>
      <c r="F9420" s="156" t="s">
        <v>231</v>
      </c>
      <c r="G9420" s="238">
        <f t="shared" si="2708"/>
        <v>6.8082089999999999E-6</v>
      </c>
      <c r="H9420" s="158">
        <v>5</v>
      </c>
      <c r="I9420" s="159">
        <f t="shared" si="2713"/>
        <v>0.19555899999999998</v>
      </c>
      <c r="J9420" s="160"/>
      <c r="K9420" s="161">
        <f t="shared" si="2714"/>
        <v>143620</v>
      </c>
      <c r="L9420" s="250">
        <v>1</v>
      </c>
      <c r="M9420" s="163" t="str">
        <f t="shared" si="2712"/>
        <v>5 ЭЦП*0,195559/143620чел/час</v>
      </c>
      <c r="N9420" s="278">
        <f t="shared" si="2709"/>
        <v>8423.5400000000009</v>
      </c>
      <c r="O9420" s="280">
        <f t="shared" si="2710"/>
        <v>5.7348999999999997E-2</v>
      </c>
      <c r="P9420" s="166"/>
      <c r="Q9420" s="166">
        <f t="shared" si="2711"/>
        <v>8236.4633799999992</v>
      </c>
      <c r="R9420" s="71"/>
    </row>
    <row r="9421" spans="1:41" s="61" customFormat="1" x14ac:dyDescent="0.25">
      <c r="A9421" s="358"/>
      <c r="B9421" s="361"/>
      <c r="C9421" s="364"/>
      <c r="D9421" s="156" t="s">
        <v>373</v>
      </c>
      <c r="E9421" s="156" t="s">
        <v>28</v>
      </c>
      <c r="F9421" s="156" t="s">
        <v>28</v>
      </c>
      <c r="G9421" s="238">
        <f t="shared" si="2708"/>
        <v>6.8082089999999999E-6</v>
      </c>
      <c r="H9421" s="158">
        <f>H8907</f>
        <v>5</v>
      </c>
      <c r="I9421" s="159">
        <f t="shared" si="2713"/>
        <v>0.19555899999999998</v>
      </c>
      <c r="J9421" s="160"/>
      <c r="K9421" s="161">
        <f t="shared" si="2714"/>
        <v>143620</v>
      </c>
      <c r="L9421" s="250">
        <v>1</v>
      </c>
      <c r="M9421" s="163" t="str">
        <f t="shared" si="2712"/>
        <v>5 шт*0,195559/143620чел/час</v>
      </c>
      <c r="N9421" s="278">
        <f t="shared" si="2709"/>
        <v>24000</v>
      </c>
      <c r="O9421" s="280">
        <f t="shared" si="2710"/>
        <v>0.16339699999999999</v>
      </c>
      <c r="P9421" s="166"/>
      <c r="Q9421" s="166">
        <f t="shared" si="2711"/>
        <v>23467.077139999998</v>
      </c>
      <c r="R9421" s="71"/>
    </row>
    <row r="9422" spans="1:41" s="61" customFormat="1" ht="63" x14ac:dyDescent="0.25">
      <c r="A9422" s="358"/>
      <c r="B9422" s="361"/>
      <c r="C9422" s="364"/>
      <c r="D9422" s="156" t="s">
        <v>45</v>
      </c>
      <c r="E9422" s="156" t="s">
        <v>53</v>
      </c>
      <c r="F9422" s="156" t="s">
        <v>257</v>
      </c>
      <c r="G9422" s="238">
        <f t="shared" si="2708"/>
        <v>1.6339702000000001E-5</v>
      </c>
      <c r="H9422" s="158">
        <v>1</v>
      </c>
      <c r="I9422" s="159">
        <f>I9420</f>
        <v>0.19555899999999998</v>
      </c>
      <c r="J9422" s="160"/>
      <c r="K9422" s="161">
        <f>K9420</f>
        <v>143620</v>
      </c>
      <c r="L9422" s="250">
        <v>12</v>
      </c>
      <c r="M9422" s="163" t="str">
        <f>CONCATENATE(H9422," ",F9422,"*",L9422,"мес.","*",I9422,"/",K9422,"чел/час")</f>
        <v>1  машина, оборудованная системой ГЛОНАСС*12мес.*0,195559/143620чел/час</v>
      </c>
      <c r="N9422" s="278">
        <f t="shared" si="2709"/>
        <v>958.08249999999998</v>
      </c>
      <c r="O9422" s="280">
        <f t="shared" si="2710"/>
        <v>1.5654999999999999E-2</v>
      </c>
      <c r="P9422" s="166"/>
      <c r="Q9422" s="166">
        <f t="shared" si="2711"/>
        <v>2248.3710999999998</v>
      </c>
      <c r="R9422" s="71"/>
    </row>
    <row r="9423" spans="1:41" s="136" customFormat="1" ht="47.25" x14ac:dyDescent="0.25">
      <c r="A9423" s="358"/>
      <c r="B9423" s="361"/>
      <c r="C9423" s="364"/>
      <c r="D9423" s="156" t="s">
        <v>44</v>
      </c>
      <c r="E9423" s="156" t="s">
        <v>85</v>
      </c>
      <c r="F9423" s="156" t="s">
        <v>232</v>
      </c>
      <c r="G9423" s="238">
        <f t="shared" si="2708"/>
        <v>4.1393911700000002E-4</v>
      </c>
      <c r="H9423" s="158">
        <f>$H$2132</f>
        <v>304</v>
      </c>
      <c r="I9423" s="159">
        <f>I9422</f>
        <v>0.19555899999999998</v>
      </c>
      <c r="J9423" s="160"/>
      <c r="K9423" s="161">
        <f>K9422</f>
        <v>143620</v>
      </c>
      <c r="L9423" s="250">
        <v>1</v>
      </c>
      <c r="M9423" s="163" t="str">
        <f>CONCATENATE(H9423," ",F9423,"*",L9423,"мес.","*",I9423,"/",K9423,"чел.")</f>
        <v>304 мед.осмотров в мес.*1мес.*0,195559/143620чел.</v>
      </c>
      <c r="N9423" s="278">
        <f>$N$8909</f>
        <v>54.392006578947374</v>
      </c>
      <c r="O9423" s="280">
        <f t="shared" si="2710"/>
        <v>2.2515E-2</v>
      </c>
      <c r="P9423" s="166"/>
      <c r="Q9423" s="166">
        <f t="shared" si="2711"/>
        <v>3233.6043</v>
      </c>
      <c r="R9423" s="71"/>
      <c r="S9423" s="71"/>
      <c r="T9423" s="61"/>
      <c r="U9423" s="61"/>
      <c r="V9423" s="61"/>
      <c r="W9423" s="61"/>
      <c r="X9423" s="61"/>
      <c r="Y9423" s="61"/>
      <c r="Z9423" s="61"/>
      <c r="AA9423" s="61"/>
      <c r="AB9423" s="61"/>
      <c r="AC9423" s="61"/>
      <c r="AD9423" s="61"/>
      <c r="AE9423" s="61"/>
      <c r="AF9423" s="61"/>
      <c r="AG9423" s="61"/>
      <c r="AH9423" s="61"/>
      <c r="AI9423" s="61"/>
      <c r="AJ9423" s="61"/>
      <c r="AK9423" s="61"/>
      <c r="AL9423" s="61"/>
      <c r="AM9423" s="61"/>
      <c r="AN9423" s="61"/>
      <c r="AO9423" s="61"/>
    </row>
    <row r="9424" spans="1:41" s="61" customFormat="1" ht="31.5" x14ac:dyDescent="0.25">
      <c r="A9424" s="358"/>
      <c r="B9424" s="361"/>
      <c r="C9424" s="364"/>
      <c r="D9424" s="156" t="s">
        <v>408</v>
      </c>
      <c r="E9424" s="156" t="s">
        <v>20</v>
      </c>
      <c r="F9424" s="156" t="s">
        <v>20</v>
      </c>
      <c r="G9424" s="238">
        <f t="shared" si="2708"/>
        <v>0</v>
      </c>
      <c r="H9424" s="158"/>
      <c r="I9424" s="159">
        <f>I9422</f>
        <v>0.19555899999999998</v>
      </c>
      <c r="J9424" s="160"/>
      <c r="K9424" s="161">
        <f>K9422</f>
        <v>143620</v>
      </c>
      <c r="L9424" s="250">
        <f>L8910</f>
        <v>1</v>
      </c>
      <c r="M9424" s="163"/>
      <c r="N9424" s="278"/>
      <c r="O9424" s="280">
        <f t="shared" si="2710"/>
        <v>0</v>
      </c>
      <c r="P9424" s="166"/>
      <c r="Q9424" s="166">
        <f t="shared" si="2711"/>
        <v>0</v>
      </c>
      <c r="R9424" s="71"/>
    </row>
    <row r="9425" spans="1:41" s="109" customFormat="1" x14ac:dyDescent="0.25">
      <c r="A9425" s="358"/>
      <c r="B9425" s="361"/>
      <c r="C9425" s="245" t="s">
        <v>329</v>
      </c>
      <c r="D9425" s="240"/>
      <c r="E9425" s="240"/>
      <c r="F9425" s="240"/>
      <c r="G9425" s="227"/>
      <c r="H9425" s="241"/>
      <c r="I9425" s="206"/>
      <c r="J9425" s="228"/>
      <c r="K9425" s="207"/>
      <c r="L9425" s="257"/>
      <c r="M9425" s="209"/>
      <c r="N9425" s="281"/>
      <c r="O9425" s="279">
        <f>SUM(O9413:O9424)</f>
        <v>1.6079990000000002</v>
      </c>
      <c r="P9425" s="267"/>
      <c r="Q9425" s="166"/>
      <c r="R9425" s="71"/>
      <c r="S9425" s="62"/>
      <c r="T9425" s="62"/>
      <c r="U9425" s="62"/>
      <c r="V9425" s="62"/>
      <c r="W9425" s="62"/>
      <c r="X9425" s="62"/>
      <c r="Y9425" s="62"/>
      <c r="Z9425" s="62"/>
      <c r="AA9425" s="62"/>
      <c r="AB9425" s="62"/>
      <c r="AC9425" s="62"/>
      <c r="AD9425" s="62"/>
      <c r="AE9425" s="62"/>
      <c r="AF9425" s="62"/>
      <c r="AG9425" s="62"/>
      <c r="AH9425" s="62"/>
      <c r="AI9425" s="62"/>
      <c r="AJ9425" s="62"/>
      <c r="AK9425" s="62"/>
      <c r="AL9425" s="62"/>
      <c r="AM9425" s="62"/>
      <c r="AN9425" s="62"/>
      <c r="AO9425" s="62"/>
    </row>
    <row r="9426" spans="1:41" s="61" customFormat="1" ht="31.5" x14ac:dyDescent="0.25">
      <c r="A9426" s="358"/>
      <c r="B9426" s="361"/>
      <c r="C9426" s="252" t="s">
        <v>237</v>
      </c>
      <c r="D9426" s="156" t="s">
        <v>41</v>
      </c>
      <c r="E9426" s="156" t="s">
        <v>61</v>
      </c>
      <c r="F9426" s="156" t="s">
        <v>254</v>
      </c>
      <c r="G9426" s="238">
        <f t="shared" ref="G9426:G9437" si="2715">MROUND(H9426*L9426*I9426/K9426,0.000000000001)</f>
        <v>1.3616419999999999E-6</v>
      </c>
      <c r="H9426" s="158">
        <v>1</v>
      </c>
      <c r="I9426" s="159">
        <f>I9424</f>
        <v>0.19555899999999998</v>
      </c>
      <c r="J9426" s="160"/>
      <c r="K9426" s="161">
        <f>K9424</f>
        <v>143620</v>
      </c>
      <c r="L9426" s="250">
        <v>1</v>
      </c>
      <c r="M9426" s="163" t="str">
        <f>CONCATENATE(H9426," ",F9426,"*",I9426,"/",K9426,"чел/час")</f>
        <v>1 автобус*0,195559/143620чел/час</v>
      </c>
      <c r="N9426" s="278">
        <f>N8912</f>
        <v>27983.599999999999</v>
      </c>
      <c r="O9426" s="280">
        <f t="shared" ref="O9426:O9437" si="2716">MROUND(N9426*G9426,0.000001)</f>
        <v>3.8103999999999999E-2</v>
      </c>
      <c r="P9426" s="166"/>
      <c r="Q9426" s="166">
        <f t="shared" ref="Q9426:Q9437" si="2717">O9426*K9426</f>
        <v>5472.4964799999998</v>
      </c>
      <c r="R9426" s="71"/>
    </row>
    <row r="9427" spans="1:41" s="61" customFormat="1" ht="78.75" x14ac:dyDescent="0.25">
      <c r="A9427" s="358"/>
      <c r="B9427" s="361"/>
      <c r="C9427" s="221" t="s">
        <v>236</v>
      </c>
      <c r="D9427" s="156" t="s">
        <v>19</v>
      </c>
      <c r="E9427" s="181" t="s">
        <v>20</v>
      </c>
      <c r="F9427" s="181" t="s">
        <v>238</v>
      </c>
      <c r="G9427" s="238">
        <f t="shared" si="2715"/>
        <v>0</v>
      </c>
      <c r="H9427" s="158"/>
      <c r="I9427" s="159">
        <f>I9424</f>
        <v>0.19555899999999998</v>
      </c>
      <c r="J9427" s="160"/>
      <c r="K9427" s="161">
        <f>K9424</f>
        <v>143620</v>
      </c>
      <c r="L9427" s="250"/>
      <c r="M9427" s="163"/>
      <c r="N9427" s="278"/>
      <c r="O9427" s="280">
        <f t="shared" si="2716"/>
        <v>0</v>
      </c>
      <c r="P9427" s="166"/>
      <c r="Q9427" s="166">
        <f t="shared" si="2717"/>
        <v>0</v>
      </c>
      <c r="R9427" s="71"/>
    </row>
    <row r="9428" spans="1:41" s="136" customFormat="1" ht="31.5" x14ac:dyDescent="0.25">
      <c r="A9428" s="358"/>
      <c r="B9428" s="361"/>
      <c r="C9428" s="372" t="s">
        <v>81</v>
      </c>
      <c r="D9428" s="156" t="s">
        <v>419</v>
      </c>
      <c r="E9428" s="156" t="s">
        <v>28</v>
      </c>
      <c r="F9428" s="156" t="s">
        <v>439</v>
      </c>
      <c r="G9428" s="238">
        <f t="shared" si="2715"/>
        <v>0</v>
      </c>
      <c r="H9428" s="158"/>
      <c r="I9428" s="159">
        <f>I9427</f>
        <v>0.19555899999999998</v>
      </c>
      <c r="J9428" s="160"/>
      <c r="K9428" s="161">
        <f>K9427</f>
        <v>143620</v>
      </c>
      <c r="L9428" s="250">
        <v>1</v>
      </c>
      <c r="M9428" s="163"/>
      <c r="N9428" s="278"/>
      <c r="O9428" s="280">
        <f t="shared" si="2716"/>
        <v>0</v>
      </c>
      <c r="P9428" s="166"/>
      <c r="Q9428" s="166">
        <f t="shared" si="2717"/>
        <v>0</v>
      </c>
      <c r="R9428" s="71"/>
      <c r="S9428" s="61"/>
      <c r="T9428" s="71"/>
      <c r="U9428" s="61"/>
      <c r="V9428" s="61"/>
      <c r="W9428" s="61"/>
      <c r="X9428" s="61"/>
      <c r="Y9428" s="61"/>
      <c r="Z9428" s="61"/>
      <c r="AA9428" s="61"/>
      <c r="AB9428" s="61"/>
      <c r="AC9428" s="61"/>
      <c r="AD9428" s="61"/>
      <c r="AE9428" s="61"/>
      <c r="AF9428" s="61"/>
      <c r="AG9428" s="61"/>
      <c r="AH9428" s="61"/>
      <c r="AI9428" s="61"/>
      <c r="AJ9428" s="61"/>
      <c r="AK9428" s="61"/>
      <c r="AL9428" s="61"/>
      <c r="AM9428" s="61"/>
      <c r="AN9428" s="61"/>
      <c r="AO9428" s="61"/>
    </row>
    <row r="9429" spans="1:41" s="136" customFormat="1" ht="31.5" x14ac:dyDescent="0.25">
      <c r="A9429" s="358"/>
      <c r="B9429" s="361"/>
      <c r="C9429" s="373"/>
      <c r="D9429" s="156" t="s">
        <v>425</v>
      </c>
      <c r="E9429" s="156" t="s">
        <v>28</v>
      </c>
      <c r="F9429" s="156" t="s">
        <v>439</v>
      </c>
      <c r="G9429" s="238">
        <f t="shared" si="2715"/>
        <v>0</v>
      </c>
      <c r="H9429" s="158"/>
      <c r="I9429" s="159">
        <f t="shared" ref="I9429:I9437" si="2718">I9428</f>
        <v>0.19555899999999998</v>
      </c>
      <c r="J9429" s="160"/>
      <c r="K9429" s="161">
        <f t="shared" ref="K9429:K9437" si="2719">K9428</f>
        <v>143620</v>
      </c>
      <c r="L9429" s="250">
        <v>1</v>
      </c>
      <c r="M9429" s="163"/>
      <c r="N9429" s="278"/>
      <c r="O9429" s="280">
        <f t="shared" si="2716"/>
        <v>0</v>
      </c>
      <c r="P9429" s="166"/>
      <c r="Q9429" s="166">
        <f t="shared" si="2717"/>
        <v>0</v>
      </c>
      <c r="R9429" s="71"/>
      <c r="S9429" s="61"/>
      <c r="T9429" s="71"/>
      <c r="U9429" s="61"/>
      <c r="V9429" s="61"/>
      <c r="W9429" s="61"/>
      <c r="X9429" s="61"/>
      <c r="Y9429" s="61"/>
      <c r="Z9429" s="61"/>
      <c r="AA9429" s="61"/>
      <c r="AB9429" s="61"/>
      <c r="AC9429" s="61"/>
      <c r="AD9429" s="61"/>
      <c r="AE9429" s="61"/>
      <c r="AF9429" s="61"/>
      <c r="AG9429" s="61"/>
      <c r="AH9429" s="61"/>
      <c r="AI9429" s="61"/>
      <c r="AJ9429" s="61"/>
      <c r="AK9429" s="61"/>
      <c r="AL9429" s="61"/>
      <c r="AM9429" s="61"/>
      <c r="AN9429" s="61"/>
      <c r="AO9429" s="61"/>
    </row>
    <row r="9430" spans="1:41" s="136" customFormat="1" ht="31.5" x14ac:dyDescent="0.25">
      <c r="A9430" s="358"/>
      <c r="B9430" s="361"/>
      <c r="C9430" s="373"/>
      <c r="D9430" s="156" t="s">
        <v>426</v>
      </c>
      <c r="E9430" s="156" t="s">
        <v>28</v>
      </c>
      <c r="F9430" s="156" t="s">
        <v>439</v>
      </c>
      <c r="G9430" s="238">
        <f t="shared" si="2715"/>
        <v>0</v>
      </c>
      <c r="H9430" s="158"/>
      <c r="I9430" s="159">
        <f t="shared" si="2718"/>
        <v>0.19555899999999998</v>
      </c>
      <c r="J9430" s="160"/>
      <c r="K9430" s="161">
        <f t="shared" si="2719"/>
        <v>143620</v>
      </c>
      <c r="L9430" s="250">
        <v>1</v>
      </c>
      <c r="M9430" s="163"/>
      <c r="N9430" s="278"/>
      <c r="O9430" s="280">
        <f t="shared" si="2716"/>
        <v>0</v>
      </c>
      <c r="P9430" s="166"/>
      <c r="Q9430" s="166">
        <f t="shared" si="2717"/>
        <v>0</v>
      </c>
      <c r="R9430" s="71"/>
      <c r="S9430" s="61"/>
      <c r="T9430" s="71"/>
      <c r="U9430" s="61"/>
      <c r="V9430" s="61"/>
      <c r="W9430" s="61"/>
      <c r="X9430" s="61"/>
      <c r="Y9430" s="61"/>
      <c r="Z9430" s="61"/>
      <c r="AA9430" s="61"/>
      <c r="AB9430" s="61"/>
      <c r="AC9430" s="61"/>
      <c r="AD9430" s="61"/>
      <c r="AE9430" s="61"/>
      <c r="AF9430" s="61"/>
      <c r="AG9430" s="61"/>
      <c r="AH9430" s="61"/>
      <c r="AI9430" s="61"/>
      <c r="AJ9430" s="61"/>
      <c r="AK9430" s="61"/>
      <c r="AL9430" s="61"/>
      <c r="AM9430" s="61"/>
      <c r="AN9430" s="61"/>
      <c r="AO9430" s="61"/>
    </row>
    <row r="9431" spans="1:41" s="136" customFormat="1" ht="31.5" x14ac:dyDescent="0.25">
      <c r="A9431" s="358"/>
      <c r="B9431" s="361"/>
      <c r="C9431" s="373"/>
      <c r="D9431" s="156" t="s">
        <v>427</v>
      </c>
      <c r="E9431" s="156" t="s">
        <v>28</v>
      </c>
      <c r="F9431" s="156" t="s">
        <v>439</v>
      </c>
      <c r="G9431" s="238">
        <f t="shared" si="2715"/>
        <v>0</v>
      </c>
      <c r="H9431" s="158"/>
      <c r="I9431" s="159">
        <f t="shared" si="2718"/>
        <v>0.19555899999999998</v>
      </c>
      <c r="J9431" s="160"/>
      <c r="K9431" s="161">
        <f t="shared" si="2719"/>
        <v>143620</v>
      </c>
      <c r="L9431" s="250">
        <v>1</v>
      </c>
      <c r="M9431" s="163"/>
      <c r="N9431" s="278"/>
      <c r="O9431" s="280">
        <f t="shared" si="2716"/>
        <v>0</v>
      </c>
      <c r="P9431" s="166"/>
      <c r="Q9431" s="166">
        <f t="shared" si="2717"/>
        <v>0</v>
      </c>
      <c r="R9431" s="71"/>
      <c r="S9431" s="61"/>
      <c r="T9431" s="71"/>
      <c r="U9431" s="61"/>
      <c r="V9431" s="61"/>
      <c r="W9431" s="61"/>
      <c r="X9431" s="61"/>
      <c r="Y9431" s="61"/>
      <c r="Z9431" s="61"/>
      <c r="AA9431" s="61"/>
      <c r="AB9431" s="61"/>
      <c r="AC9431" s="61"/>
      <c r="AD9431" s="61"/>
      <c r="AE9431" s="61"/>
      <c r="AF9431" s="61"/>
      <c r="AG9431" s="61"/>
      <c r="AH9431" s="61"/>
      <c r="AI9431" s="61"/>
      <c r="AJ9431" s="61"/>
      <c r="AK9431" s="61"/>
      <c r="AL9431" s="61"/>
      <c r="AM9431" s="61"/>
      <c r="AN9431" s="61"/>
      <c r="AO9431" s="61"/>
    </row>
    <row r="9432" spans="1:41" s="136" customFormat="1" ht="31.5" x14ac:dyDescent="0.25">
      <c r="A9432" s="358"/>
      <c r="B9432" s="361"/>
      <c r="C9432" s="373"/>
      <c r="D9432" s="156" t="s">
        <v>428</v>
      </c>
      <c r="E9432" s="156" t="s">
        <v>28</v>
      </c>
      <c r="F9432" s="156" t="s">
        <v>439</v>
      </c>
      <c r="G9432" s="238">
        <f t="shared" si="2715"/>
        <v>0</v>
      </c>
      <c r="H9432" s="158"/>
      <c r="I9432" s="159">
        <f t="shared" si="2718"/>
        <v>0.19555899999999998</v>
      </c>
      <c r="J9432" s="160"/>
      <c r="K9432" s="161">
        <f t="shared" si="2719"/>
        <v>143620</v>
      </c>
      <c r="L9432" s="250">
        <v>1</v>
      </c>
      <c r="M9432" s="163"/>
      <c r="N9432" s="278"/>
      <c r="O9432" s="280">
        <f t="shared" si="2716"/>
        <v>0</v>
      </c>
      <c r="P9432" s="166"/>
      <c r="Q9432" s="166">
        <f t="shared" si="2717"/>
        <v>0</v>
      </c>
      <c r="R9432" s="71"/>
      <c r="S9432" s="61"/>
      <c r="T9432" s="71"/>
      <c r="U9432" s="61"/>
      <c r="V9432" s="61"/>
      <c r="W9432" s="61"/>
      <c r="X9432" s="61"/>
      <c r="Y9432" s="61"/>
      <c r="Z9432" s="61"/>
      <c r="AA9432" s="61"/>
      <c r="AB9432" s="61"/>
      <c r="AC9432" s="61"/>
      <c r="AD9432" s="61"/>
      <c r="AE9432" s="61"/>
      <c r="AF9432" s="61"/>
      <c r="AG9432" s="61"/>
      <c r="AH9432" s="61"/>
      <c r="AI9432" s="61"/>
      <c r="AJ9432" s="61"/>
      <c r="AK9432" s="61"/>
      <c r="AL9432" s="61"/>
      <c r="AM9432" s="61"/>
      <c r="AN9432" s="61"/>
      <c r="AO9432" s="61"/>
    </row>
    <row r="9433" spans="1:41" s="136" customFormat="1" ht="31.5" x14ac:dyDescent="0.25">
      <c r="A9433" s="358"/>
      <c r="B9433" s="361"/>
      <c r="C9433" s="373"/>
      <c r="D9433" s="156" t="s">
        <v>429</v>
      </c>
      <c r="E9433" s="156" t="s">
        <v>28</v>
      </c>
      <c r="F9433" s="156" t="s">
        <v>439</v>
      </c>
      <c r="G9433" s="238">
        <f t="shared" si="2715"/>
        <v>0</v>
      </c>
      <c r="H9433" s="158"/>
      <c r="I9433" s="159">
        <f t="shared" si="2718"/>
        <v>0.19555899999999998</v>
      </c>
      <c r="J9433" s="160"/>
      <c r="K9433" s="161">
        <f t="shared" si="2719"/>
        <v>143620</v>
      </c>
      <c r="L9433" s="250">
        <v>1</v>
      </c>
      <c r="M9433" s="163"/>
      <c r="N9433" s="278"/>
      <c r="O9433" s="280">
        <f t="shared" si="2716"/>
        <v>0</v>
      </c>
      <c r="P9433" s="166"/>
      <c r="Q9433" s="166">
        <f t="shared" si="2717"/>
        <v>0</v>
      </c>
      <c r="R9433" s="71"/>
      <c r="S9433" s="61"/>
      <c r="T9433" s="71"/>
      <c r="U9433" s="61"/>
      <c r="V9433" s="61"/>
      <c r="W9433" s="61"/>
      <c r="X9433" s="61"/>
      <c r="Y9433" s="61"/>
      <c r="Z9433" s="61"/>
      <c r="AA9433" s="61"/>
      <c r="AB9433" s="61"/>
      <c r="AC9433" s="61"/>
      <c r="AD9433" s="61"/>
      <c r="AE9433" s="61"/>
      <c r="AF9433" s="61"/>
      <c r="AG9433" s="61"/>
      <c r="AH9433" s="61"/>
      <c r="AI9433" s="61"/>
      <c r="AJ9433" s="61"/>
      <c r="AK9433" s="61"/>
      <c r="AL9433" s="61"/>
      <c r="AM9433" s="61"/>
      <c r="AN9433" s="61"/>
      <c r="AO9433" s="61"/>
    </row>
    <row r="9434" spans="1:41" s="136" customFormat="1" ht="31.5" x14ac:dyDescent="0.25">
      <c r="A9434" s="358"/>
      <c r="B9434" s="361"/>
      <c r="C9434" s="373"/>
      <c r="D9434" s="156" t="s">
        <v>110</v>
      </c>
      <c r="E9434" s="156" t="s">
        <v>28</v>
      </c>
      <c r="F9434" s="156" t="s">
        <v>439</v>
      </c>
      <c r="G9434" s="238">
        <f t="shared" si="2715"/>
        <v>0</v>
      </c>
      <c r="H9434" s="158"/>
      <c r="I9434" s="159">
        <f t="shared" si="2718"/>
        <v>0.19555899999999998</v>
      </c>
      <c r="J9434" s="160"/>
      <c r="K9434" s="161">
        <f t="shared" si="2719"/>
        <v>143620</v>
      </c>
      <c r="L9434" s="250">
        <v>1</v>
      </c>
      <c r="M9434" s="163"/>
      <c r="N9434" s="278"/>
      <c r="O9434" s="280">
        <f t="shared" si="2716"/>
        <v>0</v>
      </c>
      <c r="P9434" s="166"/>
      <c r="Q9434" s="166">
        <f t="shared" si="2717"/>
        <v>0</v>
      </c>
      <c r="R9434" s="71"/>
      <c r="S9434" s="61"/>
      <c r="T9434" s="71"/>
      <c r="U9434" s="61"/>
      <c r="V9434" s="61"/>
      <c r="W9434" s="61"/>
      <c r="X9434" s="61"/>
      <c r="Y9434" s="61"/>
      <c r="Z9434" s="61"/>
      <c r="AA9434" s="61"/>
      <c r="AB9434" s="61"/>
      <c r="AC9434" s="61"/>
      <c r="AD9434" s="61"/>
      <c r="AE9434" s="61"/>
      <c r="AF9434" s="61"/>
      <c r="AG9434" s="61"/>
      <c r="AH9434" s="61"/>
      <c r="AI9434" s="61"/>
      <c r="AJ9434" s="61"/>
      <c r="AK9434" s="61"/>
      <c r="AL9434" s="61"/>
      <c r="AM9434" s="61"/>
      <c r="AN9434" s="61"/>
      <c r="AO9434" s="61"/>
    </row>
    <row r="9435" spans="1:41" s="136" customFormat="1" ht="31.5" x14ac:dyDescent="0.25">
      <c r="A9435" s="358"/>
      <c r="B9435" s="361"/>
      <c r="C9435" s="373"/>
      <c r="D9435" s="156" t="s">
        <v>112</v>
      </c>
      <c r="E9435" s="156" t="s">
        <v>28</v>
      </c>
      <c r="F9435" s="156" t="s">
        <v>439</v>
      </c>
      <c r="G9435" s="238">
        <f t="shared" si="2715"/>
        <v>0</v>
      </c>
      <c r="H9435" s="158"/>
      <c r="I9435" s="159">
        <f t="shared" si="2718"/>
        <v>0.19555899999999998</v>
      </c>
      <c r="J9435" s="160"/>
      <c r="K9435" s="161">
        <f t="shared" si="2719"/>
        <v>143620</v>
      </c>
      <c r="L9435" s="250">
        <v>1</v>
      </c>
      <c r="M9435" s="163"/>
      <c r="N9435" s="278"/>
      <c r="O9435" s="280">
        <f t="shared" si="2716"/>
        <v>0</v>
      </c>
      <c r="P9435" s="166"/>
      <c r="Q9435" s="166">
        <f t="shared" si="2717"/>
        <v>0</v>
      </c>
      <c r="R9435" s="71"/>
      <c r="S9435" s="61"/>
      <c r="T9435" s="71"/>
      <c r="U9435" s="61"/>
      <c r="V9435" s="61"/>
      <c r="W9435" s="61"/>
      <c r="X9435" s="61"/>
      <c r="Y9435" s="61"/>
      <c r="Z9435" s="61"/>
      <c r="AA9435" s="61"/>
      <c r="AB9435" s="61"/>
      <c r="AC9435" s="61"/>
      <c r="AD9435" s="61"/>
      <c r="AE9435" s="61"/>
      <c r="AF9435" s="61"/>
      <c r="AG9435" s="61"/>
      <c r="AH9435" s="61"/>
      <c r="AI9435" s="61"/>
      <c r="AJ9435" s="61"/>
      <c r="AK9435" s="61"/>
      <c r="AL9435" s="61"/>
      <c r="AM9435" s="61"/>
      <c r="AN9435" s="61"/>
      <c r="AO9435" s="61"/>
    </row>
    <row r="9436" spans="1:41" s="136" customFormat="1" ht="31.5" x14ac:dyDescent="0.25">
      <c r="A9436" s="358"/>
      <c r="B9436" s="361"/>
      <c r="C9436" s="373"/>
      <c r="D9436" s="156" t="s">
        <v>111</v>
      </c>
      <c r="E9436" s="156" t="s">
        <v>28</v>
      </c>
      <c r="F9436" s="156" t="s">
        <v>439</v>
      </c>
      <c r="G9436" s="238">
        <f t="shared" si="2715"/>
        <v>0</v>
      </c>
      <c r="H9436" s="158"/>
      <c r="I9436" s="159">
        <f t="shared" si="2718"/>
        <v>0.19555899999999998</v>
      </c>
      <c r="J9436" s="160"/>
      <c r="K9436" s="161">
        <f t="shared" si="2719"/>
        <v>143620</v>
      </c>
      <c r="L9436" s="250">
        <v>1</v>
      </c>
      <c r="M9436" s="163"/>
      <c r="N9436" s="278"/>
      <c r="O9436" s="280">
        <f t="shared" si="2716"/>
        <v>0</v>
      </c>
      <c r="P9436" s="166"/>
      <c r="Q9436" s="166">
        <f t="shared" si="2717"/>
        <v>0</v>
      </c>
      <c r="R9436" s="71"/>
      <c r="S9436" s="61"/>
      <c r="T9436" s="71"/>
      <c r="U9436" s="61"/>
      <c r="V9436" s="61"/>
      <c r="W9436" s="61"/>
      <c r="X9436" s="61"/>
      <c r="Y9436" s="61"/>
      <c r="Z9436" s="61"/>
      <c r="AA9436" s="61"/>
      <c r="AB9436" s="61"/>
      <c r="AC9436" s="61"/>
      <c r="AD9436" s="61"/>
      <c r="AE9436" s="61"/>
      <c r="AF9436" s="61"/>
      <c r="AG9436" s="61"/>
      <c r="AH9436" s="61"/>
      <c r="AI9436" s="61"/>
      <c r="AJ9436" s="61"/>
      <c r="AK9436" s="61"/>
      <c r="AL9436" s="61"/>
      <c r="AM9436" s="61"/>
      <c r="AN9436" s="61"/>
      <c r="AO9436" s="61"/>
    </row>
    <row r="9437" spans="1:41" s="136" customFormat="1" ht="31.5" x14ac:dyDescent="0.25">
      <c r="A9437" s="358"/>
      <c r="B9437" s="361"/>
      <c r="C9437" s="374"/>
      <c r="D9437" s="156" t="s">
        <v>438</v>
      </c>
      <c r="E9437" s="156" t="s">
        <v>28</v>
      </c>
      <c r="F9437" s="156" t="s">
        <v>439</v>
      </c>
      <c r="G9437" s="238">
        <f t="shared" si="2715"/>
        <v>0</v>
      </c>
      <c r="H9437" s="158"/>
      <c r="I9437" s="159">
        <f t="shared" si="2718"/>
        <v>0.19555899999999998</v>
      </c>
      <c r="J9437" s="160"/>
      <c r="K9437" s="161">
        <f t="shared" si="2719"/>
        <v>143620</v>
      </c>
      <c r="L9437" s="250">
        <v>1</v>
      </c>
      <c r="M9437" s="163"/>
      <c r="N9437" s="278"/>
      <c r="O9437" s="280">
        <f t="shared" si="2716"/>
        <v>0</v>
      </c>
      <c r="P9437" s="166"/>
      <c r="Q9437" s="166">
        <f t="shared" si="2717"/>
        <v>0</v>
      </c>
      <c r="R9437" s="71"/>
      <c r="S9437" s="61"/>
      <c r="T9437" s="71"/>
      <c r="U9437" s="61"/>
      <c r="V9437" s="61"/>
      <c r="W9437" s="61"/>
      <c r="X9437" s="61"/>
      <c r="Y9437" s="61"/>
      <c r="Z9437" s="61"/>
      <c r="AA9437" s="61"/>
      <c r="AB9437" s="61"/>
      <c r="AC9437" s="61"/>
      <c r="AD9437" s="61"/>
      <c r="AE9437" s="61"/>
      <c r="AF9437" s="61"/>
      <c r="AG9437" s="61"/>
      <c r="AH9437" s="61"/>
      <c r="AI9437" s="61"/>
      <c r="AJ9437" s="61"/>
      <c r="AK9437" s="61"/>
      <c r="AL9437" s="61"/>
      <c r="AM9437" s="61"/>
      <c r="AN9437" s="61"/>
      <c r="AO9437" s="61"/>
    </row>
    <row r="9438" spans="1:41" s="61" customFormat="1" x14ac:dyDescent="0.25">
      <c r="A9438" s="358"/>
      <c r="B9438" s="361"/>
      <c r="C9438" s="245" t="s">
        <v>299</v>
      </c>
      <c r="D9438" s="240"/>
      <c r="E9438" s="240"/>
      <c r="F9438" s="181"/>
      <c r="G9438" s="227"/>
      <c r="H9438" s="241"/>
      <c r="I9438" s="206"/>
      <c r="J9438" s="228"/>
      <c r="K9438" s="207"/>
      <c r="L9438" s="257"/>
      <c r="M9438" s="209"/>
      <c r="N9438" s="290"/>
      <c r="O9438" s="279">
        <f>SUM(O9426:O9437)</f>
        <v>3.8103999999999999E-2</v>
      </c>
      <c r="P9438" s="166"/>
      <c r="Q9438" s="166">
        <f>O9438*K9438</f>
        <v>0</v>
      </c>
      <c r="R9438" s="71"/>
    </row>
    <row r="9439" spans="1:41" s="61" customFormat="1" ht="47.25" x14ac:dyDescent="0.25">
      <c r="A9439" s="358"/>
      <c r="B9439" s="361"/>
      <c r="C9439" s="221" t="s">
        <v>434</v>
      </c>
      <c r="D9439" s="156" t="s">
        <v>436</v>
      </c>
      <c r="E9439" s="156" t="s">
        <v>28</v>
      </c>
      <c r="F9439" s="156" t="s">
        <v>437</v>
      </c>
      <c r="G9439" s="238">
        <f>MROUND(H9439*L9439*I9439/K9439,0.000000000001)</f>
        <v>0</v>
      </c>
      <c r="H9439" s="242">
        <f>$H$2148</f>
        <v>26</v>
      </c>
      <c r="I9439" s="159">
        <f>I9437</f>
        <v>0.19555899999999998</v>
      </c>
      <c r="J9439" s="160"/>
      <c r="K9439" s="161">
        <f>K9437</f>
        <v>143620</v>
      </c>
      <c r="L9439" s="162"/>
      <c r="M9439" s="163"/>
      <c r="N9439" s="164">
        <f>$N$5536</f>
        <v>2280.2800000000002</v>
      </c>
      <c r="O9439" s="165">
        <f>MROUND(G9439*N9439,0.000001)</f>
        <v>0</v>
      </c>
      <c r="P9439" s="166"/>
      <c r="Q9439" s="166">
        <f>O9439*K9439</f>
        <v>0</v>
      </c>
      <c r="R9439" s="71"/>
    </row>
    <row r="9440" spans="1:41" s="61" customFormat="1" x14ac:dyDescent="0.25">
      <c r="A9440" s="358"/>
      <c r="B9440" s="361"/>
      <c r="C9440" s="218" t="s">
        <v>435</v>
      </c>
      <c r="D9440" s="240"/>
      <c r="E9440" s="240"/>
      <c r="F9440" s="240"/>
      <c r="G9440" s="251"/>
      <c r="H9440" s="241"/>
      <c r="I9440" s="206"/>
      <c r="J9440" s="228"/>
      <c r="K9440" s="207"/>
      <c r="L9440" s="229"/>
      <c r="M9440" s="209"/>
      <c r="N9440" s="210"/>
      <c r="O9440" s="198">
        <f>SUM(O9439)</f>
        <v>0</v>
      </c>
      <c r="P9440" s="166"/>
      <c r="Q9440" s="166"/>
      <c r="R9440" s="71"/>
    </row>
    <row r="9441" spans="1:41" s="61" customFormat="1" ht="110.25" x14ac:dyDescent="0.25">
      <c r="A9441" s="358"/>
      <c r="B9441" s="361"/>
      <c r="C9441" s="221" t="s">
        <v>82</v>
      </c>
      <c r="D9441" s="156" t="s">
        <v>46</v>
      </c>
      <c r="E9441" s="156" t="s">
        <v>54</v>
      </c>
      <c r="F9441" s="156" t="s">
        <v>285</v>
      </c>
      <c r="G9441" s="238">
        <f>MROUND(H9441*L9441*I9441/K9441,0.000000000001)</f>
        <v>3.422218074E-3</v>
      </c>
      <c r="H9441" s="158">
        <f>H9135</f>
        <v>228.48206225686181</v>
      </c>
      <c r="I9441" s="159">
        <f>I9427</f>
        <v>0.19555899999999998</v>
      </c>
      <c r="J9441" s="160"/>
      <c r="K9441" s="161">
        <f>K9427</f>
        <v>143620</v>
      </c>
      <c r="L9441" s="250">
        <f>$L$2150</f>
        <v>11</v>
      </c>
      <c r="M9441" s="163" t="str">
        <f>CONCATENATE(H9441," ",F9441,"*",L9441,"автобус","*",I9441,"/",K9441,"чел/час")</f>
        <v>228,482062256862 л бензина АИ 92 (12,5л/день(зимой)*20дней*7мес+10л/день(летом)*20дней*4мес)*11автобус*0,195559/143620чел/час</v>
      </c>
      <c r="N9441" s="278">
        <f>$N$8927</f>
        <v>59.28728000000001</v>
      </c>
      <c r="O9441" s="280">
        <f t="shared" ref="O9441:O9443" si="2720">MROUND(N9441*G9441,0.000001)</f>
        <v>0.20289399999999999</v>
      </c>
      <c r="P9441" s="166"/>
      <c r="Q9441" s="166">
        <f>O9441*K9441</f>
        <v>29139.636279999999</v>
      </c>
      <c r="R9441" s="71"/>
    </row>
    <row r="9442" spans="1:41" s="61" customFormat="1" ht="47.25" x14ac:dyDescent="0.25">
      <c r="A9442" s="358"/>
      <c r="B9442" s="361"/>
      <c r="C9442" s="364" t="s">
        <v>118</v>
      </c>
      <c r="D9442" s="156" t="s">
        <v>47</v>
      </c>
      <c r="E9442" s="156" t="s">
        <v>28</v>
      </c>
      <c r="F9442" s="156" t="s">
        <v>239</v>
      </c>
      <c r="G9442" s="238">
        <f>MROUND(H9442*L9442*I9442/K9442,0.000000000001)</f>
        <v>2.7232836999999999E-5</v>
      </c>
      <c r="H9442" s="158">
        <f>H8928</f>
        <v>20</v>
      </c>
      <c r="I9442" s="159">
        <f>I9441</f>
        <v>0.19555899999999998</v>
      </c>
      <c r="J9442" s="160"/>
      <c r="K9442" s="161">
        <f>K9441</f>
        <v>143620</v>
      </c>
      <c r="L9442" s="250">
        <v>1</v>
      </c>
      <c r="M9442" s="163" t="str">
        <f>CONCATENATE(H9442," ",F9442,"*",I9442,"/",K9442,"чел/час")</f>
        <v>20 манометров (потребность учреждений) *0,195559/143620чел/час</v>
      </c>
      <c r="N9442" s="278">
        <f>N8928</f>
        <v>707.09500000000003</v>
      </c>
      <c r="O9442" s="280">
        <f t="shared" si="2720"/>
        <v>1.9255999999999999E-2</v>
      </c>
      <c r="P9442" s="166"/>
      <c r="Q9442" s="166">
        <f>O9442*K9442</f>
        <v>2765.5467199999998</v>
      </c>
      <c r="R9442" s="71"/>
    </row>
    <row r="9443" spans="1:41" s="61" customFormat="1" ht="47.25" x14ac:dyDescent="0.25">
      <c r="A9443" s="358"/>
      <c r="B9443" s="361"/>
      <c r="C9443" s="364"/>
      <c r="D9443" s="255" t="s">
        <v>113</v>
      </c>
      <c r="E9443" s="156" t="s">
        <v>28</v>
      </c>
      <c r="F9443" s="156" t="s">
        <v>240</v>
      </c>
      <c r="G9443" s="238">
        <f>MROUND(H9443*L9443*I9443/K9443,0.000000000001)</f>
        <v>1.3616418300000001E-4</v>
      </c>
      <c r="H9443" s="158">
        <v>100</v>
      </c>
      <c r="I9443" s="159">
        <f>I9442</f>
        <v>0.19555899999999998</v>
      </c>
      <c r="J9443" s="160"/>
      <c r="K9443" s="161">
        <f>K9442</f>
        <v>143620</v>
      </c>
      <c r="L9443" s="250">
        <v>1</v>
      </c>
      <c r="M9443" s="163" t="str">
        <f>CONCATENATE(H9443," ",F9443,"*",I9443,"/",K9443,"чел/час")</f>
        <v>100 светильников (потребность учреждений)*0,195559/143620чел/час</v>
      </c>
      <c r="N9443" s="278">
        <f>N8929</f>
        <v>115.61000000000001</v>
      </c>
      <c r="O9443" s="280">
        <f t="shared" si="2720"/>
        <v>1.5741999999999999E-2</v>
      </c>
      <c r="P9443" s="166"/>
      <c r="Q9443" s="166">
        <f>O9443*K9443</f>
        <v>2260.8660399999999</v>
      </c>
      <c r="R9443" s="71"/>
    </row>
    <row r="9444" spans="1:41" s="109" customFormat="1" x14ac:dyDescent="0.25">
      <c r="A9444" s="359"/>
      <c r="B9444" s="362"/>
      <c r="C9444" s="218" t="s">
        <v>301</v>
      </c>
      <c r="D9444" s="256"/>
      <c r="E9444" s="240"/>
      <c r="F9444" s="240"/>
      <c r="G9444" s="227"/>
      <c r="H9444" s="241"/>
      <c r="I9444" s="206"/>
      <c r="J9444" s="228"/>
      <c r="K9444" s="207"/>
      <c r="L9444" s="257"/>
      <c r="M9444" s="209"/>
      <c r="N9444" s="281"/>
      <c r="O9444" s="279">
        <f>O9442+O9443</f>
        <v>3.4998000000000001E-2</v>
      </c>
      <c r="P9444" s="267"/>
      <c r="Q9444" s="166"/>
      <c r="R9444" s="71"/>
      <c r="S9444" s="62"/>
      <c r="T9444" s="62"/>
      <c r="U9444" s="62"/>
      <c r="V9444" s="62"/>
      <c r="W9444" s="62"/>
      <c r="X9444" s="62"/>
      <c r="Y9444" s="62"/>
      <c r="Z9444" s="62"/>
      <c r="AA9444" s="62"/>
      <c r="AB9444" s="62"/>
      <c r="AC9444" s="62"/>
      <c r="AD9444" s="62"/>
      <c r="AE9444" s="62"/>
      <c r="AF9444" s="62"/>
      <c r="AG9444" s="62"/>
      <c r="AH9444" s="62"/>
      <c r="AI9444" s="62"/>
      <c r="AJ9444" s="62"/>
      <c r="AK9444" s="62"/>
      <c r="AL9444" s="62"/>
      <c r="AM9444" s="62"/>
      <c r="AN9444" s="62"/>
      <c r="AO9444" s="62"/>
    </row>
    <row r="9445" spans="1:41" s="108" customFormat="1" x14ac:dyDescent="0.25">
      <c r="A9445" s="357" t="str">
        <f>школы!$B$39</f>
        <v>Психолого-медико-педагогическое обследование детей</v>
      </c>
      <c r="B9445" s="360" t="str">
        <f>школы!$A$39</f>
        <v>880900О.99.0.ББ13АА02000</v>
      </c>
      <c r="C9445" s="194"/>
      <c r="D9445" s="363" t="s">
        <v>15</v>
      </c>
      <c r="E9445" s="363"/>
      <c r="F9445" s="363"/>
      <c r="G9445" s="363"/>
      <c r="H9445" s="195"/>
      <c r="I9445" s="195"/>
      <c r="J9445" s="195"/>
      <c r="K9445" s="195"/>
      <c r="L9445" s="196"/>
      <c r="M9445" s="197"/>
      <c r="N9445" s="278"/>
      <c r="O9445" s="279">
        <f>O9446+O9450</f>
        <v>2620.7449364034696</v>
      </c>
      <c r="P9445" s="166"/>
      <c r="Q9445" s="166">
        <f t="shared" ref="Q9445:Q9462" si="2721">O9445*K9445</f>
        <v>0</v>
      </c>
      <c r="R9445" s="71"/>
      <c r="S9445" s="61"/>
      <c r="T9445" s="61"/>
      <c r="U9445" s="61"/>
      <c r="V9445" s="61"/>
      <c r="W9445" s="61"/>
      <c r="X9445" s="61"/>
      <c r="Y9445" s="61"/>
      <c r="Z9445" s="61"/>
      <c r="AA9445" s="61"/>
      <c r="AB9445" s="61"/>
      <c r="AC9445" s="61"/>
      <c r="AD9445" s="61"/>
      <c r="AE9445" s="61"/>
      <c r="AF9445" s="61"/>
      <c r="AG9445" s="61"/>
      <c r="AH9445" s="61"/>
      <c r="AI9445" s="61"/>
      <c r="AJ9445" s="61"/>
      <c r="AK9445" s="61"/>
      <c r="AL9445" s="61"/>
      <c r="AM9445" s="61"/>
      <c r="AN9445" s="61"/>
      <c r="AO9445" s="61"/>
    </row>
    <row r="9446" spans="1:41" s="108" customFormat="1" x14ac:dyDescent="0.25">
      <c r="A9446" s="358"/>
      <c r="B9446" s="361"/>
      <c r="C9446" s="194"/>
      <c r="D9446" s="350" t="s">
        <v>62</v>
      </c>
      <c r="E9446" s="350"/>
      <c r="F9446" s="350"/>
      <c r="G9446" s="350"/>
      <c r="H9446" s="195"/>
      <c r="I9446" s="195"/>
      <c r="J9446" s="195"/>
      <c r="K9446" s="195"/>
      <c r="L9446" s="196"/>
      <c r="M9446" s="197"/>
      <c r="N9446" s="278"/>
      <c r="O9446" s="279">
        <f>O9447+O9448</f>
        <v>2603.7888484034697</v>
      </c>
      <c r="P9446" s="166"/>
      <c r="Q9446" s="166">
        <f t="shared" si="2721"/>
        <v>0</v>
      </c>
      <c r="R9446" s="71"/>
      <c r="S9446" s="61"/>
      <c r="T9446" s="61"/>
      <c r="U9446" s="61"/>
      <c r="V9446" s="61"/>
      <c r="W9446" s="61"/>
      <c r="X9446" s="61"/>
      <c r="Y9446" s="61"/>
      <c r="Z9446" s="61"/>
      <c r="AA9446" s="61"/>
      <c r="AB9446" s="61"/>
      <c r="AC9446" s="61"/>
      <c r="AD9446" s="61"/>
      <c r="AE9446" s="61"/>
      <c r="AF9446" s="61"/>
      <c r="AG9446" s="61"/>
      <c r="AH9446" s="61"/>
      <c r="AI9446" s="61"/>
      <c r="AJ9446" s="61"/>
      <c r="AK9446" s="61"/>
      <c r="AL9446" s="61"/>
      <c r="AM9446" s="61"/>
      <c r="AN9446" s="61"/>
      <c r="AO9446" s="61"/>
    </row>
    <row r="9447" spans="1:41" s="61" customFormat="1" x14ac:dyDescent="0.25">
      <c r="A9447" s="358"/>
      <c r="B9447" s="361"/>
      <c r="C9447" s="194">
        <v>211</v>
      </c>
      <c r="D9447" s="194" t="s">
        <v>86</v>
      </c>
      <c r="E9447" s="199" t="s">
        <v>95</v>
      </c>
      <c r="F9447" s="199" t="s">
        <v>95</v>
      </c>
      <c r="G9447" s="238">
        <f>MROUND(H9447*L9447*I9447/K9447,0.000000000001)</f>
        <v>8.4372977454999998E-2</v>
      </c>
      <c r="H9447" s="201">
        <f>H8829</f>
        <v>368.4</v>
      </c>
      <c r="I9447" s="159">
        <f>школы!$K$39</f>
        <v>2.0993999999999999E-2</v>
      </c>
      <c r="J9447" s="159"/>
      <c r="K9447" s="161">
        <f>школы!$G$39</f>
        <v>1100</v>
      </c>
      <c r="L9447" s="202">
        <v>12</v>
      </c>
      <c r="M9447" s="163" t="str">
        <f>CONCATENATE(H9447," ",F9447," ","в мес.","*",L9447,"мес.","*",I9447,"/",K9447,"чел")</f>
        <v>368,4 шт.ед в мес.*12мес.*0,020994/1100чел</v>
      </c>
      <c r="N9447" s="278">
        <f>N8829</f>
        <v>23702.349798678973</v>
      </c>
      <c r="O9447" s="280">
        <f>MROUND(N9447*G9447,0.00000000001)</f>
        <v>1999.8378251944698</v>
      </c>
      <c r="P9447" s="166"/>
      <c r="Q9447" s="166">
        <f t="shared" si="2721"/>
        <v>2199821.6077139168</v>
      </c>
      <c r="R9447" s="71"/>
    </row>
    <row r="9448" spans="1:41" s="61" customFormat="1" x14ac:dyDescent="0.25">
      <c r="A9448" s="358"/>
      <c r="B9448" s="361"/>
      <c r="C9448" s="194">
        <v>213</v>
      </c>
      <c r="D9448" s="194" t="s">
        <v>87</v>
      </c>
      <c r="E9448" s="194" t="s">
        <v>88</v>
      </c>
      <c r="F9448" s="194"/>
      <c r="G9448" s="211">
        <v>30.2</v>
      </c>
      <c r="H9448" s="159"/>
      <c r="I9448" s="282">
        <f>I9447</f>
        <v>2.0993999999999999E-2</v>
      </c>
      <c r="J9448" s="159"/>
      <c r="K9448" s="161">
        <f>K9447</f>
        <v>1100</v>
      </c>
      <c r="L9448" s="202"/>
      <c r="M9448" s="212"/>
      <c r="N9448" s="278"/>
      <c r="O9448" s="280">
        <f>MROUND(O9447*0.302,0.000000001)</f>
        <v>603.95102320900003</v>
      </c>
      <c r="P9448" s="166"/>
      <c r="Q9448" s="166">
        <f t="shared" si="2721"/>
        <v>664346.12552990008</v>
      </c>
      <c r="R9448" s="71"/>
    </row>
    <row r="9449" spans="1:41" s="108" customFormat="1" x14ac:dyDescent="0.25">
      <c r="A9449" s="358"/>
      <c r="B9449" s="361"/>
      <c r="C9449" s="194"/>
      <c r="D9449" s="194"/>
      <c r="E9449" s="194"/>
      <c r="F9449" s="194"/>
      <c r="G9449" s="217"/>
      <c r="H9449" s="195"/>
      <c r="I9449" s="159"/>
      <c r="J9449" s="195"/>
      <c r="K9449" s="161"/>
      <c r="L9449" s="196"/>
      <c r="M9449" s="197"/>
      <c r="N9449" s="278"/>
      <c r="O9449" s="280"/>
      <c r="P9449" s="166"/>
      <c r="Q9449" s="166">
        <f t="shared" si="2721"/>
        <v>0</v>
      </c>
      <c r="R9449" s="71"/>
      <c r="S9449" s="61"/>
      <c r="T9449" s="61"/>
      <c r="U9449" s="61"/>
      <c r="V9449" s="61"/>
      <c r="W9449" s="61"/>
      <c r="X9449" s="61"/>
      <c r="Y9449" s="61"/>
      <c r="Z9449" s="61"/>
      <c r="AA9449" s="61"/>
      <c r="AB9449" s="61"/>
      <c r="AC9449" s="61"/>
      <c r="AD9449" s="61"/>
      <c r="AE9449" s="61"/>
      <c r="AF9449" s="61"/>
      <c r="AG9449" s="61"/>
      <c r="AH9449" s="61"/>
      <c r="AI9449" s="61"/>
      <c r="AJ9449" s="61"/>
      <c r="AK9449" s="61"/>
      <c r="AL9449" s="61"/>
      <c r="AM9449" s="61"/>
      <c r="AN9449" s="61"/>
      <c r="AO9449" s="61"/>
    </row>
    <row r="9450" spans="1:41" s="108" customFormat="1" x14ac:dyDescent="0.25">
      <c r="A9450" s="358"/>
      <c r="B9450" s="361"/>
      <c r="C9450" s="194"/>
      <c r="D9450" s="356" t="s">
        <v>63</v>
      </c>
      <c r="E9450" s="356"/>
      <c r="F9450" s="356"/>
      <c r="G9450" s="356"/>
      <c r="H9450" s="195"/>
      <c r="I9450" s="159"/>
      <c r="J9450" s="195"/>
      <c r="K9450" s="161"/>
      <c r="L9450" s="196"/>
      <c r="M9450" s="197"/>
      <c r="N9450" s="278"/>
      <c r="O9450" s="280">
        <f>O9451</f>
        <v>16.956087999999998</v>
      </c>
      <c r="P9450" s="166"/>
      <c r="Q9450" s="166">
        <f t="shared" si="2721"/>
        <v>0</v>
      </c>
      <c r="R9450" s="71"/>
      <c r="S9450" s="61"/>
      <c r="T9450" s="61"/>
      <c r="U9450" s="61"/>
      <c r="V9450" s="61"/>
      <c r="W9450" s="61"/>
      <c r="X9450" s="61"/>
      <c r="Y9450" s="61"/>
      <c r="Z9450" s="61"/>
      <c r="AA9450" s="61"/>
      <c r="AB9450" s="61"/>
      <c r="AC9450" s="61"/>
      <c r="AD9450" s="61"/>
      <c r="AE9450" s="61"/>
      <c r="AF9450" s="61"/>
      <c r="AG9450" s="61"/>
      <c r="AH9450" s="61"/>
      <c r="AI9450" s="61"/>
      <c r="AJ9450" s="61"/>
      <c r="AK9450" s="61"/>
      <c r="AL9450" s="61"/>
      <c r="AM9450" s="61"/>
      <c r="AN9450" s="61"/>
      <c r="AO9450" s="61"/>
    </row>
    <row r="9451" spans="1:41" s="61" customFormat="1" x14ac:dyDescent="0.25">
      <c r="A9451" s="358"/>
      <c r="B9451" s="361"/>
      <c r="C9451" s="194">
        <v>346</v>
      </c>
      <c r="D9451" s="194" t="s">
        <v>259</v>
      </c>
      <c r="E9451" s="194" t="s">
        <v>260</v>
      </c>
      <c r="F9451" s="194" t="s">
        <v>261</v>
      </c>
      <c r="G9451" s="238">
        <f>MROUND(H9451*L9451*I9451/K9451,0.00000000001)</f>
        <v>2.313157091E-2</v>
      </c>
      <c r="H9451" s="283">
        <f>H8834</f>
        <v>1212</v>
      </c>
      <c r="I9451" s="282">
        <f>I9448</f>
        <v>2.0993999999999999E-2</v>
      </c>
      <c r="J9451" s="195"/>
      <c r="K9451" s="161">
        <f>K9448</f>
        <v>1100</v>
      </c>
      <c r="L9451" s="196">
        <v>1</v>
      </c>
      <c r="M9451" s="163" t="str">
        <f>CONCATENATE(H9451," ",F9451,"*",I9451,"/",K9451,"чел")</f>
        <v>1212 упаковок*0,020994/1100чел</v>
      </c>
      <c r="N9451" s="278">
        <f>N8834</f>
        <v>733.02792904290436</v>
      </c>
      <c r="O9451" s="280">
        <f>MROUND(N9451*G9451,0.000001)</f>
        <v>16.956087999999998</v>
      </c>
      <c r="P9451" s="166"/>
      <c r="Q9451" s="166">
        <f t="shared" si="2721"/>
        <v>18651.696799999998</v>
      </c>
      <c r="R9451" s="71"/>
    </row>
    <row r="9452" spans="1:41" s="108" customFormat="1" x14ac:dyDescent="0.25">
      <c r="A9452" s="358"/>
      <c r="B9452" s="361"/>
      <c r="C9452" s="194"/>
      <c r="D9452" s="350" t="s">
        <v>64</v>
      </c>
      <c r="E9452" s="350"/>
      <c r="F9452" s="350"/>
      <c r="G9452" s="350"/>
      <c r="H9452" s="195"/>
      <c r="I9452" s="159"/>
      <c r="J9452" s="195"/>
      <c r="K9452" s="161"/>
      <c r="L9452" s="196"/>
      <c r="M9452" s="197"/>
      <c r="N9452" s="278"/>
      <c r="O9452" s="280"/>
      <c r="P9452" s="166"/>
      <c r="Q9452" s="166">
        <f t="shared" si="2721"/>
        <v>0</v>
      </c>
      <c r="R9452" s="71"/>
      <c r="S9452" s="61"/>
      <c r="T9452" s="61"/>
      <c r="U9452" s="61"/>
      <c r="V9452" s="61"/>
      <c r="W9452" s="61"/>
      <c r="X9452" s="61"/>
      <c r="Y9452" s="61"/>
      <c r="Z9452" s="61"/>
      <c r="AA9452" s="61"/>
      <c r="AB9452" s="61"/>
      <c r="AC9452" s="61"/>
      <c r="AD9452" s="61"/>
      <c r="AE9452" s="61"/>
      <c r="AF9452" s="61"/>
      <c r="AG9452" s="61"/>
      <c r="AH9452" s="61"/>
      <c r="AI9452" s="61"/>
      <c r="AJ9452" s="61"/>
      <c r="AK9452" s="61"/>
      <c r="AL9452" s="61"/>
      <c r="AM9452" s="61"/>
      <c r="AN9452" s="61"/>
      <c r="AO9452" s="61"/>
    </row>
    <row r="9453" spans="1:41" s="108" customFormat="1" x14ac:dyDescent="0.25">
      <c r="A9453" s="358"/>
      <c r="B9453" s="361"/>
      <c r="C9453" s="194"/>
      <c r="D9453" s="194"/>
      <c r="E9453" s="194"/>
      <c r="F9453" s="194"/>
      <c r="G9453" s="217"/>
      <c r="H9453" s="195"/>
      <c r="I9453" s="159"/>
      <c r="J9453" s="195"/>
      <c r="K9453" s="161"/>
      <c r="L9453" s="196"/>
      <c r="M9453" s="197"/>
      <c r="N9453" s="278"/>
      <c r="O9453" s="280"/>
      <c r="P9453" s="166"/>
      <c r="Q9453" s="166">
        <f t="shared" si="2721"/>
        <v>0</v>
      </c>
      <c r="R9453" s="71"/>
      <c r="S9453" s="61"/>
      <c r="T9453" s="61"/>
      <c r="U9453" s="61"/>
      <c r="V9453" s="61"/>
      <c r="W9453" s="61"/>
      <c r="X9453" s="61"/>
      <c r="Y9453" s="61"/>
      <c r="Z9453" s="61"/>
      <c r="AA9453" s="61"/>
      <c r="AB9453" s="61"/>
      <c r="AC9453" s="61"/>
      <c r="AD9453" s="61"/>
      <c r="AE9453" s="61"/>
      <c r="AF9453" s="61"/>
      <c r="AG9453" s="61"/>
      <c r="AH9453" s="61"/>
      <c r="AI9453" s="61"/>
      <c r="AJ9453" s="61"/>
      <c r="AK9453" s="61"/>
      <c r="AL9453" s="61"/>
      <c r="AM9453" s="61"/>
      <c r="AN9453" s="61"/>
      <c r="AO9453" s="61"/>
    </row>
    <row r="9454" spans="1:41" s="108" customFormat="1" x14ac:dyDescent="0.25">
      <c r="A9454" s="358"/>
      <c r="B9454" s="361"/>
      <c r="C9454" s="194"/>
      <c r="D9454" s="355" t="s">
        <v>5</v>
      </c>
      <c r="E9454" s="355"/>
      <c r="F9454" s="355"/>
      <c r="G9454" s="355"/>
      <c r="H9454" s="195"/>
      <c r="I9454" s="159"/>
      <c r="J9454" s="195"/>
      <c r="K9454" s="161"/>
      <c r="L9454" s="196"/>
      <c r="M9454" s="197"/>
      <c r="N9454" s="278"/>
      <c r="O9454" s="279">
        <f>O9455+O9464+O9475+O9477+O9488+O9484</f>
        <v>442.97051024699999</v>
      </c>
      <c r="P9454" s="166"/>
      <c r="Q9454" s="166">
        <f t="shared" si="2721"/>
        <v>0</v>
      </c>
      <c r="R9454" s="71"/>
      <c r="S9454" s="61"/>
      <c r="T9454" s="61"/>
      <c r="U9454" s="61"/>
      <c r="V9454" s="61"/>
      <c r="W9454" s="61"/>
      <c r="X9454" s="61"/>
      <c r="Y9454" s="61"/>
      <c r="Z9454" s="61"/>
      <c r="AA9454" s="61"/>
      <c r="AB9454" s="61"/>
      <c r="AC9454" s="61"/>
      <c r="AD9454" s="61"/>
      <c r="AE9454" s="61"/>
      <c r="AF9454" s="61"/>
      <c r="AG9454" s="61"/>
      <c r="AH9454" s="61"/>
      <c r="AI9454" s="61"/>
      <c r="AJ9454" s="61"/>
      <c r="AK9454" s="61"/>
      <c r="AL9454" s="61"/>
      <c r="AM9454" s="61"/>
      <c r="AN9454" s="61"/>
      <c r="AO9454" s="61"/>
    </row>
    <row r="9455" spans="1:41" s="108" customFormat="1" x14ac:dyDescent="0.25">
      <c r="A9455" s="358"/>
      <c r="B9455" s="361"/>
      <c r="C9455" s="221" t="s">
        <v>70</v>
      </c>
      <c r="D9455" s="355" t="s">
        <v>6</v>
      </c>
      <c r="E9455" s="355"/>
      <c r="F9455" s="355"/>
      <c r="G9455" s="355"/>
      <c r="H9455" s="189"/>
      <c r="I9455" s="159"/>
      <c r="J9455" s="189"/>
      <c r="K9455" s="161"/>
      <c r="L9455" s="190"/>
      <c r="M9455" s="197"/>
      <c r="N9455" s="278"/>
      <c r="O9455" s="279">
        <f>O9456+O9457+O9458+O9459+O9460+O9461+O9462</f>
        <v>126.916517</v>
      </c>
      <c r="P9455" s="166"/>
      <c r="Q9455" s="166">
        <f t="shared" si="2721"/>
        <v>0</v>
      </c>
      <c r="R9455" s="71"/>
      <c r="S9455" s="61"/>
      <c r="T9455" s="61"/>
      <c r="U9455" s="61"/>
      <c r="V9455" s="61"/>
      <c r="W9455" s="61"/>
      <c r="X9455" s="61"/>
      <c r="Y9455" s="61"/>
      <c r="Z9455" s="61"/>
      <c r="AA9455" s="61"/>
      <c r="AB9455" s="61"/>
      <c r="AC9455" s="61"/>
      <c r="AD9455" s="61"/>
      <c r="AE9455" s="61"/>
      <c r="AF9455" s="61"/>
      <c r="AG9455" s="61"/>
      <c r="AH9455" s="61"/>
      <c r="AI9455" s="61"/>
      <c r="AJ9455" s="61"/>
      <c r="AK9455" s="61"/>
      <c r="AL9455" s="61"/>
      <c r="AM9455" s="61"/>
      <c r="AN9455" s="61"/>
      <c r="AO9455" s="61"/>
    </row>
    <row r="9456" spans="1:41" s="61" customFormat="1" ht="31.5" x14ac:dyDescent="0.25">
      <c r="A9456" s="358"/>
      <c r="B9456" s="361"/>
      <c r="C9456" s="221" t="s">
        <v>72</v>
      </c>
      <c r="D9456" s="222" t="s">
        <v>7</v>
      </c>
      <c r="E9456" s="223" t="s">
        <v>8</v>
      </c>
      <c r="F9456" s="223" t="s">
        <v>8</v>
      </c>
      <c r="G9456" s="238">
        <f t="shared" ref="G9456:G9462" si="2722">MROUND(H9456*L9456*I9456/K9456,0.00000000001)</f>
        <v>2.15780410669</v>
      </c>
      <c r="H9456" s="160">
        <f>H8840</f>
        <v>113060.13705633247</v>
      </c>
      <c r="I9456" s="282">
        <f>I9448</f>
        <v>2.0993999999999999E-2</v>
      </c>
      <c r="J9456" s="160"/>
      <c r="K9456" s="161">
        <f>K9448</f>
        <v>1100</v>
      </c>
      <c r="L9456" s="250">
        <v>1</v>
      </c>
      <c r="M9456" s="163" t="str">
        <f>CONCATENATE(H9456," ",F9456,"(лимиты выделенные УЖКХ) ","*",I9456,"/",K9456,"чел")</f>
        <v>113060,137056332 кВт час.(лимиты выделенные УЖКХ) *0,020994/1100чел</v>
      </c>
      <c r="N9456" s="278">
        <f>N8840</f>
        <v>11.38065575985371</v>
      </c>
      <c r="O9456" s="280">
        <f>MROUND(N9456*G9456,0.000001)</f>
        <v>24.557226</v>
      </c>
      <c r="P9456" s="166"/>
      <c r="Q9456" s="166">
        <f t="shared" si="2721"/>
        <v>27012.9486</v>
      </c>
      <c r="R9456" s="71"/>
    </row>
    <row r="9457" spans="1:41" s="61" customFormat="1" ht="31.5" x14ac:dyDescent="0.25">
      <c r="A9457" s="358"/>
      <c r="B9457" s="361"/>
      <c r="C9457" s="221" t="s">
        <v>73</v>
      </c>
      <c r="D9457" s="222" t="s">
        <v>9</v>
      </c>
      <c r="E9457" s="223" t="s">
        <v>10</v>
      </c>
      <c r="F9457" s="223" t="s">
        <v>10</v>
      </c>
      <c r="G9457" s="238">
        <f t="shared" si="2722"/>
        <v>2.6605123639999999E-2</v>
      </c>
      <c r="H9457" s="160">
        <f>H8841</f>
        <v>1394</v>
      </c>
      <c r="I9457" s="159">
        <f t="shared" ref="I9457:I9462" si="2723">I9456</f>
        <v>2.0993999999999999E-2</v>
      </c>
      <c r="J9457" s="160"/>
      <c r="K9457" s="161">
        <f t="shared" ref="K9457:K9462" si="2724">K9456</f>
        <v>1100</v>
      </c>
      <c r="L9457" s="250">
        <v>1</v>
      </c>
      <c r="M9457" s="163" t="str">
        <f>CONCATENATE(H9457," ",F9457,"(лимиты выделенные УЖКХ) ","*",I9457,"/",K9457,"чел")</f>
        <v>1394 Гкал(лимиты выделенные УЖКХ) *0,020994/1100чел</v>
      </c>
      <c r="N9457" s="278">
        <f>N8945</f>
        <v>3095.3018579626978</v>
      </c>
      <c r="O9457" s="280">
        <f t="shared" ref="O9457:O9462" si="2725">MROUND(N9457*G9457,0.000001)</f>
        <v>82.350888999999995</v>
      </c>
      <c r="P9457" s="166"/>
      <c r="Q9457" s="166">
        <f t="shared" si="2721"/>
        <v>90585.977899999998</v>
      </c>
      <c r="R9457" s="71"/>
    </row>
    <row r="9458" spans="1:41" s="61" customFormat="1" ht="31.5" x14ac:dyDescent="0.25">
      <c r="A9458" s="358"/>
      <c r="B9458" s="361"/>
      <c r="C9458" s="364" t="s">
        <v>74</v>
      </c>
      <c r="D9458" s="222" t="s">
        <v>12</v>
      </c>
      <c r="E9458" s="222" t="s">
        <v>11</v>
      </c>
      <c r="F9458" s="222" t="s">
        <v>11</v>
      </c>
      <c r="G9458" s="238">
        <f t="shared" si="2722"/>
        <v>7.7126421219999991E-2</v>
      </c>
      <c r="H9458" s="224">
        <f>H8842</f>
        <v>4041.1099999999997</v>
      </c>
      <c r="I9458" s="159">
        <f t="shared" si="2723"/>
        <v>2.0993999999999999E-2</v>
      </c>
      <c r="J9458" s="160"/>
      <c r="K9458" s="161">
        <f t="shared" si="2724"/>
        <v>1100</v>
      </c>
      <c r="L9458" s="250">
        <v>1</v>
      </c>
      <c r="M9458" s="163" t="str">
        <f>CONCATENATE(H9458," ",F9458,"(лимиты выделенные УЖКХ) ","*",I9458,"/",K9458,"чел")</f>
        <v>4041,11 м3(лимиты выделенные УЖКХ) *0,020994/1100чел</v>
      </c>
      <c r="N9458" s="278">
        <f>N8842</f>
        <v>56.382747190747111</v>
      </c>
      <c r="O9458" s="280">
        <f t="shared" si="2725"/>
        <v>4.3486000000000002</v>
      </c>
      <c r="P9458" s="166"/>
      <c r="Q9458" s="166">
        <f t="shared" si="2721"/>
        <v>4783.46</v>
      </c>
      <c r="R9458" s="71"/>
    </row>
    <row r="9459" spans="1:41" s="61" customFormat="1" ht="47.25" x14ac:dyDescent="0.25">
      <c r="A9459" s="358"/>
      <c r="B9459" s="361"/>
      <c r="C9459" s="364"/>
      <c r="D9459" s="222" t="s">
        <v>17</v>
      </c>
      <c r="E9459" s="222" t="s">
        <v>11</v>
      </c>
      <c r="F9459" s="222" t="s">
        <v>11</v>
      </c>
      <c r="G9459" s="238">
        <f t="shared" si="2722"/>
        <v>7.7126421219999991E-2</v>
      </c>
      <c r="H9459" s="160">
        <f>H8947</f>
        <v>4041.1099999999997</v>
      </c>
      <c r="I9459" s="159">
        <f t="shared" si="2723"/>
        <v>2.0993999999999999E-2</v>
      </c>
      <c r="J9459" s="160"/>
      <c r="K9459" s="161">
        <f t="shared" si="2724"/>
        <v>1100</v>
      </c>
      <c r="L9459" s="162">
        <f>$L$8843</f>
        <v>1</v>
      </c>
      <c r="M9459" s="163" t="str">
        <f>CONCATENATE(H9459," ",F9459,"(лимиты выделенные УЖКХ) ","*",I9459,"/",K9459,"чел")</f>
        <v>4041,11 м3(лимиты выделенные УЖКХ) *0,020994/1100чел</v>
      </c>
      <c r="N9459" s="164">
        <f>N8843</f>
        <v>85.679537612054801</v>
      </c>
      <c r="O9459" s="280">
        <f t="shared" si="2725"/>
        <v>6.6081560000000001</v>
      </c>
      <c r="P9459" s="166"/>
      <c r="Q9459" s="166">
        <f t="shared" si="2721"/>
        <v>7268.9715999999999</v>
      </c>
      <c r="R9459" s="71"/>
    </row>
    <row r="9460" spans="1:41" s="61" customFormat="1" ht="31.5" x14ac:dyDescent="0.25">
      <c r="A9460" s="358"/>
      <c r="B9460" s="361"/>
      <c r="C9460" s="364"/>
      <c r="D9460" s="222" t="s">
        <v>13</v>
      </c>
      <c r="E9460" s="222" t="s">
        <v>11</v>
      </c>
      <c r="F9460" s="222" t="s">
        <v>11</v>
      </c>
      <c r="G9460" s="238">
        <f t="shared" si="2722"/>
        <v>7.7126421219999991E-2</v>
      </c>
      <c r="H9460" s="160">
        <f>H8844</f>
        <v>4041.1099999999997</v>
      </c>
      <c r="I9460" s="159">
        <f t="shared" si="2723"/>
        <v>2.0993999999999999E-2</v>
      </c>
      <c r="J9460" s="160"/>
      <c r="K9460" s="161">
        <f t="shared" si="2724"/>
        <v>1100</v>
      </c>
      <c r="L9460" s="162">
        <v>1</v>
      </c>
      <c r="M9460" s="163" t="str">
        <f>CONCATENATE(H9460," ",F9460,"(лимиты выделенные УЖКХ) ","*",I9460,"/",K9460,"чел")</f>
        <v>4041,11 м3(лимиты выделенные УЖКХ) *0,020994/1100чел</v>
      </c>
      <c r="N9460" s="278">
        <f>N8844</f>
        <v>104.62845363292494</v>
      </c>
      <c r="O9460" s="280">
        <f t="shared" si="2725"/>
        <v>8.0696180000000002</v>
      </c>
      <c r="P9460" s="166"/>
      <c r="Q9460" s="166">
        <f t="shared" si="2721"/>
        <v>8876.5797999999995</v>
      </c>
      <c r="R9460" s="71"/>
    </row>
    <row r="9461" spans="1:41" s="61" customFormat="1" x14ac:dyDescent="0.25">
      <c r="A9461" s="358"/>
      <c r="B9461" s="361"/>
      <c r="C9461" s="364" t="s">
        <v>216</v>
      </c>
      <c r="D9461" s="222" t="s">
        <v>23</v>
      </c>
      <c r="E9461" s="222" t="s">
        <v>11</v>
      </c>
      <c r="F9461" s="222" t="s">
        <v>11</v>
      </c>
      <c r="G9461" s="238">
        <f t="shared" si="2722"/>
        <v>4.7675464999999997E-4</v>
      </c>
      <c r="H9461" s="160">
        <f>H8845</f>
        <v>24.979999999999997</v>
      </c>
      <c r="I9461" s="159">
        <f t="shared" si="2723"/>
        <v>2.0993999999999999E-2</v>
      </c>
      <c r="J9461" s="160"/>
      <c r="K9461" s="161">
        <f t="shared" si="2724"/>
        <v>1100</v>
      </c>
      <c r="L9461" s="162">
        <v>1</v>
      </c>
      <c r="M9461" s="163" t="str">
        <f>CONCATENATE(H9461," ",F9461," ","*",I9461,"/",K9461,"чел")</f>
        <v>24,98 м3 *0,020994/1100чел</v>
      </c>
      <c r="N9461" s="164">
        <f>N8845</f>
        <v>807.4099279423541</v>
      </c>
      <c r="O9461" s="280">
        <f t="shared" si="2725"/>
        <v>0.384936</v>
      </c>
      <c r="P9461" s="166"/>
      <c r="Q9461" s="166">
        <f t="shared" si="2721"/>
        <v>423.42959999999999</v>
      </c>
      <c r="R9461" s="71"/>
    </row>
    <row r="9462" spans="1:41" s="61" customFormat="1" ht="47.25" x14ac:dyDescent="0.25">
      <c r="A9462" s="358"/>
      <c r="B9462" s="361"/>
      <c r="C9462" s="364"/>
      <c r="D9462" s="222" t="s">
        <v>24</v>
      </c>
      <c r="E9462" s="222" t="s">
        <v>25</v>
      </c>
      <c r="F9462" s="222" t="s">
        <v>248</v>
      </c>
      <c r="G9462" s="238">
        <f t="shared" si="2722"/>
        <v>9.5427269999999998E-5</v>
      </c>
      <c r="H9462" s="160">
        <f>H8846</f>
        <v>5</v>
      </c>
      <c r="I9462" s="159">
        <f t="shared" si="2723"/>
        <v>2.0993999999999999E-2</v>
      </c>
      <c r="J9462" s="160"/>
      <c r="K9462" s="161">
        <f t="shared" si="2724"/>
        <v>1100</v>
      </c>
      <c r="L9462" s="250">
        <v>1</v>
      </c>
      <c r="M9462" s="163" t="str">
        <f>CONCATENATE(H9462," ",F9462,"(потребность из расчета 4 контейнера для уборки территории весной и осенью на 1 учреждение)","*",I9462,"/",K9462,"чел")</f>
        <v>5 контейнеров(потребность из расчета 4 контейнера для уборки территории весной и осенью на 1 учреждение)*0,020994/1100чел</v>
      </c>
      <c r="N9462" s="278">
        <f>N8950</f>
        <v>6257.04</v>
      </c>
      <c r="O9462" s="280">
        <f t="shared" si="2725"/>
        <v>0.59709199999999996</v>
      </c>
      <c r="P9462" s="166"/>
      <c r="Q9462" s="166">
        <f t="shared" si="2721"/>
        <v>656.80119999999999</v>
      </c>
      <c r="R9462" s="71"/>
    </row>
    <row r="9463" spans="1:41" s="109" customFormat="1" x14ac:dyDescent="0.25">
      <c r="A9463" s="358"/>
      <c r="B9463" s="361"/>
      <c r="C9463" s="218" t="s">
        <v>290</v>
      </c>
      <c r="D9463" s="226"/>
      <c r="E9463" s="226"/>
      <c r="F9463" s="226"/>
      <c r="G9463" s="227"/>
      <c r="H9463" s="228"/>
      <c r="I9463" s="206"/>
      <c r="J9463" s="228"/>
      <c r="K9463" s="207"/>
      <c r="L9463" s="257"/>
      <c r="M9463" s="209"/>
      <c r="N9463" s="281"/>
      <c r="O9463" s="279">
        <f>SUM(O9456:O9462)</f>
        <v>126.916517</v>
      </c>
      <c r="P9463" s="267"/>
      <c r="Q9463" s="166"/>
      <c r="R9463" s="71"/>
      <c r="S9463" s="62"/>
      <c r="T9463" s="62"/>
      <c r="U9463" s="62"/>
      <c r="V9463" s="62"/>
      <c r="W9463" s="62"/>
      <c r="X9463" s="62"/>
      <c r="Y9463" s="62"/>
      <c r="Z9463" s="62"/>
      <c r="AA9463" s="62"/>
      <c r="AB9463" s="62"/>
      <c r="AC9463" s="62"/>
      <c r="AD9463" s="62"/>
      <c r="AE9463" s="62"/>
      <c r="AF9463" s="62"/>
      <c r="AG9463" s="62"/>
      <c r="AH9463" s="62"/>
      <c r="AI9463" s="62"/>
      <c r="AJ9463" s="62"/>
      <c r="AK9463" s="62"/>
      <c r="AL9463" s="62"/>
      <c r="AM9463" s="62"/>
      <c r="AN9463" s="62"/>
      <c r="AO9463" s="62"/>
    </row>
    <row r="9464" spans="1:41" s="108" customFormat="1" x14ac:dyDescent="0.25">
      <c r="A9464" s="358"/>
      <c r="B9464" s="361"/>
      <c r="C9464" s="221"/>
      <c r="D9464" s="356" t="s">
        <v>14</v>
      </c>
      <c r="E9464" s="356"/>
      <c r="F9464" s="356"/>
      <c r="G9464" s="356"/>
      <c r="H9464" s="188"/>
      <c r="I9464" s="159"/>
      <c r="J9464" s="188"/>
      <c r="K9464" s="161"/>
      <c r="L9464" s="250"/>
      <c r="M9464" s="230"/>
      <c r="N9464" s="278"/>
      <c r="O9464" s="279">
        <f>O9468+O9472+O9473</f>
        <v>234.82743283200003</v>
      </c>
      <c r="P9464" s="166"/>
      <c r="Q9464" s="166">
        <f>O9464*K9464</f>
        <v>0</v>
      </c>
      <c r="R9464" s="71"/>
      <c r="S9464" s="61"/>
      <c r="T9464" s="61"/>
      <c r="U9464" s="61"/>
      <c r="V9464" s="61"/>
      <c r="W9464" s="61"/>
      <c r="X9464" s="61"/>
      <c r="Y9464" s="61"/>
      <c r="Z9464" s="61"/>
      <c r="AA9464" s="61"/>
      <c r="AB9464" s="61"/>
      <c r="AC9464" s="61"/>
      <c r="AD9464" s="61"/>
      <c r="AE9464" s="61"/>
      <c r="AF9464" s="61"/>
      <c r="AG9464" s="61"/>
      <c r="AH9464" s="61"/>
      <c r="AI9464" s="61"/>
      <c r="AJ9464" s="61"/>
      <c r="AK9464" s="61"/>
      <c r="AL9464" s="61"/>
      <c r="AM9464" s="61"/>
      <c r="AN9464" s="61"/>
      <c r="AO9464" s="61"/>
    </row>
    <row r="9465" spans="1:41" s="61" customFormat="1" x14ac:dyDescent="0.25">
      <c r="A9465" s="358"/>
      <c r="B9465" s="361"/>
      <c r="C9465" s="221" t="s">
        <v>379</v>
      </c>
      <c r="D9465" s="231" t="s">
        <v>49</v>
      </c>
      <c r="E9465" s="231" t="s">
        <v>22</v>
      </c>
      <c r="F9465" s="231" t="s">
        <v>22</v>
      </c>
      <c r="G9465" s="238">
        <f>MROUND(H9465*L9465*I9465/K9465,0.00000000001)</f>
        <v>0</v>
      </c>
      <c r="H9465" s="160"/>
      <c r="I9465" s="159">
        <f>I9460</f>
        <v>2.0993999999999999E-2</v>
      </c>
      <c r="J9465" s="160"/>
      <c r="K9465" s="161">
        <f>K9460</f>
        <v>1100</v>
      </c>
      <c r="L9465" s="250">
        <v>1</v>
      </c>
      <c r="M9465" s="163"/>
      <c r="N9465" s="278"/>
      <c r="O9465" s="280">
        <f>MROUND(N9465*G9465,0.000000001)</f>
        <v>0</v>
      </c>
      <c r="P9465" s="166"/>
      <c r="Q9465" s="166">
        <f>O9465*K9465</f>
        <v>0</v>
      </c>
      <c r="R9465" s="71"/>
    </row>
    <row r="9466" spans="1:41" s="61" customFormat="1" x14ac:dyDescent="0.25">
      <c r="A9466" s="358"/>
      <c r="B9466" s="361"/>
      <c r="C9466" s="221" t="s">
        <v>379</v>
      </c>
      <c r="D9466" s="231" t="s">
        <v>49</v>
      </c>
      <c r="E9466" s="231" t="s">
        <v>28</v>
      </c>
      <c r="F9466" s="231" t="s">
        <v>28</v>
      </c>
      <c r="G9466" s="238">
        <f>MROUND(H9466*L9466*I9466/K9466,0.00000000001)</f>
        <v>0</v>
      </c>
      <c r="H9466" s="160"/>
      <c r="I9466" s="159">
        <f>I9465</f>
        <v>2.0993999999999999E-2</v>
      </c>
      <c r="J9466" s="160"/>
      <c r="K9466" s="161">
        <f>K9465</f>
        <v>1100</v>
      </c>
      <c r="L9466" s="250">
        <v>1</v>
      </c>
      <c r="M9466" s="163"/>
      <c r="N9466" s="278"/>
      <c r="O9466" s="280">
        <f>MROUND(N9466*G9466,0.000000001)</f>
        <v>0</v>
      </c>
      <c r="P9466" s="166"/>
      <c r="Q9466" s="166">
        <f>O9466*K9466</f>
        <v>0</v>
      </c>
      <c r="R9466" s="71"/>
    </row>
    <row r="9467" spans="1:41" s="61" customFormat="1" x14ac:dyDescent="0.25">
      <c r="A9467" s="358"/>
      <c r="B9467" s="361"/>
      <c r="C9467" s="221" t="s">
        <v>379</v>
      </c>
      <c r="D9467" s="231" t="s">
        <v>49</v>
      </c>
      <c r="E9467" s="231" t="s">
        <v>101</v>
      </c>
      <c r="F9467" s="231" t="s">
        <v>101</v>
      </c>
      <c r="G9467" s="238">
        <f>MROUND(H9467*L9467*I9467/K9467,0.00000000001)</f>
        <v>0</v>
      </c>
      <c r="H9467" s="160"/>
      <c r="I9467" s="159">
        <f>I9465</f>
        <v>2.0993999999999999E-2</v>
      </c>
      <c r="J9467" s="160"/>
      <c r="K9467" s="161">
        <f>K9465</f>
        <v>1100</v>
      </c>
      <c r="L9467" s="250">
        <v>1</v>
      </c>
      <c r="M9467" s="163"/>
      <c r="N9467" s="278"/>
      <c r="O9467" s="280">
        <f>MROUND(N9467*G9467,0.000001)</f>
        <v>0</v>
      </c>
      <c r="P9467" s="166"/>
      <c r="Q9467" s="166">
        <f>O9467*K9467</f>
        <v>0</v>
      </c>
      <c r="R9467" s="71"/>
    </row>
    <row r="9468" spans="1:41" s="109" customFormat="1" x14ac:dyDescent="0.25">
      <c r="A9468" s="358"/>
      <c r="B9468" s="361"/>
      <c r="C9468" s="218" t="s">
        <v>380</v>
      </c>
      <c r="D9468" s="232"/>
      <c r="E9468" s="232"/>
      <c r="F9468" s="232"/>
      <c r="G9468" s="227"/>
      <c r="H9468" s="228"/>
      <c r="I9468" s="206"/>
      <c r="J9468" s="228"/>
      <c r="K9468" s="207"/>
      <c r="L9468" s="257"/>
      <c r="M9468" s="209"/>
      <c r="N9468" s="281"/>
      <c r="O9468" s="279">
        <f>SUM(O9465:O9467)</f>
        <v>0</v>
      </c>
      <c r="P9468" s="267"/>
      <c r="Q9468" s="166"/>
      <c r="R9468" s="72"/>
      <c r="S9468" s="62"/>
      <c r="T9468" s="62"/>
      <c r="U9468" s="62"/>
      <c r="V9468" s="62"/>
      <c r="W9468" s="62"/>
      <c r="X9468" s="62"/>
      <c r="Y9468" s="62"/>
      <c r="Z9468" s="62"/>
      <c r="AA9468" s="62"/>
      <c r="AB9468" s="62"/>
      <c r="AC9468" s="62"/>
      <c r="AD9468" s="62"/>
      <c r="AE9468" s="62"/>
      <c r="AF9468" s="62"/>
      <c r="AG9468" s="62"/>
      <c r="AH9468" s="62"/>
      <c r="AI9468" s="62"/>
      <c r="AJ9468" s="62"/>
      <c r="AK9468" s="62"/>
      <c r="AL9468" s="62"/>
      <c r="AM9468" s="62"/>
      <c r="AN9468" s="62"/>
      <c r="AO9468" s="62"/>
    </row>
    <row r="9469" spans="1:41" s="61" customFormat="1" x14ac:dyDescent="0.25">
      <c r="A9469" s="358"/>
      <c r="B9469" s="361"/>
      <c r="C9469" s="221" t="s">
        <v>76</v>
      </c>
      <c r="D9469" s="231" t="s">
        <v>49</v>
      </c>
      <c r="E9469" s="231" t="s">
        <v>22</v>
      </c>
      <c r="F9469" s="231" t="s">
        <v>22</v>
      </c>
      <c r="G9469" s="238">
        <f>MROUND(H9469*L9469*I9469/K9469,0.00000000001)</f>
        <v>4.4201912729999994E-2</v>
      </c>
      <c r="H9469" s="160">
        <f>H8853</f>
        <v>2316</v>
      </c>
      <c r="I9469" s="159">
        <f>I9467</f>
        <v>2.0993999999999999E-2</v>
      </c>
      <c r="J9469" s="160"/>
      <c r="K9469" s="161">
        <f>K9467</f>
        <v>1100</v>
      </c>
      <c r="L9469" s="250">
        <v>1</v>
      </c>
      <c r="M9469" s="163" t="str">
        <f>CONCATENATE(H9469," ",F9469,"*",I9469,"/",K9469,"чел")</f>
        <v>2316 м2*0,020994/1100чел</v>
      </c>
      <c r="N9469" s="278">
        <f>N8853</f>
        <v>5226.2521588946456</v>
      </c>
      <c r="O9469" s="280">
        <f>MROUND(N9469*G9469,0.000000001)</f>
        <v>231.01034183200002</v>
      </c>
      <c r="P9469" s="166"/>
      <c r="Q9469" s="166">
        <f>O9469*K9469</f>
        <v>254111.37601520002</v>
      </c>
      <c r="R9469" s="71"/>
    </row>
    <row r="9470" spans="1:41" s="61" customFormat="1" x14ac:dyDescent="0.25">
      <c r="A9470" s="358"/>
      <c r="B9470" s="361"/>
      <c r="C9470" s="221"/>
      <c r="D9470" s="231" t="s">
        <v>49</v>
      </c>
      <c r="E9470" s="231" t="s">
        <v>28</v>
      </c>
      <c r="F9470" s="231" t="s">
        <v>28</v>
      </c>
      <c r="G9470" s="238">
        <f>MROUND(H9470*L9470*I9470/K9470,0.00000000001)</f>
        <v>3.8170909999999998E-5</v>
      </c>
      <c r="H9470" s="160">
        <f>H8854</f>
        <v>2</v>
      </c>
      <c r="I9470" s="159">
        <f>I9469</f>
        <v>2.0993999999999999E-2</v>
      </c>
      <c r="J9470" s="160"/>
      <c r="K9470" s="161">
        <f>K9469</f>
        <v>1100</v>
      </c>
      <c r="L9470" s="250">
        <v>1</v>
      </c>
      <c r="M9470" s="163" t="str">
        <f>CONCATENATE(H9470," ",F9470,"*",I9470,"/",K9470,"чел")</f>
        <v>2 шт*0,020994/1100чел</v>
      </c>
      <c r="N9470" s="278">
        <f>N8854</f>
        <v>100000</v>
      </c>
      <c r="O9470" s="280">
        <f>MROUND(N9470*G9470,0.000000001)</f>
        <v>3.8170910000000005</v>
      </c>
      <c r="P9470" s="166"/>
      <c r="Q9470" s="166">
        <f>O9470*K9470</f>
        <v>4198.8001000000004</v>
      </c>
      <c r="R9470" s="71"/>
    </row>
    <row r="9471" spans="1:41" s="61" customFormat="1" x14ac:dyDescent="0.25">
      <c r="A9471" s="358"/>
      <c r="B9471" s="361"/>
      <c r="C9471" s="221"/>
      <c r="D9471" s="231" t="s">
        <v>49</v>
      </c>
      <c r="E9471" s="231" t="s">
        <v>101</v>
      </c>
      <c r="F9471" s="231" t="s">
        <v>101</v>
      </c>
      <c r="G9471" s="238">
        <f>MROUND(H9471*L9471*I9471/K9471,0.00000000001)</f>
        <v>0</v>
      </c>
      <c r="H9471" s="160">
        <f>H8855</f>
        <v>0</v>
      </c>
      <c r="I9471" s="159">
        <f>I9469</f>
        <v>2.0993999999999999E-2</v>
      </c>
      <c r="J9471" s="160"/>
      <c r="K9471" s="161">
        <f>K9469</f>
        <v>1100</v>
      </c>
      <c r="L9471" s="250">
        <v>1</v>
      </c>
      <c r="M9471" s="163" t="str">
        <f>CONCATENATE(H9471," ",F9471,"*",I9471,"/",K9471,"чел")</f>
        <v>0 погон.м.*0,020994/1100чел</v>
      </c>
      <c r="N9471" s="278">
        <f>N8855</f>
        <v>0</v>
      </c>
      <c r="O9471" s="280">
        <f>MROUND(N9471*G9471,0.000001)</f>
        <v>0</v>
      </c>
      <c r="P9471" s="166"/>
      <c r="Q9471" s="166">
        <f>O9471*K9471</f>
        <v>0</v>
      </c>
      <c r="R9471" s="71"/>
    </row>
    <row r="9472" spans="1:41" s="109" customFormat="1" x14ac:dyDescent="0.25">
      <c r="A9472" s="358"/>
      <c r="B9472" s="361"/>
      <c r="C9472" s="218" t="s">
        <v>291</v>
      </c>
      <c r="D9472" s="232"/>
      <c r="E9472" s="232"/>
      <c r="F9472" s="232"/>
      <c r="G9472" s="227"/>
      <c r="H9472" s="228"/>
      <c r="I9472" s="206"/>
      <c r="J9472" s="228"/>
      <c r="K9472" s="207"/>
      <c r="L9472" s="257"/>
      <c r="M9472" s="209"/>
      <c r="N9472" s="281"/>
      <c r="O9472" s="279">
        <f>SUM(O9469:O9471)</f>
        <v>234.82743283200003</v>
      </c>
      <c r="P9472" s="267"/>
      <c r="Q9472" s="166"/>
      <c r="R9472" s="72"/>
      <c r="S9472" s="62"/>
      <c r="T9472" s="62"/>
      <c r="U9472" s="62"/>
      <c r="V9472" s="62"/>
      <c r="W9472" s="62"/>
      <c r="X9472" s="62"/>
      <c r="Y9472" s="62"/>
      <c r="Z9472" s="62"/>
      <c r="AA9472" s="62"/>
      <c r="AB9472" s="62"/>
      <c r="AC9472" s="62"/>
      <c r="AD9472" s="62"/>
      <c r="AE9472" s="62"/>
      <c r="AF9472" s="62"/>
      <c r="AG9472" s="62"/>
      <c r="AH9472" s="62"/>
      <c r="AI9472" s="62"/>
      <c r="AJ9472" s="62"/>
      <c r="AK9472" s="62"/>
      <c r="AL9472" s="62"/>
      <c r="AM9472" s="62"/>
      <c r="AN9472" s="62"/>
      <c r="AO9472" s="62"/>
    </row>
    <row r="9473" spans="1:41" s="61" customFormat="1" x14ac:dyDescent="0.25">
      <c r="A9473" s="358"/>
      <c r="B9473" s="361"/>
      <c r="C9473" s="221" t="s">
        <v>77</v>
      </c>
      <c r="D9473" s="231"/>
      <c r="E9473" s="231"/>
      <c r="F9473" s="231"/>
      <c r="G9473" s="238">
        <f>MROUND(H9473*L9473*I9473/K9473,0.00000000001)</f>
        <v>0</v>
      </c>
      <c r="H9473" s="160"/>
      <c r="I9473" s="159">
        <f>I9471</f>
        <v>2.0993999999999999E-2</v>
      </c>
      <c r="J9473" s="160"/>
      <c r="K9473" s="161">
        <f>K9471</f>
        <v>1100</v>
      </c>
      <c r="L9473" s="250"/>
      <c r="M9473" s="163"/>
      <c r="N9473" s="278"/>
      <c r="O9473" s="280">
        <f>MROUND(N9473*G9473,0.000001)</f>
        <v>0</v>
      </c>
      <c r="P9473" s="166"/>
      <c r="Q9473" s="166">
        <f>O9473*K9473</f>
        <v>0</v>
      </c>
      <c r="R9473" s="71"/>
    </row>
    <row r="9474" spans="1:41" s="109" customFormat="1" x14ac:dyDescent="0.25">
      <c r="A9474" s="358"/>
      <c r="B9474" s="361"/>
      <c r="C9474" s="218" t="s">
        <v>292</v>
      </c>
      <c r="D9474" s="232"/>
      <c r="E9474" s="232"/>
      <c r="F9474" s="232"/>
      <c r="G9474" s="227"/>
      <c r="H9474" s="228"/>
      <c r="I9474" s="206"/>
      <c r="J9474" s="228"/>
      <c r="K9474" s="207"/>
      <c r="L9474" s="257"/>
      <c r="M9474" s="209"/>
      <c r="N9474" s="281"/>
      <c r="O9474" s="279">
        <f>O9473</f>
        <v>0</v>
      </c>
      <c r="P9474" s="267"/>
      <c r="Q9474" s="166"/>
      <c r="R9474" s="72"/>
      <c r="S9474" s="62"/>
      <c r="T9474" s="62"/>
      <c r="U9474" s="62"/>
      <c r="V9474" s="62"/>
      <c r="W9474" s="62"/>
      <c r="X9474" s="62"/>
      <c r="Y9474" s="62"/>
      <c r="Z9474" s="62"/>
      <c r="AA9474" s="62"/>
      <c r="AB9474" s="62"/>
      <c r="AC9474" s="62"/>
      <c r="AD9474" s="62"/>
      <c r="AE9474" s="62"/>
      <c r="AF9474" s="62"/>
      <c r="AG9474" s="62"/>
      <c r="AH9474" s="62"/>
      <c r="AI9474" s="62"/>
      <c r="AJ9474" s="62"/>
      <c r="AK9474" s="62"/>
      <c r="AL9474" s="62"/>
      <c r="AM9474" s="62"/>
      <c r="AN9474" s="62"/>
      <c r="AO9474" s="62"/>
    </row>
    <row r="9475" spans="1:41" s="108" customFormat="1" x14ac:dyDescent="0.25">
      <c r="A9475" s="358"/>
      <c r="B9475" s="361"/>
      <c r="C9475" s="221"/>
      <c r="D9475" s="350" t="s">
        <v>65</v>
      </c>
      <c r="E9475" s="350"/>
      <c r="F9475" s="350"/>
      <c r="G9475" s="350"/>
      <c r="H9475" s="195"/>
      <c r="I9475" s="159"/>
      <c r="J9475" s="195"/>
      <c r="K9475" s="161"/>
      <c r="L9475" s="196"/>
      <c r="M9475" s="230"/>
      <c r="N9475" s="278"/>
      <c r="O9475" s="280"/>
      <c r="P9475" s="166"/>
      <c r="Q9475" s="166">
        <f t="shared" ref="Q9475:Q9494" si="2726">O9475*K9475</f>
        <v>0</v>
      </c>
      <c r="R9475" s="71"/>
      <c r="S9475" s="61"/>
      <c r="T9475" s="61"/>
      <c r="U9475" s="61"/>
      <c r="V9475" s="61"/>
      <c r="W9475" s="61"/>
      <c r="X9475" s="61"/>
      <c r="Y9475" s="61"/>
      <c r="Z9475" s="61"/>
      <c r="AA9475" s="61"/>
      <c r="AB9475" s="61"/>
      <c r="AC9475" s="61"/>
      <c r="AD9475" s="61"/>
      <c r="AE9475" s="61"/>
      <c r="AF9475" s="61"/>
      <c r="AG9475" s="61"/>
      <c r="AH9475" s="61"/>
      <c r="AI9475" s="61"/>
      <c r="AJ9475" s="61"/>
      <c r="AK9475" s="61"/>
      <c r="AL9475" s="61"/>
      <c r="AM9475" s="61"/>
      <c r="AN9475" s="61"/>
      <c r="AO9475" s="61"/>
    </row>
    <row r="9476" spans="1:41" s="108" customFormat="1" x14ac:dyDescent="0.25">
      <c r="A9476" s="358"/>
      <c r="B9476" s="361"/>
      <c r="C9476" s="221"/>
      <c r="D9476" s="194"/>
      <c r="E9476" s="194"/>
      <c r="F9476" s="194"/>
      <c r="G9476" s="217"/>
      <c r="H9476" s="195"/>
      <c r="I9476" s="159"/>
      <c r="J9476" s="195"/>
      <c r="K9476" s="161"/>
      <c r="L9476" s="196"/>
      <c r="M9476" s="230"/>
      <c r="N9476" s="278"/>
      <c r="O9476" s="280"/>
      <c r="P9476" s="166"/>
      <c r="Q9476" s="166">
        <f t="shared" si="2726"/>
        <v>0</v>
      </c>
      <c r="R9476" s="71"/>
      <c r="S9476" s="61"/>
      <c r="T9476" s="61"/>
      <c r="U9476" s="61"/>
      <c r="V9476" s="61"/>
      <c r="W9476" s="61"/>
      <c r="X9476" s="61"/>
      <c r="Y9476" s="61"/>
      <c r="Z9476" s="61"/>
      <c r="AA9476" s="61"/>
      <c r="AB9476" s="61"/>
      <c r="AC9476" s="61"/>
      <c r="AD9476" s="61"/>
      <c r="AE9476" s="61"/>
      <c r="AF9476" s="61"/>
      <c r="AG9476" s="61"/>
      <c r="AH9476" s="61"/>
      <c r="AI9476" s="61"/>
      <c r="AJ9476" s="61"/>
      <c r="AK9476" s="61"/>
      <c r="AL9476" s="61"/>
      <c r="AM9476" s="61"/>
      <c r="AN9476" s="61"/>
      <c r="AO9476" s="61"/>
    </row>
    <row r="9477" spans="1:41" s="108" customFormat="1" x14ac:dyDescent="0.25">
      <c r="A9477" s="358"/>
      <c r="B9477" s="361"/>
      <c r="C9477" s="365" t="s">
        <v>357</v>
      </c>
      <c r="D9477" s="368" t="s">
        <v>66</v>
      </c>
      <c r="E9477" s="368"/>
      <c r="F9477" s="368"/>
      <c r="G9477" s="368"/>
      <c r="H9477" s="195"/>
      <c r="I9477" s="159"/>
      <c r="J9477" s="195"/>
      <c r="K9477" s="161"/>
      <c r="L9477" s="196"/>
      <c r="M9477" s="230"/>
      <c r="N9477" s="278"/>
      <c r="O9477" s="279">
        <f>O9483</f>
        <v>9.3008314149999993</v>
      </c>
      <c r="P9477" s="166"/>
      <c r="Q9477" s="166">
        <f t="shared" si="2726"/>
        <v>0</v>
      </c>
      <c r="R9477" s="71"/>
      <c r="S9477" s="61"/>
      <c r="T9477" s="61"/>
      <c r="U9477" s="61"/>
      <c r="V9477" s="61"/>
      <c r="W9477" s="61"/>
      <c r="X9477" s="61"/>
      <c r="Y9477" s="61"/>
      <c r="Z9477" s="61"/>
      <c r="AA9477" s="61"/>
      <c r="AB9477" s="61"/>
      <c r="AC9477" s="61"/>
      <c r="AD9477" s="61"/>
      <c r="AE9477" s="61"/>
      <c r="AF9477" s="61"/>
      <c r="AG9477" s="61"/>
      <c r="AH9477" s="61"/>
      <c r="AI9477" s="61"/>
      <c r="AJ9477" s="61"/>
      <c r="AK9477" s="61"/>
      <c r="AL9477" s="61"/>
      <c r="AM9477" s="61"/>
      <c r="AN9477" s="61"/>
      <c r="AO9477" s="61"/>
    </row>
    <row r="9478" spans="1:41" s="61" customFormat="1" x14ac:dyDescent="0.25">
      <c r="A9478" s="358"/>
      <c r="B9478" s="361"/>
      <c r="C9478" s="366"/>
      <c r="D9478" s="284" t="s">
        <v>241</v>
      </c>
      <c r="E9478" s="156" t="s">
        <v>28</v>
      </c>
      <c r="F9478" s="156" t="s">
        <v>28</v>
      </c>
      <c r="G9478" s="238">
        <f>MROUND(H9478*L9478*I9478/K9478,0.00000000001)</f>
        <v>3.8934327299999997E-3</v>
      </c>
      <c r="H9478" s="158">
        <f>H8862</f>
        <v>17</v>
      </c>
      <c r="I9478" s="159">
        <f>I9471</f>
        <v>2.0993999999999999E-2</v>
      </c>
      <c r="J9478" s="160"/>
      <c r="K9478" s="161">
        <f>K9471</f>
        <v>1100</v>
      </c>
      <c r="L9478" s="250">
        <v>12</v>
      </c>
      <c r="M9478" s="163" t="str">
        <f>CONCATENATE(H9478," ",F9478,"*",L9478,"мес.","*",I9478,"/",K9478,"чел")</f>
        <v>17 шт*12мес.*0,020994/1100чел</v>
      </c>
      <c r="N9478" s="278">
        <f>N8862</f>
        <v>356.56073529411765</v>
      </c>
      <c r="O9478" s="280">
        <f>MROUND(N9478*G9478,0.000001)</f>
        <v>1.388245</v>
      </c>
      <c r="P9478" s="166"/>
      <c r="Q9478" s="166">
        <f t="shared" si="2726"/>
        <v>1527.0694999999998</v>
      </c>
      <c r="R9478" s="71"/>
    </row>
    <row r="9479" spans="1:41" s="61" customFormat="1" x14ac:dyDescent="0.25">
      <c r="A9479" s="358"/>
      <c r="B9479" s="361"/>
      <c r="C9479" s="366"/>
      <c r="D9479" s="284" t="s">
        <v>242</v>
      </c>
      <c r="E9479" s="156" t="s">
        <v>243</v>
      </c>
      <c r="F9479" s="156" t="s">
        <v>243</v>
      </c>
      <c r="G9479" s="238">
        <f>MROUND(H9479*L9479*I9479/K9479,0.00000000001)</f>
        <v>3.9635145163599996</v>
      </c>
      <c r="H9479" s="158">
        <f>H8863</f>
        <v>17306</v>
      </c>
      <c r="I9479" s="159">
        <f>I9478</f>
        <v>2.0993999999999999E-2</v>
      </c>
      <c r="J9479" s="160"/>
      <c r="K9479" s="161">
        <f>K9478</f>
        <v>1100</v>
      </c>
      <c r="L9479" s="250">
        <v>12</v>
      </c>
      <c r="M9479" s="163" t="str">
        <f>CONCATENATE(H9479," ",F9479,"*",L9479,"мес.","*",I9479,"/",K9479,"чел")</f>
        <v>17306 мин.*12мес.*0,020994/1100чел</v>
      </c>
      <c r="N9479" s="278">
        <f>N8863</f>
        <v>0.85373685427019519</v>
      </c>
      <c r="O9479" s="280">
        <f>MROUND(N9479*G9479,0.000000001)</f>
        <v>3.3837984150000002</v>
      </c>
      <c r="P9479" s="166"/>
      <c r="Q9479" s="166">
        <f t="shared" si="2726"/>
        <v>3722.1782565000003</v>
      </c>
      <c r="R9479" s="71"/>
    </row>
    <row r="9480" spans="1:41" s="61" customFormat="1" ht="31.5" x14ac:dyDescent="0.25">
      <c r="A9480" s="358"/>
      <c r="B9480" s="361"/>
      <c r="C9480" s="366"/>
      <c r="D9480" s="285" t="s">
        <v>244</v>
      </c>
      <c r="E9480" s="286" t="s">
        <v>245</v>
      </c>
      <c r="F9480" s="286" t="s">
        <v>247</v>
      </c>
      <c r="G9480" s="238">
        <f>MROUND(H9480*L9480*I9480/K9480,0.00000000001)</f>
        <v>1.1451272699999999E-3</v>
      </c>
      <c r="H9480" s="158">
        <f>H8864</f>
        <v>5</v>
      </c>
      <c r="I9480" s="159">
        <f>I9479</f>
        <v>2.0993999999999999E-2</v>
      </c>
      <c r="J9480" s="160"/>
      <c r="K9480" s="161">
        <f>K9479</f>
        <v>1100</v>
      </c>
      <c r="L9480" s="250">
        <v>12</v>
      </c>
      <c r="M9480" s="163" t="str">
        <f>CONCATENATE(H9480," ",F9480,"*",L9480,"мес.","*",I9480,"/",K9480,"чел")</f>
        <v>5 радиоточек*12мес.*0,020994/1100чел</v>
      </c>
      <c r="N9480" s="278">
        <f>N8864</f>
        <v>180.23333333333335</v>
      </c>
      <c r="O9480" s="280">
        <f>MROUND(N9480*G9480,0.000001)</f>
        <v>0.20638999999999999</v>
      </c>
      <c r="P9480" s="166"/>
      <c r="Q9480" s="166">
        <f t="shared" si="2726"/>
        <v>227.029</v>
      </c>
      <c r="R9480" s="71"/>
    </row>
    <row r="9481" spans="1:41" s="61" customFormat="1" ht="47.25" x14ac:dyDescent="0.25">
      <c r="A9481" s="358"/>
      <c r="B9481" s="361"/>
      <c r="C9481" s="366"/>
      <c r="D9481" s="285" t="s">
        <v>374</v>
      </c>
      <c r="E9481" s="156" t="s">
        <v>28</v>
      </c>
      <c r="F9481" s="156" t="s">
        <v>28</v>
      </c>
      <c r="G9481" s="238">
        <f>MROUND(H9481*L9481*I9481/K9481,0.00000000001)</f>
        <v>5.3439272999999997E-4</v>
      </c>
      <c r="H9481" s="158">
        <f>H8969</f>
        <v>7</v>
      </c>
      <c r="I9481" s="159">
        <f>I9479</f>
        <v>2.0993999999999999E-2</v>
      </c>
      <c r="J9481" s="160"/>
      <c r="K9481" s="161">
        <f>K9479</f>
        <v>1100</v>
      </c>
      <c r="L9481" s="250">
        <f>L8969</f>
        <v>4</v>
      </c>
      <c r="M9481" s="163" t="str">
        <f>CONCATENATE(H9481," ",F9481,"*",L9481,"мес.","*",I9481,"/",K9481,"чел/час")</f>
        <v>7 шт*4мес.*0,020994/1100чел/час</v>
      </c>
      <c r="N9481" s="278">
        <f>N8969</f>
        <v>1366.3700000000001</v>
      </c>
      <c r="O9481" s="280">
        <f>MROUND(N9481*G9481,0.000001)</f>
        <v>0.73017799999999999</v>
      </c>
      <c r="P9481" s="166"/>
      <c r="Q9481" s="166">
        <f t="shared" si="2726"/>
        <v>803.19579999999996</v>
      </c>
      <c r="R9481" s="71"/>
    </row>
    <row r="9482" spans="1:41" s="61" customFormat="1" x14ac:dyDescent="0.25">
      <c r="A9482" s="358"/>
      <c r="B9482" s="361"/>
      <c r="C9482" s="367"/>
      <c r="D9482" s="284" t="s">
        <v>246</v>
      </c>
      <c r="E9482" s="156" t="s">
        <v>28</v>
      </c>
      <c r="F9482" s="156" t="s">
        <v>28</v>
      </c>
      <c r="G9482" s="238">
        <f>MROUND(H9482*L9482*I9482/K9482,0.00000000001)</f>
        <v>1.1451272699999999E-3</v>
      </c>
      <c r="H9482" s="158">
        <v>5</v>
      </c>
      <c r="I9482" s="159">
        <f>I9480</f>
        <v>2.0993999999999999E-2</v>
      </c>
      <c r="J9482" s="160"/>
      <c r="K9482" s="161">
        <f>K9480</f>
        <v>1100</v>
      </c>
      <c r="L9482" s="250">
        <v>12</v>
      </c>
      <c r="M9482" s="163" t="str">
        <f>CONCATENATE(H9482," ",F9482,"*",L9482,"мес.","*",I9482,"/",K9482,"чел")</f>
        <v>5 шт*12мес.*0,020994/1100чел</v>
      </c>
      <c r="N9482" s="278">
        <f>N8866</f>
        <v>3136.9611666666665</v>
      </c>
      <c r="O9482" s="280">
        <f>MROUND(N9482*G9482,0.000001)</f>
        <v>3.5922199999999997</v>
      </c>
      <c r="P9482" s="166"/>
      <c r="Q9482" s="166">
        <f t="shared" si="2726"/>
        <v>3951.4419999999996</v>
      </c>
      <c r="R9482" s="71"/>
    </row>
    <row r="9483" spans="1:41" s="109" customFormat="1" x14ac:dyDescent="0.25">
      <c r="A9483" s="358"/>
      <c r="B9483" s="361"/>
      <c r="C9483" s="218" t="s">
        <v>358</v>
      </c>
      <c r="D9483" s="287"/>
      <c r="E9483" s="287"/>
      <c r="F9483" s="287"/>
      <c r="G9483" s="288"/>
      <c r="H9483" s="214"/>
      <c r="I9483" s="206"/>
      <c r="J9483" s="214"/>
      <c r="K9483" s="207"/>
      <c r="L9483" s="215"/>
      <c r="M9483" s="289"/>
      <c r="N9483" s="281"/>
      <c r="O9483" s="279">
        <f>SUM(O9478:O9482)</f>
        <v>9.3008314149999993</v>
      </c>
      <c r="P9483" s="267"/>
      <c r="Q9483" s="166">
        <f t="shared" si="2726"/>
        <v>0</v>
      </c>
      <c r="R9483" s="71"/>
      <c r="S9483" s="62"/>
      <c r="T9483" s="62"/>
      <c r="U9483" s="62"/>
      <c r="V9483" s="62"/>
      <c r="W9483" s="62"/>
      <c r="X9483" s="62"/>
      <c r="Y9483" s="62"/>
      <c r="Z9483" s="62"/>
      <c r="AA9483" s="62"/>
      <c r="AB9483" s="62"/>
      <c r="AC9483" s="62"/>
      <c r="AD9483" s="62"/>
      <c r="AE9483" s="62"/>
      <c r="AF9483" s="62"/>
      <c r="AG9483" s="62"/>
      <c r="AH9483" s="62"/>
      <c r="AI9483" s="62"/>
      <c r="AJ9483" s="62"/>
      <c r="AK9483" s="62"/>
      <c r="AL9483" s="62"/>
      <c r="AM9483" s="62"/>
      <c r="AN9483" s="62"/>
      <c r="AO9483" s="62"/>
    </row>
    <row r="9484" spans="1:41" s="108" customFormat="1" x14ac:dyDescent="0.25">
      <c r="A9484" s="358"/>
      <c r="B9484" s="361"/>
      <c r="C9484" s="365" t="s">
        <v>366</v>
      </c>
      <c r="D9484" s="368" t="s">
        <v>67</v>
      </c>
      <c r="E9484" s="368"/>
      <c r="F9484" s="368"/>
      <c r="G9484" s="368"/>
      <c r="H9484" s="195"/>
      <c r="I9484" s="159"/>
      <c r="J9484" s="195"/>
      <c r="K9484" s="161"/>
      <c r="L9484" s="196"/>
      <c r="M9484" s="230"/>
      <c r="N9484" s="278"/>
      <c r="O9484" s="279">
        <f>O9485</f>
        <v>1.242038</v>
      </c>
      <c r="P9484" s="166"/>
      <c r="Q9484" s="166">
        <f t="shared" si="2726"/>
        <v>0</v>
      </c>
      <c r="R9484" s="71"/>
      <c r="S9484" s="61"/>
      <c r="T9484" s="61"/>
      <c r="U9484" s="61"/>
      <c r="V9484" s="61"/>
      <c r="W9484" s="61"/>
      <c r="X9484" s="61"/>
      <c r="Y9484" s="61"/>
      <c r="Z9484" s="61"/>
      <c r="AA9484" s="61"/>
      <c r="AB9484" s="61"/>
      <c r="AC9484" s="61"/>
      <c r="AD9484" s="61"/>
      <c r="AE9484" s="61"/>
      <c r="AF9484" s="61"/>
      <c r="AG9484" s="61"/>
      <c r="AH9484" s="61"/>
      <c r="AI9484" s="61"/>
      <c r="AJ9484" s="61"/>
      <c r="AK9484" s="61"/>
      <c r="AL9484" s="61"/>
      <c r="AM9484" s="61"/>
      <c r="AN9484" s="61"/>
      <c r="AO9484" s="61"/>
    </row>
    <row r="9485" spans="1:41" s="61" customFormat="1" x14ac:dyDescent="0.25">
      <c r="A9485" s="358"/>
      <c r="B9485" s="361"/>
      <c r="C9485" s="367"/>
      <c r="D9485" s="194" t="s">
        <v>367</v>
      </c>
      <c r="E9485" s="156" t="s">
        <v>28</v>
      </c>
      <c r="F9485" s="156" t="s">
        <v>28</v>
      </c>
      <c r="G9485" s="238">
        <f>MROUND(H9485*L9485*I9485/K9485,0.00000000001)</f>
        <v>4.5805090999999999E-4</v>
      </c>
      <c r="H9485" s="158">
        <f>H8869</f>
        <v>2</v>
      </c>
      <c r="I9485" s="159">
        <f>I9482</f>
        <v>2.0993999999999999E-2</v>
      </c>
      <c r="J9485" s="160"/>
      <c r="K9485" s="161">
        <f>K9482</f>
        <v>1100</v>
      </c>
      <c r="L9485" s="250">
        <v>12</v>
      </c>
      <c r="M9485" s="163" t="str">
        <f>CONCATENATE(H9485," ",F9485,"*",L9485,"мес.","*",I9485,"/",K9485,"чел")</f>
        <v>2 шт*12мес.*0,020994/1100чел</v>
      </c>
      <c r="N9485" s="278">
        <f>N8869</f>
        <v>2711.57125</v>
      </c>
      <c r="O9485" s="280">
        <f>MROUND(N9485*G9485,0.000001)</f>
        <v>1.242038</v>
      </c>
      <c r="P9485" s="166"/>
      <c r="Q9485" s="166">
        <f t="shared" si="2726"/>
        <v>1366.2418</v>
      </c>
      <c r="R9485" s="71"/>
    </row>
    <row r="9486" spans="1:41" s="108" customFormat="1" x14ac:dyDescent="0.25">
      <c r="A9486" s="358"/>
      <c r="B9486" s="361"/>
      <c r="C9486" s="221"/>
      <c r="D9486" s="350" t="s">
        <v>68</v>
      </c>
      <c r="E9486" s="350"/>
      <c r="F9486" s="350"/>
      <c r="G9486" s="350"/>
      <c r="H9486" s="195"/>
      <c r="I9486" s="159"/>
      <c r="J9486" s="195"/>
      <c r="K9486" s="161"/>
      <c r="L9486" s="196"/>
      <c r="M9486" s="230"/>
      <c r="N9486" s="278"/>
      <c r="O9486" s="280"/>
      <c r="P9486" s="166"/>
      <c r="Q9486" s="166">
        <f t="shared" si="2726"/>
        <v>0</v>
      </c>
      <c r="R9486" s="71"/>
      <c r="S9486" s="61"/>
      <c r="T9486" s="61"/>
      <c r="U9486" s="61"/>
      <c r="V9486" s="61"/>
      <c r="W9486" s="61"/>
      <c r="X9486" s="61"/>
      <c r="Y9486" s="61"/>
      <c r="Z9486" s="61"/>
      <c r="AA9486" s="61"/>
      <c r="AB9486" s="61"/>
      <c r="AC9486" s="61"/>
      <c r="AD9486" s="61"/>
      <c r="AE9486" s="61"/>
      <c r="AF9486" s="61"/>
      <c r="AG9486" s="61"/>
      <c r="AH9486" s="61"/>
      <c r="AI9486" s="61"/>
      <c r="AJ9486" s="61"/>
      <c r="AK9486" s="61"/>
      <c r="AL9486" s="61"/>
      <c r="AM9486" s="61"/>
      <c r="AN9486" s="61"/>
      <c r="AO9486" s="61"/>
    </row>
    <row r="9487" spans="1:41" s="108" customFormat="1" x14ac:dyDescent="0.25">
      <c r="A9487" s="358"/>
      <c r="B9487" s="361"/>
      <c r="C9487" s="221"/>
      <c r="D9487" s="156"/>
      <c r="E9487" s="156"/>
      <c r="F9487" s="156"/>
      <c r="G9487" s="236"/>
      <c r="H9487" s="195"/>
      <c r="I9487" s="159"/>
      <c r="J9487" s="195"/>
      <c r="K9487" s="161"/>
      <c r="L9487" s="196"/>
      <c r="M9487" s="230"/>
      <c r="N9487" s="278"/>
      <c r="O9487" s="280"/>
      <c r="P9487" s="166"/>
      <c r="Q9487" s="166">
        <f t="shared" si="2726"/>
        <v>0</v>
      </c>
      <c r="R9487" s="71"/>
      <c r="S9487" s="61"/>
      <c r="T9487" s="61"/>
      <c r="U9487" s="61"/>
      <c r="V9487" s="61"/>
      <c r="W9487" s="61"/>
      <c r="X9487" s="61"/>
      <c r="Y9487" s="61"/>
      <c r="Z9487" s="61"/>
      <c r="AA9487" s="61"/>
      <c r="AB9487" s="61"/>
      <c r="AC9487" s="61"/>
      <c r="AD9487" s="61"/>
      <c r="AE9487" s="61"/>
      <c r="AF9487" s="61"/>
      <c r="AG9487" s="61"/>
      <c r="AH9487" s="61"/>
      <c r="AI9487" s="61"/>
      <c r="AJ9487" s="61"/>
      <c r="AK9487" s="61"/>
      <c r="AL9487" s="61"/>
      <c r="AM9487" s="61"/>
      <c r="AN9487" s="61"/>
      <c r="AO9487" s="61"/>
    </row>
    <row r="9488" spans="1:41" s="108" customFormat="1" x14ac:dyDescent="0.25">
      <c r="A9488" s="358"/>
      <c r="B9488" s="361"/>
      <c r="C9488" s="221"/>
      <c r="D9488" s="368" t="s">
        <v>69</v>
      </c>
      <c r="E9488" s="368"/>
      <c r="F9488" s="368"/>
      <c r="G9488" s="368"/>
      <c r="H9488" s="187"/>
      <c r="I9488" s="159"/>
      <c r="J9488" s="187"/>
      <c r="K9488" s="161"/>
      <c r="L9488" s="276"/>
      <c r="M9488" s="230"/>
      <c r="N9488" s="278"/>
      <c r="O9488" s="279">
        <f>O9495+O9511+O9514+O9527+O9528+O9529+O9540+O9542+O9546+O9543</f>
        <v>70.683690999999996</v>
      </c>
      <c r="P9488" s="166"/>
      <c r="Q9488" s="166">
        <f t="shared" si="2726"/>
        <v>0</v>
      </c>
      <c r="R9488" s="71"/>
      <c r="S9488" s="61"/>
      <c r="T9488" s="61"/>
      <c r="U9488" s="61"/>
      <c r="V9488" s="61"/>
      <c r="W9488" s="61"/>
      <c r="X9488" s="61"/>
      <c r="Y9488" s="61"/>
      <c r="Z9488" s="61"/>
      <c r="AA9488" s="61"/>
      <c r="AB9488" s="61"/>
      <c r="AC9488" s="61"/>
      <c r="AD9488" s="61"/>
      <c r="AE9488" s="61"/>
      <c r="AF9488" s="61"/>
      <c r="AG9488" s="61"/>
      <c r="AH9488" s="61"/>
      <c r="AI9488" s="61"/>
      <c r="AJ9488" s="61"/>
      <c r="AK9488" s="61"/>
      <c r="AL9488" s="61"/>
      <c r="AM9488" s="61"/>
      <c r="AN9488" s="61"/>
      <c r="AO9488" s="61"/>
    </row>
    <row r="9489" spans="1:41" s="61" customFormat="1" ht="31.5" x14ac:dyDescent="0.25">
      <c r="A9489" s="358"/>
      <c r="B9489" s="361"/>
      <c r="C9489" s="365" t="s">
        <v>78</v>
      </c>
      <c r="D9489" s="156" t="s">
        <v>26</v>
      </c>
      <c r="E9489" s="156" t="s">
        <v>22</v>
      </c>
      <c r="F9489" s="156" t="s">
        <v>22</v>
      </c>
      <c r="G9489" s="238">
        <f t="shared" ref="G9489:G9494" si="2727">MROUND(H9489*L9489*I9489/K9489,0.00000000001)</f>
        <v>1.13602580116</v>
      </c>
      <c r="H9489" s="158">
        <f>H8873</f>
        <v>4960.26</v>
      </c>
      <c r="I9489" s="159">
        <f>I9485</f>
        <v>2.0993999999999999E-2</v>
      </c>
      <c r="J9489" s="160"/>
      <c r="K9489" s="161">
        <f>K9485</f>
        <v>1100</v>
      </c>
      <c r="L9489" s="250">
        <v>12</v>
      </c>
      <c r="M9489" s="163" t="str">
        <f>CONCATENATE(H9489," ",F9489,"(обрабатываемая площадь в мес.)","*",L9489,"мес.","*",I9489,"/",K9489,"чел")</f>
        <v>4960,26 м2(обрабатываемая площадь в мес.)*12мес.*0,020994/1100чел</v>
      </c>
      <c r="N9489" s="278">
        <f>N8873</f>
        <v>1.2568900958148699</v>
      </c>
      <c r="O9489" s="280">
        <f>MROUND(N9489*G9489,0.000001)</f>
        <v>1.4278599999999999</v>
      </c>
      <c r="P9489" s="166"/>
      <c r="Q9489" s="166">
        <f t="shared" si="2726"/>
        <v>1570.646</v>
      </c>
      <c r="R9489" s="71"/>
    </row>
    <row r="9490" spans="1:41" s="61" customFormat="1" ht="31.5" x14ac:dyDescent="0.25">
      <c r="A9490" s="358"/>
      <c r="B9490" s="361"/>
      <c r="C9490" s="366"/>
      <c r="D9490" s="156" t="s">
        <v>96</v>
      </c>
      <c r="E9490" s="156" t="s">
        <v>22</v>
      </c>
      <c r="F9490" s="156" t="s">
        <v>22</v>
      </c>
      <c r="G9490" s="238">
        <f t="shared" si="2727"/>
        <v>0.62919247024999991</v>
      </c>
      <c r="H9490" s="158">
        <f>H8874</f>
        <v>2747.26</v>
      </c>
      <c r="I9490" s="298">
        <f>I9489</f>
        <v>2.0993999999999999E-2</v>
      </c>
      <c r="J9490" s="299"/>
      <c r="K9490" s="300">
        <f>K9489</f>
        <v>1100</v>
      </c>
      <c r="L9490" s="250">
        <v>12</v>
      </c>
      <c r="M9490" s="163" t="str">
        <f>CONCATENATE(H9490," ",F9490,"(обрабатываемая площадь в мес.)","*",L9490,"мес.","*",I9490,"/",K9490,"чел")</f>
        <v>2747,26 м2(обрабатываемая площадь в мес.)*12мес.*0,020994/1100чел</v>
      </c>
      <c r="N9490" s="278">
        <f>N8874</f>
        <v>1.7523653870887115</v>
      </c>
      <c r="O9490" s="280">
        <f>MROUND(N9490*G9490,0.000001)</f>
        <v>1.1025749999999999</v>
      </c>
      <c r="P9490" s="166"/>
      <c r="Q9490" s="166">
        <f t="shared" si="2726"/>
        <v>1212.8324999999998</v>
      </c>
      <c r="R9490" s="71"/>
    </row>
    <row r="9491" spans="1:41" s="135" customFormat="1" ht="31.5" x14ac:dyDescent="0.25">
      <c r="A9491" s="358"/>
      <c r="B9491" s="361"/>
      <c r="C9491" s="366"/>
      <c r="D9491" s="156" t="s">
        <v>385</v>
      </c>
      <c r="E9491" s="156" t="s">
        <v>22</v>
      </c>
      <c r="F9491" s="156" t="s">
        <v>22</v>
      </c>
      <c r="G9491" s="238">
        <f t="shared" si="2727"/>
        <v>1.2583849405099998</v>
      </c>
      <c r="H9491" s="242">
        <f>$H$2098</f>
        <v>2747.26</v>
      </c>
      <c r="I9491" s="298">
        <f>I9490</f>
        <v>2.0993999999999999E-2</v>
      </c>
      <c r="J9491" s="160"/>
      <c r="K9491" s="300">
        <f>K9490</f>
        <v>1100</v>
      </c>
      <c r="L9491" s="162">
        <v>24</v>
      </c>
      <c r="M9491" s="163" t="str">
        <f>CONCATENATE(H9491," ",F9491,"(обрабатываемая площадь в год)","*",L9491," раза в год.","*",I9491,"/",K9491,"чел.")</f>
        <v>2747,26 м2(обрабатываемая площадь в год)*24 раза в год.*0,020994/1100чел.</v>
      </c>
      <c r="N9491" s="164">
        <f>$N$8875</f>
        <v>1.9341167805983659</v>
      </c>
      <c r="O9491" s="165">
        <f>MROUND(G9491*N9491,0.000001)</f>
        <v>2.4338630000000001</v>
      </c>
      <c r="P9491" s="166"/>
      <c r="Q9491" s="166">
        <f t="shared" si="2726"/>
        <v>2677.2492999999999</v>
      </c>
      <c r="R9491" s="71"/>
      <c r="S9491" s="61"/>
      <c r="T9491" s="61"/>
      <c r="U9491" s="61"/>
      <c r="V9491" s="61"/>
      <c r="W9491" s="61"/>
      <c r="X9491" s="61"/>
      <c r="Y9491" s="61"/>
      <c r="Z9491" s="61"/>
      <c r="AA9491" s="61"/>
      <c r="AB9491" s="61"/>
      <c r="AC9491" s="61"/>
      <c r="AD9491" s="61"/>
      <c r="AE9491" s="61"/>
      <c r="AF9491" s="61"/>
      <c r="AG9491" s="61"/>
      <c r="AH9491" s="61"/>
      <c r="AI9491" s="61"/>
      <c r="AJ9491" s="61"/>
      <c r="AK9491" s="61"/>
      <c r="AL9491" s="61"/>
      <c r="AM9491" s="61"/>
      <c r="AN9491" s="61"/>
      <c r="AO9491" s="61"/>
    </row>
    <row r="9492" spans="1:41" s="135" customFormat="1" ht="31.5" x14ac:dyDescent="0.25">
      <c r="A9492" s="358"/>
      <c r="B9492" s="361"/>
      <c r="C9492" s="366"/>
      <c r="D9492" s="156" t="s">
        <v>394</v>
      </c>
      <c r="E9492" s="156" t="s">
        <v>22</v>
      </c>
      <c r="F9492" s="156" t="s">
        <v>22</v>
      </c>
      <c r="G9492" s="238">
        <f t="shared" si="2727"/>
        <v>1.13602580116</v>
      </c>
      <c r="H9492" s="243">
        <f>$H$2099</f>
        <v>4960.26</v>
      </c>
      <c r="I9492" s="298">
        <f>I9491</f>
        <v>2.0993999999999999E-2</v>
      </c>
      <c r="J9492" s="160"/>
      <c r="K9492" s="300">
        <f>K9491</f>
        <v>1100</v>
      </c>
      <c r="L9492" s="162">
        <v>12</v>
      </c>
      <c r="M9492" s="163" t="str">
        <f>CONCATENATE(H9492," ",F9492,"(обрабатываемая площадь в мес.)","*",L9492,"мес.","*",I9492,"/",K9492,"чел.")</f>
        <v>4960,26 м2(обрабатываемая площадь в мес.)*12мес.*0,020994/1100чел.</v>
      </c>
      <c r="N9492" s="164">
        <f>$N$8876</f>
        <v>0.59287281983874496</v>
      </c>
      <c r="O9492" s="165">
        <f>MROUND(G9492*N9492,0.000001)</f>
        <v>0.67351899999999998</v>
      </c>
      <c r="P9492" s="166"/>
      <c r="Q9492" s="166">
        <f t="shared" si="2726"/>
        <v>740.87090000000001</v>
      </c>
      <c r="R9492" s="71"/>
      <c r="S9492" s="61"/>
      <c r="T9492" s="61"/>
      <c r="U9492" s="61"/>
      <c r="V9492" s="61"/>
      <c r="W9492" s="61"/>
      <c r="X9492" s="61"/>
      <c r="Y9492" s="61"/>
      <c r="Z9492" s="61"/>
      <c r="AA9492" s="61"/>
      <c r="AB9492" s="61"/>
      <c r="AC9492" s="61"/>
      <c r="AD9492" s="61"/>
      <c r="AE9492" s="61"/>
      <c r="AF9492" s="61"/>
      <c r="AG9492" s="61"/>
      <c r="AH9492" s="61"/>
      <c r="AI9492" s="61"/>
      <c r="AJ9492" s="61"/>
      <c r="AK9492" s="61"/>
      <c r="AL9492" s="61"/>
      <c r="AM9492" s="61"/>
      <c r="AN9492" s="61"/>
      <c r="AO9492" s="61"/>
    </row>
    <row r="9493" spans="1:41" s="135" customFormat="1" ht="31.5" x14ac:dyDescent="0.25">
      <c r="A9493" s="358"/>
      <c r="B9493" s="361"/>
      <c r="C9493" s="366"/>
      <c r="D9493" s="156" t="s">
        <v>395</v>
      </c>
      <c r="E9493" s="156" t="s">
        <v>98</v>
      </c>
      <c r="F9493" s="156" t="s">
        <v>98</v>
      </c>
      <c r="G9493" s="238">
        <f t="shared" si="2727"/>
        <v>3.588065E-5</v>
      </c>
      <c r="H9493" s="242">
        <f>$H$2100</f>
        <v>1.8800000000000001</v>
      </c>
      <c r="I9493" s="298">
        <f>I9492</f>
        <v>2.0993999999999999E-2</v>
      </c>
      <c r="J9493" s="160"/>
      <c r="K9493" s="300">
        <f>K9492</f>
        <v>1100</v>
      </c>
      <c r="L9493" s="162">
        <v>1</v>
      </c>
      <c r="M9493" s="163" t="str">
        <f>CONCATENATE(H9493," ",F9493,"(обрабатываемая площадь в год)","*",L9493," раз в год","*",I9493,"/",K9493,"чел.")</f>
        <v>1,88 Га(обрабатываемая площадь в год)*1 раз в год*0,020994/1100чел.</v>
      </c>
      <c r="N9493" s="164">
        <f>$N$8877</f>
        <v>592.87234042553177</v>
      </c>
      <c r="O9493" s="165">
        <f>MROUND(G9493*N9493,0.000001)</f>
        <v>2.1273E-2</v>
      </c>
      <c r="P9493" s="166"/>
      <c r="Q9493" s="166">
        <f t="shared" si="2726"/>
        <v>23.400300000000001</v>
      </c>
      <c r="R9493" s="71"/>
      <c r="S9493" s="61"/>
      <c r="T9493" s="61"/>
      <c r="U9493" s="61"/>
      <c r="V9493" s="61"/>
      <c r="W9493" s="61"/>
      <c r="X9493" s="61"/>
      <c r="Y9493" s="61"/>
      <c r="Z9493" s="61"/>
      <c r="AA9493" s="61"/>
      <c r="AB9493" s="61"/>
      <c r="AC9493" s="61"/>
      <c r="AD9493" s="61"/>
      <c r="AE9493" s="61"/>
      <c r="AF9493" s="61"/>
      <c r="AG9493" s="61"/>
      <c r="AH9493" s="61"/>
      <c r="AI9493" s="61"/>
      <c r="AJ9493" s="61"/>
      <c r="AK9493" s="61"/>
      <c r="AL9493" s="61"/>
      <c r="AM9493" s="61"/>
      <c r="AN9493" s="61"/>
      <c r="AO9493" s="61"/>
    </row>
    <row r="9494" spans="1:41" s="61" customFormat="1" ht="31.5" x14ac:dyDescent="0.25">
      <c r="A9494" s="358"/>
      <c r="B9494" s="361"/>
      <c r="C9494" s="367"/>
      <c r="D9494" s="156" t="s">
        <v>97</v>
      </c>
      <c r="E9494" s="156" t="s">
        <v>363</v>
      </c>
      <c r="F9494" s="156" t="s">
        <v>363</v>
      </c>
      <c r="G9494" s="238">
        <f t="shared" si="2727"/>
        <v>3.588065E-5</v>
      </c>
      <c r="H9494" s="158">
        <f>$H$2101</f>
        <v>1.8800000000000001</v>
      </c>
      <c r="I9494" s="298">
        <f>I9490</f>
        <v>2.0993999999999999E-2</v>
      </c>
      <c r="J9494" s="299"/>
      <c r="K9494" s="300">
        <f>K9490</f>
        <v>1100</v>
      </c>
      <c r="L9494" s="250">
        <v>1</v>
      </c>
      <c r="M9494" s="163" t="str">
        <f>CONCATENATE(H9494," ",F9494,"(обрабатываемая площадь в мес.)","*",L9494,"мес.","*",I9494,"/",K9494,"чел")</f>
        <v>1,88 га(обрабатываемая площадь в мес.)*1мес.*0,020994/1100чел</v>
      </c>
      <c r="N9494" s="278">
        <f>$N$8878</f>
        <v>3226.4999999999995</v>
      </c>
      <c r="O9494" s="280">
        <f>MROUND(N9494*G9494,0.000001)</f>
        <v>0.115769</v>
      </c>
      <c r="P9494" s="166"/>
      <c r="Q9494" s="166">
        <f t="shared" si="2726"/>
        <v>127.3459</v>
      </c>
      <c r="R9494" s="71"/>
    </row>
    <row r="9495" spans="1:41" s="109" customFormat="1" x14ac:dyDescent="0.25">
      <c r="A9495" s="358"/>
      <c r="B9495" s="361"/>
      <c r="C9495" s="218" t="s">
        <v>327</v>
      </c>
      <c r="D9495" s="240"/>
      <c r="E9495" s="240"/>
      <c r="F9495" s="240"/>
      <c r="G9495" s="227"/>
      <c r="H9495" s="241"/>
      <c r="I9495" s="206"/>
      <c r="J9495" s="228"/>
      <c r="K9495" s="207"/>
      <c r="L9495" s="257"/>
      <c r="M9495" s="209"/>
      <c r="N9495" s="281"/>
      <c r="O9495" s="279">
        <f>SUM(O9489:O9494)</f>
        <v>5.7748589999999993</v>
      </c>
      <c r="P9495" s="267"/>
      <c r="Q9495" s="166"/>
      <c r="R9495" s="71"/>
      <c r="S9495" s="62"/>
      <c r="T9495" s="62"/>
      <c r="U9495" s="62"/>
      <c r="V9495" s="62"/>
      <c r="W9495" s="62"/>
      <c r="X9495" s="62"/>
      <c r="Y9495" s="62"/>
      <c r="Z9495" s="62"/>
      <c r="AA9495" s="62"/>
      <c r="AB9495" s="62"/>
      <c r="AC9495" s="62"/>
      <c r="AD9495" s="62"/>
      <c r="AE9495" s="62"/>
      <c r="AF9495" s="62"/>
      <c r="AG9495" s="62"/>
      <c r="AH9495" s="62"/>
      <c r="AI9495" s="62"/>
      <c r="AJ9495" s="62"/>
      <c r="AK9495" s="62"/>
      <c r="AL9495" s="62"/>
      <c r="AM9495" s="62"/>
      <c r="AN9495" s="62"/>
      <c r="AO9495" s="62"/>
    </row>
    <row r="9496" spans="1:41" s="61" customFormat="1" x14ac:dyDescent="0.25">
      <c r="A9496" s="358"/>
      <c r="B9496" s="361"/>
      <c r="C9496" s="366" t="s">
        <v>77</v>
      </c>
      <c r="D9496" s="156" t="s">
        <v>397</v>
      </c>
      <c r="E9496" s="156" t="s">
        <v>433</v>
      </c>
      <c r="F9496" s="156" t="s">
        <v>433</v>
      </c>
      <c r="G9496" s="238">
        <f t="shared" ref="G9496:G9510" si="2728">MROUND(H9496*L9496*I9496/K9496,0.00000000001)</f>
        <v>0</v>
      </c>
      <c r="H9496" s="158"/>
      <c r="I9496" s="306">
        <f>I9490</f>
        <v>2.0993999999999999E-2</v>
      </c>
      <c r="J9496" s="307"/>
      <c r="K9496" s="308">
        <f>K9490</f>
        <v>1100</v>
      </c>
      <c r="L9496" s="162">
        <v>1</v>
      </c>
      <c r="M9496" s="163"/>
      <c r="N9496" s="278"/>
      <c r="O9496" s="280">
        <f t="shared" ref="O9496:O9507" si="2729">MROUND(N9496*G9496,0.000001)</f>
        <v>0</v>
      </c>
      <c r="P9496" s="166"/>
      <c r="Q9496" s="166">
        <f t="shared" ref="Q9496:Q9510" si="2730">O9496*K9496</f>
        <v>0</v>
      </c>
      <c r="R9496" s="71"/>
    </row>
    <row r="9497" spans="1:41" s="61" customFormat="1" ht="63" x14ac:dyDescent="0.25">
      <c r="A9497" s="358"/>
      <c r="B9497" s="361"/>
      <c r="C9497" s="366"/>
      <c r="D9497" s="156" t="s">
        <v>249</v>
      </c>
      <c r="E9497" s="156" t="s">
        <v>22</v>
      </c>
      <c r="F9497" s="156" t="s">
        <v>22</v>
      </c>
      <c r="G9497" s="238">
        <f t="shared" si="2728"/>
        <v>0.15820849374999998</v>
      </c>
      <c r="H9497" s="158">
        <f>H8881</f>
        <v>690.79</v>
      </c>
      <c r="I9497" s="159">
        <f>I9496</f>
        <v>2.0993999999999999E-2</v>
      </c>
      <c r="J9497" s="160"/>
      <c r="K9497" s="161">
        <f>K9496</f>
        <v>1100</v>
      </c>
      <c r="L9497" s="250">
        <v>12</v>
      </c>
      <c r="M9497" s="163" t="str">
        <f>CONCATENATE(H9497," ",F9497,"*",L9497,"мес.","*",I9497,"/",K9497,"чел")</f>
        <v>690,79 м2*12мес.*0,020994/1100чел</v>
      </c>
      <c r="N9497" s="278">
        <f>N9089</f>
        <v>32.968811071382042</v>
      </c>
      <c r="O9497" s="280">
        <f t="shared" si="2729"/>
        <v>5.2159459999999997</v>
      </c>
      <c r="P9497" s="166"/>
      <c r="Q9497" s="166">
        <f t="shared" si="2730"/>
        <v>5737.5405999999994</v>
      </c>
      <c r="R9497" s="71"/>
    </row>
    <row r="9498" spans="1:41" s="136" customFormat="1" x14ac:dyDescent="0.25">
      <c r="A9498" s="358"/>
      <c r="B9498" s="361"/>
      <c r="C9498" s="366"/>
      <c r="D9498" s="194" t="s">
        <v>398</v>
      </c>
      <c r="E9498" s="156" t="s">
        <v>60</v>
      </c>
      <c r="F9498" s="156" t="s">
        <v>60</v>
      </c>
      <c r="G9498" s="238">
        <f t="shared" si="2728"/>
        <v>9.5427269999999998E-5</v>
      </c>
      <c r="H9498" s="158">
        <f>$H$2105</f>
        <v>5</v>
      </c>
      <c r="I9498" s="159">
        <f>I9497</f>
        <v>2.0993999999999999E-2</v>
      </c>
      <c r="J9498" s="160"/>
      <c r="K9498" s="161">
        <f>K9497</f>
        <v>1100</v>
      </c>
      <c r="L9498" s="250">
        <v>1</v>
      </c>
      <c r="M9498" s="163" t="str">
        <f>CONCATENATE(H9498," ",F9498,"*",I9498,"/",K9498,"чел/час")</f>
        <v>5 шт.*0,020994/1100чел/час</v>
      </c>
      <c r="N9498" s="278">
        <f>$N$8882</f>
        <v>5928.7300000000005</v>
      </c>
      <c r="O9498" s="280">
        <f t="shared" si="2729"/>
        <v>0.56576300000000002</v>
      </c>
      <c r="P9498" s="166"/>
      <c r="Q9498" s="166">
        <f t="shared" si="2730"/>
        <v>622.33929999999998</v>
      </c>
      <c r="R9498" s="71"/>
      <c r="S9498" s="61"/>
      <c r="T9498" s="61"/>
      <c r="U9498" s="61"/>
      <c r="V9498" s="61"/>
      <c r="W9498" s="61"/>
      <c r="X9498" s="61"/>
      <c r="Y9498" s="61"/>
      <c r="Z9498" s="61"/>
      <c r="AA9498" s="61"/>
      <c r="AB9498" s="61"/>
      <c r="AC9498" s="61"/>
      <c r="AD9498" s="61"/>
      <c r="AE9498" s="61"/>
      <c r="AF9498" s="61"/>
      <c r="AG9498" s="61"/>
      <c r="AH9498" s="61"/>
      <c r="AI9498" s="61"/>
      <c r="AJ9498" s="61"/>
      <c r="AK9498" s="61"/>
      <c r="AL9498" s="61"/>
      <c r="AM9498" s="61"/>
      <c r="AN9498" s="61"/>
      <c r="AO9498" s="61"/>
    </row>
    <row r="9499" spans="1:41" s="136" customFormat="1" ht="63" x14ac:dyDescent="0.25">
      <c r="A9499" s="358"/>
      <c r="B9499" s="361"/>
      <c r="C9499" s="366"/>
      <c r="D9499" s="156" t="s">
        <v>33</v>
      </c>
      <c r="E9499" s="156" t="s">
        <v>56</v>
      </c>
      <c r="F9499" s="156" t="s">
        <v>220</v>
      </c>
      <c r="G9499" s="238">
        <f t="shared" si="2728"/>
        <v>9.5427269999999998E-5</v>
      </c>
      <c r="H9499" s="158">
        <f>$H$2106</f>
        <v>5</v>
      </c>
      <c r="I9499" s="159">
        <f>I9498</f>
        <v>2.0993999999999999E-2</v>
      </c>
      <c r="J9499" s="160"/>
      <c r="K9499" s="161">
        <f>K9498</f>
        <v>1100</v>
      </c>
      <c r="L9499" s="250">
        <f>$L$2106</f>
        <v>1</v>
      </c>
      <c r="M9499" s="163" t="str">
        <f>CONCATENATE(H9499," ",F9499,"*",L9499," раз в год","*",I9499,"/",K9499,"чел.")</f>
        <v>5 дымоходов*1 раз в год*0,020994/1100чел.</v>
      </c>
      <c r="N9499" s="278">
        <f>$N$8883</f>
        <v>7114.4699999999993</v>
      </c>
      <c r="O9499" s="280">
        <f t="shared" si="2729"/>
        <v>0.67891400000000002</v>
      </c>
      <c r="P9499" s="166"/>
      <c r="Q9499" s="166">
        <f t="shared" si="2730"/>
        <v>746.80539999999996</v>
      </c>
      <c r="R9499" s="71"/>
      <c r="S9499" s="61"/>
      <c r="T9499" s="61"/>
      <c r="U9499" s="61"/>
      <c r="V9499" s="61"/>
      <c r="W9499" s="61"/>
      <c r="X9499" s="61"/>
      <c r="Y9499" s="61"/>
      <c r="Z9499" s="61"/>
      <c r="AA9499" s="61"/>
      <c r="AB9499" s="61"/>
      <c r="AC9499" s="61"/>
      <c r="AD9499" s="61"/>
      <c r="AE9499" s="61"/>
      <c r="AF9499" s="61"/>
      <c r="AG9499" s="61"/>
      <c r="AH9499" s="61"/>
      <c r="AI9499" s="61"/>
      <c r="AJ9499" s="61"/>
      <c r="AK9499" s="61"/>
      <c r="AL9499" s="61"/>
      <c r="AM9499" s="61"/>
      <c r="AN9499" s="61"/>
      <c r="AO9499" s="61"/>
    </row>
    <row r="9500" spans="1:41" s="61" customFormat="1" ht="78.75" x14ac:dyDescent="0.25">
      <c r="A9500" s="358"/>
      <c r="B9500" s="361"/>
      <c r="C9500" s="366"/>
      <c r="D9500" s="156" t="s">
        <v>250</v>
      </c>
      <c r="E9500" s="156" t="s">
        <v>251</v>
      </c>
      <c r="F9500" s="156" t="s">
        <v>60</v>
      </c>
      <c r="G9500" s="238">
        <f t="shared" si="2728"/>
        <v>9.5427269999999998E-5</v>
      </c>
      <c r="H9500" s="158">
        <f>$H$2107</f>
        <v>5</v>
      </c>
      <c r="I9500" s="159">
        <f>I9497</f>
        <v>2.0993999999999999E-2</v>
      </c>
      <c r="J9500" s="160"/>
      <c r="K9500" s="161">
        <f>K9497</f>
        <v>1100</v>
      </c>
      <c r="L9500" s="250">
        <v>1</v>
      </c>
      <c r="M9500" s="163" t="str">
        <f>CONCATENATE(H9500," ",F9500,"*",I9500,"/",K9500,"чел")</f>
        <v>5 шт.*0,020994/1100чел</v>
      </c>
      <c r="N9500" s="278">
        <f t="shared" ref="N9500:N9510" si="2731">N8884</f>
        <v>4742.9800000000005</v>
      </c>
      <c r="O9500" s="280">
        <f t="shared" si="2729"/>
        <v>0.45260999999999996</v>
      </c>
      <c r="P9500" s="166"/>
      <c r="Q9500" s="166">
        <f t="shared" si="2730"/>
        <v>497.87099999999998</v>
      </c>
      <c r="R9500" s="71"/>
    </row>
    <row r="9501" spans="1:41" s="61" customFormat="1" ht="47.25" x14ac:dyDescent="0.25">
      <c r="A9501" s="358"/>
      <c r="B9501" s="361"/>
      <c r="C9501" s="366"/>
      <c r="D9501" s="156" t="s">
        <v>401</v>
      </c>
      <c r="E9501" s="156" t="s">
        <v>60</v>
      </c>
      <c r="F9501" s="156" t="s">
        <v>402</v>
      </c>
      <c r="G9501" s="238">
        <f t="shared" si="2728"/>
        <v>1.9085454999999998E-4</v>
      </c>
      <c r="H9501" s="158">
        <f>H8885</f>
        <v>5</v>
      </c>
      <c r="I9501" s="159">
        <f>I9500</f>
        <v>2.0993999999999999E-2</v>
      </c>
      <c r="J9501" s="160"/>
      <c r="K9501" s="161">
        <f>K9500</f>
        <v>1100</v>
      </c>
      <c r="L9501" s="250">
        <f>$L$2108</f>
        <v>2</v>
      </c>
      <c r="M9501" s="163" t="str">
        <f>CONCATENATE(H9501," ",F9501,"*",I9501,"/",K9501,"чел")</f>
        <v>5 противопожарных водопроводов*0,020994/1100чел</v>
      </c>
      <c r="N9501" s="278">
        <f t="shared" si="2731"/>
        <v>2964.3650000000002</v>
      </c>
      <c r="O9501" s="280">
        <f t="shared" si="2729"/>
        <v>0.56576300000000002</v>
      </c>
      <c r="P9501" s="166"/>
      <c r="Q9501" s="166">
        <f t="shared" si="2730"/>
        <v>622.33929999999998</v>
      </c>
      <c r="R9501" s="71"/>
    </row>
    <row r="9502" spans="1:41" s="61" customFormat="1" ht="47.25" x14ac:dyDescent="0.25">
      <c r="A9502" s="358"/>
      <c r="B9502" s="361"/>
      <c r="C9502" s="366"/>
      <c r="D9502" s="156" t="s">
        <v>34</v>
      </c>
      <c r="E9502" s="156" t="s">
        <v>59</v>
      </c>
      <c r="F9502" s="156" t="s">
        <v>28</v>
      </c>
      <c r="G9502" s="238">
        <f t="shared" si="2728"/>
        <v>3.8170909999999998E-5</v>
      </c>
      <c r="H9502" s="158">
        <f>H8886</f>
        <v>2</v>
      </c>
      <c r="I9502" s="159">
        <f>I9501</f>
        <v>2.0993999999999999E-2</v>
      </c>
      <c r="J9502" s="160"/>
      <c r="K9502" s="161">
        <f>K9501</f>
        <v>1100</v>
      </c>
      <c r="L9502" s="250">
        <v>1</v>
      </c>
      <c r="M9502" s="163" t="str">
        <f>CONCATENATE(H9502," ",F9502,"*",I9502,"/",K9502,"чел")</f>
        <v>2 шт*0,020994/1100чел</v>
      </c>
      <c r="N9502" s="278">
        <f t="shared" si="2731"/>
        <v>8158.8</v>
      </c>
      <c r="O9502" s="280">
        <f t="shared" si="2729"/>
        <v>0.31142900000000001</v>
      </c>
      <c r="P9502" s="166"/>
      <c r="Q9502" s="166">
        <f t="shared" si="2730"/>
        <v>342.57190000000003</v>
      </c>
      <c r="R9502" s="71"/>
    </row>
    <row r="9503" spans="1:41" s="61" customFormat="1" ht="47.25" x14ac:dyDescent="0.25">
      <c r="A9503" s="358"/>
      <c r="B9503" s="361"/>
      <c r="C9503" s="366"/>
      <c r="D9503" s="156" t="s">
        <v>222</v>
      </c>
      <c r="E9503" s="156" t="s">
        <v>60</v>
      </c>
      <c r="F9503" s="156" t="s">
        <v>60</v>
      </c>
      <c r="G9503" s="238">
        <f t="shared" si="2728"/>
        <v>3.8170909999999998E-5</v>
      </c>
      <c r="H9503" s="158">
        <f>H8887</f>
        <v>2</v>
      </c>
      <c r="I9503" s="159">
        <f>I9502</f>
        <v>2.0993999999999999E-2</v>
      </c>
      <c r="J9503" s="160"/>
      <c r="K9503" s="161">
        <f>K9502</f>
        <v>1100</v>
      </c>
      <c r="L9503" s="250">
        <v>1</v>
      </c>
      <c r="M9503" s="163" t="str">
        <f>CONCATENATE(H9503," ",F9503,"*",I9503,"/",K9503,"чел")</f>
        <v>2 шт.*0,020994/1100чел</v>
      </c>
      <c r="N9503" s="278">
        <f t="shared" si="2731"/>
        <v>14141.92</v>
      </c>
      <c r="O9503" s="280">
        <f t="shared" si="2729"/>
        <v>0.53981000000000001</v>
      </c>
      <c r="P9503" s="166"/>
      <c r="Q9503" s="166">
        <f t="shared" si="2730"/>
        <v>593.79100000000005</v>
      </c>
      <c r="R9503" s="71"/>
    </row>
    <row r="9504" spans="1:41" s="61" customFormat="1" ht="31.5" x14ac:dyDescent="0.25">
      <c r="A9504" s="358"/>
      <c r="B9504" s="361"/>
      <c r="C9504" s="366"/>
      <c r="D9504" s="156" t="s">
        <v>35</v>
      </c>
      <c r="E9504" s="156" t="s">
        <v>102</v>
      </c>
      <c r="F9504" s="156" t="s">
        <v>252</v>
      </c>
      <c r="G9504" s="238">
        <f t="shared" si="2728"/>
        <v>3.8170909999999998E-5</v>
      </c>
      <c r="H9504" s="158">
        <f>H8888</f>
        <v>2</v>
      </c>
      <c r="I9504" s="159">
        <f>I9502</f>
        <v>2.0993999999999999E-2</v>
      </c>
      <c r="J9504" s="160"/>
      <c r="K9504" s="161">
        <f>K9502</f>
        <v>1100</v>
      </c>
      <c r="L9504" s="250">
        <v>1</v>
      </c>
      <c r="M9504" s="163" t="str">
        <f>CONCATENATE(H9504," ",F9504,"*",I9504,"/",K9504,"чел")</f>
        <v>2 замера*0,020994/1100чел</v>
      </c>
      <c r="N9504" s="278">
        <f t="shared" si="2731"/>
        <v>40794</v>
      </c>
      <c r="O9504" s="280">
        <f t="shared" si="2729"/>
        <v>1.5571439999999999</v>
      </c>
      <c r="P9504" s="166"/>
      <c r="Q9504" s="166">
        <f t="shared" si="2730"/>
        <v>1712.8583999999998</v>
      </c>
      <c r="R9504" s="71"/>
    </row>
    <row r="9505" spans="1:41" s="61" customFormat="1" ht="47.25" x14ac:dyDescent="0.25">
      <c r="A9505" s="358"/>
      <c r="B9505" s="361"/>
      <c r="C9505" s="366"/>
      <c r="D9505" s="156" t="s">
        <v>399</v>
      </c>
      <c r="E9505" s="156" t="s">
        <v>60</v>
      </c>
      <c r="F9505" s="156" t="s">
        <v>60</v>
      </c>
      <c r="G9505" s="238">
        <f t="shared" si="2728"/>
        <v>7.6341817999999991E-4</v>
      </c>
      <c r="H9505" s="158">
        <f>$H$2112</f>
        <v>4</v>
      </c>
      <c r="I9505" s="159">
        <f>I9504</f>
        <v>2.0993999999999999E-2</v>
      </c>
      <c r="J9505" s="160"/>
      <c r="K9505" s="161">
        <f>K9504</f>
        <v>1100</v>
      </c>
      <c r="L9505" s="250">
        <v>10</v>
      </c>
      <c r="M9505" s="163" t="str">
        <f>CONCATENATE(H9505," ",F9505,"*",L9505,"мес.","*",I9505,"/",K9505,"чел")</f>
        <v>4 шт.*10мес.*0,020994/1100чел</v>
      </c>
      <c r="N9505" s="278">
        <f t="shared" si="2731"/>
        <v>2623.4625000000001</v>
      </c>
      <c r="O9505" s="280">
        <f t="shared" si="2729"/>
        <v>2.002799</v>
      </c>
      <c r="P9505" s="166"/>
      <c r="Q9505" s="166">
        <f t="shared" si="2730"/>
        <v>2203.0789</v>
      </c>
      <c r="R9505" s="71"/>
    </row>
    <row r="9506" spans="1:41" s="61" customFormat="1" ht="47.25" x14ac:dyDescent="0.25">
      <c r="A9506" s="358"/>
      <c r="B9506" s="361"/>
      <c r="C9506" s="366"/>
      <c r="D9506" s="156" t="s">
        <v>36</v>
      </c>
      <c r="E9506" s="156" t="s">
        <v>31</v>
      </c>
      <c r="F9506" s="156" t="s">
        <v>224</v>
      </c>
      <c r="G9506" s="238">
        <f t="shared" si="2728"/>
        <v>1.83220364E-3</v>
      </c>
      <c r="H9506" s="158">
        <f>H8890</f>
        <v>8</v>
      </c>
      <c r="I9506" s="159">
        <f>I9505</f>
        <v>2.0993999999999999E-2</v>
      </c>
      <c r="J9506" s="160"/>
      <c r="K9506" s="161">
        <f>K9505</f>
        <v>1100</v>
      </c>
      <c r="L9506" s="250">
        <v>12</v>
      </c>
      <c r="M9506" s="163" t="str">
        <f>CONCATENATE(H9506," ",F9506,"*",L9506,"мес.","*",I9506,"/",K9506,"чел")</f>
        <v>8 устройств*12мес.*0,020994/1100чел</v>
      </c>
      <c r="N9506" s="278">
        <f t="shared" si="2731"/>
        <v>2393.2480208333336</v>
      </c>
      <c r="O9506" s="280">
        <f t="shared" si="2729"/>
        <v>4.3849179999999999</v>
      </c>
      <c r="P9506" s="166"/>
      <c r="Q9506" s="166">
        <f t="shared" si="2730"/>
        <v>4823.4097999999994</v>
      </c>
      <c r="R9506" s="71"/>
    </row>
    <row r="9507" spans="1:41" s="61" customFormat="1" ht="63" x14ac:dyDescent="0.25">
      <c r="A9507" s="358"/>
      <c r="B9507" s="361"/>
      <c r="C9507" s="366"/>
      <c r="D9507" s="156" t="s">
        <v>253</v>
      </c>
      <c r="E9507" s="156" t="s">
        <v>55</v>
      </c>
      <c r="F9507" s="156" t="s">
        <v>55</v>
      </c>
      <c r="G9507" s="238">
        <f t="shared" si="2728"/>
        <v>1.1451272699999999E-3</v>
      </c>
      <c r="H9507" s="158">
        <f>H8891</f>
        <v>5</v>
      </c>
      <c r="I9507" s="159">
        <f>I9506</f>
        <v>2.0993999999999999E-2</v>
      </c>
      <c r="J9507" s="160"/>
      <c r="K9507" s="161">
        <f>K9506</f>
        <v>1100</v>
      </c>
      <c r="L9507" s="250">
        <v>12</v>
      </c>
      <c r="M9507" s="163" t="str">
        <f>CONCATENATE(H9507," ",F9507,"*",I9507,"/",K9507,"чел")</f>
        <v>5 система*0,020994/1100чел</v>
      </c>
      <c r="N9507" s="278">
        <f t="shared" si="2731"/>
        <v>4624.4081666666671</v>
      </c>
      <c r="O9507" s="280">
        <f t="shared" si="2729"/>
        <v>5.2955359999999994</v>
      </c>
      <c r="P9507" s="166"/>
      <c r="Q9507" s="166">
        <f t="shared" si="2730"/>
        <v>5825.0895999999993</v>
      </c>
      <c r="R9507" s="71"/>
    </row>
    <row r="9508" spans="1:41" s="61" customFormat="1" ht="31.5" x14ac:dyDescent="0.25">
      <c r="A9508" s="358"/>
      <c r="B9508" s="361"/>
      <c r="C9508" s="366"/>
      <c r="D9508" s="156" t="s">
        <v>99</v>
      </c>
      <c r="E9508" s="156" t="s">
        <v>103</v>
      </c>
      <c r="F9508" s="156" t="s">
        <v>225</v>
      </c>
      <c r="G9508" s="238">
        <f t="shared" si="2728"/>
        <v>4.7713635999999999E-4</v>
      </c>
      <c r="H9508" s="158">
        <f>H8892</f>
        <v>25</v>
      </c>
      <c r="I9508" s="159">
        <f>I9507</f>
        <v>2.0993999999999999E-2</v>
      </c>
      <c r="J9508" s="160"/>
      <c r="K9508" s="161">
        <f>K9507</f>
        <v>1100</v>
      </c>
      <c r="L9508" s="250">
        <v>1</v>
      </c>
      <c r="M9508" s="163" t="str">
        <f>CONCATENATE(H9508," ",F9508,"*",I9508,"/",K9508,"чел.")</f>
        <v>25 ед.*0,020994/1100чел.</v>
      </c>
      <c r="N9508" s="164">
        <f t="shared" si="2731"/>
        <v>15690</v>
      </c>
      <c r="O9508" s="165">
        <f>MROUND(G9508*N9508,0.000001)</f>
        <v>7.4862690000000001</v>
      </c>
      <c r="P9508" s="166"/>
      <c r="Q9508" s="166">
        <f t="shared" si="2730"/>
        <v>8234.8958999999995</v>
      </c>
      <c r="R9508" s="71"/>
    </row>
    <row r="9509" spans="1:41" s="61" customFormat="1" x14ac:dyDescent="0.25">
      <c r="A9509" s="358"/>
      <c r="B9509" s="361"/>
      <c r="C9509" s="366"/>
      <c r="D9509" s="156" t="s">
        <v>27</v>
      </c>
      <c r="E9509" s="156" t="s">
        <v>28</v>
      </c>
      <c r="F9509" s="156" t="s">
        <v>28</v>
      </c>
      <c r="G9509" s="238">
        <f t="shared" si="2728"/>
        <v>2.8628181799999998E-3</v>
      </c>
      <c r="H9509" s="160">
        <f>H8893</f>
        <v>150</v>
      </c>
      <c r="I9509" s="159">
        <f>I9507</f>
        <v>2.0993999999999999E-2</v>
      </c>
      <c r="J9509" s="160"/>
      <c r="K9509" s="161">
        <f>K9507</f>
        <v>1100</v>
      </c>
      <c r="L9509" s="250">
        <v>1</v>
      </c>
      <c r="M9509" s="163" t="str">
        <f>CONCATENATE(H9509," ",F9509,"*",I9509,"/",K9509,"чел")</f>
        <v>150 шт*0,020994/1100чел</v>
      </c>
      <c r="N9509" s="278">
        <f t="shared" si="2731"/>
        <v>435.13599999999997</v>
      </c>
      <c r="O9509" s="280">
        <f t="shared" ref="O9509:O9510" si="2732">MROUND(N9509*G9509,0.000001)</f>
        <v>1.2457149999999999</v>
      </c>
      <c r="P9509" s="166"/>
      <c r="Q9509" s="166">
        <f t="shared" si="2730"/>
        <v>1370.2864999999999</v>
      </c>
      <c r="R9509" s="71"/>
    </row>
    <row r="9510" spans="1:41" s="61" customFormat="1" ht="31.5" x14ac:dyDescent="0.25">
      <c r="A9510" s="358"/>
      <c r="B9510" s="361"/>
      <c r="C9510" s="367"/>
      <c r="D9510" s="156" t="s">
        <v>104</v>
      </c>
      <c r="E9510" s="156" t="s">
        <v>105</v>
      </c>
      <c r="F9510" s="156" t="s">
        <v>226</v>
      </c>
      <c r="G9510" s="238">
        <f t="shared" si="2728"/>
        <v>9.5427269999999998E-5</v>
      </c>
      <c r="H9510" s="160">
        <f>H8894</f>
        <v>5</v>
      </c>
      <c r="I9510" s="159">
        <f>I9509</f>
        <v>2.0993999999999999E-2</v>
      </c>
      <c r="J9510" s="160"/>
      <c r="K9510" s="161">
        <f>K9509</f>
        <v>1100</v>
      </c>
      <c r="L9510" s="250">
        <v>1</v>
      </c>
      <c r="M9510" s="163" t="str">
        <f>CONCATENATE(H9510," ",F9510,"*",I9510,"/",K9510,"чел")</f>
        <v>5 отключений*0,020994/1100чел</v>
      </c>
      <c r="N9510" s="278">
        <f t="shared" si="2731"/>
        <v>9790.56</v>
      </c>
      <c r="O9510" s="280">
        <f t="shared" si="2732"/>
        <v>0.93428599999999995</v>
      </c>
      <c r="P9510" s="166"/>
      <c r="Q9510" s="166">
        <f t="shared" si="2730"/>
        <v>1027.7146</v>
      </c>
      <c r="R9510" s="71"/>
    </row>
    <row r="9511" spans="1:41" s="109" customFormat="1" x14ac:dyDescent="0.25">
      <c r="A9511" s="358"/>
      <c r="B9511" s="361"/>
      <c r="C9511" s="249" t="s">
        <v>326</v>
      </c>
      <c r="D9511" s="240"/>
      <c r="E9511" s="240"/>
      <c r="F9511" s="240"/>
      <c r="G9511" s="227"/>
      <c r="H9511" s="228"/>
      <c r="I9511" s="206"/>
      <c r="J9511" s="228"/>
      <c r="K9511" s="207"/>
      <c r="L9511" s="257"/>
      <c r="M9511" s="209"/>
      <c r="N9511" s="281"/>
      <c r="O9511" s="279">
        <f>SUM(O9496:O9510)</f>
        <v>31.236901999999997</v>
      </c>
      <c r="P9511" s="267"/>
      <c r="Q9511" s="166"/>
      <c r="R9511" s="71"/>
      <c r="S9511" s="62"/>
      <c r="T9511" s="62"/>
      <c r="U9511" s="62"/>
      <c r="V9511" s="62"/>
      <c r="W9511" s="62"/>
      <c r="X9511" s="62"/>
      <c r="Y9511" s="62"/>
      <c r="Z9511" s="62"/>
      <c r="AA9511" s="62"/>
      <c r="AB9511" s="62"/>
      <c r="AC9511" s="62"/>
      <c r="AD9511" s="62"/>
      <c r="AE9511" s="62"/>
      <c r="AF9511" s="62"/>
      <c r="AG9511" s="62"/>
      <c r="AH9511" s="62"/>
      <c r="AI9511" s="62"/>
      <c r="AJ9511" s="62"/>
      <c r="AK9511" s="62"/>
      <c r="AL9511" s="62"/>
      <c r="AM9511" s="62"/>
      <c r="AN9511" s="62"/>
      <c r="AO9511" s="62"/>
    </row>
    <row r="9512" spans="1:41" s="61" customFormat="1" ht="31.5" x14ac:dyDescent="0.25">
      <c r="A9512" s="358"/>
      <c r="B9512" s="361"/>
      <c r="C9512" s="221" t="s">
        <v>79</v>
      </c>
      <c r="D9512" s="156" t="s">
        <v>37</v>
      </c>
      <c r="E9512" s="156" t="s">
        <v>61</v>
      </c>
      <c r="F9512" s="156" t="s">
        <v>254</v>
      </c>
      <c r="G9512" s="238">
        <f>MROUND(H9512*L9512*I9512/K9512,0.00000000001)</f>
        <v>1.9085449999999999E-5</v>
      </c>
      <c r="H9512" s="158">
        <f>$H$2119</f>
        <v>1</v>
      </c>
      <c r="I9512" s="159">
        <f>I9510</f>
        <v>2.0993999999999999E-2</v>
      </c>
      <c r="J9512" s="160"/>
      <c r="K9512" s="161">
        <f>K9510</f>
        <v>1100</v>
      </c>
      <c r="L9512" s="250">
        <v>1</v>
      </c>
      <c r="M9512" s="163" t="str">
        <f>CONCATENATE(H9512," ",F9512,"*",I9512,"/",K9512,"чел")</f>
        <v>1 автобус*0,020994/1100чел</v>
      </c>
      <c r="N9512" s="278">
        <f>N8896</f>
        <v>25403.41</v>
      </c>
      <c r="O9512" s="280">
        <f>MROUND(N9512*G9512,0.000001)</f>
        <v>0.48483599999999999</v>
      </c>
      <c r="P9512" s="166"/>
      <c r="Q9512" s="166">
        <f>O9512*K9512</f>
        <v>533.31960000000004</v>
      </c>
      <c r="R9512" s="71"/>
    </row>
    <row r="9513" spans="1:41" s="61" customFormat="1" x14ac:dyDescent="0.25">
      <c r="A9513" s="358"/>
      <c r="B9513" s="361"/>
      <c r="C9513" s="221"/>
      <c r="D9513" s="156" t="s">
        <v>255</v>
      </c>
      <c r="E9513" s="156" t="s">
        <v>28</v>
      </c>
      <c r="F9513" s="156" t="s">
        <v>28</v>
      </c>
      <c r="G9513" s="238">
        <f>MROUND(H9513*L9513*I9513/K9513,0.00000000001)</f>
        <v>1.316896364E-2</v>
      </c>
      <c r="H9513" s="158">
        <f>H8897</f>
        <v>345</v>
      </c>
      <c r="I9513" s="159">
        <f>I9512</f>
        <v>2.0993999999999999E-2</v>
      </c>
      <c r="J9513" s="160"/>
      <c r="K9513" s="161">
        <f>K9512</f>
        <v>1100</v>
      </c>
      <c r="L9513" s="250">
        <v>2</v>
      </c>
      <c r="M9513" s="163" t="str">
        <f>CONCATENATE(H9513," ",F9513,"*",L9513,"раза в год","*",I9513,"/",K9513,"чел")</f>
        <v>345 шт*2раза в год*0,020994/1100чел</v>
      </c>
      <c r="N9513" s="278">
        <f>N8897</f>
        <v>474.29824637681156</v>
      </c>
      <c r="O9513" s="280">
        <f>MROUND(N9513*G9513,0.000001)</f>
        <v>6.246016</v>
      </c>
      <c r="P9513" s="166"/>
      <c r="Q9513" s="166">
        <f>O9513*K9513</f>
        <v>6870.6175999999996</v>
      </c>
      <c r="R9513" s="71"/>
    </row>
    <row r="9514" spans="1:41" s="109" customFormat="1" x14ac:dyDescent="0.25">
      <c r="A9514" s="358"/>
      <c r="B9514" s="361"/>
      <c r="C9514" s="218" t="s">
        <v>328</v>
      </c>
      <c r="D9514" s="240"/>
      <c r="E9514" s="240"/>
      <c r="F9514" s="240"/>
      <c r="G9514" s="227"/>
      <c r="H9514" s="241"/>
      <c r="I9514" s="206"/>
      <c r="J9514" s="228"/>
      <c r="K9514" s="207"/>
      <c r="L9514" s="257"/>
      <c r="M9514" s="209"/>
      <c r="N9514" s="281"/>
      <c r="O9514" s="279">
        <f>O9513+O9512</f>
        <v>6.7308519999999996</v>
      </c>
      <c r="P9514" s="267"/>
      <c r="Q9514" s="166"/>
      <c r="R9514" s="71"/>
      <c r="S9514" s="62"/>
      <c r="T9514" s="62"/>
      <c r="U9514" s="62"/>
      <c r="V9514" s="62"/>
      <c r="W9514" s="62"/>
      <c r="X9514" s="62"/>
      <c r="Y9514" s="62"/>
      <c r="Z9514" s="62"/>
      <c r="AA9514" s="62"/>
      <c r="AB9514" s="62"/>
      <c r="AC9514" s="62"/>
      <c r="AD9514" s="62"/>
      <c r="AE9514" s="62"/>
      <c r="AF9514" s="62"/>
      <c r="AG9514" s="62"/>
      <c r="AH9514" s="62"/>
      <c r="AI9514" s="62"/>
      <c r="AJ9514" s="62"/>
      <c r="AK9514" s="62"/>
      <c r="AL9514" s="62"/>
      <c r="AM9514" s="62"/>
      <c r="AN9514" s="62"/>
      <c r="AO9514" s="62"/>
    </row>
    <row r="9515" spans="1:41" s="61" customFormat="1" x14ac:dyDescent="0.25">
      <c r="A9515" s="358"/>
      <c r="B9515" s="361"/>
      <c r="C9515" s="364" t="s">
        <v>80</v>
      </c>
      <c r="D9515" s="156" t="s">
        <v>38</v>
      </c>
      <c r="E9515" s="156" t="s">
        <v>57</v>
      </c>
      <c r="F9515" s="156" t="s">
        <v>228</v>
      </c>
      <c r="G9515" s="238">
        <f t="shared" ref="G9515:G9526" si="2733">MROUND(H9515*L9515*I9515/K9515,0.00000000001)</f>
        <v>1.83220364E-3</v>
      </c>
      <c r="H9515" s="158">
        <f>H8899</f>
        <v>8</v>
      </c>
      <c r="I9515" s="159">
        <f>I9512</f>
        <v>2.0993999999999999E-2</v>
      </c>
      <c r="J9515" s="160"/>
      <c r="K9515" s="161">
        <f>K9512</f>
        <v>1100</v>
      </c>
      <c r="L9515" s="250">
        <v>12</v>
      </c>
      <c r="M9515" s="163" t="str">
        <f>CONCATENATE(H9515," ",F9515,"*",L9515,"мес.","*",I9515,"/",K9515,"чел")</f>
        <v>8 зданий*12мес.*0,020994/1100чел</v>
      </c>
      <c r="N9515" s="278">
        <f t="shared" ref="N9515:N9524" si="2734">N8899</f>
        <v>5107.0063541666668</v>
      </c>
      <c r="O9515" s="280">
        <f t="shared" ref="O9515:O9526" si="2735">MROUND(N9515*G9515,0.000001)</f>
        <v>9.3570759999999993</v>
      </c>
      <c r="P9515" s="166"/>
      <c r="Q9515" s="166">
        <f t="shared" ref="Q9515:Q9526" si="2736">O9515*K9515</f>
        <v>10292.783599999999</v>
      </c>
      <c r="R9515" s="71"/>
    </row>
    <row r="9516" spans="1:41" s="61" customFormat="1" x14ac:dyDescent="0.25">
      <c r="A9516" s="358"/>
      <c r="B9516" s="361"/>
      <c r="C9516" s="364"/>
      <c r="D9516" s="156" t="s">
        <v>256</v>
      </c>
      <c r="E9516" s="156" t="s">
        <v>20</v>
      </c>
      <c r="F9516" s="156" t="s">
        <v>20</v>
      </c>
      <c r="G9516" s="238">
        <f t="shared" si="2733"/>
        <v>3.5689799999999998E-3</v>
      </c>
      <c r="H9516" s="158">
        <f>H8900</f>
        <v>187</v>
      </c>
      <c r="I9516" s="159">
        <f>I9513</f>
        <v>2.0993999999999999E-2</v>
      </c>
      <c r="J9516" s="160"/>
      <c r="K9516" s="161">
        <f>K9513</f>
        <v>1100</v>
      </c>
      <c r="L9516" s="250">
        <v>1</v>
      </c>
      <c r="M9516" s="163" t="str">
        <f t="shared" ref="M9516:M9522" si="2737">CONCATENATE(H9516," ",F9516,"*",I9516,"/",K9516,"чел")</f>
        <v>187 чел.*0,020994/1100чел</v>
      </c>
      <c r="N9516" s="278">
        <f t="shared" si="2734"/>
        <v>2015.7675401069516</v>
      </c>
      <c r="O9516" s="280">
        <f t="shared" si="2735"/>
        <v>7.1942339999999998</v>
      </c>
      <c r="P9516" s="166"/>
      <c r="Q9516" s="166">
        <f t="shared" si="2736"/>
        <v>7913.6574000000001</v>
      </c>
      <c r="R9516" s="71"/>
    </row>
    <row r="9517" spans="1:41" s="61" customFormat="1" ht="63" x14ac:dyDescent="0.25">
      <c r="A9517" s="358"/>
      <c r="B9517" s="361"/>
      <c r="C9517" s="364"/>
      <c r="D9517" s="156" t="s">
        <v>39</v>
      </c>
      <c r="E9517" s="156" t="s">
        <v>20</v>
      </c>
      <c r="F9517" s="156" t="s">
        <v>234</v>
      </c>
      <c r="G9517" s="238">
        <f t="shared" si="2733"/>
        <v>1.7176908999999999E-4</v>
      </c>
      <c r="H9517" s="158">
        <f>H8901</f>
        <v>9</v>
      </c>
      <c r="I9517" s="159">
        <f>I9515</f>
        <v>2.0993999999999999E-2</v>
      </c>
      <c r="J9517" s="160"/>
      <c r="K9517" s="161">
        <f>K9515</f>
        <v>1100</v>
      </c>
      <c r="L9517" s="250">
        <v>1</v>
      </c>
      <c r="M9517" s="163" t="str">
        <f t="shared" si="2737"/>
        <v>9 чел(заявленная потребность руководителями учреждений)*0,020994/1100чел</v>
      </c>
      <c r="N9517" s="278">
        <f t="shared" si="2734"/>
        <v>830.02333333333343</v>
      </c>
      <c r="O9517" s="280">
        <f t="shared" si="2735"/>
        <v>0.142572</v>
      </c>
      <c r="P9517" s="166"/>
      <c r="Q9517" s="166">
        <f t="shared" si="2736"/>
        <v>156.82920000000001</v>
      </c>
      <c r="R9517" s="71"/>
    </row>
    <row r="9518" spans="1:41" s="61" customFormat="1" ht="63" x14ac:dyDescent="0.25">
      <c r="A9518" s="358"/>
      <c r="B9518" s="361"/>
      <c r="C9518" s="364"/>
      <c r="D9518" s="156" t="s">
        <v>40</v>
      </c>
      <c r="E9518" s="156" t="s">
        <v>20</v>
      </c>
      <c r="F9518" s="156" t="s">
        <v>234</v>
      </c>
      <c r="G9518" s="238">
        <f t="shared" si="2733"/>
        <v>2.4811091E-4</v>
      </c>
      <c r="H9518" s="158">
        <f>H8902</f>
        <v>13</v>
      </c>
      <c r="I9518" s="159">
        <f t="shared" ref="I9518:I9523" si="2738">I9517</f>
        <v>2.0993999999999999E-2</v>
      </c>
      <c r="J9518" s="160"/>
      <c r="K9518" s="161">
        <f t="shared" ref="K9518:K9523" si="2739">K9517</f>
        <v>1100</v>
      </c>
      <c r="L9518" s="250">
        <v>1</v>
      </c>
      <c r="M9518" s="163" t="str">
        <f t="shared" si="2737"/>
        <v>13 чел(заявленная потребность руководителями учреждений)*0,020994/1100чел</v>
      </c>
      <c r="N9518" s="278">
        <f t="shared" si="2734"/>
        <v>1778.6192307692306</v>
      </c>
      <c r="O9518" s="280">
        <f t="shared" si="2735"/>
        <v>0.44129499999999999</v>
      </c>
      <c r="P9518" s="166"/>
      <c r="Q9518" s="166">
        <f t="shared" si="2736"/>
        <v>485.42449999999997</v>
      </c>
      <c r="R9518" s="71"/>
    </row>
    <row r="9519" spans="1:41" s="61" customFormat="1" ht="63" x14ac:dyDescent="0.25">
      <c r="A9519" s="358"/>
      <c r="B9519" s="361"/>
      <c r="C9519" s="364"/>
      <c r="D9519" s="156" t="s">
        <v>100</v>
      </c>
      <c r="E9519" s="156" t="s">
        <v>20</v>
      </c>
      <c r="F9519" s="156" t="s">
        <v>234</v>
      </c>
      <c r="G9519" s="238">
        <f t="shared" si="2733"/>
        <v>1.3359818E-4</v>
      </c>
      <c r="H9519" s="158">
        <f>H8903</f>
        <v>7</v>
      </c>
      <c r="I9519" s="159">
        <f t="shared" si="2738"/>
        <v>2.0993999999999999E-2</v>
      </c>
      <c r="J9519" s="160"/>
      <c r="K9519" s="161">
        <f t="shared" si="2739"/>
        <v>1100</v>
      </c>
      <c r="L9519" s="250">
        <v>1</v>
      </c>
      <c r="M9519" s="163" t="str">
        <f t="shared" si="2737"/>
        <v>7 чел(заявленная потребность руководителями учреждений)*0,020994/1100чел</v>
      </c>
      <c r="N9519" s="278">
        <f t="shared" si="2734"/>
        <v>3794.3871428571429</v>
      </c>
      <c r="O9519" s="280">
        <f t="shared" si="2735"/>
        <v>0.50692300000000001</v>
      </c>
      <c r="P9519" s="166"/>
      <c r="Q9519" s="166">
        <f t="shared" si="2736"/>
        <v>557.61530000000005</v>
      </c>
      <c r="R9519" s="71"/>
    </row>
    <row r="9520" spans="1:41" s="61" customFormat="1" ht="110.25" x14ac:dyDescent="0.25">
      <c r="A9520" s="358"/>
      <c r="B9520" s="361"/>
      <c r="C9520" s="364"/>
      <c r="D9520" s="156" t="s">
        <v>235</v>
      </c>
      <c r="E9520" s="156" t="s">
        <v>50</v>
      </c>
      <c r="F9520" s="156" t="s">
        <v>230</v>
      </c>
      <c r="G9520" s="238">
        <f t="shared" si="2733"/>
        <v>9.5427269999999998E-5</v>
      </c>
      <c r="H9520" s="158">
        <v>5</v>
      </c>
      <c r="I9520" s="159">
        <f t="shared" si="2738"/>
        <v>2.0993999999999999E-2</v>
      </c>
      <c r="J9520" s="160"/>
      <c r="K9520" s="161">
        <f t="shared" si="2739"/>
        <v>1100</v>
      </c>
      <c r="L9520" s="250">
        <v>1</v>
      </c>
      <c r="M9520" s="163" t="str">
        <f t="shared" si="2737"/>
        <v>5 отчетов*0,020994/1100чел</v>
      </c>
      <c r="N9520" s="278">
        <f t="shared" si="2734"/>
        <v>7114.4699999999993</v>
      </c>
      <c r="O9520" s="280">
        <f t="shared" si="2735"/>
        <v>0.67891400000000002</v>
      </c>
      <c r="P9520" s="166"/>
      <c r="Q9520" s="166">
        <f t="shared" si="2736"/>
        <v>746.80539999999996</v>
      </c>
      <c r="R9520" s="71"/>
    </row>
    <row r="9521" spans="1:41" s="61" customFormat="1" ht="63" x14ac:dyDescent="0.25">
      <c r="A9521" s="358"/>
      <c r="B9521" s="361"/>
      <c r="C9521" s="364"/>
      <c r="D9521" s="156" t="s">
        <v>42</v>
      </c>
      <c r="E9521" s="156" t="s">
        <v>51</v>
      </c>
      <c r="F9521" s="156" t="s">
        <v>407</v>
      </c>
      <c r="G9521" s="238">
        <f t="shared" si="2733"/>
        <v>4.9622182000000001E-4</v>
      </c>
      <c r="H9521" s="158">
        <f>H8905</f>
        <v>26</v>
      </c>
      <c r="I9521" s="159">
        <f t="shared" si="2738"/>
        <v>2.0993999999999999E-2</v>
      </c>
      <c r="J9521" s="160"/>
      <c r="K9521" s="161">
        <f t="shared" si="2739"/>
        <v>1100</v>
      </c>
      <c r="L9521" s="250">
        <v>1</v>
      </c>
      <c r="M9521" s="163" t="str">
        <f t="shared" si="2737"/>
        <v>26 ед (заявленная потребность руководителями учреждений)*0,020994/1100чел</v>
      </c>
      <c r="N9521" s="278">
        <f t="shared" si="2734"/>
        <v>1185.7457692307694</v>
      </c>
      <c r="O9521" s="280">
        <f t="shared" si="2735"/>
        <v>0.58839299999999994</v>
      </c>
      <c r="P9521" s="166"/>
      <c r="Q9521" s="166">
        <f t="shared" si="2736"/>
        <v>647.2322999999999</v>
      </c>
      <c r="R9521" s="71"/>
    </row>
    <row r="9522" spans="1:41" s="61" customFormat="1" ht="31.5" x14ac:dyDescent="0.25">
      <c r="A9522" s="358"/>
      <c r="B9522" s="361"/>
      <c r="C9522" s="364"/>
      <c r="D9522" s="156" t="s">
        <v>43</v>
      </c>
      <c r="E9522" s="156" t="s">
        <v>52</v>
      </c>
      <c r="F9522" s="156" t="s">
        <v>231</v>
      </c>
      <c r="G9522" s="238">
        <f t="shared" si="2733"/>
        <v>9.5427269999999998E-5</v>
      </c>
      <c r="H9522" s="158">
        <v>5</v>
      </c>
      <c r="I9522" s="159">
        <f t="shared" si="2738"/>
        <v>2.0993999999999999E-2</v>
      </c>
      <c r="J9522" s="160"/>
      <c r="K9522" s="161">
        <f t="shared" si="2739"/>
        <v>1100</v>
      </c>
      <c r="L9522" s="250">
        <v>1</v>
      </c>
      <c r="M9522" s="163" t="str">
        <f t="shared" si="2737"/>
        <v>5 ЭЦП*0,020994/1100чел</v>
      </c>
      <c r="N9522" s="278">
        <f t="shared" si="2734"/>
        <v>8423.5400000000009</v>
      </c>
      <c r="O9522" s="280">
        <f t="shared" si="2735"/>
        <v>0.80383499999999997</v>
      </c>
      <c r="P9522" s="166"/>
      <c r="Q9522" s="166">
        <f t="shared" si="2736"/>
        <v>884.21849999999995</v>
      </c>
      <c r="R9522" s="71"/>
    </row>
    <row r="9523" spans="1:41" s="61" customFormat="1" x14ac:dyDescent="0.25">
      <c r="A9523" s="358"/>
      <c r="B9523" s="361"/>
      <c r="C9523" s="364"/>
      <c r="D9523" s="156" t="s">
        <v>373</v>
      </c>
      <c r="E9523" s="156" t="s">
        <v>28</v>
      </c>
      <c r="F9523" s="156" t="s">
        <v>28</v>
      </c>
      <c r="G9523" s="238">
        <f t="shared" si="2733"/>
        <v>9.5427269999999998E-5</v>
      </c>
      <c r="H9523" s="158">
        <f>H8907</f>
        <v>5</v>
      </c>
      <c r="I9523" s="159">
        <f t="shared" si="2738"/>
        <v>2.0993999999999999E-2</v>
      </c>
      <c r="J9523" s="160"/>
      <c r="K9523" s="161">
        <f t="shared" si="2739"/>
        <v>1100</v>
      </c>
      <c r="L9523" s="250">
        <v>1</v>
      </c>
      <c r="M9523" s="163" t="str">
        <f>CONCATENATE(H9523," ",F9523,"*",I9523,"/",K9523,"чел/час")</f>
        <v>5 шт*0,020994/1100чел/час</v>
      </c>
      <c r="N9523" s="278">
        <f t="shared" si="2734"/>
        <v>24000</v>
      </c>
      <c r="O9523" s="280">
        <f t="shared" si="2735"/>
        <v>2.290254</v>
      </c>
      <c r="P9523" s="166"/>
      <c r="Q9523" s="166">
        <f t="shared" si="2736"/>
        <v>2519.2793999999999</v>
      </c>
      <c r="R9523" s="71"/>
    </row>
    <row r="9524" spans="1:41" s="61" customFormat="1" ht="63" x14ac:dyDescent="0.25">
      <c r="A9524" s="358"/>
      <c r="B9524" s="361"/>
      <c r="C9524" s="364"/>
      <c r="D9524" s="156" t="s">
        <v>45</v>
      </c>
      <c r="E9524" s="156" t="s">
        <v>53</v>
      </c>
      <c r="F9524" s="156" t="s">
        <v>257</v>
      </c>
      <c r="G9524" s="238">
        <f t="shared" si="2733"/>
        <v>2.2902544999999999E-4</v>
      </c>
      <c r="H9524" s="158">
        <v>1</v>
      </c>
      <c r="I9524" s="159">
        <f>I9522</f>
        <v>2.0993999999999999E-2</v>
      </c>
      <c r="J9524" s="160"/>
      <c r="K9524" s="161">
        <f>K9522</f>
        <v>1100</v>
      </c>
      <c r="L9524" s="250">
        <v>12</v>
      </c>
      <c r="M9524" s="163" t="str">
        <f>CONCATENATE(H9524," ",F9524,"*",L9524,"мес.","*",I9524,"/",K9524,"чел")</f>
        <v>1  машина, оборудованная системой ГЛОНАСС*12мес.*0,020994/1100чел</v>
      </c>
      <c r="N9524" s="278">
        <f t="shared" si="2734"/>
        <v>958.08249999999998</v>
      </c>
      <c r="O9524" s="280">
        <f t="shared" si="2735"/>
        <v>0.21942499999999998</v>
      </c>
      <c r="P9524" s="166"/>
      <c r="Q9524" s="166">
        <f t="shared" si="2736"/>
        <v>241.36749999999998</v>
      </c>
      <c r="R9524" s="71"/>
    </row>
    <row r="9525" spans="1:41" s="136" customFormat="1" ht="47.25" x14ac:dyDescent="0.25">
      <c r="A9525" s="358"/>
      <c r="B9525" s="361"/>
      <c r="C9525" s="364"/>
      <c r="D9525" s="156" t="s">
        <v>44</v>
      </c>
      <c r="E9525" s="156" t="s">
        <v>85</v>
      </c>
      <c r="F9525" s="156" t="s">
        <v>232</v>
      </c>
      <c r="G9525" s="238">
        <f t="shared" si="2733"/>
        <v>5.8019781799999995E-3</v>
      </c>
      <c r="H9525" s="158">
        <f>$H$2132</f>
        <v>304</v>
      </c>
      <c r="I9525" s="159">
        <f>I9524</f>
        <v>2.0993999999999999E-2</v>
      </c>
      <c r="J9525" s="160"/>
      <c r="K9525" s="161">
        <f>K9524</f>
        <v>1100</v>
      </c>
      <c r="L9525" s="250">
        <v>1</v>
      </c>
      <c r="M9525" s="163" t="str">
        <f>CONCATENATE(H9525," ",F9525,"*",L9525,"мес.","*",I9525,"/",K9525,"чел.")</f>
        <v>304 мед.осмотров в мес.*1мес.*0,020994/1100чел.</v>
      </c>
      <c r="N9525" s="278">
        <f>$N$8909</f>
        <v>54.392006578947374</v>
      </c>
      <c r="O9525" s="280">
        <f t="shared" si="2735"/>
        <v>0.315581</v>
      </c>
      <c r="P9525" s="166"/>
      <c r="Q9525" s="166">
        <f t="shared" si="2736"/>
        <v>347.13909999999998</v>
      </c>
      <c r="R9525" s="71"/>
      <c r="S9525" s="71"/>
      <c r="T9525" s="61"/>
      <c r="U9525" s="61"/>
      <c r="V9525" s="61"/>
      <c r="W9525" s="61"/>
      <c r="X9525" s="61"/>
      <c r="Y9525" s="61"/>
      <c r="Z9525" s="61"/>
      <c r="AA9525" s="61"/>
      <c r="AB9525" s="61"/>
      <c r="AC9525" s="61"/>
      <c r="AD9525" s="61"/>
      <c r="AE9525" s="61"/>
      <c r="AF9525" s="61"/>
      <c r="AG9525" s="61"/>
      <c r="AH9525" s="61"/>
      <c r="AI9525" s="61"/>
      <c r="AJ9525" s="61"/>
      <c r="AK9525" s="61"/>
      <c r="AL9525" s="61"/>
      <c r="AM9525" s="61"/>
      <c r="AN9525" s="61"/>
      <c r="AO9525" s="61"/>
    </row>
    <row r="9526" spans="1:41" s="61" customFormat="1" ht="31.5" x14ac:dyDescent="0.25">
      <c r="A9526" s="358"/>
      <c r="B9526" s="361"/>
      <c r="C9526" s="364"/>
      <c r="D9526" s="156" t="s">
        <v>408</v>
      </c>
      <c r="E9526" s="156" t="s">
        <v>20</v>
      </c>
      <c r="F9526" s="156" t="s">
        <v>20</v>
      </c>
      <c r="G9526" s="238">
        <f t="shared" si="2733"/>
        <v>0</v>
      </c>
      <c r="H9526" s="158"/>
      <c r="I9526" s="159">
        <f>I9524</f>
        <v>2.0993999999999999E-2</v>
      </c>
      <c r="J9526" s="160"/>
      <c r="K9526" s="161">
        <f>K9524</f>
        <v>1100</v>
      </c>
      <c r="L9526" s="250">
        <f>L8910</f>
        <v>1</v>
      </c>
      <c r="M9526" s="163"/>
      <c r="N9526" s="278"/>
      <c r="O9526" s="280">
        <f t="shared" si="2735"/>
        <v>0</v>
      </c>
      <c r="P9526" s="166"/>
      <c r="Q9526" s="166">
        <f t="shared" si="2736"/>
        <v>0</v>
      </c>
      <c r="R9526" s="71"/>
    </row>
    <row r="9527" spans="1:41" s="109" customFormat="1" x14ac:dyDescent="0.25">
      <c r="A9527" s="358"/>
      <c r="B9527" s="361"/>
      <c r="C9527" s="245" t="s">
        <v>329</v>
      </c>
      <c r="D9527" s="240"/>
      <c r="E9527" s="240"/>
      <c r="F9527" s="240"/>
      <c r="G9527" s="227"/>
      <c r="H9527" s="241"/>
      <c r="I9527" s="206"/>
      <c r="J9527" s="228"/>
      <c r="K9527" s="207"/>
      <c r="L9527" s="257"/>
      <c r="M9527" s="209"/>
      <c r="N9527" s="281"/>
      <c r="O9527" s="279">
        <f>SUM(O9515:O9526)</f>
        <v>22.538502000000005</v>
      </c>
      <c r="P9527" s="267"/>
      <c r="Q9527" s="166"/>
      <c r="R9527" s="71"/>
      <c r="S9527" s="62"/>
      <c r="T9527" s="62"/>
      <c r="U9527" s="62"/>
      <c r="V9527" s="62"/>
      <c r="W9527" s="62"/>
      <c r="X9527" s="62"/>
      <c r="Y9527" s="62"/>
      <c r="Z9527" s="62"/>
      <c r="AA9527" s="62"/>
      <c r="AB9527" s="62"/>
      <c r="AC9527" s="62"/>
      <c r="AD9527" s="62"/>
      <c r="AE9527" s="62"/>
      <c r="AF9527" s="62"/>
      <c r="AG9527" s="62"/>
      <c r="AH9527" s="62"/>
      <c r="AI9527" s="62"/>
      <c r="AJ9527" s="62"/>
      <c r="AK9527" s="62"/>
      <c r="AL9527" s="62"/>
      <c r="AM9527" s="62"/>
      <c r="AN9527" s="62"/>
      <c r="AO9527" s="62"/>
    </row>
    <row r="9528" spans="1:41" s="61" customFormat="1" ht="31.5" x14ac:dyDescent="0.25">
      <c r="A9528" s="358"/>
      <c r="B9528" s="361"/>
      <c r="C9528" s="252" t="s">
        <v>237</v>
      </c>
      <c r="D9528" s="156" t="s">
        <v>41</v>
      </c>
      <c r="E9528" s="156" t="s">
        <v>61</v>
      </c>
      <c r="F9528" s="156" t="s">
        <v>254</v>
      </c>
      <c r="G9528" s="238">
        <f t="shared" ref="G9528:G9539" si="2740">MROUND(H9528*L9528*I9528/K9528,0.00000000001)</f>
        <v>1.9085449999999999E-5</v>
      </c>
      <c r="H9528" s="158">
        <v>1</v>
      </c>
      <c r="I9528" s="159">
        <f>I9526</f>
        <v>2.0993999999999999E-2</v>
      </c>
      <c r="J9528" s="160"/>
      <c r="K9528" s="161">
        <f>K9526</f>
        <v>1100</v>
      </c>
      <c r="L9528" s="250">
        <v>1</v>
      </c>
      <c r="M9528" s="163" t="str">
        <f>CONCATENATE(H9528," ",F9528,"*",I9528,"/",K9528,"чел")</f>
        <v>1 автобус*0,020994/1100чел</v>
      </c>
      <c r="N9528" s="278">
        <f>N8912</f>
        <v>27983.599999999999</v>
      </c>
      <c r="O9528" s="280">
        <f t="shared" ref="O9528:O9539" si="2741">MROUND(N9528*G9528,0.000001)</f>
        <v>0.53408</v>
      </c>
      <c r="P9528" s="166"/>
      <c r="Q9528" s="166">
        <f t="shared" ref="Q9528:Q9539" si="2742">O9528*K9528</f>
        <v>587.48799999999994</v>
      </c>
      <c r="R9528" s="71"/>
    </row>
    <row r="9529" spans="1:41" s="61" customFormat="1" ht="78.75" x14ac:dyDescent="0.25">
      <c r="A9529" s="358"/>
      <c r="B9529" s="361"/>
      <c r="C9529" s="221" t="s">
        <v>236</v>
      </c>
      <c r="D9529" s="156" t="s">
        <v>19</v>
      </c>
      <c r="E9529" s="181" t="s">
        <v>20</v>
      </c>
      <c r="F9529" s="181" t="s">
        <v>238</v>
      </c>
      <c r="G9529" s="238">
        <f t="shared" si="2740"/>
        <v>0</v>
      </c>
      <c r="H9529" s="158"/>
      <c r="I9529" s="159">
        <f>I9526</f>
        <v>2.0993999999999999E-2</v>
      </c>
      <c r="J9529" s="160"/>
      <c r="K9529" s="161">
        <f>K9526</f>
        <v>1100</v>
      </c>
      <c r="L9529" s="250"/>
      <c r="M9529" s="163"/>
      <c r="N9529" s="278"/>
      <c r="O9529" s="280">
        <f t="shared" si="2741"/>
        <v>0</v>
      </c>
      <c r="P9529" s="166"/>
      <c r="Q9529" s="166">
        <f t="shared" si="2742"/>
        <v>0</v>
      </c>
      <c r="R9529" s="71"/>
    </row>
    <row r="9530" spans="1:41" s="136" customFormat="1" ht="31.5" x14ac:dyDescent="0.25">
      <c r="A9530" s="358"/>
      <c r="B9530" s="361"/>
      <c r="C9530" s="372" t="s">
        <v>81</v>
      </c>
      <c r="D9530" s="156" t="s">
        <v>419</v>
      </c>
      <c r="E9530" s="156" t="s">
        <v>28</v>
      </c>
      <c r="F9530" s="156" t="s">
        <v>439</v>
      </c>
      <c r="G9530" s="238">
        <f t="shared" si="2740"/>
        <v>0</v>
      </c>
      <c r="H9530" s="158"/>
      <c r="I9530" s="159">
        <f>I9529</f>
        <v>2.0993999999999999E-2</v>
      </c>
      <c r="J9530" s="160"/>
      <c r="K9530" s="161">
        <f>K9529</f>
        <v>1100</v>
      </c>
      <c r="L9530" s="250">
        <v>1</v>
      </c>
      <c r="M9530" s="163"/>
      <c r="N9530" s="278"/>
      <c r="O9530" s="280">
        <f t="shared" si="2741"/>
        <v>0</v>
      </c>
      <c r="P9530" s="166"/>
      <c r="Q9530" s="166">
        <f t="shared" si="2742"/>
        <v>0</v>
      </c>
      <c r="R9530" s="71"/>
      <c r="S9530" s="61"/>
      <c r="T9530" s="71"/>
      <c r="U9530" s="61"/>
      <c r="V9530" s="61"/>
      <c r="W9530" s="61"/>
      <c r="X9530" s="61"/>
      <c r="Y9530" s="61"/>
      <c r="Z9530" s="61"/>
      <c r="AA9530" s="61"/>
      <c r="AB9530" s="61"/>
      <c r="AC9530" s="61"/>
      <c r="AD9530" s="61"/>
      <c r="AE9530" s="61"/>
      <c r="AF9530" s="61"/>
      <c r="AG9530" s="61"/>
      <c r="AH9530" s="61"/>
      <c r="AI9530" s="61"/>
      <c r="AJ9530" s="61"/>
      <c r="AK9530" s="61"/>
      <c r="AL9530" s="61"/>
      <c r="AM9530" s="61"/>
      <c r="AN9530" s="61"/>
      <c r="AO9530" s="61"/>
    </row>
    <row r="9531" spans="1:41" s="136" customFormat="1" ht="31.5" x14ac:dyDescent="0.25">
      <c r="A9531" s="358"/>
      <c r="B9531" s="361"/>
      <c r="C9531" s="373"/>
      <c r="D9531" s="156" t="s">
        <v>425</v>
      </c>
      <c r="E9531" s="156" t="s">
        <v>28</v>
      </c>
      <c r="F9531" s="156" t="s">
        <v>439</v>
      </c>
      <c r="G9531" s="238">
        <f t="shared" si="2740"/>
        <v>0</v>
      </c>
      <c r="H9531" s="158"/>
      <c r="I9531" s="159">
        <f t="shared" ref="I9531:I9539" si="2743">I9530</f>
        <v>2.0993999999999999E-2</v>
      </c>
      <c r="J9531" s="160"/>
      <c r="K9531" s="161">
        <f t="shared" ref="K9531:K9539" si="2744">K9530</f>
        <v>1100</v>
      </c>
      <c r="L9531" s="250">
        <v>1</v>
      </c>
      <c r="M9531" s="163"/>
      <c r="N9531" s="278"/>
      <c r="O9531" s="280">
        <f t="shared" si="2741"/>
        <v>0</v>
      </c>
      <c r="P9531" s="166"/>
      <c r="Q9531" s="166">
        <f t="shared" si="2742"/>
        <v>0</v>
      </c>
      <c r="R9531" s="71"/>
      <c r="S9531" s="61"/>
      <c r="T9531" s="71"/>
      <c r="U9531" s="61"/>
      <c r="V9531" s="61"/>
      <c r="W9531" s="61"/>
      <c r="X9531" s="61"/>
      <c r="Y9531" s="61"/>
      <c r="Z9531" s="61"/>
      <c r="AA9531" s="61"/>
      <c r="AB9531" s="61"/>
      <c r="AC9531" s="61"/>
      <c r="AD9531" s="61"/>
      <c r="AE9531" s="61"/>
      <c r="AF9531" s="61"/>
      <c r="AG9531" s="61"/>
      <c r="AH9531" s="61"/>
      <c r="AI9531" s="61"/>
      <c r="AJ9531" s="61"/>
      <c r="AK9531" s="61"/>
      <c r="AL9531" s="61"/>
      <c r="AM9531" s="61"/>
      <c r="AN9531" s="61"/>
      <c r="AO9531" s="61"/>
    </row>
    <row r="9532" spans="1:41" s="136" customFormat="1" ht="31.5" x14ac:dyDescent="0.25">
      <c r="A9532" s="358"/>
      <c r="B9532" s="361"/>
      <c r="C9532" s="373"/>
      <c r="D9532" s="156" t="s">
        <v>426</v>
      </c>
      <c r="E9532" s="156" t="s">
        <v>28</v>
      </c>
      <c r="F9532" s="156" t="s">
        <v>439</v>
      </c>
      <c r="G9532" s="238">
        <f t="shared" si="2740"/>
        <v>0</v>
      </c>
      <c r="H9532" s="158"/>
      <c r="I9532" s="159">
        <f t="shared" si="2743"/>
        <v>2.0993999999999999E-2</v>
      </c>
      <c r="J9532" s="160"/>
      <c r="K9532" s="161">
        <f t="shared" si="2744"/>
        <v>1100</v>
      </c>
      <c r="L9532" s="250">
        <v>1</v>
      </c>
      <c r="M9532" s="163"/>
      <c r="N9532" s="278"/>
      <c r="O9532" s="280">
        <f t="shared" si="2741"/>
        <v>0</v>
      </c>
      <c r="P9532" s="166"/>
      <c r="Q9532" s="166">
        <f t="shared" si="2742"/>
        <v>0</v>
      </c>
      <c r="R9532" s="71"/>
      <c r="S9532" s="61"/>
      <c r="T9532" s="71"/>
      <c r="U9532" s="61"/>
      <c r="V9532" s="61"/>
      <c r="W9532" s="61"/>
      <c r="X9532" s="61"/>
      <c r="Y9532" s="61"/>
      <c r="Z9532" s="61"/>
      <c r="AA9532" s="61"/>
      <c r="AB9532" s="61"/>
      <c r="AC9532" s="61"/>
      <c r="AD9532" s="61"/>
      <c r="AE9532" s="61"/>
      <c r="AF9532" s="61"/>
      <c r="AG9532" s="61"/>
      <c r="AH9532" s="61"/>
      <c r="AI9532" s="61"/>
      <c r="AJ9532" s="61"/>
      <c r="AK9532" s="61"/>
      <c r="AL9532" s="61"/>
      <c r="AM9532" s="61"/>
      <c r="AN9532" s="61"/>
      <c r="AO9532" s="61"/>
    </row>
    <row r="9533" spans="1:41" s="136" customFormat="1" ht="31.5" x14ac:dyDescent="0.25">
      <c r="A9533" s="358"/>
      <c r="B9533" s="361"/>
      <c r="C9533" s="373"/>
      <c r="D9533" s="156" t="s">
        <v>427</v>
      </c>
      <c r="E9533" s="156" t="s">
        <v>28</v>
      </c>
      <c r="F9533" s="156" t="s">
        <v>439</v>
      </c>
      <c r="G9533" s="238">
        <f t="shared" si="2740"/>
        <v>0</v>
      </c>
      <c r="H9533" s="158"/>
      <c r="I9533" s="159">
        <f t="shared" si="2743"/>
        <v>2.0993999999999999E-2</v>
      </c>
      <c r="J9533" s="160"/>
      <c r="K9533" s="161">
        <f t="shared" si="2744"/>
        <v>1100</v>
      </c>
      <c r="L9533" s="250">
        <v>1</v>
      </c>
      <c r="M9533" s="163"/>
      <c r="N9533" s="278"/>
      <c r="O9533" s="280">
        <f t="shared" si="2741"/>
        <v>0</v>
      </c>
      <c r="P9533" s="166"/>
      <c r="Q9533" s="166">
        <f t="shared" si="2742"/>
        <v>0</v>
      </c>
      <c r="R9533" s="71"/>
      <c r="S9533" s="61"/>
      <c r="T9533" s="71"/>
      <c r="U9533" s="61"/>
      <c r="V9533" s="61"/>
      <c r="W9533" s="61"/>
      <c r="X9533" s="61"/>
      <c r="Y9533" s="61"/>
      <c r="Z9533" s="61"/>
      <c r="AA9533" s="61"/>
      <c r="AB9533" s="61"/>
      <c r="AC9533" s="61"/>
      <c r="AD9533" s="61"/>
      <c r="AE9533" s="61"/>
      <c r="AF9533" s="61"/>
      <c r="AG9533" s="61"/>
      <c r="AH9533" s="61"/>
      <c r="AI9533" s="61"/>
      <c r="AJ9533" s="61"/>
      <c r="AK9533" s="61"/>
      <c r="AL9533" s="61"/>
      <c r="AM9533" s="61"/>
      <c r="AN9533" s="61"/>
      <c r="AO9533" s="61"/>
    </row>
    <row r="9534" spans="1:41" s="136" customFormat="1" ht="31.5" x14ac:dyDescent="0.25">
      <c r="A9534" s="358"/>
      <c r="B9534" s="361"/>
      <c r="C9534" s="373"/>
      <c r="D9534" s="156" t="s">
        <v>428</v>
      </c>
      <c r="E9534" s="156" t="s">
        <v>28</v>
      </c>
      <c r="F9534" s="156" t="s">
        <v>439</v>
      </c>
      <c r="G9534" s="238">
        <f t="shared" si="2740"/>
        <v>0</v>
      </c>
      <c r="H9534" s="158"/>
      <c r="I9534" s="159">
        <f t="shared" si="2743"/>
        <v>2.0993999999999999E-2</v>
      </c>
      <c r="J9534" s="160"/>
      <c r="K9534" s="161">
        <f t="shared" si="2744"/>
        <v>1100</v>
      </c>
      <c r="L9534" s="250">
        <v>1</v>
      </c>
      <c r="M9534" s="163"/>
      <c r="N9534" s="278"/>
      <c r="O9534" s="280">
        <f t="shared" si="2741"/>
        <v>0</v>
      </c>
      <c r="P9534" s="166"/>
      <c r="Q9534" s="166">
        <f t="shared" si="2742"/>
        <v>0</v>
      </c>
      <c r="R9534" s="71"/>
      <c r="S9534" s="61"/>
      <c r="T9534" s="71"/>
      <c r="U9534" s="61"/>
      <c r="V9534" s="61"/>
      <c r="W9534" s="61"/>
      <c r="X9534" s="61"/>
      <c r="Y9534" s="61"/>
      <c r="Z9534" s="61"/>
      <c r="AA9534" s="61"/>
      <c r="AB9534" s="61"/>
      <c r="AC9534" s="61"/>
      <c r="AD9534" s="61"/>
      <c r="AE9534" s="61"/>
      <c r="AF9534" s="61"/>
      <c r="AG9534" s="61"/>
      <c r="AH9534" s="61"/>
      <c r="AI9534" s="61"/>
      <c r="AJ9534" s="61"/>
      <c r="AK9534" s="61"/>
      <c r="AL9534" s="61"/>
      <c r="AM9534" s="61"/>
      <c r="AN9534" s="61"/>
      <c r="AO9534" s="61"/>
    </row>
    <row r="9535" spans="1:41" s="136" customFormat="1" ht="31.5" x14ac:dyDescent="0.25">
      <c r="A9535" s="358"/>
      <c r="B9535" s="361"/>
      <c r="C9535" s="373"/>
      <c r="D9535" s="156" t="s">
        <v>429</v>
      </c>
      <c r="E9535" s="156" t="s">
        <v>28</v>
      </c>
      <c r="F9535" s="156" t="s">
        <v>439</v>
      </c>
      <c r="G9535" s="238">
        <f t="shared" si="2740"/>
        <v>0</v>
      </c>
      <c r="H9535" s="158"/>
      <c r="I9535" s="159">
        <f t="shared" si="2743"/>
        <v>2.0993999999999999E-2</v>
      </c>
      <c r="J9535" s="160"/>
      <c r="K9535" s="161">
        <f t="shared" si="2744"/>
        <v>1100</v>
      </c>
      <c r="L9535" s="250">
        <v>1</v>
      </c>
      <c r="M9535" s="163"/>
      <c r="N9535" s="278"/>
      <c r="O9535" s="280">
        <f t="shared" si="2741"/>
        <v>0</v>
      </c>
      <c r="P9535" s="166"/>
      <c r="Q9535" s="166">
        <f t="shared" si="2742"/>
        <v>0</v>
      </c>
      <c r="R9535" s="71"/>
      <c r="S9535" s="61"/>
      <c r="T9535" s="71"/>
      <c r="U9535" s="61"/>
      <c r="V9535" s="61"/>
      <c r="W9535" s="61"/>
      <c r="X9535" s="61"/>
      <c r="Y9535" s="61"/>
      <c r="Z9535" s="61"/>
      <c r="AA9535" s="61"/>
      <c r="AB9535" s="61"/>
      <c r="AC9535" s="61"/>
      <c r="AD9535" s="61"/>
      <c r="AE9535" s="61"/>
      <c r="AF9535" s="61"/>
      <c r="AG9535" s="61"/>
      <c r="AH9535" s="61"/>
      <c r="AI9535" s="61"/>
      <c r="AJ9535" s="61"/>
      <c r="AK9535" s="61"/>
      <c r="AL9535" s="61"/>
      <c r="AM9535" s="61"/>
      <c r="AN9535" s="61"/>
      <c r="AO9535" s="61"/>
    </row>
    <row r="9536" spans="1:41" s="136" customFormat="1" ht="31.5" x14ac:dyDescent="0.25">
      <c r="A9536" s="358"/>
      <c r="B9536" s="361"/>
      <c r="C9536" s="373"/>
      <c r="D9536" s="156" t="s">
        <v>110</v>
      </c>
      <c r="E9536" s="156" t="s">
        <v>28</v>
      </c>
      <c r="F9536" s="156" t="s">
        <v>439</v>
      </c>
      <c r="G9536" s="238">
        <f t="shared" si="2740"/>
        <v>0</v>
      </c>
      <c r="H9536" s="158"/>
      <c r="I9536" s="159">
        <f t="shared" si="2743"/>
        <v>2.0993999999999999E-2</v>
      </c>
      <c r="J9536" s="160"/>
      <c r="K9536" s="161">
        <f t="shared" si="2744"/>
        <v>1100</v>
      </c>
      <c r="L9536" s="250">
        <v>1</v>
      </c>
      <c r="M9536" s="163"/>
      <c r="N9536" s="278"/>
      <c r="O9536" s="280">
        <f t="shared" si="2741"/>
        <v>0</v>
      </c>
      <c r="P9536" s="166"/>
      <c r="Q9536" s="166">
        <f t="shared" si="2742"/>
        <v>0</v>
      </c>
      <c r="R9536" s="71"/>
      <c r="S9536" s="61"/>
      <c r="T9536" s="71"/>
      <c r="U9536" s="61"/>
      <c r="V9536" s="61"/>
      <c r="W9536" s="61"/>
      <c r="X9536" s="61"/>
      <c r="Y9536" s="61"/>
      <c r="Z9536" s="61"/>
      <c r="AA9536" s="61"/>
      <c r="AB9536" s="61"/>
      <c r="AC9536" s="61"/>
      <c r="AD9536" s="61"/>
      <c r="AE9536" s="61"/>
      <c r="AF9536" s="61"/>
      <c r="AG9536" s="61"/>
      <c r="AH9536" s="61"/>
      <c r="AI9536" s="61"/>
      <c r="AJ9536" s="61"/>
      <c r="AK9536" s="61"/>
      <c r="AL9536" s="61"/>
      <c r="AM9536" s="61"/>
      <c r="AN9536" s="61"/>
      <c r="AO9536" s="61"/>
    </row>
    <row r="9537" spans="1:41" s="136" customFormat="1" ht="31.5" x14ac:dyDescent="0.25">
      <c r="A9537" s="358"/>
      <c r="B9537" s="361"/>
      <c r="C9537" s="373"/>
      <c r="D9537" s="156" t="s">
        <v>112</v>
      </c>
      <c r="E9537" s="156" t="s">
        <v>28</v>
      </c>
      <c r="F9537" s="156" t="s">
        <v>439</v>
      </c>
      <c r="G9537" s="238">
        <f t="shared" si="2740"/>
        <v>0</v>
      </c>
      <c r="H9537" s="158"/>
      <c r="I9537" s="159">
        <f t="shared" si="2743"/>
        <v>2.0993999999999999E-2</v>
      </c>
      <c r="J9537" s="160"/>
      <c r="K9537" s="161">
        <f t="shared" si="2744"/>
        <v>1100</v>
      </c>
      <c r="L9537" s="250">
        <v>1</v>
      </c>
      <c r="M9537" s="163"/>
      <c r="N9537" s="278"/>
      <c r="O9537" s="280">
        <f t="shared" si="2741"/>
        <v>0</v>
      </c>
      <c r="P9537" s="166"/>
      <c r="Q9537" s="166">
        <f t="shared" si="2742"/>
        <v>0</v>
      </c>
      <c r="R9537" s="71"/>
      <c r="S9537" s="61"/>
      <c r="T9537" s="71"/>
      <c r="U9537" s="61"/>
      <c r="V9537" s="61"/>
      <c r="W9537" s="61"/>
      <c r="X9537" s="61"/>
      <c r="Y9537" s="61"/>
      <c r="Z9537" s="61"/>
      <c r="AA9537" s="61"/>
      <c r="AB9537" s="61"/>
      <c r="AC9537" s="61"/>
      <c r="AD9537" s="61"/>
      <c r="AE9537" s="61"/>
      <c r="AF9537" s="61"/>
      <c r="AG9537" s="61"/>
      <c r="AH9537" s="61"/>
      <c r="AI9537" s="61"/>
      <c r="AJ9537" s="61"/>
      <c r="AK9537" s="61"/>
      <c r="AL9537" s="61"/>
      <c r="AM9537" s="61"/>
      <c r="AN9537" s="61"/>
      <c r="AO9537" s="61"/>
    </row>
    <row r="9538" spans="1:41" s="136" customFormat="1" ht="31.5" x14ac:dyDescent="0.25">
      <c r="A9538" s="358"/>
      <c r="B9538" s="361"/>
      <c r="C9538" s="373"/>
      <c r="D9538" s="156" t="s">
        <v>111</v>
      </c>
      <c r="E9538" s="156" t="s">
        <v>28</v>
      </c>
      <c r="F9538" s="156" t="s">
        <v>439</v>
      </c>
      <c r="G9538" s="238">
        <f t="shared" si="2740"/>
        <v>0</v>
      </c>
      <c r="H9538" s="158"/>
      <c r="I9538" s="159">
        <f t="shared" si="2743"/>
        <v>2.0993999999999999E-2</v>
      </c>
      <c r="J9538" s="160"/>
      <c r="K9538" s="161">
        <f t="shared" si="2744"/>
        <v>1100</v>
      </c>
      <c r="L9538" s="250">
        <v>1</v>
      </c>
      <c r="M9538" s="163"/>
      <c r="N9538" s="278"/>
      <c r="O9538" s="280">
        <f t="shared" si="2741"/>
        <v>0</v>
      </c>
      <c r="P9538" s="166"/>
      <c r="Q9538" s="166">
        <f t="shared" si="2742"/>
        <v>0</v>
      </c>
      <c r="R9538" s="71"/>
      <c r="S9538" s="61"/>
      <c r="T9538" s="71"/>
      <c r="U9538" s="61"/>
      <c r="V9538" s="61"/>
      <c r="W9538" s="61"/>
      <c r="X9538" s="61"/>
      <c r="Y9538" s="61"/>
      <c r="Z9538" s="61"/>
      <c r="AA9538" s="61"/>
      <c r="AB9538" s="61"/>
      <c r="AC9538" s="61"/>
      <c r="AD9538" s="61"/>
      <c r="AE9538" s="61"/>
      <c r="AF9538" s="61"/>
      <c r="AG9538" s="61"/>
      <c r="AH9538" s="61"/>
      <c r="AI9538" s="61"/>
      <c r="AJ9538" s="61"/>
      <c r="AK9538" s="61"/>
      <c r="AL9538" s="61"/>
      <c r="AM9538" s="61"/>
      <c r="AN9538" s="61"/>
      <c r="AO9538" s="61"/>
    </row>
    <row r="9539" spans="1:41" s="136" customFormat="1" ht="31.5" x14ac:dyDescent="0.25">
      <c r="A9539" s="358"/>
      <c r="B9539" s="361"/>
      <c r="C9539" s="374"/>
      <c r="D9539" s="156" t="s">
        <v>438</v>
      </c>
      <c r="E9539" s="156" t="s">
        <v>28</v>
      </c>
      <c r="F9539" s="156" t="s">
        <v>439</v>
      </c>
      <c r="G9539" s="238">
        <f t="shared" si="2740"/>
        <v>0</v>
      </c>
      <c r="H9539" s="158"/>
      <c r="I9539" s="159">
        <f t="shared" si="2743"/>
        <v>2.0993999999999999E-2</v>
      </c>
      <c r="J9539" s="160"/>
      <c r="K9539" s="161">
        <f t="shared" si="2744"/>
        <v>1100</v>
      </c>
      <c r="L9539" s="250">
        <v>1</v>
      </c>
      <c r="M9539" s="163"/>
      <c r="N9539" s="278"/>
      <c r="O9539" s="280">
        <f t="shared" si="2741"/>
        <v>0</v>
      </c>
      <c r="P9539" s="166"/>
      <c r="Q9539" s="166">
        <f t="shared" si="2742"/>
        <v>0</v>
      </c>
      <c r="R9539" s="71"/>
      <c r="S9539" s="61"/>
      <c r="T9539" s="71"/>
      <c r="U9539" s="61"/>
      <c r="V9539" s="61"/>
      <c r="W9539" s="61"/>
      <c r="X9539" s="61"/>
      <c r="Y9539" s="61"/>
      <c r="Z9539" s="61"/>
      <c r="AA9539" s="61"/>
      <c r="AB9539" s="61"/>
      <c r="AC9539" s="61"/>
      <c r="AD9539" s="61"/>
      <c r="AE9539" s="61"/>
      <c r="AF9539" s="61"/>
      <c r="AG9539" s="61"/>
      <c r="AH9539" s="61"/>
      <c r="AI9539" s="61"/>
      <c r="AJ9539" s="61"/>
      <c r="AK9539" s="61"/>
      <c r="AL9539" s="61"/>
      <c r="AM9539" s="61"/>
      <c r="AN9539" s="61"/>
      <c r="AO9539" s="61"/>
    </row>
    <row r="9540" spans="1:41" s="61" customFormat="1" x14ac:dyDescent="0.25">
      <c r="A9540" s="358"/>
      <c r="B9540" s="361"/>
      <c r="C9540" s="245" t="s">
        <v>299</v>
      </c>
      <c r="D9540" s="240"/>
      <c r="E9540" s="240"/>
      <c r="F9540" s="181"/>
      <c r="G9540" s="227"/>
      <c r="H9540" s="241"/>
      <c r="I9540" s="206"/>
      <c r="J9540" s="228"/>
      <c r="K9540" s="207"/>
      <c r="L9540" s="257"/>
      <c r="M9540" s="209"/>
      <c r="N9540" s="290"/>
      <c r="O9540" s="279">
        <f>SUM(O9528:O9539)</f>
        <v>0.53408</v>
      </c>
      <c r="P9540" s="166"/>
      <c r="Q9540" s="166">
        <f>O9540*K9540</f>
        <v>0</v>
      </c>
      <c r="R9540" s="71"/>
    </row>
    <row r="9541" spans="1:41" s="61" customFormat="1" ht="47.25" x14ac:dyDescent="0.25">
      <c r="A9541" s="358"/>
      <c r="B9541" s="361"/>
      <c r="C9541" s="221" t="s">
        <v>434</v>
      </c>
      <c r="D9541" s="156" t="s">
        <v>436</v>
      </c>
      <c r="E9541" s="156" t="s">
        <v>28</v>
      </c>
      <c r="F9541" s="156" t="s">
        <v>437</v>
      </c>
      <c r="G9541" s="238">
        <f>MROUND(H9541*L9541*I9541/K9541,0.00000000001)</f>
        <v>0</v>
      </c>
      <c r="H9541" s="242">
        <f>$H$2148</f>
        <v>26</v>
      </c>
      <c r="I9541" s="159">
        <f>I9539</f>
        <v>2.0993999999999999E-2</v>
      </c>
      <c r="J9541" s="160"/>
      <c r="K9541" s="161">
        <f>K9539</f>
        <v>1100</v>
      </c>
      <c r="L9541" s="162"/>
      <c r="M9541" s="163"/>
      <c r="N9541" s="164">
        <f>$N$5536</f>
        <v>2280.2800000000002</v>
      </c>
      <c r="O9541" s="165">
        <f>MROUND(G9541*N9541,0.000001)</f>
        <v>0</v>
      </c>
      <c r="P9541" s="166"/>
      <c r="Q9541" s="166">
        <f>O9541*K9541</f>
        <v>0</v>
      </c>
      <c r="R9541" s="71"/>
    </row>
    <row r="9542" spans="1:41" s="61" customFormat="1" x14ac:dyDescent="0.25">
      <c r="A9542" s="358"/>
      <c r="B9542" s="361"/>
      <c r="C9542" s="218" t="s">
        <v>435</v>
      </c>
      <c r="D9542" s="240"/>
      <c r="E9542" s="240"/>
      <c r="F9542" s="240"/>
      <c r="G9542" s="251"/>
      <c r="H9542" s="241"/>
      <c r="I9542" s="206"/>
      <c r="J9542" s="228"/>
      <c r="K9542" s="207"/>
      <c r="L9542" s="229"/>
      <c r="M9542" s="209"/>
      <c r="N9542" s="210"/>
      <c r="O9542" s="198">
        <f>SUM(O9541)</f>
        <v>0</v>
      </c>
      <c r="P9542" s="166"/>
      <c r="Q9542" s="166"/>
      <c r="R9542" s="71"/>
    </row>
    <row r="9543" spans="1:41" s="61" customFormat="1" ht="110.25" x14ac:dyDescent="0.25">
      <c r="A9543" s="358"/>
      <c r="B9543" s="361"/>
      <c r="C9543" s="221" t="s">
        <v>82</v>
      </c>
      <c r="D9543" s="156" t="s">
        <v>46</v>
      </c>
      <c r="E9543" s="156" t="s">
        <v>54</v>
      </c>
      <c r="F9543" s="156" t="s">
        <v>285</v>
      </c>
      <c r="G9543" s="238">
        <f>MROUND(H9543*L9543*I9543/K9543,0.00000000001)</f>
        <v>4.7967524149999996E-2</v>
      </c>
      <c r="H9543" s="158">
        <f>H9237</f>
        <v>228.48206225686181</v>
      </c>
      <c r="I9543" s="159">
        <f>I9529</f>
        <v>2.0993999999999999E-2</v>
      </c>
      <c r="J9543" s="160"/>
      <c r="K9543" s="161">
        <f>K9529</f>
        <v>1100</v>
      </c>
      <c r="L9543" s="250">
        <f>$L$2150</f>
        <v>11</v>
      </c>
      <c r="M9543" s="163" t="str">
        <f>CONCATENATE(H9543," ",F9543,"*",L9543,"автобус","*",I9543,"/",K9543,"чел")</f>
        <v>228,482062256862 л бензина АИ 92 (12,5л/день(зимой)*20дней*7мес+10л/день(летом)*20дней*4мес)*11автобус*0,020994/1100чел</v>
      </c>
      <c r="N9543" s="278">
        <f>$N$8927</f>
        <v>59.28728000000001</v>
      </c>
      <c r="O9543" s="280">
        <f t="shared" ref="O9543:O9545" si="2745">MROUND(N9543*G9543,0.000001)</f>
        <v>2.8438639999999999</v>
      </c>
      <c r="P9543" s="166"/>
      <c r="Q9543" s="166">
        <f>O9543*K9543</f>
        <v>3128.2503999999999</v>
      </c>
      <c r="R9543" s="71"/>
    </row>
    <row r="9544" spans="1:41" s="61" customFormat="1" ht="47.25" x14ac:dyDescent="0.25">
      <c r="A9544" s="358"/>
      <c r="B9544" s="361"/>
      <c r="C9544" s="364" t="s">
        <v>118</v>
      </c>
      <c r="D9544" s="156" t="s">
        <v>47</v>
      </c>
      <c r="E9544" s="156" t="s">
        <v>28</v>
      </c>
      <c r="F9544" s="156" t="s">
        <v>239</v>
      </c>
      <c r="G9544" s="238">
        <f>MROUND(H9544*L9544*I9544/K9544,0.00000000001)</f>
        <v>3.8170908999999995E-4</v>
      </c>
      <c r="H9544" s="158">
        <f>H8928</f>
        <v>20</v>
      </c>
      <c r="I9544" s="159">
        <f>I9543</f>
        <v>2.0993999999999999E-2</v>
      </c>
      <c r="J9544" s="160"/>
      <c r="K9544" s="161">
        <f>K9543</f>
        <v>1100</v>
      </c>
      <c r="L9544" s="250">
        <v>1</v>
      </c>
      <c r="M9544" s="163" t="str">
        <f>CONCATENATE(H9544," ",F9544,"*",I9544,"/",K9544,"чел")</f>
        <v>20 манометров (потребность учреждений) *0,020994/1100чел</v>
      </c>
      <c r="N9544" s="278">
        <f>N8928</f>
        <v>707.09500000000003</v>
      </c>
      <c r="O9544" s="280">
        <f t="shared" si="2745"/>
        <v>0.26990500000000001</v>
      </c>
      <c r="P9544" s="166"/>
      <c r="Q9544" s="166">
        <f>O9544*K9544</f>
        <v>296.89550000000003</v>
      </c>
      <c r="R9544" s="71"/>
    </row>
    <row r="9545" spans="1:41" s="61" customFormat="1" ht="47.25" x14ac:dyDescent="0.25">
      <c r="A9545" s="358"/>
      <c r="B9545" s="361"/>
      <c r="C9545" s="364"/>
      <c r="D9545" s="255" t="s">
        <v>113</v>
      </c>
      <c r="E9545" s="156" t="s">
        <v>28</v>
      </c>
      <c r="F9545" s="156" t="s">
        <v>240</v>
      </c>
      <c r="G9545" s="238">
        <f>MROUND(H9545*L9545*I9545/K9545,0.00000000001)</f>
        <v>1.9085454499999999E-3</v>
      </c>
      <c r="H9545" s="158">
        <v>100</v>
      </c>
      <c r="I9545" s="159">
        <f>I9544</f>
        <v>2.0993999999999999E-2</v>
      </c>
      <c r="J9545" s="160"/>
      <c r="K9545" s="161">
        <f>K9544</f>
        <v>1100</v>
      </c>
      <c r="L9545" s="250">
        <v>1</v>
      </c>
      <c r="M9545" s="163" t="str">
        <f>CONCATENATE(H9545," ",F9545,"*",I9545,"/",K9545,"чел")</f>
        <v>100 светильников (потребность учреждений)*0,020994/1100чел</v>
      </c>
      <c r="N9545" s="278">
        <f>N8929</f>
        <v>115.61000000000001</v>
      </c>
      <c r="O9545" s="280">
        <f t="shared" si="2745"/>
        <v>0.22064699999999998</v>
      </c>
      <c r="P9545" s="166"/>
      <c r="Q9545" s="166">
        <f>O9545*K9545</f>
        <v>242.71169999999998</v>
      </c>
      <c r="R9545" s="71"/>
    </row>
    <row r="9546" spans="1:41" s="109" customFormat="1" x14ac:dyDescent="0.25">
      <c r="A9546" s="359"/>
      <c r="B9546" s="362"/>
      <c r="C9546" s="218" t="s">
        <v>301</v>
      </c>
      <c r="D9546" s="256"/>
      <c r="E9546" s="240"/>
      <c r="F9546" s="240"/>
      <c r="G9546" s="227"/>
      <c r="H9546" s="241"/>
      <c r="I9546" s="206"/>
      <c r="J9546" s="228"/>
      <c r="K9546" s="207"/>
      <c r="L9546" s="257"/>
      <c r="M9546" s="209"/>
      <c r="N9546" s="281"/>
      <c r="O9546" s="279">
        <f>O9544+O9545</f>
        <v>0.49055199999999999</v>
      </c>
      <c r="P9546" s="267"/>
      <c r="Q9546" s="166"/>
      <c r="R9546" s="71"/>
      <c r="S9546" s="62"/>
      <c r="T9546" s="62"/>
      <c r="U9546" s="62"/>
      <c r="V9546" s="62"/>
      <c r="W9546" s="62"/>
      <c r="X9546" s="62"/>
      <c r="Y9546" s="62"/>
      <c r="Z9546" s="62"/>
      <c r="AA9546" s="62"/>
      <c r="AB9546" s="62"/>
      <c r="AC9546" s="62"/>
      <c r="AD9546" s="62"/>
      <c r="AE9546" s="62"/>
      <c r="AF9546" s="62"/>
      <c r="AG9546" s="62"/>
      <c r="AH9546" s="62"/>
      <c r="AI9546" s="62"/>
      <c r="AJ9546" s="62"/>
      <c r="AK9546" s="62"/>
      <c r="AL9546" s="62"/>
      <c r="AM9546" s="62"/>
      <c r="AN9546" s="62"/>
      <c r="AO9546" s="62"/>
    </row>
    <row r="9547" spans="1:41" s="108" customFormat="1" x14ac:dyDescent="0.25">
      <c r="A9547" s="357" t="str">
        <f>школы!$B$40</f>
        <v>Психолого-педагогическое консультирование обучающихся, их родителей (законных представителей) и педагогических работников</v>
      </c>
      <c r="B9547" s="360" t="str">
        <f>школы!$A$40</f>
        <v>880900О.99.0.ББ14АА02000</v>
      </c>
      <c r="C9547" s="194"/>
      <c r="D9547" s="363" t="s">
        <v>15</v>
      </c>
      <c r="E9547" s="363"/>
      <c r="F9547" s="363"/>
      <c r="G9547" s="363"/>
      <c r="H9547" s="195"/>
      <c r="I9547" s="195"/>
      <c r="J9547" s="195"/>
      <c r="K9547" s="195"/>
      <c r="L9547" s="196"/>
      <c r="M9547" s="197"/>
      <c r="N9547" s="278"/>
      <c r="O9547" s="279">
        <f>O9548+O9552</f>
        <v>2621.0094629453997</v>
      </c>
      <c r="P9547" s="166"/>
      <c r="Q9547" s="166">
        <f t="shared" ref="Q9547:Q9564" si="2746">O9547*K9547</f>
        <v>0</v>
      </c>
      <c r="R9547" s="71"/>
      <c r="S9547" s="61"/>
      <c r="T9547" s="61"/>
      <c r="U9547" s="61"/>
      <c r="V9547" s="61"/>
      <c r="W9547" s="61"/>
      <c r="X9547" s="61"/>
      <c r="Y9547" s="61"/>
      <c r="Z9547" s="61"/>
      <c r="AA9547" s="61"/>
      <c r="AB9547" s="61"/>
      <c r="AC9547" s="61"/>
      <c r="AD9547" s="61"/>
      <c r="AE9547" s="61"/>
      <c r="AF9547" s="61"/>
      <c r="AG9547" s="61"/>
      <c r="AH9547" s="61"/>
      <c r="AI9547" s="61"/>
      <c r="AJ9547" s="61"/>
      <c r="AK9547" s="61"/>
      <c r="AL9547" s="61"/>
      <c r="AM9547" s="61"/>
      <c r="AN9547" s="61"/>
      <c r="AO9547" s="61"/>
    </row>
    <row r="9548" spans="1:41" s="108" customFormat="1" x14ac:dyDescent="0.25">
      <c r="A9548" s="358"/>
      <c r="B9548" s="361"/>
      <c r="C9548" s="194"/>
      <c r="D9548" s="350" t="s">
        <v>62</v>
      </c>
      <c r="E9548" s="350"/>
      <c r="F9548" s="350"/>
      <c r="G9548" s="350"/>
      <c r="H9548" s="195"/>
      <c r="I9548" s="195"/>
      <c r="J9548" s="195"/>
      <c r="K9548" s="195"/>
      <c r="L9548" s="196"/>
      <c r="M9548" s="197"/>
      <c r="N9548" s="278"/>
      <c r="O9548" s="279">
        <f>O9549+O9550</f>
        <v>2604.0516639453999</v>
      </c>
      <c r="P9548" s="166"/>
      <c r="Q9548" s="166">
        <f t="shared" si="2746"/>
        <v>0</v>
      </c>
      <c r="R9548" s="71"/>
      <c r="S9548" s="61"/>
      <c r="T9548" s="61"/>
      <c r="U9548" s="61"/>
      <c r="V9548" s="61"/>
      <c r="W9548" s="61"/>
      <c r="X9548" s="61"/>
      <c r="Y9548" s="61"/>
      <c r="Z9548" s="61"/>
      <c r="AA9548" s="61"/>
      <c r="AB9548" s="61"/>
      <c r="AC9548" s="61"/>
      <c r="AD9548" s="61"/>
      <c r="AE9548" s="61"/>
      <c r="AF9548" s="61"/>
      <c r="AG9548" s="61"/>
      <c r="AH9548" s="61"/>
      <c r="AI9548" s="61"/>
      <c r="AJ9548" s="61"/>
      <c r="AK9548" s="61"/>
      <c r="AL9548" s="61"/>
      <c r="AM9548" s="61"/>
      <c r="AN9548" s="61"/>
      <c r="AO9548" s="61"/>
    </row>
    <row r="9549" spans="1:41" s="61" customFormat="1" x14ac:dyDescent="0.25">
      <c r="A9549" s="358"/>
      <c r="B9549" s="361"/>
      <c r="C9549" s="194">
        <v>211</v>
      </c>
      <c r="D9549" s="194" t="s">
        <v>86</v>
      </c>
      <c r="E9549" s="199" t="s">
        <v>95</v>
      </c>
      <c r="F9549" s="199" t="s">
        <v>95</v>
      </c>
      <c r="G9549" s="238">
        <f>MROUND(H9549*L9549*I9549/K9549,0.00000000001)</f>
        <v>8.4381493709999991E-2</v>
      </c>
      <c r="H9549" s="201">
        <f>H8829</f>
        <v>368.4</v>
      </c>
      <c r="I9549" s="159">
        <f>школы!$K$40</f>
        <v>8.0167000000000002E-2</v>
      </c>
      <c r="J9549" s="159"/>
      <c r="K9549" s="161">
        <f>школы!$G$40</f>
        <v>4200</v>
      </c>
      <c r="L9549" s="202">
        <v>12</v>
      </c>
      <c r="M9549" s="163" t="str">
        <f>CONCATENATE(H9549," ",F9549," ","в мес.","*",L9549,"мес.","*",I9549,"/",K9549,"чел")</f>
        <v>368,4 шт.ед в мес.*12мес.*0,080167/4200чел</v>
      </c>
      <c r="N9549" s="278">
        <f>N8829</f>
        <v>23702.349798678973</v>
      </c>
      <c r="O9549" s="280">
        <f>MROUND(N9549*G9549,0.0000000001)</f>
        <v>2000.0396804494001</v>
      </c>
      <c r="P9549" s="166"/>
      <c r="Q9549" s="166">
        <f t="shared" si="2746"/>
        <v>8400166.6578874812</v>
      </c>
      <c r="R9549" s="71"/>
    </row>
    <row r="9550" spans="1:41" s="61" customFormat="1" x14ac:dyDescent="0.25">
      <c r="A9550" s="358"/>
      <c r="B9550" s="361"/>
      <c r="C9550" s="194">
        <v>213</v>
      </c>
      <c r="D9550" s="194" t="s">
        <v>87</v>
      </c>
      <c r="E9550" s="194" t="s">
        <v>88</v>
      </c>
      <c r="F9550" s="194"/>
      <c r="G9550" s="211">
        <v>30.2</v>
      </c>
      <c r="H9550" s="159"/>
      <c r="I9550" s="282">
        <f>I9549</f>
        <v>8.0167000000000002E-2</v>
      </c>
      <c r="J9550" s="159"/>
      <c r="K9550" s="161">
        <f>K9549</f>
        <v>4200</v>
      </c>
      <c r="L9550" s="202"/>
      <c r="M9550" s="212"/>
      <c r="N9550" s="278"/>
      <c r="O9550" s="280">
        <f>MROUND(O9549*0.302,0.000000001)</f>
        <v>604.01198349600008</v>
      </c>
      <c r="P9550" s="166"/>
      <c r="Q9550" s="166">
        <f t="shared" si="2746"/>
        <v>2536850.3306832002</v>
      </c>
      <c r="R9550" s="71"/>
    </row>
    <row r="9551" spans="1:41" s="108" customFormat="1" x14ac:dyDescent="0.25">
      <c r="A9551" s="358"/>
      <c r="B9551" s="361"/>
      <c r="C9551" s="194"/>
      <c r="D9551" s="194"/>
      <c r="E9551" s="194"/>
      <c r="F9551" s="194"/>
      <c r="G9551" s="217"/>
      <c r="H9551" s="195"/>
      <c r="I9551" s="159"/>
      <c r="J9551" s="195"/>
      <c r="K9551" s="161"/>
      <c r="L9551" s="196"/>
      <c r="M9551" s="197"/>
      <c r="N9551" s="278"/>
      <c r="O9551" s="280"/>
      <c r="P9551" s="166"/>
      <c r="Q9551" s="166">
        <f t="shared" si="2746"/>
        <v>0</v>
      </c>
      <c r="R9551" s="71"/>
      <c r="S9551" s="61"/>
      <c r="T9551" s="61"/>
      <c r="U9551" s="61"/>
      <c r="V9551" s="61"/>
      <c r="W9551" s="61"/>
      <c r="X9551" s="61"/>
      <c r="Y9551" s="61"/>
      <c r="Z9551" s="61"/>
      <c r="AA9551" s="61"/>
      <c r="AB9551" s="61"/>
      <c r="AC9551" s="61"/>
      <c r="AD9551" s="61"/>
      <c r="AE9551" s="61"/>
      <c r="AF9551" s="61"/>
      <c r="AG9551" s="61"/>
      <c r="AH9551" s="61"/>
      <c r="AI9551" s="61"/>
      <c r="AJ9551" s="61"/>
      <c r="AK9551" s="61"/>
      <c r="AL9551" s="61"/>
      <c r="AM9551" s="61"/>
      <c r="AN9551" s="61"/>
      <c r="AO9551" s="61"/>
    </row>
    <row r="9552" spans="1:41" s="108" customFormat="1" x14ac:dyDescent="0.25">
      <c r="A9552" s="358"/>
      <c r="B9552" s="361"/>
      <c r="C9552" s="194"/>
      <c r="D9552" s="356" t="s">
        <v>63</v>
      </c>
      <c r="E9552" s="356"/>
      <c r="F9552" s="356"/>
      <c r="G9552" s="356"/>
      <c r="H9552" s="195"/>
      <c r="I9552" s="159"/>
      <c r="J9552" s="195"/>
      <c r="K9552" s="161"/>
      <c r="L9552" s="196"/>
      <c r="M9552" s="197"/>
      <c r="N9552" s="278"/>
      <c r="O9552" s="280">
        <f>O9553</f>
        <v>16.957798999999998</v>
      </c>
      <c r="P9552" s="166"/>
      <c r="Q9552" s="166">
        <f t="shared" si="2746"/>
        <v>0</v>
      </c>
      <c r="R9552" s="71"/>
      <c r="S9552" s="61"/>
      <c r="T9552" s="61"/>
      <c r="U9552" s="61"/>
      <c r="V9552" s="61"/>
      <c r="W9552" s="61"/>
      <c r="X9552" s="61"/>
      <c r="Y9552" s="61"/>
      <c r="Z9552" s="61"/>
      <c r="AA9552" s="61"/>
      <c r="AB9552" s="61"/>
      <c r="AC9552" s="61"/>
      <c r="AD9552" s="61"/>
      <c r="AE9552" s="61"/>
      <c r="AF9552" s="61"/>
      <c r="AG9552" s="61"/>
      <c r="AH9552" s="61"/>
      <c r="AI9552" s="61"/>
      <c r="AJ9552" s="61"/>
      <c r="AK9552" s="61"/>
      <c r="AL9552" s="61"/>
      <c r="AM9552" s="61"/>
      <c r="AN9552" s="61"/>
      <c r="AO9552" s="61"/>
    </row>
    <row r="9553" spans="1:41" s="61" customFormat="1" x14ac:dyDescent="0.25">
      <c r="A9553" s="358"/>
      <c r="B9553" s="361"/>
      <c r="C9553" s="194">
        <v>346</v>
      </c>
      <c r="D9553" s="194" t="s">
        <v>259</v>
      </c>
      <c r="E9553" s="194" t="s">
        <v>260</v>
      </c>
      <c r="F9553" s="194" t="s">
        <v>261</v>
      </c>
      <c r="G9553" s="238">
        <f>MROUND(H9553*L9553*I9553/K9553,0.00000000001)</f>
        <v>2.313390571E-2</v>
      </c>
      <c r="H9553" s="283">
        <f>H8834</f>
        <v>1212</v>
      </c>
      <c r="I9553" s="282">
        <f>I9550</f>
        <v>8.0167000000000002E-2</v>
      </c>
      <c r="J9553" s="195"/>
      <c r="K9553" s="161">
        <f>K9550</f>
        <v>4200</v>
      </c>
      <c r="L9553" s="196">
        <v>1</v>
      </c>
      <c r="M9553" s="163" t="str">
        <f>CONCATENATE(H9553," ",F9553,"*",I9553,"/",K9553,"чел")</f>
        <v>1212 упаковок*0,080167/4200чел</v>
      </c>
      <c r="N9553" s="278">
        <f>N8834</f>
        <v>733.02792904290436</v>
      </c>
      <c r="O9553" s="280">
        <f>MROUND(N9553*G9553,0.000001)</f>
        <v>16.957798999999998</v>
      </c>
      <c r="P9553" s="166"/>
      <c r="Q9553" s="166">
        <f t="shared" si="2746"/>
        <v>71222.755799999984</v>
      </c>
      <c r="R9553" s="71"/>
    </row>
    <row r="9554" spans="1:41" s="108" customFormat="1" x14ac:dyDescent="0.25">
      <c r="A9554" s="358"/>
      <c r="B9554" s="361"/>
      <c r="C9554" s="194"/>
      <c r="D9554" s="350" t="s">
        <v>64</v>
      </c>
      <c r="E9554" s="350"/>
      <c r="F9554" s="350"/>
      <c r="G9554" s="350"/>
      <c r="H9554" s="195"/>
      <c r="I9554" s="159"/>
      <c r="J9554" s="195"/>
      <c r="K9554" s="161"/>
      <c r="L9554" s="196"/>
      <c r="M9554" s="197"/>
      <c r="N9554" s="278"/>
      <c r="O9554" s="280"/>
      <c r="P9554" s="166"/>
      <c r="Q9554" s="166">
        <f t="shared" si="2746"/>
        <v>0</v>
      </c>
      <c r="R9554" s="71"/>
      <c r="S9554" s="61"/>
      <c r="T9554" s="61"/>
      <c r="U9554" s="61"/>
      <c r="V9554" s="61"/>
      <c r="W9554" s="61"/>
      <c r="X9554" s="61"/>
      <c r="Y9554" s="61"/>
      <c r="Z9554" s="61"/>
      <c r="AA9554" s="61"/>
      <c r="AB9554" s="61"/>
      <c r="AC9554" s="61"/>
      <c r="AD9554" s="61"/>
      <c r="AE9554" s="61"/>
      <c r="AF9554" s="61"/>
      <c r="AG9554" s="61"/>
      <c r="AH9554" s="61"/>
      <c r="AI9554" s="61"/>
      <c r="AJ9554" s="61"/>
      <c r="AK9554" s="61"/>
      <c r="AL9554" s="61"/>
      <c r="AM9554" s="61"/>
      <c r="AN9554" s="61"/>
      <c r="AO9554" s="61"/>
    </row>
    <row r="9555" spans="1:41" s="108" customFormat="1" x14ac:dyDescent="0.25">
      <c r="A9555" s="358"/>
      <c r="B9555" s="361"/>
      <c r="C9555" s="194"/>
      <c r="D9555" s="194"/>
      <c r="E9555" s="194"/>
      <c r="F9555" s="194"/>
      <c r="G9555" s="217"/>
      <c r="H9555" s="195"/>
      <c r="I9555" s="159"/>
      <c r="J9555" s="195"/>
      <c r="K9555" s="161"/>
      <c r="L9555" s="196"/>
      <c r="M9555" s="197"/>
      <c r="N9555" s="278"/>
      <c r="O9555" s="280"/>
      <c r="P9555" s="166"/>
      <c r="Q9555" s="166">
        <f t="shared" si="2746"/>
        <v>0</v>
      </c>
      <c r="R9555" s="71"/>
      <c r="S9555" s="61"/>
      <c r="T9555" s="61"/>
      <c r="U9555" s="61"/>
      <c r="V9555" s="61"/>
      <c r="W9555" s="61"/>
      <c r="X9555" s="61"/>
      <c r="Y9555" s="61"/>
      <c r="Z9555" s="61"/>
      <c r="AA9555" s="61"/>
      <c r="AB9555" s="61"/>
      <c r="AC9555" s="61"/>
      <c r="AD9555" s="61"/>
      <c r="AE9555" s="61"/>
      <c r="AF9555" s="61"/>
      <c r="AG9555" s="61"/>
      <c r="AH9555" s="61"/>
      <c r="AI9555" s="61"/>
      <c r="AJ9555" s="61"/>
      <c r="AK9555" s="61"/>
      <c r="AL9555" s="61"/>
      <c r="AM9555" s="61"/>
      <c r="AN9555" s="61"/>
      <c r="AO9555" s="61"/>
    </row>
    <row r="9556" spans="1:41" s="108" customFormat="1" x14ac:dyDescent="0.25">
      <c r="A9556" s="358"/>
      <c r="B9556" s="361"/>
      <c r="C9556" s="194"/>
      <c r="D9556" s="355" t="s">
        <v>5</v>
      </c>
      <c r="E9556" s="355"/>
      <c r="F9556" s="355"/>
      <c r="G9556" s="355"/>
      <c r="H9556" s="195"/>
      <c r="I9556" s="159"/>
      <c r="J9556" s="195"/>
      <c r="K9556" s="161"/>
      <c r="L9556" s="196"/>
      <c r="M9556" s="197"/>
      <c r="N9556" s="278"/>
      <c r="O9556" s="279">
        <f>O9557+O9566+O9577+O9579+O9590+O9586</f>
        <v>443.01522003199995</v>
      </c>
      <c r="P9556" s="166"/>
      <c r="Q9556" s="166">
        <f t="shared" si="2746"/>
        <v>0</v>
      </c>
      <c r="R9556" s="71"/>
      <c r="S9556" s="61"/>
      <c r="T9556" s="61"/>
      <c r="U9556" s="61"/>
      <c r="V9556" s="61"/>
      <c r="W9556" s="61"/>
      <c r="X9556" s="61"/>
      <c r="Y9556" s="61"/>
      <c r="Z9556" s="61"/>
      <c r="AA9556" s="61"/>
      <c r="AB9556" s="61"/>
      <c r="AC9556" s="61"/>
      <c r="AD9556" s="61"/>
      <c r="AE9556" s="61"/>
      <c r="AF9556" s="61"/>
      <c r="AG9556" s="61"/>
      <c r="AH9556" s="61"/>
      <c r="AI9556" s="61"/>
      <c r="AJ9556" s="61"/>
      <c r="AK9556" s="61"/>
      <c r="AL9556" s="61"/>
      <c r="AM9556" s="61"/>
      <c r="AN9556" s="61"/>
      <c r="AO9556" s="61"/>
    </row>
    <row r="9557" spans="1:41" s="108" customFormat="1" x14ac:dyDescent="0.25">
      <c r="A9557" s="358"/>
      <c r="B9557" s="361"/>
      <c r="C9557" s="221" t="s">
        <v>70</v>
      </c>
      <c r="D9557" s="355" t="s">
        <v>6</v>
      </c>
      <c r="E9557" s="355"/>
      <c r="F9557" s="355"/>
      <c r="G9557" s="355"/>
      <c r="H9557" s="189"/>
      <c r="I9557" s="159"/>
      <c r="J9557" s="189"/>
      <c r="K9557" s="161"/>
      <c r="L9557" s="190"/>
      <c r="M9557" s="197"/>
      <c r="N9557" s="278"/>
      <c r="O9557" s="279">
        <f>O9558+O9559+O9560+O9561+O9562+O9563+O9564</f>
        <v>126.929327</v>
      </c>
      <c r="P9557" s="166"/>
      <c r="Q9557" s="166">
        <f t="shared" si="2746"/>
        <v>0</v>
      </c>
      <c r="R9557" s="71"/>
      <c r="S9557" s="61"/>
      <c r="T9557" s="61"/>
      <c r="U9557" s="61"/>
      <c r="V9557" s="61"/>
      <c r="W9557" s="61"/>
      <c r="X9557" s="61"/>
      <c r="Y9557" s="61"/>
      <c r="Z9557" s="61"/>
      <c r="AA9557" s="61"/>
      <c r="AB9557" s="61"/>
      <c r="AC9557" s="61"/>
      <c r="AD9557" s="61"/>
      <c r="AE9557" s="61"/>
      <c r="AF9557" s="61"/>
      <c r="AG9557" s="61"/>
      <c r="AH9557" s="61"/>
      <c r="AI9557" s="61"/>
      <c r="AJ9557" s="61"/>
      <c r="AK9557" s="61"/>
      <c r="AL9557" s="61"/>
      <c r="AM9557" s="61"/>
      <c r="AN9557" s="61"/>
      <c r="AO9557" s="61"/>
    </row>
    <row r="9558" spans="1:41" s="61" customFormat="1" ht="31.5" x14ac:dyDescent="0.25">
      <c r="A9558" s="358"/>
      <c r="B9558" s="361"/>
      <c r="C9558" s="221" t="s">
        <v>72</v>
      </c>
      <c r="D9558" s="222" t="s">
        <v>7</v>
      </c>
      <c r="E9558" s="223" t="s">
        <v>8</v>
      </c>
      <c r="F9558" s="223" t="s">
        <v>8</v>
      </c>
      <c r="G9558" s="238">
        <f t="shared" ref="G9558:G9564" si="2747">MROUND(H9558*L9558*I9558/K9558,0.00000000001)</f>
        <v>2.1580219065199997</v>
      </c>
      <c r="H9558" s="160">
        <f>H8840</f>
        <v>113060.13705633247</v>
      </c>
      <c r="I9558" s="282">
        <f>I9550</f>
        <v>8.0167000000000002E-2</v>
      </c>
      <c r="J9558" s="160"/>
      <c r="K9558" s="161">
        <f>K9550</f>
        <v>4200</v>
      </c>
      <c r="L9558" s="250">
        <v>1</v>
      </c>
      <c r="M9558" s="163" t="str">
        <f>CONCATENATE(H9558," ",F9558,"(лимиты выделенные УЖКХ) ","*",I9558,"/",K9558,"чел")</f>
        <v>113060,137056332 кВт час.(лимиты выделенные УЖКХ) *0,080167/4200чел</v>
      </c>
      <c r="N9558" s="278">
        <f>N8840</f>
        <v>11.38065575985371</v>
      </c>
      <c r="O9558" s="280">
        <f>MROUND(N9558*G9558,0.000001)</f>
        <v>24.559704</v>
      </c>
      <c r="P9558" s="166"/>
      <c r="Q9558" s="166">
        <f t="shared" si="2746"/>
        <v>103150.7568</v>
      </c>
      <c r="R9558" s="71"/>
    </row>
    <row r="9559" spans="1:41" s="61" customFormat="1" ht="31.5" x14ac:dyDescent="0.25">
      <c r="A9559" s="358"/>
      <c r="B9559" s="361"/>
      <c r="C9559" s="221" t="s">
        <v>73</v>
      </c>
      <c r="D9559" s="222" t="s">
        <v>9</v>
      </c>
      <c r="E9559" s="223" t="s">
        <v>10</v>
      </c>
      <c r="F9559" s="223" t="s">
        <v>10</v>
      </c>
      <c r="G9559" s="238">
        <f t="shared" si="2747"/>
        <v>2.6607809049999997E-2</v>
      </c>
      <c r="H9559" s="160">
        <f>H8841</f>
        <v>1394</v>
      </c>
      <c r="I9559" s="159">
        <f t="shared" ref="I9559:I9564" si="2748">I9558</f>
        <v>8.0167000000000002E-2</v>
      </c>
      <c r="J9559" s="160"/>
      <c r="K9559" s="161">
        <f t="shared" ref="K9559:K9564" si="2749">K9558</f>
        <v>4200</v>
      </c>
      <c r="L9559" s="250">
        <v>1</v>
      </c>
      <c r="M9559" s="163" t="str">
        <f>CONCATENATE(H9559," ",F9559,"(лимиты выделенные УЖКХ) ","*",I9559,"/",K9559,"чел")</f>
        <v>1394 Гкал(лимиты выделенные УЖКХ) *0,080167/4200чел</v>
      </c>
      <c r="N9559" s="278">
        <f>N8945</f>
        <v>3095.3018579626978</v>
      </c>
      <c r="O9559" s="280">
        <f t="shared" ref="O9559:O9564" si="2750">MROUND(N9559*G9559,0.000001)</f>
        <v>82.359200999999999</v>
      </c>
      <c r="P9559" s="166"/>
      <c r="Q9559" s="166">
        <f t="shared" si="2746"/>
        <v>345908.64419999998</v>
      </c>
      <c r="R9559" s="71"/>
    </row>
    <row r="9560" spans="1:41" s="61" customFormat="1" ht="31.5" x14ac:dyDescent="0.25">
      <c r="A9560" s="358"/>
      <c r="B9560" s="361"/>
      <c r="C9560" s="364" t="s">
        <v>74</v>
      </c>
      <c r="D9560" s="222" t="s">
        <v>12</v>
      </c>
      <c r="E9560" s="222" t="s">
        <v>11</v>
      </c>
      <c r="F9560" s="222" t="s">
        <v>11</v>
      </c>
      <c r="G9560" s="238">
        <f t="shared" si="2747"/>
        <v>7.713420604E-2</v>
      </c>
      <c r="H9560" s="224">
        <f>H8842</f>
        <v>4041.1099999999997</v>
      </c>
      <c r="I9560" s="159">
        <f t="shared" si="2748"/>
        <v>8.0167000000000002E-2</v>
      </c>
      <c r="J9560" s="160"/>
      <c r="K9560" s="161">
        <f t="shared" si="2749"/>
        <v>4200</v>
      </c>
      <c r="L9560" s="250">
        <v>1</v>
      </c>
      <c r="M9560" s="163" t="str">
        <f>CONCATENATE(H9560," ",F9560,"(лимиты выделенные УЖКХ) ","*",I9560,"/",K9560,"чел")</f>
        <v>4041,11 м3(лимиты выделенные УЖКХ) *0,080167/4200чел</v>
      </c>
      <c r="N9560" s="278">
        <f>N8842</f>
        <v>56.382747190747111</v>
      </c>
      <c r="O9560" s="280">
        <f t="shared" si="2750"/>
        <v>4.3490380000000002</v>
      </c>
      <c r="P9560" s="166"/>
      <c r="Q9560" s="166">
        <f t="shared" si="2746"/>
        <v>18265.959600000002</v>
      </c>
      <c r="R9560" s="71"/>
    </row>
    <row r="9561" spans="1:41" s="61" customFormat="1" ht="47.25" x14ac:dyDescent="0.25">
      <c r="A9561" s="358"/>
      <c r="B9561" s="361"/>
      <c r="C9561" s="364"/>
      <c r="D9561" s="222" t="s">
        <v>17</v>
      </c>
      <c r="E9561" s="222" t="s">
        <v>11</v>
      </c>
      <c r="F9561" s="222" t="s">
        <v>11</v>
      </c>
      <c r="G9561" s="238">
        <f t="shared" si="2747"/>
        <v>7.713420604E-2</v>
      </c>
      <c r="H9561" s="160">
        <f>H8947</f>
        <v>4041.1099999999997</v>
      </c>
      <c r="I9561" s="159">
        <f t="shared" si="2748"/>
        <v>8.0167000000000002E-2</v>
      </c>
      <c r="J9561" s="160"/>
      <c r="K9561" s="161">
        <f t="shared" si="2749"/>
        <v>4200</v>
      </c>
      <c r="L9561" s="162">
        <f>$L$8843</f>
        <v>1</v>
      </c>
      <c r="M9561" s="163" t="str">
        <f>CONCATENATE(H9561," ",F9561,"(лимиты выделенные УЖКХ) ","*",I9561,"/",K9561,"чел")</f>
        <v>4041,11 м3(лимиты выделенные УЖКХ) *0,080167/4200чел</v>
      </c>
      <c r="N9561" s="164">
        <f>N8843</f>
        <v>85.679537612054801</v>
      </c>
      <c r="O9561" s="280">
        <f t="shared" si="2750"/>
        <v>6.6088230000000001</v>
      </c>
      <c r="P9561" s="166"/>
      <c r="Q9561" s="166">
        <f t="shared" si="2746"/>
        <v>27757.0566</v>
      </c>
      <c r="R9561" s="71"/>
    </row>
    <row r="9562" spans="1:41" s="61" customFormat="1" ht="31.5" x14ac:dyDescent="0.25">
      <c r="A9562" s="358"/>
      <c r="B9562" s="361"/>
      <c r="C9562" s="364"/>
      <c r="D9562" s="222" t="s">
        <v>13</v>
      </c>
      <c r="E9562" s="222" t="s">
        <v>11</v>
      </c>
      <c r="F9562" s="222" t="s">
        <v>11</v>
      </c>
      <c r="G9562" s="238">
        <f t="shared" si="2747"/>
        <v>7.713420604E-2</v>
      </c>
      <c r="H9562" s="160">
        <f>H8844</f>
        <v>4041.1099999999997</v>
      </c>
      <c r="I9562" s="159">
        <f t="shared" si="2748"/>
        <v>8.0167000000000002E-2</v>
      </c>
      <c r="J9562" s="160"/>
      <c r="K9562" s="161">
        <f t="shared" si="2749"/>
        <v>4200</v>
      </c>
      <c r="L9562" s="162">
        <v>1</v>
      </c>
      <c r="M9562" s="163" t="str">
        <f>CONCATENATE(H9562," ",F9562,"(лимиты выделенные УЖКХ) ","*",I9562,"/",K9562,"чел")</f>
        <v>4041,11 м3(лимиты выделенные УЖКХ) *0,080167/4200чел</v>
      </c>
      <c r="N9562" s="278">
        <f>N8844</f>
        <v>104.62845363292494</v>
      </c>
      <c r="O9562" s="280">
        <f t="shared" si="2750"/>
        <v>8.0704329999999995</v>
      </c>
      <c r="P9562" s="166"/>
      <c r="Q9562" s="166">
        <f t="shared" si="2746"/>
        <v>33895.818599999999</v>
      </c>
      <c r="R9562" s="71"/>
    </row>
    <row r="9563" spans="1:41" s="61" customFormat="1" x14ac:dyDescent="0.25">
      <c r="A9563" s="358"/>
      <c r="B9563" s="361"/>
      <c r="C9563" s="364" t="s">
        <v>216</v>
      </c>
      <c r="D9563" s="222" t="s">
        <v>23</v>
      </c>
      <c r="E9563" s="222" t="s">
        <v>11</v>
      </c>
      <c r="F9563" s="222" t="s">
        <v>11</v>
      </c>
      <c r="G9563" s="238">
        <f t="shared" si="2747"/>
        <v>4.7680277999999999E-4</v>
      </c>
      <c r="H9563" s="160">
        <f>H8845</f>
        <v>24.979999999999997</v>
      </c>
      <c r="I9563" s="159">
        <f t="shared" si="2748"/>
        <v>8.0167000000000002E-2</v>
      </c>
      <c r="J9563" s="160"/>
      <c r="K9563" s="161">
        <f t="shared" si="2749"/>
        <v>4200</v>
      </c>
      <c r="L9563" s="162">
        <v>1</v>
      </c>
      <c r="M9563" s="163" t="str">
        <f>CONCATENATE(H9563," ",F9563," ","*",I9563,"/",K9563,"чел")</f>
        <v>24,98 м3 *0,080167/4200чел</v>
      </c>
      <c r="N9563" s="164">
        <f>N8845</f>
        <v>807.4099279423541</v>
      </c>
      <c r="O9563" s="280">
        <f t="shared" si="2750"/>
        <v>0.38497499999999996</v>
      </c>
      <c r="P9563" s="166"/>
      <c r="Q9563" s="166">
        <f t="shared" si="2746"/>
        <v>1616.8949999999998</v>
      </c>
      <c r="R9563" s="71"/>
    </row>
    <row r="9564" spans="1:41" s="61" customFormat="1" ht="47.25" x14ac:dyDescent="0.25">
      <c r="A9564" s="358"/>
      <c r="B9564" s="361"/>
      <c r="C9564" s="364"/>
      <c r="D9564" s="222" t="s">
        <v>24</v>
      </c>
      <c r="E9564" s="222" t="s">
        <v>25</v>
      </c>
      <c r="F9564" s="222" t="s">
        <v>248</v>
      </c>
      <c r="G9564" s="238">
        <f t="shared" si="2747"/>
        <v>9.5436899999999994E-5</v>
      </c>
      <c r="H9564" s="160">
        <f>H8846</f>
        <v>5</v>
      </c>
      <c r="I9564" s="159">
        <f t="shared" si="2748"/>
        <v>8.0167000000000002E-2</v>
      </c>
      <c r="J9564" s="160"/>
      <c r="K9564" s="161">
        <f t="shared" si="2749"/>
        <v>4200</v>
      </c>
      <c r="L9564" s="250">
        <v>1</v>
      </c>
      <c r="M9564" s="163" t="str">
        <f>CONCATENATE(H9564," ",F9564,"(потребность из расчета 4 контейнера для уборки территории весной и осенью на 1 учреждение)","*",I9564,"/",K9564,"чел")</f>
        <v>5 контейнеров(потребность из расчета 4 контейнера для уборки территории весной и осенью на 1 учреждение)*0,080167/4200чел</v>
      </c>
      <c r="N9564" s="278">
        <f>N9054</f>
        <v>6257.04</v>
      </c>
      <c r="O9564" s="280">
        <f t="shared" si="2750"/>
        <v>0.59715299999999993</v>
      </c>
      <c r="P9564" s="166"/>
      <c r="Q9564" s="166">
        <f t="shared" si="2746"/>
        <v>2508.0425999999998</v>
      </c>
      <c r="R9564" s="71"/>
    </row>
    <row r="9565" spans="1:41" s="109" customFormat="1" x14ac:dyDescent="0.25">
      <c r="A9565" s="358"/>
      <c r="B9565" s="361"/>
      <c r="C9565" s="218" t="s">
        <v>290</v>
      </c>
      <c r="D9565" s="226"/>
      <c r="E9565" s="226"/>
      <c r="F9565" s="226"/>
      <c r="G9565" s="227"/>
      <c r="H9565" s="228"/>
      <c r="I9565" s="206"/>
      <c r="J9565" s="228"/>
      <c r="K9565" s="207"/>
      <c r="L9565" s="257"/>
      <c r="M9565" s="209"/>
      <c r="N9565" s="281"/>
      <c r="O9565" s="279">
        <f>SUM(O9558:O9564)</f>
        <v>126.929327</v>
      </c>
      <c r="P9565" s="267"/>
      <c r="Q9565" s="166"/>
      <c r="R9565" s="71"/>
      <c r="S9565" s="62"/>
      <c r="T9565" s="62"/>
      <c r="U9565" s="62"/>
      <c r="V9565" s="62"/>
      <c r="W9565" s="62"/>
      <c r="X9565" s="62"/>
      <c r="Y9565" s="62"/>
      <c r="Z9565" s="62"/>
      <c r="AA9565" s="62"/>
      <c r="AB9565" s="62"/>
      <c r="AC9565" s="62"/>
      <c r="AD9565" s="62"/>
      <c r="AE9565" s="62"/>
      <c r="AF9565" s="62"/>
      <c r="AG9565" s="62"/>
      <c r="AH9565" s="62"/>
      <c r="AI9565" s="62"/>
      <c r="AJ9565" s="62"/>
      <c r="AK9565" s="62"/>
      <c r="AL9565" s="62"/>
      <c r="AM9565" s="62"/>
      <c r="AN9565" s="62"/>
      <c r="AO9565" s="62"/>
    </row>
    <row r="9566" spans="1:41" s="108" customFormat="1" x14ac:dyDescent="0.25">
      <c r="A9566" s="358"/>
      <c r="B9566" s="361"/>
      <c r="C9566" s="221"/>
      <c r="D9566" s="356" t="s">
        <v>14</v>
      </c>
      <c r="E9566" s="356"/>
      <c r="F9566" s="356"/>
      <c r="G9566" s="356"/>
      <c r="H9566" s="188"/>
      <c r="I9566" s="159"/>
      <c r="J9566" s="188"/>
      <c r="K9566" s="161"/>
      <c r="L9566" s="250"/>
      <c r="M9566" s="230"/>
      <c r="N9566" s="278"/>
      <c r="O9566" s="279">
        <f>O9570+O9574+O9575</f>
        <v>234.85113507000003</v>
      </c>
      <c r="P9566" s="166"/>
      <c r="Q9566" s="166">
        <f>O9566*K9566</f>
        <v>0</v>
      </c>
      <c r="R9566" s="71"/>
      <c r="S9566" s="61"/>
      <c r="T9566" s="61"/>
      <c r="U9566" s="61"/>
      <c r="V9566" s="61"/>
      <c r="W9566" s="61"/>
      <c r="X9566" s="61"/>
      <c r="Y9566" s="61"/>
      <c r="Z9566" s="61"/>
      <c r="AA9566" s="61"/>
      <c r="AB9566" s="61"/>
      <c r="AC9566" s="61"/>
      <c r="AD9566" s="61"/>
      <c r="AE9566" s="61"/>
      <c r="AF9566" s="61"/>
      <c r="AG9566" s="61"/>
      <c r="AH9566" s="61"/>
      <c r="AI9566" s="61"/>
      <c r="AJ9566" s="61"/>
      <c r="AK9566" s="61"/>
      <c r="AL9566" s="61"/>
      <c r="AM9566" s="61"/>
      <c r="AN9566" s="61"/>
      <c r="AO9566" s="61"/>
    </row>
    <row r="9567" spans="1:41" s="61" customFormat="1" x14ac:dyDescent="0.25">
      <c r="A9567" s="358"/>
      <c r="B9567" s="361"/>
      <c r="C9567" s="221" t="s">
        <v>379</v>
      </c>
      <c r="D9567" s="231" t="s">
        <v>49</v>
      </c>
      <c r="E9567" s="231" t="s">
        <v>22</v>
      </c>
      <c r="F9567" s="231" t="s">
        <v>22</v>
      </c>
      <c r="G9567" s="238">
        <f>MROUND(H9567*L9567*I9567/K9567,0.00000000001)</f>
        <v>0</v>
      </c>
      <c r="H9567" s="160"/>
      <c r="I9567" s="159">
        <f>I9562</f>
        <v>8.0167000000000002E-2</v>
      </c>
      <c r="J9567" s="160"/>
      <c r="K9567" s="161">
        <f>K9562</f>
        <v>4200</v>
      </c>
      <c r="L9567" s="250">
        <v>1</v>
      </c>
      <c r="M9567" s="163"/>
      <c r="N9567" s="278"/>
      <c r="O9567" s="280">
        <f>MROUND(N9567*G9567,0.000000001)</f>
        <v>0</v>
      </c>
      <c r="P9567" s="166"/>
      <c r="Q9567" s="166">
        <f>O9567*K9567</f>
        <v>0</v>
      </c>
      <c r="R9567" s="71"/>
    </row>
    <row r="9568" spans="1:41" s="61" customFormat="1" x14ac:dyDescent="0.25">
      <c r="A9568" s="358"/>
      <c r="B9568" s="361"/>
      <c r="C9568" s="221" t="s">
        <v>379</v>
      </c>
      <c r="D9568" s="231" t="s">
        <v>49</v>
      </c>
      <c r="E9568" s="231" t="s">
        <v>28</v>
      </c>
      <c r="F9568" s="231" t="s">
        <v>28</v>
      </c>
      <c r="G9568" s="238">
        <f>MROUND(H9568*L9568*I9568/K9568,0.00000000001)</f>
        <v>0</v>
      </c>
      <c r="H9568" s="160"/>
      <c r="I9568" s="159">
        <f>I9567</f>
        <v>8.0167000000000002E-2</v>
      </c>
      <c r="J9568" s="160"/>
      <c r="K9568" s="161">
        <f>K9567</f>
        <v>4200</v>
      </c>
      <c r="L9568" s="250">
        <v>1</v>
      </c>
      <c r="M9568" s="163"/>
      <c r="N9568" s="278"/>
      <c r="O9568" s="280">
        <f>MROUND(N9568*G9568,0.000000001)</f>
        <v>0</v>
      </c>
      <c r="P9568" s="166"/>
      <c r="Q9568" s="166">
        <f>O9568*K9568</f>
        <v>0</v>
      </c>
      <c r="R9568" s="71"/>
    </row>
    <row r="9569" spans="1:41" s="61" customFormat="1" x14ac:dyDescent="0.25">
      <c r="A9569" s="358"/>
      <c r="B9569" s="361"/>
      <c r="C9569" s="221" t="s">
        <v>379</v>
      </c>
      <c r="D9569" s="231" t="s">
        <v>49</v>
      </c>
      <c r="E9569" s="231" t="s">
        <v>101</v>
      </c>
      <c r="F9569" s="231" t="s">
        <v>101</v>
      </c>
      <c r="G9569" s="238">
        <f>MROUND(H9569*L9569*I9569/K9569,0.00000000001)</f>
        <v>0</v>
      </c>
      <c r="H9569" s="160"/>
      <c r="I9569" s="159">
        <f>I9567</f>
        <v>8.0167000000000002E-2</v>
      </c>
      <c r="J9569" s="160"/>
      <c r="K9569" s="161">
        <f>K9567</f>
        <v>4200</v>
      </c>
      <c r="L9569" s="250">
        <v>1</v>
      </c>
      <c r="M9569" s="163"/>
      <c r="N9569" s="278"/>
      <c r="O9569" s="280">
        <f>MROUND(N9569*G9569,0.000001)</f>
        <v>0</v>
      </c>
      <c r="P9569" s="166"/>
      <c r="Q9569" s="166">
        <f>O9569*K9569</f>
        <v>0</v>
      </c>
      <c r="R9569" s="71"/>
    </row>
    <row r="9570" spans="1:41" s="109" customFormat="1" x14ac:dyDescent="0.25">
      <c r="A9570" s="358"/>
      <c r="B9570" s="361"/>
      <c r="C9570" s="218" t="s">
        <v>380</v>
      </c>
      <c r="D9570" s="232"/>
      <c r="E9570" s="232"/>
      <c r="F9570" s="232"/>
      <c r="G9570" s="227"/>
      <c r="H9570" s="228"/>
      <c r="I9570" s="206"/>
      <c r="J9570" s="228"/>
      <c r="K9570" s="207"/>
      <c r="L9570" s="257"/>
      <c r="M9570" s="209"/>
      <c r="N9570" s="281"/>
      <c r="O9570" s="279">
        <f>SUM(O9567:O9569)</f>
        <v>0</v>
      </c>
      <c r="P9570" s="267"/>
      <c r="Q9570" s="166"/>
      <c r="R9570" s="72"/>
      <c r="S9570" s="62"/>
      <c r="T9570" s="62"/>
      <c r="U9570" s="62"/>
      <c r="V9570" s="62"/>
      <c r="W9570" s="62"/>
      <c r="X9570" s="62"/>
      <c r="Y9570" s="62"/>
      <c r="Z9570" s="62"/>
      <c r="AA9570" s="62"/>
      <c r="AB9570" s="62"/>
      <c r="AC9570" s="62"/>
      <c r="AD9570" s="62"/>
      <c r="AE9570" s="62"/>
      <c r="AF9570" s="62"/>
      <c r="AG9570" s="62"/>
      <c r="AH9570" s="62"/>
      <c r="AI9570" s="62"/>
      <c r="AJ9570" s="62"/>
      <c r="AK9570" s="62"/>
      <c r="AL9570" s="62"/>
      <c r="AM9570" s="62"/>
      <c r="AN9570" s="62"/>
      <c r="AO9570" s="62"/>
    </row>
    <row r="9571" spans="1:41" s="61" customFormat="1" x14ac:dyDescent="0.25">
      <c r="A9571" s="358"/>
      <c r="B9571" s="361"/>
      <c r="C9571" s="221" t="s">
        <v>76</v>
      </c>
      <c r="D9571" s="231" t="s">
        <v>49</v>
      </c>
      <c r="E9571" s="231" t="s">
        <v>22</v>
      </c>
      <c r="F9571" s="231" t="s">
        <v>22</v>
      </c>
      <c r="G9571" s="238">
        <f>MROUND(H9571*L9571*I9571/K9571,0.00000000001)</f>
        <v>4.4206374289999996E-2</v>
      </c>
      <c r="H9571" s="160">
        <f>H8853</f>
        <v>2316</v>
      </c>
      <c r="I9571" s="159">
        <f>I9569</f>
        <v>8.0167000000000002E-2</v>
      </c>
      <c r="J9571" s="160"/>
      <c r="K9571" s="161">
        <f>K9569</f>
        <v>4200</v>
      </c>
      <c r="L9571" s="250">
        <v>1</v>
      </c>
      <c r="M9571" s="163" t="str">
        <f>CONCATENATE(H9571," ",F9571,"*",I9571,"/",K9571,"чел")</f>
        <v>2316 м2*0,080167/4200чел</v>
      </c>
      <c r="N9571" s="278">
        <f>N8853</f>
        <v>5226.2521588946456</v>
      </c>
      <c r="O9571" s="280">
        <f>MROUND(N9571*G9571,0.000000001)</f>
        <v>231.03365907000003</v>
      </c>
      <c r="P9571" s="166"/>
      <c r="Q9571" s="166">
        <f>O9571*K9571</f>
        <v>970341.36809400015</v>
      </c>
      <c r="R9571" s="71"/>
    </row>
    <row r="9572" spans="1:41" s="61" customFormat="1" x14ac:dyDescent="0.25">
      <c r="A9572" s="358"/>
      <c r="B9572" s="361"/>
      <c r="C9572" s="221"/>
      <c r="D9572" s="231" t="s">
        <v>49</v>
      </c>
      <c r="E9572" s="231" t="s">
        <v>28</v>
      </c>
      <c r="F9572" s="231" t="s">
        <v>28</v>
      </c>
      <c r="G9572" s="238">
        <f>MROUND(H9572*L9572*I9572/K9572,0.00000000001)</f>
        <v>3.8174759999999996E-5</v>
      </c>
      <c r="H9572" s="160">
        <f>H8854</f>
        <v>2</v>
      </c>
      <c r="I9572" s="159">
        <f>I9571</f>
        <v>8.0167000000000002E-2</v>
      </c>
      <c r="J9572" s="160"/>
      <c r="K9572" s="161">
        <f>K9571</f>
        <v>4200</v>
      </c>
      <c r="L9572" s="250">
        <v>1</v>
      </c>
      <c r="M9572" s="163" t="str">
        <f>CONCATENATE(H9572," ",F9572,"*",I9572,"/",K9572,"чел")</f>
        <v>2 шт*0,080167/4200чел</v>
      </c>
      <c r="N9572" s="278">
        <f>N8854</f>
        <v>100000</v>
      </c>
      <c r="O9572" s="280">
        <f>MROUND(N9572*G9572,0.000000001)</f>
        <v>3.8174760000000001</v>
      </c>
      <c r="P9572" s="166"/>
      <c r="Q9572" s="166">
        <f>O9572*K9572</f>
        <v>16033.3992</v>
      </c>
      <c r="R9572" s="71"/>
    </row>
    <row r="9573" spans="1:41" s="61" customFormat="1" x14ac:dyDescent="0.25">
      <c r="A9573" s="358"/>
      <c r="B9573" s="361"/>
      <c r="C9573" s="221"/>
      <c r="D9573" s="231" t="s">
        <v>49</v>
      </c>
      <c r="E9573" s="231" t="s">
        <v>101</v>
      </c>
      <c r="F9573" s="231" t="s">
        <v>101</v>
      </c>
      <c r="G9573" s="238">
        <f>MROUND(H9573*L9573*I9573/K9573,0.00000000001)</f>
        <v>0</v>
      </c>
      <c r="H9573" s="160">
        <f>H8855</f>
        <v>0</v>
      </c>
      <c r="I9573" s="159">
        <f>I9571</f>
        <v>8.0167000000000002E-2</v>
      </c>
      <c r="J9573" s="160"/>
      <c r="K9573" s="161">
        <f>K9571</f>
        <v>4200</v>
      </c>
      <c r="L9573" s="250">
        <v>1</v>
      </c>
      <c r="M9573" s="163" t="str">
        <f>CONCATENATE(H9573," ",F9573,"*",I9573,"/",K9573,"чел")</f>
        <v>0 погон.м.*0,080167/4200чел</v>
      </c>
      <c r="N9573" s="278">
        <f>N8855</f>
        <v>0</v>
      </c>
      <c r="O9573" s="280">
        <f>MROUND(N9573*G9573,0.000001)</f>
        <v>0</v>
      </c>
      <c r="P9573" s="166"/>
      <c r="Q9573" s="166">
        <f>O9573*K9573</f>
        <v>0</v>
      </c>
      <c r="R9573" s="71"/>
    </row>
    <row r="9574" spans="1:41" s="109" customFormat="1" x14ac:dyDescent="0.25">
      <c r="A9574" s="358"/>
      <c r="B9574" s="361"/>
      <c r="C9574" s="218" t="s">
        <v>291</v>
      </c>
      <c r="D9574" s="232"/>
      <c r="E9574" s="232"/>
      <c r="F9574" s="232"/>
      <c r="G9574" s="227"/>
      <c r="H9574" s="228"/>
      <c r="I9574" s="206"/>
      <c r="J9574" s="228"/>
      <c r="K9574" s="207"/>
      <c r="L9574" s="257"/>
      <c r="M9574" s="209"/>
      <c r="N9574" s="281"/>
      <c r="O9574" s="279">
        <f>SUM(O9571:O9573)</f>
        <v>234.85113507000003</v>
      </c>
      <c r="P9574" s="267"/>
      <c r="Q9574" s="166"/>
      <c r="R9574" s="72"/>
      <c r="S9574" s="62"/>
      <c r="T9574" s="62"/>
      <c r="U9574" s="62"/>
      <c r="V9574" s="62"/>
      <c r="W9574" s="62"/>
      <c r="X9574" s="62"/>
      <c r="Y9574" s="62"/>
      <c r="Z9574" s="62"/>
      <c r="AA9574" s="62"/>
      <c r="AB9574" s="62"/>
      <c r="AC9574" s="62"/>
      <c r="AD9574" s="62"/>
      <c r="AE9574" s="62"/>
      <c r="AF9574" s="62"/>
      <c r="AG9574" s="62"/>
      <c r="AH9574" s="62"/>
      <c r="AI9574" s="62"/>
      <c r="AJ9574" s="62"/>
      <c r="AK9574" s="62"/>
      <c r="AL9574" s="62"/>
      <c r="AM9574" s="62"/>
      <c r="AN9574" s="62"/>
      <c r="AO9574" s="62"/>
    </row>
    <row r="9575" spans="1:41" s="61" customFormat="1" x14ac:dyDescent="0.25">
      <c r="A9575" s="358"/>
      <c r="B9575" s="361"/>
      <c r="C9575" s="221" t="s">
        <v>77</v>
      </c>
      <c r="D9575" s="231"/>
      <c r="E9575" s="231"/>
      <c r="F9575" s="231"/>
      <c r="G9575" s="238">
        <f>MROUND(H9575*L9575*I9575/K9575,0.00000000001)</f>
        <v>0</v>
      </c>
      <c r="H9575" s="160"/>
      <c r="I9575" s="159">
        <f>I9573</f>
        <v>8.0167000000000002E-2</v>
      </c>
      <c r="J9575" s="160"/>
      <c r="K9575" s="161">
        <f>K9573</f>
        <v>4200</v>
      </c>
      <c r="L9575" s="250"/>
      <c r="M9575" s="163"/>
      <c r="N9575" s="278"/>
      <c r="O9575" s="280">
        <f>MROUND(N9575*G9575,0.000001)</f>
        <v>0</v>
      </c>
      <c r="P9575" s="166"/>
      <c r="Q9575" s="166">
        <f>O9575*K9575</f>
        <v>0</v>
      </c>
      <c r="R9575" s="71"/>
    </row>
    <row r="9576" spans="1:41" s="109" customFormat="1" x14ac:dyDescent="0.25">
      <c r="A9576" s="358"/>
      <c r="B9576" s="361"/>
      <c r="C9576" s="218" t="s">
        <v>292</v>
      </c>
      <c r="D9576" s="232"/>
      <c r="E9576" s="232"/>
      <c r="F9576" s="232"/>
      <c r="G9576" s="227"/>
      <c r="H9576" s="228"/>
      <c r="I9576" s="206"/>
      <c r="J9576" s="228"/>
      <c r="K9576" s="207"/>
      <c r="L9576" s="257"/>
      <c r="M9576" s="209"/>
      <c r="N9576" s="281"/>
      <c r="O9576" s="279">
        <f>O9575</f>
        <v>0</v>
      </c>
      <c r="P9576" s="267"/>
      <c r="Q9576" s="166"/>
      <c r="R9576" s="72"/>
      <c r="S9576" s="62"/>
      <c r="T9576" s="62"/>
      <c r="U9576" s="62"/>
      <c r="V9576" s="62"/>
      <c r="W9576" s="62"/>
      <c r="X9576" s="62"/>
      <c r="Y9576" s="62"/>
      <c r="Z9576" s="62"/>
      <c r="AA9576" s="62"/>
      <c r="AB9576" s="62"/>
      <c r="AC9576" s="62"/>
      <c r="AD9576" s="62"/>
      <c r="AE9576" s="62"/>
      <c r="AF9576" s="62"/>
      <c r="AG9576" s="62"/>
      <c r="AH9576" s="62"/>
      <c r="AI9576" s="62"/>
      <c r="AJ9576" s="62"/>
      <c r="AK9576" s="62"/>
      <c r="AL9576" s="62"/>
      <c r="AM9576" s="62"/>
      <c r="AN9576" s="62"/>
      <c r="AO9576" s="62"/>
    </row>
    <row r="9577" spans="1:41" s="108" customFormat="1" x14ac:dyDescent="0.25">
      <c r="A9577" s="358"/>
      <c r="B9577" s="361"/>
      <c r="C9577" s="221"/>
      <c r="D9577" s="350" t="s">
        <v>65</v>
      </c>
      <c r="E9577" s="350"/>
      <c r="F9577" s="350"/>
      <c r="G9577" s="350"/>
      <c r="H9577" s="195"/>
      <c r="I9577" s="159"/>
      <c r="J9577" s="195"/>
      <c r="K9577" s="161"/>
      <c r="L9577" s="196"/>
      <c r="M9577" s="230"/>
      <c r="N9577" s="278"/>
      <c r="O9577" s="280"/>
      <c r="P9577" s="166"/>
      <c r="Q9577" s="166">
        <f t="shared" ref="Q9577:Q9596" si="2751">O9577*K9577</f>
        <v>0</v>
      </c>
      <c r="R9577" s="71"/>
      <c r="S9577" s="61"/>
      <c r="T9577" s="61"/>
      <c r="U9577" s="61"/>
      <c r="V9577" s="61"/>
      <c r="W9577" s="61"/>
      <c r="X9577" s="61"/>
      <c r="Y9577" s="61"/>
      <c r="Z9577" s="61"/>
      <c r="AA9577" s="61"/>
      <c r="AB9577" s="61"/>
      <c r="AC9577" s="61"/>
      <c r="AD9577" s="61"/>
      <c r="AE9577" s="61"/>
      <c r="AF9577" s="61"/>
      <c r="AG9577" s="61"/>
      <c r="AH9577" s="61"/>
      <c r="AI9577" s="61"/>
      <c r="AJ9577" s="61"/>
      <c r="AK9577" s="61"/>
      <c r="AL9577" s="61"/>
      <c r="AM9577" s="61"/>
      <c r="AN9577" s="61"/>
      <c r="AO9577" s="61"/>
    </row>
    <row r="9578" spans="1:41" s="108" customFormat="1" x14ac:dyDescent="0.25">
      <c r="A9578" s="358"/>
      <c r="B9578" s="361"/>
      <c r="C9578" s="221"/>
      <c r="D9578" s="194"/>
      <c r="E9578" s="194"/>
      <c r="F9578" s="194"/>
      <c r="G9578" s="217"/>
      <c r="H9578" s="195"/>
      <c r="I9578" s="159"/>
      <c r="J9578" s="195"/>
      <c r="K9578" s="161"/>
      <c r="L9578" s="196"/>
      <c r="M9578" s="230"/>
      <c r="N9578" s="278"/>
      <c r="O9578" s="280"/>
      <c r="P9578" s="166"/>
      <c r="Q9578" s="166">
        <f t="shared" si="2751"/>
        <v>0</v>
      </c>
      <c r="R9578" s="71"/>
      <c r="S9578" s="61"/>
      <c r="T9578" s="61"/>
      <c r="U9578" s="61"/>
      <c r="V9578" s="61"/>
      <c r="W9578" s="61"/>
      <c r="X9578" s="61"/>
      <c r="Y9578" s="61"/>
      <c r="Z9578" s="61"/>
      <c r="AA9578" s="61"/>
      <c r="AB9578" s="61"/>
      <c r="AC9578" s="61"/>
      <c r="AD9578" s="61"/>
      <c r="AE9578" s="61"/>
      <c r="AF9578" s="61"/>
      <c r="AG9578" s="61"/>
      <c r="AH9578" s="61"/>
      <c r="AI9578" s="61"/>
      <c r="AJ9578" s="61"/>
      <c r="AK9578" s="61"/>
      <c r="AL9578" s="61"/>
      <c r="AM9578" s="61"/>
      <c r="AN9578" s="61"/>
      <c r="AO9578" s="61"/>
    </row>
    <row r="9579" spans="1:41" s="108" customFormat="1" x14ac:dyDescent="0.25">
      <c r="A9579" s="358"/>
      <c r="B9579" s="361"/>
      <c r="C9579" s="365" t="s">
        <v>357</v>
      </c>
      <c r="D9579" s="368" t="s">
        <v>66</v>
      </c>
      <c r="E9579" s="368"/>
      <c r="F9579" s="368"/>
      <c r="G9579" s="368"/>
      <c r="H9579" s="195"/>
      <c r="I9579" s="159"/>
      <c r="J9579" s="195"/>
      <c r="K9579" s="161"/>
      <c r="L9579" s="196"/>
      <c r="M9579" s="230"/>
      <c r="N9579" s="278"/>
      <c r="O9579" s="279">
        <f>O9585</f>
        <v>9.3017699619999998</v>
      </c>
      <c r="P9579" s="166"/>
      <c r="Q9579" s="166">
        <f t="shared" si="2751"/>
        <v>0</v>
      </c>
      <c r="R9579" s="71"/>
      <c r="S9579" s="61"/>
      <c r="T9579" s="61"/>
      <c r="U9579" s="61"/>
      <c r="V9579" s="61"/>
      <c r="W9579" s="61"/>
      <c r="X9579" s="61"/>
      <c r="Y9579" s="61"/>
      <c r="Z9579" s="61"/>
      <c r="AA9579" s="61"/>
      <c r="AB9579" s="61"/>
      <c r="AC9579" s="61"/>
      <c r="AD9579" s="61"/>
      <c r="AE9579" s="61"/>
      <c r="AF9579" s="61"/>
      <c r="AG9579" s="61"/>
      <c r="AH9579" s="61"/>
      <c r="AI9579" s="61"/>
      <c r="AJ9579" s="61"/>
      <c r="AK9579" s="61"/>
      <c r="AL9579" s="61"/>
      <c r="AM9579" s="61"/>
      <c r="AN9579" s="61"/>
      <c r="AO9579" s="61"/>
    </row>
    <row r="9580" spans="1:41" s="61" customFormat="1" x14ac:dyDescent="0.25">
      <c r="A9580" s="358"/>
      <c r="B9580" s="361"/>
      <c r="C9580" s="366"/>
      <c r="D9580" s="284" t="s">
        <v>241</v>
      </c>
      <c r="E9580" s="156" t="s">
        <v>28</v>
      </c>
      <c r="F9580" s="156" t="s">
        <v>28</v>
      </c>
      <c r="G9580" s="238">
        <f>MROUND(H9580*L9580*I9580/K9580,0.00000000001)</f>
        <v>3.8938257099999998E-3</v>
      </c>
      <c r="H9580" s="158">
        <f>H8862</f>
        <v>17</v>
      </c>
      <c r="I9580" s="159">
        <f>I9573</f>
        <v>8.0167000000000002E-2</v>
      </c>
      <c r="J9580" s="160"/>
      <c r="K9580" s="161">
        <f>K9573</f>
        <v>4200</v>
      </c>
      <c r="L9580" s="250">
        <v>12</v>
      </c>
      <c r="M9580" s="163" t="str">
        <f>CONCATENATE(H9580," ",F9580,"*",L9580,"мес.","*",I9580,"/",K9580,"чел")</f>
        <v>17 шт*12мес.*0,080167/4200чел</v>
      </c>
      <c r="N9580" s="278">
        <f>N8862</f>
        <v>356.56073529411765</v>
      </c>
      <c r="O9580" s="280">
        <f>MROUND(N9580*G9580,0.000001)</f>
        <v>1.388385</v>
      </c>
      <c r="P9580" s="166"/>
      <c r="Q9580" s="166">
        <f t="shared" si="2751"/>
        <v>5831.2169999999996</v>
      </c>
      <c r="R9580" s="71"/>
    </row>
    <row r="9581" spans="1:41" s="61" customFormat="1" x14ac:dyDescent="0.25">
      <c r="A9581" s="358"/>
      <c r="B9581" s="361"/>
      <c r="C9581" s="366"/>
      <c r="D9581" s="284" t="s">
        <v>242</v>
      </c>
      <c r="E9581" s="156" t="s">
        <v>243</v>
      </c>
      <c r="F9581" s="156" t="s">
        <v>243</v>
      </c>
      <c r="G9581" s="238">
        <f>MROUND(H9581*L9581*I9581/K9581,0.00000000001)</f>
        <v>3.9639145771399997</v>
      </c>
      <c r="H9581" s="158">
        <f>H8863</f>
        <v>17306</v>
      </c>
      <c r="I9581" s="159">
        <f>I9580</f>
        <v>8.0167000000000002E-2</v>
      </c>
      <c r="J9581" s="160"/>
      <c r="K9581" s="161">
        <f>K9580</f>
        <v>4200</v>
      </c>
      <c r="L9581" s="250">
        <v>12</v>
      </c>
      <c r="M9581" s="163" t="str">
        <f>CONCATENATE(H9581," ",F9581,"*",L9581,"мес.","*",I9581,"/",K9581,"чел")</f>
        <v>17306 мин.*12мес.*0,080167/4200чел</v>
      </c>
      <c r="N9581" s="278">
        <f>N8863</f>
        <v>0.85373685427019519</v>
      </c>
      <c r="O9581" s="280">
        <f>MROUND(N9581*G9581,0.000000001)</f>
        <v>3.3841399620000003</v>
      </c>
      <c r="P9581" s="166"/>
      <c r="Q9581" s="166">
        <f t="shared" si="2751"/>
        <v>14213.387840400001</v>
      </c>
      <c r="R9581" s="71"/>
    </row>
    <row r="9582" spans="1:41" s="61" customFormat="1" ht="31.5" x14ac:dyDescent="0.25">
      <c r="A9582" s="358"/>
      <c r="B9582" s="361"/>
      <c r="C9582" s="366"/>
      <c r="D9582" s="285" t="s">
        <v>244</v>
      </c>
      <c r="E9582" s="286" t="s">
        <v>245</v>
      </c>
      <c r="F9582" s="286" t="s">
        <v>247</v>
      </c>
      <c r="G9582" s="238">
        <f>MROUND(H9582*L9582*I9582/K9582,0.00000000001)</f>
        <v>1.1452428599999999E-3</v>
      </c>
      <c r="H9582" s="158">
        <f>H8864</f>
        <v>5</v>
      </c>
      <c r="I9582" s="159">
        <f>I9581</f>
        <v>8.0167000000000002E-2</v>
      </c>
      <c r="J9582" s="160"/>
      <c r="K9582" s="161">
        <f>K9581</f>
        <v>4200</v>
      </c>
      <c r="L9582" s="250">
        <v>12</v>
      </c>
      <c r="M9582" s="163" t="str">
        <f>CONCATENATE(H9582," ",F9582,"*",L9582,"мес.","*",I9582,"/",K9582,"чел")</f>
        <v>5 радиоточек*12мес.*0,080167/4200чел</v>
      </c>
      <c r="N9582" s="278">
        <f>N8864</f>
        <v>180.23333333333335</v>
      </c>
      <c r="O9582" s="280">
        <f>MROUND(N9582*G9582,0.000001)</f>
        <v>0.20641099999999998</v>
      </c>
      <c r="P9582" s="166"/>
      <c r="Q9582" s="166">
        <f t="shared" si="2751"/>
        <v>866.92619999999988</v>
      </c>
      <c r="R9582" s="71"/>
    </row>
    <row r="9583" spans="1:41" s="61" customFormat="1" ht="47.25" x14ac:dyDescent="0.25">
      <c r="A9583" s="358"/>
      <c r="B9583" s="361"/>
      <c r="C9583" s="366"/>
      <c r="D9583" s="285" t="s">
        <v>374</v>
      </c>
      <c r="E9583" s="156" t="s">
        <v>28</v>
      </c>
      <c r="F9583" s="156" t="s">
        <v>28</v>
      </c>
      <c r="G9583" s="238">
        <f>MROUND(H9583*L9583*I9583/K9583,0.00000000001)</f>
        <v>5.3444666999999998E-4</v>
      </c>
      <c r="H9583" s="158">
        <f>H9073</f>
        <v>7</v>
      </c>
      <c r="I9583" s="159">
        <f>I9581</f>
        <v>8.0167000000000002E-2</v>
      </c>
      <c r="J9583" s="160"/>
      <c r="K9583" s="161">
        <f>K9581</f>
        <v>4200</v>
      </c>
      <c r="L9583" s="250">
        <f>L9073</f>
        <v>4</v>
      </c>
      <c r="M9583" s="163" t="str">
        <f>CONCATENATE(H9583," ",F9583,"*",L9583,"мес.","*",I9583,"/",K9583,"чел/час")</f>
        <v>7 шт*4мес.*0,080167/4200чел/час</v>
      </c>
      <c r="N9583" s="278">
        <f>N9073</f>
        <v>1366.3700000000001</v>
      </c>
      <c r="O9583" s="280">
        <f>MROUND(N9583*G9583,0.000001)</f>
        <v>0.73025200000000001</v>
      </c>
      <c r="P9583" s="166"/>
      <c r="Q9583" s="166">
        <f t="shared" si="2751"/>
        <v>3067.0583999999999</v>
      </c>
      <c r="R9583" s="71"/>
    </row>
    <row r="9584" spans="1:41" s="61" customFormat="1" x14ac:dyDescent="0.25">
      <c r="A9584" s="358"/>
      <c r="B9584" s="361"/>
      <c r="C9584" s="367"/>
      <c r="D9584" s="284" t="s">
        <v>246</v>
      </c>
      <c r="E9584" s="156" t="s">
        <v>28</v>
      </c>
      <c r="F9584" s="156" t="s">
        <v>28</v>
      </c>
      <c r="G9584" s="238">
        <f>MROUND(H9584*L9584*I9584/K9584,0.00000000001)</f>
        <v>1.1452428599999999E-3</v>
      </c>
      <c r="H9584" s="158">
        <v>5</v>
      </c>
      <c r="I9584" s="159">
        <f>I9582</f>
        <v>8.0167000000000002E-2</v>
      </c>
      <c r="J9584" s="160"/>
      <c r="K9584" s="161">
        <f>K9582</f>
        <v>4200</v>
      </c>
      <c r="L9584" s="250">
        <v>12</v>
      </c>
      <c r="M9584" s="163" t="str">
        <f>CONCATENATE(H9584," ",F9584,"*",L9584,"мес.","*",I9584,"/",K9584,"чел")</f>
        <v>5 шт*12мес.*0,080167/4200чел</v>
      </c>
      <c r="N9584" s="278">
        <f>N8866</f>
        <v>3136.9611666666665</v>
      </c>
      <c r="O9584" s="280">
        <f>MROUND(N9584*G9584,0.000001)</f>
        <v>3.5925819999999997</v>
      </c>
      <c r="P9584" s="166"/>
      <c r="Q9584" s="166">
        <f t="shared" si="2751"/>
        <v>15088.844399999998</v>
      </c>
      <c r="R9584" s="71"/>
    </row>
    <row r="9585" spans="1:41" s="109" customFormat="1" x14ac:dyDescent="0.25">
      <c r="A9585" s="358"/>
      <c r="B9585" s="361"/>
      <c r="C9585" s="218" t="s">
        <v>358</v>
      </c>
      <c r="D9585" s="287"/>
      <c r="E9585" s="287"/>
      <c r="F9585" s="287"/>
      <c r="G9585" s="288"/>
      <c r="H9585" s="214"/>
      <c r="I9585" s="206"/>
      <c r="J9585" s="214"/>
      <c r="K9585" s="207"/>
      <c r="L9585" s="215"/>
      <c r="M9585" s="289"/>
      <c r="N9585" s="281"/>
      <c r="O9585" s="279">
        <f>SUM(O9580:O9584)</f>
        <v>9.3017699619999998</v>
      </c>
      <c r="P9585" s="267"/>
      <c r="Q9585" s="166">
        <f t="shared" si="2751"/>
        <v>0</v>
      </c>
      <c r="R9585" s="71"/>
      <c r="S9585" s="62"/>
      <c r="T9585" s="62"/>
      <c r="U9585" s="62"/>
      <c r="V9585" s="62"/>
      <c r="W9585" s="62"/>
      <c r="X9585" s="62"/>
      <c r="Y9585" s="62"/>
      <c r="Z9585" s="62"/>
      <c r="AA9585" s="62"/>
      <c r="AB9585" s="62"/>
      <c r="AC9585" s="62"/>
      <c r="AD9585" s="62"/>
      <c r="AE9585" s="62"/>
      <c r="AF9585" s="62"/>
      <c r="AG9585" s="62"/>
      <c r="AH9585" s="62"/>
      <c r="AI9585" s="62"/>
      <c r="AJ9585" s="62"/>
      <c r="AK9585" s="62"/>
      <c r="AL9585" s="62"/>
      <c r="AM9585" s="62"/>
      <c r="AN9585" s="62"/>
      <c r="AO9585" s="62"/>
    </row>
    <row r="9586" spans="1:41" s="108" customFormat="1" x14ac:dyDescent="0.25">
      <c r="A9586" s="358"/>
      <c r="B9586" s="361"/>
      <c r="C9586" s="365" t="s">
        <v>366</v>
      </c>
      <c r="D9586" s="368" t="s">
        <v>67</v>
      </c>
      <c r="E9586" s="368"/>
      <c r="F9586" s="368"/>
      <c r="G9586" s="368"/>
      <c r="H9586" s="195"/>
      <c r="I9586" s="159"/>
      <c r="J9586" s="195"/>
      <c r="K9586" s="161"/>
      <c r="L9586" s="196"/>
      <c r="M9586" s="230"/>
      <c r="N9586" s="278"/>
      <c r="O9586" s="279">
        <f>O9587</f>
        <v>1.2421629999999999</v>
      </c>
      <c r="P9586" s="166"/>
      <c r="Q9586" s="166">
        <f t="shared" si="2751"/>
        <v>0</v>
      </c>
      <c r="R9586" s="71"/>
      <c r="S9586" s="61"/>
      <c r="T9586" s="61"/>
      <c r="U9586" s="61"/>
      <c r="V9586" s="61"/>
      <c r="W9586" s="61"/>
      <c r="X9586" s="61"/>
      <c r="Y9586" s="61"/>
      <c r="Z9586" s="61"/>
      <c r="AA9586" s="61"/>
      <c r="AB9586" s="61"/>
      <c r="AC9586" s="61"/>
      <c r="AD9586" s="61"/>
      <c r="AE9586" s="61"/>
      <c r="AF9586" s="61"/>
      <c r="AG9586" s="61"/>
      <c r="AH9586" s="61"/>
      <c r="AI9586" s="61"/>
      <c r="AJ9586" s="61"/>
      <c r="AK9586" s="61"/>
      <c r="AL9586" s="61"/>
      <c r="AM9586" s="61"/>
      <c r="AN9586" s="61"/>
      <c r="AO9586" s="61"/>
    </row>
    <row r="9587" spans="1:41" s="61" customFormat="1" x14ac:dyDescent="0.25">
      <c r="A9587" s="358"/>
      <c r="B9587" s="361"/>
      <c r="C9587" s="367"/>
      <c r="D9587" s="194" t="s">
        <v>367</v>
      </c>
      <c r="E9587" s="156" t="s">
        <v>28</v>
      </c>
      <c r="F9587" s="156" t="s">
        <v>28</v>
      </c>
      <c r="G9587" s="238">
        <f>MROUND(H9587*L9587*I9587/K9587,0.00000000001)</f>
        <v>4.5809713999999996E-4</v>
      </c>
      <c r="H9587" s="158">
        <f>H8869</f>
        <v>2</v>
      </c>
      <c r="I9587" s="159">
        <f>I9584</f>
        <v>8.0167000000000002E-2</v>
      </c>
      <c r="J9587" s="160"/>
      <c r="K9587" s="161">
        <f>K9584</f>
        <v>4200</v>
      </c>
      <c r="L9587" s="250">
        <v>12</v>
      </c>
      <c r="M9587" s="163" t="str">
        <f>CONCATENATE(H9587," ",F9587,"*",L9587,"мес.","*",I9587,"/",K9587,"чел")</f>
        <v>2 шт*12мес.*0,080167/4200чел</v>
      </c>
      <c r="N9587" s="278">
        <f>N8869</f>
        <v>2711.57125</v>
      </c>
      <c r="O9587" s="280">
        <f>MROUND(N9587*G9587,0.000001)</f>
        <v>1.2421629999999999</v>
      </c>
      <c r="P9587" s="166"/>
      <c r="Q9587" s="166">
        <f t="shared" si="2751"/>
        <v>5217.0845999999992</v>
      </c>
      <c r="R9587" s="71"/>
    </row>
    <row r="9588" spans="1:41" s="108" customFormat="1" x14ac:dyDescent="0.25">
      <c r="A9588" s="358"/>
      <c r="B9588" s="361"/>
      <c r="C9588" s="221"/>
      <c r="D9588" s="350" t="s">
        <v>68</v>
      </c>
      <c r="E9588" s="350"/>
      <c r="F9588" s="350"/>
      <c r="G9588" s="350"/>
      <c r="H9588" s="195"/>
      <c r="I9588" s="159"/>
      <c r="J9588" s="195"/>
      <c r="K9588" s="161"/>
      <c r="L9588" s="196"/>
      <c r="M9588" s="230"/>
      <c r="N9588" s="278"/>
      <c r="O9588" s="280"/>
      <c r="P9588" s="166"/>
      <c r="Q9588" s="166">
        <f t="shared" si="2751"/>
        <v>0</v>
      </c>
      <c r="R9588" s="71"/>
      <c r="S9588" s="61"/>
      <c r="T9588" s="61"/>
      <c r="U9588" s="61"/>
      <c r="V9588" s="61"/>
      <c r="W9588" s="61"/>
      <c r="X9588" s="61"/>
      <c r="Y9588" s="61"/>
      <c r="Z9588" s="61"/>
      <c r="AA9588" s="61"/>
      <c r="AB9588" s="61"/>
      <c r="AC9588" s="61"/>
      <c r="AD9588" s="61"/>
      <c r="AE9588" s="61"/>
      <c r="AF9588" s="61"/>
      <c r="AG9588" s="61"/>
      <c r="AH9588" s="61"/>
      <c r="AI9588" s="61"/>
      <c r="AJ9588" s="61"/>
      <c r="AK9588" s="61"/>
      <c r="AL9588" s="61"/>
      <c r="AM9588" s="61"/>
      <c r="AN9588" s="61"/>
      <c r="AO9588" s="61"/>
    </row>
    <row r="9589" spans="1:41" s="108" customFormat="1" x14ac:dyDescent="0.25">
      <c r="A9589" s="358"/>
      <c r="B9589" s="361"/>
      <c r="C9589" s="221"/>
      <c r="D9589" s="156"/>
      <c r="E9589" s="156"/>
      <c r="F9589" s="156"/>
      <c r="G9589" s="236"/>
      <c r="H9589" s="195"/>
      <c r="I9589" s="159"/>
      <c r="J9589" s="195"/>
      <c r="K9589" s="161"/>
      <c r="L9589" s="196"/>
      <c r="M9589" s="230"/>
      <c r="N9589" s="278"/>
      <c r="O9589" s="280"/>
      <c r="P9589" s="166"/>
      <c r="Q9589" s="166">
        <f t="shared" si="2751"/>
        <v>0</v>
      </c>
      <c r="R9589" s="71"/>
      <c r="S9589" s="61"/>
      <c r="T9589" s="61"/>
      <c r="U9589" s="61"/>
      <c r="V9589" s="61"/>
      <c r="W9589" s="61"/>
      <c r="X9589" s="61"/>
      <c r="Y9589" s="61"/>
      <c r="Z9589" s="61"/>
      <c r="AA9589" s="61"/>
      <c r="AB9589" s="61"/>
      <c r="AC9589" s="61"/>
      <c r="AD9589" s="61"/>
      <c r="AE9589" s="61"/>
      <c r="AF9589" s="61"/>
      <c r="AG9589" s="61"/>
      <c r="AH9589" s="61"/>
      <c r="AI9589" s="61"/>
      <c r="AJ9589" s="61"/>
      <c r="AK9589" s="61"/>
      <c r="AL9589" s="61"/>
      <c r="AM9589" s="61"/>
      <c r="AN9589" s="61"/>
      <c r="AO9589" s="61"/>
    </row>
    <row r="9590" spans="1:41" s="108" customFormat="1" x14ac:dyDescent="0.25">
      <c r="A9590" s="358"/>
      <c r="B9590" s="361"/>
      <c r="C9590" s="221"/>
      <c r="D9590" s="368" t="s">
        <v>69</v>
      </c>
      <c r="E9590" s="368"/>
      <c r="F9590" s="368"/>
      <c r="G9590" s="368"/>
      <c r="H9590" s="187"/>
      <c r="I9590" s="159"/>
      <c r="J9590" s="187"/>
      <c r="K9590" s="161"/>
      <c r="L9590" s="276"/>
      <c r="M9590" s="230"/>
      <c r="N9590" s="278"/>
      <c r="O9590" s="279">
        <f>O9597+O9613+O9616+O9629+O9630+O9631+O9642+O9644+O9648+O9645</f>
        <v>70.690824999999975</v>
      </c>
      <c r="P9590" s="166"/>
      <c r="Q9590" s="166">
        <f t="shared" si="2751"/>
        <v>0</v>
      </c>
      <c r="R9590" s="71"/>
      <c r="S9590" s="61"/>
      <c r="T9590" s="61"/>
      <c r="U9590" s="61"/>
      <c r="V9590" s="61"/>
      <c r="W9590" s="61"/>
      <c r="X9590" s="61"/>
      <c r="Y9590" s="61"/>
      <c r="Z9590" s="61"/>
      <c r="AA9590" s="61"/>
      <c r="AB9590" s="61"/>
      <c r="AC9590" s="61"/>
      <c r="AD9590" s="61"/>
      <c r="AE9590" s="61"/>
      <c r="AF9590" s="61"/>
      <c r="AG9590" s="61"/>
      <c r="AH9590" s="61"/>
      <c r="AI9590" s="61"/>
      <c r="AJ9590" s="61"/>
      <c r="AK9590" s="61"/>
      <c r="AL9590" s="61"/>
      <c r="AM9590" s="61"/>
      <c r="AN9590" s="61"/>
      <c r="AO9590" s="61"/>
    </row>
    <row r="9591" spans="1:41" s="61" customFormat="1" ht="31.5" x14ac:dyDescent="0.25">
      <c r="A9591" s="358"/>
      <c r="B9591" s="361"/>
      <c r="C9591" s="365" t="s">
        <v>78</v>
      </c>
      <c r="D9591" s="156" t="s">
        <v>26</v>
      </c>
      <c r="E9591" s="156" t="s">
        <v>22</v>
      </c>
      <c r="F9591" s="156" t="s">
        <v>22</v>
      </c>
      <c r="G9591" s="238">
        <f t="shared" ref="G9591:G9596" si="2752">MROUND(H9591*L9591*I9591/K9591,0.00000000001)</f>
        <v>1.1361404669099999</v>
      </c>
      <c r="H9591" s="158">
        <f>H8873</f>
        <v>4960.26</v>
      </c>
      <c r="I9591" s="159">
        <f>I9587</f>
        <v>8.0167000000000002E-2</v>
      </c>
      <c r="J9591" s="160"/>
      <c r="K9591" s="161">
        <f>K9587</f>
        <v>4200</v>
      </c>
      <c r="L9591" s="250">
        <v>12</v>
      </c>
      <c r="M9591" s="163" t="str">
        <f>CONCATENATE(H9591," ",F9591,"(обрабатываемая площадь в мес.)","*",L9591,"мес.","*",I9591,"/",K9591,"чел")</f>
        <v>4960,26 м2(обрабатываемая площадь в мес.)*12мес.*0,080167/4200чел</v>
      </c>
      <c r="N9591" s="278">
        <f>N8873</f>
        <v>1.2568900958148699</v>
      </c>
      <c r="O9591" s="280">
        <f>MROUND(N9591*G9591,0.000001)</f>
        <v>1.4280039999999998</v>
      </c>
      <c r="P9591" s="166"/>
      <c r="Q9591" s="166">
        <f t="shared" si="2751"/>
        <v>5997.6167999999989</v>
      </c>
      <c r="R9591" s="71"/>
    </row>
    <row r="9592" spans="1:41" s="61" customFormat="1" ht="31.5" x14ac:dyDescent="0.25">
      <c r="A9592" s="358"/>
      <c r="B9592" s="361"/>
      <c r="C9592" s="366"/>
      <c r="D9592" s="156" t="s">
        <v>96</v>
      </c>
      <c r="E9592" s="156" t="s">
        <v>22</v>
      </c>
      <c r="F9592" s="156" t="s">
        <v>22</v>
      </c>
      <c r="G9592" s="238">
        <f t="shared" si="2752"/>
        <v>0.62925597833999991</v>
      </c>
      <c r="H9592" s="158">
        <f>H8874</f>
        <v>2747.26</v>
      </c>
      <c r="I9592" s="298">
        <f>I9591</f>
        <v>8.0167000000000002E-2</v>
      </c>
      <c r="J9592" s="299"/>
      <c r="K9592" s="300">
        <f>K9591</f>
        <v>4200</v>
      </c>
      <c r="L9592" s="250">
        <v>12</v>
      </c>
      <c r="M9592" s="163" t="str">
        <f>CONCATENATE(H9592," ",F9592,"(обрабатываемая площадь в мес.)","*",L9592,"мес.","*",I9592,"/",K9592,"чел")</f>
        <v>2747,26 м2(обрабатываемая площадь в мес.)*12мес.*0,080167/4200чел</v>
      </c>
      <c r="N9592" s="278">
        <f>N8874</f>
        <v>1.7523653870887115</v>
      </c>
      <c r="O9592" s="280">
        <f>MROUND(N9592*G9592,0.000001)</f>
        <v>1.1026860000000001</v>
      </c>
      <c r="P9592" s="166"/>
      <c r="Q9592" s="166">
        <f t="shared" si="2751"/>
        <v>4631.2812000000004</v>
      </c>
      <c r="R9592" s="71"/>
    </row>
    <row r="9593" spans="1:41" s="135" customFormat="1" ht="31.5" x14ac:dyDescent="0.25">
      <c r="A9593" s="358"/>
      <c r="B9593" s="361"/>
      <c r="C9593" s="366"/>
      <c r="D9593" s="156" t="s">
        <v>385</v>
      </c>
      <c r="E9593" s="156" t="s">
        <v>22</v>
      </c>
      <c r="F9593" s="156" t="s">
        <v>22</v>
      </c>
      <c r="G9593" s="238">
        <f t="shared" si="2752"/>
        <v>1.2585119566899998</v>
      </c>
      <c r="H9593" s="242">
        <f>$H$2098</f>
        <v>2747.26</v>
      </c>
      <c r="I9593" s="298">
        <f>I9592</f>
        <v>8.0167000000000002E-2</v>
      </c>
      <c r="J9593" s="160"/>
      <c r="K9593" s="300">
        <f>K9592</f>
        <v>4200</v>
      </c>
      <c r="L9593" s="162">
        <v>24</v>
      </c>
      <c r="M9593" s="163" t="str">
        <f>CONCATENATE(H9593," ",F9593,"(обрабатываемая площадь в год)","*",L9593," раза в год.","*",I9593,"/",K9593,"чел.")</f>
        <v>2747,26 м2(обрабатываемая площадь в год)*24 раза в год.*0,080167/4200чел.</v>
      </c>
      <c r="N9593" s="164">
        <f>$N$8875</f>
        <v>1.9341167805983659</v>
      </c>
      <c r="O9593" s="165">
        <f>MROUND(G9593*N9593,0.000001)</f>
        <v>2.4341089999999999</v>
      </c>
      <c r="P9593" s="166"/>
      <c r="Q9593" s="166">
        <f t="shared" si="2751"/>
        <v>10223.257799999999</v>
      </c>
      <c r="R9593" s="71"/>
      <c r="S9593" s="61"/>
      <c r="T9593" s="61"/>
      <c r="U9593" s="61"/>
      <c r="V9593" s="61"/>
      <c r="W9593" s="61"/>
      <c r="X9593" s="61"/>
      <c r="Y9593" s="61"/>
      <c r="Z9593" s="61"/>
      <c r="AA9593" s="61"/>
      <c r="AB9593" s="61"/>
      <c r="AC9593" s="61"/>
      <c r="AD9593" s="61"/>
      <c r="AE9593" s="61"/>
      <c r="AF9593" s="61"/>
      <c r="AG9593" s="61"/>
      <c r="AH9593" s="61"/>
      <c r="AI9593" s="61"/>
      <c r="AJ9593" s="61"/>
      <c r="AK9593" s="61"/>
      <c r="AL9593" s="61"/>
      <c r="AM9593" s="61"/>
      <c r="AN9593" s="61"/>
      <c r="AO9593" s="61"/>
    </row>
    <row r="9594" spans="1:41" s="135" customFormat="1" ht="31.5" x14ac:dyDescent="0.25">
      <c r="A9594" s="358"/>
      <c r="B9594" s="361"/>
      <c r="C9594" s="366"/>
      <c r="D9594" s="156" t="s">
        <v>394</v>
      </c>
      <c r="E9594" s="156" t="s">
        <v>22</v>
      </c>
      <c r="F9594" s="156" t="s">
        <v>22</v>
      </c>
      <c r="G9594" s="238">
        <f t="shared" si="2752"/>
        <v>1.1361404669099999</v>
      </c>
      <c r="H9594" s="243">
        <f>$H$2099</f>
        <v>4960.26</v>
      </c>
      <c r="I9594" s="298">
        <f>I9593</f>
        <v>8.0167000000000002E-2</v>
      </c>
      <c r="J9594" s="160"/>
      <c r="K9594" s="300">
        <f>K9593</f>
        <v>4200</v>
      </c>
      <c r="L9594" s="162">
        <v>12</v>
      </c>
      <c r="M9594" s="163" t="str">
        <f>CONCATENATE(H9594," ",F9594,"(обрабатываемая площадь в мес.)","*",L9594,"мес.","*",I9594,"/",K9594,"чел.")</f>
        <v>4960,26 м2(обрабатываемая площадь в мес.)*12мес.*0,080167/4200чел.</v>
      </c>
      <c r="N9594" s="164">
        <f>$N$8876</f>
        <v>0.59287281983874496</v>
      </c>
      <c r="O9594" s="165">
        <f>MROUND(G9594*N9594,0.000001)</f>
        <v>0.67358699999999994</v>
      </c>
      <c r="P9594" s="166"/>
      <c r="Q9594" s="166">
        <f t="shared" si="2751"/>
        <v>2829.0654</v>
      </c>
      <c r="R9594" s="71"/>
      <c r="S9594" s="61"/>
      <c r="T9594" s="61"/>
      <c r="U9594" s="61"/>
      <c r="V9594" s="61"/>
      <c r="W9594" s="61"/>
      <c r="X9594" s="61"/>
      <c r="Y9594" s="61"/>
      <c r="Z9594" s="61"/>
      <c r="AA9594" s="61"/>
      <c r="AB9594" s="61"/>
      <c r="AC9594" s="61"/>
      <c r="AD9594" s="61"/>
      <c r="AE9594" s="61"/>
      <c r="AF9594" s="61"/>
      <c r="AG9594" s="61"/>
      <c r="AH9594" s="61"/>
      <c r="AI9594" s="61"/>
      <c r="AJ9594" s="61"/>
      <c r="AK9594" s="61"/>
      <c r="AL9594" s="61"/>
      <c r="AM9594" s="61"/>
      <c r="AN9594" s="61"/>
      <c r="AO9594" s="61"/>
    </row>
    <row r="9595" spans="1:41" s="135" customFormat="1" ht="31.5" x14ac:dyDescent="0.25">
      <c r="A9595" s="358"/>
      <c r="B9595" s="361"/>
      <c r="C9595" s="366"/>
      <c r="D9595" s="156" t="s">
        <v>395</v>
      </c>
      <c r="E9595" s="156" t="s">
        <v>98</v>
      </c>
      <c r="F9595" s="156" t="s">
        <v>98</v>
      </c>
      <c r="G9595" s="238">
        <f t="shared" si="2752"/>
        <v>3.5884279999999997E-5</v>
      </c>
      <c r="H9595" s="242">
        <f>$H$2100</f>
        <v>1.8800000000000001</v>
      </c>
      <c r="I9595" s="298">
        <f>I9594</f>
        <v>8.0167000000000002E-2</v>
      </c>
      <c r="J9595" s="160"/>
      <c r="K9595" s="300">
        <f>K9594</f>
        <v>4200</v>
      </c>
      <c r="L9595" s="162">
        <v>1</v>
      </c>
      <c r="M9595" s="163" t="str">
        <f>CONCATENATE(H9595," ",F9595,"(обрабатываемая площадь в год)","*",L9595," раз в год","*",I9595,"/",K9595,"чел.")</f>
        <v>1,88 Га(обрабатываемая площадь в год)*1 раз в год*0,080167/4200чел.</v>
      </c>
      <c r="N9595" s="164">
        <f>$N$8877</f>
        <v>592.87234042553177</v>
      </c>
      <c r="O9595" s="165">
        <f>MROUND(G9595*N9595,0.000001)</f>
        <v>2.1274999999999999E-2</v>
      </c>
      <c r="P9595" s="166"/>
      <c r="Q9595" s="166">
        <f t="shared" si="2751"/>
        <v>89.35499999999999</v>
      </c>
      <c r="R9595" s="71"/>
      <c r="S9595" s="61"/>
      <c r="T9595" s="61"/>
      <c r="U9595" s="61"/>
      <c r="V9595" s="61"/>
      <c r="W9595" s="61"/>
      <c r="X9595" s="61"/>
      <c r="Y9595" s="61"/>
      <c r="Z9595" s="61"/>
      <c r="AA9595" s="61"/>
      <c r="AB9595" s="61"/>
      <c r="AC9595" s="61"/>
      <c r="AD9595" s="61"/>
      <c r="AE9595" s="61"/>
      <c r="AF9595" s="61"/>
      <c r="AG9595" s="61"/>
      <c r="AH9595" s="61"/>
      <c r="AI9595" s="61"/>
      <c r="AJ9595" s="61"/>
      <c r="AK9595" s="61"/>
      <c r="AL9595" s="61"/>
      <c r="AM9595" s="61"/>
      <c r="AN9595" s="61"/>
      <c r="AO9595" s="61"/>
    </row>
    <row r="9596" spans="1:41" s="61" customFormat="1" ht="31.5" x14ac:dyDescent="0.25">
      <c r="A9596" s="358"/>
      <c r="B9596" s="361"/>
      <c r="C9596" s="367"/>
      <c r="D9596" s="156" t="s">
        <v>97</v>
      </c>
      <c r="E9596" s="156" t="s">
        <v>363</v>
      </c>
      <c r="F9596" s="156" t="s">
        <v>363</v>
      </c>
      <c r="G9596" s="238">
        <f t="shared" si="2752"/>
        <v>3.5884279999999997E-5</v>
      </c>
      <c r="H9596" s="158">
        <f>$H$2101</f>
        <v>1.8800000000000001</v>
      </c>
      <c r="I9596" s="298">
        <f>I9592</f>
        <v>8.0167000000000002E-2</v>
      </c>
      <c r="J9596" s="299"/>
      <c r="K9596" s="300">
        <f>K9592</f>
        <v>4200</v>
      </c>
      <c r="L9596" s="250">
        <v>1</v>
      </c>
      <c r="M9596" s="163" t="str">
        <f>CONCATENATE(H9596," ",F9596,"(обрабатываемая площадь в мес.)","*",L9596,"мес.","*",I9596,"/",K9596,"чел")</f>
        <v>1,88 га(обрабатываемая площадь в мес.)*1мес.*0,080167/4200чел</v>
      </c>
      <c r="N9596" s="278">
        <f>$N$8878</f>
        <v>3226.4999999999995</v>
      </c>
      <c r="O9596" s="280">
        <f>MROUND(N9596*G9596,0.000001)</f>
        <v>0.115781</v>
      </c>
      <c r="P9596" s="166"/>
      <c r="Q9596" s="166">
        <f t="shared" si="2751"/>
        <v>486.28019999999998</v>
      </c>
      <c r="R9596" s="71"/>
    </row>
    <row r="9597" spans="1:41" s="109" customFormat="1" x14ac:dyDescent="0.25">
      <c r="A9597" s="358"/>
      <c r="B9597" s="361"/>
      <c r="C9597" s="218" t="s">
        <v>327</v>
      </c>
      <c r="D9597" s="240"/>
      <c r="E9597" s="240"/>
      <c r="F9597" s="240"/>
      <c r="G9597" s="227"/>
      <c r="H9597" s="241"/>
      <c r="I9597" s="206"/>
      <c r="J9597" s="228"/>
      <c r="K9597" s="207"/>
      <c r="L9597" s="257"/>
      <c r="M9597" s="209"/>
      <c r="N9597" s="281"/>
      <c r="O9597" s="279">
        <f>SUM(O9591:O9596)</f>
        <v>5.7754419999999991</v>
      </c>
      <c r="P9597" s="267"/>
      <c r="Q9597" s="166"/>
      <c r="R9597" s="71"/>
      <c r="S9597" s="62"/>
      <c r="T9597" s="62"/>
      <c r="U9597" s="62"/>
      <c r="V9597" s="62"/>
      <c r="W9597" s="62"/>
      <c r="X9597" s="62"/>
      <c r="Y9597" s="62"/>
      <c r="Z9597" s="62"/>
      <c r="AA9597" s="62"/>
      <c r="AB9597" s="62"/>
      <c r="AC9597" s="62"/>
      <c r="AD9597" s="62"/>
      <c r="AE9597" s="62"/>
      <c r="AF9597" s="62"/>
      <c r="AG9597" s="62"/>
      <c r="AH9597" s="62"/>
      <c r="AI9597" s="62"/>
      <c r="AJ9597" s="62"/>
      <c r="AK9597" s="62"/>
      <c r="AL9597" s="62"/>
      <c r="AM9597" s="62"/>
      <c r="AN9597" s="62"/>
      <c r="AO9597" s="62"/>
    </row>
    <row r="9598" spans="1:41" s="61" customFormat="1" x14ac:dyDescent="0.25">
      <c r="A9598" s="358"/>
      <c r="B9598" s="361"/>
      <c r="C9598" s="366" t="s">
        <v>77</v>
      </c>
      <c r="D9598" s="156" t="s">
        <v>397</v>
      </c>
      <c r="E9598" s="156" t="s">
        <v>433</v>
      </c>
      <c r="F9598" s="156" t="s">
        <v>433</v>
      </c>
      <c r="G9598" s="238">
        <f t="shared" ref="G9598:G9612" si="2753">MROUND(H9598*L9598*I9598/K9598,0.00000000001)</f>
        <v>0</v>
      </c>
      <c r="H9598" s="158"/>
      <c r="I9598" s="306">
        <f>I9592</f>
        <v>8.0167000000000002E-2</v>
      </c>
      <c r="J9598" s="307"/>
      <c r="K9598" s="308">
        <f>K9592</f>
        <v>4200</v>
      </c>
      <c r="L9598" s="162">
        <v>1</v>
      </c>
      <c r="M9598" s="163"/>
      <c r="N9598" s="278"/>
      <c r="O9598" s="280">
        <f t="shared" ref="O9598:O9609" si="2754">MROUND(N9598*G9598,0.000001)</f>
        <v>0</v>
      </c>
      <c r="P9598" s="166"/>
      <c r="Q9598" s="166">
        <f t="shared" ref="Q9598:Q9612" si="2755">O9598*K9598</f>
        <v>0</v>
      </c>
      <c r="R9598" s="71"/>
    </row>
    <row r="9599" spans="1:41" s="61" customFormat="1" ht="63" x14ac:dyDescent="0.25">
      <c r="A9599" s="358"/>
      <c r="B9599" s="361"/>
      <c r="C9599" s="366"/>
      <c r="D9599" s="156" t="s">
        <v>249</v>
      </c>
      <c r="E9599" s="156" t="s">
        <v>22</v>
      </c>
      <c r="F9599" s="156" t="s">
        <v>22</v>
      </c>
      <c r="G9599" s="238">
        <f t="shared" si="2753"/>
        <v>0.15822446265999998</v>
      </c>
      <c r="H9599" s="158">
        <f>H8985</f>
        <v>690.79</v>
      </c>
      <c r="I9599" s="159">
        <f>I9598</f>
        <v>8.0167000000000002E-2</v>
      </c>
      <c r="J9599" s="160"/>
      <c r="K9599" s="161">
        <f>K9598</f>
        <v>4200</v>
      </c>
      <c r="L9599" s="250">
        <v>12</v>
      </c>
      <c r="M9599" s="163" t="str">
        <f>CONCATENATE(H9599," ",F9599,"*",L9599,"мес.","*",I9599,"/",K9599,"чел")</f>
        <v>690,79 м2*12мес.*0,080167/4200чел</v>
      </c>
      <c r="N9599" s="278">
        <f>N9191</f>
        <v>32.968811071382042</v>
      </c>
      <c r="O9599" s="280">
        <f t="shared" si="2754"/>
        <v>5.2164719999999996</v>
      </c>
      <c r="P9599" s="166"/>
      <c r="Q9599" s="166">
        <f t="shared" si="2755"/>
        <v>21909.182399999998</v>
      </c>
      <c r="R9599" s="71"/>
    </row>
    <row r="9600" spans="1:41" s="136" customFormat="1" x14ac:dyDescent="0.25">
      <c r="A9600" s="358"/>
      <c r="B9600" s="361"/>
      <c r="C9600" s="366"/>
      <c r="D9600" s="194" t="s">
        <v>398</v>
      </c>
      <c r="E9600" s="156" t="s">
        <v>60</v>
      </c>
      <c r="F9600" s="156" t="s">
        <v>60</v>
      </c>
      <c r="G9600" s="238">
        <f t="shared" si="2753"/>
        <v>9.5436899999999994E-5</v>
      </c>
      <c r="H9600" s="158">
        <f>$H$2105</f>
        <v>5</v>
      </c>
      <c r="I9600" s="159">
        <f>I9599</f>
        <v>8.0167000000000002E-2</v>
      </c>
      <c r="J9600" s="160"/>
      <c r="K9600" s="161">
        <f>K9599</f>
        <v>4200</v>
      </c>
      <c r="L9600" s="250">
        <v>1</v>
      </c>
      <c r="M9600" s="163" t="str">
        <f>CONCATENATE(H9600," ",F9600,"*",I9600,"/",K9600,"чел/час")</f>
        <v>5 шт.*0,080167/4200чел/час</v>
      </c>
      <c r="N9600" s="278">
        <f>$N$8882</f>
        <v>5928.7300000000005</v>
      </c>
      <c r="O9600" s="280">
        <f t="shared" si="2754"/>
        <v>0.56581999999999999</v>
      </c>
      <c r="P9600" s="166"/>
      <c r="Q9600" s="166">
        <f t="shared" si="2755"/>
        <v>2376.444</v>
      </c>
      <c r="R9600" s="71"/>
      <c r="S9600" s="61"/>
      <c r="T9600" s="61"/>
      <c r="U9600" s="61"/>
      <c r="V9600" s="61"/>
      <c r="W9600" s="61"/>
      <c r="X9600" s="61"/>
      <c r="Y9600" s="61"/>
      <c r="Z9600" s="61"/>
      <c r="AA9600" s="61"/>
      <c r="AB9600" s="61"/>
      <c r="AC9600" s="61"/>
      <c r="AD9600" s="61"/>
      <c r="AE9600" s="61"/>
      <c r="AF9600" s="61"/>
      <c r="AG9600" s="61"/>
      <c r="AH9600" s="61"/>
      <c r="AI9600" s="61"/>
      <c r="AJ9600" s="61"/>
      <c r="AK9600" s="61"/>
      <c r="AL9600" s="61"/>
      <c r="AM9600" s="61"/>
      <c r="AN9600" s="61"/>
      <c r="AO9600" s="61"/>
    </row>
    <row r="9601" spans="1:41" s="136" customFormat="1" ht="63" x14ac:dyDescent="0.25">
      <c r="A9601" s="358"/>
      <c r="B9601" s="361"/>
      <c r="C9601" s="366"/>
      <c r="D9601" s="156" t="s">
        <v>33</v>
      </c>
      <c r="E9601" s="156" t="s">
        <v>56</v>
      </c>
      <c r="F9601" s="156" t="s">
        <v>220</v>
      </c>
      <c r="G9601" s="238">
        <f t="shared" si="2753"/>
        <v>9.5436899999999994E-5</v>
      </c>
      <c r="H9601" s="158">
        <f>$H$2106</f>
        <v>5</v>
      </c>
      <c r="I9601" s="159">
        <f>I9600</f>
        <v>8.0167000000000002E-2</v>
      </c>
      <c r="J9601" s="160"/>
      <c r="K9601" s="161">
        <f>K9600</f>
        <v>4200</v>
      </c>
      <c r="L9601" s="250">
        <f>$L$2106</f>
        <v>1</v>
      </c>
      <c r="M9601" s="163" t="str">
        <f>CONCATENATE(H9601," ",F9601,"*",L9601," раз в год","*",I9601,"/",K9601,"чел.")</f>
        <v>5 дымоходов*1 раз в год*0,080167/4200чел.</v>
      </c>
      <c r="N9601" s="278">
        <f>$N$8883</f>
        <v>7114.4699999999993</v>
      </c>
      <c r="O9601" s="280">
        <f t="shared" si="2754"/>
        <v>0.678983</v>
      </c>
      <c r="P9601" s="166"/>
      <c r="Q9601" s="166">
        <f t="shared" si="2755"/>
        <v>2851.7285999999999</v>
      </c>
      <c r="R9601" s="71"/>
      <c r="S9601" s="61"/>
      <c r="T9601" s="61"/>
      <c r="U9601" s="61"/>
      <c r="V9601" s="61"/>
      <c r="W9601" s="61"/>
      <c r="X9601" s="61"/>
      <c r="Y9601" s="61"/>
      <c r="Z9601" s="61"/>
      <c r="AA9601" s="61"/>
      <c r="AB9601" s="61"/>
      <c r="AC9601" s="61"/>
      <c r="AD9601" s="61"/>
      <c r="AE9601" s="61"/>
      <c r="AF9601" s="61"/>
      <c r="AG9601" s="61"/>
      <c r="AH9601" s="61"/>
      <c r="AI9601" s="61"/>
      <c r="AJ9601" s="61"/>
      <c r="AK9601" s="61"/>
      <c r="AL9601" s="61"/>
      <c r="AM9601" s="61"/>
      <c r="AN9601" s="61"/>
      <c r="AO9601" s="61"/>
    </row>
    <row r="9602" spans="1:41" s="61" customFormat="1" ht="78.75" x14ac:dyDescent="0.25">
      <c r="A9602" s="358"/>
      <c r="B9602" s="361"/>
      <c r="C9602" s="366"/>
      <c r="D9602" s="156" t="s">
        <v>250</v>
      </c>
      <c r="E9602" s="156" t="s">
        <v>251</v>
      </c>
      <c r="F9602" s="156" t="s">
        <v>60</v>
      </c>
      <c r="G9602" s="238">
        <f t="shared" si="2753"/>
        <v>9.5436899999999994E-5</v>
      </c>
      <c r="H9602" s="158">
        <f>$H$2107</f>
        <v>5</v>
      </c>
      <c r="I9602" s="159">
        <f>I9599</f>
        <v>8.0167000000000002E-2</v>
      </c>
      <c r="J9602" s="160"/>
      <c r="K9602" s="161">
        <f>K9599</f>
        <v>4200</v>
      </c>
      <c r="L9602" s="250">
        <v>1</v>
      </c>
      <c r="M9602" s="163" t="str">
        <f>CONCATENATE(H9602," ",F9602,"*",I9602,"/",K9602,"чел")</f>
        <v>5 шт.*0,080167/4200чел</v>
      </c>
      <c r="N9602" s="278">
        <f t="shared" ref="N9602:N9612" si="2756">N8884</f>
        <v>4742.9800000000005</v>
      </c>
      <c r="O9602" s="280">
        <f t="shared" si="2754"/>
        <v>0.45265499999999997</v>
      </c>
      <c r="P9602" s="166"/>
      <c r="Q9602" s="166">
        <f t="shared" si="2755"/>
        <v>1901.1509999999998</v>
      </c>
      <c r="R9602" s="71"/>
    </row>
    <row r="9603" spans="1:41" s="61" customFormat="1" ht="47.25" x14ac:dyDescent="0.25">
      <c r="A9603" s="358"/>
      <c r="B9603" s="361"/>
      <c r="C9603" s="366"/>
      <c r="D9603" s="156" t="s">
        <v>401</v>
      </c>
      <c r="E9603" s="156" t="s">
        <v>60</v>
      </c>
      <c r="F9603" s="156" t="s">
        <v>402</v>
      </c>
      <c r="G9603" s="238">
        <f t="shared" si="2753"/>
        <v>1.9087380999999998E-4</v>
      </c>
      <c r="H9603" s="158">
        <f>H8885</f>
        <v>5</v>
      </c>
      <c r="I9603" s="159">
        <f>I9602</f>
        <v>8.0167000000000002E-2</v>
      </c>
      <c r="J9603" s="160"/>
      <c r="K9603" s="161">
        <f>K9602</f>
        <v>4200</v>
      </c>
      <c r="L9603" s="250">
        <f>$L$2108</f>
        <v>2</v>
      </c>
      <c r="M9603" s="163" t="str">
        <f>CONCATENATE(H9603," ",F9603,"*",I9603,"/",K9603,"чел")</f>
        <v>5 противопожарных водопроводов*0,080167/4200чел</v>
      </c>
      <c r="N9603" s="278">
        <f t="shared" si="2756"/>
        <v>2964.3650000000002</v>
      </c>
      <c r="O9603" s="280">
        <f t="shared" si="2754"/>
        <v>0.56581999999999999</v>
      </c>
      <c r="P9603" s="166"/>
      <c r="Q9603" s="166">
        <f t="shared" si="2755"/>
        <v>2376.444</v>
      </c>
      <c r="R9603" s="71"/>
    </row>
    <row r="9604" spans="1:41" s="61" customFormat="1" ht="47.25" x14ac:dyDescent="0.25">
      <c r="A9604" s="358"/>
      <c r="B9604" s="361"/>
      <c r="C9604" s="366"/>
      <c r="D9604" s="156" t="s">
        <v>34</v>
      </c>
      <c r="E9604" s="156" t="s">
        <v>59</v>
      </c>
      <c r="F9604" s="156" t="s">
        <v>28</v>
      </c>
      <c r="G9604" s="238">
        <f t="shared" si="2753"/>
        <v>3.8174759999999996E-5</v>
      </c>
      <c r="H9604" s="158">
        <f>H8886</f>
        <v>2</v>
      </c>
      <c r="I9604" s="159">
        <f>I9603</f>
        <v>8.0167000000000002E-2</v>
      </c>
      <c r="J9604" s="160"/>
      <c r="K9604" s="161">
        <f>K9603</f>
        <v>4200</v>
      </c>
      <c r="L9604" s="250">
        <v>1</v>
      </c>
      <c r="M9604" s="163" t="str">
        <f>CONCATENATE(H9604," ",F9604,"*",I9604,"/",K9604,"чел")</f>
        <v>2 шт*0,080167/4200чел</v>
      </c>
      <c r="N9604" s="278">
        <f t="shared" si="2756"/>
        <v>8158.8</v>
      </c>
      <c r="O9604" s="280">
        <f t="shared" si="2754"/>
        <v>0.31145999999999996</v>
      </c>
      <c r="P9604" s="166"/>
      <c r="Q9604" s="166">
        <f t="shared" si="2755"/>
        <v>1308.1319999999998</v>
      </c>
      <c r="R9604" s="71"/>
    </row>
    <row r="9605" spans="1:41" s="61" customFormat="1" ht="47.25" x14ac:dyDescent="0.25">
      <c r="A9605" s="358"/>
      <c r="B9605" s="361"/>
      <c r="C9605" s="366"/>
      <c r="D9605" s="156" t="s">
        <v>222</v>
      </c>
      <c r="E9605" s="156" t="s">
        <v>60</v>
      </c>
      <c r="F9605" s="156" t="s">
        <v>60</v>
      </c>
      <c r="G9605" s="238">
        <f t="shared" si="2753"/>
        <v>3.8174759999999996E-5</v>
      </c>
      <c r="H9605" s="158">
        <f>H8991</f>
        <v>2</v>
      </c>
      <c r="I9605" s="159">
        <f>I9604</f>
        <v>8.0167000000000002E-2</v>
      </c>
      <c r="J9605" s="160"/>
      <c r="K9605" s="161">
        <f>K9604</f>
        <v>4200</v>
      </c>
      <c r="L9605" s="250">
        <v>1</v>
      </c>
      <c r="M9605" s="163" t="str">
        <f>CONCATENATE(H9605," ",F9605,"*",I9605,"/",K9605,"чел")</f>
        <v>2 шт.*0,080167/4200чел</v>
      </c>
      <c r="N9605" s="278">
        <f t="shared" si="2756"/>
        <v>14141.92</v>
      </c>
      <c r="O9605" s="280">
        <f t="shared" si="2754"/>
        <v>0.53986400000000001</v>
      </c>
      <c r="P9605" s="166"/>
      <c r="Q9605" s="166">
        <f t="shared" si="2755"/>
        <v>2267.4288000000001</v>
      </c>
      <c r="R9605" s="71"/>
    </row>
    <row r="9606" spans="1:41" s="61" customFormat="1" ht="31.5" x14ac:dyDescent="0.25">
      <c r="A9606" s="358"/>
      <c r="B9606" s="361"/>
      <c r="C9606" s="366"/>
      <c r="D9606" s="156" t="s">
        <v>35</v>
      </c>
      <c r="E9606" s="156" t="s">
        <v>102</v>
      </c>
      <c r="F9606" s="156" t="s">
        <v>252</v>
      </c>
      <c r="G9606" s="238">
        <f t="shared" si="2753"/>
        <v>3.8174759999999996E-5</v>
      </c>
      <c r="H9606" s="158">
        <f>H8888</f>
        <v>2</v>
      </c>
      <c r="I9606" s="159">
        <f>I9604</f>
        <v>8.0167000000000002E-2</v>
      </c>
      <c r="J9606" s="160"/>
      <c r="K9606" s="161">
        <f>K9604</f>
        <v>4200</v>
      </c>
      <c r="L9606" s="250">
        <v>1</v>
      </c>
      <c r="M9606" s="163" t="str">
        <f>CONCATENATE(H9606," ",F9606,"*",I9606,"/",K9606,"чел")</f>
        <v>2 замера*0,080167/4200чел</v>
      </c>
      <c r="N9606" s="278">
        <f t="shared" si="2756"/>
        <v>40794</v>
      </c>
      <c r="O9606" s="280">
        <f t="shared" si="2754"/>
        <v>1.5573009999999998</v>
      </c>
      <c r="P9606" s="166"/>
      <c r="Q9606" s="166">
        <f t="shared" si="2755"/>
        <v>6540.6641999999993</v>
      </c>
      <c r="R9606" s="71"/>
    </row>
    <row r="9607" spans="1:41" s="61" customFormat="1" ht="47.25" x14ac:dyDescent="0.25">
      <c r="A9607" s="358"/>
      <c r="B9607" s="361"/>
      <c r="C9607" s="366"/>
      <c r="D9607" s="156" t="s">
        <v>399</v>
      </c>
      <c r="E9607" s="156" t="s">
        <v>60</v>
      </c>
      <c r="F9607" s="156" t="s">
        <v>60</v>
      </c>
      <c r="G9607" s="238">
        <f t="shared" si="2753"/>
        <v>7.634952399999999E-4</v>
      </c>
      <c r="H9607" s="158">
        <f>$H$2112</f>
        <v>4</v>
      </c>
      <c r="I9607" s="159">
        <f>I9606</f>
        <v>8.0167000000000002E-2</v>
      </c>
      <c r="J9607" s="160"/>
      <c r="K9607" s="161">
        <f>K9606</f>
        <v>4200</v>
      </c>
      <c r="L9607" s="250">
        <v>10</v>
      </c>
      <c r="M9607" s="163" t="str">
        <f>CONCATENATE(H9607," ",F9607,"*",L9607,"мес.","*",I9607,"/",K9607,"чел")</f>
        <v>4 шт.*10мес.*0,080167/4200чел</v>
      </c>
      <c r="N9607" s="278">
        <f t="shared" si="2756"/>
        <v>2623.4625000000001</v>
      </c>
      <c r="O9607" s="280">
        <f t="shared" si="2754"/>
        <v>2.0030009999999998</v>
      </c>
      <c r="P9607" s="166"/>
      <c r="Q9607" s="166">
        <f t="shared" si="2755"/>
        <v>8412.6041999999998</v>
      </c>
      <c r="R9607" s="71"/>
    </row>
    <row r="9608" spans="1:41" s="61" customFormat="1" ht="47.25" x14ac:dyDescent="0.25">
      <c r="A9608" s="358"/>
      <c r="B9608" s="361"/>
      <c r="C9608" s="366"/>
      <c r="D9608" s="156" t="s">
        <v>36</v>
      </c>
      <c r="E9608" s="156" t="s">
        <v>31</v>
      </c>
      <c r="F9608" s="156" t="s">
        <v>224</v>
      </c>
      <c r="G9608" s="238">
        <f t="shared" si="2753"/>
        <v>1.8323885699999998E-3</v>
      </c>
      <c r="H9608" s="158">
        <f>H8890</f>
        <v>8</v>
      </c>
      <c r="I9608" s="159">
        <f>I9607</f>
        <v>8.0167000000000002E-2</v>
      </c>
      <c r="J9608" s="160"/>
      <c r="K9608" s="161">
        <f>K9607</f>
        <v>4200</v>
      </c>
      <c r="L9608" s="250">
        <v>12</v>
      </c>
      <c r="M9608" s="163" t="str">
        <f>CONCATENATE(H9608," ",F9608,"*",L9608,"мес.","*",I9608,"/",K9608,"чел")</f>
        <v>8 устройств*12мес.*0,080167/4200чел</v>
      </c>
      <c r="N9608" s="278">
        <f t="shared" si="2756"/>
        <v>2393.2480208333336</v>
      </c>
      <c r="O9608" s="280">
        <f t="shared" si="2754"/>
        <v>4.3853599999999995</v>
      </c>
      <c r="P9608" s="166"/>
      <c r="Q9608" s="166">
        <f t="shared" si="2755"/>
        <v>18418.511999999999</v>
      </c>
      <c r="R9608" s="71"/>
    </row>
    <row r="9609" spans="1:41" s="61" customFormat="1" ht="63" x14ac:dyDescent="0.25">
      <c r="A9609" s="358"/>
      <c r="B9609" s="361"/>
      <c r="C9609" s="366"/>
      <c r="D9609" s="156" t="s">
        <v>253</v>
      </c>
      <c r="E9609" s="156" t="s">
        <v>55</v>
      </c>
      <c r="F9609" s="156" t="s">
        <v>55</v>
      </c>
      <c r="G9609" s="238">
        <f t="shared" si="2753"/>
        <v>1.1452428599999999E-3</v>
      </c>
      <c r="H9609" s="158">
        <f>H8891</f>
        <v>5</v>
      </c>
      <c r="I9609" s="159">
        <f>I9608</f>
        <v>8.0167000000000002E-2</v>
      </c>
      <c r="J9609" s="160"/>
      <c r="K9609" s="161">
        <f>K9608</f>
        <v>4200</v>
      </c>
      <c r="L9609" s="250">
        <v>12</v>
      </c>
      <c r="M9609" s="163" t="str">
        <f>CONCATENATE(H9609," ",F9609,"*",I9609,"/",K9609,"чел")</f>
        <v>5 система*0,080167/4200чел</v>
      </c>
      <c r="N9609" s="278">
        <f t="shared" si="2756"/>
        <v>4624.4081666666671</v>
      </c>
      <c r="O9609" s="280">
        <f t="shared" si="2754"/>
        <v>5.2960699999999994</v>
      </c>
      <c r="P9609" s="166"/>
      <c r="Q9609" s="166">
        <f t="shared" si="2755"/>
        <v>22243.493999999999</v>
      </c>
      <c r="R9609" s="71"/>
    </row>
    <row r="9610" spans="1:41" s="61" customFormat="1" ht="31.5" x14ac:dyDescent="0.25">
      <c r="A9610" s="358"/>
      <c r="B9610" s="361"/>
      <c r="C9610" s="366"/>
      <c r="D9610" s="156" t="s">
        <v>99</v>
      </c>
      <c r="E9610" s="156" t="s">
        <v>103</v>
      </c>
      <c r="F9610" s="156" t="s">
        <v>225</v>
      </c>
      <c r="G9610" s="238">
        <f t="shared" si="2753"/>
        <v>4.7718451999999995E-4</v>
      </c>
      <c r="H9610" s="158">
        <f>H8892</f>
        <v>25</v>
      </c>
      <c r="I9610" s="159">
        <f>I9609</f>
        <v>8.0167000000000002E-2</v>
      </c>
      <c r="J9610" s="160"/>
      <c r="K9610" s="161">
        <f>K9609</f>
        <v>4200</v>
      </c>
      <c r="L9610" s="250">
        <v>1</v>
      </c>
      <c r="M9610" s="163" t="str">
        <f>CONCATENATE(H9610," ",F9610,"*",I9610,"/",K9610,"чел.")</f>
        <v>25 ед.*0,080167/4200чел.</v>
      </c>
      <c r="N9610" s="164">
        <f t="shared" si="2756"/>
        <v>15690</v>
      </c>
      <c r="O9610" s="165">
        <f>MROUND(G9610*N9610,0.000001)</f>
        <v>7.487025</v>
      </c>
      <c r="P9610" s="166"/>
      <c r="Q9610" s="166">
        <f t="shared" si="2755"/>
        <v>31445.505000000001</v>
      </c>
      <c r="R9610" s="71"/>
    </row>
    <row r="9611" spans="1:41" s="61" customFormat="1" x14ac:dyDescent="0.25">
      <c r="A9611" s="358"/>
      <c r="B9611" s="361"/>
      <c r="C9611" s="366"/>
      <c r="D9611" s="156" t="s">
        <v>27</v>
      </c>
      <c r="E9611" s="156" t="s">
        <v>28</v>
      </c>
      <c r="F9611" s="156" t="s">
        <v>28</v>
      </c>
      <c r="G9611" s="238">
        <f t="shared" si="2753"/>
        <v>2.86310714E-3</v>
      </c>
      <c r="H9611" s="160">
        <f>H8893</f>
        <v>150</v>
      </c>
      <c r="I9611" s="159">
        <f>I9609</f>
        <v>8.0167000000000002E-2</v>
      </c>
      <c r="J9611" s="160"/>
      <c r="K9611" s="161">
        <f>K9609</f>
        <v>4200</v>
      </c>
      <c r="L9611" s="250">
        <v>1</v>
      </c>
      <c r="M9611" s="163" t="str">
        <f>CONCATENATE(H9611," ",F9611,"*",I9611,"/",K9611,"чел")</f>
        <v>150 шт*0,080167/4200чел</v>
      </c>
      <c r="N9611" s="278">
        <f t="shared" si="2756"/>
        <v>435.13599999999997</v>
      </c>
      <c r="O9611" s="280">
        <f t="shared" ref="O9611:O9612" si="2757">MROUND(N9611*G9611,0.000001)</f>
        <v>1.245841</v>
      </c>
      <c r="P9611" s="166"/>
      <c r="Q9611" s="166">
        <f t="shared" si="2755"/>
        <v>5232.5321999999996</v>
      </c>
      <c r="R9611" s="71"/>
    </row>
    <row r="9612" spans="1:41" s="61" customFormat="1" ht="31.5" x14ac:dyDescent="0.25">
      <c r="A9612" s="358"/>
      <c r="B9612" s="361"/>
      <c r="C9612" s="367"/>
      <c r="D9612" s="156" t="s">
        <v>104</v>
      </c>
      <c r="E9612" s="156" t="s">
        <v>105</v>
      </c>
      <c r="F9612" s="156" t="s">
        <v>226</v>
      </c>
      <c r="G9612" s="238">
        <f t="shared" si="2753"/>
        <v>9.5436899999999994E-5</v>
      </c>
      <c r="H9612" s="160">
        <f>H8894</f>
        <v>5</v>
      </c>
      <c r="I9612" s="159">
        <f>I9611</f>
        <v>8.0167000000000002E-2</v>
      </c>
      <c r="J9612" s="160"/>
      <c r="K9612" s="161">
        <f>K9611</f>
        <v>4200</v>
      </c>
      <c r="L9612" s="250">
        <v>1</v>
      </c>
      <c r="M9612" s="163" t="str">
        <f>CONCATENATE(H9612," ",F9612,"*",I9612,"/",K9612,"чел")</f>
        <v>5 отключений*0,080167/4200чел</v>
      </c>
      <c r="N9612" s="278">
        <f t="shared" si="2756"/>
        <v>9790.56</v>
      </c>
      <c r="O9612" s="280">
        <f t="shared" si="2757"/>
        <v>0.93438099999999991</v>
      </c>
      <c r="P9612" s="166"/>
      <c r="Q9612" s="166">
        <f t="shared" si="2755"/>
        <v>3924.4001999999996</v>
      </c>
      <c r="R9612" s="71"/>
    </row>
    <row r="9613" spans="1:41" s="109" customFormat="1" x14ac:dyDescent="0.25">
      <c r="A9613" s="358"/>
      <c r="B9613" s="361"/>
      <c r="C9613" s="249" t="s">
        <v>326</v>
      </c>
      <c r="D9613" s="240"/>
      <c r="E9613" s="240"/>
      <c r="F9613" s="240"/>
      <c r="G9613" s="227"/>
      <c r="H9613" s="228"/>
      <c r="I9613" s="206"/>
      <c r="J9613" s="228"/>
      <c r="K9613" s="207"/>
      <c r="L9613" s="257"/>
      <c r="M9613" s="209"/>
      <c r="N9613" s="281"/>
      <c r="O9613" s="279">
        <f>SUM(O9598:O9612)</f>
        <v>31.240052999999996</v>
      </c>
      <c r="P9613" s="267"/>
      <c r="Q9613" s="166"/>
      <c r="R9613" s="71"/>
      <c r="S9613" s="62"/>
      <c r="T9613" s="62"/>
      <c r="U9613" s="62"/>
      <c r="V9613" s="62"/>
      <c r="W9613" s="62"/>
      <c r="X9613" s="62"/>
      <c r="Y9613" s="62"/>
      <c r="Z9613" s="62"/>
      <c r="AA9613" s="62"/>
      <c r="AB9613" s="62"/>
      <c r="AC9613" s="62"/>
      <c r="AD9613" s="62"/>
      <c r="AE9613" s="62"/>
      <c r="AF9613" s="62"/>
      <c r="AG9613" s="62"/>
      <c r="AH9613" s="62"/>
      <c r="AI9613" s="62"/>
      <c r="AJ9613" s="62"/>
      <c r="AK9613" s="62"/>
      <c r="AL9613" s="62"/>
      <c r="AM9613" s="62"/>
      <c r="AN9613" s="62"/>
      <c r="AO9613" s="62"/>
    </row>
    <row r="9614" spans="1:41" s="61" customFormat="1" ht="31.5" x14ac:dyDescent="0.25">
      <c r="A9614" s="358"/>
      <c r="B9614" s="361"/>
      <c r="C9614" s="221" t="s">
        <v>79</v>
      </c>
      <c r="D9614" s="156" t="s">
        <v>37</v>
      </c>
      <c r="E9614" s="156" t="s">
        <v>61</v>
      </c>
      <c r="F9614" s="156" t="s">
        <v>254</v>
      </c>
      <c r="G9614" s="238">
        <f>MROUND(H9614*L9614*I9614/K9614,0.00000000001)</f>
        <v>1.9087379999999998E-5</v>
      </c>
      <c r="H9614" s="158">
        <f>$H$2119</f>
        <v>1</v>
      </c>
      <c r="I9614" s="159">
        <f>I9612</f>
        <v>8.0167000000000002E-2</v>
      </c>
      <c r="J9614" s="160"/>
      <c r="K9614" s="161">
        <f>K9612</f>
        <v>4200</v>
      </c>
      <c r="L9614" s="250">
        <v>1</v>
      </c>
      <c r="M9614" s="163" t="str">
        <f>CONCATENATE(H9614," ",F9614,"*",I9614,"/",K9614,"чел")</f>
        <v>1 автобус*0,080167/4200чел</v>
      </c>
      <c r="N9614" s="278">
        <f>N8896</f>
        <v>25403.41</v>
      </c>
      <c r="O9614" s="280">
        <f>MROUND(N9614*G9614,0.000001)</f>
        <v>0.48488499999999995</v>
      </c>
      <c r="P9614" s="166"/>
      <c r="Q9614" s="166">
        <f>O9614*K9614</f>
        <v>2036.5169999999998</v>
      </c>
      <c r="R9614" s="71"/>
    </row>
    <row r="9615" spans="1:41" s="61" customFormat="1" x14ac:dyDescent="0.25">
      <c r="A9615" s="358"/>
      <c r="B9615" s="361"/>
      <c r="C9615" s="221"/>
      <c r="D9615" s="156" t="s">
        <v>255</v>
      </c>
      <c r="E9615" s="156" t="s">
        <v>28</v>
      </c>
      <c r="F9615" s="156" t="s">
        <v>28</v>
      </c>
      <c r="G9615" s="238">
        <f>MROUND(H9615*L9615*I9615/K9615,0.00000000001)</f>
        <v>1.3170292859999998E-2</v>
      </c>
      <c r="H9615" s="158">
        <f>H8897</f>
        <v>345</v>
      </c>
      <c r="I9615" s="159">
        <f>I9614</f>
        <v>8.0167000000000002E-2</v>
      </c>
      <c r="J9615" s="160"/>
      <c r="K9615" s="161">
        <f>K9614</f>
        <v>4200</v>
      </c>
      <c r="L9615" s="250">
        <v>2</v>
      </c>
      <c r="M9615" s="163" t="str">
        <f>CONCATENATE(H9615," ",F9615,"*",L9615,"раза в год","*",I9615,"/",K9615,"чел")</f>
        <v>345 шт*2раза в год*0,080167/4200чел</v>
      </c>
      <c r="N9615" s="278">
        <f>N8897</f>
        <v>474.29824637681156</v>
      </c>
      <c r="O9615" s="280">
        <f>MROUND(N9615*G9615,0.000001)</f>
        <v>6.2466469999999994</v>
      </c>
      <c r="P9615" s="166"/>
      <c r="Q9615" s="166">
        <f>O9615*K9615</f>
        <v>26235.917399999998</v>
      </c>
      <c r="R9615" s="71"/>
    </row>
    <row r="9616" spans="1:41" s="109" customFormat="1" x14ac:dyDescent="0.25">
      <c r="A9616" s="358"/>
      <c r="B9616" s="361"/>
      <c r="C9616" s="218" t="s">
        <v>328</v>
      </c>
      <c r="D9616" s="240"/>
      <c r="E9616" s="240"/>
      <c r="F9616" s="240"/>
      <c r="G9616" s="227"/>
      <c r="H9616" s="241"/>
      <c r="I9616" s="206"/>
      <c r="J9616" s="228"/>
      <c r="K9616" s="207"/>
      <c r="L9616" s="257"/>
      <c r="M9616" s="209"/>
      <c r="N9616" s="281"/>
      <c r="O9616" s="279">
        <f>O9615+O9614</f>
        <v>6.7315319999999996</v>
      </c>
      <c r="P9616" s="267"/>
      <c r="Q9616" s="166"/>
      <c r="R9616" s="71"/>
      <c r="S9616" s="62"/>
      <c r="T9616" s="62"/>
      <c r="U9616" s="62"/>
      <c r="V9616" s="62"/>
      <c r="W9616" s="62"/>
      <c r="X9616" s="62"/>
      <c r="Y9616" s="62"/>
      <c r="Z9616" s="62"/>
      <c r="AA9616" s="62"/>
      <c r="AB9616" s="62"/>
      <c r="AC9616" s="62"/>
      <c r="AD9616" s="62"/>
      <c r="AE9616" s="62"/>
      <c r="AF9616" s="62"/>
      <c r="AG9616" s="62"/>
      <c r="AH9616" s="62"/>
      <c r="AI9616" s="62"/>
      <c r="AJ9616" s="62"/>
      <c r="AK9616" s="62"/>
      <c r="AL9616" s="62"/>
      <c r="AM9616" s="62"/>
      <c r="AN9616" s="62"/>
      <c r="AO9616" s="62"/>
    </row>
    <row r="9617" spans="1:41" s="61" customFormat="1" x14ac:dyDescent="0.25">
      <c r="A9617" s="358"/>
      <c r="B9617" s="361"/>
      <c r="C9617" s="364" t="s">
        <v>80</v>
      </c>
      <c r="D9617" s="156" t="s">
        <v>38</v>
      </c>
      <c r="E9617" s="156" t="s">
        <v>57</v>
      </c>
      <c r="F9617" s="156" t="s">
        <v>228</v>
      </c>
      <c r="G9617" s="238">
        <f t="shared" ref="G9617:G9628" si="2758">MROUND(H9617*L9617*I9617/K9617,0.00000000001)</f>
        <v>1.8323885699999998E-3</v>
      </c>
      <c r="H9617" s="158">
        <f>H8899</f>
        <v>8</v>
      </c>
      <c r="I9617" s="159">
        <f>I9614</f>
        <v>8.0167000000000002E-2</v>
      </c>
      <c r="J9617" s="160"/>
      <c r="K9617" s="161">
        <f>K9614</f>
        <v>4200</v>
      </c>
      <c r="L9617" s="250">
        <v>12</v>
      </c>
      <c r="M9617" s="163" t="str">
        <f>CONCATENATE(H9617," ",F9617,"*",L9617,"мес.","*",I9617,"/",K9617,"чел")</f>
        <v>8 зданий*12мес.*0,080167/4200чел</v>
      </c>
      <c r="N9617" s="278">
        <f t="shared" ref="N9617:N9626" si="2759">N8899</f>
        <v>5107.0063541666668</v>
      </c>
      <c r="O9617" s="280">
        <f t="shared" ref="O9617:O9628" si="2760">MROUND(N9617*G9617,0.000001)</f>
        <v>9.3580199999999998</v>
      </c>
      <c r="P9617" s="166"/>
      <c r="Q9617" s="166">
        <f t="shared" ref="Q9617:Q9628" si="2761">O9617*K9617</f>
        <v>39303.684000000001</v>
      </c>
      <c r="R9617" s="71"/>
    </row>
    <row r="9618" spans="1:41" s="61" customFormat="1" x14ac:dyDescent="0.25">
      <c r="A9618" s="358"/>
      <c r="B9618" s="361"/>
      <c r="C9618" s="364"/>
      <c r="D9618" s="156" t="s">
        <v>256</v>
      </c>
      <c r="E9618" s="156" t="s">
        <v>20</v>
      </c>
      <c r="F9618" s="156" t="s">
        <v>20</v>
      </c>
      <c r="G9618" s="238">
        <f t="shared" si="2758"/>
        <v>3.5693402399999997E-3</v>
      </c>
      <c r="H9618" s="158">
        <f>H8900</f>
        <v>187</v>
      </c>
      <c r="I9618" s="159">
        <f>I9615</f>
        <v>8.0167000000000002E-2</v>
      </c>
      <c r="J9618" s="160"/>
      <c r="K9618" s="161">
        <f>K9615</f>
        <v>4200</v>
      </c>
      <c r="L9618" s="250">
        <v>1</v>
      </c>
      <c r="M9618" s="163" t="str">
        <f t="shared" ref="M9618:M9624" si="2762">CONCATENATE(H9618," ",F9618,"*",I9618,"/",K9618,"чел")</f>
        <v>187 чел.*0,080167/4200чел</v>
      </c>
      <c r="N9618" s="278">
        <f t="shared" si="2759"/>
        <v>2015.7675401069516</v>
      </c>
      <c r="O9618" s="280">
        <f t="shared" si="2760"/>
        <v>7.19496</v>
      </c>
      <c r="P9618" s="166"/>
      <c r="Q9618" s="166">
        <f t="shared" si="2761"/>
        <v>30218.831999999999</v>
      </c>
      <c r="R9618" s="71"/>
    </row>
    <row r="9619" spans="1:41" s="61" customFormat="1" ht="63" x14ac:dyDescent="0.25">
      <c r="A9619" s="358"/>
      <c r="B9619" s="361"/>
      <c r="C9619" s="364"/>
      <c r="D9619" s="156" t="s">
        <v>39</v>
      </c>
      <c r="E9619" s="156" t="s">
        <v>20</v>
      </c>
      <c r="F9619" s="156" t="s">
        <v>234</v>
      </c>
      <c r="G9619" s="238">
        <f t="shared" si="2758"/>
        <v>1.7178642999999999E-4</v>
      </c>
      <c r="H9619" s="158">
        <f>H8901</f>
        <v>9</v>
      </c>
      <c r="I9619" s="159">
        <f>I9617</f>
        <v>8.0167000000000002E-2</v>
      </c>
      <c r="J9619" s="160"/>
      <c r="K9619" s="161">
        <f>K9617</f>
        <v>4200</v>
      </c>
      <c r="L9619" s="250">
        <v>1</v>
      </c>
      <c r="M9619" s="163" t="str">
        <f t="shared" si="2762"/>
        <v>9 чел(заявленная потребность руководителями учреждений)*0,080167/4200чел</v>
      </c>
      <c r="N9619" s="278">
        <f t="shared" si="2759"/>
        <v>830.02333333333343</v>
      </c>
      <c r="O9619" s="280">
        <f t="shared" si="2760"/>
        <v>0.14258699999999999</v>
      </c>
      <c r="P9619" s="166"/>
      <c r="Q9619" s="166">
        <f t="shared" si="2761"/>
        <v>598.86539999999991</v>
      </c>
      <c r="R9619" s="71"/>
    </row>
    <row r="9620" spans="1:41" s="61" customFormat="1" ht="63" x14ac:dyDescent="0.25">
      <c r="A9620" s="358"/>
      <c r="B9620" s="361"/>
      <c r="C9620" s="364"/>
      <c r="D9620" s="156" t="s">
        <v>40</v>
      </c>
      <c r="E9620" s="156" t="s">
        <v>20</v>
      </c>
      <c r="F9620" s="156" t="s">
        <v>234</v>
      </c>
      <c r="G9620" s="238">
        <f t="shared" si="2758"/>
        <v>2.4813594999999997E-4</v>
      </c>
      <c r="H9620" s="158">
        <f>H8902</f>
        <v>13</v>
      </c>
      <c r="I9620" s="159">
        <f t="shared" ref="I9620:I9625" si="2763">I9619</f>
        <v>8.0167000000000002E-2</v>
      </c>
      <c r="J9620" s="160"/>
      <c r="K9620" s="161">
        <f t="shared" ref="K9620:K9625" si="2764">K9619</f>
        <v>4200</v>
      </c>
      <c r="L9620" s="250">
        <v>1</v>
      </c>
      <c r="M9620" s="163" t="str">
        <f t="shared" si="2762"/>
        <v>13 чел(заявленная потребность руководителями учреждений)*0,080167/4200чел</v>
      </c>
      <c r="N9620" s="278">
        <f t="shared" si="2759"/>
        <v>1778.6192307692306</v>
      </c>
      <c r="O9620" s="280">
        <f t="shared" si="2760"/>
        <v>0.44133899999999998</v>
      </c>
      <c r="P9620" s="166"/>
      <c r="Q9620" s="166">
        <f t="shared" si="2761"/>
        <v>1853.6237999999998</v>
      </c>
      <c r="R9620" s="71"/>
    </row>
    <row r="9621" spans="1:41" s="61" customFormat="1" ht="63" x14ac:dyDescent="0.25">
      <c r="A9621" s="358"/>
      <c r="B9621" s="361"/>
      <c r="C9621" s="364"/>
      <c r="D9621" s="156" t="s">
        <v>100</v>
      </c>
      <c r="E9621" s="156" t="s">
        <v>20</v>
      </c>
      <c r="F9621" s="156" t="s">
        <v>234</v>
      </c>
      <c r="G9621" s="238">
        <f t="shared" si="2758"/>
        <v>1.3361166999999998E-4</v>
      </c>
      <c r="H9621" s="158">
        <f>H8903</f>
        <v>7</v>
      </c>
      <c r="I9621" s="159">
        <f t="shared" si="2763"/>
        <v>8.0167000000000002E-2</v>
      </c>
      <c r="J9621" s="160"/>
      <c r="K9621" s="161">
        <f t="shared" si="2764"/>
        <v>4200</v>
      </c>
      <c r="L9621" s="250">
        <v>1</v>
      </c>
      <c r="M9621" s="163" t="str">
        <f t="shared" si="2762"/>
        <v>7 чел(заявленная потребность руководителями учреждений)*0,080167/4200чел</v>
      </c>
      <c r="N9621" s="278">
        <f t="shared" si="2759"/>
        <v>3794.3871428571429</v>
      </c>
      <c r="O9621" s="280">
        <f t="shared" si="2760"/>
        <v>0.50697399999999992</v>
      </c>
      <c r="P9621" s="166"/>
      <c r="Q9621" s="166">
        <f t="shared" si="2761"/>
        <v>2129.2907999999998</v>
      </c>
      <c r="R9621" s="71"/>
    </row>
    <row r="9622" spans="1:41" s="61" customFormat="1" ht="110.25" x14ac:dyDescent="0.25">
      <c r="A9622" s="358"/>
      <c r="B9622" s="361"/>
      <c r="C9622" s="364"/>
      <c r="D9622" s="156" t="s">
        <v>235</v>
      </c>
      <c r="E9622" s="156" t="s">
        <v>50</v>
      </c>
      <c r="F9622" s="156" t="s">
        <v>230</v>
      </c>
      <c r="G9622" s="238">
        <f t="shared" si="2758"/>
        <v>9.5436899999999994E-5</v>
      </c>
      <c r="H9622" s="158">
        <v>5</v>
      </c>
      <c r="I9622" s="159">
        <f t="shared" si="2763"/>
        <v>8.0167000000000002E-2</v>
      </c>
      <c r="J9622" s="160"/>
      <c r="K9622" s="161">
        <f t="shared" si="2764"/>
        <v>4200</v>
      </c>
      <c r="L9622" s="250">
        <v>1</v>
      </c>
      <c r="M9622" s="163" t="str">
        <f t="shared" si="2762"/>
        <v>5 отчетов*0,080167/4200чел</v>
      </c>
      <c r="N9622" s="278">
        <f t="shared" si="2759"/>
        <v>7114.4699999999993</v>
      </c>
      <c r="O9622" s="280">
        <f t="shared" si="2760"/>
        <v>0.678983</v>
      </c>
      <c r="P9622" s="166"/>
      <c r="Q9622" s="166">
        <f t="shared" si="2761"/>
        <v>2851.7285999999999</v>
      </c>
      <c r="R9622" s="71"/>
    </row>
    <row r="9623" spans="1:41" s="61" customFormat="1" ht="63" x14ac:dyDescent="0.25">
      <c r="A9623" s="358"/>
      <c r="B9623" s="361"/>
      <c r="C9623" s="364"/>
      <c r="D9623" s="156" t="s">
        <v>42</v>
      </c>
      <c r="E9623" s="156" t="s">
        <v>51</v>
      </c>
      <c r="F9623" s="156" t="s">
        <v>407</v>
      </c>
      <c r="G9623" s="238">
        <f t="shared" si="2758"/>
        <v>4.9627189999999993E-4</v>
      </c>
      <c r="H9623" s="158">
        <f>H8905</f>
        <v>26</v>
      </c>
      <c r="I9623" s="159">
        <f t="shared" si="2763"/>
        <v>8.0167000000000002E-2</v>
      </c>
      <c r="J9623" s="160"/>
      <c r="K9623" s="161">
        <f t="shared" si="2764"/>
        <v>4200</v>
      </c>
      <c r="L9623" s="250">
        <v>1</v>
      </c>
      <c r="M9623" s="163" t="str">
        <f t="shared" si="2762"/>
        <v>26 ед (заявленная потребность руководителями учреждений)*0,080167/4200чел</v>
      </c>
      <c r="N9623" s="278">
        <f t="shared" si="2759"/>
        <v>1185.7457692307694</v>
      </c>
      <c r="O9623" s="280">
        <f t="shared" si="2760"/>
        <v>0.58845199999999998</v>
      </c>
      <c r="P9623" s="166"/>
      <c r="Q9623" s="166">
        <f t="shared" si="2761"/>
        <v>2471.4983999999999</v>
      </c>
      <c r="R9623" s="71"/>
    </row>
    <row r="9624" spans="1:41" s="61" customFormat="1" ht="31.5" x14ac:dyDescent="0.25">
      <c r="A9624" s="358"/>
      <c r="B9624" s="361"/>
      <c r="C9624" s="364"/>
      <c r="D9624" s="156" t="s">
        <v>43</v>
      </c>
      <c r="E9624" s="156" t="s">
        <v>52</v>
      </c>
      <c r="F9624" s="156" t="s">
        <v>231</v>
      </c>
      <c r="G9624" s="238">
        <f t="shared" si="2758"/>
        <v>9.5436899999999994E-5</v>
      </c>
      <c r="H9624" s="158">
        <v>5</v>
      </c>
      <c r="I9624" s="159">
        <f t="shared" si="2763"/>
        <v>8.0167000000000002E-2</v>
      </c>
      <c r="J9624" s="160"/>
      <c r="K9624" s="161">
        <f t="shared" si="2764"/>
        <v>4200</v>
      </c>
      <c r="L9624" s="250">
        <v>1</v>
      </c>
      <c r="M9624" s="163" t="str">
        <f t="shared" si="2762"/>
        <v>5 ЭЦП*0,080167/4200чел</v>
      </c>
      <c r="N9624" s="278">
        <f t="shared" si="2759"/>
        <v>8423.5400000000009</v>
      </c>
      <c r="O9624" s="280">
        <f t="shared" si="2760"/>
        <v>0.80391699999999999</v>
      </c>
      <c r="P9624" s="166"/>
      <c r="Q9624" s="166">
        <f t="shared" si="2761"/>
        <v>3376.4513999999999</v>
      </c>
      <c r="R9624" s="71"/>
    </row>
    <row r="9625" spans="1:41" s="61" customFormat="1" x14ac:dyDescent="0.25">
      <c r="A9625" s="358"/>
      <c r="B9625" s="361"/>
      <c r="C9625" s="364"/>
      <c r="D9625" s="156" t="s">
        <v>373</v>
      </c>
      <c r="E9625" s="156" t="s">
        <v>28</v>
      </c>
      <c r="F9625" s="156" t="s">
        <v>28</v>
      </c>
      <c r="G9625" s="238">
        <f t="shared" si="2758"/>
        <v>9.5436899999999994E-5</v>
      </c>
      <c r="H9625" s="158">
        <f>H8907</f>
        <v>5</v>
      </c>
      <c r="I9625" s="159">
        <f t="shared" si="2763"/>
        <v>8.0167000000000002E-2</v>
      </c>
      <c r="J9625" s="160"/>
      <c r="K9625" s="161">
        <f t="shared" si="2764"/>
        <v>4200</v>
      </c>
      <c r="L9625" s="250">
        <v>1</v>
      </c>
      <c r="M9625" s="163" t="str">
        <f>CONCATENATE(H9625," ",F9625,"*",I9625,"/",K9625,"чел/час")</f>
        <v>5 шт*0,080167/4200чел/час</v>
      </c>
      <c r="N9625" s="278">
        <f t="shared" si="2759"/>
        <v>24000</v>
      </c>
      <c r="O9625" s="280">
        <f t="shared" si="2760"/>
        <v>2.290486</v>
      </c>
      <c r="P9625" s="166"/>
      <c r="Q9625" s="166">
        <f t="shared" si="2761"/>
        <v>9620.0411999999997</v>
      </c>
      <c r="R9625" s="71"/>
    </row>
    <row r="9626" spans="1:41" s="61" customFormat="1" ht="63" x14ac:dyDescent="0.25">
      <c r="A9626" s="358"/>
      <c r="B9626" s="361"/>
      <c r="C9626" s="364"/>
      <c r="D9626" s="156" t="s">
        <v>45</v>
      </c>
      <c r="E9626" s="156" t="s">
        <v>53</v>
      </c>
      <c r="F9626" s="156" t="s">
        <v>257</v>
      </c>
      <c r="G9626" s="238">
        <f t="shared" si="2758"/>
        <v>2.2904856999999998E-4</v>
      </c>
      <c r="H9626" s="158">
        <v>1</v>
      </c>
      <c r="I9626" s="159">
        <f>I9624</f>
        <v>8.0167000000000002E-2</v>
      </c>
      <c r="J9626" s="160"/>
      <c r="K9626" s="161">
        <f>K9624</f>
        <v>4200</v>
      </c>
      <c r="L9626" s="250">
        <v>12</v>
      </c>
      <c r="M9626" s="163" t="str">
        <f>CONCATENATE(H9626," ",F9626,"*",L9626,"мес.","*",I9626,"/",K9626,"чел")</f>
        <v>1  машина, оборудованная системой ГЛОНАСС*12мес.*0,080167/4200чел</v>
      </c>
      <c r="N9626" s="278">
        <f t="shared" si="2759"/>
        <v>958.08249999999998</v>
      </c>
      <c r="O9626" s="280">
        <f t="shared" si="2760"/>
        <v>0.219447</v>
      </c>
      <c r="P9626" s="166"/>
      <c r="Q9626" s="166">
        <f t="shared" si="2761"/>
        <v>921.67740000000003</v>
      </c>
      <c r="R9626" s="71"/>
    </row>
    <row r="9627" spans="1:41" s="136" customFormat="1" ht="47.25" x14ac:dyDescent="0.25">
      <c r="A9627" s="358"/>
      <c r="B9627" s="361"/>
      <c r="C9627" s="364"/>
      <c r="D9627" s="156" t="s">
        <v>44</v>
      </c>
      <c r="E9627" s="156" t="s">
        <v>85</v>
      </c>
      <c r="F9627" s="156" t="s">
        <v>232</v>
      </c>
      <c r="G9627" s="238">
        <f t="shared" si="2758"/>
        <v>5.8025638099999995E-3</v>
      </c>
      <c r="H9627" s="158">
        <f>$H$2132</f>
        <v>304</v>
      </c>
      <c r="I9627" s="159">
        <f>I9626</f>
        <v>8.0167000000000002E-2</v>
      </c>
      <c r="J9627" s="160"/>
      <c r="K9627" s="161">
        <f>K9626</f>
        <v>4200</v>
      </c>
      <c r="L9627" s="250">
        <v>1</v>
      </c>
      <c r="M9627" s="163" t="str">
        <f>CONCATENATE(H9627," ",F9627,"*",L9627,"мес.","*",I9627,"/",K9627,"чел.")</f>
        <v>304 мед.осмотров в мес.*1мес.*0,080167/4200чел.</v>
      </c>
      <c r="N9627" s="278">
        <f>$N$8909</f>
        <v>54.392006578947374</v>
      </c>
      <c r="O9627" s="280">
        <f t="shared" si="2760"/>
        <v>0.31561299999999998</v>
      </c>
      <c r="P9627" s="166"/>
      <c r="Q9627" s="166">
        <f t="shared" si="2761"/>
        <v>1325.5745999999999</v>
      </c>
      <c r="R9627" s="71"/>
      <c r="S9627" s="71"/>
      <c r="T9627" s="61"/>
      <c r="U9627" s="61"/>
      <c r="V9627" s="61"/>
      <c r="W9627" s="61"/>
      <c r="X9627" s="61"/>
      <c r="Y9627" s="61"/>
      <c r="Z9627" s="61"/>
      <c r="AA9627" s="61"/>
      <c r="AB9627" s="61"/>
      <c r="AC9627" s="61"/>
      <c r="AD9627" s="61"/>
      <c r="AE9627" s="61"/>
      <c r="AF9627" s="61"/>
      <c r="AG9627" s="61"/>
      <c r="AH9627" s="61"/>
      <c r="AI9627" s="61"/>
      <c r="AJ9627" s="61"/>
      <c r="AK9627" s="61"/>
      <c r="AL9627" s="61"/>
      <c r="AM9627" s="61"/>
      <c r="AN9627" s="61"/>
      <c r="AO9627" s="61"/>
    </row>
    <row r="9628" spans="1:41" s="61" customFormat="1" ht="31.5" x14ac:dyDescent="0.25">
      <c r="A9628" s="358"/>
      <c r="B9628" s="361"/>
      <c r="C9628" s="364"/>
      <c r="D9628" s="156" t="s">
        <v>408</v>
      </c>
      <c r="E9628" s="156" t="s">
        <v>20</v>
      </c>
      <c r="F9628" s="156" t="s">
        <v>20</v>
      </c>
      <c r="G9628" s="238">
        <f t="shared" si="2758"/>
        <v>0</v>
      </c>
      <c r="H9628" s="158"/>
      <c r="I9628" s="159">
        <f>I9626</f>
        <v>8.0167000000000002E-2</v>
      </c>
      <c r="J9628" s="160"/>
      <c r="K9628" s="161">
        <f>K9626</f>
        <v>4200</v>
      </c>
      <c r="L9628" s="250">
        <f>L8910</f>
        <v>1</v>
      </c>
      <c r="M9628" s="163"/>
      <c r="N9628" s="278"/>
      <c r="O9628" s="280">
        <f t="shared" si="2760"/>
        <v>0</v>
      </c>
      <c r="P9628" s="166"/>
      <c r="Q9628" s="166">
        <f t="shared" si="2761"/>
        <v>0</v>
      </c>
      <c r="R9628" s="71"/>
    </row>
    <row r="9629" spans="1:41" s="109" customFormat="1" x14ac:dyDescent="0.25">
      <c r="A9629" s="358"/>
      <c r="B9629" s="361"/>
      <c r="C9629" s="245" t="s">
        <v>329</v>
      </c>
      <c r="D9629" s="240"/>
      <c r="E9629" s="240"/>
      <c r="F9629" s="240"/>
      <c r="G9629" s="227"/>
      <c r="H9629" s="241"/>
      <c r="I9629" s="206"/>
      <c r="J9629" s="228"/>
      <c r="K9629" s="207"/>
      <c r="L9629" s="257"/>
      <c r="M9629" s="209"/>
      <c r="N9629" s="281"/>
      <c r="O9629" s="279">
        <f>SUM(O9617:O9628)</f>
        <v>22.540777999999992</v>
      </c>
      <c r="P9629" s="267"/>
      <c r="Q9629" s="166"/>
      <c r="R9629" s="71"/>
      <c r="S9629" s="62"/>
      <c r="T9629" s="62"/>
      <c r="U9629" s="62"/>
      <c r="V9629" s="62"/>
      <c r="W9629" s="62"/>
      <c r="X9629" s="62"/>
      <c r="Y9629" s="62"/>
      <c r="Z9629" s="62"/>
      <c r="AA9629" s="62"/>
      <c r="AB9629" s="62"/>
      <c r="AC9629" s="62"/>
      <c r="AD9629" s="62"/>
      <c r="AE9629" s="62"/>
      <c r="AF9629" s="62"/>
      <c r="AG9629" s="62"/>
      <c r="AH9629" s="62"/>
      <c r="AI9629" s="62"/>
      <c r="AJ9629" s="62"/>
      <c r="AK9629" s="62"/>
      <c r="AL9629" s="62"/>
      <c r="AM9629" s="62"/>
      <c r="AN9629" s="62"/>
      <c r="AO9629" s="62"/>
    </row>
    <row r="9630" spans="1:41" s="61" customFormat="1" ht="31.5" x14ac:dyDescent="0.25">
      <c r="A9630" s="358"/>
      <c r="B9630" s="361"/>
      <c r="C9630" s="252" t="s">
        <v>237</v>
      </c>
      <c r="D9630" s="156" t="s">
        <v>41</v>
      </c>
      <c r="E9630" s="156" t="s">
        <v>61</v>
      </c>
      <c r="F9630" s="156" t="s">
        <v>254</v>
      </c>
      <c r="G9630" s="238">
        <f t="shared" ref="G9630:G9641" si="2765">MROUND(H9630*L9630*I9630/K9630,0.00000000001)</f>
        <v>1.9087379999999998E-5</v>
      </c>
      <c r="H9630" s="158">
        <v>1</v>
      </c>
      <c r="I9630" s="159">
        <f>I9628</f>
        <v>8.0167000000000002E-2</v>
      </c>
      <c r="J9630" s="160"/>
      <c r="K9630" s="161">
        <f>K9628</f>
        <v>4200</v>
      </c>
      <c r="L9630" s="250">
        <v>1</v>
      </c>
      <c r="M9630" s="163" t="str">
        <f>CONCATENATE(H9630," ",F9630,"*",I9630,"/",K9630,"чел")</f>
        <v>1 автобус*0,080167/4200чел</v>
      </c>
      <c r="N9630" s="278">
        <f>N8912</f>
        <v>27983.599999999999</v>
      </c>
      <c r="O9630" s="280">
        <f t="shared" ref="O9630:O9641" si="2766">MROUND(N9630*G9630,0.000001)</f>
        <v>0.534134</v>
      </c>
      <c r="P9630" s="166"/>
      <c r="Q9630" s="166">
        <f t="shared" ref="Q9630:Q9641" si="2767">O9630*K9630</f>
        <v>2243.3627999999999</v>
      </c>
      <c r="R9630" s="71"/>
    </row>
    <row r="9631" spans="1:41" s="61" customFormat="1" ht="78.75" x14ac:dyDescent="0.25">
      <c r="A9631" s="358"/>
      <c r="B9631" s="361"/>
      <c r="C9631" s="221" t="s">
        <v>236</v>
      </c>
      <c r="D9631" s="156" t="s">
        <v>19</v>
      </c>
      <c r="E9631" s="181" t="s">
        <v>20</v>
      </c>
      <c r="F9631" s="181" t="s">
        <v>238</v>
      </c>
      <c r="G9631" s="238">
        <f t="shared" si="2765"/>
        <v>0</v>
      </c>
      <c r="H9631" s="158"/>
      <c r="I9631" s="159">
        <f>I9628</f>
        <v>8.0167000000000002E-2</v>
      </c>
      <c r="J9631" s="160"/>
      <c r="K9631" s="161">
        <f>K9628</f>
        <v>4200</v>
      </c>
      <c r="L9631" s="250"/>
      <c r="M9631" s="163"/>
      <c r="N9631" s="278"/>
      <c r="O9631" s="280">
        <f t="shared" si="2766"/>
        <v>0</v>
      </c>
      <c r="P9631" s="166"/>
      <c r="Q9631" s="166">
        <f t="shared" si="2767"/>
        <v>0</v>
      </c>
      <c r="R9631" s="71"/>
    </row>
    <row r="9632" spans="1:41" s="136" customFormat="1" ht="31.5" x14ac:dyDescent="0.25">
      <c r="A9632" s="358"/>
      <c r="B9632" s="361"/>
      <c r="C9632" s="372" t="s">
        <v>81</v>
      </c>
      <c r="D9632" s="156" t="s">
        <v>419</v>
      </c>
      <c r="E9632" s="156" t="s">
        <v>28</v>
      </c>
      <c r="F9632" s="156" t="s">
        <v>439</v>
      </c>
      <c r="G9632" s="238">
        <f t="shared" si="2765"/>
        <v>0</v>
      </c>
      <c r="H9632" s="158"/>
      <c r="I9632" s="159">
        <f>I9631</f>
        <v>8.0167000000000002E-2</v>
      </c>
      <c r="J9632" s="160"/>
      <c r="K9632" s="161">
        <f>K9631</f>
        <v>4200</v>
      </c>
      <c r="L9632" s="250">
        <v>1</v>
      </c>
      <c r="M9632" s="163"/>
      <c r="N9632" s="278"/>
      <c r="O9632" s="280">
        <f t="shared" si="2766"/>
        <v>0</v>
      </c>
      <c r="P9632" s="166"/>
      <c r="Q9632" s="166">
        <f t="shared" si="2767"/>
        <v>0</v>
      </c>
      <c r="R9632" s="71"/>
      <c r="S9632" s="61"/>
      <c r="T9632" s="71"/>
      <c r="U9632" s="61"/>
      <c r="V9632" s="61"/>
      <c r="W9632" s="61"/>
      <c r="X9632" s="61"/>
      <c r="Y9632" s="61"/>
      <c r="Z9632" s="61"/>
      <c r="AA9632" s="61"/>
      <c r="AB9632" s="61"/>
      <c r="AC9632" s="61"/>
      <c r="AD9632" s="61"/>
      <c r="AE9632" s="61"/>
      <c r="AF9632" s="61"/>
      <c r="AG9632" s="61"/>
      <c r="AH9632" s="61"/>
      <c r="AI9632" s="61"/>
      <c r="AJ9632" s="61"/>
      <c r="AK9632" s="61"/>
      <c r="AL9632" s="61"/>
      <c r="AM9632" s="61"/>
      <c r="AN9632" s="61"/>
      <c r="AO9632" s="61"/>
    </row>
    <row r="9633" spans="1:41" s="136" customFormat="1" ht="31.5" x14ac:dyDescent="0.25">
      <c r="A9633" s="358"/>
      <c r="B9633" s="361"/>
      <c r="C9633" s="373"/>
      <c r="D9633" s="156" t="s">
        <v>425</v>
      </c>
      <c r="E9633" s="156" t="s">
        <v>28</v>
      </c>
      <c r="F9633" s="156" t="s">
        <v>439</v>
      </c>
      <c r="G9633" s="238">
        <f t="shared" si="2765"/>
        <v>0</v>
      </c>
      <c r="H9633" s="158"/>
      <c r="I9633" s="159">
        <f t="shared" ref="I9633:I9641" si="2768">I9632</f>
        <v>8.0167000000000002E-2</v>
      </c>
      <c r="J9633" s="160"/>
      <c r="K9633" s="161">
        <f t="shared" ref="K9633:K9641" si="2769">K9632</f>
        <v>4200</v>
      </c>
      <c r="L9633" s="250">
        <v>1</v>
      </c>
      <c r="M9633" s="163"/>
      <c r="N9633" s="278"/>
      <c r="O9633" s="280">
        <f t="shared" si="2766"/>
        <v>0</v>
      </c>
      <c r="P9633" s="166"/>
      <c r="Q9633" s="166">
        <f t="shared" si="2767"/>
        <v>0</v>
      </c>
      <c r="R9633" s="71"/>
      <c r="S9633" s="61"/>
      <c r="T9633" s="71"/>
      <c r="U9633" s="61"/>
      <c r="V9633" s="61"/>
      <c r="W9633" s="61"/>
      <c r="X9633" s="61"/>
      <c r="Y9633" s="61"/>
      <c r="Z9633" s="61"/>
      <c r="AA9633" s="61"/>
      <c r="AB9633" s="61"/>
      <c r="AC9633" s="61"/>
      <c r="AD9633" s="61"/>
      <c r="AE9633" s="61"/>
      <c r="AF9633" s="61"/>
      <c r="AG9633" s="61"/>
      <c r="AH9633" s="61"/>
      <c r="AI9633" s="61"/>
      <c r="AJ9633" s="61"/>
      <c r="AK9633" s="61"/>
      <c r="AL9633" s="61"/>
      <c r="AM9633" s="61"/>
      <c r="AN9633" s="61"/>
      <c r="AO9633" s="61"/>
    </row>
    <row r="9634" spans="1:41" s="136" customFormat="1" ht="31.5" x14ac:dyDescent="0.25">
      <c r="A9634" s="358"/>
      <c r="B9634" s="361"/>
      <c r="C9634" s="373"/>
      <c r="D9634" s="156" t="s">
        <v>426</v>
      </c>
      <c r="E9634" s="156" t="s">
        <v>28</v>
      </c>
      <c r="F9634" s="156" t="s">
        <v>439</v>
      </c>
      <c r="G9634" s="238">
        <f t="shared" si="2765"/>
        <v>0</v>
      </c>
      <c r="H9634" s="158"/>
      <c r="I9634" s="159">
        <f t="shared" si="2768"/>
        <v>8.0167000000000002E-2</v>
      </c>
      <c r="J9634" s="160"/>
      <c r="K9634" s="161">
        <f t="shared" si="2769"/>
        <v>4200</v>
      </c>
      <c r="L9634" s="250">
        <v>1</v>
      </c>
      <c r="M9634" s="163"/>
      <c r="N9634" s="278"/>
      <c r="O9634" s="280">
        <f t="shared" si="2766"/>
        <v>0</v>
      </c>
      <c r="P9634" s="166"/>
      <c r="Q9634" s="166">
        <f t="shared" si="2767"/>
        <v>0</v>
      </c>
      <c r="R9634" s="71"/>
      <c r="S9634" s="61"/>
      <c r="T9634" s="71"/>
      <c r="U9634" s="61"/>
      <c r="V9634" s="61"/>
      <c r="W9634" s="61"/>
      <c r="X9634" s="61"/>
      <c r="Y9634" s="61"/>
      <c r="Z9634" s="61"/>
      <c r="AA9634" s="61"/>
      <c r="AB9634" s="61"/>
      <c r="AC9634" s="61"/>
      <c r="AD9634" s="61"/>
      <c r="AE9634" s="61"/>
      <c r="AF9634" s="61"/>
      <c r="AG9634" s="61"/>
      <c r="AH9634" s="61"/>
      <c r="AI9634" s="61"/>
      <c r="AJ9634" s="61"/>
      <c r="AK9634" s="61"/>
      <c r="AL9634" s="61"/>
      <c r="AM9634" s="61"/>
      <c r="AN9634" s="61"/>
      <c r="AO9634" s="61"/>
    </row>
    <row r="9635" spans="1:41" s="136" customFormat="1" ht="31.5" x14ac:dyDescent="0.25">
      <c r="A9635" s="358"/>
      <c r="B9635" s="361"/>
      <c r="C9635" s="373"/>
      <c r="D9635" s="156" t="s">
        <v>427</v>
      </c>
      <c r="E9635" s="156" t="s">
        <v>28</v>
      </c>
      <c r="F9635" s="156" t="s">
        <v>439</v>
      </c>
      <c r="G9635" s="238">
        <f t="shared" si="2765"/>
        <v>0</v>
      </c>
      <c r="H9635" s="158"/>
      <c r="I9635" s="159">
        <f t="shared" si="2768"/>
        <v>8.0167000000000002E-2</v>
      </c>
      <c r="J9635" s="160"/>
      <c r="K9635" s="161">
        <f t="shared" si="2769"/>
        <v>4200</v>
      </c>
      <c r="L9635" s="250">
        <v>1</v>
      </c>
      <c r="M9635" s="163"/>
      <c r="N9635" s="278"/>
      <c r="O9635" s="280">
        <f t="shared" si="2766"/>
        <v>0</v>
      </c>
      <c r="P9635" s="166"/>
      <c r="Q9635" s="166">
        <f t="shared" si="2767"/>
        <v>0</v>
      </c>
      <c r="R9635" s="71"/>
      <c r="S9635" s="61"/>
      <c r="T9635" s="71"/>
      <c r="U9635" s="61"/>
      <c r="V9635" s="61"/>
      <c r="W9635" s="61"/>
      <c r="X9635" s="61"/>
      <c r="Y9635" s="61"/>
      <c r="Z9635" s="61"/>
      <c r="AA9635" s="61"/>
      <c r="AB9635" s="61"/>
      <c r="AC9635" s="61"/>
      <c r="AD9635" s="61"/>
      <c r="AE9635" s="61"/>
      <c r="AF9635" s="61"/>
      <c r="AG9635" s="61"/>
      <c r="AH9635" s="61"/>
      <c r="AI9635" s="61"/>
      <c r="AJ9635" s="61"/>
      <c r="AK9635" s="61"/>
      <c r="AL9635" s="61"/>
      <c r="AM9635" s="61"/>
      <c r="AN9635" s="61"/>
      <c r="AO9635" s="61"/>
    </row>
    <row r="9636" spans="1:41" s="136" customFormat="1" ht="31.5" x14ac:dyDescent="0.25">
      <c r="A9636" s="358"/>
      <c r="B9636" s="361"/>
      <c r="C9636" s="373"/>
      <c r="D9636" s="156" t="s">
        <v>428</v>
      </c>
      <c r="E9636" s="156" t="s">
        <v>28</v>
      </c>
      <c r="F9636" s="156" t="s">
        <v>439</v>
      </c>
      <c r="G9636" s="238">
        <f t="shared" si="2765"/>
        <v>0</v>
      </c>
      <c r="H9636" s="158"/>
      <c r="I9636" s="159">
        <f t="shared" si="2768"/>
        <v>8.0167000000000002E-2</v>
      </c>
      <c r="J9636" s="160"/>
      <c r="K9636" s="161">
        <f t="shared" si="2769"/>
        <v>4200</v>
      </c>
      <c r="L9636" s="250">
        <v>1</v>
      </c>
      <c r="M9636" s="163"/>
      <c r="N9636" s="278"/>
      <c r="O9636" s="280">
        <f t="shared" si="2766"/>
        <v>0</v>
      </c>
      <c r="P9636" s="166"/>
      <c r="Q9636" s="166">
        <f t="shared" si="2767"/>
        <v>0</v>
      </c>
      <c r="R9636" s="71"/>
      <c r="S9636" s="61"/>
      <c r="T9636" s="71"/>
      <c r="U9636" s="61"/>
      <c r="V9636" s="61"/>
      <c r="W9636" s="61"/>
      <c r="X9636" s="61"/>
      <c r="Y9636" s="61"/>
      <c r="Z9636" s="61"/>
      <c r="AA9636" s="61"/>
      <c r="AB9636" s="61"/>
      <c r="AC9636" s="61"/>
      <c r="AD9636" s="61"/>
      <c r="AE9636" s="61"/>
      <c r="AF9636" s="61"/>
      <c r="AG9636" s="61"/>
      <c r="AH9636" s="61"/>
      <c r="AI9636" s="61"/>
      <c r="AJ9636" s="61"/>
      <c r="AK9636" s="61"/>
      <c r="AL9636" s="61"/>
      <c r="AM9636" s="61"/>
      <c r="AN9636" s="61"/>
      <c r="AO9636" s="61"/>
    </row>
    <row r="9637" spans="1:41" s="136" customFormat="1" ht="31.5" x14ac:dyDescent="0.25">
      <c r="A9637" s="358"/>
      <c r="B9637" s="361"/>
      <c r="C9637" s="373"/>
      <c r="D9637" s="156" t="s">
        <v>429</v>
      </c>
      <c r="E9637" s="156" t="s">
        <v>28</v>
      </c>
      <c r="F9637" s="156" t="s">
        <v>439</v>
      </c>
      <c r="G9637" s="238">
        <f t="shared" si="2765"/>
        <v>0</v>
      </c>
      <c r="H9637" s="158"/>
      <c r="I9637" s="159">
        <f t="shared" si="2768"/>
        <v>8.0167000000000002E-2</v>
      </c>
      <c r="J9637" s="160"/>
      <c r="K9637" s="161">
        <f t="shared" si="2769"/>
        <v>4200</v>
      </c>
      <c r="L9637" s="250">
        <v>1</v>
      </c>
      <c r="M9637" s="163"/>
      <c r="N9637" s="278"/>
      <c r="O9637" s="280">
        <f t="shared" si="2766"/>
        <v>0</v>
      </c>
      <c r="P9637" s="166"/>
      <c r="Q9637" s="166">
        <f t="shared" si="2767"/>
        <v>0</v>
      </c>
      <c r="R9637" s="71"/>
      <c r="S9637" s="61"/>
      <c r="T9637" s="71"/>
      <c r="U9637" s="61"/>
      <c r="V9637" s="61"/>
      <c r="W9637" s="61"/>
      <c r="X9637" s="61"/>
      <c r="Y9637" s="61"/>
      <c r="Z9637" s="61"/>
      <c r="AA9637" s="61"/>
      <c r="AB9637" s="61"/>
      <c r="AC9637" s="61"/>
      <c r="AD9637" s="61"/>
      <c r="AE9637" s="61"/>
      <c r="AF9637" s="61"/>
      <c r="AG9637" s="61"/>
      <c r="AH9637" s="61"/>
      <c r="AI9637" s="61"/>
      <c r="AJ9637" s="61"/>
      <c r="AK9637" s="61"/>
      <c r="AL9637" s="61"/>
      <c r="AM9637" s="61"/>
      <c r="AN9637" s="61"/>
      <c r="AO9637" s="61"/>
    </row>
    <row r="9638" spans="1:41" s="136" customFormat="1" ht="31.5" x14ac:dyDescent="0.25">
      <c r="A9638" s="358"/>
      <c r="B9638" s="361"/>
      <c r="C9638" s="373"/>
      <c r="D9638" s="156" t="s">
        <v>110</v>
      </c>
      <c r="E9638" s="156" t="s">
        <v>28</v>
      </c>
      <c r="F9638" s="156" t="s">
        <v>439</v>
      </c>
      <c r="G9638" s="238">
        <f t="shared" si="2765"/>
        <v>0</v>
      </c>
      <c r="H9638" s="158"/>
      <c r="I9638" s="159">
        <f t="shared" si="2768"/>
        <v>8.0167000000000002E-2</v>
      </c>
      <c r="J9638" s="160"/>
      <c r="K9638" s="161">
        <f t="shared" si="2769"/>
        <v>4200</v>
      </c>
      <c r="L9638" s="250">
        <v>1</v>
      </c>
      <c r="M9638" s="163"/>
      <c r="N9638" s="278"/>
      <c r="O9638" s="280">
        <f t="shared" si="2766"/>
        <v>0</v>
      </c>
      <c r="P9638" s="166"/>
      <c r="Q9638" s="166">
        <f t="shared" si="2767"/>
        <v>0</v>
      </c>
      <c r="R9638" s="71"/>
      <c r="S9638" s="61"/>
      <c r="T9638" s="71"/>
      <c r="U9638" s="61"/>
      <c r="V9638" s="61"/>
      <c r="W9638" s="61"/>
      <c r="X9638" s="61"/>
      <c r="Y9638" s="61"/>
      <c r="Z9638" s="61"/>
      <c r="AA9638" s="61"/>
      <c r="AB9638" s="61"/>
      <c r="AC9638" s="61"/>
      <c r="AD9638" s="61"/>
      <c r="AE9638" s="61"/>
      <c r="AF9638" s="61"/>
      <c r="AG9638" s="61"/>
      <c r="AH9638" s="61"/>
      <c r="AI9638" s="61"/>
      <c r="AJ9638" s="61"/>
      <c r="AK9638" s="61"/>
      <c r="AL9638" s="61"/>
      <c r="AM9638" s="61"/>
      <c r="AN9638" s="61"/>
      <c r="AO9638" s="61"/>
    </row>
    <row r="9639" spans="1:41" s="136" customFormat="1" ht="31.5" x14ac:dyDescent="0.25">
      <c r="A9639" s="358"/>
      <c r="B9639" s="361"/>
      <c r="C9639" s="373"/>
      <c r="D9639" s="156" t="s">
        <v>112</v>
      </c>
      <c r="E9639" s="156" t="s">
        <v>28</v>
      </c>
      <c r="F9639" s="156" t="s">
        <v>439</v>
      </c>
      <c r="G9639" s="238">
        <f t="shared" si="2765"/>
        <v>0</v>
      </c>
      <c r="H9639" s="158"/>
      <c r="I9639" s="159">
        <f t="shared" si="2768"/>
        <v>8.0167000000000002E-2</v>
      </c>
      <c r="J9639" s="160"/>
      <c r="K9639" s="161">
        <f t="shared" si="2769"/>
        <v>4200</v>
      </c>
      <c r="L9639" s="250">
        <v>1</v>
      </c>
      <c r="M9639" s="163"/>
      <c r="N9639" s="278"/>
      <c r="O9639" s="280">
        <f t="shared" si="2766"/>
        <v>0</v>
      </c>
      <c r="P9639" s="166"/>
      <c r="Q9639" s="166">
        <f t="shared" si="2767"/>
        <v>0</v>
      </c>
      <c r="R9639" s="71"/>
      <c r="S9639" s="61"/>
      <c r="T9639" s="71"/>
      <c r="U9639" s="61"/>
      <c r="V9639" s="61"/>
      <c r="W9639" s="61"/>
      <c r="X9639" s="61"/>
      <c r="Y9639" s="61"/>
      <c r="Z9639" s="61"/>
      <c r="AA9639" s="61"/>
      <c r="AB9639" s="61"/>
      <c r="AC9639" s="61"/>
      <c r="AD9639" s="61"/>
      <c r="AE9639" s="61"/>
      <c r="AF9639" s="61"/>
      <c r="AG9639" s="61"/>
      <c r="AH9639" s="61"/>
      <c r="AI9639" s="61"/>
      <c r="AJ9639" s="61"/>
      <c r="AK9639" s="61"/>
      <c r="AL9639" s="61"/>
      <c r="AM9639" s="61"/>
      <c r="AN9639" s="61"/>
      <c r="AO9639" s="61"/>
    </row>
    <row r="9640" spans="1:41" s="136" customFormat="1" ht="31.5" x14ac:dyDescent="0.25">
      <c r="A9640" s="358"/>
      <c r="B9640" s="361"/>
      <c r="C9640" s="373"/>
      <c r="D9640" s="156" t="s">
        <v>111</v>
      </c>
      <c r="E9640" s="156" t="s">
        <v>28</v>
      </c>
      <c r="F9640" s="156" t="s">
        <v>439</v>
      </c>
      <c r="G9640" s="238">
        <f t="shared" si="2765"/>
        <v>0</v>
      </c>
      <c r="H9640" s="158"/>
      <c r="I9640" s="159">
        <f t="shared" si="2768"/>
        <v>8.0167000000000002E-2</v>
      </c>
      <c r="J9640" s="160"/>
      <c r="K9640" s="161">
        <f t="shared" si="2769"/>
        <v>4200</v>
      </c>
      <c r="L9640" s="250">
        <v>1</v>
      </c>
      <c r="M9640" s="163"/>
      <c r="N9640" s="278"/>
      <c r="O9640" s="280">
        <f t="shared" si="2766"/>
        <v>0</v>
      </c>
      <c r="P9640" s="166"/>
      <c r="Q9640" s="166">
        <f t="shared" si="2767"/>
        <v>0</v>
      </c>
      <c r="R9640" s="71"/>
      <c r="S9640" s="61"/>
      <c r="T9640" s="71"/>
      <c r="U9640" s="61"/>
      <c r="V9640" s="61"/>
      <c r="W9640" s="61"/>
      <c r="X9640" s="61"/>
      <c r="Y9640" s="61"/>
      <c r="Z9640" s="61"/>
      <c r="AA9640" s="61"/>
      <c r="AB9640" s="61"/>
      <c r="AC9640" s="61"/>
      <c r="AD9640" s="61"/>
      <c r="AE9640" s="61"/>
      <c r="AF9640" s="61"/>
      <c r="AG9640" s="61"/>
      <c r="AH9640" s="61"/>
      <c r="AI9640" s="61"/>
      <c r="AJ9640" s="61"/>
      <c r="AK9640" s="61"/>
      <c r="AL9640" s="61"/>
      <c r="AM9640" s="61"/>
      <c r="AN9640" s="61"/>
      <c r="AO9640" s="61"/>
    </row>
    <row r="9641" spans="1:41" s="136" customFormat="1" ht="31.5" x14ac:dyDescent="0.25">
      <c r="A9641" s="358"/>
      <c r="B9641" s="361"/>
      <c r="C9641" s="374"/>
      <c r="D9641" s="156" t="s">
        <v>438</v>
      </c>
      <c r="E9641" s="156" t="s">
        <v>28</v>
      </c>
      <c r="F9641" s="156" t="s">
        <v>439</v>
      </c>
      <c r="G9641" s="238">
        <f t="shared" si="2765"/>
        <v>0</v>
      </c>
      <c r="H9641" s="158"/>
      <c r="I9641" s="159">
        <f t="shared" si="2768"/>
        <v>8.0167000000000002E-2</v>
      </c>
      <c r="J9641" s="160"/>
      <c r="K9641" s="161">
        <f t="shared" si="2769"/>
        <v>4200</v>
      </c>
      <c r="L9641" s="250">
        <v>1</v>
      </c>
      <c r="M9641" s="163"/>
      <c r="N9641" s="278"/>
      <c r="O9641" s="280">
        <f t="shared" si="2766"/>
        <v>0</v>
      </c>
      <c r="P9641" s="166"/>
      <c r="Q9641" s="166">
        <f t="shared" si="2767"/>
        <v>0</v>
      </c>
      <c r="R9641" s="71"/>
      <c r="S9641" s="61"/>
      <c r="T9641" s="71"/>
      <c r="U9641" s="61"/>
      <c r="V9641" s="61"/>
      <c r="W9641" s="61"/>
      <c r="X9641" s="61"/>
      <c r="Y9641" s="61"/>
      <c r="Z9641" s="61"/>
      <c r="AA9641" s="61"/>
      <c r="AB9641" s="61"/>
      <c r="AC9641" s="61"/>
      <c r="AD9641" s="61"/>
      <c r="AE9641" s="61"/>
      <c r="AF9641" s="61"/>
      <c r="AG9641" s="61"/>
      <c r="AH9641" s="61"/>
      <c r="AI9641" s="61"/>
      <c r="AJ9641" s="61"/>
      <c r="AK9641" s="61"/>
      <c r="AL9641" s="61"/>
      <c r="AM9641" s="61"/>
      <c r="AN9641" s="61"/>
      <c r="AO9641" s="61"/>
    </row>
    <row r="9642" spans="1:41" s="61" customFormat="1" x14ac:dyDescent="0.25">
      <c r="A9642" s="358"/>
      <c r="B9642" s="361"/>
      <c r="C9642" s="245" t="s">
        <v>299</v>
      </c>
      <c r="D9642" s="240"/>
      <c r="E9642" s="240"/>
      <c r="F9642" s="181"/>
      <c r="G9642" s="227"/>
      <c r="H9642" s="241"/>
      <c r="I9642" s="206"/>
      <c r="J9642" s="228"/>
      <c r="K9642" s="207"/>
      <c r="L9642" s="257"/>
      <c r="M9642" s="209"/>
      <c r="N9642" s="290"/>
      <c r="O9642" s="279">
        <f>SUM(O9630:O9641)</f>
        <v>0.534134</v>
      </c>
      <c r="P9642" s="166"/>
      <c r="Q9642" s="166">
        <f>O9642*K9642</f>
        <v>0</v>
      </c>
      <c r="R9642" s="71"/>
    </row>
    <row r="9643" spans="1:41" s="61" customFormat="1" ht="47.25" x14ac:dyDescent="0.25">
      <c r="A9643" s="358"/>
      <c r="B9643" s="361"/>
      <c r="C9643" s="221" t="s">
        <v>434</v>
      </c>
      <c r="D9643" s="156" t="s">
        <v>436</v>
      </c>
      <c r="E9643" s="156" t="s">
        <v>28</v>
      </c>
      <c r="F9643" s="156" t="s">
        <v>437</v>
      </c>
      <c r="G9643" s="238">
        <f>MROUND(H9643*L9643*I9643/K9643,0.00000000001)</f>
        <v>0</v>
      </c>
      <c r="H9643" s="242">
        <f>$H$2148</f>
        <v>26</v>
      </c>
      <c r="I9643" s="159">
        <f>I9641</f>
        <v>8.0167000000000002E-2</v>
      </c>
      <c r="J9643" s="160"/>
      <c r="K9643" s="161">
        <f>K9641</f>
        <v>4200</v>
      </c>
      <c r="L9643" s="162"/>
      <c r="M9643" s="163"/>
      <c r="N9643" s="164">
        <f>$N$5536</f>
        <v>2280.2800000000002</v>
      </c>
      <c r="O9643" s="165">
        <f>MROUND(G9643*N9643,0.000001)</f>
        <v>0</v>
      </c>
      <c r="P9643" s="166"/>
      <c r="Q9643" s="166">
        <f>O9643*K9643</f>
        <v>0</v>
      </c>
      <c r="R9643" s="71"/>
    </row>
    <row r="9644" spans="1:41" s="61" customFormat="1" x14ac:dyDescent="0.25">
      <c r="A9644" s="358"/>
      <c r="B9644" s="361"/>
      <c r="C9644" s="218" t="s">
        <v>435</v>
      </c>
      <c r="D9644" s="240"/>
      <c r="E9644" s="240"/>
      <c r="F9644" s="240"/>
      <c r="G9644" s="251"/>
      <c r="H9644" s="241"/>
      <c r="I9644" s="206"/>
      <c r="J9644" s="228"/>
      <c r="K9644" s="207"/>
      <c r="L9644" s="229"/>
      <c r="M9644" s="209"/>
      <c r="N9644" s="210"/>
      <c r="O9644" s="198">
        <f>SUM(O9643)</f>
        <v>0</v>
      </c>
      <c r="P9644" s="166"/>
      <c r="Q9644" s="166"/>
      <c r="R9644" s="71"/>
    </row>
    <row r="9645" spans="1:41" s="61" customFormat="1" ht="110.25" x14ac:dyDescent="0.25">
      <c r="A9645" s="358"/>
      <c r="B9645" s="361"/>
      <c r="C9645" s="221" t="s">
        <v>82</v>
      </c>
      <c r="D9645" s="156" t="s">
        <v>46</v>
      </c>
      <c r="E9645" s="156" t="s">
        <v>54</v>
      </c>
      <c r="F9645" s="156" t="s">
        <v>285</v>
      </c>
      <c r="G9645" s="238">
        <f>MROUND(H9645*L9645*I9645/K9645,0.00000000001)</f>
        <v>4.7972365789999999E-2</v>
      </c>
      <c r="H9645" s="158">
        <f>H9339</f>
        <v>228.48206225686181</v>
      </c>
      <c r="I9645" s="159">
        <f>I9631</f>
        <v>8.0167000000000002E-2</v>
      </c>
      <c r="J9645" s="160"/>
      <c r="K9645" s="161">
        <f>K9631</f>
        <v>4200</v>
      </c>
      <c r="L9645" s="250">
        <f>$L$2150</f>
        <v>11</v>
      </c>
      <c r="M9645" s="163" t="str">
        <f>CONCATENATE(H9645," ",F9645,"*",L9645,"автобус","*",I9645,"/",K9645,"чел")</f>
        <v>228,482062256862 л бензина АИ 92 (12,5л/день(зимой)*20дней*7мес+10л/день(летом)*20дней*4мес)*11автобус*0,080167/4200чел</v>
      </c>
      <c r="N9645" s="278">
        <f>$N$8927</f>
        <v>59.28728000000001</v>
      </c>
      <c r="O9645" s="280">
        <f t="shared" ref="O9645:O9647" si="2770">MROUND(N9645*G9645,0.000001)</f>
        <v>2.8441509999999997</v>
      </c>
      <c r="P9645" s="166"/>
      <c r="Q9645" s="166">
        <f>O9645*K9645</f>
        <v>11945.434199999998</v>
      </c>
      <c r="R9645" s="71"/>
    </row>
    <row r="9646" spans="1:41" s="61" customFormat="1" ht="47.25" x14ac:dyDescent="0.25">
      <c r="A9646" s="358"/>
      <c r="B9646" s="361"/>
      <c r="C9646" s="364" t="s">
        <v>118</v>
      </c>
      <c r="D9646" s="156" t="s">
        <v>47</v>
      </c>
      <c r="E9646" s="156" t="s">
        <v>28</v>
      </c>
      <c r="F9646" s="156" t="s">
        <v>239</v>
      </c>
      <c r="G9646" s="238">
        <f>MROUND(H9646*L9646*I9646/K9646,0.00000000001)</f>
        <v>3.8174761999999995E-4</v>
      </c>
      <c r="H9646" s="158">
        <f>H8928</f>
        <v>20</v>
      </c>
      <c r="I9646" s="159">
        <f>I9645</f>
        <v>8.0167000000000002E-2</v>
      </c>
      <c r="J9646" s="160"/>
      <c r="K9646" s="161">
        <f>K9645</f>
        <v>4200</v>
      </c>
      <c r="L9646" s="250">
        <v>1</v>
      </c>
      <c r="M9646" s="163" t="str">
        <f>CONCATENATE(H9646," ",F9646,"*",I9646,"/",K9646,"чел")</f>
        <v>20 манометров (потребность учреждений) *0,080167/4200чел</v>
      </c>
      <c r="N9646" s="278">
        <f>N8928</f>
        <v>707.09500000000003</v>
      </c>
      <c r="O9646" s="280">
        <f t="shared" si="2770"/>
        <v>0.26993200000000001</v>
      </c>
      <c r="P9646" s="166"/>
      <c r="Q9646" s="166">
        <f>O9646*K9646</f>
        <v>1133.7144000000001</v>
      </c>
      <c r="R9646" s="71"/>
    </row>
    <row r="9647" spans="1:41" s="61" customFormat="1" ht="47.25" x14ac:dyDescent="0.25">
      <c r="A9647" s="358"/>
      <c r="B9647" s="361"/>
      <c r="C9647" s="364"/>
      <c r="D9647" s="255" t="s">
        <v>113</v>
      </c>
      <c r="E9647" s="156" t="s">
        <v>28</v>
      </c>
      <c r="F9647" s="156" t="s">
        <v>240</v>
      </c>
      <c r="G9647" s="238">
        <f>MROUND(H9647*L9647*I9647/K9647,0.00000000001)</f>
        <v>1.9087380999999999E-3</v>
      </c>
      <c r="H9647" s="158">
        <v>100</v>
      </c>
      <c r="I9647" s="159">
        <f>I9646</f>
        <v>8.0167000000000002E-2</v>
      </c>
      <c r="J9647" s="160"/>
      <c r="K9647" s="161">
        <f>K9646</f>
        <v>4200</v>
      </c>
      <c r="L9647" s="250">
        <v>1</v>
      </c>
      <c r="M9647" s="163" t="str">
        <f>CONCATENATE(H9647," ",F9647,"*",I9647,"/",K9647,"чел")</f>
        <v>100 светильников (потребность учреждений)*0,080167/4200чел</v>
      </c>
      <c r="N9647" s="278">
        <f>N8929</f>
        <v>115.61000000000001</v>
      </c>
      <c r="O9647" s="280">
        <f t="shared" si="2770"/>
        <v>0.22066899999999998</v>
      </c>
      <c r="P9647" s="166"/>
      <c r="Q9647" s="166">
        <f>O9647*K9647</f>
        <v>926.80979999999988</v>
      </c>
      <c r="R9647" s="71"/>
    </row>
    <row r="9648" spans="1:41" s="109" customFormat="1" x14ac:dyDescent="0.25">
      <c r="A9648" s="359"/>
      <c r="B9648" s="362"/>
      <c r="C9648" s="218" t="s">
        <v>301</v>
      </c>
      <c r="D9648" s="256"/>
      <c r="E9648" s="240"/>
      <c r="F9648" s="240"/>
      <c r="G9648" s="227"/>
      <c r="H9648" s="241"/>
      <c r="I9648" s="206"/>
      <c r="J9648" s="228"/>
      <c r="K9648" s="207"/>
      <c r="L9648" s="257"/>
      <c r="M9648" s="209"/>
      <c r="N9648" s="281"/>
      <c r="O9648" s="279">
        <f>O9646+O9647</f>
        <v>0.49060099999999995</v>
      </c>
      <c r="P9648" s="267"/>
      <c r="Q9648" s="166"/>
      <c r="R9648" s="71"/>
      <c r="S9648" s="62"/>
      <c r="T9648" s="62"/>
      <c r="U9648" s="62"/>
      <c r="V9648" s="62"/>
      <c r="W9648" s="62"/>
      <c r="X9648" s="62"/>
      <c r="Y9648" s="62"/>
      <c r="Z9648" s="62"/>
      <c r="AA9648" s="62"/>
      <c r="AB9648" s="62"/>
      <c r="AC9648" s="62"/>
      <c r="AD9648" s="62"/>
      <c r="AE9648" s="62"/>
      <c r="AF9648" s="62"/>
      <c r="AG9648" s="62"/>
      <c r="AH9648" s="62"/>
      <c r="AI9648" s="62"/>
      <c r="AJ9648" s="62"/>
      <c r="AK9648" s="62"/>
      <c r="AL9648" s="62"/>
      <c r="AM9648" s="62"/>
      <c r="AN9648" s="62"/>
      <c r="AO9648" s="62"/>
    </row>
    <row r="9649" spans="1:41" s="108" customFormat="1" x14ac:dyDescent="0.25">
      <c r="A9649" s="357" t="str">
        <f>школы!$B$41</f>
        <v>Коррекционно-развивающая, компенсирующая и логопедическая помощь обучающимся</v>
      </c>
      <c r="B9649" s="360" t="str">
        <f>школы!$A$41</f>
        <v>880900О.99.0.ББ15АА02000</v>
      </c>
      <c r="C9649" s="194"/>
      <c r="D9649" s="363" t="s">
        <v>15</v>
      </c>
      <c r="E9649" s="363"/>
      <c r="F9649" s="363"/>
      <c r="G9649" s="363"/>
      <c r="H9649" s="195"/>
      <c r="I9649" s="195"/>
      <c r="J9649" s="195"/>
      <c r="K9649" s="195"/>
      <c r="L9649" s="196"/>
      <c r="M9649" s="197"/>
      <c r="N9649" s="278"/>
      <c r="O9649" s="279">
        <f>O9650+O9654</f>
        <v>2621.4000744181999</v>
      </c>
      <c r="P9649" s="166"/>
      <c r="Q9649" s="166">
        <f t="shared" ref="Q9649:Q9666" si="2771">O9649*K9649</f>
        <v>0</v>
      </c>
      <c r="R9649" s="71"/>
      <c r="S9649" s="61"/>
      <c r="T9649" s="61"/>
      <c r="U9649" s="61"/>
      <c r="V9649" s="61"/>
      <c r="W9649" s="61"/>
      <c r="X9649" s="61"/>
      <c r="Y9649" s="61"/>
      <c r="Z9649" s="61"/>
      <c r="AA9649" s="61"/>
      <c r="AB9649" s="61"/>
      <c r="AC9649" s="61"/>
      <c r="AD9649" s="61"/>
      <c r="AE9649" s="61"/>
      <c r="AF9649" s="61"/>
      <c r="AG9649" s="61"/>
      <c r="AH9649" s="61"/>
      <c r="AI9649" s="61"/>
      <c r="AJ9649" s="61"/>
      <c r="AK9649" s="61"/>
      <c r="AL9649" s="61"/>
      <c r="AM9649" s="61"/>
      <c r="AN9649" s="61"/>
      <c r="AO9649" s="61"/>
    </row>
    <row r="9650" spans="1:41" s="108" customFormat="1" x14ac:dyDescent="0.25">
      <c r="A9650" s="358"/>
      <c r="B9650" s="361"/>
      <c r="C9650" s="194"/>
      <c r="D9650" s="350" t="s">
        <v>62</v>
      </c>
      <c r="E9650" s="350"/>
      <c r="F9650" s="350"/>
      <c r="G9650" s="350"/>
      <c r="H9650" s="195"/>
      <c r="I9650" s="195"/>
      <c r="J9650" s="195"/>
      <c r="K9650" s="195"/>
      <c r="L9650" s="196"/>
      <c r="M9650" s="197"/>
      <c r="N9650" s="278"/>
      <c r="O9650" s="279">
        <f>O9651+O9652</f>
        <v>2604.4397484182</v>
      </c>
      <c r="P9650" s="166"/>
      <c r="Q9650" s="166">
        <f t="shared" si="2771"/>
        <v>0</v>
      </c>
      <c r="R9650" s="71"/>
      <c r="S9650" s="61"/>
      <c r="T9650" s="61"/>
      <c r="U9650" s="61"/>
      <c r="V9650" s="61"/>
      <c r="W9650" s="61"/>
      <c r="X9650" s="61"/>
      <c r="Y9650" s="61"/>
      <c r="Z9650" s="61"/>
      <c r="AA9650" s="61"/>
      <c r="AB9650" s="61"/>
      <c r="AC9650" s="61"/>
      <c r="AD9650" s="61"/>
      <c r="AE9650" s="61"/>
      <c r="AF9650" s="61"/>
      <c r="AG9650" s="61"/>
      <c r="AH9650" s="61"/>
      <c r="AI9650" s="61"/>
      <c r="AJ9650" s="61"/>
      <c r="AK9650" s="61"/>
      <c r="AL9650" s="61"/>
      <c r="AM9650" s="61"/>
      <c r="AN9650" s="61"/>
      <c r="AO9650" s="61"/>
    </row>
    <row r="9651" spans="1:41" s="61" customFormat="1" x14ac:dyDescent="0.25">
      <c r="A9651" s="358"/>
      <c r="B9651" s="361"/>
      <c r="C9651" s="194">
        <v>211</v>
      </c>
      <c r="D9651" s="194" t="s">
        <v>86</v>
      </c>
      <c r="E9651" s="199" t="s">
        <v>95</v>
      </c>
      <c r="F9651" s="199" t="s">
        <v>95</v>
      </c>
      <c r="G9651" s="238">
        <f>MROUND(H9651*L9651*I9651/K9651,0.00000000001)</f>
        <v>8.4394069169999988E-2</v>
      </c>
      <c r="H9651" s="201">
        <f>H8829</f>
        <v>368.4</v>
      </c>
      <c r="I9651" s="159">
        <f>школы!$K$41</f>
        <v>1.2695E-2</v>
      </c>
      <c r="J9651" s="159"/>
      <c r="K9651" s="161">
        <f>школы!$G$41</f>
        <v>665</v>
      </c>
      <c r="L9651" s="202">
        <v>12</v>
      </c>
      <c r="M9651" s="163" t="str">
        <f>CONCATENATE(H9651," ",F9651," ","в мес.","*",L9651,"мес.","*",I9651,"/",K9651,"чел")</f>
        <v>368,4 шт.ед в мес.*12мес.*0,012695/665чел</v>
      </c>
      <c r="N9651" s="278">
        <f>N8933</f>
        <v>23702.349798678973</v>
      </c>
      <c r="O9651" s="280">
        <f>MROUND(N9651*G9651,0.0000000001)</f>
        <v>2000.3377484012001</v>
      </c>
      <c r="P9651" s="166"/>
      <c r="Q9651" s="166">
        <f t="shared" si="2771"/>
        <v>1330224.602686798</v>
      </c>
      <c r="R9651" s="71"/>
    </row>
    <row r="9652" spans="1:41" s="61" customFormat="1" x14ac:dyDescent="0.25">
      <c r="A9652" s="358"/>
      <c r="B9652" s="361"/>
      <c r="C9652" s="194">
        <v>213</v>
      </c>
      <c r="D9652" s="194" t="s">
        <v>87</v>
      </c>
      <c r="E9652" s="194" t="s">
        <v>88</v>
      </c>
      <c r="F9652" s="194"/>
      <c r="G9652" s="211">
        <v>30.2</v>
      </c>
      <c r="H9652" s="159"/>
      <c r="I9652" s="282">
        <f>I9651</f>
        <v>1.2695E-2</v>
      </c>
      <c r="J9652" s="159"/>
      <c r="K9652" s="161">
        <f>K9651</f>
        <v>665</v>
      </c>
      <c r="L9652" s="202"/>
      <c r="M9652" s="212"/>
      <c r="N9652" s="278"/>
      <c r="O9652" s="280">
        <f>MROUND(O9651*0.302,0.000000001)</f>
        <v>604.10200001700002</v>
      </c>
      <c r="P9652" s="166"/>
      <c r="Q9652" s="166">
        <f t="shared" si="2771"/>
        <v>401727.83001130499</v>
      </c>
      <c r="R9652" s="71"/>
    </row>
    <row r="9653" spans="1:41" s="108" customFormat="1" x14ac:dyDescent="0.25">
      <c r="A9653" s="358"/>
      <c r="B9653" s="361"/>
      <c r="C9653" s="194"/>
      <c r="D9653" s="194"/>
      <c r="E9653" s="194"/>
      <c r="F9653" s="194"/>
      <c r="G9653" s="217"/>
      <c r="H9653" s="195"/>
      <c r="I9653" s="159"/>
      <c r="J9653" s="195"/>
      <c r="K9653" s="161"/>
      <c r="L9653" s="196"/>
      <c r="M9653" s="197"/>
      <c r="N9653" s="278"/>
      <c r="O9653" s="280"/>
      <c r="P9653" s="166"/>
      <c r="Q9653" s="166">
        <f t="shared" si="2771"/>
        <v>0</v>
      </c>
      <c r="R9653" s="71"/>
      <c r="S9653" s="61"/>
      <c r="T9653" s="61"/>
      <c r="U9653" s="61"/>
      <c r="V9653" s="61"/>
      <c r="W9653" s="61"/>
      <c r="X9653" s="61"/>
      <c r="Y9653" s="61"/>
      <c r="Z9653" s="61"/>
      <c r="AA9653" s="61"/>
      <c r="AB9653" s="61"/>
      <c r="AC9653" s="61"/>
      <c r="AD9653" s="61"/>
      <c r="AE9653" s="61"/>
      <c r="AF9653" s="61"/>
      <c r="AG9653" s="61"/>
      <c r="AH9653" s="61"/>
      <c r="AI9653" s="61"/>
      <c r="AJ9653" s="61"/>
      <c r="AK9653" s="61"/>
      <c r="AL9653" s="61"/>
      <c r="AM9653" s="61"/>
      <c r="AN9653" s="61"/>
      <c r="AO9653" s="61"/>
    </row>
    <row r="9654" spans="1:41" s="108" customFormat="1" x14ac:dyDescent="0.25">
      <c r="A9654" s="358"/>
      <c r="B9654" s="361"/>
      <c r="C9654" s="194"/>
      <c r="D9654" s="356" t="s">
        <v>63</v>
      </c>
      <c r="E9654" s="356"/>
      <c r="F9654" s="356"/>
      <c r="G9654" s="356"/>
      <c r="H9654" s="195"/>
      <c r="I9654" s="159"/>
      <c r="J9654" s="195"/>
      <c r="K9654" s="161"/>
      <c r="L9654" s="196"/>
      <c r="M9654" s="197"/>
      <c r="N9654" s="278"/>
      <c r="O9654" s="280">
        <f>O9655</f>
        <v>16.960325999999998</v>
      </c>
      <c r="P9654" s="166"/>
      <c r="Q9654" s="166">
        <f t="shared" si="2771"/>
        <v>0</v>
      </c>
      <c r="R9654" s="71"/>
      <c r="S9654" s="61"/>
      <c r="T9654" s="61"/>
      <c r="U9654" s="61"/>
      <c r="V9654" s="61"/>
      <c r="W9654" s="61"/>
      <c r="X9654" s="61"/>
      <c r="Y9654" s="61"/>
      <c r="Z9654" s="61"/>
      <c r="AA9654" s="61"/>
      <c r="AB9654" s="61"/>
      <c r="AC9654" s="61"/>
      <c r="AD9654" s="61"/>
      <c r="AE9654" s="61"/>
      <c r="AF9654" s="61"/>
      <c r="AG9654" s="61"/>
      <c r="AH9654" s="61"/>
      <c r="AI9654" s="61"/>
      <c r="AJ9654" s="61"/>
      <c r="AK9654" s="61"/>
      <c r="AL9654" s="61"/>
      <c r="AM9654" s="61"/>
      <c r="AN9654" s="61"/>
      <c r="AO9654" s="61"/>
    </row>
    <row r="9655" spans="1:41" s="61" customFormat="1" x14ac:dyDescent="0.25">
      <c r="A9655" s="358"/>
      <c r="B9655" s="361"/>
      <c r="C9655" s="194">
        <v>346</v>
      </c>
      <c r="D9655" s="194" t="s">
        <v>259</v>
      </c>
      <c r="E9655" s="194" t="s">
        <v>260</v>
      </c>
      <c r="F9655" s="194" t="s">
        <v>261</v>
      </c>
      <c r="G9655" s="238">
        <f>MROUND(H9655*L9655*I9655/K9655,0.000000000001)</f>
        <v>2.3137353382999999E-2</v>
      </c>
      <c r="H9655" s="283">
        <f>H8834</f>
        <v>1212</v>
      </c>
      <c r="I9655" s="282">
        <f>I9652</f>
        <v>1.2695E-2</v>
      </c>
      <c r="J9655" s="195"/>
      <c r="K9655" s="161">
        <f>K9652</f>
        <v>665</v>
      </c>
      <c r="L9655" s="196">
        <v>1</v>
      </c>
      <c r="M9655" s="163" t="str">
        <f>CONCATENATE(H9655," ",F9655,"*",I9655,"/",K9655,"чел")</f>
        <v>1212 упаковок*0,012695/665чел</v>
      </c>
      <c r="N9655" s="278">
        <f>N8834</f>
        <v>733.02792904290436</v>
      </c>
      <c r="O9655" s="280">
        <f>MROUND(N9655*G9655,0.000001)</f>
        <v>16.960325999999998</v>
      </c>
      <c r="P9655" s="166"/>
      <c r="Q9655" s="166">
        <f t="shared" si="2771"/>
        <v>11278.616789999998</v>
      </c>
      <c r="R9655" s="71"/>
    </row>
    <row r="9656" spans="1:41" s="108" customFormat="1" x14ac:dyDescent="0.25">
      <c r="A9656" s="358"/>
      <c r="B9656" s="361"/>
      <c r="C9656" s="194"/>
      <c r="D9656" s="350" t="s">
        <v>64</v>
      </c>
      <c r="E9656" s="350"/>
      <c r="F9656" s="350"/>
      <c r="G9656" s="350"/>
      <c r="H9656" s="195"/>
      <c r="I9656" s="159"/>
      <c r="J9656" s="195"/>
      <c r="K9656" s="161"/>
      <c r="L9656" s="196"/>
      <c r="M9656" s="197"/>
      <c r="N9656" s="278"/>
      <c r="O9656" s="280"/>
      <c r="P9656" s="166"/>
      <c r="Q9656" s="166">
        <f t="shared" si="2771"/>
        <v>0</v>
      </c>
      <c r="R9656" s="71"/>
      <c r="S9656" s="61"/>
      <c r="T9656" s="61"/>
      <c r="U9656" s="61"/>
      <c r="V9656" s="61"/>
      <c r="W9656" s="61"/>
      <c r="X9656" s="61"/>
      <c r="Y9656" s="61"/>
      <c r="Z9656" s="61"/>
      <c r="AA9656" s="61"/>
      <c r="AB9656" s="61"/>
      <c r="AC9656" s="61"/>
      <c r="AD9656" s="61"/>
      <c r="AE9656" s="61"/>
      <c r="AF9656" s="61"/>
      <c r="AG9656" s="61"/>
      <c r="AH9656" s="61"/>
      <c r="AI9656" s="61"/>
      <c r="AJ9656" s="61"/>
      <c r="AK9656" s="61"/>
      <c r="AL9656" s="61"/>
      <c r="AM9656" s="61"/>
      <c r="AN9656" s="61"/>
      <c r="AO9656" s="61"/>
    </row>
    <row r="9657" spans="1:41" s="108" customFormat="1" x14ac:dyDescent="0.25">
      <c r="A9657" s="358"/>
      <c r="B9657" s="361"/>
      <c r="C9657" s="194"/>
      <c r="D9657" s="194"/>
      <c r="E9657" s="194"/>
      <c r="F9657" s="194"/>
      <c r="G9657" s="217"/>
      <c r="H9657" s="195"/>
      <c r="I9657" s="159"/>
      <c r="J9657" s="195"/>
      <c r="K9657" s="161"/>
      <c r="L9657" s="196"/>
      <c r="M9657" s="197"/>
      <c r="N9657" s="278"/>
      <c r="O9657" s="280"/>
      <c r="P9657" s="166"/>
      <c r="Q9657" s="166">
        <f t="shared" si="2771"/>
        <v>0</v>
      </c>
      <c r="R9657" s="71"/>
      <c r="S9657" s="61"/>
      <c r="T9657" s="61"/>
      <c r="U9657" s="61"/>
      <c r="V9657" s="61"/>
      <c r="W9657" s="61"/>
      <c r="X9657" s="61"/>
      <c r="Y9657" s="61"/>
      <c r="Z9657" s="61"/>
      <c r="AA9657" s="61"/>
      <c r="AB9657" s="61"/>
      <c r="AC9657" s="61"/>
      <c r="AD9657" s="61"/>
      <c r="AE9657" s="61"/>
      <c r="AF9657" s="61"/>
      <c r="AG9657" s="61"/>
      <c r="AH9657" s="61"/>
      <c r="AI9657" s="61"/>
      <c r="AJ9657" s="61"/>
      <c r="AK9657" s="61"/>
      <c r="AL9657" s="61"/>
      <c r="AM9657" s="61"/>
      <c r="AN9657" s="61"/>
      <c r="AO9657" s="61"/>
    </row>
    <row r="9658" spans="1:41" s="108" customFormat="1" x14ac:dyDescent="0.25">
      <c r="A9658" s="358"/>
      <c r="B9658" s="361"/>
      <c r="C9658" s="194"/>
      <c r="D9658" s="355" t="s">
        <v>5</v>
      </c>
      <c r="E9658" s="355"/>
      <c r="F9658" s="355"/>
      <c r="G9658" s="355"/>
      <c r="H9658" s="195"/>
      <c r="I9658" s="159"/>
      <c r="J9658" s="195"/>
      <c r="K9658" s="161"/>
      <c r="L9658" s="196"/>
      <c r="M9658" s="197"/>
      <c r="N9658" s="278"/>
      <c r="O9658" s="279">
        <f>O9659+O9668+O9679+O9681+O9692+O9688</f>
        <v>443.08124762799991</v>
      </c>
      <c r="P9658" s="166"/>
      <c r="Q9658" s="166">
        <f t="shared" si="2771"/>
        <v>0</v>
      </c>
      <c r="R9658" s="71"/>
      <c r="S9658" s="61"/>
      <c r="T9658" s="61"/>
      <c r="U9658" s="61"/>
      <c r="V9658" s="61"/>
      <c r="W9658" s="61"/>
      <c r="X9658" s="61"/>
      <c r="Y9658" s="61"/>
      <c r="Z9658" s="61"/>
      <c r="AA9658" s="61"/>
      <c r="AB9658" s="61"/>
      <c r="AC9658" s="61"/>
      <c r="AD9658" s="61"/>
      <c r="AE9658" s="61"/>
      <c r="AF9658" s="61"/>
      <c r="AG9658" s="61"/>
      <c r="AH9658" s="61"/>
      <c r="AI9658" s="61"/>
      <c r="AJ9658" s="61"/>
      <c r="AK9658" s="61"/>
      <c r="AL9658" s="61"/>
      <c r="AM9658" s="61"/>
      <c r="AN9658" s="61"/>
      <c r="AO9658" s="61"/>
    </row>
    <row r="9659" spans="1:41" s="108" customFormat="1" x14ac:dyDescent="0.25">
      <c r="A9659" s="358"/>
      <c r="B9659" s="361"/>
      <c r="C9659" s="221" t="s">
        <v>70</v>
      </c>
      <c r="D9659" s="355" t="s">
        <v>6</v>
      </c>
      <c r="E9659" s="355"/>
      <c r="F9659" s="355"/>
      <c r="G9659" s="355"/>
      <c r="H9659" s="189"/>
      <c r="I9659" s="159"/>
      <c r="J9659" s="189"/>
      <c r="K9659" s="161"/>
      <c r="L9659" s="190"/>
      <c r="M9659" s="197"/>
      <c r="N9659" s="278"/>
      <c r="O9659" s="279">
        <f>O9660+O9661+O9662+O9663+O9664+O9665+O9666</f>
        <v>126.94824499999999</v>
      </c>
      <c r="P9659" s="166"/>
      <c r="Q9659" s="166">
        <f t="shared" si="2771"/>
        <v>0</v>
      </c>
      <c r="R9659" s="71"/>
      <c r="S9659" s="61"/>
      <c r="T9659" s="61"/>
      <c r="U9659" s="61"/>
      <c r="V9659" s="61"/>
      <c r="W9659" s="61"/>
      <c r="X9659" s="61"/>
      <c r="Y9659" s="61"/>
      <c r="Z9659" s="61"/>
      <c r="AA9659" s="61"/>
      <c r="AB9659" s="61"/>
      <c r="AC9659" s="61"/>
      <c r="AD9659" s="61"/>
      <c r="AE9659" s="61"/>
      <c r="AF9659" s="61"/>
      <c r="AG9659" s="61"/>
      <c r="AH9659" s="61"/>
      <c r="AI9659" s="61"/>
      <c r="AJ9659" s="61"/>
      <c r="AK9659" s="61"/>
      <c r="AL9659" s="61"/>
      <c r="AM9659" s="61"/>
      <c r="AN9659" s="61"/>
      <c r="AO9659" s="61"/>
    </row>
    <row r="9660" spans="1:41" s="61" customFormat="1" ht="31.5" x14ac:dyDescent="0.25">
      <c r="A9660" s="358"/>
      <c r="B9660" s="361"/>
      <c r="C9660" s="221" t="s">
        <v>72</v>
      </c>
      <c r="D9660" s="222" t="s">
        <v>7</v>
      </c>
      <c r="E9660" s="223" t="s">
        <v>8</v>
      </c>
      <c r="F9660" s="223" t="s">
        <v>8</v>
      </c>
      <c r="G9660" s="238">
        <f t="shared" ref="G9660:G9666" si="2772">MROUND(H9660*L9660*I9660/K9660,0.000000000001)</f>
        <v>2.1583435186919999</v>
      </c>
      <c r="H9660" s="160">
        <f>H8840</f>
        <v>113060.13705633247</v>
      </c>
      <c r="I9660" s="282">
        <f>I9652</f>
        <v>1.2695E-2</v>
      </c>
      <c r="J9660" s="160"/>
      <c r="K9660" s="161">
        <f>K9652</f>
        <v>665</v>
      </c>
      <c r="L9660" s="250">
        <v>1</v>
      </c>
      <c r="M9660" s="163" t="str">
        <f>CONCATENATE(H9660," ",F9660,"(лимиты выделенные УЖКХ) ","*",I9660,"/",K9660,"чел")</f>
        <v>113060,137056332 кВт час.(лимиты выделенные УЖКХ) *0,012695/665чел</v>
      </c>
      <c r="N9660" s="278">
        <f>N8840</f>
        <v>11.38065575985371</v>
      </c>
      <c r="O9660" s="280">
        <f>MROUND(N9660*G9660,0.000001)</f>
        <v>24.563364999999997</v>
      </c>
      <c r="P9660" s="166"/>
      <c r="Q9660" s="166">
        <f t="shared" si="2771"/>
        <v>16334.637724999999</v>
      </c>
      <c r="R9660" s="71"/>
    </row>
    <row r="9661" spans="1:41" s="61" customFormat="1" ht="31.5" x14ac:dyDescent="0.25">
      <c r="A9661" s="358"/>
      <c r="B9661" s="361"/>
      <c r="C9661" s="221" t="s">
        <v>73</v>
      </c>
      <c r="D9661" s="222" t="s">
        <v>9</v>
      </c>
      <c r="E9661" s="223" t="s">
        <v>10</v>
      </c>
      <c r="F9661" s="223" t="s">
        <v>10</v>
      </c>
      <c r="G9661" s="238">
        <f t="shared" si="2772"/>
        <v>2.6611774435999998E-2</v>
      </c>
      <c r="H9661" s="160">
        <f>H8841</f>
        <v>1394</v>
      </c>
      <c r="I9661" s="159">
        <f t="shared" ref="I9661:I9666" si="2773">I9660</f>
        <v>1.2695E-2</v>
      </c>
      <c r="J9661" s="160"/>
      <c r="K9661" s="161">
        <f t="shared" ref="K9661:K9666" si="2774">K9660</f>
        <v>665</v>
      </c>
      <c r="L9661" s="250">
        <v>1</v>
      </c>
      <c r="M9661" s="163" t="str">
        <f>CONCATENATE(H9661," ",F9661,"(лимиты выделенные УЖКХ) ","*",I9661,"/",K9661,"чел")</f>
        <v>1394 Гкал(лимиты выделенные УЖКХ) *0,012695/665чел</v>
      </c>
      <c r="N9661" s="278">
        <f>N8945</f>
        <v>3095.3018579626978</v>
      </c>
      <c r="O9661" s="280">
        <f t="shared" ref="O9661:O9666" si="2775">MROUND(N9661*G9661,0.000001)</f>
        <v>82.37147499999999</v>
      </c>
      <c r="P9661" s="166"/>
      <c r="Q9661" s="166">
        <f t="shared" si="2771"/>
        <v>54777.030874999989</v>
      </c>
      <c r="R9661" s="71"/>
    </row>
    <row r="9662" spans="1:41" s="61" customFormat="1" ht="31.5" x14ac:dyDescent="0.25">
      <c r="A9662" s="358"/>
      <c r="B9662" s="361"/>
      <c r="C9662" s="364" t="s">
        <v>74</v>
      </c>
      <c r="D9662" s="222" t="s">
        <v>12</v>
      </c>
      <c r="E9662" s="222" t="s">
        <v>11</v>
      </c>
      <c r="F9662" s="222" t="s">
        <v>11</v>
      </c>
      <c r="G9662" s="238">
        <f t="shared" si="2772"/>
        <v>7.7145701428999999E-2</v>
      </c>
      <c r="H9662" s="224">
        <f>H8842</f>
        <v>4041.1099999999997</v>
      </c>
      <c r="I9662" s="159">
        <f t="shared" si="2773"/>
        <v>1.2695E-2</v>
      </c>
      <c r="J9662" s="160"/>
      <c r="K9662" s="161">
        <f t="shared" si="2774"/>
        <v>665</v>
      </c>
      <c r="L9662" s="250">
        <v>1</v>
      </c>
      <c r="M9662" s="163" t="str">
        <f>CONCATENATE(H9662," ",F9662,"(лимиты выделенные УЖКХ) ","*",I9662,"/",K9662,"чел")</f>
        <v>4041,11 м3(лимиты выделенные УЖКХ) *0,012695/665чел</v>
      </c>
      <c r="N9662" s="278">
        <f>N8842</f>
        <v>56.382747190747111</v>
      </c>
      <c r="O9662" s="280">
        <f t="shared" si="2775"/>
        <v>4.3496869999999994</v>
      </c>
      <c r="P9662" s="166"/>
      <c r="Q9662" s="166">
        <f t="shared" si="2771"/>
        <v>2892.5418549999995</v>
      </c>
      <c r="R9662" s="71"/>
    </row>
    <row r="9663" spans="1:41" s="61" customFormat="1" ht="47.25" x14ac:dyDescent="0.25">
      <c r="A9663" s="358"/>
      <c r="B9663" s="361"/>
      <c r="C9663" s="364"/>
      <c r="D9663" s="222" t="s">
        <v>17</v>
      </c>
      <c r="E9663" s="222" t="s">
        <v>11</v>
      </c>
      <c r="F9663" s="222" t="s">
        <v>11</v>
      </c>
      <c r="G9663" s="238">
        <f t="shared" si="2772"/>
        <v>7.7145701428999999E-2</v>
      </c>
      <c r="H9663" s="160">
        <f>H8947</f>
        <v>4041.1099999999997</v>
      </c>
      <c r="I9663" s="159">
        <f t="shared" si="2773"/>
        <v>1.2695E-2</v>
      </c>
      <c r="J9663" s="160"/>
      <c r="K9663" s="161">
        <f t="shared" si="2774"/>
        <v>665</v>
      </c>
      <c r="L9663" s="162">
        <f>$L$8843</f>
        <v>1</v>
      </c>
      <c r="M9663" s="163" t="str">
        <f>CONCATENATE(H9663," ",F9663,"(лимиты выделенные УЖКХ) ","*",I9663,"/",K9663,"чел")</f>
        <v>4041,11 м3(лимиты выделенные УЖКХ) *0,012695/665чел</v>
      </c>
      <c r="N9663" s="164">
        <f>N8843</f>
        <v>85.679537612054801</v>
      </c>
      <c r="O9663" s="280">
        <f t="shared" si="2775"/>
        <v>6.6098080000000001</v>
      </c>
      <c r="P9663" s="166"/>
      <c r="Q9663" s="166">
        <f t="shared" si="2771"/>
        <v>4395.52232</v>
      </c>
      <c r="R9663" s="71"/>
    </row>
    <row r="9664" spans="1:41" s="61" customFormat="1" ht="31.5" x14ac:dyDescent="0.25">
      <c r="A9664" s="358"/>
      <c r="B9664" s="361"/>
      <c r="C9664" s="364"/>
      <c r="D9664" s="222" t="s">
        <v>13</v>
      </c>
      <c r="E9664" s="222" t="s">
        <v>11</v>
      </c>
      <c r="F9664" s="222" t="s">
        <v>11</v>
      </c>
      <c r="G9664" s="238">
        <f t="shared" si="2772"/>
        <v>7.7145701428999999E-2</v>
      </c>
      <c r="H9664" s="160">
        <f>H8844</f>
        <v>4041.1099999999997</v>
      </c>
      <c r="I9664" s="159">
        <f t="shared" si="2773"/>
        <v>1.2695E-2</v>
      </c>
      <c r="J9664" s="160"/>
      <c r="K9664" s="161">
        <f t="shared" si="2774"/>
        <v>665</v>
      </c>
      <c r="L9664" s="162">
        <v>1</v>
      </c>
      <c r="M9664" s="163" t="str">
        <f>CONCATENATE(H9664," ",F9664,"(лимиты выделенные УЖКХ) ","*",I9664,"/",K9664,"чел")</f>
        <v>4041,11 м3(лимиты выделенные УЖКХ) *0,012695/665чел</v>
      </c>
      <c r="N9664" s="278">
        <f>N8844</f>
        <v>104.62845363292494</v>
      </c>
      <c r="O9664" s="280">
        <f t="shared" si="2775"/>
        <v>8.0716349999999988</v>
      </c>
      <c r="P9664" s="166"/>
      <c r="Q9664" s="166">
        <f t="shared" si="2771"/>
        <v>5367.6372749999991</v>
      </c>
      <c r="R9664" s="71"/>
    </row>
    <row r="9665" spans="1:41" s="61" customFormat="1" x14ac:dyDescent="0.25">
      <c r="A9665" s="358"/>
      <c r="B9665" s="361"/>
      <c r="C9665" s="364" t="s">
        <v>216</v>
      </c>
      <c r="D9665" s="222" t="s">
        <v>23</v>
      </c>
      <c r="E9665" s="222" t="s">
        <v>11</v>
      </c>
      <c r="F9665" s="222" t="s">
        <v>11</v>
      </c>
      <c r="G9665" s="238">
        <f t="shared" si="2772"/>
        <v>4.7687383499999997E-4</v>
      </c>
      <c r="H9665" s="160">
        <f>H8845</f>
        <v>24.979999999999997</v>
      </c>
      <c r="I9665" s="159">
        <f t="shared" si="2773"/>
        <v>1.2695E-2</v>
      </c>
      <c r="J9665" s="160"/>
      <c r="K9665" s="161">
        <f t="shared" si="2774"/>
        <v>665</v>
      </c>
      <c r="L9665" s="162">
        <v>1</v>
      </c>
      <c r="M9665" s="163" t="str">
        <f>CONCATENATE(H9665," ",F9665," ","*",I9665,"/",K9665,"чел")</f>
        <v>24,98 м3 *0,012695/665чел</v>
      </c>
      <c r="N9665" s="164">
        <f>N8845</f>
        <v>807.4099279423541</v>
      </c>
      <c r="O9665" s="280">
        <f t="shared" si="2775"/>
        <v>0.38503299999999996</v>
      </c>
      <c r="P9665" s="166"/>
      <c r="Q9665" s="166">
        <f t="shared" si="2771"/>
        <v>256.04694499999999</v>
      </c>
      <c r="R9665" s="71"/>
    </row>
    <row r="9666" spans="1:41" s="61" customFormat="1" ht="47.25" x14ac:dyDescent="0.25">
      <c r="A9666" s="358"/>
      <c r="B9666" s="361"/>
      <c r="C9666" s="364"/>
      <c r="D9666" s="222" t="s">
        <v>24</v>
      </c>
      <c r="E9666" s="222" t="s">
        <v>25</v>
      </c>
      <c r="F9666" s="222" t="s">
        <v>248</v>
      </c>
      <c r="G9666" s="238">
        <f t="shared" si="2772"/>
        <v>9.5451127999999995E-5</v>
      </c>
      <c r="H9666" s="160">
        <f>H8846</f>
        <v>5</v>
      </c>
      <c r="I9666" s="159">
        <f t="shared" si="2773"/>
        <v>1.2695E-2</v>
      </c>
      <c r="J9666" s="160"/>
      <c r="K9666" s="161">
        <f t="shared" si="2774"/>
        <v>665</v>
      </c>
      <c r="L9666" s="250">
        <v>1</v>
      </c>
      <c r="M9666" s="163" t="str">
        <f>CONCATENATE(H9666," ",F9666,"(потребность из расчета 4 контейнера для уборки территории весной и осенью на 1 учреждение)","*",I9666,"/",K9666,"чел")</f>
        <v>5 контейнеров(потребность из расчета 4 контейнера для уборки территории весной и осенью на 1 учреждение)*0,012695/665чел</v>
      </c>
      <c r="N9666" s="278">
        <f>N9156</f>
        <v>6257.04</v>
      </c>
      <c r="O9666" s="280">
        <f t="shared" si="2775"/>
        <v>0.59724199999999994</v>
      </c>
      <c r="P9666" s="166"/>
      <c r="Q9666" s="166">
        <f t="shared" si="2771"/>
        <v>397.16592999999995</v>
      </c>
      <c r="R9666" s="71"/>
    </row>
    <row r="9667" spans="1:41" s="109" customFormat="1" x14ac:dyDescent="0.25">
      <c r="A9667" s="358"/>
      <c r="B9667" s="361"/>
      <c r="C9667" s="218" t="s">
        <v>290</v>
      </c>
      <c r="D9667" s="226"/>
      <c r="E9667" s="226"/>
      <c r="F9667" s="226"/>
      <c r="G9667" s="227"/>
      <c r="H9667" s="228"/>
      <c r="I9667" s="206"/>
      <c r="J9667" s="228"/>
      <c r="K9667" s="207"/>
      <c r="L9667" s="257"/>
      <c r="M9667" s="209"/>
      <c r="N9667" s="281"/>
      <c r="O9667" s="279">
        <f>SUM(O9660:O9666)</f>
        <v>126.94824499999999</v>
      </c>
      <c r="P9667" s="267"/>
      <c r="Q9667" s="166"/>
      <c r="R9667" s="71"/>
      <c r="S9667" s="62"/>
      <c r="T9667" s="62"/>
      <c r="U9667" s="62"/>
      <c r="V9667" s="62"/>
      <c r="W9667" s="62"/>
      <c r="X9667" s="62"/>
      <c r="Y9667" s="62"/>
      <c r="Z9667" s="62"/>
      <c r="AA9667" s="62"/>
      <c r="AB9667" s="62"/>
      <c r="AC9667" s="62"/>
      <c r="AD9667" s="62"/>
      <c r="AE9667" s="62"/>
      <c r="AF9667" s="62"/>
      <c r="AG9667" s="62"/>
      <c r="AH9667" s="62"/>
      <c r="AI9667" s="62"/>
      <c r="AJ9667" s="62"/>
      <c r="AK9667" s="62"/>
      <c r="AL9667" s="62"/>
      <c r="AM9667" s="62"/>
      <c r="AN9667" s="62"/>
      <c r="AO9667" s="62"/>
    </row>
    <row r="9668" spans="1:41" s="108" customFormat="1" x14ac:dyDescent="0.25">
      <c r="A9668" s="358"/>
      <c r="B9668" s="361"/>
      <c r="C9668" s="221"/>
      <c r="D9668" s="356" t="s">
        <v>14</v>
      </c>
      <c r="E9668" s="356"/>
      <c r="F9668" s="356"/>
      <c r="G9668" s="356"/>
      <c r="H9668" s="188"/>
      <c r="I9668" s="159"/>
      <c r="J9668" s="188"/>
      <c r="K9668" s="161"/>
      <c r="L9668" s="250"/>
      <c r="M9668" s="230"/>
      <c r="N9668" s="278"/>
      <c r="O9668" s="279">
        <f>O9672+O9676+O9677</f>
        <v>234.88613532500003</v>
      </c>
      <c r="P9668" s="166"/>
      <c r="Q9668" s="166">
        <f>O9668*K9668</f>
        <v>0</v>
      </c>
      <c r="R9668" s="71"/>
      <c r="S9668" s="61"/>
      <c r="T9668" s="61"/>
      <c r="U9668" s="61"/>
      <c r="V9668" s="61"/>
      <c r="W9668" s="61"/>
      <c r="X9668" s="61"/>
      <c r="Y9668" s="61"/>
      <c r="Z9668" s="61"/>
      <c r="AA9668" s="61"/>
      <c r="AB9668" s="61"/>
      <c r="AC9668" s="61"/>
      <c r="AD9668" s="61"/>
      <c r="AE9668" s="61"/>
      <c r="AF9668" s="61"/>
      <c r="AG9668" s="61"/>
      <c r="AH9668" s="61"/>
      <c r="AI9668" s="61"/>
      <c r="AJ9668" s="61"/>
      <c r="AK9668" s="61"/>
      <c r="AL9668" s="61"/>
      <c r="AM9668" s="61"/>
      <c r="AN9668" s="61"/>
      <c r="AO9668" s="61"/>
    </row>
    <row r="9669" spans="1:41" s="61" customFormat="1" x14ac:dyDescent="0.25">
      <c r="A9669" s="358"/>
      <c r="B9669" s="361"/>
      <c r="C9669" s="221" t="s">
        <v>379</v>
      </c>
      <c r="D9669" s="231" t="s">
        <v>49</v>
      </c>
      <c r="E9669" s="231" t="s">
        <v>22</v>
      </c>
      <c r="F9669" s="231" t="s">
        <v>22</v>
      </c>
      <c r="G9669" s="238">
        <f>MROUND(H9669*L9669*I9669/K9669,0.000000000001)</f>
        <v>0</v>
      </c>
      <c r="H9669" s="160"/>
      <c r="I9669" s="159">
        <f>I9664</f>
        <v>1.2695E-2</v>
      </c>
      <c r="J9669" s="160"/>
      <c r="K9669" s="161">
        <f>K9664</f>
        <v>665</v>
      </c>
      <c r="L9669" s="250">
        <v>1</v>
      </c>
      <c r="M9669" s="163"/>
      <c r="N9669" s="278"/>
      <c r="O9669" s="280">
        <f>MROUND(N9669*G9669,0.000000001)</f>
        <v>0</v>
      </c>
      <c r="P9669" s="166"/>
      <c r="Q9669" s="166">
        <f>O9669*K9669</f>
        <v>0</v>
      </c>
      <c r="R9669" s="71"/>
    </row>
    <row r="9670" spans="1:41" s="61" customFormat="1" x14ac:dyDescent="0.25">
      <c r="A9670" s="358"/>
      <c r="B9670" s="361"/>
      <c r="C9670" s="221" t="s">
        <v>379</v>
      </c>
      <c r="D9670" s="231" t="s">
        <v>49</v>
      </c>
      <c r="E9670" s="231" t="s">
        <v>28</v>
      </c>
      <c r="F9670" s="231" t="s">
        <v>28</v>
      </c>
      <c r="G9670" s="238">
        <f>MROUND(H9670*L9670*I9670/K9670,0.000000000001)</f>
        <v>0</v>
      </c>
      <c r="H9670" s="160"/>
      <c r="I9670" s="159">
        <f>I9669</f>
        <v>1.2695E-2</v>
      </c>
      <c r="J9670" s="160"/>
      <c r="K9670" s="161">
        <f>K9669</f>
        <v>665</v>
      </c>
      <c r="L9670" s="250">
        <v>1</v>
      </c>
      <c r="M9670" s="163"/>
      <c r="N9670" s="278"/>
      <c r="O9670" s="280">
        <f>MROUND(N9670*G9670,0.000000001)</f>
        <v>0</v>
      </c>
      <c r="P9670" s="166"/>
      <c r="Q9670" s="166">
        <f>O9670*K9670</f>
        <v>0</v>
      </c>
      <c r="R9670" s="71"/>
    </row>
    <row r="9671" spans="1:41" s="61" customFormat="1" x14ac:dyDescent="0.25">
      <c r="A9671" s="358"/>
      <c r="B9671" s="361"/>
      <c r="C9671" s="221" t="s">
        <v>379</v>
      </c>
      <c r="D9671" s="231" t="s">
        <v>49</v>
      </c>
      <c r="E9671" s="231" t="s">
        <v>101</v>
      </c>
      <c r="F9671" s="231" t="s">
        <v>101</v>
      </c>
      <c r="G9671" s="238">
        <f>MROUND(H9671*L9671*I9671/K9671,0.000000000001)</f>
        <v>0</v>
      </c>
      <c r="H9671" s="160"/>
      <c r="I9671" s="159">
        <f>I9669</f>
        <v>1.2695E-2</v>
      </c>
      <c r="J9671" s="160"/>
      <c r="K9671" s="161">
        <f>K9669</f>
        <v>665</v>
      </c>
      <c r="L9671" s="250">
        <v>1</v>
      </c>
      <c r="M9671" s="163"/>
      <c r="N9671" s="278"/>
      <c r="O9671" s="280">
        <f>MROUND(N9671*G9671,0.000001)</f>
        <v>0</v>
      </c>
      <c r="P9671" s="166"/>
      <c r="Q9671" s="166">
        <f>O9671*K9671</f>
        <v>0</v>
      </c>
      <c r="R9671" s="71"/>
    </row>
    <row r="9672" spans="1:41" s="109" customFormat="1" x14ac:dyDescent="0.25">
      <c r="A9672" s="358"/>
      <c r="B9672" s="361"/>
      <c r="C9672" s="218" t="s">
        <v>380</v>
      </c>
      <c r="D9672" s="232"/>
      <c r="E9672" s="232"/>
      <c r="F9672" s="232"/>
      <c r="G9672" s="227"/>
      <c r="H9672" s="228"/>
      <c r="I9672" s="206"/>
      <c r="J9672" s="228"/>
      <c r="K9672" s="207"/>
      <c r="L9672" s="257"/>
      <c r="M9672" s="209"/>
      <c r="N9672" s="281"/>
      <c r="O9672" s="279">
        <f>SUM(O9669:O9671)</f>
        <v>0</v>
      </c>
      <c r="P9672" s="267"/>
      <c r="Q9672" s="166"/>
      <c r="R9672" s="72"/>
      <c r="S9672" s="62"/>
      <c r="T9672" s="62"/>
      <c r="U9672" s="62"/>
      <c r="V9672" s="62"/>
      <c r="W9672" s="62"/>
      <c r="X9672" s="62"/>
      <c r="Y9672" s="62"/>
      <c r="Z9672" s="62"/>
      <c r="AA9672" s="62"/>
      <c r="AB9672" s="62"/>
      <c r="AC9672" s="62"/>
      <c r="AD9672" s="62"/>
      <c r="AE9672" s="62"/>
      <c r="AF9672" s="62"/>
      <c r="AG9672" s="62"/>
      <c r="AH9672" s="62"/>
      <c r="AI9672" s="62"/>
      <c r="AJ9672" s="62"/>
      <c r="AK9672" s="62"/>
      <c r="AL9672" s="62"/>
      <c r="AM9672" s="62"/>
      <c r="AN9672" s="62"/>
      <c r="AO9672" s="62"/>
    </row>
    <row r="9673" spans="1:41" s="61" customFormat="1" x14ac:dyDescent="0.25">
      <c r="A9673" s="358"/>
      <c r="B9673" s="361"/>
      <c r="C9673" s="221" t="s">
        <v>76</v>
      </c>
      <c r="D9673" s="231" t="s">
        <v>49</v>
      </c>
      <c r="E9673" s="231" t="s">
        <v>22</v>
      </c>
      <c r="F9673" s="231" t="s">
        <v>22</v>
      </c>
      <c r="G9673" s="238">
        <f>MROUND(H9673*L9673*I9673/K9673,0.000000000001)</f>
        <v>4.4212962405999999E-2</v>
      </c>
      <c r="H9673" s="160">
        <f>H8957</f>
        <v>2316</v>
      </c>
      <c r="I9673" s="159">
        <f>I9671</f>
        <v>1.2695E-2</v>
      </c>
      <c r="J9673" s="160"/>
      <c r="K9673" s="161">
        <f>K9671</f>
        <v>665</v>
      </c>
      <c r="L9673" s="250">
        <v>1</v>
      </c>
      <c r="M9673" s="163" t="str">
        <f>CONCATENATE(H9673," ",F9673,"*",I9673,"/",K9673,"чел")</f>
        <v>2316 м2*0,012695/665чел</v>
      </c>
      <c r="N9673" s="278">
        <f>N8957</f>
        <v>5226.2521588946456</v>
      </c>
      <c r="O9673" s="280">
        <f>MROUND(N9673*G9673,0.000000001)</f>
        <v>231.06809022500002</v>
      </c>
      <c r="P9673" s="166"/>
      <c r="Q9673" s="166">
        <f>O9673*K9673</f>
        <v>153660.27999962503</v>
      </c>
      <c r="R9673" s="71"/>
    </row>
    <row r="9674" spans="1:41" s="61" customFormat="1" x14ac:dyDescent="0.25">
      <c r="A9674" s="358"/>
      <c r="B9674" s="361"/>
      <c r="C9674" s="221"/>
      <c r="D9674" s="231" t="s">
        <v>49</v>
      </c>
      <c r="E9674" s="231" t="s">
        <v>28</v>
      </c>
      <c r="F9674" s="231" t="s">
        <v>28</v>
      </c>
      <c r="G9674" s="238">
        <f>MROUND(H9674*L9674*I9674/K9674,0.000000000001)</f>
        <v>3.8180450999999997E-5</v>
      </c>
      <c r="H9674" s="160">
        <f>H8958</f>
        <v>2</v>
      </c>
      <c r="I9674" s="159">
        <f>I9673</f>
        <v>1.2695E-2</v>
      </c>
      <c r="J9674" s="160"/>
      <c r="K9674" s="161">
        <f>K9673</f>
        <v>665</v>
      </c>
      <c r="L9674" s="250">
        <v>1</v>
      </c>
      <c r="M9674" s="163" t="str">
        <f>CONCATENATE(H9674," ",F9674,"*",I9674,"/",K9674,"чел")</f>
        <v>2 шт*0,012695/665чел</v>
      </c>
      <c r="N9674" s="278">
        <f>N8958</f>
        <v>100000</v>
      </c>
      <c r="O9674" s="280">
        <f>MROUND(N9674*G9674,0.000000001)</f>
        <v>3.8180451000000004</v>
      </c>
      <c r="P9674" s="166"/>
      <c r="Q9674" s="166">
        <f>O9674*K9674</f>
        <v>2538.9999915000003</v>
      </c>
      <c r="R9674" s="71"/>
    </row>
    <row r="9675" spans="1:41" s="61" customFormat="1" x14ac:dyDescent="0.25">
      <c r="A9675" s="358"/>
      <c r="B9675" s="361"/>
      <c r="C9675" s="221"/>
      <c r="D9675" s="231" t="s">
        <v>49</v>
      </c>
      <c r="E9675" s="231" t="s">
        <v>101</v>
      </c>
      <c r="F9675" s="231" t="s">
        <v>101</v>
      </c>
      <c r="G9675" s="238">
        <f>MROUND(H9675*L9675*I9675/K9675,0.000000000001)</f>
        <v>0</v>
      </c>
      <c r="H9675" s="160">
        <f>H8855</f>
        <v>0</v>
      </c>
      <c r="I9675" s="159">
        <f>I9673</f>
        <v>1.2695E-2</v>
      </c>
      <c r="J9675" s="160"/>
      <c r="K9675" s="161">
        <f>K9673</f>
        <v>665</v>
      </c>
      <c r="L9675" s="250">
        <v>1</v>
      </c>
      <c r="M9675" s="163" t="str">
        <f>CONCATENATE(H9675," ",F9675,"*",I9675,"/",K9675,"чел")</f>
        <v>0 погон.м.*0,012695/665чел</v>
      </c>
      <c r="N9675" s="278">
        <f>N8959</f>
        <v>0</v>
      </c>
      <c r="O9675" s="280">
        <f>MROUND(N9675*G9675,0.000001)</f>
        <v>0</v>
      </c>
      <c r="P9675" s="166"/>
      <c r="Q9675" s="166">
        <f>O9675*K9675</f>
        <v>0</v>
      </c>
      <c r="R9675" s="71"/>
    </row>
    <row r="9676" spans="1:41" s="109" customFormat="1" x14ac:dyDescent="0.25">
      <c r="A9676" s="358"/>
      <c r="B9676" s="361"/>
      <c r="C9676" s="218" t="s">
        <v>291</v>
      </c>
      <c r="D9676" s="232"/>
      <c r="E9676" s="232"/>
      <c r="F9676" s="232"/>
      <c r="G9676" s="227"/>
      <c r="H9676" s="228"/>
      <c r="I9676" s="206"/>
      <c r="J9676" s="228"/>
      <c r="K9676" s="207"/>
      <c r="L9676" s="257"/>
      <c r="M9676" s="209"/>
      <c r="N9676" s="281"/>
      <c r="O9676" s="279">
        <f>SUM(O9673:O9675)</f>
        <v>234.88613532500003</v>
      </c>
      <c r="P9676" s="267"/>
      <c r="Q9676" s="166"/>
      <c r="R9676" s="72"/>
      <c r="S9676" s="62"/>
      <c r="T9676" s="62"/>
      <c r="U9676" s="62"/>
      <c r="V9676" s="62"/>
      <c r="W9676" s="62"/>
      <c r="X9676" s="62"/>
      <c r="Y9676" s="62"/>
      <c r="Z9676" s="62"/>
      <c r="AA9676" s="62"/>
      <c r="AB9676" s="62"/>
      <c r="AC9676" s="62"/>
      <c r="AD9676" s="62"/>
      <c r="AE9676" s="62"/>
      <c r="AF9676" s="62"/>
      <c r="AG9676" s="62"/>
      <c r="AH9676" s="62"/>
      <c r="AI9676" s="62"/>
      <c r="AJ9676" s="62"/>
      <c r="AK9676" s="62"/>
      <c r="AL9676" s="62"/>
      <c r="AM9676" s="62"/>
      <c r="AN9676" s="62"/>
      <c r="AO9676" s="62"/>
    </row>
    <row r="9677" spans="1:41" s="61" customFormat="1" x14ac:dyDescent="0.25">
      <c r="A9677" s="358"/>
      <c r="B9677" s="361"/>
      <c r="C9677" s="221" t="s">
        <v>77</v>
      </c>
      <c r="D9677" s="231"/>
      <c r="E9677" s="231"/>
      <c r="F9677" s="231"/>
      <c r="G9677" s="238">
        <f>MROUND(H9677*L9677*I9677/K9677,0.000000000001)</f>
        <v>0</v>
      </c>
      <c r="H9677" s="160"/>
      <c r="I9677" s="159">
        <f>I9675</f>
        <v>1.2695E-2</v>
      </c>
      <c r="J9677" s="160"/>
      <c r="K9677" s="161">
        <f>K9675</f>
        <v>665</v>
      </c>
      <c r="L9677" s="250"/>
      <c r="M9677" s="163"/>
      <c r="N9677" s="278"/>
      <c r="O9677" s="280">
        <f>MROUND(N9677*G9677,0.000001)</f>
        <v>0</v>
      </c>
      <c r="P9677" s="166"/>
      <c r="Q9677" s="166">
        <f>O9677*K9677</f>
        <v>0</v>
      </c>
      <c r="R9677" s="71"/>
    </row>
    <row r="9678" spans="1:41" s="109" customFormat="1" x14ac:dyDescent="0.25">
      <c r="A9678" s="358"/>
      <c r="B9678" s="361"/>
      <c r="C9678" s="218" t="s">
        <v>292</v>
      </c>
      <c r="D9678" s="232"/>
      <c r="E9678" s="232"/>
      <c r="F9678" s="232"/>
      <c r="G9678" s="227"/>
      <c r="H9678" s="228"/>
      <c r="I9678" s="206"/>
      <c r="J9678" s="228"/>
      <c r="K9678" s="207"/>
      <c r="L9678" s="257"/>
      <c r="M9678" s="209"/>
      <c r="N9678" s="281"/>
      <c r="O9678" s="279">
        <f>O9677</f>
        <v>0</v>
      </c>
      <c r="P9678" s="267"/>
      <c r="Q9678" s="166"/>
      <c r="R9678" s="72"/>
      <c r="S9678" s="62"/>
      <c r="T9678" s="62"/>
      <c r="U9678" s="62"/>
      <c r="V9678" s="62"/>
      <c r="W9678" s="62"/>
      <c r="X9678" s="62"/>
      <c r="Y9678" s="62"/>
      <c r="Z9678" s="62"/>
      <c r="AA9678" s="62"/>
      <c r="AB9678" s="62"/>
      <c r="AC9678" s="62"/>
      <c r="AD9678" s="62"/>
      <c r="AE9678" s="62"/>
      <c r="AF9678" s="62"/>
      <c r="AG9678" s="62"/>
      <c r="AH9678" s="62"/>
      <c r="AI9678" s="62"/>
      <c r="AJ9678" s="62"/>
      <c r="AK9678" s="62"/>
      <c r="AL9678" s="62"/>
      <c r="AM9678" s="62"/>
      <c r="AN9678" s="62"/>
      <c r="AO9678" s="62"/>
    </row>
    <row r="9679" spans="1:41" s="108" customFormat="1" x14ac:dyDescent="0.25">
      <c r="A9679" s="358"/>
      <c r="B9679" s="361"/>
      <c r="C9679" s="221"/>
      <c r="D9679" s="350" t="s">
        <v>65</v>
      </c>
      <c r="E9679" s="350"/>
      <c r="F9679" s="350"/>
      <c r="G9679" s="350"/>
      <c r="H9679" s="195"/>
      <c r="I9679" s="159"/>
      <c r="J9679" s="195"/>
      <c r="K9679" s="161"/>
      <c r="L9679" s="196"/>
      <c r="M9679" s="230"/>
      <c r="N9679" s="278"/>
      <c r="O9679" s="280"/>
      <c r="P9679" s="166"/>
      <c r="Q9679" s="166">
        <f t="shared" ref="Q9679:Q9698" si="2776">O9679*K9679</f>
        <v>0</v>
      </c>
      <c r="R9679" s="71"/>
      <c r="S9679" s="61"/>
      <c r="T9679" s="61"/>
      <c r="U9679" s="61"/>
      <c r="V9679" s="61"/>
      <c r="W9679" s="61"/>
      <c r="X9679" s="61"/>
      <c r="Y9679" s="61"/>
      <c r="Z9679" s="61"/>
      <c r="AA9679" s="61"/>
      <c r="AB9679" s="61"/>
      <c r="AC9679" s="61"/>
      <c r="AD9679" s="61"/>
      <c r="AE9679" s="61"/>
      <c r="AF9679" s="61"/>
      <c r="AG9679" s="61"/>
      <c r="AH9679" s="61"/>
      <c r="AI9679" s="61"/>
      <c r="AJ9679" s="61"/>
      <c r="AK9679" s="61"/>
      <c r="AL9679" s="61"/>
      <c r="AM9679" s="61"/>
      <c r="AN9679" s="61"/>
      <c r="AO9679" s="61"/>
    </row>
    <row r="9680" spans="1:41" s="108" customFormat="1" x14ac:dyDescent="0.25">
      <c r="A9680" s="358"/>
      <c r="B9680" s="361"/>
      <c r="C9680" s="221"/>
      <c r="D9680" s="194"/>
      <c r="E9680" s="194"/>
      <c r="F9680" s="194"/>
      <c r="G9680" s="217"/>
      <c r="H9680" s="195"/>
      <c r="I9680" s="159"/>
      <c r="J9680" s="195"/>
      <c r="K9680" s="161"/>
      <c r="L9680" s="196"/>
      <c r="M9680" s="230"/>
      <c r="N9680" s="278"/>
      <c r="O9680" s="280"/>
      <c r="P9680" s="166"/>
      <c r="Q9680" s="166">
        <f t="shared" si="2776"/>
        <v>0</v>
      </c>
      <c r="R9680" s="71"/>
      <c r="S9680" s="61"/>
      <c r="T9680" s="61"/>
      <c r="U9680" s="61"/>
      <c r="V9680" s="61"/>
      <c r="W9680" s="61"/>
      <c r="X9680" s="61"/>
      <c r="Y9680" s="61"/>
      <c r="Z9680" s="61"/>
      <c r="AA9680" s="61"/>
      <c r="AB9680" s="61"/>
      <c r="AC9680" s="61"/>
      <c r="AD9680" s="61"/>
      <c r="AE9680" s="61"/>
      <c r="AF9680" s="61"/>
      <c r="AG9680" s="61"/>
      <c r="AH9680" s="61"/>
      <c r="AI9680" s="61"/>
      <c r="AJ9680" s="61"/>
      <c r="AK9680" s="61"/>
      <c r="AL9680" s="61"/>
      <c r="AM9680" s="61"/>
      <c r="AN9680" s="61"/>
      <c r="AO9680" s="61"/>
    </row>
    <row r="9681" spans="1:41" s="108" customFormat="1" x14ac:dyDescent="0.25">
      <c r="A9681" s="358"/>
      <c r="B9681" s="361"/>
      <c r="C9681" s="365" t="s">
        <v>357</v>
      </c>
      <c r="D9681" s="368" t="s">
        <v>66</v>
      </c>
      <c r="E9681" s="368"/>
      <c r="F9681" s="368"/>
      <c r="G9681" s="368"/>
      <c r="H9681" s="195"/>
      <c r="I9681" s="159"/>
      <c r="J9681" s="195"/>
      <c r="K9681" s="161"/>
      <c r="L9681" s="196"/>
      <c r="M9681" s="230"/>
      <c r="N9681" s="278"/>
      <c r="O9681" s="279">
        <f>O9687</f>
        <v>9.3031573030000008</v>
      </c>
      <c r="P9681" s="166"/>
      <c r="Q9681" s="166">
        <f t="shared" si="2776"/>
        <v>0</v>
      </c>
      <c r="R9681" s="71"/>
      <c r="S9681" s="61"/>
      <c r="T9681" s="61"/>
      <c r="U9681" s="61"/>
      <c r="V9681" s="61"/>
      <c r="W9681" s="61"/>
      <c r="X9681" s="61"/>
      <c r="Y9681" s="61"/>
      <c r="Z9681" s="61"/>
      <c r="AA9681" s="61"/>
      <c r="AB9681" s="61"/>
      <c r="AC9681" s="61"/>
      <c r="AD9681" s="61"/>
      <c r="AE9681" s="61"/>
      <c r="AF9681" s="61"/>
      <c r="AG9681" s="61"/>
      <c r="AH9681" s="61"/>
      <c r="AI9681" s="61"/>
      <c r="AJ9681" s="61"/>
      <c r="AK9681" s="61"/>
      <c r="AL9681" s="61"/>
      <c r="AM9681" s="61"/>
      <c r="AN9681" s="61"/>
      <c r="AO9681" s="61"/>
    </row>
    <row r="9682" spans="1:41" s="61" customFormat="1" x14ac:dyDescent="0.25">
      <c r="A9682" s="358"/>
      <c r="B9682" s="361"/>
      <c r="C9682" s="366"/>
      <c r="D9682" s="284" t="s">
        <v>241</v>
      </c>
      <c r="E9682" s="156" t="s">
        <v>28</v>
      </c>
      <c r="F9682" s="156" t="s">
        <v>28</v>
      </c>
      <c r="G9682" s="238">
        <f>MROUND(H9682*L9682*I9682/K9682,0.000000000001)</f>
        <v>3.8944060149999999E-3</v>
      </c>
      <c r="H9682" s="158">
        <f>H8862</f>
        <v>17</v>
      </c>
      <c r="I9682" s="159">
        <f>I9675</f>
        <v>1.2695E-2</v>
      </c>
      <c r="J9682" s="160"/>
      <c r="K9682" s="161">
        <f>K9675</f>
        <v>665</v>
      </c>
      <c r="L9682" s="250">
        <v>12</v>
      </c>
      <c r="M9682" s="163" t="str">
        <f>CONCATENATE(H9682," ",F9682,"*",L9682,"мес.","*",I9682,"/",K9682,"чел")</f>
        <v>17 шт*12мес.*0,012695/665чел</v>
      </c>
      <c r="N9682" s="278">
        <f>N8966</f>
        <v>356.56073529411765</v>
      </c>
      <c r="O9682" s="280">
        <f>MROUND(N9682*G9682,0.000001)</f>
        <v>1.3885919999999998</v>
      </c>
      <c r="P9682" s="166"/>
      <c r="Q9682" s="166">
        <f t="shared" si="2776"/>
        <v>923.41367999999989</v>
      </c>
      <c r="R9682" s="71"/>
    </row>
    <row r="9683" spans="1:41" s="61" customFormat="1" x14ac:dyDescent="0.25">
      <c r="A9683" s="358"/>
      <c r="B9683" s="361"/>
      <c r="C9683" s="366"/>
      <c r="D9683" s="284" t="s">
        <v>242</v>
      </c>
      <c r="E9683" s="156" t="s">
        <v>243</v>
      </c>
      <c r="F9683" s="156" t="s">
        <v>243</v>
      </c>
      <c r="G9683" s="238">
        <f>MROUND(H9683*L9683*I9683/K9683,0.000000000001)</f>
        <v>3.9645053233079999</v>
      </c>
      <c r="H9683" s="158">
        <f>H8863</f>
        <v>17306</v>
      </c>
      <c r="I9683" s="159">
        <f>I9682</f>
        <v>1.2695E-2</v>
      </c>
      <c r="J9683" s="160"/>
      <c r="K9683" s="161">
        <f>K9682</f>
        <v>665</v>
      </c>
      <c r="L9683" s="250">
        <v>12</v>
      </c>
      <c r="M9683" s="163" t="str">
        <f>CONCATENATE(H9683," ",F9683,"*",L9683,"мес.","*",I9683,"/",K9683,"чел")</f>
        <v>17306 мин.*12мес.*0,012695/665чел</v>
      </c>
      <c r="N9683" s="278">
        <f>N8863</f>
        <v>0.85373685427019519</v>
      </c>
      <c r="O9683" s="280">
        <f>MROUND(N9683*G9683,0.000000001)</f>
        <v>3.3846443030000004</v>
      </c>
      <c r="P9683" s="166"/>
      <c r="Q9683" s="166">
        <f t="shared" si="2776"/>
        <v>2250.7884614950003</v>
      </c>
      <c r="R9683" s="71"/>
    </row>
    <row r="9684" spans="1:41" s="61" customFormat="1" ht="31.5" x14ac:dyDescent="0.25">
      <c r="A9684" s="358"/>
      <c r="B9684" s="361"/>
      <c r="C9684" s="366"/>
      <c r="D9684" s="285" t="s">
        <v>244</v>
      </c>
      <c r="E9684" s="286" t="s">
        <v>245</v>
      </c>
      <c r="F9684" s="286" t="s">
        <v>247</v>
      </c>
      <c r="G9684" s="238">
        <f>MROUND(H9684*L9684*I9684/K9684,0.000000000001)</f>
        <v>1.1454135339999999E-3</v>
      </c>
      <c r="H9684" s="158">
        <f>H8864</f>
        <v>5</v>
      </c>
      <c r="I9684" s="159">
        <f>I9683</f>
        <v>1.2695E-2</v>
      </c>
      <c r="J9684" s="160"/>
      <c r="K9684" s="161">
        <f>K9683</f>
        <v>665</v>
      </c>
      <c r="L9684" s="250">
        <v>12</v>
      </c>
      <c r="M9684" s="163" t="str">
        <f>CONCATENATE(H9684," ",F9684,"*",L9684,"мес.","*",I9684,"/",K9684,"чел")</f>
        <v>5 радиоточек*12мес.*0,012695/665чел</v>
      </c>
      <c r="N9684" s="278">
        <f>N8968</f>
        <v>180.23333333333335</v>
      </c>
      <c r="O9684" s="280">
        <f>MROUND(N9684*G9684,0.000001)</f>
        <v>0.20644199999999999</v>
      </c>
      <c r="P9684" s="166"/>
      <c r="Q9684" s="166">
        <f t="shared" si="2776"/>
        <v>137.28393</v>
      </c>
      <c r="R9684" s="71"/>
    </row>
    <row r="9685" spans="1:41" s="61" customFormat="1" ht="47.25" x14ac:dyDescent="0.25">
      <c r="A9685" s="358"/>
      <c r="B9685" s="361"/>
      <c r="C9685" s="366"/>
      <c r="D9685" s="285" t="s">
        <v>374</v>
      </c>
      <c r="E9685" s="156" t="s">
        <v>28</v>
      </c>
      <c r="F9685" s="156" t="s">
        <v>28</v>
      </c>
      <c r="G9685" s="238">
        <f>MROUND(H9685*L9685*I9685/K9685,0.000000000001)</f>
        <v>5.3452631599999994E-4</v>
      </c>
      <c r="H9685" s="158">
        <f>H9175</f>
        <v>7</v>
      </c>
      <c r="I9685" s="159">
        <f>I9683</f>
        <v>1.2695E-2</v>
      </c>
      <c r="J9685" s="160"/>
      <c r="K9685" s="161">
        <f>K9683</f>
        <v>665</v>
      </c>
      <c r="L9685" s="250">
        <f>L9175</f>
        <v>4</v>
      </c>
      <c r="M9685" s="163" t="str">
        <f>CONCATENATE(H9685," ",F9685,"*",L9685,"мес.","*",I9685,"/",K9685,"чел/час")</f>
        <v>7 шт*4мес.*0,012695/665чел/час</v>
      </c>
      <c r="N9685" s="278">
        <f>N9175</f>
        <v>1366.3700000000001</v>
      </c>
      <c r="O9685" s="280">
        <f>MROUND(N9685*G9685,0.000001)</f>
        <v>0.73036099999999993</v>
      </c>
      <c r="P9685" s="166"/>
      <c r="Q9685" s="166">
        <f t="shared" si="2776"/>
        <v>485.69006499999995</v>
      </c>
      <c r="R9685" s="71"/>
    </row>
    <row r="9686" spans="1:41" s="61" customFormat="1" x14ac:dyDescent="0.25">
      <c r="A9686" s="358"/>
      <c r="B9686" s="361"/>
      <c r="C9686" s="367"/>
      <c r="D9686" s="284" t="s">
        <v>246</v>
      </c>
      <c r="E9686" s="156" t="s">
        <v>28</v>
      </c>
      <c r="F9686" s="156" t="s">
        <v>28</v>
      </c>
      <c r="G9686" s="238">
        <f>MROUND(H9686*L9686*I9686/K9686,0.000000000001)</f>
        <v>1.1454135339999999E-3</v>
      </c>
      <c r="H9686" s="158">
        <v>5</v>
      </c>
      <c r="I9686" s="159">
        <f>I9684</f>
        <v>1.2695E-2</v>
      </c>
      <c r="J9686" s="160"/>
      <c r="K9686" s="161">
        <f>K9684</f>
        <v>665</v>
      </c>
      <c r="L9686" s="250">
        <v>12</v>
      </c>
      <c r="M9686" s="163" t="str">
        <f>CONCATENATE(H9686," ",F9686,"*",L9686,"мес.","*",I9686,"/",K9686,"чел")</f>
        <v>5 шт*12мес.*0,012695/665чел</v>
      </c>
      <c r="N9686" s="278">
        <f>N8970</f>
        <v>3136.9611666666665</v>
      </c>
      <c r="O9686" s="280">
        <f>MROUND(N9686*G9686,0.000001)</f>
        <v>3.593118</v>
      </c>
      <c r="P9686" s="166"/>
      <c r="Q9686" s="166">
        <f t="shared" si="2776"/>
        <v>2389.4234700000002</v>
      </c>
      <c r="R9686" s="71"/>
    </row>
    <row r="9687" spans="1:41" s="109" customFormat="1" x14ac:dyDescent="0.25">
      <c r="A9687" s="358"/>
      <c r="B9687" s="361"/>
      <c r="C9687" s="218" t="s">
        <v>358</v>
      </c>
      <c r="D9687" s="287"/>
      <c r="E9687" s="287"/>
      <c r="F9687" s="287"/>
      <c r="G9687" s="288"/>
      <c r="H9687" s="214"/>
      <c r="I9687" s="206"/>
      <c r="J9687" s="214"/>
      <c r="K9687" s="207"/>
      <c r="L9687" s="215"/>
      <c r="M9687" s="289"/>
      <c r="N9687" s="281"/>
      <c r="O9687" s="279">
        <f>SUM(O9682:O9686)</f>
        <v>9.3031573030000008</v>
      </c>
      <c r="P9687" s="267"/>
      <c r="Q9687" s="166">
        <f t="shared" si="2776"/>
        <v>0</v>
      </c>
      <c r="R9687" s="71"/>
      <c r="S9687" s="62"/>
      <c r="T9687" s="62"/>
      <c r="U9687" s="62"/>
      <c r="V9687" s="62"/>
      <c r="W9687" s="62"/>
      <c r="X9687" s="62"/>
      <c r="Y9687" s="62"/>
      <c r="Z9687" s="62"/>
      <c r="AA9687" s="62"/>
      <c r="AB9687" s="62"/>
      <c r="AC9687" s="62"/>
      <c r="AD9687" s="62"/>
      <c r="AE9687" s="62"/>
      <c r="AF9687" s="62"/>
      <c r="AG9687" s="62"/>
      <c r="AH9687" s="62"/>
      <c r="AI9687" s="62"/>
      <c r="AJ9687" s="62"/>
      <c r="AK9687" s="62"/>
      <c r="AL9687" s="62"/>
      <c r="AM9687" s="62"/>
      <c r="AN9687" s="62"/>
      <c r="AO9687" s="62"/>
    </row>
    <row r="9688" spans="1:41" s="108" customFormat="1" x14ac:dyDescent="0.25">
      <c r="A9688" s="358"/>
      <c r="B9688" s="361"/>
      <c r="C9688" s="365" t="s">
        <v>366</v>
      </c>
      <c r="D9688" s="368" t="s">
        <v>67</v>
      </c>
      <c r="E9688" s="368"/>
      <c r="F9688" s="368"/>
      <c r="G9688" s="368"/>
      <c r="H9688" s="195"/>
      <c r="I9688" s="159"/>
      <c r="J9688" s="195"/>
      <c r="K9688" s="161"/>
      <c r="L9688" s="196"/>
      <c r="M9688" s="230"/>
      <c r="N9688" s="278"/>
      <c r="O9688" s="279">
        <f>O9689</f>
        <v>1.242348</v>
      </c>
      <c r="P9688" s="166"/>
      <c r="Q9688" s="166">
        <f t="shared" si="2776"/>
        <v>0</v>
      </c>
      <c r="R9688" s="71"/>
      <c r="S9688" s="61"/>
      <c r="T9688" s="61"/>
      <c r="U9688" s="61"/>
      <c r="V9688" s="61"/>
      <c r="W9688" s="61"/>
      <c r="X9688" s="61"/>
      <c r="Y9688" s="61"/>
      <c r="Z9688" s="61"/>
      <c r="AA9688" s="61"/>
      <c r="AB9688" s="61"/>
      <c r="AC9688" s="61"/>
      <c r="AD9688" s="61"/>
      <c r="AE9688" s="61"/>
      <c r="AF9688" s="61"/>
      <c r="AG9688" s="61"/>
      <c r="AH9688" s="61"/>
      <c r="AI9688" s="61"/>
      <c r="AJ9688" s="61"/>
      <c r="AK9688" s="61"/>
      <c r="AL9688" s="61"/>
      <c r="AM9688" s="61"/>
      <c r="AN9688" s="61"/>
      <c r="AO9688" s="61"/>
    </row>
    <row r="9689" spans="1:41" s="61" customFormat="1" x14ac:dyDescent="0.25">
      <c r="A9689" s="358"/>
      <c r="B9689" s="361"/>
      <c r="C9689" s="367"/>
      <c r="D9689" s="194" t="s">
        <v>367</v>
      </c>
      <c r="E9689" s="156" t="s">
        <v>28</v>
      </c>
      <c r="F9689" s="156" t="s">
        <v>28</v>
      </c>
      <c r="G9689" s="238">
        <f>MROUND(H9689*L9689*I9689/K9689,0.000000000001)</f>
        <v>4.5816541399999999E-4</v>
      </c>
      <c r="H9689" s="158">
        <f>H8869</f>
        <v>2</v>
      </c>
      <c r="I9689" s="159">
        <f>I9686</f>
        <v>1.2695E-2</v>
      </c>
      <c r="J9689" s="160"/>
      <c r="K9689" s="161">
        <f>K9686</f>
        <v>665</v>
      </c>
      <c r="L9689" s="250">
        <v>12</v>
      </c>
      <c r="M9689" s="163" t="str">
        <f>CONCATENATE(H9689," ",F9689,"*",L9689,"мес.","*",I9689,"/",K9689,"чел")</f>
        <v>2 шт*12мес.*0,012695/665чел</v>
      </c>
      <c r="N9689" s="278">
        <f>N8869</f>
        <v>2711.57125</v>
      </c>
      <c r="O9689" s="280">
        <f>MROUND(N9689*G9689,0.000001)</f>
        <v>1.242348</v>
      </c>
      <c r="P9689" s="166"/>
      <c r="Q9689" s="166">
        <f t="shared" si="2776"/>
        <v>826.16142000000002</v>
      </c>
      <c r="R9689" s="71"/>
    </row>
    <row r="9690" spans="1:41" s="108" customFormat="1" x14ac:dyDescent="0.25">
      <c r="A9690" s="358"/>
      <c r="B9690" s="361"/>
      <c r="C9690" s="221"/>
      <c r="D9690" s="350" t="s">
        <v>68</v>
      </c>
      <c r="E9690" s="350"/>
      <c r="F9690" s="350"/>
      <c r="G9690" s="350"/>
      <c r="H9690" s="195"/>
      <c r="I9690" s="159"/>
      <c r="J9690" s="195"/>
      <c r="K9690" s="161"/>
      <c r="L9690" s="196"/>
      <c r="M9690" s="230"/>
      <c r="N9690" s="278"/>
      <c r="O9690" s="280"/>
      <c r="P9690" s="166"/>
      <c r="Q9690" s="166">
        <f t="shared" si="2776"/>
        <v>0</v>
      </c>
      <c r="R9690" s="71"/>
      <c r="S9690" s="61"/>
      <c r="T9690" s="61"/>
      <c r="U9690" s="61"/>
      <c r="V9690" s="61"/>
      <c r="W9690" s="61"/>
      <c r="X9690" s="61"/>
      <c r="Y9690" s="61"/>
      <c r="Z9690" s="61"/>
      <c r="AA9690" s="61"/>
      <c r="AB9690" s="61"/>
      <c r="AC9690" s="61"/>
      <c r="AD9690" s="61"/>
      <c r="AE9690" s="61"/>
      <c r="AF9690" s="61"/>
      <c r="AG9690" s="61"/>
      <c r="AH9690" s="61"/>
      <c r="AI9690" s="61"/>
      <c r="AJ9690" s="61"/>
      <c r="AK9690" s="61"/>
      <c r="AL9690" s="61"/>
      <c r="AM9690" s="61"/>
      <c r="AN9690" s="61"/>
      <c r="AO9690" s="61"/>
    </row>
    <row r="9691" spans="1:41" s="108" customFormat="1" x14ac:dyDescent="0.25">
      <c r="A9691" s="358"/>
      <c r="B9691" s="361"/>
      <c r="C9691" s="221"/>
      <c r="D9691" s="156"/>
      <c r="E9691" s="156"/>
      <c r="F9691" s="156"/>
      <c r="G9691" s="236"/>
      <c r="H9691" s="195"/>
      <c r="I9691" s="159"/>
      <c r="J9691" s="195"/>
      <c r="K9691" s="161"/>
      <c r="L9691" s="196"/>
      <c r="M9691" s="230"/>
      <c r="N9691" s="278"/>
      <c r="O9691" s="280"/>
      <c r="P9691" s="166"/>
      <c r="Q9691" s="166">
        <f t="shared" si="2776"/>
        <v>0</v>
      </c>
      <c r="R9691" s="71"/>
      <c r="S9691" s="61"/>
      <c r="T9691" s="61"/>
      <c r="U9691" s="61"/>
      <c r="V9691" s="61"/>
      <c r="W9691" s="61"/>
      <c r="X9691" s="61"/>
      <c r="Y9691" s="61"/>
      <c r="Z9691" s="61"/>
      <c r="AA9691" s="61"/>
      <c r="AB9691" s="61"/>
      <c r="AC9691" s="61"/>
      <c r="AD9691" s="61"/>
      <c r="AE9691" s="61"/>
      <c r="AF9691" s="61"/>
      <c r="AG9691" s="61"/>
      <c r="AH9691" s="61"/>
      <c r="AI9691" s="61"/>
      <c r="AJ9691" s="61"/>
      <c r="AK9691" s="61"/>
      <c r="AL9691" s="61"/>
      <c r="AM9691" s="61"/>
      <c r="AN9691" s="61"/>
      <c r="AO9691" s="61"/>
    </row>
    <row r="9692" spans="1:41" s="108" customFormat="1" x14ac:dyDescent="0.25">
      <c r="A9692" s="358"/>
      <c r="B9692" s="361"/>
      <c r="C9692" s="221"/>
      <c r="D9692" s="368" t="s">
        <v>69</v>
      </c>
      <c r="E9692" s="368"/>
      <c r="F9692" s="368"/>
      <c r="G9692" s="368"/>
      <c r="H9692" s="187"/>
      <c r="I9692" s="159"/>
      <c r="J9692" s="187"/>
      <c r="K9692" s="161"/>
      <c r="L9692" s="276"/>
      <c r="M9692" s="230"/>
      <c r="N9692" s="278"/>
      <c r="O9692" s="279">
        <f>O9699+O9715+O9718+O9731+O9732+O9733+O9744+O9746+O9750+O9747</f>
        <v>70.701361999999989</v>
      </c>
      <c r="P9692" s="166"/>
      <c r="Q9692" s="166">
        <f t="shared" si="2776"/>
        <v>0</v>
      </c>
      <c r="R9692" s="71"/>
      <c r="S9692" s="61"/>
      <c r="T9692" s="61"/>
      <c r="U9692" s="61"/>
      <c r="V9692" s="61"/>
      <c r="W9692" s="61"/>
      <c r="X9692" s="61"/>
      <c r="Y9692" s="61"/>
      <c r="Z9692" s="61"/>
      <c r="AA9692" s="61"/>
      <c r="AB9692" s="61"/>
      <c r="AC9692" s="61"/>
      <c r="AD9692" s="61"/>
      <c r="AE9692" s="61"/>
      <c r="AF9692" s="61"/>
      <c r="AG9692" s="61"/>
      <c r="AH9692" s="61"/>
      <c r="AI9692" s="61"/>
      <c r="AJ9692" s="61"/>
      <c r="AK9692" s="61"/>
      <c r="AL9692" s="61"/>
      <c r="AM9692" s="61"/>
      <c r="AN9692" s="61"/>
      <c r="AO9692" s="61"/>
    </row>
    <row r="9693" spans="1:41" s="61" customFormat="1" ht="31.5" x14ac:dyDescent="0.25">
      <c r="A9693" s="358"/>
      <c r="B9693" s="361"/>
      <c r="C9693" s="365" t="s">
        <v>78</v>
      </c>
      <c r="D9693" s="156" t="s">
        <v>26</v>
      </c>
      <c r="E9693" s="156" t="s">
        <v>22</v>
      </c>
      <c r="F9693" s="156" t="s">
        <v>22</v>
      </c>
      <c r="G9693" s="238">
        <f t="shared" ref="G9693:G9698" si="2777">MROUND(H9693*L9693*I9693/K9693,0.000000000001)</f>
        <v>1.1363097870679999</v>
      </c>
      <c r="H9693" s="158">
        <f>H8873</f>
        <v>4960.26</v>
      </c>
      <c r="I9693" s="159">
        <f>I9689</f>
        <v>1.2695E-2</v>
      </c>
      <c r="J9693" s="160"/>
      <c r="K9693" s="161">
        <f>K9689</f>
        <v>665</v>
      </c>
      <c r="L9693" s="250">
        <v>12</v>
      </c>
      <c r="M9693" s="163" t="str">
        <f>CONCATENATE(H9693," ",F9693,"(обрабатываемая площадь в мес.)","*",L9693,"мес.","*",I9693,"/",K9693,"чел")</f>
        <v>4960,26 м2(обрабатываемая площадь в мес.)*12мес.*0,012695/665чел</v>
      </c>
      <c r="N9693" s="278">
        <f>N8977</f>
        <v>1.2568900958148699</v>
      </c>
      <c r="O9693" s="280">
        <f>MROUND(N9693*G9693,0.000001)</f>
        <v>1.4282169999999998</v>
      </c>
      <c r="P9693" s="166"/>
      <c r="Q9693" s="166">
        <f t="shared" si="2776"/>
        <v>949.76430499999992</v>
      </c>
      <c r="R9693" s="71"/>
    </row>
    <row r="9694" spans="1:41" s="61" customFormat="1" ht="31.5" x14ac:dyDescent="0.25">
      <c r="A9694" s="358"/>
      <c r="B9694" s="361"/>
      <c r="C9694" s="366"/>
      <c r="D9694" s="156" t="s">
        <v>96</v>
      </c>
      <c r="E9694" s="156" t="s">
        <v>22</v>
      </c>
      <c r="F9694" s="156" t="s">
        <v>22</v>
      </c>
      <c r="G9694" s="238">
        <f t="shared" si="2777"/>
        <v>0.62934975699200002</v>
      </c>
      <c r="H9694" s="158">
        <f>H8874</f>
        <v>2747.26</v>
      </c>
      <c r="I9694" s="298">
        <f>I9693</f>
        <v>1.2695E-2</v>
      </c>
      <c r="J9694" s="299"/>
      <c r="K9694" s="300">
        <f>K9693</f>
        <v>665</v>
      </c>
      <c r="L9694" s="250">
        <v>12</v>
      </c>
      <c r="M9694" s="163" t="str">
        <f>CONCATENATE(H9694," ",F9694,"(обрабатываемая площадь в мес.)","*",L9694,"мес.","*",I9694,"/",K9694,"чел")</f>
        <v>2747,26 м2(обрабатываемая площадь в мес.)*12мес.*0,012695/665чел</v>
      </c>
      <c r="N9694" s="278">
        <f>N8978</f>
        <v>1.7523653870887115</v>
      </c>
      <c r="O9694" s="280">
        <f>MROUND(N9694*G9694,0.000001)</f>
        <v>1.102851</v>
      </c>
      <c r="P9694" s="166"/>
      <c r="Q9694" s="166">
        <f t="shared" si="2776"/>
        <v>733.39591500000006</v>
      </c>
      <c r="R9694" s="71"/>
    </row>
    <row r="9695" spans="1:41" s="135" customFormat="1" ht="31.5" x14ac:dyDescent="0.25">
      <c r="A9695" s="358"/>
      <c r="B9695" s="361"/>
      <c r="C9695" s="366"/>
      <c r="D9695" s="156" t="s">
        <v>385</v>
      </c>
      <c r="E9695" s="156" t="s">
        <v>22</v>
      </c>
      <c r="F9695" s="156" t="s">
        <v>22</v>
      </c>
      <c r="G9695" s="238">
        <f t="shared" si="2777"/>
        <v>1.2586995139849999</v>
      </c>
      <c r="H9695" s="242">
        <f>$H$2098</f>
        <v>2747.26</v>
      </c>
      <c r="I9695" s="298">
        <f>I9694</f>
        <v>1.2695E-2</v>
      </c>
      <c r="J9695" s="160"/>
      <c r="K9695" s="300">
        <f>K9694</f>
        <v>665</v>
      </c>
      <c r="L9695" s="162">
        <v>24</v>
      </c>
      <c r="M9695" s="163" t="str">
        <f>CONCATENATE(H9695," ",F9695,"(обрабатываемая площадь в год)","*",L9695," раза в год.","*",I9695,"/",K9695,"чел.")</f>
        <v>2747,26 м2(обрабатываемая площадь в год)*24 раза в год.*0,012695/665чел.</v>
      </c>
      <c r="N9695" s="164">
        <f>$N$8875</f>
        <v>1.9341167805983659</v>
      </c>
      <c r="O9695" s="165">
        <f>MROUND(G9695*N9695,0.000001)</f>
        <v>2.434472</v>
      </c>
      <c r="P9695" s="166"/>
      <c r="Q9695" s="166">
        <f t="shared" si="2776"/>
        <v>1618.9238800000001</v>
      </c>
      <c r="R9695" s="71"/>
      <c r="S9695" s="61"/>
      <c r="T9695" s="61"/>
      <c r="U9695" s="61"/>
      <c r="V9695" s="61"/>
      <c r="W9695" s="61"/>
      <c r="X9695" s="61"/>
      <c r="Y9695" s="61"/>
      <c r="Z9695" s="61"/>
      <c r="AA9695" s="61"/>
      <c r="AB9695" s="61"/>
      <c r="AC9695" s="61"/>
      <c r="AD9695" s="61"/>
      <c r="AE9695" s="61"/>
      <c r="AF9695" s="61"/>
      <c r="AG9695" s="61"/>
      <c r="AH9695" s="61"/>
      <c r="AI9695" s="61"/>
      <c r="AJ9695" s="61"/>
      <c r="AK9695" s="61"/>
      <c r="AL9695" s="61"/>
      <c r="AM9695" s="61"/>
      <c r="AN9695" s="61"/>
      <c r="AO9695" s="61"/>
    </row>
    <row r="9696" spans="1:41" s="135" customFormat="1" ht="31.5" x14ac:dyDescent="0.25">
      <c r="A9696" s="358"/>
      <c r="B9696" s="361"/>
      <c r="C9696" s="366"/>
      <c r="D9696" s="156" t="s">
        <v>394</v>
      </c>
      <c r="E9696" s="156" t="s">
        <v>22</v>
      </c>
      <c r="F9696" s="156" t="s">
        <v>22</v>
      </c>
      <c r="G9696" s="238">
        <f t="shared" si="2777"/>
        <v>1.1363097870679999</v>
      </c>
      <c r="H9696" s="243">
        <f>$H$2099</f>
        <v>4960.26</v>
      </c>
      <c r="I9696" s="298">
        <f>I9695</f>
        <v>1.2695E-2</v>
      </c>
      <c r="J9696" s="160"/>
      <c r="K9696" s="300">
        <f>K9695</f>
        <v>665</v>
      </c>
      <c r="L9696" s="162">
        <v>12</v>
      </c>
      <c r="M9696" s="163" t="str">
        <f>CONCATENATE(H9696," ",F9696,"(обрабатываемая площадь в мес.)","*",L9696,"мес.","*",I9696,"/",K9696,"чел.")</f>
        <v>4960,26 м2(обрабатываемая площадь в мес.)*12мес.*0,012695/665чел.</v>
      </c>
      <c r="N9696" s="164">
        <f>$N$8876</f>
        <v>0.59287281983874496</v>
      </c>
      <c r="O9696" s="165">
        <f>MROUND(G9696*N9696,0.000001)</f>
        <v>0.67368699999999992</v>
      </c>
      <c r="P9696" s="166"/>
      <c r="Q9696" s="166">
        <f t="shared" si="2776"/>
        <v>448.00185499999998</v>
      </c>
      <c r="R9696" s="71"/>
      <c r="S9696" s="61"/>
      <c r="T9696" s="61"/>
      <c r="U9696" s="61"/>
      <c r="V9696" s="61"/>
      <c r="W9696" s="61"/>
      <c r="X9696" s="61"/>
      <c r="Y9696" s="61"/>
      <c r="Z9696" s="61"/>
      <c r="AA9696" s="61"/>
      <c r="AB9696" s="61"/>
      <c r="AC9696" s="61"/>
      <c r="AD9696" s="61"/>
      <c r="AE9696" s="61"/>
      <c r="AF9696" s="61"/>
      <c r="AG9696" s="61"/>
      <c r="AH9696" s="61"/>
      <c r="AI9696" s="61"/>
      <c r="AJ9696" s="61"/>
      <c r="AK9696" s="61"/>
      <c r="AL9696" s="61"/>
      <c r="AM9696" s="61"/>
      <c r="AN9696" s="61"/>
      <c r="AO9696" s="61"/>
    </row>
    <row r="9697" spans="1:41" s="135" customFormat="1" ht="31.5" x14ac:dyDescent="0.25">
      <c r="A9697" s="358"/>
      <c r="B9697" s="361"/>
      <c r="C9697" s="366"/>
      <c r="D9697" s="156" t="s">
        <v>395</v>
      </c>
      <c r="E9697" s="156" t="s">
        <v>98</v>
      </c>
      <c r="F9697" s="156" t="s">
        <v>98</v>
      </c>
      <c r="G9697" s="238">
        <f t="shared" si="2777"/>
        <v>3.5889624000000002E-5</v>
      </c>
      <c r="H9697" s="242">
        <f>$H$2100</f>
        <v>1.8800000000000001</v>
      </c>
      <c r="I9697" s="298">
        <f>I9696</f>
        <v>1.2695E-2</v>
      </c>
      <c r="J9697" s="160"/>
      <c r="K9697" s="300">
        <f>K9696</f>
        <v>665</v>
      </c>
      <c r="L9697" s="162">
        <v>1</v>
      </c>
      <c r="M9697" s="163" t="str">
        <f>CONCATENATE(H9697," ",F9697,"(обрабатываемая площадь в год)","*",L9697," раз в год","*",I9697,"/",K9697,"чел.")</f>
        <v>1,88 Га(обрабатываемая площадь в год)*1 раз в год*0,012695/665чел.</v>
      </c>
      <c r="N9697" s="164">
        <f>$N$8877</f>
        <v>592.87234042553177</v>
      </c>
      <c r="O9697" s="165">
        <f>MROUND(G9697*N9697,0.000001)</f>
        <v>2.1277999999999998E-2</v>
      </c>
      <c r="P9697" s="166"/>
      <c r="Q9697" s="166">
        <f t="shared" si="2776"/>
        <v>14.149869999999998</v>
      </c>
      <c r="R9697" s="71"/>
      <c r="S9697" s="61"/>
      <c r="T9697" s="61"/>
      <c r="U9697" s="61"/>
      <c r="V9697" s="61"/>
      <c r="W9697" s="61"/>
      <c r="X9697" s="61"/>
      <c r="Y9697" s="61"/>
      <c r="Z9697" s="61"/>
      <c r="AA9697" s="61"/>
      <c r="AB9697" s="61"/>
      <c r="AC9697" s="61"/>
      <c r="AD9697" s="61"/>
      <c r="AE9697" s="61"/>
      <c r="AF9697" s="61"/>
      <c r="AG9697" s="61"/>
      <c r="AH9697" s="61"/>
      <c r="AI9697" s="61"/>
      <c r="AJ9697" s="61"/>
      <c r="AK9697" s="61"/>
      <c r="AL9697" s="61"/>
      <c r="AM9697" s="61"/>
      <c r="AN9697" s="61"/>
      <c r="AO9697" s="61"/>
    </row>
    <row r="9698" spans="1:41" s="61" customFormat="1" ht="31.5" x14ac:dyDescent="0.25">
      <c r="A9698" s="358"/>
      <c r="B9698" s="361"/>
      <c r="C9698" s="367"/>
      <c r="D9698" s="156" t="s">
        <v>97</v>
      </c>
      <c r="E9698" s="156" t="s">
        <v>363</v>
      </c>
      <c r="F9698" s="156" t="s">
        <v>363</v>
      </c>
      <c r="G9698" s="238">
        <f t="shared" si="2777"/>
        <v>3.5889624000000002E-5</v>
      </c>
      <c r="H9698" s="158">
        <f>$H$2101</f>
        <v>1.8800000000000001</v>
      </c>
      <c r="I9698" s="298">
        <f>I9694</f>
        <v>1.2695E-2</v>
      </c>
      <c r="J9698" s="299"/>
      <c r="K9698" s="300">
        <f>K9694</f>
        <v>665</v>
      </c>
      <c r="L9698" s="250">
        <v>1</v>
      </c>
      <c r="M9698" s="163" t="str">
        <f>CONCATENATE(H9698," ",F9698,"(обрабатываемая площадь в мес.)","*",L9698,"мес.","*",I9698,"/",K9698,"чел")</f>
        <v>1,88 га(обрабатываемая площадь в мес.)*1мес.*0,012695/665чел</v>
      </c>
      <c r="N9698" s="278">
        <f>$N$8878</f>
        <v>3226.4999999999995</v>
      </c>
      <c r="O9698" s="280">
        <f>MROUND(N9698*G9698,0.000001)</f>
        <v>0.115798</v>
      </c>
      <c r="P9698" s="166"/>
      <c r="Q9698" s="166">
        <f t="shared" si="2776"/>
        <v>77.005669999999995</v>
      </c>
      <c r="R9698" s="71"/>
    </row>
    <row r="9699" spans="1:41" s="109" customFormat="1" x14ac:dyDescent="0.25">
      <c r="A9699" s="358"/>
      <c r="B9699" s="361"/>
      <c r="C9699" s="218" t="s">
        <v>327</v>
      </c>
      <c r="D9699" s="240"/>
      <c r="E9699" s="240"/>
      <c r="F9699" s="240"/>
      <c r="G9699" s="227"/>
      <c r="H9699" s="241"/>
      <c r="I9699" s="206"/>
      <c r="J9699" s="228"/>
      <c r="K9699" s="207"/>
      <c r="L9699" s="257"/>
      <c r="M9699" s="209"/>
      <c r="N9699" s="281"/>
      <c r="O9699" s="279">
        <f>SUM(O9693:O9698)</f>
        <v>5.7763029999999995</v>
      </c>
      <c r="P9699" s="267"/>
      <c r="Q9699" s="166"/>
      <c r="R9699" s="71"/>
      <c r="S9699" s="62"/>
      <c r="T9699" s="62"/>
      <c r="U9699" s="62"/>
      <c r="V9699" s="62"/>
      <c r="W9699" s="62"/>
      <c r="X9699" s="62"/>
      <c r="Y9699" s="62"/>
      <c r="Z9699" s="62"/>
      <c r="AA9699" s="62"/>
      <c r="AB9699" s="62"/>
      <c r="AC9699" s="62"/>
      <c r="AD9699" s="62"/>
      <c r="AE9699" s="62"/>
      <c r="AF9699" s="62"/>
      <c r="AG9699" s="62"/>
      <c r="AH9699" s="62"/>
      <c r="AI9699" s="62"/>
      <c r="AJ9699" s="62"/>
      <c r="AK9699" s="62"/>
      <c r="AL9699" s="62"/>
      <c r="AM9699" s="62"/>
      <c r="AN9699" s="62"/>
      <c r="AO9699" s="62"/>
    </row>
    <row r="9700" spans="1:41" s="61" customFormat="1" x14ac:dyDescent="0.25">
      <c r="A9700" s="358"/>
      <c r="B9700" s="361"/>
      <c r="C9700" s="366" t="s">
        <v>77</v>
      </c>
      <c r="D9700" s="156" t="s">
        <v>397</v>
      </c>
      <c r="E9700" s="156" t="s">
        <v>433</v>
      </c>
      <c r="F9700" s="156" t="s">
        <v>433</v>
      </c>
      <c r="G9700" s="238">
        <f t="shared" ref="G9700:G9714" si="2778">MROUND(H9700*L9700*I9700/K9700,0.000000000001)</f>
        <v>0</v>
      </c>
      <c r="H9700" s="158"/>
      <c r="I9700" s="306">
        <f>I9694</f>
        <v>1.2695E-2</v>
      </c>
      <c r="J9700" s="307"/>
      <c r="K9700" s="308">
        <f>K9694</f>
        <v>665</v>
      </c>
      <c r="L9700" s="162">
        <v>1</v>
      </c>
      <c r="M9700" s="163"/>
      <c r="N9700" s="278"/>
      <c r="O9700" s="280">
        <f t="shared" ref="O9700:O9711" si="2779">MROUND(N9700*G9700,0.000001)</f>
        <v>0</v>
      </c>
      <c r="P9700" s="166"/>
      <c r="Q9700" s="166">
        <f t="shared" ref="Q9700:Q9714" si="2780">O9700*K9700</f>
        <v>0</v>
      </c>
      <c r="R9700" s="71"/>
    </row>
    <row r="9701" spans="1:41" s="61" customFormat="1" ht="63" x14ac:dyDescent="0.25">
      <c r="A9701" s="358"/>
      <c r="B9701" s="361"/>
      <c r="C9701" s="366"/>
      <c r="D9701" s="156" t="s">
        <v>249</v>
      </c>
      <c r="E9701" s="156" t="s">
        <v>22</v>
      </c>
      <c r="F9701" s="156" t="s">
        <v>22</v>
      </c>
      <c r="G9701" s="238">
        <f t="shared" si="2778"/>
        <v>0.15824804300799999</v>
      </c>
      <c r="H9701" s="158">
        <f>H8881</f>
        <v>690.79</v>
      </c>
      <c r="I9701" s="159">
        <f>I9700</f>
        <v>1.2695E-2</v>
      </c>
      <c r="J9701" s="160"/>
      <c r="K9701" s="161">
        <f>K9700</f>
        <v>665</v>
      </c>
      <c r="L9701" s="250">
        <v>12</v>
      </c>
      <c r="M9701" s="163" t="str">
        <f>CONCATENATE(H9701," ",F9701,"*",L9701,"мес.","*",I9701,"/",K9701,"чел")</f>
        <v>690,79 м2*12мес.*0,012695/665чел</v>
      </c>
      <c r="N9701" s="278">
        <f>N9293</f>
        <v>32.968811071382042</v>
      </c>
      <c r="O9701" s="280">
        <f t="shared" si="2779"/>
        <v>5.2172499999999999</v>
      </c>
      <c r="P9701" s="166"/>
      <c r="Q9701" s="166">
        <f t="shared" si="2780"/>
        <v>3469.4712500000001</v>
      </c>
      <c r="R9701" s="71"/>
    </row>
    <row r="9702" spans="1:41" s="136" customFormat="1" x14ac:dyDescent="0.25">
      <c r="A9702" s="358"/>
      <c r="B9702" s="361"/>
      <c r="C9702" s="366"/>
      <c r="D9702" s="194" t="s">
        <v>398</v>
      </c>
      <c r="E9702" s="156" t="s">
        <v>60</v>
      </c>
      <c r="F9702" s="156" t="s">
        <v>60</v>
      </c>
      <c r="G9702" s="238">
        <f t="shared" si="2778"/>
        <v>9.5451127999999995E-5</v>
      </c>
      <c r="H9702" s="158">
        <f>$H$2105</f>
        <v>5</v>
      </c>
      <c r="I9702" s="159">
        <f>I9701</f>
        <v>1.2695E-2</v>
      </c>
      <c r="J9702" s="160"/>
      <c r="K9702" s="161">
        <f>K9701</f>
        <v>665</v>
      </c>
      <c r="L9702" s="250">
        <v>1</v>
      </c>
      <c r="M9702" s="163" t="str">
        <f>CONCATENATE(H9702," ",F9702,"*",I9702,"/",K9702,"чел/час")</f>
        <v>5 шт.*0,012695/665чел/час</v>
      </c>
      <c r="N9702" s="278">
        <f>$N$8882</f>
        <v>5928.7300000000005</v>
      </c>
      <c r="O9702" s="280">
        <f t="shared" si="2779"/>
        <v>0.56590399999999996</v>
      </c>
      <c r="P9702" s="166"/>
      <c r="Q9702" s="166">
        <f t="shared" si="2780"/>
        <v>376.32615999999996</v>
      </c>
      <c r="R9702" s="71"/>
      <c r="S9702" s="61"/>
      <c r="T9702" s="61"/>
      <c r="U9702" s="61"/>
      <c r="V9702" s="61"/>
      <c r="W9702" s="61"/>
      <c r="X9702" s="61"/>
      <c r="Y9702" s="61"/>
      <c r="Z9702" s="61"/>
      <c r="AA9702" s="61"/>
      <c r="AB9702" s="61"/>
      <c r="AC9702" s="61"/>
      <c r="AD9702" s="61"/>
      <c r="AE9702" s="61"/>
      <c r="AF9702" s="61"/>
      <c r="AG9702" s="61"/>
      <c r="AH9702" s="61"/>
      <c r="AI9702" s="61"/>
      <c r="AJ9702" s="61"/>
      <c r="AK9702" s="61"/>
      <c r="AL9702" s="61"/>
      <c r="AM9702" s="61"/>
      <c r="AN9702" s="61"/>
      <c r="AO9702" s="61"/>
    </row>
    <row r="9703" spans="1:41" s="136" customFormat="1" ht="63" x14ac:dyDescent="0.25">
      <c r="A9703" s="358"/>
      <c r="B9703" s="361"/>
      <c r="C9703" s="366"/>
      <c r="D9703" s="156" t="s">
        <v>33</v>
      </c>
      <c r="E9703" s="156" t="s">
        <v>56</v>
      </c>
      <c r="F9703" s="156" t="s">
        <v>220</v>
      </c>
      <c r="G9703" s="238">
        <f t="shared" si="2778"/>
        <v>9.5451127999999995E-5</v>
      </c>
      <c r="H9703" s="158">
        <f>$H$2106</f>
        <v>5</v>
      </c>
      <c r="I9703" s="159">
        <f>I9702</f>
        <v>1.2695E-2</v>
      </c>
      <c r="J9703" s="160"/>
      <c r="K9703" s="161">
        <f>K9702</f>
        <v>665</v>
      </c>
      <c r="L9703" s="250">
        <f>$L$2106</f>
        <v>1</v>
      </c>
      <c r="M9703" s="163" t="str">
        <f>CONCATENATE(H9703," ",F9703,"*",L9703," раз в год","*",I9703,"/",K9703,"чел.")</f>
        <v>5 дымоходов*1 раз в год*0,012695/665чел.</v>
      </c>
      <c r="N9703" s="278">
        <f>$N$8883</f>
        <v>7114.4699999999993</v>
      </c>
      <c r="O9703" s="280">
        <f t="shared" si="2779"/>
        <v>0.67908400000000002</v>
      </c>
      <c r="P9703" s="166"/>
      <c r="Q9703" s="166">
        <f t="shared" si="2780"/>
        <v>451.59086000000002</v>
      </c>
      <c r="R9703" s="71"/>
      <c r="S9703" s="61"/>
      <c r="T9703" s="61"/>
      <c r="U9703" s="61"/>
      <c r="V9703" s="61"/>
      <c r="W9703" s="61"/>
      <c r="X9703" s="61"/>
      <c r="Y9703" s="61"/>
      <c r="Z9703" s="61"/>
      <c r="AA9703" s="61"/>
      <c r="AB9703" s="61"/>
      <c r="AC9703" s="61"/>
      <c r="AD9703" s="61"/>
      <c r="AE9703" s="61"/>
      <c r="AF9703" s="61"/>
      <c r="AG9703" s="61"/>
      <c r="AH9703" s="61"/>
      <c r="AI9703" s="61"/>
      <c r="AJ9703" s="61"/>
      <c r="AK9703" s="61"/>
      <c r="AL9703" s="61"/>
      <c r="AM9703" s="61"/>
      <c r="AN9703" s="61"/>
      <c r="AO9703" s="61"/>
    </row>
    <row r="9704" spans="1:41" s="61" customFormat="1" ht="78.75" x14ac:dyDescent="0.25">
      <c r="A9704" s="358"/>
      <c r="B9704" s="361"/>
      <c r="C9704" s="366"/>
      <c r="D9704" s="156" t="s">
        <v>250</v>
      </c>
      <c r="E9704" s="156" t="s">
        <v>251</v>
      </c>
      <c r="F9704" s="156" t="s">
        <v>60</v>
      </c>
      <c r="G9704" s="238">
        <f t="shared" si="2778"/>
        <v>9.5451127999999995E-5</v>
      </c>
      <c r="H9704" s="158">
        <f>$H$2107</f>
        <v>5</v>
      </c>
      <c r="I9704" s="159">
        <f>I9701</f>
        <v>1.2695E-2</v>
      </c>
      <c r="J9704" s="160"/>
      <c r="K9704" s="161">
        <f>K9701</f>
        <v>665</v>
      </c>
      <c r="L9704" s="250">
        <v>1</v>
      </c>
      <c r="M9704" s="163" t="str">
        <f>CONCATENATE(H9704," ",F9704,"*",I9704,"/",K9704,"чел")</f>
        <v>5 шт.*0,012695/665чел</v>
      </c>
      <c r="N9704" s="278">
        <f t="shared" ref="N9704:N9714" si="2781">N8884</f>
        <v>4742.9800000000005</v>
      </c>
      <c r="O9704" s="280">
        <f t="shared" si="2779"/>
        <v>0.45272299999999999</v>
      </c>
      <c r="P9704" s="166"/>
      <c r="Q9704" s="166">
        <f t="shared" si="2780"/>
        <v>301.06079499999998</v>
      </c>
      <c r="R9704" s="71"/>
    </row>
    <row r="9705" spans="1:41" s="61" customFormat="1" ht="47.25" x14ac:dyDescent="0.25">
      <c r="A9705" s="358"/>
      <c r="B9705" s="361"/>
      <c r="C9705" s="366"/>
      <c r="D9705" s="156" t="s">
        <v>401</v>
      </c>
      <c r="E9705" s="156" t="s">
        <v>60</v>
      </c>
      <c r="F9705" s="156" t="s">
        <v>402</v>
      </c>
      <c r="G9705" s="238">
        <f t="shared" si="2778"/>
        <v>1.9090225599999999E-4</v>
      </c>
      <c r="H9705" s="158">
        <f>H8885</f>
        <v>5</v>
      </c>
      <c r="I9705" s="159">
        <f>I9704</f>
        <v>1.2695E-2</v>
      </c>
      <c r="J9705" s="160"/>
      <c r="K9705" s="161">
        <f>K9704</f>
        <v>665</v>
      </c>
      <c r="L9705" s="250">
        <f>$L$2108</f>
        <v>2</v>
      </c>
      <c r="M9705" s="163" t="str">
        <f>CONCATENATE(H9705," ",F9705,"*",I9705,"/",K9705,"чел")</f>
        <v>5 противопожарных водопроводов*0,012695/665чел</v>
      </c>
      <c r="N9705" s="278">
        <f t="shared" si="2781"/>
        <v>2964.3650000000002</v>
      </c>
      <c r="O9705" s="280">
        <f t="shared" si="2779"/>
        <v>0.56590399999999996</v>
      </c>
      <c r="P9705" s="166"/>
      <c r="Q9705" s="166">
        <f t="shared" si="2780"/>
        <v>376.32615999999996</v>
      </c>
      <c r="R9705" s="71"/>
    </row>
    <row r="9706" spans="1:41" s="61" customFormat="1" ht="47.25" x14ac:dyDescent="0.25">
      <c r="A9706" s="358"/>
      <c r="B9706" s="361"/>
      <c r="C9706" s="366"/>
      <c r="D9706" s="156" t="s">
        <v>34</v>
      </c>
      <c r="E9706" s="156" t="s">
        <v>59</v>
      </c>
      <c r="F9706" s="156" t="s">
        <v>28</v>
      </c>
      <c r="G9706" s="238">
        <f t="shared" si="2778"/>
        <v>3.8180450999999997E-5</v>
      </c>
      <c r="H9706" s="158">
        <f>H8886</f>
        <v>2</v>
      </c>
      <c r="I9706" s="159">
        <f>I9705</f>
        <v>1.2695E-2</v>
      </c>
      <c r="J9706" s="160"/>
      <c r="K9706" s="161">
        <f>K9705</f>
        <v>665</v>
      </c>
      <c r="L9706" s="250">
        <v>1</v>
      </c>
      <c r="M9706" s="163" t="str">
        <f>CONCATENATE(H9706," ",F9706,"*",I9706,"/",K9706,"чел")</f>
        <v>2 шт*0,012695/665чел</v>
      </c>
      <c r="N9706" s="278">
        <f t="shared" si="2781"/>
        <v>8158.8</v>
      </c>
      <c r="O9706" s="280">
        <f t="shared" si="2779"/>
        <v>0.31150699999999998</v>
      </c>
      <c r="P9706" s="166"/>
      <c r="Q9706" s="166">
        <f t="shared" si="2780"/>
        <v>207.15215499999999</v>
      </c>
      <c r="R9706" s="71"/>
    </row>
    <row r="9707" spans="1:41" s="61" customFormat="1" ht="47.25" x14ac:dyDescent="0.25">
      <c r="A9707" s="358"/>
      <c r="B9707" s="361"/>
      <c r="C9707" s="366"/>
      <c r="D9707" s="156" t="s">
        <v>222</v>
      </c>
      <c r="E9707" s="156" t="s">
        <v>60</v>
      </c>
      <c r="F9707" s="156" t="s">
        <v>60</v>
      </c>
      <c r="G9707" s="238">
        <f t="shared" si="2778"/>
        <v>3.8180450999999997E-5</v>
      </c>
      <c r="H9707" s="158">
        <f>H9095</f>
        <v>2</v>
      </c>
      <c r="I9707" s="159">
        <f>I9706</f>
        <v>1.2695E-2</v>
      </c>
      <c r="J9707" s="160"/>
      <c r="K9707" s="161">
        <f>K9706</f>
        <v>665</v>
      </c>
      <c r="L9707" s="250">
        <v>1</v>
      </c>
      <c r="M9707" s="163" t="str">
        <f>CONCATENATE(H9707," ",F9707,"*",I9707,"/",K9707,"чел")</f>
        <v>2 шт.*0,012695/665чел</v>
      </c>
      <c r="N9707" s="278">
        <f t="shared" si="2781"/>
        <v>14141.92</v>
      </c>
      <c r="O9707" s="280">
        <f t="shared" si="2779"/>
        <v>0.53994500000000001</v>
      </c>
      <c r="P9707" s="166"/>
      <c r="Q9707" s="166">
        <f t="shared" si="2780"/>
        <v>359.063425</v>
      </c>
      <c r="R9707" s="71"/>
    </row>
    <row r="9708" spans="1:41" s="61" customFormat="1" ht="31.5" x14ac:dyDescent="0.25">
      <c r="A9708" s="358"/>
      <c r="B9708" s="361"/>
      <c r="C9708" s="366"/>
      <c r="D9708" s="156" t="s">
        <v>35</v>
      </c>
      <c r="E9708" s="156" t="s">
        <v>102</v>
      </c>
      <c r="F9708" s="156" t="s">
        <v>252</v>
      </c>
      <c r="G9708" s="238">
        <f t="shared" si="2778"/>
        <v>3.8180450999999997E-5</v>
      </c>
      <c r="H9708" s="158">
        <f>H8888</f>
        <v>2</v>
      </c>
      <c r="I9708" s="159">
        <f>I9706</f>
        <v>1.2695E-2</v>
      </c>
      <c r="J9708" s="160"/>
      <c r="K9708" s="161">
        <f>K9706</f>
        <v>665</v>
      </c>
      <c r="L9708" s="250">
        <v>1</v>
      </c>
      <c r="M9708" s="163" t="str">
        <f>CONCATENATE(H9708," ",F9708,"*",I9708,"/",K9708,"чел")</f>
        <v>2 замера*0,012695/665чел</v>
      </c>
      <c r="N9708" s="278">
        <f t="shared" si="2781"/>
        <v>40794</v>
      </c>
      <c r="O9708" s="280">
        <f t="shared" si="2779"/>
        <v>1.5575329999999998</v>
      </c>
      <c r="P9708" s="166"/>
      <c r="Q9708" s="166">
        <f t="shared" si="2780"/>
        <v>1035.7594449999999</v>
      </c>
      <c r="R9708" s="71"/>
    </row>
    <row r="9709" spans="1:41" s="61" customFormat="1" ht="47.25" x14ac:dyDescent="0.25">
      <c r="A9709" s="358"/>
      <c r="B9709" s="361"/>
      <c r="C9709" s="366"/>
      <c r="D9709" s="156" t="s">
        <v>399</v>
      </c>
      <c r="E9709" s="156" t="s">
        <v>60</v>
      </c>
      <c r="F9709" s="156" t="s">
        <v>60</v>
      </c>
      <c r="G9709" s="238">
        <f t="shared" si="2778"/>
        <v>7.6360902299999996E-4</v>
      </c>
      <c r="H9709" s="158">
        <f>$H$2112</f>
        <v>4</v>
      </c>
      <c r="I9709" s="159">
        <f>I9708</f>
        <v>1.2695E-2</v>
      </c>
      <c r="J9709" s="160"/>
      <c r="K9709" s="161">
        <f>K9708</f>
        <v>665</v>
      </c>
      <c r="L9709" s="250">
        <v>10</v>
      </c>
      <c r="M9709" s="163" t="str">
        <f>CONCATENATE(H9709," ",F9709,"*",L9709,"мес.","*",I9709,"/",K9709,"чел")</f>
        <v>4 шт.*10мес.*0,012695/665чел</v>
      </c>
      <c r="N9709" s="278">
        <f t="shared" si="2781"/>
        <v>2623.4625000000001</v>
      </c>
      <c r="O9709" s="280">
        <f t="shared" si="2779"/>
        <v>2.0032999999999999</v>
      </c>
      <c r="P9709" s="166"/>
      <c r="Q9709" s="166">
        <f t="shared" si="2780"/>
        <v>1332.1944999999998</v>
      </c>
      <c r="R9709" s="71"/>
    </row>
    <row r="9710" spans="1:41" s="61" customFormat="1" ht="47.25" x14ac:dyDescent="0.25">
      <c r="A9710" s="358"/>
      <c r="B9710" s="361"/>
      <c r="C9710" s="366"/>
      <c r="D9710" s="156" t="s">
        <v>36</v>
      </c>
      <c r="E9710" s="156" t="s">
        <v>31</v>
      </c>
      <c r="F9710" s="156" t="s">
        <v>224</v>
      </c>
      <c r="G9710" s="238">
        <f t="shared" si="2778"/>
        <v>1.832661654E-3</v>
      </c>
      <c r="H9710" s="158">
        <f>H8890</f>
        <v>8</v>
      </c>
      <c r="I9710" s="159">
        <f>I9709</f>
        <v>1.2695E-2</v>
      </c>
      <c r="J9710" s="160"/>
      <c r="K9710" s="161">
        <f>K9709</f>
        <v>665</v>
      </c>
      <c r="L9710" s="250">
        <v>12</v>
      </c>
      <c r="M9710" s="163" t="str">
        <f>CONCATENATE(H9710," ",F9710,"*",L9710,"мес.","*",I9710,"/",K9710,"чел")</f>
        <v>8 устройств*12мес.*0,012695/665чел</v>
      </c>
      <c r="N9710" s="278">
        <f t="shared" si="2781"/>
        <v>2393.2480208333336</v>
      </c>
      <c r="O9710" s="280">
        <f t="shared" si="2779"/>
        <v>4.3860139999999994</v>
      </c>
      <c r="P9710" s="166"/>
      <c r="Q9710" s="166">
        <f t="shared" si="2780"/>
        <v>2916.6993099999995</v>
      </c>
      <c r="R9710" s="71"/>
    </row>
    <row r="9711" spans="1:41" s="61" customFormat="1" ht="63" x14ac:dyDescent="0.25">
      <c r="A9711" s="358"/>
      <c r="B9711" s="361"/>
      <c r="C9711" s="366"/>
      <c r="D9711" s="156" t="s">
        <v>253</v>
      </c>
      <c r="E9711" s="156" t="s">
        <v>55</v>
      </c>
      <c r="F9711" s="156" t="s">
        <v>55</v>
      </c>
      <c r="G9711" s="238">
        <f t="shared" si="2778"/>
        <v>1.1454135339999999E-3</v>
      </c>
      <c r="H9711" s="158">
        <f>H8891</f>
        <v>5</v>
      </c>
      <c r="I9711" s="159">
        <f>I9710</f>
        <v>1.2695E-2</v>
      </c>
      <c r="J9711" s="160"/>
      <c r="K9711" s="161">
        <f>K9710</f>
        <v>665</v>
      </c>
      <c r="L9711" s="250">
        <v>12</v>
      </c>
      <c r="M9711" s="163" t="str">
        <f>CONCATENATE(H9711," ",F9711,"*",I9711,"/",K9711,"чел")</f>
        <v>5 система*0,012695/665чел</v>
      </c>
      <c r="N9711" s="278">
        <f t="shared" si="2781"/>
        <v>4624.4081666666671</v>
      </c>
      <c r="O9711" s="280">
        <f t="shared" si="2779"/>
        <v>5.2968599999999997</v>
      </c>
      <c r="P9711" s="166"/>
      <c r="Q9711" s="166">
        <f t="shared" si="2780"/>
        <v>3522.4118999999996</v>
      </c>
      <c r="R9711" s="71"/>
    </row>
    <row r="9712" spans="1:41" s="61" customFormat="1" ht="31.5" x14ac:dyDescent="0.25">
      <c r="A9712" s="358"/>
      <c r="B9712" s="361"/>
      <c r="C9712" s="366"/>
      <c r="D9712" s="156" t="s">
        <v>99</v>
      </c>
      <c r="E9712" s="156" t="s">
        <v>103</v>
      </c>
      <c r="F9712" s="156" t="s">
        <v>225</v>
      </c>
      <c r="G9712" s="238">
        <f t="shared" si="2778"/>
        <v>4.7725563899999999E-4</v>
      </c>
      <c r="H9712" s="158">
        <f>H8892</f>
        <v>25</v>
      </c>
      <c r="I9712" s="159">
        <f>I9711</f>
        <v>1.2695E-2</v>
      </c>
      <c r="J9712" s="160"/>
      <c r="K9712" s="161">
        <f>K9711</f>
        <v>665</v>
      </c>
      <c r="L9712" s="250">
        <v>1</v>
      </c>
      <c r="M9712" s="163" t="str">
        <f>CONCATENATE(H9712," ",F9712,"*",I9712,"/",K9712,"чел.")</f>
        <v>25 ед.*0,012695/665чел.</v>
      </c>
      <c r="N9712" s="164">
        <f t="shared" si="2781"/>
        <v>15690</v>
      </c>
      <c r="O9712" s="165">
        <f>MROUND(G9712*N9712,0.000001)</f>
        <v>7.4881409999999997</v>
      </c>
      <c r="P9712" s="166"/>
      <c r="Q9712" s="166">
        <f t="shared" si="2780"/>
        <v>4979.6137650000001</v>
      </c>
      <c r="R9712" s="71"/>
    </row>
    <row r="9713" spans="1:41" s="61" customFormat="1" x14ac:dyDescent="0.25">
      <c r="A9713" s="358"/>
      <c r="B9713" s="361"/>
      <c r="C9713" s="366"/>
      <c r="D9713" s="156" t="s">
        <v>27</v>
      </c>
      <c r="E9713" s="156" t="s">
        <v>28</v>
      </c>
      <c r="F9713" s="156" t="s">
        <v>28</v>
      </c>
      <c r="G9713" s="238">
        <f t="shared" si="2778"/>
        <v>2.8635338349999998E-3</v>
      </c>
      <c r="H9713" s="160">
        <f>H8893</f>
        <v>150</v>
      </c>
      <c r="I9713" s="159">
        <f>I9711</f>
        <v>1.2695E-2</v>
      </c>
      <c r="J9713" s="160"/>
      <c r="K9713" s="161">
        <f>K9711</f>
        <v>665</v>
      </c>
      <c r="L9713" s="250">
        <v>1</v>
      </c>
      <c r="M9713" s="163" t="str">
        <f>CONCATENATE(H9713," ",F9713,"*",I9713,"/",K9713,"чел")</f>
        <v>150 шт*0,012695/665чел</v>
      </c>
      <c r="N9713" s="278">
        <f t="shared" si="2781"/>
        <v>435.13599999999997</v>
      </c>
      <c r="O9713" s="280">
        <f t="shared" ref="O9713:O9714" si="2782">MROUND(N9713*G9713,0.000001)</f>
        <v>1.246027</v>
      </c>
      <c r="P9713" s="166"/>
      <c r="Q9713" s="166">
        <f t="shared" si="2780"/>
        <v>828.60795499999995</v>
      </c>
      <c r="R9713" s="71"/>
    </row>
    <row r="9714" spans="1:41" s="61" customFormat="1" ht="31.5" x14ac:dyDescent="0.25">
      <c r="A9714" s="358"/>
      <c r="B9714" s="361"/>
      <c r="C9714" s="367"/>
      <c r="D9714" s="156" t="s">
        <v>104</v>
      </c>
      <c r="E9714" s="156" t="s">
        <v>105</v>
      </c>
      <c r="F9714" s="156" t="s">
        <v>226</v>
      </c>
      <c r="G9714" s="238">
        <f t="shared" si="2778"/>
        <v>9.5451127999999995E-5</v>
      </c>
      <c r="H9714" s="160">
        <f>H8894</f>
        <v>5</v>
      </c>
      <c r="I9714" s="159">
        <f>I9713</f>
        <v>1.2695E-2</v>
      </c>
      <c r="J9714" s="160"/>
      <c r="K9714" s="161">
        <f>K9713</f>
        <v>665</v>
      </c>
      <c r="L9714" s="250">
        <v>1</v>
      </c>
      <c r="M9714" s="163" t="str">
        <f>CONCATENATE(H9714," ",F9714,"*",I9714,"/",K9714,"чел")</f>
        <v>5 отключений*0,012695/665чел</v>
      </c>
      <c r="N9714" s="278">
        <f t="shared" si="2781"/>
        <v>9790.56</v>
      </c>
      <c r="O9714" s="280">
        <f t="shared" si="2782"/>
        <v>0.93451999999999991</v>
      </c>
      <c r="P9714" s="166"/>
      <c r="Q9714" s="166">
        <f t="shared" si="2780"/>
        <v>621.45579999999995</v>
      </c>
      <c r="R9714" s="71"/>
    </row>
    <row r="9715" spans="1:41" s="109" customFormat="1" x14ac:dyDescent="0.25">
      <c r="A9715" s="358"/>
      <c r="B9715" s="361"/>
      <c r="C9715" s="249" t="s">
        <v>326</v>
      </c>
      <c r="D9715" s="240"/>
      <c r="E9715" s="240"/>
      <c r="F9715" s="240"/>
      <c r="G9715" s="227"/>
      <c r="H9715" s="228"/>
      <c r="I9715" s="206"/>
      <c r="J9715" s="228"/>
      <c r="K9715" s="207"/>
      <c r="L9715" s="257"/>
      <c r="M9715" s="209"/>
      <c r="N9715" s="281"/>
      <c r="O9715" s="279">
        <f>SUM(O9700:O9714)</f>
        <v>31.244711999999993</v>
      </c>
      <c r="P9715" s="267"/>
      <c r="Q9715" s="166"/>
      <c r="R9715" s="71"/>
      <c r="S9715" s="62"/>
      <c r="T9715" s="62"/>
      <c r="U9715" s="62"/>
      <c r="V9715" s="62"/>
      <c r="W9715" s="62"/>
      <c r="X9715" s="62"/>
      <c r="Y9715" s="62"/>
      <c r="Z9715" s="62"/>
      <c r="AA9715" s="62"/>
      <c r="AB9715" s="62"/>
      <c r="AC9715" s="62"/>
      <c r="AD9715" s="62"/>
      <c r="AE9715" s="62"/>
      <c r="AF9715" s="62"/>
      <c r="AG9715" s="62"/>
      <c r="AH9715" s="62"/>
      <c r="AI9715" s="62"/>
      <c r="AJ9715" s="62"/>
      <c r="AK9715" s="62"/>
      <c r="AL9715" s="62"/>
      <c r="AM9715" s="62"/>
      <c r="AN9715" s="62"/>
      <c r="AO9715" s="62"/>
    </row>
    <row r="9716" spans="1:41" s="61" customFormat="1" ht="31.5" x14ac:dyDescent="0.25">
      <c r="A9716" s="358"/>
      <c r="B9716" s="361"/>
      <c r="C9716" s="221" t="s">
        <v>79</v>
      </c>
      <c r="D9716" s="156" t="s">
        <v>37</v>
      </c>
      <c r="E9716" s="156" t="s">
        <v>61</v>
      </c>
      <c r="F9716" s="156" t="s">
        <v>254</v>
      </c>
      <c r="G9716" s="238">
        <f>MROUND(H9716*L9716*I9716/K9716,0.000000000001)</f>
        <v>1.9090226E-5</v>
      </c>
      <c r="H9716" s="158">
        <f>$H$2119</f>
        <v>1</v>
      </c>
      <c r="I9716" s="159">
        <f>I9714</f>
        <v>1.2695E-2</v>
      </c>
      <c r="J9716" s="160"/>
      <c r="K9716" s="161">
        <f>K9714</f>
        <v>665</v>
      </c>
      <c r="L9716" s="250">
        <v>1</v>
      </c>
      <c r="M9716" s="163" t="str">
        <f>CONCATENATE(H9716," ",F9716,"*",I9716,"/",K9716,"чел")</f>
        <v>1 автобус*0,012695/665чел</v>
      </c>
      <c r="N9716" s="278">
        <f>N8896</f>
        <v>25403.41</v>
      </c>
      <c r="O9716" s="280">
        <f>MROUND(N9716*G9716,0.000001)</f>
        <v>0.48495699999999997</v>
      </c>
      <c r="P9716" s="166"/>
      <c r="Q9716" s="166">
        <f>O9716*K9716</f>
        <v>322.49640499999998</v>
      </c>
      <c r="R9716" s="71"/>
    </row>
    <row r="9717" spans="1:41" s="61" customFormat="1" x14ac:dyDescent="0.25">
      <c r="A9717" s="358"/>
      <c r="B9717" s="361"/>
      <c r="C9717" s="221"/>
      <c r="D9717" s="156" t="s">
        <v>255</v>
      </c>
      <c r="E9717" s="156" t="s">
        <v>28</v>
      </c>
      <c r="F9717" s="156" t="s">
        <v>28</v>
      </c>
      <c r="G9717" s="238">
        <f>MROUND(H9717*L9717*I9717/K9717,0.000000000001)</f>
        <v>1.3172255639E-2</v>
      </c>
      <c r="H9717" s="158">
        <f>H8897</f>
        <v>345</v>
      </c>
      <c r="I9717" s="159">
        <f>I9716</f>
        <v>1.2695E-2</v>
      </c>
      <c r="J9717" s="160"/>
      <c r="K9717" s="161">
        <f>K9716</f>
        <v>665</v>
      </c>
      <c r="L9717" s="250">
        <v>2</v>
      </c>
      <c r="M9717" s="163" t="str">
        <f>CONCATENATE(H9717," ",F9717,"*",L9717,"раза в год","*",I9717,"/",K9717,"чел")</f>
        <v>345 шт*2раза в год*0,012695/665чел</v>
      </c>
      <c r="N9717" s="278">
        <f>N8897</f>
        <v>474.29824637681156</v>
      </c>
      <c r="O9717" s="280">
        <f>MROUND(N9717*G9717,0.000001)</f>
        <v>6.2475779999999999</v>
      </c>
      <c r="P9717" s="166"/>
      <c r="Q9717" s="166">
        <f>O9717*K9717</f>
        <v>4154.6393699999999</v>
      </c>
      <c r="R9717" s="71"/>
    </row>
    <row r="9718" spans="1:41" s="109" customFormat="1" x14ac:dyDescent="0.25">
      <c r="A9718" s="358"/>
      <c r="B9718" s="361"/>
      <c r="C9718" s="218" t="s">
        <v>328</v>
      </c>
      <c r="D9718" s="240"/>
      <c r="E9718" s="240"/>
      <c r="F9718" s="240"/>
      <c r="G9718" s="227"/>
      <c r="H9718" s="241"/>
      <c r="I9718" s="206"/>
      <c r="J9718" s="228"/>
      <c r="K9718" s="207"/>
      <c r="L9718" s="257"/>
      <c r="M9718" s="209"/>
      <c r="N9718" s="281"/>
      <c r="O9718" s="279">
        <f>O9717+O9716</f>
        <v>6.7325349999999995</v>
      </c>
      <c r="P9718" s="267"/>
      <c r="Q9718" s="166"/>
      <c r="R9718" s="71"/>
      <c r="S9718" s="62"/>
      <c r="T9718" s="62"/>
      <c r="U9718" s="62"/>
      <c r="V9718" s="62"/>
      <c r="W9718" s="62"/>
      <c r="X9718" s="62"/>
      <c r="Y9718" s="62"/>
      <c r="Z9718" s="62"/>
      <c r="AA9718" s="62"/>
      <c r="AB9718" s="62"/>
      <c r="AC9718" s="62"/>
      <c r="AD9718" s="62"/>
      <c r="AE9718" s="62"/>
      <c r="AF9718" s="62"/>
      <c r="AG9718" s="62"/>
      <c r="AH9718" s="62"/>
      <c r="AI9718" s="62"/>
      <c r="AJ9718" s="62"/>
      <c r="AK9718" s="62"/>
      <c r="AL9718" s="62"/>
      <c r="AM9718" s="62"/>
      <c r="AN9718" s="62"/>
      <c r="AO9718" s="62"/>
    </row>
    <row r="9719" spans="1:41" s="61" customFormat="1" x14ac:dyDescent="0.25">
      <c r="A9719" s="358"/>
      <c r="B9719" s="361"/>
      <c r="C9719" s="364" t="s">
        <v>80</v>
      </c>
      <c r="D9719" s="156" t="s">
        <v>38</v>
      </c>
      <c r="E9719" s="156" t="s">
        <v>57</v>
      </c>
      <c r="F9719" s="156" t="s">
        <v>228</v>
      </c>
      <c r="G9719" s="238">
        <f t="shared" ref="G9719:G9730" si="2783">MROUND(H9719*L9719*I9719/K9719,0.000000000001)</f>
        <v>1.832661654E-3</v>
      </c>
      <c r="H9719" s="158">
        <f>H8899</f>
        <v>8</v>
      </c>
      <c r="I9719" s="159">
        <f>I9716</f>
        <v>1.2695E-2</v>
      </c>
      <c r="J9719" s="160"/>
      <c r="K9719" s="161">
        <f>K9716</f>
        <v>665</v>
      </c>
      <c r="L9719" s="250">
        <v>12</v>
      </c>
      <c r="M9719" s="163" t="str">
        <f>CONCATENATE(H9719," ",F9719,"*",L9719,"мес.","*",I9719,"/",K9719,"чел")</f>
        <v>8 зданий*12мес.*0,012695/665чел</v>
      </c>
      <c r="N9719" s="278">
        <f t="shared" ref="N9719:N9728" si="2784">N8899</f>
        <v>5107.0063541666668</v>
      </c>
      <c r="O9719" s="280">
        <f t="shared" ref="O9719:O9730" si="2785">MROUND(N9719*G9719,0.000001)</f>
        <v>9.3594150000000003</v>
      </c>
      <c r="P9719" s="166"/>
      <c r="Q9719" s="166">
        <f t="shared" ref="Q9719:Q9730" si="2786">O9719*K9719</f>
        <v>6224.0109750000001</v>
      </c>
      <c r="R9719" s="71"/>
    </row>
    <row r="9720" spans="1:41" s="61" customFormat="1" x14ac:dyDescent="0.25">
      <c r="A9720" s="358"/>
      <c r="B9720" s="361"/>
      <c r="C9720" s="364"/>
      <c r="D9720" s="156" t="s">
        <v>256</v>
      </c>
      <c r="E9720" s="156" t="s">
        <v>20</v>
      </c>
      <c r="F9720" s="156" t="s">
        <v>20</v>
      </c>
      <c r="G9720" s="238">
        <f t="shared" si="2783"/>
        <v>3.5698721800000001E-3</v>
      </c>
      <c r="H9720" s="158">
        <f>H8900</f>
        <v>187</v>
      </c>
      <c r="I9720" s="159">
        <f>I9717</f>
        <v>1.2695E-2</v>
      </c>
      <c r="J9720" s="160"/>
      <c r="K9720" s="161">
        <f>K9717</f>
        <v>665</v>
      </c>
      <c r="L9720" s="250">
        <v>1</v>
      </c>
      <c r="M9720" s="163" t="str">
        <f t="shared" ref="M9720:M9726" si="2787">CONCATENATE(H9720," ",F9720,"*",I9720,"/",K9720,"чел")</f>
        <v>187 чел.*0,012695/665чел</v>
      </c>
      <c r="N9720" s="278">
        <f t="shared" si="2784"/>
        <v>2015.7675401069516</v>
      </c>
      <c r="O9720" s="280">
        <f t="shared" si="2785"/>
        <v>7.1960319999999998</v>
      </c>
      <c r="P9720" s="166"/>
      <c r="Q9720" s="166">
        <f t="shared" si="2786"/>
        <v>4785.3612800000001</v>
      </c>
      <c r="R9720" s="71"/>
    </row>
    <row r="9721" spans="1:41" s="61" customFormat="1" ht="63" x14ac:dyDescent="0.25">
      <c r="A9721" s="358"/>
      <c r="B9721" s="361"/>
      <c r="C9721" s="364"/>
      <c r="D9721" s="156" t="s">
        <v>39</v>
      </c>
      <c r="E9721" s="156" t="s">
        <v>20</v>
      </c>
      <c r="F9721" s="156" t="s">
        <v>234</v>
      </c>
      <c r="G9721" s="238">
        <f t="shared" si="2783"/>
        <v>1.7181202999999999E-4</v>
      </c>
      <c r="H9721" s="158">
        <f>H8901</f>
        <v>9</v>
      </c>
      <c r="I9721" s="159">
        <f>I9719</f>
        <v>1.2695E-2</v>
      </c>
      <c r="J9721" s="160"/>
      <c r="K9721" s="161">
        <f>K9719</f>
        <v>665</v>
      </c>
      <c r="L9721" s="250">
        <v>1</v>
      </c>
      <c r="M9721" s="163" t="str">
        <f t="shared" si="2787"/>
        <v>9 чел(заявленная потребность руководителями учреждений)*0,012695/665чел</v>
      </c>
      <c r="N9721" s="278">
        <f t="shared" si="2784"/>
        <v>830.02333333333343</v>
      </c>
      <c r="O9721" s="280">
        <f t="shared" si="2785"/>
        <v>0.14260799999999998</v>
      </c>
      <c r="P9721" s="166"/>
      <c r="Q9721" s="166">
        <f t="shared" si="2786"/>
        <v>94.834319999999991</v>
      </c>
      <c r="R9721" s="71"/>
    </row>
    <row r="9722" spans="1:41" s="61" customFormat="1" ht="63" x14ac:dyDescent="0.25">
      <c r="A9722" s="358"/>
      <c r="B9722" s="361"/>
      <c r="C9722" s="364"/>
      <c r="D9722" s="156" t="s">
        <v>40</v>
      </c>
      <c r="E9722" s="156" t="s">
        <v>20</v>
      </c>
      <c r="F9722" s="156" t="s">
        <v>234</v>
      </c>
      <c r="G9722" s="238">
        <f t="shared" si="2783"/>
        <v>2.4817293199999997E-4</v>
      </c>
      <c r="H9722" s="158">
        <f>H8902</f>
        <v>13</v>
      </c>
      <c r="I9722" s="159">
        <f t="shared" ref="I9722:I9727" si="2788">I9721</f>
        <v>1.2695E-2</v>
      </c>
      <c r="J9722" s="160"/>
      <c r="K9722" s="161">
        <f t="shared" ref="K9722:K9727" si="2789">K9721</f>
        <v>665</v>
      </c>
      <c r="L9722" s="250">
        <v>1</v>
      </c>
      <c r="M9722" s="163" t="str">
        <f t="shared" si="2787"/>
        <v>13 чел(заявленная потребность руководителями учреждений)*0,012695/665чел</v>
      </c>
      <c r="N9722" s="278">
        <f t="shared" si="2784"/>
        <v>1778.6192307692306</v>
      </c>
      <c r="O9722" s="280">
        <f t="shared" si="2785"/>
        <v>0.44140499999999999</v>
      </c>
      <c r="P9722" s="166"/>
      <c r="Q9722" s="166">
        <f t="shared" si="2786"/>
        <v>293.53432499999997</v>
      </c>
      <c r="R9722" s="71"/>
    </row>
    <row r="9723" spans="1:41" s="61" customFormat="1" ht="63" x14ac:dyDescent="0.25">
      <c r="A9723" s="358"/>
      <c r="B9723" s="361"/>
      <c r="C9723" s="364"/>
      <c r="D9723" s="156" t="s">
        <v>100</v>
      </c>
      <c r="E9723" s="156" t="s">
        <v>20</v>
      </c>
      <c r="F9723" s="156" t="s">
        <v>234</v>
      </c>
      <c r="G9723" s="238">
        <f t="shared" si="2783"/>
        <v>1.3363157899999999E-4</v>
      </c>
      <c r="H9723" s="158">
        <f>H8903</f>
        <v>7</v>
      </c>
      <c r="I9723" s="159">
        <f t="shared" si="2788"/>
        <v>1.2695E-2</v>
      </c>
      <c r="J9723" s="160"/>
      <c r="K9723" s="161">
        <f t="shared" si="2789"/>
        <v>665</v>
      </c>
      <c r="L9723" s="250">
        <v>1</v>
      </c>
      <c r="M9723" s="163" t="str">
        <f t="shared" si="2787"/>
        <v>7 чел(заявленная потребность руководителями учреждений)*0,012695/665чел</v>
      </c>
      <c r="N9723" s="278">
        <f t="shared" si="2784"/>
        <v>3794.3871428571429</v>
      </c>
      <c r="O9723" s="280">
        <f t="shared" si="2785"/>
        <v>0.50705</v>
      </c>
      <c r="P9723" s="166"/>
      <c r="Q9723" s="166">
        <f t="shared" si="2786"/>
        <v>337.18824999999998</v>
      </c>
      <c r="R9723" s="71"/>
    </row>
    <row r="9724" spans="1:41" s="61" customFormat="1" ht="110.25" x14ac:dyDescent="0.25">
      <c r="A9724" s="358"/>
      <c r="B9724" s="361"/>
      <c r="C9724" s="364"/>
      <c r="D9724" s="156" t="s">
        <v>235</v>
      </c>
      <c r="E9724" s="156" t="s">
        <v>50</v>
      </c>
      <c r="F9724" s="156" t="s">
        <v>230</v>
      </c>
      <c r="G9724" s="238">
        <f t="shared" si="2783"/>
        <v>9.5451127999999995E-5</v>
      </c>
      <c r="H9724" s="158">
        <v>5</v>
      </c>
      <c r="I9724" s="159">
        <f t="shared" si="2788"/>
        <v>1.2695E-2</v>
      </c>
      <c r="J9724" s="160"/>
      <c r="K9724" s="161">
        <f t="shared" si="2789"/>
        <v>665</v>
      </c>
      <c r="L9724" s="250">
        <v>1</v>
      </c>
      <c r="M9724" s="163" t="str">
        <f t="shared" si="2787"/>
        <v>5 отчетов*0,012695/665чел</v>
      </c>
      <c r="N9724" s="278">
        <f t="shared" si="2784"/>
        <v>7114.4699999999993</v>
      </c>
      <c r="O9724" s="280">
        <f t="shared" si="2785"/>
        <v>0.67908400000000002</v>
      </c>
      <c r="P9724" s="166"/>
      <c r="Q9724" s="166">
        <f t="shared" si="2786"/>
        <v>451.59086000000002</v>
      </c>
      <c r="R9724" s="71"/>
    </row>
    <row r="9725" spans="1:41" s="61" customFormat="1" ht="63" x14ac:dyDescent="0.25">
      <c r="A9725" s="358"/>
      <c r="B9725" s="361"/>
      <c r="C9725" s="364"/>
      <c r="D9725" s="156" t="s">
        <v>42</v>
      </c>
      <c r="E9725" s="156" t="s">
        <v>51</v>
      </c>
      <c r="F9725" s="156" t="s">
        <v>407</v>
      </c>
      <c r="G9725" s="238">
        <f t="shared" si="2783"/>
        <v>4.9634586499999994E-4</v>
      </c>
      <c r="H9725" s="158">
        <f>H8905</f>
        <v>26</v>
      </c>
      <c r="I9725" s="159">
        <f t="shared" si="2788"/>
        <v>1.2695E-2</v>
      </c>
      <c r="J9725" s="160"/>
      <c r="K9725" s="161">
        <f t="shared" si="2789"/>
        <v>665</v>
      </c>
      <c r="L9725" s="250">
        <v>1</v>
      </c>
      <c r="M9725" s="163" t="str">
        <f t="shared" si="2787"/>
        <v>26 ед (заявленная потребность руководителями учреждений)*0,012695/665чел</v>
      </c>
      <c r="N9725" s="278">
        <f t="shared" si="2784"/>
        <v>1185.7457692307694</v>
      </c>
      <c r="O9725" s="280">
        <f t="shared" si="2785"/>
        <v>0.58853999999999995</v>
      </c>
      <c r="P9725" s="166"/>
      <c r="Q9725" s="166">
        <f t="shared" si="2786"/>
        <v>391.37909999999999</v>
      </c>
      <c r="R9725" s="71"/>
    </row>
    <row r="9726" spans="1:41" s="61" customFormat="1" ht="31.5" x14ac:dyDescent="0.25">
      <c r="A9726" s="358"/>
      <c r="B9726" s="361"/>
      <c r="C9726" s="364"/>
      <c r="D9726" s="156" t="s">
        <v>43</v>
      </c>
      <c r="E9726" s="156" t="s">
        <v>52</v>
      </c>
      <c r="F9726" s="156" t="s">
        <v>231</v>
      </c>
      <c r="G9726" s="238">
        <f t="shared" si="2783"/>
        <v>9.5451127999999995E-5</v>
      </c>
      <c r="H9726" s="158">
        <v>5</v>
      </c>
      <c r="I9726" s="159">
        <f t="shared" si="2788"/>
        <v>1.2695E-2</v>
      </c>
      <c r="J9726" s="160"/>
      <c r="K9726" s="161">
        <f t="shared" si="2789"/>
        <v>665</v>
      </c>
      <c r="L9726" s="250">
        <v>1</v>
      </c>
      <c r="M9726" s="163" t="str">
        <f t="shared" si="2787"/>
        <v>5 ЭЦП*0,012695/665чел</v>
      </c>
      <c r="N9726" s="278">
        <f t="shared" si="2784"/>
        <v>8423.5400000000009</v>
      </c>
      <c r="O9726" s="280">
        <f t="shared" si="2785"/>
        <v>0.80403599999999997</v>
      </c>
      <c r="P9726" s="166"/>
      <c r="Q9726" s="166">
        <f t="shared" si="2786"/>
        <v>534.68394000000001</v>
      </c>
      <c r="R9726" s="71"/>
    </row>
    <row r="9727" spans="1:41" s="61" customFormat="1" x14ac:dyDescent="0.25">
      <c r="A9727" s="358"/>
      <c r="B9727" s="361"/>
      <c r="C9727" s="364"/>
      <c r="D9727" s="156" t="s">
        <v>373</v>
      </c>
      <c r="E9727" s="156" t="s">
        <v>28</v>
      </c>
      <c r="F9727" s="156" t="s">
        <v>28</v>
      </c>
      <c r="G9727" s="238">
        <f t="shared" si="2783"/>
        <v>9.5451127999999995E-5</v>
      </c>
      <c r="H9727" s="158">
        <f>H8907</f>
        <v>5</v>
      </c>
      <c r="I9727" s="159">
        <f t="shared" si="2788"/>
        <v>1.2695E-2</v>
      </c>
      <c r="J9727" s="160"/>
      <c r="K9727" s="161">
        <f t="shared" si="2789"/>
        <v>665</v>
      </c>
      <c r="L9727" s="250">
        <v>1</v>
      </c>
      <c r="M9727" s="163" t="str">
        <f>CONCATENATE(H9727," ",F9727,"*",I9727,"/",K9727,"чел/час")</f>
        <v>5 шт*0,012695/665чел/час</v>
      </c>
      <c r="N9727" s="278">
        <f t="shared" si="2784"/>
        <v>24000</v>
      </c>
      <c r="O9727" s="280">
        <f t="shared" si="2785"/>
        <v>2.2908269999999997</v>
      </c>
      <c r="P9727" s="166"/>
      <c r="Q9727" s="166">
        <f t="shared" si="2786"/>
        <v>1523.3999549999999</v>
      </c>
      <c r="R9727" s="71"/>
    </row>
    <row r="9728" spans="1:41" s="61" customFormat="1" ht="63" x14ac:dyDescent="0.25">
      <c r="A9728" s="358"/>
      <c r="B9728" s="361"/>
      <c r="C9728" s="364"/>
      <c r="D9728" s="156" t="s">
        <v>45</v>
      </c>
      <c r="E9728" s="156" t="s">
        <v>53</v>
      </c>
      <c r="F9728" s="156" t="s">
        <v>257</v>
      </c>
      <c r="G9728" s="238">
        <f t="shared" si="2783"/>
        <v>2.2908270699999999E-4</v>
      </c>
      <c r="H9728" s="158">
        <v>1</v>
      </c>
      <c r="I9728" s="159">
        <f>I9726</f>
        <v>1.2695E-2</v>
      </c>
      <c r="J9728" s="160"/>
      <c r="K9728" s="161">
        <f>K9726</f>
        <v>665</v>
      </c>
      <c r="L9728" s="250">
        <v>12</v>
      </c>
      <c r="M9728" s="163" t="str">
        <f>CONCATENATE(H9728," ",F9728,"*",L9728,"мес.","*",I9728,"/",K9728,"чел")</f>
        <v>1  машина, оборудованная системой ГЛОНАСС*12мес.*0,012695/665чел</v>
      </c>
      <c r="N9728" s="278">
        <f t="shared" si="2784"/>
        <v>958.08249999999998</v>
      </c>
      <c r="O9728" s="280">
        <f t="shared" si="2785"/>
        <v>0.21947999999999998</v>
      </c>
      <c r="P9728" s="166"/>
      <c r="Q9728" s="166">
        <f t="shared" si="2786"/>
        <v>145.95419999999999</v>
      </c>
      <c r="R9728" s="71"/>
    </row>
    <row r="9729" spans="1:41" s="136" customFormat="1" ht="47.25" x14ac:dyDescent="0.25">
      <c r="A9729" s="358"/>
      <c r="B9729" s="361"/>
      <c r="C9729" s="364"/>
      <c r="D9729" s="156" t="s">
        <v>44</v>
      </c>
      <c r="E9729" s="156" t="s">
        <v>85</v>
      </c>
      <c r="F9729" s="156" t="s">
        <v>232</v>
      </c>
      <c r="G9729" s="238">
        <f t="shared" si="2783"/>
        <v>5.8034285710000001E-3</v>
      </c>
      <c r="H9729" s="158">
        <f>$H$2132</f>
        <v>304</v>
      </c>
      <c r="I9729" s="159">
        <f>I9728</f>
        <v>1.2695E-2</v>
      </c>
      <c r="J9729" s="160"/>
      <c r="K9729" s="161">
        <f>K9728</f>
        <v>665</v>
      </c>
      <c r="L9729" s="250">
        <v>1</v>
      </c>
      <c r="M9729" s="163" t="str">
        <f>CONCATENATE(H9729," ",F9729,"*",L9729,"мес.","*",I9729,"/",K9729,"чел.")</f>
        <v>304 мед.осмотров в мес.*1мес.*0,012695/665чел.</v>
      </c>
      <c r="N9729" s="278">
        <f>$N$8909</f>
        <v>54.392006578947374</v>
      </c>
      <c r="O9729" s="280">
        <f t="shared" si="2785"/>
        <v>0.31566</v>
      </c>
      <c r="P9729" s="166"/>
      <c r="Q9729" s="166">
        <f t="shared" si="2786"/>
        <v>209.91389999999998</v>
      </c>
      <c r="R9729" s="71"/>
      <c r="S9729" s="71"/>
      <c r="T9729" s="61"/>
      <c r="U9729" s="61"/>
      <c r="V9729" s="61"/>
      <c r="W9729" s="61"/>
      <c r="X9729" s="61"/>
      <c r="Y9729" s="61"/>
      <c r="Z9729" s="61"/>
      <c r="AA9729" s="61"/>
      <c r="AB9729" s="61"/>
      <c r="AC9729" s="61"/>
      <c r="AD9729" s="61"/>
      <c r="AE9729" s="61"/>
      <c r="AF9729" s="61"/>
      <c r="AG9729" s="61"/>
      <c r="AH9729" s="61"/>
      <c r="AI9729" s="61"/>
      <c r="AJ9729" s="61"/>
      <c r="AK9729" s="61"/>
      <c r="AL9729" s="61"/>
      <c r="AM9729" s="61"/>
      <c r="AN9729" s="61"/>
      <c r="AO9729" s="61"/>
    </row>
    <row r="9730" spans="1:41" s="61" customFormat="1" ht="31.5" x14ac:dyDescent="0.25">
      <c r="A9730" s="358"/>
      <c r="B9730" s="361"/>
      <c r="C9730" s="364"/>
      <c r="D9730" s="156" t="s">
        <v>408</v>
      </c>
      <c r="E9730" s="156" t="s">
        <v>20</v>
      </c>
      <c r="F9730" s="156" t="s">
        <v>20</v>
      </c>
      <c r="G9730" s="238">
        <f t="shared" si="2783"/>
        <v>0</v>
      </c>
      <c r="H9730" s="158"/>
      <c r="I9730" s="159">
        <f>I9728</f>
        <v>1.2695E-2</v>
      </c>
      <c r="J9730" s="160"/>
      <c r="K9730" s="161">
        <f>K9728</f>
        <v>665</v>
      </c>
      <c r="L9730" s="250">
        <f>L8910</f>
        <v>1</v>
      </c>
      <c r="M9730" s="163"/>
      <c r="N9730" s="278"/>
      <c r="O9730" s="280">
        <f t="shared" si="2785"/>
        <v>0</v>
      </c>
      <c r="P9730" s="166"/>
      <c r="Q9730" s="166">
        <f t="shared" si="2786"/>
        <v>0</v>
      </c>
      <c r="R9730" s="71"/>
    </row>
    <row r="9731" spans="1:41" s="109" customFormat="1" x14ac:dyDescent="0.25">
      <c r="A9731" s="358"/>
      <c r="B9731" s="361"/>
      <c r="C9731" s="245" t="s">
        <v>329</v>
      </c>
      <c r="D9731" s="240"/>
      <c r="E9731" s="240"/>
      <c r="F9731" s="240"/>
      <c r="G9731" s="227"/>
      <c r="H9731" s="241"/>
      <c r="I9731" s="206"/>
      <c r="J9731" s="228"/>
      <c r="K9731" s="207"/>
      <c r="L9731" s="257"/>
      <c r="M9731" s="209"/>
      <c r="N9731" s="281"/>
      <c r="O9731" s="279">
        <f>SUM(O9719:O9730)</f>
        <v>22.544136999999999</v>
      </c>
      <c r="P9731" s="267"/>
      <c r="Q9731" s="166"/>
      <c r="R9731" s="71"/>
      <c r="S9731" s="62"/>
      <c r="T9731" s="62"/>
      <c r="U9731" s="62"/>
      <c r="V9731" s="62"/>
      <c r="W9731" s="62"/>
      <c r="X9731" s="62"/>
      <c r="Y9731" s="62"/>
      <c r="Z9731" s="62"/>
      <c r="AA9731" s="62"/>
      <c r="AB9731" s="62"/>
      <c r="AC9731" s="62"/>
      <c r="AD9731" s="62"/>
      <c r="AE9731" s="62"/>
      <c r="AF9731" s="62"/>
      <c r="AG9731" s="62"/>
      <c r="AH9731" s="62"/>
      <c r="AI9731" s="62"/>
      <c r="AJ9731" s="62"/>
      <c r="AK9731" s="62"/>
      <c r="AL9731" s="62"/>
      <c r="AM9731" s="62"/>
      <c r="AN9731" s="62"/>
      <c r="AO9731" s="62"/>
    </row>
    <row r="9732" spans="1:41" s="61" customFormat="1" ht="31.5" x14ac:dyDescent="0.25">
      <c r="A9732" s="358"/>
      <c r="B9732" s="361"/>
      <c r="C9732" s="252" t="s">
        <v>237</v>
      </c>
      <c r="D9732" s="156" t="s">
        <v>41</v>
      </c>
      <c r="E9732" s="156" t="s">
        <v>61</v>
      </c>
      <c r="F9732" s="156" t="s">
        <v>254</v>
      </c>
      <c r="G9732" s="238">
        <f t="shared" ref="G9732:G9743" si="2790">MROUND(H9732*L9732*I9732/K9732,0.000000000001)</f>
        <v>1.9090226E-5</v>
      </c>
      <c r="H9732" s="158">
        <v>1</v>
      </c>
      <c r="I9732" s="159">
        <f>I9730</f>
        <v>1.2695E-2</v>
      </c>
      <c r="J9732" s="160"/>
      <c r="K9732" s="161">
        <f>K9730</f>
        <v>665</v>
      </c>
      <c r="L9732" s="250">
        <v>1</v>
      </c>
      <c r="M9732" s="163" t="str">
        <f>CONCATENATE(H9732," ",F9732,"*",I9732,"/",K9732,"чел")</f>
        <v>1 автобус*0,012695/665чел</v>
      </c>
      <c r="N9732" s="278">
        <f>N8912</f>
        <v>27983.599999999999</v>
      </c>
      <c r="O9732" s="280">
        <f t="shared" ref="O9732:O9743" si="2791">MROUND(N9732*G9732,0.000001)</f>
        <v>0.53421299999999994</v>
      </c>
      <c r="P9732" s="166"/>
      <c r="Q9732" s="166">
        <f t="shared" ref="Q9732:Q9743" si="2792">O9732*K9732</f>
        <v>355.25164499999994</v>
      </c>
      <c r="R9732" s="71"/>
    </row>
    <row r="9733" spans="1:41" s="61" customFormat="1" ht="78.75" x14ac:dyDescent="0.25">
      <c r="A9733" s="358"/>
      <c r="B9733" s="361"/>
      <c r="C9733" s="221" t="s">
        <v>236</v>
      </c>
      <c r="D9733" s="156" t="s">
        <v>19</v>
      </c>
      <c r="E9733" s="181" t="s">
        <v>20</v>
      </c>
      <c r="F9733" s="181" t="s">
        <v>238</v>
      </c>
      <c r="G9733" s="238">
        <f t="shared" si="2790"/>
        <v>0</v>
      </c>
      <c r="H9733" s="158"/>
      <c r="I9733" s="159">
        <f>I9730</f>
        <v>1.2695E-2</v>
      </c>
      <c r="J9733" s="160"/>
      <c r="K9733" s="161">
        <f>K9730</f>
        <v>665</v>
      </c>
      <c r="L9733" s="250"/>
      <c r="M9733" s="163"/>
      <c r="N9733" s="278"/>
      <c r="O9733" s="280">
        <f t="shared" si="2791"/>
        <v>0</v>
      </c>
      <c r="P9733" s="166"/>
      <c r="Q9733" s="166">
        <f t="shared" si="2792"/>
        <v>0</v>
      </c>
      <c r="R9733" s="71"/>
    </row>
    <row r="9734" spans="1:41" s="136" customFormat="1" ht="31.5" x14ac:dyDescent="0.25">
      <c r="A9734" s="358"/>
      <c r="B9734" s="361"/>
      <c r="C9734" s="372" t="s">
        <v>81</v>
      </c>
      <c r="D9734" s="156" t="s">
        <v>419</v>
      </c>
      <c r="E9734" s="156" t="s">
        <v>28</v>
      </c>
      <c r="F9734" s="156" t="s">
        <v>439</v>
      </c>
      <c r="G9734" s="238">
        <f t="shared" si="2790"/>
        <v>0</v>
      </c>
      <c r="H9734" s="158"/>
      <c r="I9734" s="159">
        <f>I9733</f>
        <v>1.2695E-2</v>
      </c>
      <c r="J9734" s="160"/>
      <c r="K9734" s="161">
        <f>K9733</f>
        <v>665</v>
      </c>
      <c r="L9734" s="250">
        <v>1</v>
      </c>
      <c r="M9734" s="163"/>
      <c r="N9734" s="278"/>
      <c r="O9734" s="280">
        <f t="shared" si="2791"/>
        <v>0</v>
      </c>
      <c r="P9734" s="166"/>
      <c r="Q9734" s="166">
        <f t="shared" si="2792"/>
        <v>0</v>
      </c>
      <c r="R9734" s="71"/>
      <c r="S9734" s="61"/>
      <c r="T9734" s="71"/>
      <c r="U9734" s="61"/>
      <c r="V9734" s="61"/>
      <c r="W9734" s="61"/>
      <c r="X9734" s="61"/>
      <c r="Y9734" s="61"/>
      <c r="Z9734" s="61"/>
      <c r="AA9734" s="61"/>
      <c r="AB9734" s="61"/>
      <c r="AC9734" s="61"/>
      <c r="AD9734" s="61"/>
      <c r="AE9734" s="61"/>
      <c r="AF9734" s="61"/>
      <c r="AG9734" s="61"/>
      <c r="AH9734" s="61"/>
      <c r="AI9734" s="61"/>
      <c r="AJ9734" s="61"/>
      <c r="AK9734" s="61"/>
      <c r="AL9734" s="61"/>
      <c r="AM9734" s="61"/>
      <c r="AN9734" s="61"/>
      <c r="AO9734" s="61"/>
    </row>
    <row r="9735" spans="1:41" s="136" customFormat="1" ht="31.5" x14ac:dyDescent="0.25">
      <c r="A9735" s="358"/>
      <c r="B9735" s="361"/>
      <c r="C9735" s="373"/>
      <c r="D9735" s="156" t="s">
        <v>425</v>
      </c>
      <c r="E9735" s="156" t="s">
        <v>28</v>
      </c>
      <c r="F9735" s="156" t="s">
        <v>439</v>
      </c>
      <c r="G9735" s="238">
        <f t="shared" si="2790"/>
        <v>0</v>
      </c>
      <c r="H9735" s="158"/>
      <c r="I9735" s="159">
        <f t="shared" ref="I9735:I9743" si="2793">I9734</f>
        <v>1.2695E-2</v>
      </c>
      <c r="J9735" s="160"/>
      <c r="K9735" s="161">
        <f t="shared" ref="K9735:K9743" si="2794">K9734</f>
        <v>665</v>
      </c>
      <c r="L9735" s="250">
        <v>1</v>
      </c>
      <c r="M9735" s="163"/>
      <c r="N9735" s="278"/>
      <c r="O9735" s="280">
        <f t="shared" si="2791"/>
        <v>0</v>
      </c>
      <c r="P9735" s="166"/>
      <c r="Q9735" s="166">
        <f t="shared" si="2792"/>
        <v>0</v>
      </c>
      <c r="R9735" s="71"/>
      <c r="S9735" s="61"/>
      <c r="T9735" s="71"/>
      <c r="U9735" s="61"/>
      <c r="V9735" s="61"/>
      <c r="W9735" s="61"/>
      <c r="X9735" s="61"/>
      <c r="Y9735" s="61"/>
      <c r="Z9735" s="61"/>
      <c r="AA9735" s="61"/>
      <c r="AB9735" s="61"/>
      <c r="AC9735" s="61"/>
      <c r="AD9735" s="61"/>
      <c r="AE9735" s="61"/>
      <c r="AF9735" s="61"/>
      <c r="AG9735" s="61"/>
      <c r="AH9735" s="61"/>
      <c r="AI9735" s="61"/>
      <c r="AJ9735" s="61"/>
      <c r="AK9735" s="61"/>
      <c r="AL9735" s="61"/>
      <c r="AM9735" s="61"/>
      <c r="AN9735" s="61"/>
      <c r="AO9735" s="61"/>
    </row>
    <row r="9736" spans="1:41" s="136" customFormat="1" ht="31.5" x14ac:dyDescent="0.25">
      <c r="A9736" s="358"/>
      <c r="B9736" s="361"/>
      <c r="C9736" s="373"/>
      <c r="D9736" s="156" t="s">
        <v>426</v>
      </c>
      <c r="E9736" s="156" t="s">
        <v>28</v>
      </c>
      <c r="F9736" s="156" t="s">
        <v>439</v>
      </c>
      <c r="G9736" s="238">
        <f t="shared" si="2790"/>
        <v>0</v>
      </c>
      <c r="H9736" s="158"/>
      <c r="I9736" s="159">
        <f t="shared" si="2793"/>
        <v>1.2695E-2</v>
      </c>
      <c r="J9736" s="160"/>
      <c r="K9736" s="161">
        <f t="shared" si="2794"/>
        <v>665</v>
      </c>
      <c r="L9736" s="250">
        <v>1</v>
      </c>
      <c r="M9736" s="163"/>
      <c r="N9736" s="278"/>
      <c r="O9736" s="280">
        <f t="shared" si="2791"/>
        <v>0</v>
      </c>
      <c r="P9736" s="166"/>
      <c r="Q9736" s="166">
        <f t="shared" si="2792"/>
        <v>0</v>
      </c>
      <c r="R9736" s="71"/>
      <c r="S9736" s="61"/>
      <c r="T9736" s="71"/>
      <c r="U9736" s="61"/>
      <c r="V9736" s="61"/>
      <c r="W9736" s="61"/>
      <c r="X9736" s="61"/>
      <c r="Y9736" s="61"/>
      <c r="Z9736" s="61"/>
      <c r="AA9736" s="61"/>
      <c r="AB9736" s="61"/>
      <c r="AC9736" s="61"/>
      <c r="AD9736" s="61"/>
      <c r="AE9736" s="61"/>
      <c r="AF9736" s="61"/>
      <c r="AG9736" s="61"/>
      <c r="AH9736" s="61"/>
      <c r="AI9736" s="61"/>
      <c r="AJ9736" s="61"/>
      <c r="AK9736" s="61"/>
      <c r="AL9736" s="61"/>
      <c r="AM9736" s="61"/>
      <c r="AN9736" s="61"/>
      <c r="AO9736" s="61"/>
    </row>
    <row r="9737" spans="1:41" s="136" customFormat="1" ht="31.5" x14ac:dyDescent="0.25">
      <c r="A9737" s="358"/>
      <c r="B9737" s="361"/>
      <c r="C9737" s="373"/>
      <c r="D9737" s="156" t="s">
        <v>427</v>
      </c>
      <c r="E9737" s="156" t="s">
        <v>28</v>
      </c>
      <c r="F9737" s="156" t="s">
        <v>439</v>
      </c>
      <c r="G9737" s="238">
        <f t="shared" si="2790"/>
        <v>0</v>
      </c>
      <c r="H9737" s="158"/>
      <c r="I9737" s="159">
        <f t="shared" si="2793"/>
        <v>1.2695E-2</v>
      </c>
      <c r="J9737" s="160"/>
      <c r="K9737" s="161">
        <f t="shared" si="2794"/>
        <v>665</v>
      </c>
      <c r="L9737" s="250">
        <v>1</v>
      </c>
      <c r="M9737" s="163"/>
      <c r="N9737" s="278"/>
      <c r="O9737" s="280">
        <f t="shared" si="2791"/>
        <v>0</v>
      </c>
      <c r="P9737" s="166"/>
      <c r="Q9737" s="166">
        <f t="shared" si="2792"/>
        <v>0</v>
      </c>
      <c r="R9737" s="71"/>
      <c r="S9737" s="61"/>
      <c r="T9737" s="71"/>
      <c r="U9737" s="61"/>
      <c r="V9737" s="61"/>
      <c r="W9737" s="61"/>
      <c r="X9737" s="61"/>
      <c r="Y9737" s="61"/>
      <c r="Z9737" s="61"/>
      <c r="AA9737" s="61"/>
      <c r="AB9737" s="61"/>
      <c r="AC9737" s="61"/>
      <c r="AD9737" s="61"/>
      <c r="AE9737" s="61"/>
      <c r="AF9737" s="61"/>
      <c r="AG9737" s="61"/>
      <c r="AH9737" s="61"/>
      <c r="AI9737" s="61"/>
      <c r="AJ9737" s="61"/>
      <c r="AK9737" s="61"/>
      <c r="AL9737" s="61"/>
      <c r="AM9737" s="61"/>
      <c r="AN9737" s="61"/>
      <c r="AO9737" s="61"/>
    </row>
    <row r="9738" spans="1:41" s="136" customFormat="1" ht="31.5" x14ac:dyDescent="0.25">
      <c r="A9738" s="358"/>
      <c r="B9738" s="361"/>
      <c r="C9738" s="373"/>
      <c r="D9738" s="156" t="s">
        <v>428</v>
      </c>
      <c r="E9738" s="156" t="s">
        <v>28</v>
      </c>
      <c r="F9738" s="156" t="s">
        <v>439</v>
      </c>
      <c r="G9738" s="238">
        <f t="shared" si="2790"/>
        <v>0</v>
      </c>
      <c r="H9738" s="158"/>
      <c r="I9738" s="159">
        <f t="shared" si="2793"/>
        <v>1.2695E-2</v>
      </c>
      <c r="J9738" s="160"/>
      <c r="K9738" s="161">
        <f t="shared" si="2794"/>
        <v>665</v>
      </c>
      <c r="L9738" s="250">
        <v>1</v>
      </c>
      <c r="M9738" s="163"/>
      <c r="N9738" s="278"/>
      <c r="O9738" s="280">
        <f t="shared" si="2791"/>
        <v>0</v>
      </c>
      <c r="P9738" s="166"/>
      <c r="Q9738" s="166">
        <f t="shared" si="2792"/>
        <v>0</v>
      </c>
      <c r="R9738" s="71"/>
      <c r="S9738" s="61"/>
      <c r="T9738" s="71"/>
      <c r="U9738" s="61"/>
      <c r="V9738" s="61"/>
      <c r="W9738" s="61"/>
      <c r="X9738" s="61"/>
      <c r="Y9738" s="61"/>
      <c r="Z9738" s="61"/>
      <c r="AA9738" s="61"/>
      <c r="AB9738" s="61"/>
      <c r="AC9738" s="61"/>
      <c r="AD9738" s="61"/>
      <c r="AE9738" s="61"/>
      <c r="AF9738" s="61"/>
      <c r="AG9738" s="61"/>
      <c r="AH9738" s="61"/>
      <c r="AI9738" s="61"/>
      <c r="AJ9738" s="61"/>
      <c r="AK9738" s="61"/>
      <c r="AL9738" s="61"/>
      <c r="AM9738" s="61"/>
      <c r="AN9738" s="61"/>
      <c r="AO9738" s="61"/>
    </row>
    <row r="9739" spans="1:41" s="136" customFormat="1" ht="31.5" x14ac:dyDescent="0.25">
      <c r="A9739" s="358"/>
      <c r="B9739" s="361"/>
      <c r="C9739" s="373"/>
      <c r="D9739" s="156" t="s">
        <v>429</v>
      </c>
      <c r="E9739" s="156" t="s">
        <v>28</v>
      </c>
      <c r="F9739" s="156" t="s">
        <v>439</v>
      </c>
      <c r="G9739" s="238">
        <f t="shared" si="2790"/>
        <v>0</v>
      </c>
      <c r="H9739" s="158"/>
      <c r="I9739" s="159">
        <f t="shared" si="2793"/>
        <v>1.2695E-2</v>
      </c>
      <c r="J9739" s="160"/>
      <c r="K9739" s="161">
        <f t="shared" si="2794"/>
        <v>665</v>
      </c>
      <c r="L9739" s="250">
        <v>1</v>
      </c>
      <c r="M9739" s="163"/>
      <c r="N9739" s="278"/>
      <c r="O9739" s="280">
        <f t="shared" si="2791"/>
        <v>0</v>
      </c>
      <c r="P9739" s="166"/>
      <c r="Q9739" s="166">
        <f t="shared" si="2792"/>
        <v>0</v>
      </c>
      <c r="R9739" s="71"/>
      <c r="S9739" s="61"/>
      <c r="T9739" s="71"/>
      <c r="U9739" s="61"/>
      <c r="V9739" s="61"/>
      <c r="W9739" s="61"/>
      <c r="X9739" s="61"/>
      <c r="Y9739" s="61"/>
      <c r="Z9739" s="61"/>
      <c r="AA9739" s="61"/>
      <c r="AB9739" s="61"/>
      <c r="AC9739" s="61"/>
      <c r="AD9739" s="61"/>
      <c r="AE9739" s="61"/>
      <c r="AF9739" s="61"/>
      <c r="AG9739" s="61"/>
      <c r="AH9739" s="61"/>
      <c r="AI9739" s="61"/>
      <c r="AJ9739" s="61"/>
      <c r="AK9739" s="61"/>
      <c r="AL9739" s="61"/>
      <c r="AM9739" s="61"/>
      <c r="AN9739" s="61"/>
      <c r="AO9739" s="61"/>
    </row>
    <row r="9740" spans="1:41" s="136" customFormat="1" ht="31.5" x14ac:dyDescent="0.25">
      <c r="A9740" s="358"/>
      <c r="B9740" s="361"/>
      <c r="C9740" s="373"/>
      <c r="D9740" s="156" t="s">
        <v>110</v>
      </c>
      <c r="E9740" s="156" t="s">
        <v>28</v>
      </c>
      <c r="F9740" s="156" t="s">
        <v>439</v>
      </c>
      <c r="G9740" s="238">
        <f t="shared" si="2790"/>
        <v>0</v>
      </c>
      <c r="H9740" s="158"/>
      <c r="I9740" s="159">
        <f t="shared" si="2793"/>
        <v>1.2695E-2</v>
      </c>
      <c r="J9740" s="160"/>
      <c r="K9740" s="161">
        <f t="shared" si="2794"/>
        <v>665</v>
      </c>
      <c r="L9740" s="250">
        <v>1</v>
      </c>
      <c r="M9740" s="163"/>
      <c r="N9740" s="278"/>
      <c r="O9740" s="280">
        <f t="shared" si="2791"/>
        <v>0</v>
      </c>
      <c r="P9740" s="166"/>
      <c r="Q9740" s="166">
        <f t="shared" si="2792"/>
        <v>0</v>
      </c>
      <c r="R9740" s="71"/>
      <c r="S9740" s="61"/>
      <c r="T9740" s="71"/>
      <c r="U9740" s="61"/>
      <c r="V9740" s="61"/>
      <c r="W9740" s="61"/>
      <c r="X9740" s="61"/>
      <c r="Y9740" s="61"/>
      <c r="Z9740" s="61"/>
      <c r="AA9740" s="61"/>
      <c r="AB9740" s="61"/>
      <c r="AC9740" s="61"/>
      <c r="AD9740" s="61"/>
      <c r="AE9740" s="61"/>
      <c r="AF9740" s="61"/>
      <c r="AG9740" s="61"/>
      <c r="AH9740" s="61"/>
      <c r="AI9740" s="61"/>
      <c r="AJ9740" s="61"/>
      <c r="AK9740" s="61"/>
      <c r="AL9740" s="61"/>
      <c r="AM9740" s="61"/>
      <c r="AN9740" s="61"/>
      <c r="AO9740" s="61"/>
    </row>
    <row r="9741" spans="1:41" s="136" customFormat="1" ht="31.5" x14ac:dyDescent="0.25">
      <c r="A9741" s="358"/>
      <c r="B9741" s="361"/>
      <c r="C9741" s="373"/>
      <c r="D9741" s="156" t="s">
        <v>112</v>
      </c>
      <c r="E9741" s="156" t="s">
        <v>28</v>
      </c>
      <c r="F9741" s="156" t="s">
        <v>439</v>
      </c>
      <c r="G9741" s="238">
        <f t="shared" si="2790"/>
        <v>0</v>
      </c>
      <c r="H9741" s="158"/>
      <c r="I9741" s="159">
        <f t="shared" si="2793"/>
        <v>1.2695E-2</v>
      </c>
      <c r="J9741" s="160"/>
      <c r="K9741" s="161">
        <f t="shared" si="2794"/>
        <v>665</v>
      </c>
      <c r="L9741" s="250">
        <v>1</v>
      </c>
      <c r="M9741" s="163"/>
      <c r="N9741" s="278"/>
      <c r="O9741" s="280">
        <f t="shared" si="2791"/>
        <v>0</v>
      </c>
      <c r="P9741" s="166"/>
      <c r="Q9741" s="166">
        <f t="shared" si="2792"/>
        <v>0</v>
      </c>
      <c r="R9741" s="71"/>
      <c r="S9741" s="61"/>
      <c r="T9741" s="71"/>
      <c r="U9741" s="61"/>
      <c r="V9741" s="61"/>
      <c r="W9741" s="61"/>
      <c r="X9741" s="61"/>
      <c r="Y9741" s="61"/>
      <c r="Z9741" s="61"/>
      <c r="AA9741" s="61"/>
      <c r="AB9741" s="61"/>
      <c r="AC9741" s="61"/>
      <c r="AD9741" s="61"/>
      <c r="AE9741" s="61"/>
      <c r="AF9741" s="61"/>
      <c r="AG9741" s="61"/>
      <c r="AH9741" s="61"/>
      <c r="AI9741" s="61"/>
      <c r="AJ9741" s="61"/>
      <c r="AK9741" s="61"/>
      <c r="AL9741" s="61"/>
      <c r="AM9741" s="61"/>
      <c r="AN9741" s="61"/>
      <c r="AO9741" s="61"/>
    </row>
    <row r="9742" spans="1:41" s="136" customFormat="1" ht="31.5" x14ac:dyDescent="0.25">
      <c r="A9742" s="358"/>
      <c r="B9742" s="361"/>
      <c r="C9742" s="373"/>
      <c r="D9742" s="156" t="s">
        <v>111</v>
      </c>
      <c r="E9742" s="156" t="s">
        <v>28</v>
      </c>
      <c r="F9742" s="156" t="s">
        <v>439</v>
      </c>
      <c r="G9742" s="238">
        <f t="shared" si="2790"/>
        <v>0</v>
      </c>
      <c r="H9742" s="158"/>
      <c r="I9742" s="159">
        <f t="shared" si="2793"/>
        <v>1.2695E-2</v>
      </c>
      <c r="J9742" s="160"/>
      <c r="K9742" s="161">
        <f t="shared" si="2794"/>
        <v>665</v>
      </c>
      <c r="L9742" s="250">
        <v>1</v>
      </c>
      <c r="M9742" s="163"/>
      <c r="N9742" s="278"/>
      <c r="O9742" s="280">
        <f t="shared" si="2791"/>
        <v>0</v>
      </c>
      <c r="P9742" s="166"/>
      <c r="Q9742" s="166">
        <f t="shared" si="2792"/>
        <v>0</v>
      </c>
      <c r="R9742" s="71"/>
      <c r="S9742" s="61"/>
      <c r="T9742" s="71"/>
      <c r="U9742" s="61"/>
      <c r="V9742" s="61"/>
      <c r="W9742" s="61"/>
      <c r="X9742" s="61"/>
      <c r="Y9742" s="61"/>
      <c r="Z9742" s="61"/>
      <c r="AA9742" s="61"/>
      <c r="AB9742" s="61"/>
      <c r="AC9742" s="61"/>
      <c r="AD9742" s="61"/>
      <c r="AE9742" s="61"/>
      <c r="AF9742" s="61"/>
      <c r="AG9742" s="61"/>
      <c r="AH9742" s="61"/>
      <c r="AI9742" s="61"/>
      <c r="AJ9742" s="61"/>
      <c r="AK9742" s="61"/>
      <c r="AL9742" s="61"/>
      <c r="AM9742" s="61"/>
      <c r="AN9742" s="61"/>
      <c r="AO9742" s="61"/>
    </row>
    <row r="9743" spans="1:41" s="136" customFormat="1" ht="31.5" x14ac:dyDescent="0.25">
      <c r="A9743" s="358"/>
      <c r="B9743" s="361"/>
      <c r="C9743" s="374"/>
      <c r="D9743" s="156" t="s">
        <v>438</v>
      </c>
      <c r="E9743" s="156" t="s">
        <v>28</v>
      </c>
      <c r="F9743" s="156" t="s">
        <v>439</v>
      </c>
      <c r="G9743" s="238">
        <f t="shared" si="2790"/>
        <v>0</v>
      </c>
      <c r="H9743" s="158"/>
      <c r="I9743" s="159">
        <f t="shared" si="2793"/>
        <v>1.2695E-2</v>
      </c>
      <c r="J9743" s="160"/>
      <c r="K9743" s="161">
        <f t="shared" si="2794"/>
        <v>665</v>
      </c>
      <c r="L9743" s="250">
        <v>1</v>
      </c>
      <c r="M9743" s="163"/>
      <c r="N9743" s="278"/>
      <c r="O9743" s="280">
        <f t="shared" si="2791"/>
        <v>0</v>
      </c>
      <c r="P9743" s="166"/>
      <c r="Q9743" s="166">
        <f t="shared" si="2792"/>
        <v>0</v>
      </c>
      <c r="R9743" s="71"/>
      <c r="S9743" s="61"/>
      <c r="T9743" s="71"/>
      <c r="U9743" s="61"/>
      <c r="V9743" s="61"/>
      <c r="W9743" s="61"/>
      <c r="X9743" s="61"/>
      <c r="Y9743" s="61"/>
      <c r="Z9743" s="61"/>
      <c r="AA9743" s="61"/>
      <c r="AB9743" s="61"/>
      <c r="AC9743" s="61"/>
      <c r="AD9743" s="61"/>
      <c r="AE9743" s="61"/>
      <c r="AF9743" s="61"/>
      <c r="AG9743" s="61"/>
      <c r="AH9743" s="61"/>
      <c r="AI9743" s="61"/>
      <c r="AJ9743" s="61"/>
      <c r="AK9743" s="61"/>
      <c r="AL9743" s="61"/>
      <c r="AM9743" s="61"/>
      <c r="AN9743" s="61"/>
      <c r="AO9743" s="61"/>
    </row>
    <row r="9744" spans="1:41" s="61" customFormat="1" x14ac:dyDescent="0.25">
      <c r="A9744" s="358"/>
      <c r="B9744" s="361"/>
      <c r="C9744" s="245" t="s">
        <v>299</v>
      </c>
      <c r="D9744" s="240"/>
      <c r="E9744" s="240"/>
      <c r="F9744" s="181"/>
      <c r="G9744" s="227"/>
      <c r="H9744" s="241"/>
      <c r="I9744" s="206"/>
      <c r="J9744" s="228"/>
      <c r="K9744" s="207"/>
      <c r="L9744" s="257"/>
      <c r="M9744" s="209"/>
      <c r="N9744" s="290"/>
      <c r="O9744" s="279">
        <f>SUM(O9732:O9743)</f>
        <v>0.53421299999999994</v>
      </c>
      <c r="P9744" s="166"/>
      <c r="Q9744" s="166">
        <f>O9744*K9744</f>
        <v>0</v>
      </c>
      <c r="R9744" s="71"/>
    </row>
    <row r="9745" spans="1:41" s="61" customFormat="1" ht="47.25" x14ac:dyDescent="0.25">
      <c r="A9745" s="358"/>
      <c r="B9745" s="361"/>
      <c r="C9745" s="221" t="s">
        <v>434</v>
      </c>
      <c r="D9745" s="156" t="s">
        <v>436</v>
      </c>
      <c r="E9745" s="156" t="s">
        <v>28</v>
      </c>
      <c r="F9745" s="156" t="s">
        <v>437</v>
      </c>
      <c r="G9745" s="238">
        <f>MROUND(H9745*L9745*I9745/K9745,0.000000000001)</f>
        <v>0</v>
      </c>
      <c r="H9745" s="242">
        <f>$H$2148</f>
        <v>26</v>
      </c>
      <c r="I9745" s="159">
        <f>I9743</f>
        <v>1.2695E-2</v>
      </c>
      <c r="J9745" s="160"/>
      <c r="K9745" s="161">
        <f>K9743</f>
        <v>665</v>
      </c>
      <c r="L9745" s="162"/>
      <c r="M9745" s="163"/>
      <c r="N9745" s="164">
        <f>$N$5536</f>
        <v>2280.2800000000002</v>
      </c>
      <c r="O9745" s="165">
        <f>MROUND(G9745*N9745,0.000001)</f>
        <v>0</v>
      </c>
      <c r="P9745" s="166"/>
      <c r="Q9745" s="166">
        <f>O9745*K9745</f>
        <v>0</v>
      </c>
      <c r="R9745" s="71"/>
    </row>
    <row r="9746" spans="1:41" s="61" customFormat="1" x14ac:dyDescent="0.25">
      <c r="A9746" s="358"/>
      <c r="B9746" s="361"/>
      <c r="C9746" s="218" t="s">
        <v>435</v>
      </c>
      <c r="D9746" s="240"/>
      <c r="E9746" s="240"/>
      <c r="F9746" s="240"/>
      <c r="G9746" s="251"/>
      <c r="H9746" s="241"/>
      <c r="I9746" s="206"/>
      <c r="J9746" s="228"/>
      <c r="K9746" s="207"/>
      <c r="L9746" s="229"/>
      <c r="M9746" s="209"/>
      <c r="N9746" s="210"/>
      <c r="O9746" s="198">
        <f>SUM(O9745)</f>
        <v>0</v>
      </c>
      <c r="P9746" s="166"/>
      <c r="Q9746" s="166"/>
      <c r="R9746" s="71"/>
    </row>
    <row r="9747" spans="1:41" s="61" customFormat="1" ht="110.25" x14ac:dyDescent="0.25">
      <c r="A9747" s="358"/>
      <c r="B9747" s="361"/>
      <c r="C9747" s="221" t="s">
        <v>82</v>
      </c>
      <c r="D9747" s="156" t="s">
        <v>46</v>
      </c>
      <c r="E9747" s="156" t="s">
        <v>54</v>
      </c>
      <c r="F9747" s="156" t="s">
        <v>285</v>
      </c>
      <c r="G9747" s="238">
        <f>MROUND(H9747*L9747*I9747/K9747,0.000000000001)</f>
        <v>4.7979515164000001E-2</v>
      </c>
      <c r="H9747" s="158">
        <f>H9441</f>
        <v>228.48206225686181</v>
      </c>
      <c r="I9747" s="159">
        <f>I9733</f>
        <v>1.2695E-2</v>
      </c>
      <c r="J9747" s="160"/>
      <c r="K9747" s="161">
        <f>K9733</f>
        <v>665</v>
      </c>
      <c r="L9747" s="250">
        <f>$L$2150</f>
        <v>11</v>
      </c>
      <c r="M9747" s="163" t="str">
        <f>CONCATENATE(H9747," ",F9747,"*",L9747,"автобус","*",I9747,"/",K9747,"чел")</f>
        <v>228,482062256862 л бензина АИ 92 (12,5л/день(зимой)*20дней*7мес+10л/день(летом)*20дней*4мес)*11автобус*0,012695/665чел</v>
      </c>
      <c r="N9747" s="278">
        <f>$N$8927</f>
        <v>59.28728000000001</v>
      </c>
      <c r="O9747" s="280">
        <f t="shared" ref="O9747:O9749" si="2795">MROUND(N9747*G9747,0.000001)</f>
        <v>2.8445749999999999</v>
      </c>
      <c r="P9747" s="166"/>
      <c r="Q9747" s="166">
        <f>O9747*K9747</f>
        <v>1891.6423749999999</v>
      </c>
      <c r="R9747" s="71"/>
    </row>
    <row r="9748" spans="1:41" s="61" customFormat="1" ht="47.25" x14ac:dyDescent="0.25">
      <c r="A9748" s="358"/>
      <c r="B9748" s="361"/>
      <c r="C9748" s="364" t="s">
        <v>118</v>
      </c>
      <c r="D9748" s="156" t="s">
        <v>47</v>
      </c>
      <c r="E9748" s="156" t="s">
        <v>28</v>
      </c>
      <c r="F9748" s="156" t="s">
        <v>239</v>
      </c>
      <c r="G9748" s="238">
        <f>MROUND(H9748*L9748*I9748/K9748,0.000000000001)</f>
        <v>3.8180451099999998E-4</v>
      </c>
      <c r="H9748" s="158">
        <f>H8928</f>
        <v>20</v>
      </c>
      <c r="I9748" s="159">
        <f>I9747</f>
        <v>1.2695E-2</v>
      </c>
      <c r="J9748" s="160"/>
      <c r="K9748" s="161">
        <f>K9747</f>
        <v>665</v>
      </c>
      <c r="L9748" s="250">
        <v>1</v>
      </c>
      <c r="M9748" s="163" t="str">
        <f>CONCATENATE(H9748," ",F9748,"*",I9748,"/",K9748,"чел")</f>
        <v>20 манометров (потребность учреждений) *0,012695/665чел</v>
      </c>
      <c r="N9748" s="278">
        <f>N8928</f>
        <v>707.09500000000003</v>
      </c>
      <c r="O9748" s="280">
        <f t="shared" si="2795"/>
        <v>0.26997199999999999</v>
      </c>
      <c r="P9748" s="166"/>
      <c r="Q9748" s="166">
        <f>O9748*K9748</f>
        <v>179.53137999999998</v>
      </c>
      <c r="R9748" s="71"/>
    </row>
    <row r="9749" spans="1:41" s="61" customFormat="1" ht="47.25" x14ac:dyDescent="0.25">
      <c r="A9749" s="358"/>
      <c r="B9749" s="361"/>
      <c r="C9749" s="364"/>
      <c r="D9749" s="255" t="s">
        <v>113</v>
      </c>
      <c r="E9749" s="156" t="s">
        <v>28</v>
      </c>
      <c r="F9749" s="156" t="s">
        <v>240</v>
      </c>
      <c r="G9749" s="238">
        <f>MROUND(H9749*L9749*I9749/K9749,0.000000000001)</f>
        <v>1.909022556E-3</v>
      </c>
      <c r="H9749" s="158">
        <v>100</v>
      </c>
      <c r="I9749" s="159">
        <f>I9748</f>
        <v>1.2695E-2</v>
      </c>
      <c r="J9749" s="160"/>
      <c r="K9749" s="161">
        <f>K9748</f>
        <v>665</v>
      </c>
      <c r="L9749" s="250">
        <v>1</v>
      </c>
      <c r="M9749" s="163" t="str">
        <f>CONCATENATE(H9749," ",F9749,"*",I9749,"/",K9749,"чел")</f>
        <v>100 светильников (потребность учреждений)*0,012695/665чел</v>
      </c>
      <c r="N9749" s="278">
        <f>N8929</f>
        <v>115.61000000000001</v>
      </c>
      <c r="O9749" s="280">
        <f t="shared" si="2795"/>
        <v>0.22070199999999998</v>
      </c>
      <c r="P9749" s="166"/>
      <c r="Q9749" s="166">
        <f>O9749*K9749</f>
        <v>146.76683</v>
      </c>
      <c r="R9749" s="71"/>
    </row>
    <row r="9750" spans="1:41" s="109" customFormat="1" x14ac:dyDescent="0.25">
      <c r="A9750" s="359"/>
      <c r="B9750" s="362"/>
      <c r="C9750" s="218" t="s">
        <v>301</v>
      </c>
      <c r="D9750" s="256"/>
      <c r="E9750" s="240"/>
      <c r="F9750" s="240"/>
      <c r="G9750" s="227"/>
      <c r="H9750" s="241"/>
      <c r="I9750" s="206"/>
      <c r="J9750" s="228"/>
      <c r="K9750" s="207"/>
      <c r="L9750" s="257"/>
      <c r="M9750" s="209"/>
      <c r="N9750" s="281"/>
      <c r="O9750" s="279">
        <f>O9748+O9749</f>
        <v>0.49067399999999994</v>
      </c>
      <c r="P9750" s="267"/>
      <c r="Q9750" s="166"/>
      <c r="R9750" s="71"/>
      <c r="S9750" s="62"/>
      <c r="T9750" s="62"/>
      <c r="U9750" s="62"/>
      <c r="V9750" s="62"/>
      <c r="W9750" s="62"/>
      <c r="X9750" s="62"/>
      <c r="Y9750" s="62"/>
      <c r="Z9750" s="62"/>
      <c r="AA9750" s="62"/>
      <c r="AB9750" s="62"/>
      <c r="AC9750" s="62"/>
      <c r="AD9750" s="62"/>
      <c r="AE9750" s="62"/>
      <c r="AF9750" s="62"/>
      <c r="AG9750" s="62"/>
      <c r="AH9750" s="62"/>
      <c r="AI9750" s="62"/>
      <c r="AJ9750" s="62"/>
      <c r="AK9750" s="62"/>
      <c r="AL9750" s="62"/>
      <c r="AM9750" s="62"/>
      <c r="AN9750" s="62"/>
      <c r="AO9750" s="62"/>
    </row>
    <row r="9751" spans="1:41" s="61" customFormat="1" x14ac:dyDescent="0.25">
      <c r="A9751" s="357" t="str">
        <f>школы!$B$25</f>
        <v>Реализация дополнительных профессиональных программ повышения квалификации</v>
      </c>
      <c r="B9751" s="360" t="str">
        <f>школы!$A$25</f>
        <v>804200О.99.0.ББ60АБ20001</v>
      </c>
      <c r="C9751" s="194"/>
      <c r="D9751" s="363" t="s">
        <v>15</v>
      </c>
      <c r="E9751" s="363"/>
      <c r="F9751" s="363"/>
      <c r="G9751" s="363"/>
      <c r="H9751" s="195"/>
      <c r="I9751" s="195"/>
      <c r="J9751" s="195"/>
      <c r="K9751" s="195"/>
      <c r="L9751" s="196"/>
      <c r="M9751" s="197"/>
      <c r="N9751" s="278"/>
      <c r="O9751" s="279">
        <f>O9752+O9757+O9760</f>
        <v>10832.566504223001</v>
      </c>
      <c r="P9751" s="166"/>
      <c r="Q9751" s="166">
        <f t="shared" ref="Q9751:Q9753" si="2796">O9751*K9751</f>
        <v>0</v>
      </c>
      <c r="R9751" s="71"/>
    </row>
    <row r="9752" spans="1:41" s="61" customFormat="1" x14ac:dyDescent="0.25">
      <c r="A9752" s="358"/>
      <c r="B9752" s="361"/>
      <c r="C9752" s="194"/>
      <c r="D9752" s="350" t="s">
        <v>62</v>
      </c>
      <c r="E9752" s="350"/>
      <c r="F9752" s="350"/>
      <c r="G9752" s="350"/>
      <c r="H9752" s="195"/>
      <c r="I9752" s="195"/>
      <c r="J9752" s="195"/>
      <c r="K9752" s="195"/>
      <c r="L9752" s="196"/>
      <c r="M9752" s="197"/>
      <c r="N9752" s="278"/>
      <c r="O9752" s="279">
        <f>O9754+O9756</f>
        <v>10689.348975223002</v>
      </c>
      <c r="P9752" s="166"/>
      <c r="Q9752" s="166">
        <f t="shared" si="2796"/>
        <v>0</v>
      </c>
      <c r="R9752" s="71"/>
    </row>
    <row r="9753" spans="1:41" s="61" customFormat="1" x14ac:dyDescent="0.25">
      <c r="A9753" s="358"/>
      <c r="B9753" s="361"/>
      <c r="C9753" s="194">
        <v>211</v>
      </c>
      <c r="D9753" s="194" t="s">
        <v>86</v>
      </c>
      <c r="E9753" s="199" t="s">
        <v>95</v>
      </c>
      <c r="F9753" s="199" t="s">
        <v>95</v>
      </c>
      <c r="G9753" s="275">
        <f>MROUND(H9753*L9753*I9753/K9753,0.00000000001)</f>
        <v>0.46890683635999997</v>
      </c>
      <c r="H9753" s="201">
        <f>Лист1!K284</f>
        <v>49</v>
      </c>
      <c r="I9753" s="159">
        <f>школы!$K$25</f>
        <v>0.78948599999999991</v>
      </c>
      <c r="J9753" s="159"/>
      <c r="K9753" s="161">
        <f>школы!$G$25</f>
        <v>990</v>
      </c>
      <c r="L9753" s="202">
        <v>12</v>
      </c>
      <c r="M9753" s="163" t="str">
        <f>CONCATENATE(H9753," ",F9753," ","в мес.","*",L9753,"мес.","*",I9753,"/",K9753,"чел/час")</f>
        <v>49 шт.ед в мес.*12мес.*0,789486/990чел/час</v>
      </c>
      <c r="N9753" s="278">
        <f>Лист1!M284</f>
        <v>17508.692159863946</v>
      </c>
      <c r="O9753" s="280">
        <f>MROUND(N9753*G9753,0.000000001)</f>
        <v>8209.9454494830006</v>
      </c>
      <c r="P9753" s="166"/>
      <c r="Q9753" s="166">
        <f t="shared" si="2796"/>
        <v>8127845.9949881705</v>
      </c>
      <c r="R9753" s="71">
        <f>Q9753-Лист1!F6781</f>
        <v>8127845.9949881705</v>
      </c>
      <c r="T9753" s="71"/>
    </row>
    <row r="9754" spans="1:41" s="62" customFormat="1" x14ac:dyDescent="0.25">
      <c r="A9754" s="358"/>
      <c r="B9754" s="361"/>
      <c r="C9754" s="203" t="s">
        <v>288</v>
      </c>
      <c r="D9754" s="203"/>
      <c r="E9754" s="204"/>
      <c r="F9754" s="204"/>
      <c r="G9754" s="205"/>
      <c r="H9754" s="206"/>
      <c r="I9754" s="206"/>
      <c r="J9754" s="206"/>
      <c r="K9754" s="207"/>
      <c r="L9754" s="208"/>
      <c r="M9754" s="209"/>
      <c r="N9754" s="281"/>
      <c r="O9754" s="279">
        <f>O9753</f>
        <v>8209.9454494830006</v>
      </c>
      <c r="P9754" s="267"/>
      <c r="Q9754" s="166"/>
      <c r="R9754" s="71"/>
    </row>
    <row r="9755" spans="1:41" s="61" customFormat="1" x14ac:dyDescent="0.25">
      <c r="A9755" s="358"/>
      <c r="B9755" s="361"/>
      <c r="C9755" s="194">
        <v>213</v>
      </c>
      <c r="D9755" s="194" t="s">
        <v>87</v>
      </c>
      <c r="E9755" s="194" t="s">
        <v>88</v>
      </c>
      <c r="F9755" s="194"/>
      <c r="G9755" s="211">
        <v>30.2</v>
      </c>
      <c r="H9755" s="159"/>
      <c r="I9755" s="159">
        <f>I9753</f>
        <v>0.78948599999999991</v>
      </c>
      <c r="J9755" s="159"/>
      <c r="K9755" s="161">
        <f>K9753</f>
        <v>990</v>
      </c>
      <c r="L9755" s="202"/>
      <c r="M9755" s="212"/>
      <c r="N9755" s="278"/>
      <c r="O9755" s="280">
        <f>MROUND(O9753*0.302,0.00000001)</f>
        <v>2479.4035257400001</v>
      </c>
      <c r="P9755" s="166"/>
      <c r="Q9755" s="166">
        <f t="shared" ref="Q9755" si="2797">O9755*K9755</f>
        <v>2454609.4904825999</v>
      </c>
      <c r="R9755" s="71"/>
      <c r="T9755" s="71"/>
    </row>
    <row r="9756" spans="1:41" s="62" customFormat="1" x14ac:dyDescent="0.25">
      <c r="A9756" s="358"/>
      <c r="B9756" s="361"/>
      <c r="C9756" s="203" t="s">
        <v>289</v>
      </c>
      <c r="D9756" s="203"/>
      <c r="E9756" s="203"/>
      <c r="F9756" s="203"/>
      <c r="G9756" s="213"/>
      <c r="H9756" s="214"/>
      <c r="I9756" s="206"/>
      <c r="J9756" s="214"/>
      <c r="K9756" s="207"/>
      <c r="L9756" s="215"/>
      <c r="M9756" s="216"/>
      <c r="N9756" s="281"/>
      <c r="O9756" s="279">
        <f>O9755</f>
        <v>2479.4035257400001</v>
      </c>
      <c r="P9756" s="267"/>
      <c r="Q9756" s="166"/>
      <c r="R9756" s="71"/>
    </row>
    <row r="9757" spans="1:41" s="61" customFormat="1" x14ac:dyDescent="0.25">
      <c r="A9757" s="358"/>
      <c r="B9757" s="361"/>
      <c r="C9757" s="194"/>
      <c r="D9757" s="356" t="s">
        <v>63</v>
      </c>
      <c r="E9757" s="356"/>
      <c r="F9757" s="356"/>
      <c r="G9757" s="356"/>
      <c r="H9757" s="195"/>
      <c r="I9757" s="159"/>
      <c r="J9757" s="195"/>
      <c r="K9757" s="161"/>
      <c r="L9757" s="196"/>
      <c r="M9757" s="197"/>
      <c r="N9757" s="278"/>
      <c r="O9757" s="279">
        <f>O9758</f>
        <v>143.21752899999998</v>
      </c>
      <c r="P9757" s="166"/>
      <c r="Q9757" s="166">
        <f t="shared" ref="Q9757:Q9758" si="2798">O9757*K9757</f>
        <v>0</v>
      </c>
      <c r="R9757" s="71"/>
    </row>
    <row r="9758" spans="1:41" s="61" customFormat="1" x14ac:dyDescent="0.25">
      <c r="A9758" s="358"/>
      <c r="B9758" s="361"/>
      <c r="C9758" s="194">
        <v>346</v>
      </c>
      <c r="D9758" s="194" t="s">
        <v>259</v>
      </c>
      <c r="E9758" s="194" t="s">
        <v>260</v>
      </c>
      <c r="F9758" s="194" t="s">
        <v>261</v>
      </c>
      <c r="G9758" s="238">
        <f>MROUND(H9758*L9758*I9758/K9758,0.000001)</f>
        <v>0.195378</v>
      </c>
      <c r="H9758" s="283">
        <f>Лист1!K405</f>
        <v>245</v>
      </c>
      <c r="I9758" s="159">
        <f>I9755</f>
        <v>0.78948599999999991</v>
      </c>
      <c r="J9758" s="195"/>
      <c r="K9758" s="161">
        <f>K9755</f>
        <v>990</v>
      </c>
      <c r="L9758" s="196">
        <v>1</v>
      </c>
      <c r="M9758" s="163" t="str">
        <f>CONCATENATE(H9758," ",F9758,"*",I9758,"/",K9758,"чел/час")</f>
        <v>245 упаковок*0,789486/990чел/час</v>
      </c>
      <c r="N9758" s="278">
        <f>Лист1!M405</f>
        <v>733.02791836734696</v>
      </c>
      <c r="O9758" s="280">
        <f>MROUND(N9758*G9758,0.000001)</f>
        <v>143.21752899999998</v>
      </c>
      <c r="P9758" s="166"/>
      <c r="Q9758" s="166">
        <f t="shared" si="2798"/>
        <v>141785.35371</v>
      </c>
      <c r="R9758" s="71"/>
      <c r="S9758" s="71"/>
    </row>
    <row r="9759" spans="1:41" s="62" customFormat="1" x14ac:dyDescent="0.25">
      <c r="A9759" s="358"/>
      <c r="B9759" s="361"/>
      <c r="C9759" s="203" t="s">
        <v>356</v>
      </c>
      <c r="D9759" s="203"/>
      <c r="E9759" s="203"/>
      <c r="F9759" s="203"/>
      <c r="G9759" s="227"/>
      <c r="H9759" s="214"/>
      <c r="I9759" s="206"/>
      <c r="J9759" s="214"/>
      <c r="K9759" s="207"/>
      <c r="L9759" s="215"/>
      <c r="M9759" s="209"/>
      <c r="N9759" s="281"/>
      <c r="O9759" s="279">
        <f>O9758</f>
        <v>143.21752899999998</v>
      </c>
      <c r="P9759" s="267"/>
      <c r="Q9759" s="166"/>
      <c r="R9759" s="71"/>
    </row>
    <row r="9760" spans="1:41" s="61" customFormat="1" x14ac:dyDescent="0.25">
      <c r="A9760" s="358"/>
      <c r="B9760" s="361"/>
      <c r="C9760" s="194"/>
      <c r="D9760" s="350" t="s">
        <v>64</v>
      </c>
      <c r="E9760" s="350"/>
      <c r="F9760" s="350"/>
      <c r="G9760" s="350"/>
      <c r="H9760" s="195"/>
      <c r="I9760" s="159"/>
      <c r="J9760" s="195"/>
      <c r="K9760" s="161"/>
      <c r="L9760" s="196"/>
      <c r="M9760" s="197"/>
      <c r="N9760" s="278"/>
      <c r="O9760" s="280"/>
      <c r="P9760" s="166"/>
      <c r="Q9760" s="166">
        <f t="shared" ref="Q9760:Q9770" si="2799">O9760*K9760</f>
        <v>0</v>
      </c>
      <c r="R9760" s="71"/>
    </row>
    <row r="9761" spans="1:20" s="61" customFormat="1" x14ac:dyDescent="0.25">
      <c r="A9761" s="358"/>
      <c r="B9761" s="361"/>
      <c r="C9761" s="194"/>
      <c r="D9761" s="194"/>
      <c r="E9761" s="194"/>
      <c r="F9761" s="194"/>
      <c r="G9761" s="217"/>
      <c r="H9761" s="195"/>
      <c r="I9761" s="159"/>
      <c r="J9761" s="195"/>
      <c r="K9761" s="161"/>
      <c r="L9761" s="196"/>
      <c r="M9761" s="197"/>
      <c r="N9761" s="278"/>
      <c r="O9761" s="280"/>
      <c r="P9761" s="166"/>
      <c r="Q9761" s="166">
        <f t="shared" si="2799"/>
        <v>0</v>
      </c>
      <c r="R9761" s="71"/>
    </row>
    <row r="9762" spans="1:20" s="61" customFormat="1" x14ac:dyDescent="0.25">
      <c r="A9762" s="358"/>
      <c r="B9762" s="361"/>
      <c r="C9762" s="194"/>
      <c r="D9762" s="355" t="s">
        <v>5</v>
      </c>
      <c r="E9762" s="355"/>
      <c r="F9762" s="355"/>
      <c r="G9762" s="355"/>
      <c r="H9762" s="195"/>
      <c r="I9762" s="159"/>
      <c r="J9762" s="195"/>
      <c r="K9762" s="161"/>
      <c r="L9762" s="196"/>
      <c r="M9762" s="197"/>
      <c r="N9762" s="278"/>
      <c r="O9762" s="279">
        <f>O9763+O9772+O9783+O9785+O9796</f>
        <v>1730.0906110000001</v>
      </c>
      <c r="P9762" s="166"/>
      <c r="Q9762" s="166">
        <f t="shared" si="2799"/>
        <v>0</v>
      </c>
      <c r="R9762" s="71"/>
    </row>
    <row r="9763" spans="1:20" s="61" customFormat="1" x14ac:dyDescent="0.25">
      <c r="A9763" s="358"/>
      <c r="B9763" s="361"/>
      <c r="C9763" s="221" t="s">
        <v>70</v>
      </c>
      <c r="D9763" s="355" t="s">
        <v>6</v>
      </c>
      <c r="E9763" s="355"/>
      <c r="F9763" s="355"/>
      <c r="G9763" s="355"/>
      <c r="H9763" s="189"/>
      <c r="I9763" s="159"/>
      <c r="J9763" s="189"/>
      <c r="K9763" s="161"/>
      <c r="L9763" s="190"/>
      <c r="M9763" s="197"/>
      <c r="N9763" s="278"/>
      <c r="O9763" s="279">
        <f>O9764+O9765+O9766+O9767+O9768+O9769+O9770</f>
        <v>655.94993699999998</v>
      </c>
      <c r="P9763" s="166"/>
      <c r="Q9763" s="166">
        <f t="shared" si="2799"/>
        <v>0</v>
      </c>
      <c r="R9763" s="71"/>
    </row>
    <row r="9764" spans="1:20" s="61" customFormat="1" ht="31.5" x14ac:dyDescent="0.25">
      <c r="A9764" s="358"/>
      <c r="B9764" s="361"/>
      <c r="C9764" s="221" t="s">
        <v>72</v>
      </c>
      <c r="D9764" s="222" t="s">
        <v>7</v>
      </c>
      <c r="E9764" s="223" t="s">
        <v>8</v>
      </c>
      <c r="F9764" s="223" t="s">
        <v>8</v>
      </c>
      <c r="G9764" s="238">
        <f>MROUND(H9764*L9764*I9764/K9764,0.00000001)</f>
        <v>9.8647688999999996</v>
      </c>
      <c r="H9764" s="160">
        <f>Лист1!K292</f>
        <v>12370.227223490891</v>
      </c>
      <c r="I9764" s="159">
        <f>I9758</f>
        <v>0.78948599999999991</v>
      </c>
      <c r="J9764" s="160"/>
      <c r="K9764" s="161">
        <f>K9758</f>
        <v>990</v>
      </c>
      <c r="L9764" s="250">
        <v>1</v>
      </c>
      <c r="M9764" s="163" t="str">
        <f>CONCATENATE(H9764," ",F9764,"(лимиты выделенные УЖКХ) ","*",I9764,"/",K9764,"чел/час")</f>
        <v>12370,2272234909 кВт час.(лимиты выделенные УЖКХ) *0,789486/990чел/час</v>
      </c>
      <c r="N9764" s="278">
        <f>Лист1!M292</f>
        <v>11.380655137252312</v>
      </c>
      <c r="O9764" s="280">
        <f t="shared" ref="O9764:O9770" si="2800">MROUND(N9764*G9764,0.000001)</f>
        <v>112.267533</v>
      </c>
      <c r="P9764" s="166"/>
      <c r="Q9764" s="166">
        <f t="shared" si="2799"/>
        <v>111144.85767</v>
      </c>
      <c r="R9764" s="71"/>
      <c r="T9764" s="71"/>
    </row>
    <row r="9765" spans="1:20" s="61" customFormat="1" ht="31.5" x14ac:dyDescent="0.25">
      <c r="A9765" s="358"/>
      <c r="B9765" s="361"/>
      <c r="C9765" s="221" t="s">
        <v>73</v>
      </c>
      <c r="D9765" s="222" t="s">
        <v>9</v>
      </c>
      <c r="E9765" s="223" t="s">
        <v>10</v>
      </c>
      <c r="F9765" s="223" t="s">
        <v>10</v>
      </c>
      <c r="G9765" s="238">
        <f>MROUND(H9765*L9765*I9765/K9765,0.00000001)</f>
        <v>0.1355683</v>
      </c>
      <c r="H9765" s="160">
        <f>Лист1!K293</f>
        <v>170</v>
      </c>
      <c r="I9765" s="159">
        <f t="shared" ref="I9765:I9770" si="2801">I9764</f>
        <v>0.78948599999999991</v>
      </c>
      <c r="J9765" s="160"/>
      <c r="K9765" s="161">
        <f t="shared" ref="K9765:K9770" si="2802">K9764</f>
        <v>990</v>
      </c>
      <c r="L9765" s="250">
        <v>1</v>
      </c>
      <c r="M9765" s="163" t="str">
        <f>CONCATENATE(H9765," ",F9765,"(лимиты выделенные УЖКХ) ","*",I9765,"/",K9765,"чел/час")</f>
        <v>170 Гкал(лимиты выделенные УЖКХ) *0,789486/990чел/час</v>
      </c>
      <c r="N9765" s="278">
        <f>Лист1!M293</f>
        <v>3095.3018235294112</v>
      </c>
      <c r="O9765" s="280">
        <f t="shared" si="2800"/>
        <v>419.62480599999998</v>
      </c>
      <c r="P9765" s="166"/>
      <c r="Q9765" s="166">
        <f t="shared" si="2799"/>
        <v>415428.55793999997</v>
      </c>
      <c r="R9765" s="71"/>
      <c r="T9765" s="71"/>
    </row>
    <row r="9766" spans="1:20" s="61" customFormat="1" ht="31.5" x14ac:dyDescent="0.25">
      <c r="A9766" s="358"/>
      <c r="B9766" s="361"/>
      <c r="C9766" s="364" t="s">
        <v>74</v>
      </c>
      <c r="D9766" s="222" t="s">
        <v>12</v>
      </c>
      <c r="E9766" s="222" t="s">
        <v>11</v>
      </c>
      <c r="F9766" s="222" t="s">
        <v>11</v>
      </c>
      <c r="G9766" s="238">
        <f>MROUND(H9766*L9766*I9766/K9766,0.000001)</f>
        <v>0.28255599999999997</v>
      </c>
      <c r="H9766" s="224">
        <f>Лист1!K294</f>
        <v>354.32</v>
      </c>
      <c r="I9766" s="159">
        <f t="shared" si="2801"/>
        <v>0.78948599999999991</v>
      </c>
      <c r="J9766" s="160"/>
      <c r="K9766" s="161">
        <f t="shared" si="2802"/>
        <v>990</v>
      </c>
      <c r="L9766" s="250">
        <v>1</v>
      </c>
      <c r="M9766" s="163" t="str">
        <f>CONCATENATE(H9766," ",F9766,"(лимиты выделенные УЖКХ) ","*",I9766,"/",K9766,"чел/час")</f>
        <v>354,32 м3(лимиты выделенные УЖКХ) *0,789486/990чел/час</v>
      </c>
      <c r="N9766" s="278">
        <f>Лист1!M294</f>
        <v>56.382747234138634</v>
      </c>
      <c r="O9766" s="280">
        <f t="shared" si="2800"/>
        <v>15.931284</v>
      </c>
      <c r="P9766" s="166"/>
      <c r="Q9766" s="166">
        <f t="shared" si="2799"/>
        <v>15771.971159999999</v>
      </c>
      <c r="R9766" s="71"/>
    </row>
    <row r="9767" spans="1:20" s="61" customFormat="1" ht="47.25" x14ac:dyDescent="0.25">
      <c r="A9767" s="358"/>
      <c r="B9767" s="361"/>
      <c r="C9767" s="364"/>
      <c r="D9767" s="222" t="s">
        <v>17</v>
      </c>
      <c r="E9767" s="222" t="s">
        <v>11</v>
      </c>
      <c r="F9767" s="222" t="s">
        <v>11</v>
      </c>
      <c r="G9767" s="238">
        <f>MROUND(H9767*L9767*I9767/K9767,0.00000001)</f>
        <v>0.28255624000000001</v>
      </c>
      <c r="H9767" s="160">
        <f>Лист1!K295</f>
        <v>354.32</v>
      </c>
      <c r="I9767" s="159">
        <f t="shared" si="2801"/>
        <v>0.78948599999999991</v>
      </c>
      <c r="J9767" s="160"/>
      <c r="K9767" s="161">
        <f t="shared" si="2802"/>
        <v>990</v>
      </c>
      <c r="L9767" s="162">
        <v>1</v>
      </c>
      <c r="M9767" s="163" t="str">
        <f>CONCATENATE(H9767," ",F9767,"(лимиты выделенные УЖКХ) ","*",I9767,"/",K9767,"чел/час")</f>
        <v>354,32 м3(лимиты выделенные УЖКХ) *0,789486/990чел/час</v>
      </c>
      <c r="N9767" s="164">
        <f>Лист1!M295</f>
        <v>85.679537612054801</v>
      </c>
      <c r="O9767" s="280">
        <f t="shared" si="2800"/>
        <v>24.209287999999997</v>
      </c>
      <c r="P9767" s="166"/>
      <c r="Q9767" s="166">
        <f t="shared" si="2799"/>
        <v>23967.195119999997</v>
      </c>
      <c r="R9767" s="71"/>
      <c r="S9767" s="71"/>
    </row>
    <row r="9768" spans="1:20" s="61" customFormat="1" ht="31.5" x14ac:dyDescent="0.25">
      <c r="A9768" s="358"/>
      <c r="B9768" s="361"/>
      <c r="C9768" s="364"/>
      <c r="D9768" s="222" t="s">
        <v>13</v>
      </c>
      <c r="E9768" s="222" t="s">
        <v>11</v>
      </c>
      <c r="F9768" s="222" t="s">
        <v>11</v>
      </c>
      <c r="G9768" s="238">
        <f>MROUND(H9768*L9768*I9768/K9768,0.00000001)</f>
        <v>0.28255624000000001</v>
      </c>
      <c r="H9768" s="160">
        <f>Лист1!K296</f>
        <v>354.32</v>
      </c>
      <c r="I9768" s="159">
        <f t="shared" si="2801"/>
        <v>0.78948599999999991</v>
      </c>
      <c r="J9768" s="160"/>
      <c r="K9768" s="161">
        <f t="shared" si="2802"/>
        <v>990</v>
      </c>
      <c r="L9768" s="162">
        <v>1</v>
      </c>
      <c r="M9768" s="163" t="str">
        <f>CONCATENATE(H9768," ",F9768,"(лимиты выделенные УЖКХ) ","*",I9768,"/",K9768,"чел/час")</f>
        <v>354,32 м3(лимиты выделенные УЖКХ) *0,789486/990чел/час</v>
      </c>
      <c r="N9768" s="278">
        <f>Лист1!M296</f>
        <v>104.6284466959154</v>
      </c>
      <c r="O9768" s="280">
        <f t="shared" si="2800"/>
        <v>29.563419999999997</v>
      </c>
      <c r="P9768" s="166"/>
      <c r="Q9768" s="166">
        <f t="shared" si="2799"/>
        <v>29267.785799999998</v>
      </c>
      <c r="R9768" s="71"/>
      <c r="T9768" s="71"/>
    </row>
    <row r="9769" spans="1:20" s="61" customFormat="1" x14ac:dyDescent="0.25">
      <c r="A9769" s="358"/>
      <c r="B9769" s="361"/>
      <c r="C9769" s="364" t="s">
        <v>216</v>
      </c>
      <c r="D9769" s="222" t="s">
        <v>23</v>
      </c>
      <c r="E9769" s="222" t="s">
        <v>11</v>
      </c>
      <c r="F9769" s="222" t="s">
        <v>11</v>
      </c>
      <c r="G9769" s="238">
        <f>MROUND(H9769*L9769*I9769/K9769,0.00000001)</f>
        <v>5.0527099999999998E-2</v>
      </c>
      <c r="H9769" s="160">
        <f>Лист1!K298</f>
        <v>63.36</v>
      </c>
      <c r="I9769" s="159">
        <f t="shared" si="2801"/>
        <v>0.78948599999999991</v>
      </c>
      <c r="J9769" s="160"/>
      <c r="K9769" s="161">
        <f t="shared" si="2802"/>
        <v>990</v>
      </c>
      <c r="L9769" s="162">
        <v>1</v>
      </c>
      <c r="M9769" s="163" t="str">
        <f>CONCATENATE(H9769," ",F9769," ","*",I9769,"/",K9769,"чел/час")</f>
        <v>63,36 м3 *0,789486/990чел/час</v>
      </c>
      <c r="N9769" s="164">
        <f>Лист1!M298</f>
        <v>714.74810606060612</v>
      </c>
      <c r="O9769" s="280">
        <f t="shared" si="2800"/>
        <v>36.114148999999998</v>
      </c>
      <c r="P9769" s="166"/>
      <c r="Q9769" s="166">
        <f t="shared" si="2799"/>
        <v>35753.007509999996</v>
      </c>
      <c r="R9769" s="71"/>
      <c r="S9769" s="71"/>
    </row>
    <row r="9770" spans="1:20" s="61" customFormat="1" ht="63" x14ac:dyDescent="0.25">
      <c r="A9770" s="358"/>
      <c r="B9770" s="361"/>
      <c r="C9770" s="364"/>
      <c r="D9770" s="222" t="s">
        <v>24</v>
      </c>
      <c r="E9770" s="222" t="s">
        <v>25</v>
      </c>
      <c r="F9770" s="222" t="s">
        <v>248</v>
      </c>
      <c r="G9770" s="238">
        <f>MROUND(H9770*L9770*I9770/K9770,0.00000001)</f>
        <v>3.1898400000000002E-3</v>
      </c>
      <c r="H9770" s="160">
        <f>Лист1!K299</f>
        <v>4</v>
      </c>
      <c r="I9770" s="159">
        <f t="shared" si="2801"/>
        <v>0.78948599999999991</v>
      </c>
      <c r="J9770" s="160"/>
      <c r="K9770" s="161">
        <f t="shared" si="2802"/>
        <v>990</v>
      </c>
      <c r="L9770" s="250">
        <v>1</v>
      </c>
      <c r="M9770" s="163" t="str">
        <f>CONCATENATE(H9770," ",F9770,"(потребность из расчета 4 контейнера для уборки территории весной и осенью на 1 учреждение)","*",I9770,"/",K9770,"чел/час")</f>
        <v>4 контейнеров(потребность из расчета 4 контейнера для уборки территории весной и осенью на 1 учреждение)*0,789486/990чел/час</v>
      </c>
      <c r="N9770" s="278">
        <f>Лист1!M299</f>
        <v>5717.9849999999997</v>
      </c>
      <c r="O9770" s="280">
        <f t="shared" si="2800"/>
        <v>18.239456999999998</v>
      </c>
      <c r="P9770" s="166"/>
      <c r="Q9770" s="166">
        <f t="shared" si="2799"/>
        <v>18057.062429999998</v>
      </c>
      <c r="R9770" s="71"/>
      <c r="T9770" s="71"/>
    </row>
    <row r="9771" spans="1:20" s="62" customFormat="1" x14ac:dyDescent="0.25">
      <c r="A9771" s="358"/>
      <c r="B9771" s="361"/>
      <c r="C9771" s="218" t="s">
        <v>290</v>
      </c>
      <c r="D9771" s="226"/>
      <c r="E9771" s="226"/>
      <c r="F9771" s="226"/>
      <c r="G9771" s="227"/>
      <c r="H9771" s="228"/>
      <c r="I9771" s="206"/>
      <c r="J9771" s="228"/>
      <c r="K9771" s="207"/>
      <c r="L9771" s="257"/>
      <c r="M9771" s="209"/>
      <c r="N9771" s="281"/>
      <c r="O9771" s="279">
        <f>SUM(O9764:O9770)</f>
        <v>655.94993699999998</v>
      </c>
      <c r="P9771" s="267"/>
      <c r="Q9771" s="166"/>
      <c r="R9771" s="71"/>
    </row>
    <row r="9772" spans="1:20" s="61" customFormat="1" x14ac:dyDescent="0.25">
      <c r="A9772" s="358"/>
      <c r="B9772" s="361"/>
      <c r="C9772" s="221"/>
      <c r="D9772" s="356" t="s">
        <v>14</v>
      </c>
      <c r="E9772" s="356"/>
      <c r="F9772" s="356"/>
      <c r="G9772" s="356"/>
      <c r="H9772" s="188"/>
      <c r="I9772" s="159"/>
      <c r="J9772" s="188"/>
      <c r="K9772" s="161"/>
      <c r="L9772" s="250"/>
      <c r="M9772" s="230"/>
      <c r="N9772" s="278"/>
      <c r="O9772" s="279">
        <f>O9776+O9780+O9782</f>
        <v>0</v>
      </c>
      <c r="P9772" s="166"/>
      <c r="Q9772" s="166">
        <f t="shared" ref="Q9772" si="2803">O9772*K9772</f>
        <v>0</v>
      </c>
      <c r="R9772" s="71"/>
    </row>
    <row r="9773" spans="1:20" s="61" customFormat="1" x14ac:dyDescent="0.25">
      <c r="A9773" s="358"/>
      <c r="B9773" s="361"/>
      <c r="C9773" s="365" t="s">
        <v>379</v>
      </c>
      <c r="D9773" s="231" t="s">
        <v>49</v>
      </c>
      <c r="E9773" s="231" t="s">
        <v>22</v>
      </c>
      <c r="F9773" s="231" t="s">
        <v>22</v>
      </c>
      <c r="G9773" s="238">
        <f>MROUND(H9773*L9773*I9773/K9773,0.00000001)</f>
        <v>0</v>
      </c>
      <c r="H9773" s="160"/>
      <c r="I9773" s="159">
        <f>I9768</f>
        <v>0.78948599999999991</v>
      </c>
      <c r="J9773" s="160"/>
      <c r="K9773" s="161">
        <f>K9768</f>
        <v>990</v>
      </c>
      <c r="L9773" s="250"/>
      <c r="M9773" s="163"/>
      <c r="N9773" s="278"/>
      <c r="O9773" s="280">
        <f>MROUND(N9773*G9773,0.000001)</f>
        <v>0</v>
      </c>
      <c r="P9773" s="166"/>
      <c r="Q9773" s="166">
        <f>O9773*K9773</f>
        <v>0</v>
      </c>
      <c r="R9773" s="71"/>
      <c r="T9773" s="71"/>
    </row>
    <row r="9774" spans="1:20" s="61" customFormat="1" x14ac:dyDescent="0.25">
      <c r="A9774" s="358"/>
      <c r="B9774" s="361"/>
      <c r="C9774" s="366"/>
      <c r="D9774" s="231" t="s">
        <v>49</v>
      </c>
      <c r="E9774" s="231" t="s">
        <v>28</v>
      </c>
      <c r="F9774" s="231" t="s">
        <v>28</v>
      </c>
      <c r="G9774" s="238">
        <f>MROUND(H9774*L9774*I9774/K9774,0.0000000001)</f>
        <v>0</v>
      </c>
      <c r="H9774" s="160"/>
      <c r="I9774" s="159">
        <f>I9768</f>
        <v>0.78948599999999991</v>
      </c>
      <c r="J9774" s="160"/>
      <c r="K9774" s="161">
        <f>K9768</f>
        <v>990</v>
      </c>
      <c r="L9774" s="250">
        <v>1</v>
      </c>
      <c r="M9774" s="163"/>
      <c r="N9774" s="278"/>
      <c r="O9774" s="280">
        <f>MROUND(N9774*G9774,0.000001)</f>
        <v>0</v>
      </c>
      <c r="P9774" s="166"/>
      <c r="Q9774" s="166">
        <f>O9774*K9774</f>
        <v>0</v>
      </c>
      <c r="R9774" s="71"/>
      <c r="T9774" s="71"/>
    </row>
    <row r="9775" spans="1:20" s="61" customFormat="1" x14ac:dyDescent="0.25">
      <c r="A9775" s="358"/>
      <c r="B9775" s="361"/>
      <c r="C9775" s="367"/>
      <c r="D9775" s="231" t="s">
        <v>49</v>
      </c>
      <c r="E9775" s="231" t="s">
        <v>101</v>
      </c>
      <c r="F9775" s="231" t="s">
        <v>101</v>
      </c>
      <c r="G9775" s="238">
        <f>MROUND(H9775*L9775*I9775/K9775,0.0000000001)</f>
        <v>0</v>
      </c>
      <c r="H9775" s="160"/>
      <c r="I9775" s="159">
        <f>I9773</f>
        <v>0.78948599999999991</v>
      </c>
      <c r="J9775" s="160"/>
      <c r="K9775" s="161">
        <f>K9773</f>
        <v>990</v>
      </c>
      <c r="L9775" s="250">
        <v>1</v>
      </c>
      <c r="M9775" s="163"/>
      <c r="N9775" s="278"/>
      <c r="O9775" s="280">
        <f>MROUND(N9775*G9775,0.000001)</f>
        <v>0</v>
      </c>
      <c r="P9775" s="166"/>
      <c r="Q9775" s="166">
        <f>O9775*K9775</f>
        <v>0</v>
      </c>
      <c r="R9775" s="71"/>
      <c r="T9775" s="71"/>
    </row>
    <row r="9776" spans="1:20" s="62" customFormat="1" x14ac:dyDescent="0.25">
      <c r="A9776" s="358"/>
      <c r="B9776" s="361"/>
      <c r="C9776" s="218" t="s">
        <v>380</v>
      </c>
      <c r="D9776" s="232"/>
      <c r="E9776" s="232"/>
      <c r="F9776" s="232"/>
      <c r="G9776" s="227"/>
      <c r="H9776" s="228"/>
      <c r="I9776" s="206"/>
      <c r="J9776" s="228"/>
      <c r="K9776" s="207"/>
      <c r="L9776" s="257"/>
      <c r="M9776" s="209"/>
      <c r="N9776" s="281"/>
      <c r="O9776" s="279">
        <f>O9773+O9775+O9774</f>
        <v>0</v>
      </c>
      <c r="P9776" s="267"/>
      <c r="Q9776" s="166"/>
      <c r="R9776" s="71"/>
    </row>
    <row r="9777" spans="1:20" s="61" customFormat="1" x14ac:dyDescent="0.25">
      <c r="A9777" s="358"/>
      <c r="B9777" s="361"/>
      <c r="C9777" s="365" t="s">
        <v>76</v>
      </c>
      <c r="D9777" s="231" t="s">
        <v>49</v>
      </c>
      <c r="E9777" s="231" t="s">
        <v>22</v>
      </c>
      <c r="F9777" s="231" t="s">
        <v>22</v>
      </c>
      <c r="G9777" s="238">
        <f>MROUND(H9777*L9777*I9777/K9777,0.00000001)</f>
        <v>0</v>
      </c>
      <c r="H9777" s="160"/>
      <c r="I9777" s="159">
        <f>I9775</f>
        <v>0.78948599999999991</v>
      </c>
      <c r="J9777" s="160"/>
      <c r="K9777" s="161">
        <f>K9775</f>
        <v>990</v>
      </c>
      <c r="L9777" s="250">
        <v>1</v>
      </c>
      <c r="M9777" s="163"/>
      <c r="N9777" s="278"/>
      <c r="O9777" s="280">
        <f>MROUND(N9777*G9777,0.000001)</f>
        <v>0</v>
      </c>
      <c r="P9777" s="166"/>
      <c r="Q9777" s="166">
        <f t="shared" ref="Q9777" si="2804">O9777*K9777</f>
        <v>0</v>
      </c>
      <c r="R9777" s="71"/>
      <c r="T9777" s="71"/>
    </row>
    <row r="9778" spans="1:20" s="61" customFormat="1" x14ac:dyDescent="0.25">
      <c r="A9778" s="358"/>
      <c r="B9778" s="361"/>
      <c r="C9778" s="366"/>
      <c r="D9778" s="231" t="s">
        <v>49</v>
      </c>
      <c r="E9778" s="231" t="s">
        <v>28</v>
      </c>
      <c r="F9778" s="231" t="s">
        <v>28</v>
      </c>
      <c r="G9778" s="238">
        <f>MROUND(H9778*L9778*I9778/K9778,0.0000000001)</f>
        <v>0</v>
      </c>
      <c r="H9778" s="160"/>
      <c r="I9778" s="159">
        <f>I9777</f>
        <v>0.78948599999999991</v>
      </c>
      <c r="J9778" s="160"/>
      <c r="K9778" s="161">
        <f>K9777</f>
        <v>990</v>
      </c>
      <c r="L9778" s="250">
        <v>1</v>
      </c>
      <c r="M9778" s="163"/>
      <c r="N9778" s="278"/>
      <c r="O9778" s="280">
        <f>MROUND(N9778*G9778,0.000001)</f>
        <v>0</v>
      </c>
      <c r="P9778" s="166"/>
      <c r="Q9778" s="166">
        <f>O9778*K9778</f>
        <v>0</v>
      </c>
      <c r="R9778" s="71"/>
      <c r="T9778" s="71"/>
    </row>
    <row r="9779" spans="1:20" s="61" customFormat="1" x14ac:dyDescent="0.25">
      <c r="A9779" s="358"/>
      <c r="B9779" s="361"/>
      <c r="C9779" s="367"/>
      <c r="D9779" s="231" t="s">
        <v>49</v>
      </c>
      <c r="E9779" s="231" t="s">
        <v>101</v>
      </c>
      <c r="F9779" s="231" t="s">
        <v>101</v>
      </c>
      <c r="G9779" s="238">
        <f>MROUND(H9779*L9779*I9779/K9779,0.0000000001)</f>
        <v>0</v>
      </c>
      <c r="H9779" s="160"/>
      <c r="I9779" s="159">
        <f t="shared" ref="I9779" si="2805">I9777</f>
        <v>0.78948599999999991</v>
      </c>
      <c r="J9779" s="160"/>
      <c r="K9779" s="161">
        <f t="shared" ref="K9779" si="2806">K9777</f>
        <v>990</v>
      </c>
      <c r="L9779" s="250">
        <v>1</v>
      </c>
      <c r="M9779" s="163"/>
      <c r="N9779" s="278"/>
      <c r="O9779" s="280">
        <f>MROUND(N9779*G9779,0.000001)</f>
        <v>0</v>
      </c>
      <c r="P9779" s="166"/>
      <c r="Q9779" s="166">
        <f t="shared" ref="Q9779" si="2807">O9779*K9779</f>
        <v>0</v>
      </c>
      <c r="R9779" s="71"/>
      <c r="T9779" s="71"/>
    </row>
    <row r="9780" spans="1:20" s="62" customFormat="1" x14ac:dyDescent="0.25">
      <c r="A9780" s="358"/>
      <c r="B9780" s="361"/>
      <c r="C9780" s="218" t="s">
        <v>291</v>
      </c>
      <c r="D9780" s="232"/>
      <c r="E9780" s="232"/>
      <c r="F9780" s="232"/>
      <c r="G9780" s="227"/>
      <c r="H9780" s="228"/>
      <c r="I9780" s="206"/>
      <c r="J9780" s="228"/>
      <c r="K9780" s="207"/>
      <c r="L9780" s="257"/>
      <c r="M9780" s="209"/>
      <c r="N9780" s="281"/>
      <c r="O9780" s="279">
        <f>O9777+O9779+O9778</f>
        <v>0</v>
      </c>
      <c r="P9780" s="267"/>
      <c r="Q9780" s="166"/>
      <c r="R9780" s="71"/>
    </row>
    <row r="9781" spans="1:20" s="61" customFormat="1" x14ac:dyDescent="0.25">
      <c r="A9781" s="358"/>
      <c r="B9781" s="361"/>
      <c r="C9781" s="221" t="s">
        <v>77</v>
      </c>
      <c r="D9781" s="231"/>
      <c r="E9781" s="231"/>
      <c r="F9781" s="231"/>
      <c r="G9781" s="238"/>
      <c r="H9781" s="160"/>
      <c r="I9781" s="159">
        <f>I9777</f>
        <v>0.78948599999999991</v>
      </c>
      <c r="J9781" s="160"/>
      <c r="K9781" s="161"/>
      <c r="L9781" s="250"/>
      <c r="M9781" s="163"/>
      <c r="N9781" s="278"/>
      <c r="O9781" s="280">
        <f>MROUND(N9781*G9781,0.000001)</f>
        <v>0</v>
      </c>
      <c r="P9781" s="166"/>
      <c r="Q9781" s="166">
        <f t="shared" ref="Q9781" si="2808">O9781*K9781</f>
        <v>0</v>
      </c>
      <c r="R9781" s="71"/>
      <c r="T9781" s="71"/>
    </row>
    <row r="9782" spans="1:20" s="62" customFormat="1" x14ac:dyDescent="0.25">
      <c r="A9782" s="358"/>
      <c r="B9782" s="361"/>
      <c r="C9782" s="218" t="s">
        <v>292</v>
      </c>
      <c r="D9782" s="232"/>
      <c r="E9782" s="232"/>
      <c r="F9782" s="232"/>
      <c r="G9782" s="227"/>
      <c r="H9782" s="228"/>
      <c r="I9782" s="206"/>
      <c r="J9782" s="228"/>
      <c r="K9782" s="207"/>
      <c r="L9782" s="257"/>
      <c r="M9782" s="209"/>
      <c r="N9782" s="281"/>
      <c r="O9782" s="279">
        <f>O9781</f>
        <v>0</v>
      </c>
      <c r="P9782" s="267"/>
      <c r="Q9782" s="166"/>
      <c r="R9782" s="71"/>
    </row>
    <row r="9783" spans="1:20" s="61" customFormat="1" x14ac:dyDescent="0.25">
      <c r="A9783" s="358"/>
      <c r="B9783" s="361"/>
      <c r="C9783" s="221"/>
      <c r="D9783" s="350" t="s">
        <v>65</v>
      </c>
      <c r="E9783" s="350"/>
      <c r="F9783" s="350"/>
      <c r="G9783" s="350"/>
      <c r="H9783" s="195"/>
      <c r="I9783" s="159"/>
      <c r="J9783" s="195"/>
      <c r="K9783" s="161"/>
      <c r="L9783" s="196"/>
      <c r="M9783" s="230"/>
      <c r="N9783" s="278"/>
      <c r="O9783" s="280"/>
      <c r="P9783" s="166"/>
      <c r="Q9783" s="166">
        <f t="shared" ref="Q9783:Q9790" si="2809">O9783*K9783</f>
        <v>0</v>
      </c>
      <c r="R9783" s="71"/>
    </row>
    <row r="9784" spans="1:20" s="61" customFormat="1" x14ac:dyDescent="0.25">
      <c r="A9784" s="358"/>
      <c r="B9784" s="361"/>
      <c r="C9784" s="221"/>
      <c r="D9784" s="194"/>
      <c r="E9784" s="194"/>
      <c r="F9784" s="194"/>
      <c r="G9784" s="217"/>
      <c r="H9784" s="195"/>
      <c r="I9784" s="159"/>
      <c r="J9784" s="195"/>
      <c r="K9784" s="161"/>
      <c r="L9784" s="196"/>
      <c r="M9784" s="230"/>
      <c r="N9784" s="278"/>
      <c r="O9784" s="280"/>
      <c r="P9784" s="166"/>
      <c r="Q9784" s="166">
        <f t="shared" si="2809"/>
        <v>0</v>
      </c>
      <c r="R9784" s="71"/>
    </row>
    <row r="9785" spans="1:20" s="61" customFormat="1" x14ac:dyDescent="0.25">
      <c r="A9785" s="358"/>
      <c r="B9785" s="361"/>
      <c r="C9785" s="221" t="s">
        <v>357</v>
      </c>
      <c r="D9785" s="368" t="s">
        <v>66</v>
      </c>
      <c r="E9785" s="368"/>
      <c r="F9785" s="368"/>
      <c r="G9785" s="368"/>
      <c r="H9785" s="195"/>
      <c r="I9785" s="159"/>
      <c r="J9785" s="195"/>
      <c r="K9785" s="161"/>
      <c r="L9785" s="196"/>
      <c r="M9785" s="230"/>
      <c r="N9785" s="278"/>
      <c r="O9785" s="279">
        <f>O9786+O9787+O9788+O9790+O9789</f>
        <v>144.761822</v>
      </c>
      <c r="P9785" s="166"/>
      <c r="Q9785" s="166">
        <f t="shared" si="2809"/>
        <v>0</v>
      </c>
      <c r="R9785" s="71"/>
    </row>
    <row r="9786" spans="1:20" s="61" customFormat="1" x14ac:dyDescent="0.25">
      <c r="A9786" s="358"/>
      <c r="B9786" s="361"/>
      <c r="C9786" s="365"/>
      <c r="D9786" s="284" t="s">
        <v>241</v>
      </c>
      <c r="E9786" s="156" t="s">
        <v>28</v>
      </c>
      <c r="F9786" s="156" t="s">
        <v>28</v>
      </c>
      <c r="G9786" s="238">
        <f>MROUND(H9786*L9786*I9786/K9786,0.000000001)</f>
        <v>4.7847636000000006E-2</v>
      </c>
      <c r="H9786" s="158">
        <f>Лист1!K286</f>
        <v>5</v>
      </c>
      <c r="I9786" s="159">
        <f>I9781</f>
        <v>0.78948599999999991</v>
      </c>
      <c r="J9786" s="160"/>
      <c r="K9786" s="161">
        <f>K9779</f>
        <v>990</v>
      </c>
      <c r="L9786" s="250">
        <v>12</v>
      </c>
      <c r="M9786" s="163" t="str">
        <f>CONCATENATE(H9786," ",F9786,"*",L9786,"мес.","*",I9786,"/",K9786,"чел/час")</f>
        <v>5 шт*12мес.*0,789486/990чел/час</v>
      </c>
      <c r="N9786" s="278">
        <f>Лист1!M286</f>
        <v>303.07650000000001</v>
      </c>
      <c r="O9786" s="280">
        <f>MROUND(N9786*G9786,0.000001)</f>
        <v>14.501493999999999</v>
      </c>
      <c r="P9786" s="166"/>
      <c r="Q9786" s="166">
        <f t="shared" si="2809"/>
        <v>14356.47906</v>
      </c>
      <c r="R9786" s="71"/>
      <c r="T9786" s="71"/>
    </row>
    <row r="9787" spans="1:20" s="61" customFormat="1" x14ac:dyDescent="0.25">
      <c r="A9787" s="358"/>
      <c r="B9787" s="361"/>
      <c r="C9787" s="366"/>
      <c r="D9787" s="284" t="s">
        <v>242</v>
      </c>
      <c r="E9787" s="156" t="s">
        <v>243</v>
      </c>
      <c r="F9787" s="156" t="s">
        <v>243</v>
      </c>
      <c r="G9787" s="238">
        <f>MROUND(H9787*L9787*I9787/K9787,0.00000001)</f>
        <v>67.292915780000001</v>
      </c>
      <c r="H9787" s="158">
        <f>Лист1!K287</f>
        <v>7032</v>
      </c>
      <c r="I9787" s="159">
        <f>I9786</f>
        <v>0.78948599999999991</v>
      </c>
      <c r="J9787" s="160"/>
      <c r="K9787" s="161">
        <f>K9786</f>
        <v>990</v>
      </c>
      <c r="L9787" s="250">
        <v>12</v>
      </c>
      <c r="M9787" s="163" t="str">
        <f>CONCATENATE(H9787," ",F9787,"*",L9787,"мес.","*",I9787,"/",K9787,"чел/час")</f>
        <v>7032 мин.*12мес.*0,789486/990чел/час</v>
      </c>
      <c r="N9787" s="278">
        <f>Лист1!M287</f>
        <v>0.85373684584755394</v>
      </c>
      <c r="O9787" s="280">
        <f>MROUND(N9787*G9787,0.000001)</f>
        <v>57.450441999999995</v>
      </c>
      <c r="P9787" s="166"/>
      <c r="Q9787" s="166">
        <f t="shared" si="2809"/>
        <v>56875.937579999998</v>
      </c>
      <c r="R9787" s="71"/>
      <c r="T9787" s="71"/>
    </row>
    <row r="9788" spans="1:20" s="61" customFormat="1" ht="31.5" x14ac:dyDescent="0.25">
      <c r="A9788" s="358"/>
      <c r="B9788" s="361"/>
      <c r="C9788" s="366"/>
      <c r="D9788" s="285" t="s">
        <v>244</v>
      </c>
      <c r="E9788" s="286" t="s">
        <v>245</v>
      </c>
      <c r="F9788" s="286" t="s">
        <v>247</v>
      </c>
      <c r="G9788" s="238">
        <f>MROUND(H9788*L9788*I9788/K9788,0.000001)</f>
        <v>9.5700000000000004E-3</v>
      </c>
      <c r="H9788" s="158">
        <v>1</v>
      </c>
      <c r="I9788" s="159">
        <f>I9787</f>
        <v>0.78948599999999991</v>
      </c>
      <c r="J9788" s="160"/>
      <c r="K9788" s="161">
        <f>K9787</f>
        <v>990</v>
      </c>
      <c r="L9788" s="250">
        <v>12</v>
      </c>
      <c r="M9788" s="163" t="str">
        <f>CONCATENATE(H9788," ",F9788,"*",L9788,"мес.","*",I9788,"/",K9788,"чел/час")</f>
        <v>1 радиоточек*12мес.*0,789486/990чел/час</v>
      </c>
      <c r="N9788" s="278">
        <f>Лист1!M288</f>
        <v>180.23333333333335</v>
      </c>
      <c r="O9788" s="280">
        <f>MROUND(N9788*G9788,0.000001)</f>
        <v>1.7248329999999998</v>
      </c>
      <c r="P9788" s="166"/>
      <c r="Q9788" s="166">
        <f t="shared" si="2809"/>
        <v>1707.5846699999997</v>
      </c>
      <c r="R9788" s="71"/>
      <c r="S9788" s="71"/>
    </row>
    <row r="9789" spans="1:20" s="61" customFormat="1" ht="47.25" x14ac:dyDescent="0.25">
      <c r="A9789" s="358"/>
      <c r="B9789" s="361"/>
      <c r="C9789" s="366"/>
      <c r="D9789" s="285" t="s">
        <v>374</v>
      </c>
      <c r="E9789" s="156" t="s">
        <v>28</v>
      </c>
      <c r="F9789" s="156" t="s">
        <v>28</v>
      </c>
      <c r="G9789" s="238">
        <f>MROUND(H9789*L9789*I9789/K9789,0.000001)</f>
        <v>1.9139E-2</v>
      </c>
      <c r="H9789" s="158">
        <f>Лист1!K290</f>
        <v>6</v>
      </c>
      <c r="I9789" s="159">
        <f>I9787</f>
        <v>0.78948599999999991</v>
      </c>
      <c r="J9789" s="160"/>
      <c r="K9789" s="161">
        <f>K9787</f>
        <v>990</v>
      </c>
      <c r="L9789" s="250">
        <v>4</v>
      </c>
      <c r="M9789" s="163" t="str">
        <f>CONCATENATE(H9789," ",F9789,"*",L9789,"мес.","*",I9789,"/",K9789,"чел/час")</f>
        <v>6 шт*4мес.*0,789486/990чел/час</v>
      </c>
      <c r="N9789" s="278">
        <f>Лист1!M290</f>
        <v>1366.3704166666666</v>
      </c>
      <c r="O9789" s="280">
        <f>MROUND(N9789*G9789,0.000001)</f>
        <v>26.150962999999997</v>
      </c>
      <c r="P9789" s="166"/>
      <c r="Q9789" s="166">
        <f t="shared" si="2809"/>
        <v>25889.453369999996</v>
      </c>
      <c r="R9789" s="71"/>
    </row>
    <row r="9790" spans="1:20" s="61" customFormat="1" x14ac:dyDescent="0.25">
      <c r="A9790" s="358"/>
      <c r="B9790" s="361"/>
      <c r="C9790" s="367"/>
      <c r="D9790" s="284" t="s">
        <v>246</v>
      </c>
      <c r="E9790" s="156" t="s">
        <v>28</v>
      </c>
      <c r="F9790" s="156" t="s">
        <v>28</v>
      </c>
      <c r="G9790" s="238">
        <f>MROUND(H9790*L9790*I9790/K9790,0.0000001)</f>
        <v>9.5694999999999999E-3</v>
      </c>
      <c r="H9790" s="158">
        <v>1</v>
      </c>
      <c r="I9790" s="159">
        <f>I9788</f>
        <v>0.78948599999999991</v>
      </c>
      <c r="J9790" s="160"/>
      <c r="K9790" s="161">
        <f>K9788</f>
        <v>990</v>
      </c>
      <c r="L9790" s="250">
        <v>12</v>
      </c>
      <c r="M9790" s="163" t="str">
        <f>CONCATENATE(H9790," ",F9790,"*",L9790,"мес.","*",I9790,"/",K9790,"чел/час")</f>
        <v>1 шт*12мес.*0,789486/990чел/час</v>
      </c>
      <c r="N9790" s="278">
        <f>Лист1!M289</f>
        <v>4695.5525000000007</v>
      </c>
      <c r="O9790" s="280">
        <f>MROUND(N9790*G9790,0.000001)</f>
        <v>44.934089999999998</v>
      </c>
      <c r="P9790" s="166"/>
      <c r="Q9790" s="166">
        <f t="shared" si="2809"/>
        <v>44484.749100000001</v>
      </c>
      <c r="R9790" s="71"/>
    </row>
    <row r="9791" spans="1:20" s="62" customFormat="1" x14ac:dyDescent="0.25">
      <c r="A9791" s="358"/>
      <c r="B9791" s="361"/>
      <c r="C9791" s="218" t="s">
        <v>358</v>
      </c>
      <c r="D9791" s="287"/>
      <c r="E9791" s="287"/>
      <c r="F9791" s="287"/>
      <c r="G9791" s="288"/>
      <c r="H9791" s="214"/>
      <c r="I9791" s="206"/>
      <c r="J9791" s="214"/>
      <c r="K9791" s="207"/>
      <c r="L9791" s="215"/>
      <c r="M9791" s="289"/>
      <c r="N9791" s="281"/>
      <c r="O9791" s="279">
        <f>O9785</f>
        <v>144.761822</v>
      </c>
      <c r="P9791" s="267"/>
      <c r="Q9791" s="166"/>
      <c r="R9791" s="71"/>
    </row>
    <row r="9792" spans="1:20" s="61" customFormat="1" x14ac:dyDescent="0.25">
      <c r="A9792" s="358"/>
      <c r="B9792" s="361"/>
      <c r="C9792" s="221"/>
      <c r="D9792" s="368" t="s">
        <v>67</v>
      </c>
      <c r="E9792" s="368"/>
      <c r="F9792" s="368"/>
      <c r="G9792" s="368"/>
      <c r="H9792" s="195"/>
      <c r="I9792" s="159"/>
      <c r="J9792" s="195"/>
      <c r="K9792" s="161"/>
      <c r="L9792" s="196"/>
      <c r="M9792" s="230"/>
      <c r="N9792" s="278"/>
      <c r="O9792" s="280"/>
      <c r="P9792" s="166"/>
      <c r="Q9792" s="166">
        <f t="shared" ref="Q9792:Q9802" si="2810">O9792*K9792</f>
        <v>0</v>
      </c>
      <c r="R9792" s="71"/>
    </row>
    <row r="9793" spans="1:41" s="61" customFormat="1" x14ac:dyDescent="0.25">
      <c r="A9793" s="358"/>
      <c r="B9793" s="361"/>
      <c r="C9793" s="221"/>
      <c r="D9793" s="194"/>
      <c r="E9793" s="194"/>
      <c r="F9793" s="194"/>
      <c r="G9793" s="217"/>
      <c r="H9793" s="195"/>
      <c r="I9793" s="159"/>
      <c r="J9793" s="195"/>
      <c r="K9793" s="161"/>
      <c r="L9793" s="196"/>
      <c r="M9793" s="230"/>
      <c r="N9793" s="278"/>
      <c r="O9793" s="280"/>
      <c r="P9793" s="166"/>
      <c r="Q9793" s="166">
        <f t="shared" si="2810"/>
        <v>0</v>
      </c>
      <c r="R9793" s="71"/>
    </row>
    <row r="9794" spans="1:41" s="61" customFormat="1" x14ac:dyDescent="0.25">
      <c r="A9794" s="358"/>
      <c r="B9794" s="361"/>
      <c r="C9794" s="221"/>
      <c r="D9794" s="350" t="s">
        <v>68</v>
      </c>
      <c r="E9794" s="350"/>
      <c r="F9794" s="350"/>
      <c r="G9794" s="350"/>
      <c r="H9794" s="195"/>
      <c r="I9794" s="159"/>
      <c r="J9794" s="195"/>
      <c r="K9794" s="161"/>
      <c r="L9794" s="196"/>
      <c r="M9794" s="230"/>
      <c r="N9794" s="278"/>
      <c r="O9794" s="280"/>
      <c r="P9794" s="166"/>
      <c r="Q9794" s="166">
        <f t="shared" si="2810"/>
        <v>0</v>
      </c>
      <c r="R9794" s="71"/>
    </row>
    <row r="9795" spans="1:41" s="61" customFormat="1" x14ac:dyDescent="0.25">
      <c r="A9795" s="358"/>
      <c r="B9795" s="361"/>
      <c r="C9795" s="221"/>
      <c r="D9795" s="156"/>
      <c r="E9795" s="156"/>
      <c r="F9795" s="156"/>
      <c r="G9795" s="236"/>
      <c r="H9795" s="195"/>
      <c r="I9795" s="159"/>
      <c r="J9795" s="195"/>
      <c r="K9795" s="161"/>
      <c r="L9795" s="196"/>
      <c r="M9795" s="230"/>
      <c r="N9795" s="278"/>
      <c r="O9795" s="280"/>
      <c r="P9795" s="166"/>
      <c r="Q9795" s="166">
        <f t="shared" si="2810"/>
        <v>0</v>
      </c>
      <c r="R9795" s="71"/>
    </row>
    <row r="9796" spans="1:41" s="61" customFormat="1" x14ac:dyDescent="0.25">
      <c r="A9796" s="358"/>
      <c r="B9796" s="361"/>
      <c r="C9796" s="221"/>
      <c r="D9796" s="368" t="s">
        <v>69</v>
      </c>
      <c r="E9796" s="368"/>
      <c r="F9796" s="368"/>
      <c r="G9796" s="368"/>
      <c r="H9796" s="187"/>
      <c r="I9796" s="159"/>
      <c r="J9796" s="187"/>
      <c r="K9796" s="161"/>
      <c r="L9796" s="276"/>
      <c r="M9796" s="230"/>
      <c r="N9796" s="278"/>
      <c r="O9796" s="279">
        <f>O9803+O9810+O9814+O9832+O9834+O9836+O9842+O9844+O9847</f>
        <v>929.37885200000005</v>
      </c>
      <c r="P9796" s="166"/>
      <c r="Q9796" s="166">
        <f t="shared" si="2810"/>
        <v>0</v>
      </c>
      <c r="R9796" s="71"/>
    </row>
    <row r="9797" spans="1:41" s="61" customFormat="1" ht="31.5" x14ac:dyDescent="0.25">
      <c r="A9797" s="358"/>
      <c r="B9797" s="361"/>
      <c r="C9797" s="365" t="s">
        <v>78</v>
      </c>
      <c r="D9797" s="156" t="s">
        <v>26</v>
      </c>
      <c r="E9797" s="156" t="s">
        <v>22</v>
      </c>
      <c r="F9797" s="156" t="s">
        <v>22</v>
      </c>
      <c r="G9797" s="238">
        <f>MROUND(H9797*L9797*I9797/K9797,0.000000001)</f>
        <v>6.6986690910000002</v>
      </c>
      <c r="H9797" s="158">
        <f>Лист1!K307</f>
        <v>700</v>
      </c>
      <c r="I9797" s="159">
        <f>I9790</f>
        <v>0.78948599999999991</v>
      </c>
      <c r="J9797" s="160"/>
      <c r="K9797" s="161">
        <f>K9790</f>
        <v>990</v>
      </c>
      <c r="L9797" s="250">
        <v>12</v>
      </c>
      <c r="M9797" s="163" t="str">
        <f>CONCATENATE(H9797," ",F9797,"(обрабатываемая площадь в мес.)","*",L9797,"мес.","*",I9797,"/",K9797,"чел/час")</f>
        <v>700 м2(обрабатываемая площадь в мес.)*12мес.*0,789486/990чел/час</v>
      </c>
      <c r="N9797" s="278">
        <f>Лист1!M307</f>
        <v>1.2568904761904764</v>
      </c>
      <c r="O9797" s="280">
        <f>MROUND(N9797*G9797,0.000001)</f>
        <v>8.4194929999999992</v>
      </c>
      <c r="P9797" s="166"/>
      <c r="Q9797" s="166">
        <f t="shared" si="2810"/>
        <v>8335.2980699999989</v>
      </c>
      <c r="R9797" s="71"/>
      <c r="S9797" s="71"/>
    </row>
    <row r="9798" spans="1:41" s="61" customFormat="1" ht="31.5" x14ac:dyDescent="0.25">
      <c r="A9798" s="358"/>
      <c r="B9798" s="361"/>
      <c r="C9798" s="366"/>
      <c r="D9798" s="156" t="s">
        <v>96</v>
      </c>
      <c r="E9798" s="156" t="s">
        <v>22</v>
      </c>
      <c r="F9798" s="156" t="s">
        <v>22</v>
      </c>
      <c r="G9798" s="238">
        <f>MROUND(H9798*L9798*I9798/K9798,0.0000001)</f>
        <v>4.3062873000000002</v>
      </c>
      <c r="H9798" s="158">
        <f>Лист1!K308</f>
        <v>450</v>
      </c>
      <c r="I9798" s="159">
        <f t="shared" ref="I9798" si="2811">I9797</f>
        <v>0.78948599999999991</v>
      </c>
      <c r="J9798" s="160"/>
      <c r="K9798" s="161">
        <f t="shared" ref="K9798" si="2812">K9797</f>
        <v>990</v>
      </c>
      <c r="L9798" s="250">
        <v>12</v>
      </c>
      <c r="M9798" s="163" t="str">
        <f>CONCATENATE(H9798," ",F9798,"(обрабатываемая площадь в мес.)","*",L9798,"мес.","*",I9798,"/",K9798,"чел/час")</f>
        <v>450 м2(обрабатываемая площадь в мес.)*12мес.*0,789486/990чел/час</v>
      </c>
      <c r="N9798" s="278">
        <f>Лист1!M308</f>
        <v>2.0157666666666665</v>
      </c>
      <c r="O9798" s="280">
        <f>MROUND(N9798*G9798,0.000001)</f>
        <v>8.6804699999999997</v>
      </c>
      <c r="P9798" s="166"/>
      <c r="Q9798" s="166">
        <f t="shared" si="2810"/>
        <v>8593.6653000000006</v>
      </c>
      <c r="R9798" s="71"/>
      <c r="S9798" s="71"/>
    </row>
    <row r="9799" spans="1:41" s="135" customFormat="1" ht="31.5" x14ac:dyDescent="0.25">
      <c r="A9799" s="358"/>
      <c r="B9799" s="361"/>
      <c r="C9799" s="366"/>
      <c r="D9799" s="156" t="s">
        <v>385</v>
      </c>
      <c r="E9799" s="156" t="s">
        <v>22</v>
      </c>
      <c r="F9799" s="156" t="s">
        <v>22</v>
      </c>
      <c r="G9799" s="238">
        <f>MROUND(H9799*L9799*I9799/K9799,0.000001)</f>
        <v>13.397338</v>
      </c>
      <c r="H9799" s="242">
        <f>Лист1!K309</f>
        <v>700</v>
      </c>
      <c r="I9799" s="244">
        <f>I9797</f>
        <v>0.78948599999999991</v>
      </c>
      <c r="J9799" s="160"/>
      <c r="K9799" s="161">
        <f>K9798</f>
        <v>990</v>
      </c>
      <c r="L9799" s="162">
        <v>24</v>
      </c>
      <c r="M9799" s="163" t="str">
        <f>CONCATENATE(H9799," ",F9799,"(обрабатываемая площадь в год)","*",L9799," раза в год.","*",I9799,"/",K9799,"чел.")</f>
        <v>700 м2(обрабатываемая площадь в год)*24 раза в год.*0,789486/990чел.</v>
      </c>
      <c r="N9799" s="164">
        <f>Лист1!M309</f>
        <v>1.6007565476190475</v>
      </c>
      <c r="O9799" s="165">
        <f>MROUND(G9799*N9799,0.000001)</f>
        <v>21.445876999999999</v>
      </c>
      <c r="P9799" s="166"/>
      <c r="Q9799" s="166">
        <f t="shared" si="2810"/>
        <v>21231.418229999999</v>
      </c>
      <c r="R9799" s="71"/>
      <c r="S9799" s="61"/>
      <c r="T9799" s="61"/>
      <c r="U9799" s="61"/>
      <c r="V9799" s="61"/>
      <c r="W9799" s="61"/>
      <c r="X9799" s="61"/>
      <c r="Y9799" s="61"/>
      <c r="Z9799" s="61"/>
      <c r="AA9799" s="61"/>
      <c r="AB9799" s="61"/>
      <c r="AC9799" s="61"/>
      <c r="AD9799" s="61"/>
      <c r="AE9799" s="61"/>
      <c r="AF9799" s="61"/>
      <c r="AG9799" s="61"/>
      <c r="AH9799" s="61"/>
      <c r="AI9799" s="61"/>
      <c r="AJ9799" s="61"/>
      <c r="AK9799" s="61"/>
      <c r="AL9799" s="61"/>
      <c r="AM9799" s="61"/>
      <c r="AN9799" s="61"/>
      <c r="AO9799" s="61"/>
    </row>
    <row r="9800" spans="1:41" s="135" customFormat="1" ht="31.5" x14ac:dyDescent="0.25">
      <c r="A9800" s="358"/>
      <c r="B9800" s="361"/>
      <c r="C9800" s="366"/>
      <c r="D9800" s="156" t="s">
        <v>394</v>
      </c>
      <c r="E9800" s="156" t="s">
        <v>22</v>
      </c>
      <c r="F9800" s="156" t="s">
        <v>22</v>
      </c>
      <c r="G9800" s="238">
        <f>MROUND(H9800*L9800*I9800/K9800,0.000001)</f>
        <v>4.3062870000000002</v>
      </c>
      <c r="H9800" s="243">
        <f>Лист1!K310</f>
        <v>450</v>
      </c>
      <c r="I9800" s="244">
        <f>I9797</f>
        <v>0.78948599999999991</v>
      </c>
      <c r="J9800" s="160"/>
      <c r="K9800" s="161">
        <f>K9799</f>
        <v>990</v>
      </c>
      <c r="L9800" s="162">
        <v>12</v>
      </c>
      <c r="M9800" s="163" t="str">
        <f>CONCATENATE(H9800," ",F9800,"(обрабатываемая площадь в мес.)","*",L9800,"мес.","*",I9800,"/",K9800,"чел.")</f>
        <v>450 м2(обрабатываемая площадь в мес.)*12мес.*0,789486/990чел.</v>
      </c>
      <c r="N9800" s="164">
        <f>Лист1!M310</f>
        <v>0.92224629629629629</v>
      </c>
      <c r="O9800" s="165">
        <f>MROUND(G9800*N9800,0.000001)</f>
        <v>3.971457</v>
      </c>
      <c r="P9800" s="166"/>
      <c r="Q9800" s="166">
        <f t="shared" si="2810"/>
        <v>3931.7424300000002</v>
      </c>
      <c r="R9800" s="71"/>
      <c r="S9800" s="61"/>
      <c r="T9800" s="61"/>
      <c r="U9800" s="61"/>
      <c r="V9800" s="61"/>
      <c r="W9800" s="61"/>
      <c r="X9800" s="61"/>
      <c r="Y9800" s="61"/>
      <c r="Z9800" s="61"/>
      <c r="AA9800" s="61"/>
      <c r="AB9800" s="61"/>
      <c r="AC9800" s="61"/>
      <c r="AD9800" s="61"/>
      <c r="AE9800" s="61"/>
      <c r="AF9800" s="61"/>
      <c r="AG9800" s="61"/>
      <c r="AH9800" s="61"/>
      <c r="AI9800" s="61"/>
      <c r="AJ9800" s="61"/>
      <c r="AK9800" s="61"/>
      <c r="AL9800" s="61"/>
      <c r="AM9800" s="61"/>
      <c r="AN9800" s="61"/>
      <c r="AO9800" s="61"/>
    </row>
    <row r="9801" spans="1:41" s="135" customFormat="1" ht="31.5" x14ac:dyDescent="0.25">
      <c r="A9801" s="358"/>
      <c r="B9801" s="361"/>
      <c r="C9801" s="366"/>
      <c r="D9801" s="156" t="s">
        <v>395</v>
      </c>
      <c r="E9801" s="156" t="s">
        <v>98</v>
      </c>
      <c r="F9801" s="156" t="s">
        <v>98</v>
      </c>
      <c r="G9801" s="238">
        <f>MROUND(H9801*L9801*I9801/K9801,0.000001)</f>
        <v>3.9899999999999999E-4</v>
      </c>
      <c r="H9801" s="242">
        <f>Лист1!K312</f>
        <v>0.5</v>
      </c>
      <c r="I9801" s="244">
        <f>I9797</f>
        <v>0.78948599999999991</v>
      </c>
      <c r="J9801" s="160"/>
      <c r="K9801" s="161">
        <f>K9797</f>
        <v>990</v>
      </c>
      <c r="L9801" s="162">
        <v>1</v>
      </c>
      <c r="M9801" s="163" t="str">
        <f>CONCATENATE(H9801," ",F9801,"(обрабатываемая площадь в год)","*",L9801," раз в год","*",I9801,"/",K9801,"чел.")</f>
        <v>0,5 Га(обрабатываемая площадь в год)*1 раз в год*0,789486/990чел.</v>
      </c>
      <c r="N9801" s="164">
        <f>Лист1!M312</f>
        <v>592.88</v>
      </c>
      <c r="O9801" s="165">
        <f>MROUND(G9801*N9801,0.000001)</f>
        <v>0.23655899999999999</v>
      </c>
      <c r="P9801" s="166"/>
      <c r="Q9801" s="166">
        <f t="shared" si="2810"/>
        <v>234.19341</v>
      </c>
      <c r="R9801" s="71"/>
      <c r="S9801" s="61"/>
      <c r="T9801" s="61"/>
      <c r="U9801" s="61"/>
      <c r="V9801" s="61"/>
      <c r="W9801" s="61"/>
      <c r="X9801" s="61"/>
      <c r="Y9801" s="61"/>
      <c r="Z9801" s="61"/>
      <c r="AA9801" s="61"/>
      <c r="AB9801" s="61"/>
      <c r="AC9801" s="61"/>
      <c r="AD9801" s="61"/>
      <c r="AE9801" s="61"/>
      <c r="AF9801" s="61"/>
      <c r="AG9801" s="61"/>
      <c r="AH9801" s="61"/>
      <c r="AI9801" s="61"/>
      <c r="AJ9801" s="61"/>
      <c r="AK9801" s="61"/>
      <c r="AL9801" s="61"/>
      <c r="AM9801" s="61"/>
      <c r="AN9801" s="61"/>
      <c r="AO9801" s="61"/>
    </row>
    <row r="9802" spans="1:41" s="61" customFormat="1" ht="31.5" x14ac:dyDescent="0.25">
      <c r="A9802" s="358"/>
      <c r="B9802" s="361"/>
      <c r="C9802" s="367"/>
      <c r="D9802" s="156" t="s">
        <v>97</v>
      </c>
      <c r="E9802" s="156" t="s">
        <v>363</v>
      </c>
      <c r="F9802" s="156" t="s">
        <v>363</v>
      </c>
      <c r="G9802" s="238">
        <f>MROUND(H9802*L9802*I9802/K9802,0.0000001)</f>
        <v>3.9869999999999999E-4</v>
      </c>
      <c r="H9802" s="158">
        <f>Лист1!K311</f>
        <v>0.5</v>
      </c>
      <c r="I9802" s="159">
        <f>I9798</f>
        <v>0.78948599999999991</v>
      </c>
      <c r="J9802" s="160"/>
      <c r="K9802" s="161">
        <f>K9798</f>
        <v>990</v>
      </c>
      <c r="L9802" s="250">
        <v>1</v>
      </c>
      <c r="M9802" s="163" t="str">
        <f>CONCATENATE(H9802," ",F9802,"(обрабатываемая площадь в мес.)","*",L9802,"мес.","*",I9802,"/",K9802,"чел")</f>
        <v>0,5 га(обрабатываемая площадь в мес.)*1мес.*0,789486/990чел</v>
      </c>
      <c r="N9802" s="278">
        <f>Лист1!M311</f>
        <v>3226.5</v>
      </c>
      <c r="O9802" s="280">
        <f>MROUND(N9802*G9802,0.000001)</f>
        <v>1.2864059999999999</v>
      </c>
      <c r="P9802" s="166"/>
      <c r="Q9802" s="166">
        <f t="shared" si="2810"/>
        <v>1273.5419399999998</v>
      </c>
      <c r="R9802" s="71"/>
    </row>
    <row r="9803" spans="1:41" s="62" customFormat="1" x14ac:dyDescent="0.25">
      <c r="A9803" s="358"/>
      <c r="B9803" s="361"/>
      <c r="C9803" s="218" t="s">
        <v>294</v>
      </c>
      <c r="D9803" s="240"/>
      <c r="E9803" s="240"/>
      <c r="F9803" s="240"/>
      <c r="G9803" s="227"/>
      <c r="H9803" s="241"/>
      <c r="I9803" s="206"/>
      <c r="J9803" s="228"/>
      <c r="K9803" s="207"/>
      <c r="L9803" s="257"/>
      <c r="M9803" s="209"/>
      <c r="N9803" s="281"/>
      <c r="O9803" s="279">
        <f>SUM(O9797:O9802)</f>
        <v>44.040261999999998</v>
      </c>
      <c r="P9803" s="267"/>
      <c r="Q9803" s="166"/>
      <c r="R9803" s="71"/>
    </row>
    <row r="9804" spans="1:41" s="61" customFormat="1" ht="78.75" x14ac:dyDescent="0.25">
      <c r="A9804" s="358"/>
      <c r="B9804" s="361"/>
      <c r="C9804" s="366"/>
      <c r="D9804" s="156" t="s">
        <v>250</v>
      </c>
      <c r="E9804" s="156" t="s">
        <v>251</v>
      </c>
      <c r="F9804" s="156" t="s">
        <v>60</v>
      </c>
      <c r="G9804" s="238">
        <f>MROUND(H9804*L9804*I9804/K9804,0.00000001)</f>
        <v>9.5695299999999997E-3</v>
      </c>
      <c r="H9804" s="158">
        <v>1</v>
      </c>
      <c r="I9804" s="159">
        <f>I9802</f>
        <v>0.78948599999999991</v>
      </c>
      <c r="J9804" s="160"/>
      <c r="K9804" s="161">
        <f>K9802</f>
        <v>990</v>
      </c>
      <c r="L9804" s="250">
        <v>12</v>
      </c>
      <c r="M9804" s="163" t="str">
        <f t="shared" ref="M9804" si="2813">CONCATENATE(H9804," ",F9804,"*",I9804,"/",K9804,"чел/час")</f>
        <v>1 шт.*0,789486/990чел/час</v>
      </c>
      <c r="N9804" s="278">
        <f>Лист1!M331</f>
        <v>392.98166666666663</v>
      </c>
      <c r="O9804" s="280">
        <f>MROUND(N9804*G9804,0.000001)</f>
        <v>3.76065</v>
      </c>
      <c r="P9804" s="166"/>
      <c r="Q9804" s="166">
        <f t="shared" ref="Q9804:Q9809" si="2814">O9804*K9804</f>
        <v>3723.0435000000002</v>
      </c>
      <c r="R9804" s="71"/>
      <c r="T9804" s="71"/>
    </row>
    <row r="9805" spans="1:41" s="61" customFormat="1" ht="47.25" x14ac:dyDescent="0.25">
      <c r="A9805" s="358"/>
      <c r="B9805" s="361"/>
      <c r="C9805" s="366"/>
      <c r="D9805" s="156" t="s">
        <v>401</v>
      </c>
      <c r="E9805" s="156" t="s">
        <v>60</v>
      </c>
      <c r="F9805" s="156" t="s">
        <v>402</v>
      </c>
      <c r="G9805" s="238">
        <f>MROUND(H9805*L9805*I9805/K9805,0.000001)</f>
        <v>0</v>
      </c>
      <c r="H9805" s="158"/>
      <c r="I9805" s="159">
        <f>I9804</f>
        <v>0.78948599999999991</v>
      </c>
      <c r="J9805" s="160"/>
      <c r="K9805" s="161">
        <f>K9804</f>
        <v>990</v>
      </c>
      <c r="L9805" s="250">
        <v>1</v>
      </c>
      <c r="M9805" s="163"/>
      <c r="N9805" s="278"/>
      <c r="O9805" s="280">
        <f>MROUND(N9805*G9805,0.000001)</f>
        <v>0</v>
      </c>
      <c r="P9805" s="166"/>
      <c r="Q9805" s="166">
        <f t="shared" si="2814"/>
        <v>0</v>
      </c>
      <c r="R9805" s="71"/>
      <c r="T9805" s="71"/>
    </row>
    <row r="9806" spans="1:41" s="61" customFormat="1" ht="31.5" x14ac:dyDescent="0.25">
      <c r="A9806" s="358"/>
      <c r="B9806" s="361"/>
      <c r="C9806" s="366"/>
      <c r="D9806" s="156" t="s">
        <v>35</v>
      </c>
      <c r="E9806" s="156" t="s">
        <v>102</v>
      </c>
      <c r="F9806" s="156" t="s">
        <v>252</v>
      </c>
      <c r="G9806" s="238">
        <f>MROUND(H9806*L9806*I9806/K9806,0.00000001)</f>
        <v>0</v>
      </c>
      <c r="H9806" s="158"/>
      <c r="I9806" s="159">
        <f>I9805</f>
        <v>0.78948599999999991</v>
      </c>
      <c r="J9806" s="160"/>
      <c r="K9806" s="161">
        <f>K9805</f>
        <v>990</v>
      </c>
      <c r="L9806" s="250">
        <v>1</v>
      </c>
      <c r="M9806" s="163"/>
      <c r="N9806" s="278"/>
      <c r="O9806" s="280">
        <f>MROUND(N9806*G9806,0.000001)</f>
        <v>0</v>
      </c>
      <c r="P9806" s="166"/>
      <c r="Q9806" s="166">
        <f t="shared" si="2814"/>
        <v>0</v>
      </c>
      <c r="R9806" s="71"/>
      <c r="S9806" s="71"/>
    </row>
    <row r="9807" spans="1:41" s="61" customFormat="1" ht="31.5" x14ac:dyDescent="0.25">
      <c r="A9807" s="358"/>
      <c r="B9807" s="361"/>
      <c r="C9807" s="366"/>
      <c r="D9807" s="156" t="s">
        <v>99</v>
      </c>
      <c r="E9807" s="156" t="s">
        <v>103</v>
      </c>
      <c r="F9807" s="156" t="s">
        <v>225</v>
      </c>
      <c r="G9807" s="238">
        <f>MROUND(H9807*L9807*I9807/K9807,0.00000001)</f>
        <v>0</v>
      </c>
      <c r="H9807" s="158"/>
      <c r="I9807" s="159">
        <f>I9806</f>
        <v>0.78948599999999991</v>
      </c>
      <c r="J9807" s="160"/>
      <c r="K9807" s="161">
        <f>K9806</f>
        <v>990</v>
      </c>
      <c r="L9807" s="250">
        <v>1</v>
      </c>
      <c r="M9807" s="163"/>
      <c r="N9807" s="164">
        <f>Лист1!M6825</f>
        <v>0</v>
      </c>
      <c r="O9807" s="165">
        <f>MROUND(G9807*N9807,0.000001)</f>
        <v>0</v>
      </c>
      <c r="P9807" s="166"/>
      <c r="Q9807" s="166">
        <f t="shared" si="2814"/>
        <v>0</v>
      </c>
      <c r="R9807" s="71"/>
    </row>
    <row r="9808" spans="1:41" s="61" customFormat="1" x14ac:dyDescent="0.25">
      <c r="A9808" s="358"/>
      <c r="B9808" s="361"/>
      <c r="C9808" s="366"/>
      <c r="D9808" s="156" t="s">
        <v>27</v>
      </c>
      <c r="E9808" s="156" t="s">
        <v>28</v>
      </c>
      <c r="F9808" s="156" t="s">
        <v>28</v>
      </c>
      <c r="G9808" s="238">
        <f>MROUND(H9808*L9808*I9808/K9808,0.000001)</f>
        <v>0</v>
      </c>
      <c r="H9808" s="160"/>
      <c r="I9808" s="159">
        <f>I9806</f>
        <v>0.78948599999999991</v>
      </c>
      <c r="J9808" s="160"/>
      <c r="K9808" s="161">
        <f>K9806</f>
        <v>990</v>
      </c>
      <c r="L9808" s="250">
        <v>1</v>
      </c>
      <c r="M9808" s="163"/>
      <c r="N9808" s="278">
        <f>Лист1!M6826</f>
        <v>0</v>
      </c>
      <c r="O9808" s="280">
        <f>MROUND(N9808*G9808,0.000001)</f>
        <v>0</v>
      </c>
      <c r="P9808" s="166"/>
      <c r="Q9808" s="166">
        <f t="shared" si="2814"/>
        <v>0</v>
      </c>
      <c r="R9808" s="71"/>
      <c r="S9808" s="71"/>
    </row>
    <row r="9809" spans="1:20" s="61" customFormat="1" ht="31.5" x14ac:dyDescent="0.25">
      <c r="A9809" s="358"/>
      <c r="B9809" s="361"/>
      <c r="C9809" s="367"/>
      <c r="D9809" s="156" t="s">
        <v>104</v>
      </c>
      <c r="E9809" s="156" t="s">
        <v>105</v>
      </c>
      <c r="F9809" s="156" t="s">
        <v>226</v>
      </c>
      <c r="G9809" s="238">
        <f>MROUND(H9809*L9809*I9809/K9809,0.00000001)</f>
        <v>0</v>
      </c>
      <c r="H9809" s="160"/>
      <c r="I9809" s="159">
        <f>I9808</f>
        <v>0.78948599999999991</v>
      </c>
      <c r="J9809" s="160"/>
      <c r="K9809" s="161">
        <f>K9808</f>
        <v>990</v>
      </c>
      <c r="L9809" s="250">
        <v>1</v>
      </c>
      <c r="M9809" s="163"/>
      <c r="N9809" s="278">
        <f>Лист1!M6827</f>
        <v>0</v>
      </c>
      <c r="O9809" s="280">
        <f>MROUND(N9809*G9809,0.000001)</f>
        <v>0</v>
      </c>
      <c r="P9809" s="166"/>
      <c r="Q9809" s="166">
        <f t="shared" si="2814"/>
        <v>0</v>
      </c>
      <c r="R9809" s="71"/>
      <c r="S9809" s="71"/>
    </row>
    <row r="9810" spans="1:20" s="62" customFormat="1" x14ac:dyDescent="0.25">
      <c r="A9810" s="358"/>
      <c r="B9810" s="361"/>
      <c r="C9810" s="249" t="s">
        <v>292</v>
      </c>
      <c r="D9810" s="240"/>
      <c r="E9810" s="240"/>
      <c r="F9810" s="240"/>
      <c r="G9810" s="227"/>
      <c r="H9810" s="228"/>
      <c r="I9810" s="206"/>
      <c r="J9810" s="228"/>
      <c r="K9810" s="207"/>
      <c r="L9810" s="257"/>
      <c r="M9810" s="209"/>
      <c r="N9810" s="281"/>
      <c r="O9810" s="279">
        <f>SUM(O9804:O9809)</f>
        <v>3.76065</v>
      </c>
      <c r="P9810" s="267"/>
      <c r="Q9810" s="166"/>
      <c r="R9810" s="71"/>
    </row>
    <row r="9811" spans="1:20" s="61" customFormat="1" ht="31.5" x14ac:dyDescent="0.25">
      <c r="A9811" s="358"/>
      <c r="B9811" s="361"/>
      <c r="C9811" s="221" t="s">
        <v>79</v>
      </c>
      <c r="D9811" s="156" t="s">
        <v>37</v>
      </c>
      <c r="E9811" s="156" t="s">
        <v>61</v>
      </c>
      <c r="F9811" s="156" t="s">
        <v>254</v>
      </c>
      <c r="G9811" s="238">
        <f>MROUND(H9811*L9811*I9811/K9811,0.00000001)</f>
        <v>7.9746000000000005E-4</v>
      </c>
      <c r="H9811" s="158">
        <f>1</f>
        <v>1</v>
      </c>
      <c r="I9811" s="159">
        <f>I9809</f>
        <v>0.78948599999999991</v>
      </c>
      <c r="J9811" s="160"/>
      <c r="K9811" s="161">
        <f>K9809</f>
        <v>990</v>
      </c>
      <c r="L9811" s="250">
        <v>1</v>
      </c>
      <c r="M9811" s="163" t="str">
        <f t="shared" ref="M9811" si="2815">CONCATENATE(H9811," ",F9811,"*",I9811,"/",K9811,"чел/час")</f>
        <v>1 автобус*0,789486/990чел/час</v>
      </c>
      <c r="N9811" s="278">
        <f>Лист1!M332</f>
        <v>25403.41</v>
      </c>
      <c r="O9811" s="280">
        <f>MROUND(N9811*G9811,0.000001)</f>
        <v>20.258202999999998</v>
      </c>
      <c r="P9811" s="166"/>
      <c r="Q9811" s="166">
        <f t="shared" ref="Q9811:Q9813" si="2816">O9811*K9811</f>
        <v>20055.62097</v>
      </c>
      <c r="R9811" s="71"/>
      <c r="S9811" s="71"/>
    </row>
    <row r="9812" spans="1:20" s="61" customFormat="1" ht="31.5" x14ac:dyDescent="0.25">
      <c r="A9812" s="358"/>
      <c r="B9812" s="361"/>
      <c r="C9812" s="221"/>
      <c r="D9812" s="156" t="s">
        <v>262</v>
      </c>
      <c r="E9812" s="156" t="s">
        <v>440</v>
      </c>
      <c r="F9812" s="156" t="s">
        <v>441</v>
      </c>
      <c r="G9812" s="238">
        <f>MROUND(H9812*L9812*I9812/K9812,0.000001)</f>
        <v>3.1899999999999997E-3</v>
      </c>
      <c r="H9812" s="158">
        <f>Лист1!K333</f>
        <v>1</v>
      </c>
      <c r="I9812" s="159">
        <f>I9811</f>
        <v>0.78948599999999991</v>
      </c>
      <c r="J9812" s="160"/>
      <c r="K9812" s="161">
        <f>K9811</f>
        <v>990</v>
      </c>
      <c r="L9812" s="250">
        <v>4</v>
      </c>
      <c r="M9812" s="163" t="str">
        <f>CONCATENATE(H9812," ",F9812,"*",L9812,"раза в год","*",I9812,"/",K9812,"чел/час")</f>
        <v>1 услуга*4раза в год*0,789486/990чел/час</v>
      </c>
      <c r="N9812" s="278">
        <f>Лист1!M333</f>
        <v>26827.494999999999</v>
      </c>
      <c r="O9812" s="280">
        <f>MROUND(N9812*G9812,0.000001)</f>
        <v>85.579708999999994</v>
      </c>
      <c r="P9812" s="166"/>
      <c r="Q9812" s="166">
        <f t="shared" si="2816"/>
        <v>84723.911909999995</v>
      </c>
      <c r="R9812" s="71"/>
    </row>
    <row r="9813" spans="1:20" s="61" customFormat="1" x14ac:dyDescent="0.25">
      <c r="A9813" s="358"/>
      <c r="B9813" s="361"/>
      <c r="C9813" s="221"/>
      <c r="D9813" s="156" t="s">
        <v>255</v>
      </c>
      <c r="E9813" s="156" t="s">
        <v>28</v>
      </c>
      <c r="F9813" s="156" t="s">
        <v>28</v>
      </c>
      <c r="G9813" s="238">
        <f>MROUND(H9813*L9813*I9813/K9813,0.000001)</f>
        <v>4.4657999999999996E-2</v>
      </c>
      <c r="H9813" s="158">
        <f>Лист1!K334</f>
        <v>56</v>
      </c>
      <c r="I9813" s="159">
        <f>I9811</f>
        <v>0.78948599999999991</v>
      </c>
      <c r="J9813" s="160"/>
      <c r="K9813" s="161">
        <f>K9811</f>
        <v>990</v>
      </c>
      <c r="L9813" s="250">
        <v>1</v>
      </c>
      <c r="M9813" s="163" t="str">
        <f>CONCATENATE(H9813," ",F9813,"*",L9813,"раза в год","*",I9813,"/",K9813,"чел/час")</f>
        <v>56 шт*1раза в год*0,789486/990чел/час</v>
      </c>
      <c r="N9813" s="278">
        <f>Лист1!M334</f>
        <v>808.84785714285715</v>
      </c>
      <c r="O9813" s="280">
        <f>MROUND(N9813*G9813,0.000001)</f>
        <v>36.121527999999998</v>
      </c>
      <c r="P9813" s="166"/>
      <c r="Q9813" s="166">
        <f t="shared" si="2816"/>
        <v>35760.312719999994</v>
      </c>
      <c r="R9813" s="71"/>
      <c r="T9813" s="71"/>
    </row>
    <row r="9814" spans="1:20" s="62" customFormat="1" x14ac:dyDescent="0.25">
      <c r="A9814" s="358"/>
      <c r="B9814" s="361"/>
      <c r="C9814" s="218" t="s">
        <v>295</v>
      </c>
      <c r="D9814" s="240"/>
      <c r="E9814" s="240"/>
      <c r="F9814" s="240"/>
      <c r="G9814" s="227"/>
      <c r="H9814" s="241"/>
      <c r="I9814" s="206"/>
      <c r="J9814" s="228"/>
      <c r="K9814" s="207"/>
      <c r="L9814" s="257"/>
      <c r="M9814" s="209"/>
      <c r="N9814" s="281"/>
      <c r="O9814" s="279">
        <f>O9811+O9812+O9813</f>
        <v>141.95943999999997</v>
      </c>
      <c r="P9814" s="267"/>
      <c r="Q9814" s="166"/>
      <c r="R9814" s="71"/>
    </row>
    <row r="9815" spans="1:20" s="61" customFormat="1" x14ac:dyDescent="0.25">
      <c r="A9815" s="358"/>
      <c r="B9815" s="361"/>
      <c r="C9815" s="364" t="s">
        <v>80</v>
      </c>
      <c r="D9815" s="156" t="s">
        <v>38</v>
      </c>
      <c r="E9815" s="156" t="s">
        <v>57</v>
      </c>
      <c r="F9815" s="156" t="s">
        <v>228</v>
      </c>
      <c r="G9815" s="238">
        <f>MROUND(H9815*L9815*I9815/K9815,0.000001)</f>
        <v>0</v>
      </c>
      <c r="H9815" s="158"/>
      <c r="I9815" s="159">
        <f>I9811</f>
        <v>0.78948599999999991</v>
      </c>
      <c r="J9815" s="160"/>
      <c r="K9815" s="161">
        <f>K9811</f>
        <v>990</v>
      </c>
      <c r="L9815" s="250">
        <v>12</v>
      </c>
      <c r="M9815" s="163"/>
      <c r="N9815" s="278"/>
      <c r="O9815" s="280">
        <f>MROUND(N9815*G9815,0.000001)</f>
        <v>0</v>
      </c>
      <c r="P9815" s="166"/>
      <c r="Q9815" s="166">
        <f t="shared" ref="Q9815:Q9831" si="2817">O9815*K9815</f>
        <v>0</v>
      </c>
      <c r="R9815" s="71"/>
      <c r="S9815" s="71"/>
    </row>
    <row r="9816" spans="1:20" s="61" customFormat="1" x14ac:dyDescent="0.25">
      <c r="A9816" s="358"/>
      <c r="B9816" s="361"/>
      <c r="C9816" s="364"/>
      <c r="D9816" s="156" t="s">
        <v>256</v>
      </c>
      <c r="E9816" s="156" t="s">
        <v>20</v>
      </c>
      <c r="F9816" s="156" t="s">
        <v>20</v>
      </c>
      <c r="G9816" s="238">
        <f>MROUND(H9816*L9816*I9816/K9816,0.00000001)</f>
        <v>1.9936519999999999E-2</v>
      </c>
      <c r="H9816" s="158">
        <f>Лист1!K352</f>
        <v>25</v>
      </c>
      <c r="I9816" s="159">
        <f>I9813</f>
        <v>0.78948599999999991</v>
      </c>
      <c r="J9816" s="160"/>
      <c r="K9816" s="161">
        <f>K9813</f>
        <v>990</v>
      </c>
      <c r="L9816" s="250">
        <v>1</v>
      </c>
      <c r="M9816" s="163" t="str">
        <f t="shared" ref="M9816:M9821" si="2818">CONCATENATE(H9816," ",F9816,"*",I9816,"/",K9816,"чел/час")</f>
        <v>25 чел.*0,789486/990чел/час</v>
      </c>
      <c r="N9816" s="278">
        <f>Лист1!M352</f>
        <v>2015.7676000000001</v>
      </c>
      <c r="O9816" s="280">
        <f t="shared" ref="O9816:O9817" si="2819">MROUND(N9816*G9816,0.000001)</f>
        <v>40.187390999999998</v>
      </c>
      <c r="P9816" s="166"/>
      <c r="Q9816" s="166">
        <f t="shared" si="2817"/>
        <v>39785.517090000001</v>
      </c>
      <c r="R9816" s="71"/>
      <c r="S9816" s="71"/>
    </row>
    <row r="9817" spans="1:20" s="61" customFormat="1" ht="63" x14ac:dyDescent="0.25">
      <c r="A9817" s="358"/>
      <c r="B9817" s="361"/>
      <c r="C9817" s="364"/>
      <c r="D9817" s="156" t="s">
        <v>39</v>
      </c>
      <c r="E9817" s="156" t="s">
        <v>20</v>
      </c>
      <c r="F9817" s="156" t="s">
        <v>234</v>
      </c>
      <c r="G9817" s="238">
        <f>MROUND(H9817*L9817*I9817/K9817,0.000001)</f>
        <v>7.9699999999999997E-4</v>
      </c>
      <c r="H9817" s="158">
        <v>1</v>
      </c>
      <c r="I9817" s="159">
        <f>I9815</f>
        <v>0.78948599999999991</v>
      </c>
      <c r="J9817" s="160"/>
      <c r="K9817" s="161">
        <f>K9815</f>
        <v>990</v>
      </c>
      <c r="L9817" s="250">
        <v>1</v>
      </c>
      <c r="M9817" s="163" t="str">
        <f t="shared" si="2818"/>
        <v>1 чел(заявленная потребность руководителями учреждений)*0,789486/990чел/час</v>
      </c>
      <c r="N9817" s="278">
        <f>Лист1!M342</f>
        <v>830.02</v>
      </c>
      <c r="O9817" s="280">
        <f t="shared" si="2819"/>
        <v>0.66152599999999995</v>
      </c>
      <c r="P9817" s="166"/>
      <c r="Q9817" s="166">
        <f t="shared" si="2817"/>
        <v>654.91073999999992</v>
      </c>
      <c r="R9817" s="71"/>
      <c r="T9817" s="71"/>
    </row>
    <row r="9818" spans="1:20" s="61" customFormat="1" ht="63" x14ac:dyDescent="0.25">
      <c r="A9818" s="358"/>
      <c r="B9818" s="361"/>
      <c r="C9818" s="364"/>
      <c r="D9818" s="156" t="s">
        <v>40</v>
      </c>
      <c r="E9818" s="156" t="s">
        <v>20</v>
      </c>
      <c r="F9818" s="156" t="s">
        <v>234</v>
      </c>
      <c r="G9818" s="238">
        <f>MROUND(H9818*L9818*I9818/K9818,0.000001)</f>
        <v>7.9699999999999997E-4</v>
      </c>
      <c r="H9818" s="158">
        <v>1</v>
      </c>
      <c r="I9818" s="159">
        <f>I9816</f>
        <v>0.78948599999999991</v>
      </c>
      <c r="J9818" s="160"/>
      <c r="K9818" s="161">
        <f>K9816</f>
        <v>990</v>
      </c>
      <c r="L9818" s="250">
        <v>1</v>
      </c>
      <c r="M9818" s="163" t="str">
        <f t="shared" si="2818"/>
        <v>1 чел(заявленная потребность руководителями учреждений)*0,789486/990чел/час</v>
      </c>
      <c r="N9818" s="278">
        <f>Лист1!M343</f>
        <v>1778.6200000000001</v>
      </c>
      <c r="O9818" s="280">
        <f>MROUND(N9818*G9818,0.000001)</f>
        <v>1.4175599999999999</v>
      </c>
      <c r="P9818" s="166"/>
      <c r="Q9818" s="166">
        <f t="shared" si="2817"/>
        <v>1403.3843999999999</v>
      </c>
      <c r="R9818" s="71"/>
      <c r="T9818" s="71"/>
    </row>
    <row r="9819" spans="1:20" s="61" customFormat="1" ht="63" x14ac:dyDescent="0.25">
      <c r="A9819" s="358"/>
      <c r="B9819" s="361"/>
      <c r="C9819" s="364"/>
      <c r="D9819" s="156" t="s">
        <v>100</v>
      </c>
      <c r="E9819" s="156" t="s">
        <v>20</v>
      </c>
      <c r="F9819" s="156" t="s">
        <v>234</v>
      </c>
      <c r="G9819" s="238">
        <f>MROUND(H9819*L9819*I9819/K9819,0.00000001)</f>
        <v>7.9746000000000005E-4</v>
      </c>
      <c r="H9819" s="158">
        <v>1</v>
      </c>
      <c r="I9819" s="159">
        <f>I9817</f>
        <v>0.78948599999999991</v>
      </c>
      <c r="J9819" s="160"/>
      <c r="K9819" s="161">
        <f>K9817</f>
        <v>990</v>
      </c>
      <c r="L9819" s="250">
        <v>1</v>
      </c>
      <c r="M9819" s="163" t="str">
        <f t="shared" si="2818"/>
        <v>1 чел(заявленная потребность руководителями учреждений)*0,789486/990чел/час</v>
      </c>
      <c r="N9819" s="278">
        <f>Лист1!M344</f>
        <v>3794.39</v>
      </c>
      <c r="O9819" s="280">
        <f>MROUND(N9819*G9819,0.000001)</f>
        <v>3.025874</v>
      </c>
      <c r="P9819" s="166"/>
      <c r="Q9819" s="166">
        <f t="shared" si="2817"/>
        <v>2995.61526</v>
      </c>
      <c r="R9819" s="71"/>
      <c r="T9819" s="71"/>
    </row>
    <row r="9820" spans="1:20" s="61" customFormat="1" ht="110.25" x14ac:dyDescent="0.25">
      <c r="A9820" s="358"/>
      <c r="B9820" s="361"/>
      <c r="C9820" s="364"/>
      <c r="D9820" s="156" t="s">
        <v>235</v>
      </c>
      <c r="E9820" s="156" t="s">
        <v>50</v>
      </c>
      <c r="F9820" s="156" t="s">
        <v>230</v>
      </c>
      <c r="G9820" s="238">
        <f>MROUND(H9820*L9820*I9820/K9820,0.0000001)</f>
        <v>7.9749999999999992E-4</v>
      </c>
      <c r="H9820" s="158">
        <v>1</v>
      </c>
      <c r="I9820" s="159">
        <f>I9816</f>
        <v>0.78948599999999991</v>
      </c>
      <c r="J9820" s="160"/>
      <c r="K9820" s="161">
        <f>K9816</f>
        <v>990</v>
      </c>
      <c r="L9820" s="250">
        <v>1</v>
      </c>
      <c r="M9820" s="163" t="str">
        <f t="shared" si="2818"/>
        <v>1 отчетов*0,789486/990чел/час</v>
      </c>
      <c r="N9820" s="278">
        <f>Лист1!M345</f>
        <v>7114.47</v>
      </c>
      <c r="O9820" s="280">
        <f t="shared" ref="O9820:O9831" si="2820">MROUND(N9820*G9820,0.000001)</f>
        <v>5.6737899999999994</v>
      </c>
      <c r="P9820" s="166"/>
      <c r="Q9820" s="166">
        <f t="shared" si="2817"/>
        <v>5617.0520999999999</v>
      </c>
      <c r="R9820" s="71"/>
      <c r="S9820" s="71"/>
    </row>
    <row r="9821" spans="1:20" s="61" customFormat="1" ht="63" x14ac:dyDescent="0.25">
      <c r="A9821" s="358"/>
      <c r="B9821" s="361"/>
      <c r="C9821" s="364"/>
      <c r="D9821" s="156" t="s">
        <v>42</v>
      </c>
      <c r="E9821" s="156" t="s">
        <v>51</v>
      </c>
      <c r="F9821" s="156" t="s">
        <v>407</v>
      </c>
      <c r="G9821" s="238">
        <f>MROUND(H9821*L9821*I9821/K9821,0.000001)</f>
        <v>4.7850000000000002E-3</v>
      </c>
      <c r="H9821" s="158">
        <f>Лист1!K349</f>
        <v>6</v>
      </c>
      <c r="I9821" s="159">
        <f t="shared" ref="I9821:I9827" si="2821">I9820</f>
        <v>0.78948599999999991</v>
      </c>
      <c r="J9821" s="160"/>
      <c r="K9821" s="161">
        <f t="shared" ref="K9821:K9827" si="2822">K9820</f>
        <v>990</v>
      </c>
      <c r="L9821" s="250">
        <v>1</v>
      </c>
      <c r="M9821" s="163" t="str">
        <f t="shared" si="2818"/>
        <v>6 ед (заявленная потребность руководителями учреждений)*0,789486/990чел/час</v>
      </c>
      <c r="N9821" s="278">
        <f>Лист1!M349</f>
        <v>1185.7450000000001</v>
      </c>
      <c r="O9821" s="280">
        <f t="shared" si="2820"/>
        <v>5.6737899999999994</v>
      </c>
      <c r="P9821" s="166"/>
      <c r="Q9821" s="166">
        <f t="shared" si="2817"/>
        <v>5617.0520999999999</v>
      </c>
      <c r="R9821" s="71"/>
      <c r="S9821" s="71"/>
    </row>
    <row r="9822" spans="1:20" s="61" customFormat="1" ht="31.5" x14ac:dyDescent="0.25">
      <c r="A9822" s="358"/>
      <c r="B9822" s="361"/>
      <c r="C9822" s="364"/>
      <c r="D9822" s="156" t="s">
        <v>263</v>
      </c>
      <c r="E9822" s="156" t="s">
        <v>264</v>
      </c>
      <c r="F9822" s="156" t="s">
        <v>265</v>
      </c>
      <c r="G9822" s="238">
        <f>MROUND(H9822*L9822*I9822/K9822,0.000001)</f>
        <v>9.5700000000000004E-3</v>
      </c>
      <c r="H9822" s="158">
        <v>1</v>
      </c>
      <c r="I9822" s="159">
        <f t="shared" si="2821"/>
        <v>0.78948599999999991</v>
      </c>
      <c r="J9822" s="160"/>
      <c r="K9822" s="161">
        <f t="shared" si="2822"/>
        <v>990</v>
      </c>
      <c r="L9822" s="250">
        <v>12</v>
      </c>
      <c r="M9822" s="163" t="str">
        <f>CONCATENATE(H9822," ",F9822,"*",L9822,"мес.","*",I9822,"/",K9822,"чел/час")</f>
        <v>1 мойка*12мес.*0,789486/990чел/час</v>
      </c>
      <c r="N9822" s="278">
        <f>Лист1!M337</f>
        <v>592.87250000000006</v>
      </c>
      <c r="O9822" s="280">
        <f t="shared" si="2820"/>
        <v>5.6737899999999994</v>
      </c>
      <c r="P9822" s="166"/>
      <c r="Q9822" s="166">
        <f t="shared" si="2817"/>
        <v>5617.0520999999999</v>
      </c>
      <c r="R9822" s="71"/>
    </row>
    <row r="9823" spans="1:20" s="61" customFormat="1" ht="31.5" x14ac:dyDescent="0.25">
      <c r="A9823" s="358"/>
      <c r="B9823" s="361"/>
      <c r="C9823" s="364"/>
      <c r="D9823" s="156" t="s">
        <v>266</v>
      </c>
      <c r="E9823" s="156" t="s">
        <v>267</v>
      </c>
      <c r="F9823" s="156" t="s">
        <v>268</v>
      </c>
      <c r="G9823" s="238">
        <f>MROUND(H9823*L9823*I9823/K9823,0.000001)</f>
        <v>0.19139099999999998</v>
      </c>
      <c r="H9823" s="158">
        <f>Лист1!K338</f>
        <v>20</v>
      </c>
      <c r="I9823" s="159">
        <f t="shared" si="2821"/>
        <v>0.78948599999999991</v>
      </c>
      <c r="J9823" s="160"/>
      <c r="K9823" s="161">
        <f t="shared" si="2822"/>
        <v>990</v>
      </c>
      <c r="L9823" s="250">
        <v>12</v>
      </c>
      <c r="M9823" s="163" t="str">
        <f>CONCATENATE(H9823," ",F9823,"*",L9823,"мес.","*",I9823,"/",K9823,"чел/час")</f>
        <v>20 комплектов в мес.*12мес.*0,789486/990чел/час</v>
      </c>
      <c r="N9823" s="278">
        <f>Лист1!M338</f>
        <v>533.58550000000002</v>
      </c>
      <c r="O9823" s="280">
        <f t="shared" si="2820"/>
        <v>102.12346199999999</v>
      </c>
      <c r="P9823" s="166"/>
      <c r="Q9823" s="166">
        <f t="shared" si="2817"/>
        <v>101102.22738</v>
      </c>
      <c r="R9823" s="71"/>
    </row>
    <row r="9824" spans="1:20" s="61" customFormat="1" ht="47.25" x14ac:dyDescent="0.25">
      <c r="A9824" s="358"/>
      <c r="B9824" s="361"/>
      <c r="C9824" s="364"/>
      <c r="D9824" s="156" t="s">
        <v>269</v>
      </c>
      <c r="E9824" s="156" t="s">
        <v>20</v>
      </c>
      <c r="F9824" s="156" t="s">
        <v>20</v>
      </c>
      <c r="G9824" s="238">
        <f>MROUND(H9824*L9824*I9824/K9824,0.00000001)</f>
        <v>3.9873E-3</v>
      </c>
      <c r="H9824" s="158">
        <f>Лист1!K339</f>
        <v>5</v>
      </c>
      <c r="I9824" s="159">
        <f t="shared" si="2821"/>
        <v>0.78948599999999991</v>
      </c>
      <c r="J9824" s="160"/>
      <c r="K9824" s="161">
        <f t="shared" si="2822"/>
        <v>990</v>
      </c>
      <c r="L9824" s="250">
        <v>1</v>
      </c>
      <c r="M9824" s="163" t="str">
        <f>CONCATENATE(H9824," ",F9824,"*",I9824,"/",K9824,"чел/час")</f>
        <v>5 чел.*0,789486/990чел/час</v>
      </c>
      <c r="N9824" s="278">
        <f>Лист1!M339</f>
        <v>19120.148000000001</v>
      </c>
      <c r="O9824" s="280">
        <f t="shared" si="2820"/>
        <v>76.237765999999993</v>
      </c>
      <c r="P9824" s="166"/>
      <c r="Q9824" s="166">
        <f t="shared" si="2817"/>
        <v>75475.38833999999</v>
      </c>
      <c r="R9824" s="71"/>
    </row>
    <row r="9825" spans="1:20" s="61" customFormat="1" ht="31.5" x14ac:dyDescent="0.25">
      <c r="A9825" s="358"/>
      <c r="B9825" s="361"/>
      <c r="C9825" s="364"/>
      <c r="D9825" s="156" t="s">
        <v>376</v>
      </c>
      <c r="E9825" s="156" t="s">
        <v>55</v>
      </c>
      <c r="F9825" s="156" t="s">
        <v>55</v>
      </c>
      <c r="G9825" s="238">
        <f>MROUND(H9825*L9825*I9825/K9825,0.00000001)</f>
        <v>9.5695299999999997E-3</v>
      </c>
      <c r="H9825" s="158">
        <v>1</v>
      </c>
      <c r="I9825" s="159">
        <f t="shared" si="2821"/>
        <v>0.78948599999999991</v>
      </c>
      <c r="J9825" s="160"/>
      <c r="K9825" s="161">
        <f t="shared" si="2822"/>
        <v>990</v>
      </c>
      <c r="L9825" s="250">
        <v>12</v>
      </c>
      <c r="M9825" s="163" t="str">
        <f>CONCATENATE(H9825," ",F9825,"*",L9825,"мес.","*",I9825,"/",K9825,"чел/час")</f>
        <v>1 система*12мес.*0,789486/990чел/час</v>
      </c>
      <c r="N9825" s="278">
        <f>Лист1!M346</f>
        <v>26755.559166666662</v>
      </c>
      <c r="O9825" s="280">
        <f t="shared" si="2820"/>
        <v>256.03812599999998</v>
      </c>
      <c r="P9825" s="166"/>
      <c r="Q9825" s="166">
        <f t="shared" si="2817"/>
        <v>253477.74473999997</v>
      </c>
      <c r="R9825" s="71"/>
    </row>
    <row r="9826" spans="1:20" s="61" customFormat="1" ht="31.5" x14ac:dyDescent="0.25">
      <c r="A9826" s="358"/>
      <c r="B9826" s="361"/>
      <c r="C9826" s="364"/>
      <c r="D9826" s="156" t="s">
        <v>270</v>
      </c>
      <c r="E9826" s="156" t="s">
        <v>60</v>
      </c>
      <c r="F9826" s="156" t="s">
        <v>60</v>
      </c>
      <c r="G9826" s="238">
        <f>MROUND(H9826*L9826*I9826/K9826,0.000001)</f>
        <v>1.3557E-2</v>
      </c>
      <c r="H9826" s="158">
        <f>Лист1!K348</f>
        <v>17</v>
      </c>
      <c r="I9826" s="159">
        <f t="shared" si="2821"/>
        <v>0.78948599999999991</v>
      </c>
      <c r="J9826" s="160"/>
      <c r="K9826" s="161">
        <f t="shared" si="2822"/>
        <v>990</v>
      </c>
      <c r="L9826" s="250">
        <v>1</v>
      </c>
      <c r="M9826" s="163" t="str">
        <f>CONCATENATE(H9826," ",F9826,"*",I9826,"/",K9826,"чел/час")</f>
        <v>17 шт.*0,789486/990чел/час</v>
      </c>
      <c r="N9826" s="278">
        <f>Лист1!M348</f>
        <v>3347.9876470588238</v>
      </c>
      <c r="O9826" s="280">
        <f t="shared" si="2820"/>
        <v>45.388669</v>
      </c>
      <c r="P9826" s="166"/>
      <c r="Q9826" s="166">
        <f t="shared" si="2817"/>
        <v>44934.782310000002</v>
      </c>
      <c r="R9826" s="71"/>
    </row>
    <row r="9827" spans="1:20" s="61" customFormat="1" ht="31.5" x14ac:dyDescent="0.25">
      <c r="A9827" s="358"/>
      <c r="B9827" s="361"/>
      <c r="C9827" s="364"/>
      <c r="D9827" s="156" t="s">
        <v>408</v>
      </c>
      <c r="E9827" s="156" t="s">
        <v>20</v>
      </c>
      <c r="F9827" s="156" t="s">
        <v>20</v>
      </c>
      <c r="G9827" s="238">
        <f>MROUND(H9827*L9827*I9827/K9827,0.00000001)</f>
        <v>4.7847599999999999E-3</v>
      </c>
      <c r="H9827" s="158">
        <f>Лист1!K354</f>
        <v>6</v>
      </c>
      <c r="I9827" s="159">
        <f t="shared" si="2821"/>
        <v>0.78948599999999991</v>
      </c>
      <c r="J9827" s="160"/>
      <c r="K9827" s="161">
        <f t="shared" si="2822"/>
        <v>990</v>
      </c>
      <c r="L9827" s="250">
        <v>1</v>
      </c>
      <c r="M9827" s="163" t="str">
        <f>CONCATENATE(H9827," ",F9827,"*",I9827,"/",K9827,"чел/час")</f>
        <v>6 чел.*0,789486/990чел/час</v>
      </c>
      <c r="N9827" s="278">
        <f>Лист1!M354</f>
        <v>592.87333333333333</v>
      </c>
      <c r="O9827" s="280">
        <f t="shared" si="2820"/>
        <v>2.836757</v>
      </c>
      <c r="P9827" s="166"/>
      <c r="Q9827" s="166">
        <f t="shared" si="2817"/>
        <v>2808.3894300000002</v>
      </c>
      <c r="R9827" s="71"/>
    </row>
    <row r="9828" spans="1:20" s="61" customFormat="1" ht="63" x14ac:dyDescent="0.25">
      <c r="A9828" s="358"/>
      <c r="B9828" s="361"/>
      <c r="C9828" s="364"/>
      <c r="D9828" s="156" t="s">
        <v>45</v>
      </c>
      <c r="E9828" s="156" t="s">
        <v>53</v>
      </c>
      <c r="F9828" s="156" t="s">
        <v>257</v>
      </c>
      <c r="G9828" s="238">
        <f>MROUND(H9828*L9828*I9828/K9828,0.000001)</f>
        <v>9.5700000000000004E-3</v>
      </c>
      <c r="H9828" s="158">
        <v>1</v>
      </c>
      <c r="I9828" s="159">
        <f>I9826</f>
        <v>0.78948599999999991</v>
      </c>
      <c r="J9828" s="160"/>
      <c r="K9828" s="161">
        <f>K9826</f>
        <v>990</v>
      </c>
      <c r="L9828" s="250">
        <v>12</v>
      </c>
      <c r="M9828" s="163" t="str">
        <f>CONCATENATE(H9828," ",F9828,"*",L9828,"мес.","*",I9828,"/",K9828,"чел")</f>
        <v>1  машина, оборудованная системой ГЛОНАСС*12мес.*0,789486/990чел</v>
      </c>
      <c r="N9828" s="278">
        <f>Лист1!M353</f>
        <v>958.08249999999998</v>
      </c>
      <c r="O9828" s="280">
        <f t="shared" si="2820"/>
        <v>9.1688499999999991</v>
      </c>
      <c r="P9828" s="166"/>
      <c r="Q9828" s="166">
        <f t="shared" si="2817"/>
        <v>9077.1614999999983</v>
      </c>
      <c r="R9828" s="71"/>
      <c r="S9828" s="71"/>
    </row>
    <row r="9829" spans="1:20" s="61" customFormat="1" ht="47.25" x14ac:dyDescent="0.25">
      <c r="A9829" s="358"/>
      <c r="B9829" s="361"/>
      <c r="C9829" s="364"/>
      <c r="D9829" s="156" t="s">
        <v>271</v>
      </c>
      <c r="E9829" s="156" t="s">
        <v>85</v>
      </c>
      <c r="F9829" s="156" t="s">
        <v>232</v>
      </c>
      <c r="G9829" s="238">
        <f>MROUND(H9829*L9829*I9829/K9829,0.000001)</f>
        <v>0.24242799999999998</v>
      </c>
      <c r="H9829" s="158">
        <f>Лист1!K351</f>
        <v>304</v>
      </c>
      <c r="I9829" s="159">
        <f>I9827</f>
        <v>0.78948599999999991</v>
      </c>
      <c r="J9829" s="160"/>
      <c r="K9829" s="161">
        <f>K9827</f>
        <v>990</v>
      </c>
      <c r="L9829" s="250">
        <v>1</v>
      </c>
      <c r="M9829" s="163" t="str">
        <f>CONCATENATE(H9829," ",F9829,"*",L9829,"мес.","*",I9829,"/",K9829,"чел")</f>
        <v>304 мед.осмотров в мес.*1мес.*0,789486/990чел</v>
      </c>
      <c r="N9829" s="278">
        <f>Лист1!M351</f>
        <v>61.658782894736845</v>
      </c>
      <c r="O9829" s="280">
        <f t="shared" si="2820"/>
        <v>14.947814999999999</v>
      </c>
      <c r="P9829" s="166"/>
      <c r="Q9829" s="166">
        <f t="shared" si="2817"/>
        <v>14798.336849999998</v>
      </c>
      <c r="R9829" s="71"/>
    </row>
    <row r="9830" spans="1:20" s="61" customFormat="1" x14ac:dyDescent="0.25">
      <c r="A9830" s="358"/>
      <c r="B9830" s="361"/>
      <c r="C9830" s="364"/>
      <c r="D9830" s="156" t="s">
        <v>373</v>
      </c>
      <c r="E9830" s="156" t="s">
        <v>28</v>
      </c>
      <c r="F9830" s="156" t="s">
        <v>28</v>
      </c>
      <c r="G9830" s="238">
        <f>MROUND(H9830*L9830*I9830/K9830,0.000001)</f>
        <v>7.9699999999999997E-4</v>
      </c>
      <c r="H9830" s="158">
        <f>Лист1!K336</f>
        <v>1</v>
      </c>
      <c r="I9830" s="159">
        <f>I9829</f>
        <v>0.78948599999999991</v>
      </c>
      <c r="J9830" s="160"/>
      <c r="K9830" s="161">
        <f>K9829</f>
        <v>990</v>
      </c>
      <c r="L9830" s="250">
        <v>1</v>
      </c>
      <c r="M9830" s="163" t="str">
        <f>CONCATENATE(H9830," ",F9830,"*",L9830,"мес.","*",I9830,"/",K9830,"чел")</f>
        <v>1 шт*1мес.*0,789486/990чел</v>
      </c>
      <c r="N9830" s="278">
        <f>Лист1!M336</f>
        <v>24000</v>
      </c>
      <c r="O9830" s="280">
        <f t="shared" si="2820"/>
        <v>19.128</v>
      </c>
      <c r="P9830" s="166"/>
      <c r="Q9830" s="166">
        <f t="shared" si="2817"/>
        <v>18936.72</v>
      </c>
      <c r="R9830" s="71"/>
    </row>
    <row r="9831" spans="1:20" s="61" customFormat="1" ht="31.5" x14ac:dyDescent="0.25">
      <c r="A9831" s="358"/>
      <c r="B9831" s="361"/>
      <c r="C9831" s="364"/>
      <c r="D9831" s="156" t="s">
        <v>43</v>
      </c>
      <c r="E9831" s="156" t="s">
        <v>52</v>
      </c>
      <c r="F9831" s="156" t="s">
        <v>231</v>
      </c>
      <c r="G9831" s="238">
        <f>MROUND(H9831*L9831*I9831/K9831,0.000001)</f>
        <v>7.9699999999999997E-4</v>
      </c>
      <c r="H9831" s="158">
        <v>1</v>
      </c>
      <c r="I9831" s="159">
        <f>I9821</f>
        <v>0.78948599999999991</v>
      </c>
      <c r="J9831" s="160"/>
      <c r="K9831" s="161">
        <f>K9821</f>
        <v>990</v>
      </c>
      <c r="L9831" s="250">
        <v>1</v>
      </c>
      <c r="M9831" s="163" t="str">
        <f>CONCATENATE(H9831," ",F9831,"*",I9831,"/",K9831,"чел/час")</f>
        <v>1 ЭЦП*0,789486/990чел/час</v>
      </c>
      <c r="N9831" s="278">
        <f>Лист1!M350</f>
        <v>8423.5400000000009</v>
      </c>
      <c r="O9831" s="280">
        <f t="shared" si="2820"/>
        <v>6.7135609999999994</v>
      </c>
      <c r="P9831" s="166"/>
      <c r="Q9831" s="166">
        <f t="shared" si="2817"/>
        <v>6646.4253899999994</v>
      </c>
      <c r="R9831" s="71"/>
      <c r="S9831" s="71"/>
    </row>
    <row r="9832" spans="1:20" s="62" customFormat="1" x14ac:dyDescent="0.25">
      <c r="A9832" s="358"/>
      <c r="B9832" s="361"/>
      <c r="C9832" s="245" t="s">
        <v>296</v>
      </c>
      <c r="D9832" s="240"/>
      <c r="E9832" s="240"/>
      <c r="F9832" s="240"/>
      <c r="G9832" s="227"/>
      <c r="H9832" s="241"/>
      <c r="I9832" s="206"/>
      <c r="J9832" s="228"/>
      <c r="K9832" s="207"/>
      <c r="L9832" s="257"/>
      <c r="M9832" s="209"/>
      <c r="N9832" s="281"/>
      <c r="O9832" s="279">
        <f>SUM(O9815:O9831)</f>
        <v>594.89672700000006</v>
      </c>
      <c r="P9832" s="267"/>
      <c r="Q9832" s="166"/>
      <c r="R9832" s="71"/>
    </row>
    <row r="9833" spans="1:20" s="61" customFormat="1" ht="31.5" x14ac:dyDescent="0.25">
      <c r="A9833" s="358"/>
      <c r="B9833" s="361"/>
      <c r="C9833" s="252" t="s">
        <v>237</v>
      </c>
      <c r="D9833" s="156" t="s">
        <v>41</v>
      </c>
      <c r="E9833" s="156" t="s">
        <v>61</v>
      </c>
      <c r="F9833" s="156" t="s">
        <v>254</v>
      </c>
      <c r="G9833" s="238">
        <f>MROUND(H9833*L9833*I9833/K9833,0.00000001)</f>
        <v>7.9746000000000005E-4</v>
      </c>
      <c r="H9833" s="158">
        <v>1</v>
      </c>
      <c r="I9833" s="159">
        <f>I9831</f>
        <v>0.78948599999999991</v>
      </c>
      <c r="J9833" s="160"/>
      <c r="K9833" s="161">
        <f>K9831</f>
        <v>990</v>
      </c>
      <c r="L9833" s="250">
        <v>1</v>
      </c>
      <c r="M9833" s="163" t="str">
        <f>CONCATENATE(H9833," ",F9833,"*",I9833,"/",K9833,"чел/час")</f>
        <v>1 автобус*0,789486/990чел/час</v>
      </c>
      <c r="N9833" s="278">
        <f>Лист1!M355</f>
        <v>27983.600000000002</v>
      </c>
      <c r="O9833" s="280">
        <f>MROUND(N9833*G9833,0.000001)</f>
        <v>22.315801999999998</v>
      </c>
      <c r="P9833" s="166"/>
      <c r="Q9833" s="166">
        <f t="shared" ref="Q9833" si="2823">O9833*K9833</f>
        <v>22092.643979999997</v>
      </c>
      <c r="R9833" s="71"/>
      <c r="S9833" s="71"/>
    </row>
    <row r="9834" spans="1:20" s="62" customFormat="1" x14ac:dyDescent="0.25">
      <c r="A9834" s="358"/>
      <c r="B9834" s="361"/>
      <c r="C9834" s="245" t="s">
        <v>297</v>
      </c>
      <c r="D9834" s="240"/>
      <c r="E9834" s="240"/>
      <c r="F9834" s="240"/>
      <c r="G9834" s="227"/>
      <c r="H9834" s="241"/>
      <c r="I9834" s="206"/>
      <c r="J9834" s="228"/>
      <c r="K9834" s="207"/>
      <c r="L9834" s="257"/>
      <c r="M9834" s="209"/>
      <c r="N9834" s="281"/>
      <c r="O9834" s="279">
        <f>O9833</f>
        <v>22.315801999999998</v>
      </c>
      <c r="P9834" s="267"/>
      <c r="Q9834" s="166"/>
      <c r="R9834" s="71"/>
    </row>
    <row r="9835" spans="1:20" s="61" customFormat="1" ht="78.75" x14ac:dyDescent="0.25">
      <c r="A9835" s="358"/>
      <c r="B9835" s="361"/>
      <c r="C9835" s="221" t="s">
        <v>236</v>
      </c>
      <c r="D9835" s="156" t="s">
        <v>19</v>
      </c>
      <c r="E9835" s="181" t="s">
        <v>20</v>
      </c>
      <c r="F9835" s="181" t="s">
        <v>238</v>
      </c>
      <c r="G9835" s="238">
        <f>MROUND(H9835*L9835*I9835/K9835,0.000001)</f>
        <v>0</v>
      </c>
      <c r="H9835" s="158"/>
      <c r="I9835" s="159">
        <f>I9833</f>
        <v>0.78948599999999991</v>
      </c>
      <c r="J9835" s="160"/>
      <c r="K9835" s="161">
        <f>K9833</f>
        <v>990</v>
      </c>
      <c r="L9835" s="250"/>
      <c r="M9835" s="163"/>
      <c r="N9835" s="278"/>
      <c r="O9835" s="280">
        <f>MROUND(N9835*G9835,0.000001)</f>
        <v>0</v>
      </c>
      <c r="P9835" s="166"/>
      <c r="Q9835" s="166">
        <f>O9835*K9835</f>
        <v>0</v>
      </c>
      <c r="R9835" s="71"/>
      <c r="T9835" s="71"/>
    </row>
    <row r="9836" spans="1:20" s="62" customFormat="1" x14ac:dyDescent="0.25">
      <c r="A9836" s="358"/>
      <c r="B9836" s="361"/>
      <c r="C9836" s="245" t="s">
        <v>298</v>
      </c>
      <c r="D9836" s="240"/>
      <c r="E9836" s="253"/>
      <c r="F9836" s="253"/>
      <c r="G9836" s="227"/>
      <c r="H9836" s="241"/>
      <c r="I9836" s="206"/>
      <c r="J9836" s="228"/>
      <c r="K9836" s="207"/>
      <c r="L9836" s="257"/>
      <c r="M9836" s="209"/>
      <c r="N9836" s="281"/>
      <c r="O9836" s="279">
        <f>O9835</f>
        <v>0</v>
      </c>
      <c r="P9836" s="267"/>
      <c r="Q9836" s="166"/>
      <c r="R9836" s="71"/>
    </row>
    <row r="9837" spans="1:20" s="61" customFormat="1" x14ac:dyDescent="0.25">
      <c r="A9837" s="358"/>
      <c r="B9837" s="361"/>
      <c r="C9837" s="365" t="s">
        <v>81</v>
      </c>
      <c r="D9837" s="156" t="s">
        <v>427</v>
      </c>
      <c r="E9837" s="156" t="s">
        <v>28</v>
      </c>
      <c r="F9837" s="156" t="s">
        <v>28</v>
      </c>
      <c r="G9837" s="238">
        <f>MROUND(H9837*L9837*I9837/K9837,0.00000001)</f>
        <v>0</v>
      </c>
      <c r="H9837" s="158"/>
      <c r="I9837" s="159">
        <f>I9833</f>
        <v>0.78948599999999991</v>
      </c>
      <c r="J9837" s="160"/>
      <c r="K9837" s="161">
        <f>K9833</f>
        <v>990</v>
      </c>
      <c r="L9837" s="250">
        <v>1</v>
      </c>
      <c r="M9837" s="163"/>
      <c r="N9837" s="278"/>
      <c r="O9837" s="280">
        <f>MROUND(N9837*G9837,0.000001)</f>
        <v>0</v>
      </c>
      <c r="P9837" s="166"/>
      <c r="Q9837" s="166">
        <f t="shared" ref="Q9837:Q9841" si="2824">O9837*K9837</f>
        <v>0</v>
      </c>
      <c r="R9837" s="71"/>
    </row>
    <row r="9838" spans="1:20" s="61" customFormat="1" x14ac:dyDescent="0.25">
      <c r="A9838" s="358"/>
      <c r="B9838" s="361"/>
      <c r="C9838" s="366"/>
      <c r="D9838" s="156" t="s">
        <v>428</v>
      </c>
      <c r="E9838" s="156" t="s">
        <v>28</v>
      </c>
      <c r="F9838" s="156" t="s">
        <v>28</v>
      </c>
      <c r="G9838" s="238">
        <f>MROUND(H9838*L9838*I9838/K9838,0.00000001)</f>
        <v>0</v>
      </c>
      <c r="H9838" s="158"/>
      <c r="I9838" s="159">
        <f>I9837</f>
        <v>0.78948599999999991</v>
      </c>
      <c r="J9838" s="160"/>
      <c r="K9838" s="161">
        <f>K9837</f>
        <v>990</v>
      </c>
      <c r="L9838" s="250">
        <v>1</v>
      </c>
      <c r="M9838" s="163"/>
      <c r="N9838" s="278"/>
      <c r="O9838" s="280">
        <f>MROUND(N9838*G9838,0.000001)</f>
        <v>0</v>
      </c>
      <c r="P9838" s="166"/>
      <c r="Q9838" s="166">
        <f t="shared" si="2824"/>
        <v>0</v>
      </c>
      <c r="R9838" s="71"/>
    </row>
    <row r="9839" spans="1:20" s="61" customFormat="1" x14ac:dyDescent="0.25">
      <c r="A9839" s="358"/>
      <c r="B9839" s="361"/>
      <c r="C9839" s="366"/>
      <c r="D9839" s="156" t="s">
        <v>110</v>
      </c>
      <c r="E9839" s="156" t="s">
        <v>28</v>
      </c>
      <c r="F9839" s="156" t="s">
        <v>28</v>
      </c>
      <c r="G9839" s="238">
        <f>MROUND(H9839*L9839*I9839/K9839,0.00000001)</f>
        <v>0</v>
      </c>
      <c r="H9839" s="158"/>
      <c r="I9839" s="159">
        <f t="shared" ref="I9839:I9840" si="2825">I9838</f>
        <v>0.78948599999999991</v>
      </c>
      <c r="J9839" s="160"/>
      <c r="K9839" s="161">
        <f t="shared" ref="K9839:K9840" si="2826">K9838</f>
        <v>990</v>
      </c>
      <c r="L9839" s="250">
        <v>1</v>
      </c>
      <c r="M9839" s="163"/>
      <c r="N9839" s="278"/>
      <c r="O9839" s="280">
        <f>MROUND(N9839*G9839,0.000001)</f>
        <v>0</v>
      </c>
      <c r="P9839" s="166"/>
      <c r="Q9839" s="166">
        <f t="shared" si="2824"/>
        <v>0</v>
      </c>
      <c r="R9839" s="71"/>
    </row>
    <row r="9840" spans="1:20" s="61" customFormat="1" x14ac:dyDescent="0.25">
      <c r="A9840" s="358"/>
      <c r="B9840" s="361"/>
      <c r="C9840" s="366"/>
      <c r="D9840" s="156" t="s">
        <v>111</v>
      </c>
      <c r="E9840" s="156" t="s">
        <v>28</v>
      </c>
      <c r="F9840" s="156" t="s">
        <v>28</v>
      </c>
      <c r="G9840" s="238">
        <f>MROUND(H9840*L9840*I9840/K9840,0.00000001)</f>
        <v>0</v>
      </c>
      <c r="H9840" s="158"/>
      <c r="I9840" s="159">
        <f t="shared" si="2825"/>
        <v>0.78948599999999991</v>
      </c>
      <c r="J9840" s="160"/>
      <c r="K9840" s="161">
        <f t="shared" si="2826"/>
        <v>990</v>
      </c>
      <c r="L9840" s="250">
        <v>1</v>
      </c>
      <c r="M9840" s="163"/>
      <c r="N9840" s="278"/>
      <c r="O9840" s="280">
        <f>MROUND(N9840*G9840,0.000001)</f>
        <v>0</v>
      </c>
      <c r="P9840" s="166"/>
      <c r="Q9840" s="166">
        <f t="shared" si="2824"/>
        <v>0</v>
      </c>
      <c r="R9840" s="71"/>
    </row>
    <row r="9841" spans="1:19" s="61" customFormat="1" x14ac:dyDescent="0.25">
      <c r="A9841" s="358"/>
      <c r="B9841" s="361"/>
      <c r="C9841" s="367"/>
      <c r="D9841" s="156" t="s">
        <v>438</v>
      </c>
      <c r="E9841" s="156" t="s">
        <v>28</v>
      </c>
      <c r="F9841" s="156" t="s">
        <v>28</v>
      </c>
      <c r="G9841" s="238">
        <f>MROUND(H9841*L9841*I9841/K9841,0.00000001)</f>
        <v>0</v>
      </c>
      <c r="H9841" s="158"/>
      <c r="I9841" s="159">
        <f>I9835</f>
        <v>0.78948599999999991</v>
      </c>
      <c r="J9841" s="160"/>
      <c r="K9841" s="161">
        <f>K9835</f>
        <v>990</v>
      </c>
      <c r="L9841" s="250">
        <v>1</v>
      </c>
      <c r="M9841" s="163"/>
      <c r="N9841" s="278"/>
      <c r="O9841" s="280">
        <f>MROUND(N9841*G9841,0.000001)</f>
        <v>0</v>
      </c>
      <c r="P9841" s="166"/>
      <c r="Q9841" s="166">
        <f t="shared" si="2824"/>
        <v>0</v>
      </c>
      <c r="R9841" s="71"/>
    </row>
    <row r="9842" spans="1:19" s="62" customFormat="1" x14ac:dyDescent="0.25">
      <c r="A9842" s="358"/>
      <c r="B9842" s="361"/>
      <c r="C9842" s="245" t="s">
        <v>299</v>
      </c>
      <c r="D9842" s="240"/>
      <c r="E9842" s="240"/>
      <c r="F9842" s="240"/>
      <c r="G9842" s="227"/>
      <c r="H9842" s="241"/>
      <c r="I9842" s="206"/>
      <c r="J9842" s="228"/>
      <c r="K9842" s="207"/>
      <c r="L9842" s="257"/>
      <c r="M9842" s="209"/>
      <c r="N9842" s="281"/>
      <c r="O9842" s="279">
        <f>SUM(O9837:O9840)</f>
        <v>0</v>
      </c>
      <c r="P9842" s="267"/>
      <c r="Q9842" s="166"/>
      <c r="R9842" s="71"/>
    </row>
    <row r="9843" spans="1:19" s="61" customFormat="1" ht="110.25" x14ac:dyDescent="0.25">
      <c r="A9843" s="358"/>
      <c r="B9843" s="361"/>
      <c r="C9843" s="221" t="s">
        <v>82</v>
      </c>
      <c r="D9843" s="156" t="s">
        <v>46</v>
      </c>
      <c r="E9843" s="156" t="s">
        <v>54</v>
      </c>
      <c r="F9843" s="156" t="s">
        <v>285</v>
      </c>
      <c r="G9843" s="238">
        <f>MROUND(H9843*L9843*I9843/K9843,0.000001)</f>
        <v>2.0335239999999999</v>
      </c>
      <c r="H9843" s="242">
        <f>Лист1!K404</f>
        <v>231.81817568471834</v>
      </c>
      <c r="I9843" s="159">
        <f>I9835</f>
        <v>0.78948599999999991</v>
      </c>
      <c r="J9843" s="160"/>
      <c r="K9843" s="161">
        <f>K9835</f>
        <v>990</v>
      </c>
      <c r="L9843" s="250">
        <v>11</v>
      </c>
      <c r="M9843" s="163" t="str">
        <f>CONCATENATE(H9843," ",F9843,"*",L9843,"автобус","*",I9843,"/",K9843,"чел/час")</f>
        <v>231,818175684718 л бензина АИ 92 (12,5л/день(зимой)*20дней*7мес+10л/день(летом)*20дней*4мес)*11автобус*0,789486/990чел/час</v>
      </c>
      <c r="N9843" s="278">
        <f>Лист1!M404</f>
        <v>59.28728000000001</v>
      </c>
      <c r="O9843" s="280">
        <f>MROUND(N9843*G9843,0.000001)</f>
        <v>120.562107</v>
      </c>
      <c r="P9843" s="166"/>
      <c r="Q9843" s="166">
        <f t="shared" ref="Q9843" si="2827">O9843*K9843</f>
        <v>119356.48593</v>
      </c>
      <c r="R9843" s="71"/>
      <c r="S9843" s="71"/>
    </row>
    <row r="9844" spans="1:19" s="62" customFormat="1" x14ac:dyDescent="0.25">
      <c r="A9844" s="358"/>
      <c r="B9844" s="361"/>
      <c r="C9844" s="218" t="s">
        <v>300</v>
      </c>
      <c r="D9844" s="240"/>
      <c r="E9844" s="240"/>
      <c r="F9844" s="240"/>
      <c r="G9844" s="227"/>
      <c r="H9844" s="241"/>
      <c r="I9844" s="206"/>
      <c r="J9844" s="228"/>
      <c r="K9844" s="207"/>
      <c r="L9844" s="257"/>
      <c r="M9844" s="209"/>
      <c r="N9844" s="281"/>
      <c r="O9844" s="279">
        <f>O9843</f>
        <v>120.562107</v>
      </c>
      <c r="P9844" s="267"/>
      <c r="Q9844" s="166"/>
      <c r="R9844" s="71"/>
    </row>
    <row r="9845" spans="1:19" s="61" customFormat="1" ht="47.25" x14ac:dyDescent="0.25">
      <c r="A9845" s="358"/>
      <c r="B9845" s="361"/>
      <c r="C9845" s="364" t="s">
        <v>118</v>
      </c>
      <c r="D9845" s="156" t="s">
        <v>47</v>
      </c>
      <c r="E9845" s="156" t="s">
        <v>28</v>
      </c>
      <c r="F9845" s="156" t="s">
        <v>239</v>
      </c>
      <c r="G9845" s="238">
        <f>MROUND(H9845*L9845*I9845/K9845,0.000001)</f>
        <v>0</v>
      </c>
      <c r="H9845" s="158"/>
      <c r="I9845" s="159">
        <f>I9843</f>
        <v>0.78948599999999991</v>
      </c>
      <c r="J9845" s="160"/>
      <c r="K9845" s="161">
        <f>K9843</f>
        <v>990</v>
      </c>
      <c r="L9845" s="250">
        <v>1</v>
      </c>
      <c r="M9845" s="163"/>
      <c r="N9845" s="278">
        <f>Лист1!M6903</f>
        <v>0</v>
      </c>
      <c r="O9845" s="280">
        <f>MROUND(N9845*G9845,0.000001)</f>
        <v>0</v>
      </c>
      <c r="P9845" s="166"/>
      <c r="Q9845" s="166">
        <f t="shared" ref="Q9845:Q9846" si="2828">O9845*K9845</f>
        <v>0</v>
      </c>
      <c r="R9845" s="71"/>
      <c r="S9845" s="71"/>
    </row>
    <row r="9846" spans="1:19" s="61" customFormat="1" ht="47.25" x14ac:dyDescent="0.25">
      <c r="A9846" s="358"/>
      <c r="B9846" s="361"/>
      <c r="C9846" s="364"/>
      <c r="D9846" s="255" t="s">
        <v>113</v>
      </c>
      <c r="E9846" s="156" t="s">
        <v>28</v>
      </c>
      <c r="F9846" s="156" t="s">
        <v>240</v>
      </c>
      <c r="G9846" s="238">
        <f>MROUND(H9846*L9846*I9846/K9846,0.000001)</f>
        <v>1.5948999999999998E-2</v>
      </c>
      <c r="H9846" s="158">
        <f>Лист1!K407</f>
        <v>20</v>
      </c>
      <c r="I9846" s="159">
        <f>I9845</f>
        <v>0.78948599999999991</v>
      </c>
      <c r="J9846" s="160"/>
      <c r="K9846" s="161">
        <f>K9845</f>
        <v>990</v>
      </c>
      <c r="L9846" s="250">
        <v>1</v>
      </c>
      <c r="M9846" s="163" t="str">
        <f>CONCATENATE(H9846," ",F9846,"*",I9846,"/",K9846,"чел/час")</f>
        <v>20 светильников (потребность учреждений)*0,789486/990чел/час</v>
      </c>
      <c r="N9846" s="278">
        <f>Лист1!M407</f>
        <v>115.61000000000001</v>
      </c>
      <c r="O9846" s="280">
        <f>MROUND(N9846*G9846,0.000001)</f>
        <v>1.8438639999999999</v>
      </c>
      <c r="P9846" s="166"/>
      <c r="Q9846" s="166">
        <f t="shared" si="2828"/>
        <v>1825.42536</v>
      </c>
      <c r="R9846" s="71"/>
      <c r="S9846" s="71"/>
    </row>
    <row r="9847" spans="1:19" s="62" customFormat="1" x14ac:dyDescent="0.25">
      <c r="A9847" s="359"/>
      <c r="B9847" s="362"/>
      <c r="C9847" s="218" t="s">
        <v>301</v>
      </c>
      <c r="D9847" s="256"/>
      <c r="E9847" s="240"/>
      <c r="F9847" s="240"/>
      <c r="G9847" s="227"/>
      <c r="H9847" s="241"/>
      <c r="I9847" s="206"/>
      <c r="J9847" s="228"/>
      <c r="K9847" s="207"/>
      <c r="L9847" s="257"/>
      <c r="M9847" s="209"/>
      <c r="N9847" s="281"/>
      <c r="O9847" s="279">
        <f>O9845+O9846</f>
        <v>1.8438639999999999</v>
      </c>
      <c r="P9847" s="267"/>
      <c r="Q9847" s="166"/>
      <c r="R9847" s="71"/>
    </row>
    <row r="9848" spans="1:19" s="61" customFormat="1" x14ac:dyDescent="0.25">
      <c r="A9848" s="357" t="str">
        <f>школы!$B$26</f>
        <v>Информационно-технологическое обеспечение образовательной деятельности</v>
      </c>
      <c r="B9848" s="360" t="str">
        <f>школы!$A$26</f>
        <v>48Д72100000000000003101</v>
      </c>
      <c r="C9848" s="194"/>
      <c r="D9848" s="363" t="s">
        <v>15</v>
      </c>
      <c r="E9848" s="363"/>
      <c r="F9848" s="363"/>
      <c r="G9848" s="363"/>
      <c r="H9848" s="195"/>
      <c r="I9848" s="195"/>
      <c r="J9848" s="195"/>
      <c r="K9848" s="195"/>
      <c r="L9848" s="196"/>
      <c r="M9848" s="197"/>
      <c r="N9848" s="278"/>
      <c r="O9848" s="279">
        <f>O9849+O9854+O9857</f>
        <v>10836.826347620501</v>
      </c>
      <c r="P9848" s="166"/>
      <c r="Q9848" s="166">
        <f t="shared" ref="Q9848:Q9850" si="2829">O9848*K9848</f>
        <v>0</v>
      </c>
      <c r="R9848" s="71"/>
    </row>
    <row r="9849" spans="1:19" s="61" customFormat="1" x14ac:dyDescent="0.25">
      <c r="A9849" s="358"/>
      <c r="B9849" s="361"/>
      <c r="C9849" s="194"/>
      <c r="D9849" s="350" t="s">
        <v>62</v>
      </c>
      <c r="E9849" s="350"/>
      <c r="F9849" s="350"/>
      <c r="G9849" s="350"/>
      <c r="H9849" s="195"/>
      <c r="I9849" s="195"/>
      <c r="J9849" s="195"/>
      <c r="K9849" s="195"/>
      <c r="L9849" s="196"/>
      <c r="M9849" s="197"/>
      <c r="N9849" s="278"/>
      <c r="O9849" s="279">
        <f>O9851+O9853</f>
        <v>10693.5523756205</v>
      </c>
      <c r="P9849" s="166"/>
      <c r="Q9849" s="166">
        <f t="shared" si="2829"/>
        <v>0</v>
      </c>
      <c r="R9849" s="71"/>
    </row>
    <row r="9850" spans="1:19" s="61" customFormat="1" x14ac:dyDescent="0.25">
      <c r="A9850" s="358"/>
      <c r="B9850" s="361"/>
      <c r="C9850" s="194">
        <v>211</v>
      </c>
      <c r="D9850" s="194" t="s">
        <v>86</v>
      </c>
      <c r="E9850" s="199" t="s">
        <v>95</v>
      </c>
      <c r="F9850" s="199" t="s">
        <v>95</v>
      </c>
      <c r="G9850" s="275">
        <f>MROUND(H9850*L9850*I9850/K9850,0.00000000001)</f>
        <v>0.46909122580999996</v>
      </c>
      <c r="H9850" s="201">
        <f>$H$2976</f>
        <v>49</v>
      </c>
      <c r="I9850" s="159">
        <f>школы!$K$26</f>
        <v>2.4731E-2</v>
      </c>
      <c r="J9850" s="159"/>
      <c r="K9850" s="161">
        <f>школы!$G$26</f>
        <v>31</v>
      </c>
      <c r="L9850" s="202">
        <v>12</v>
      </c>
      <c r="M9850" s="163" t="str">
        <f>CONCATENATE(H9850," ",F9850," ","в мес.","*",L9850,"мес.","*",I9850,"/",K9850,"чел/час")</f>
        <v>49 шт.ед в мес.*12мес.*0,024731/31чел/час</v>
      </c>
      <c r="N9850" s="278">
        <f>N9753</f>
        <v>17508.692159863946</v>
      </c>
      <c r="O9850" s="280">
        <f>MROUND(N9850*G9850,0.0000000001)</f>
        <v>8213.1738676005007</v>
      </c>
      <c r="P9850" s="166"/>
      <c r="Q9850" s="166">
        <f t="shared" si="2829"/>
        <v>254608.38989561552</v>
      </c>
      <c r="R9850" s="71"/>
    </row>
    <row r="9851" spans="1:19" s="62" customFormat="1" x14ac:dyDescent="0.25">
      <c r="A9851" s="358"/>
      <c r="B9851" s="361"/>
      <c r="C9851" s="203" t="s">
        <v>288</v>
      </c>
      <c r="D9851" s="203"/>
      <c r="E9851" s="204"/>
      <c r="F9851" s="204"/>
      <c r="G9851" s="205"/>
      <c r="H9851" s="206"/>
      <c r="I9851" s="206"/>
      <c r="J9851" s="206"/>
      <c r="K9851" s="207"/>
      <c r="L9851" s="208"/>
      <c r="M9851" s="209"/>
      <c r="N9851" s="281"/>
      <c r="O9851" s="279">
        <f>O9850</f>
        <v>8213.1738676005007</v>
      </c>
      <c r="P9851" s="267"/>
      <c r="Q9851" s="166"/>
      <c r="R9851" s="71"/>
    </row>
    <row r="9852" spans="1:19" s="61" customFormat="1" x14ac:dyDescent="0.25">
      <c r="A9852" s="358"/>
      <c r="B9852" s="361"/>
      <c r="C9852" s="194">
        <v>213</v>
      </c>
      <c r="D9852" s="194" t="s">
        <v>87</v>
      </c>
      <c r="E9852" s="194" t="s">
        <v>88</v>
      </c>
      <c r="F9852" s="194"/>
      <c r="G9852" s="211">
        <v>30.2</v>
      </c>
      <c r="H9852" s="159"/>
      <c r="I9852" s="159">
        <f>I9850</f>
        <v>2.4731E-2</v>
      </c>
      <c r="J9852" s="159"/>
      <c r="K9852" s="161">
        <f>K9850</f>
        <v>31</v>
      </c>
      <c r="L9852" s="202"/>
      <c r="M9852" s="212"/>
      <c r="N9852" s="278"/>
      <c r="O9852" s="280">
        <f>MROUND(O9850*0.302,0.00000001)</f>
        <v>2480.37850802</v>
      </c>
      <c r="P9852" s="166"/>
      <c r="Q9852" s="166">
        <f t="shared" ref="Q9852" si="2830">O9852*K9852</f>
        <v>76891.733748619998</v>
      </c>
      <c r="R9852" s="71"/>
    </row>
    <row r="9853" spans="1:19" s="62" customFormat="1" x14ac:dyDescent="0.25">
      <c r="A9853" s="358"/>
      <c r="B9853" s="361"/>
      <c r="C9853" s="203" t="s">
        <v>289</v>
      </c>
      <c r="D9853" s="203"/>
      <c r="E9853" s="203"/>
      <c r="F9853" s="203"/>
      <c r="G9853" s="213"/>
      <c r="H9853" s="214"/>
      <c r="I9853" s="206"/>
      <c r="J9853" s="214"/>
      <c r="K9853" s="207"/>
      <c r="L9853" s="215"/>
      <c r="M9853" s="216"/>
      <c r="N9853" s="281"/>
      <c r="O9853" s="279">
        <f>O9852</f>
        <v>2480.37850802</v>
      </c>
      <c r="P9853" s="267"/>
      <c r="Q9853" s="166"/>
      <c r="R9853" s="71"/>
    </row>
    <row r="9854" spans="1:19" s="61" customFormat="1" x14ac:dyDescent="0.25">
      <c r="A9854" s="358"/>
      <c r="B9854" s="361"/>
      <c r="C9854" s="194"/>
      <c r="D9854" s="356" t="s">
        <v>63</v>
      </c>
      <c r="E9854" s="356"/>
      <c r="F9854" s="356"/>
      <c r="G9854" s="356"/>
      <c r="H9854" s="195"/>
      <c r="I9854" s="159"/>
      <c r="J9854" s="195"/>
      <c r="K9854" s="161"/>
      <c r="L9854" s="196"/>
      <c r="M9854" s="197"/>
      <c r="N9854" s="278"/>
      <c r="O9854" s="279">
        <f>O9855</f>
        <v>143.27397199999999</v>
      </c>
      <c r="P9854" s="166"/>
      <c r="Q9854" s="166">
        <f t="shared" ref="Q9854:Q9855" si="2831">O9854*K9854</f>
        <v>0</v>
      </c>
      <c r="R9854" s="71"/>
    </row>
    <row r="9855" spans="1:19" s="61" customFormat="1" x14ac:dyDescent="0.25">
      <c r="A9855" s="358"/>
      <c r="B9855" s="361"/>
      <c r="C9855" s="194">
        <v>346</v>
      </c>
      <c r="D9855" s="194" t="s">
        <v>259</v>
      </c>
      <c r="E9855" s="194" t="s">
        <v>260</v>
      </c>
      <c r="F9855" s="194" t="s">
        <v>261</v>
      </c>
      <c r="G9855" s="238">
        <f>MROUND(H9855*L9855*I9855/K9855,0.000001)</f>
        <v>0.19545499999999999</v>
      </c>
      <c r="H9855" s="283">
        <f>H9758</f>
        <v>245</v>
      </c>
      <c r="I9855" s="159">
        <f>I9852</f>
        <v>2.4731E-2</v>
      </c>
      <c r="J9855" s="195"/>
      <c r="K9855" s="161">
        <f>K9852</f>
        <v>31</v>
      </c>
      <c r="L9855" s="196">
        <v>1</v>
      </c>
      <c r="M9855" s="163" t="str">
        <f>CONCATENATE(H9855," ",F9855,"*",I9855,"/",K9855,"чел/час")</f>
        <v>245 упаковок*0,024731/31чел/час</v>
      </c>
      <c r="N9855" s="278">
        <f>N9758</f>
        <v>733.02791836734696</v>
      </c>
      <c r="O9855" s="280">
        <f>MROUND(N9855*G9855,0.000001)</f>
        <v>143.27397199999999</v>
      </c>
      <c r="P9855" s="166"/>
      <c r="Q9855" s="166">
        <f t="shared" si="2831"/>
        <v>4441.4931319999996</v>
      </c>
      <c r="R9855" s="71"/>
    </row>
    <row r="9856" spans="1:19" s="62" customFormat="1" x14ac:dyDescent="0.25">
      <c r="A9856" s="358"/>
      <c r="B9856" s="361"/>
      <c r="C9856" s="203" t="s">
        <v>356</v>
      </c>
      <c r="D9856" s="203"/>
      <c r="E9856" s="203"/>
      <c r="F9856" s="203"/>
      <c r="G9856" s="227"/>
      <c r="H9856" s="214"/>
      <c r="I9856" s="206"/>
      <c r="J9856" s="214"/>
      <c r="K9856" s="207"/>
      <c r="L9856" s="215"/>
      <c r="M9856" s="209"/>
      <c r="N9856" s="281"/>
      <c r="O9856" s="279">
        <f>O9855</f>
        <v>143.27397199999999</v>
      </c>
      <c r="P9856" s="267"/>
      <c r="Q9856" s="166"/>
      <c r="R9856" s="71"/>
    </row>
    <row r="9857" spans="1:18" s="61" customFormat="1" x14ac:dyDescent="0.25">
      <c r="A9857" s="358"/>
      <c r="B9857" s="361"/>
      <c r="C9857" s="194"/>
      <c r="D9857" s="350" t="s">
        <v>64</v>
      </c>
      <c r="E9857" s="350"/>
      <c r="F9857" s="350"/>
      <c r="G9857" s="350"/>
      <c r="H9857" s="195"/>
      <c r="I9857" s="159"/>
      <c r="J9857" s="195"/>
      <c r="K9857" s="161"/>
      <c r="L9857" s="196"/>
      <c r="M9857" s="197"/>
      <c r="N9857" s="278"/>
      <c r="O9857" s="280"/>
      <c r="P9857" s="166"/>
      <c r="Q9857" s="166">
        <f t="shared" ref="Q9857:Q9867" si="2832">O9857*K9857</f>
        <v>0</v>
      </c>
      <c r="R9857" s="71"/>
    </row>
    <row r="9858" spans="1:18" s="61" customFormat="1" x14ac:dyDescent="0.25">
      <c r="A9858" s="358"/>
      <c r="B9858" s="361"/>
      <c r="C9858" s="194"/>
      <c r="D9858" s="194"/>
      <c r="E9858" s="194"/>
      <c r="F9858" s="194"/>
      <c r="G9858" s="217"/>
      <c r="H9858" s="195"/>
      <c r="I9858" s="159"/>
      <c r="J9858" s="195"/>
      <c r="K9858" s="161"/>
      <c r="L9858" s="196"/>
      <c r="M9858" s="197"/>
      <c r="N9858" s="278"/>
      <c r="O9858" s="280"/>
      <c r="P9858" s="166"/>
      <c r="Q9858" s="166">
        <f t="shared" si="2832"/>
        <v>0</v>
      </c>
      <c r="R9858" s="71"/>
    </row>
    <row r="9859" spans="1:18" s="61" customFormat="1" x14ac:dyDescent="0.25">
      <c r="A9859" s="358"/>
      <c r="B9859" s="361"/>
      <c r="C9859" s="194"/>
      <c r="D9859" s="355" t="s">
        <v>5</v>
      </c>
      <c r="E9859" s="355"/>
      <c r="F9859" s="355"/>
      <c r="G9859" s="355"/>
      <c r="H9859" s="195"/>
      <c r="I9859" s="159"/>
      <c r="J9859" s="195"/>
      <c r="K9859" s="161"/>
      <c r="L9859" s="196"/>
      <c r="M9859" s="197"/>
      <c r="N9859" s="278"/>
      <c r="O9859" s="279">
        <f>O9860+O9869+O9880+O9882+O9893</f>
        <v>1730.7841680000001</v>
      </c>
      <c r="P9859" s="166"/>
      <c r="Q9859" s="166">
        <f t="shared" si="2832"/>
        <v>0</v>
      </c>
      <c r="R9859" s="71"/>
    </row>
    <row r="9860" spans="1:18" s="61" customFormat="1" x14ac:dyDescent="0.25">
      <c r="A9860" s="358"/>
      <c r="B9860" s="361"/>
      <c r="C9860" s="221" t="s">
        <v>70</v>
      </c>
      <c r="D9860" s="355" t="s">
        <v>6</v>
      </c>
      <c r="E9860" s="355"/>
      <c r="F9860" s="355"/>
      <c r="G9860" s="355"/>
      <c r="H9860" s="189"/>
      <c r="I9860" s="159"/>
      <c r="J9860" s="189"/>
      <c r="K9860" s="161"/>
      <c r="L9860" s="190"/>
      <c r="M9860" s="197"/>
      <c r="N9860" s="278"/>
      <c r="O9860" s="279">
        <f>O9861+O9862+O9863+O9864+O9865+O9866+O9867</f>
        <v>656.20790599999998</v>
      </c>
      <c r="P9860" s="166"/>
      <c r="Q9860" s="166">
        <f t="shared" si="2832"/>
        <v>0</v>
      </c>
      <c r="R9860" s="71"/>
    </row>
    <row r="9861" spans="1:18" s="61" customFormat="1" ht="31.5" x14ac:dyDescent="0.25">
      <c r="A9861" s="358"/>
      <c r="B9861" s="361"/>
      <c r="C9861" s="221" t="s">
        <v>72</v>
      </c>
      <c r="D9861" s="222" t="s">
        <v>7</v>
      </c>
      <c r="E9861" s="223" t="s">
        <v>8</v>
      </c>
      <c r="F9861" s="223" t="s">
        <v>8</v>
      </c>
      <c r="G9861" s="238">
        <f>MROUND(H9861*L9861*I9861/K9861,0.00000001)</f>
        <v>9.8686480500000009</v>
      </c>
      <c r="H9861" s="160">
        <f t="shared" ref="H9861:H9867" si="2833">H9764</f>
        <v>12370.227223490891</v>
      </c>
      <c r="I9861" s="159">
        <f>I9855</f>
        <v>2.4731E-2</v>
      </c>
      <c r="J9861" s="160"/>
      <c r="K9861" s="161">
        <f>K9855</f>
        <v>31</v>
      </c>
      <c r="L9861" s="250">
        <v>1</v>
      </c>
      <c r="M9861" s="163" t="str">
        <f>CONCATENATE(H9861," ",F9861,"(лимиты выделенные УЖКХ) ","*",I9861,"/",K9861,"чел/час")</f>
        <v>12370,2272234909 кВт час.(лимиты выделенные УЖКХ) *0,024731/31чел/час</v>
      </c>
      <c r="N9861" s="278">
        <f t="shared" ref="N9861:N9867" si="2834">N9764</f>
        <v>11.380655137252312</v>
      </c>
      <c r="O9861" s="280">
        <f t="shared" ref="O9861:O9867" si="2835">MROUND(N9861*G9861,0.000001)</f>
        <v>112.31168</v>
      </c>
      <c r="P9861" s="166"/>
      <c r="Q9861" s="166">
        <f t="shared" si="2832"/>
        <v>3481.6620800000001</v>
      </c>
      <c r="R9861" s="71"/>
    </row>
    <row r="9862" spans="1:18" s="61" customFormat="1" ht="31.5" x14ac:dyDescent="0.25">
      <c r="A9862" s="358"/>
      <c r="B9862" s="361"/>
      <c r="C9862" s="221" t="s">
        <v>73</v>
      </c>
      <c r="D9862" s="222" t="s">
        <v>9</v>
      </c>
      <c r="E9862" s="223" t="s">
        <v>10</v>
      </c>
      <c r="F9862" s="223" t="s">
        <v>10</v>
      </c>
      <c r="G9862" s="238">
        <f>MROUND(H9862*L9862*I9862/K9862,0.00000001)</f>
        <v>0.13562161</v>
      </c>
      <c r="H9862" s="160">
        <f t="shared" si="2833"/>
        <v>170</v>
      </c>
      <c r="I9862" s="159">
        <f t="shared" ref="I9862:I9924" si="2836">I9861</f>
        <v>2.4731E-2</v>
      </c>
      <c r="J9862" s="160"/>
      <c r="K9862" s="161">
        <f t="shared" ref="K9862:K9924" si="2837">K9861</f>
        <v>31</v>
      </c>
      <c r="L9862" s="250">
        <v>1</v>
      </c>
      <c r="M9862" s="163" t="str">
        <f>CONCATENATE(H9862," ",F9862,"(лимиты выделенные УЖКХ) ","*",I9862,"/",K9862,"чел/час")</f>
        <v>170 Гкал(лимиты выделенные УЖКХ) *0,024731/31чел/час</v>
      </c>
      <c r="N9862" s="278">
        <f t="shared" si="2834"/>
        <v>3095.3018235294112</v>
      </c>
      <c r="O9862" s="280">
        <f t="shared" si="2835"/>
        <v>419.78981699999997</v>
      </c>
      <c r="P9862" s="166"/>
      <c r="Q9862" s="166">
        <f t="shared" si="2832"/>
        <v>13013.484326999998</v>
      </c>
      <c r="R9862" s="71"/>
    </row>
    <row r="9863" spans="1:18" s="61" customFormat="1" ht="31.5" x14ac:dyDescent="0.25">
      <c r="A9863" s="358"/>
      <c r="B9863" s="361"/>
      <c r="C9863" s="364" t="s">
        <v>74</v>
      </c>
      <c r="D9863" s="222" t="s">
        <v>12</v>
      </c>
      <c r="E9863" s="222" t="s">
        <v>11</v>
      </c>
      <c r="F9863" s="222" t="s">
        <v>11</v>
      </c>
      <c r="G9863" s="238">
        <f>MROUND(H9863*L9863*I9863/K9863,0.000001)</f>
        <v>0.282667</v>
      </c>
      <c r="H9863" s="224">
        <f t="shared" si="2833"/>
        <v>354.32</v>
      </c>
      <c r="I9863" s="159">
        <f t="shared" si="2836"/>
        <v>2.4731E-2</v>
      </c>
      <c r="J9863" s="160"/>
      <c r="K9863" s="161">
        <f t="shared" si="2837"/>
        <v>31</v>
      </c>
      <c r="L9863" s="250">
        <v>1</v>
      </c>
      <c r="M9863" s="163" t="str">
        <f>CONCATENATE(H9863," ",F9863,"(лимиты выделенные УЖКХ) ","*",I9863,"/",K9863,"чел/час")</f>
        <v>354,32 м3(лимиты выделенные УЖКХ) *0,024731/31чел/час</v>
      </c>
      <c r="N9863" s="278">
        <f t="shared" si="2834"/>
        <v>56.382747234138634</v>
      </c>
      <c r="O9863" s="280">
        <f t="shared" si="2835"/>
        <v>15.937541999999999</v>
      </c>
      <c r="P9863" s="166"/>
      <c r="Q9863" s="166">
        <f t="shared" si="2832"/>
        <v>494.06380199999995</v>
      </c>
      <c r="R9863" s="71"/>
    </row>
    <row r="9864" spans="1:18" s="61" customFormat="1" ht="47.25" x14ac:dyDescent="0.25">
      <c r="A9864" s="358"/>
      <c r="B9864" s="361"/>
      <c r="C9864" s="364"/>
      <c r="D9864" s="222" t="s">
        <v>17</v>
      </c>
      <c r="E9864" s="222" t="s">
        <v>11</v>
      </c>
      <c r="F9864" s="222" t="s">
        <v>11</v>
      </c>
      <c r="G9864" s="238">
        <f>MROUND(H9864*L9864*I9864/K9864,0.00000001)</f>
        <v>0.28266734999999998</v>
      </c>
      <c r="H9864" s="160">
        <f t="shared" si="2833"/>
        <v>354.32</v>
      </c>
      <c r="I9864" s="159">
        <f t="shared" si="2836"/>
        <v>2.4731E-2</v>
      </c>
      <c r="J9864" s="160"/>
      <c r="K9864" s="161">
        <f t="shared" si="2837"/>
        <v>31</v>
      </c>
      <c r="L9864" s="162">
        <v>1</v>
      </c>
      <c r="M9864" s="163" t="str">
        <f>CONCATENATE(H9864," ",F9864,"(лимиты выделенные УЖКХ) ","*",I9864,"/",K9864,"чел/час")</f>
        <v>354,32 м3(лимиты выделенные УЖКХ) *0,024731/31чел/час</v>
      </c>
      <c r="N9864" s="164">
        <f t="shared" si="2834"/>
        <v>85.679537612054801</v>
      </c>
      <c r="O9864" s="280">
        <f t="shared" si="2835"/>
        <v>24.218807999999999</v>
      </c>
      <c r="P9864" s="166"/>
      <c r="Q9864" s="166">
        <f t="shared" si="2832"/>
        <v>750.78304800000001</v>
      </c>
      <c r="R9864" s="71"/>
    </row>
    <row r="9865" spans="1:18" s="61" customFormat="1" ht="31.5" x14ac:dyDescent="0.25">
      <c r="A9865" s="358"/>
      <c r="B9865" s="361"/>
      <c r="C9865" s="364"/>
      <c r="D9865" s="222" t="s">
        <v>13</v>
      </c>
      <c r="E9865" s="222" t="s">
        <v>11</v>
      </c>
      <c r="F9865" s="222" t="s">
        <v>11</v>
      </c>
      <c r="G9865" s="238">
        <f>MROUND(H9865*L9865*I9865/K9865,0.00000001)</f>
        <v>0.28266734999999998</v>
      </c>
      <c r="H9865" s="160">
        <f t="shared" si="2833"/>
        <v>354.32</v>
      </c>
      <c r="I9865" s="159">
        <f t="shared" si="2836"/>
        <v>2.4731E-2</v>
      </c>
      <c r="J9865" s="160"/>
      <c r="K9865" s="161">
        <f t="shared" si="2837"/>
        <v>31</v>
      </c>
      <c r="L9865" s="162">
        <v>1</v>
      </c>
      <c r="M9865" s="163" t="str">
        <f>CONCATENATE(H9865," ",F9865,"(лимиты выделенные УЖКХ) ","*",I9865,"/",K9865,"чел/час")</f>
        <v>354,32 м3(лимиты выделенные УЖКХ) *0,024731/31чел/час</v>
      </c>
      <c r="N9865" s="278">
        <f t="shared" si="2834"/>
        <v>104.6284466959154</v>
      </c>
      <c r="O9865" s="280">
        <f t="shared" si="2835"/>
        <v>29.575046</v>
      </c>
      <c r="P9865" s="166"/>
      <c r="Q9865" s="166">
        <f t="shared" si="2832"/>
        <v>916.82642599999997</v>
      </c>
      <c r="R9865" s="71"/>
    </row>
    <row r="9866" spans="1:18" s="61" customFormat="1" x14ac:dyDescent="0.25">
      <c r="A9866" s="358"/>
      <c r="B9866" s="361"/>
      <c r="C9866" s="364" t="s">
        <v>216</v>
      </c>
      <c r="D9866" s="222" t="s">
        <v>23</v>
      </c>
      <c r="E9866" s="222" t="s">
        <v>11</v>
      </c>
      <c r="F9866" s="222" t="s">
        <v>11</v>
      </c>
      <c r="G9866" s="238">
        <f>MROUND(H9866*L9866*I9866/K9866,0.00000001)</f>
        <v>5.0546970000000004E-2</v>
      </c>
      <c r="H9866" s="160">
        <f t="shared" si="2833"/>
        <v>63.36</v>
      </c>
      <c r="I9866" s="159">
        <f t="shared" si="2836"/>
        <v>2.4731E-2</v>
      </c>
      <c r="J9866" s="160"/>
      <c r="K9866" s="161">
        <f t="shared" si="2837"/>
        <v>31</v>
      </c>
      <c r="L9866" s="162">
        <v>1</v>
      </c>
      <c r="M9866" s="163" t="str">
        <f>CONCATENATE(H9866," ",F9866," ","*",I9866,"/",K9866,"чел/час")</f>
        <v>63,36 м3 *0,024731/31чел/час</v>
      </c>
      <c r="N9866" s="164">
        <f t="shared" si="2834"/>
        <v>714.74810606060612</v>
      </c>
      <c r="O9866" s="280">
        <f t="shared" si="2835"/>
        <v>36.128350999999995</v>
      </c>
      <c r="P9866" s="166"/>
      <c r="Q9866" s="166">
        <f t="shared" si="2832"/>
        <v>1119.9788809999998</v>
      </c>
      <c r="R9866" s="71"/>
    </row>
    <row r="9867" spans="1:18" s="61" customFormat="1" ht="47.25" x14ac:dyDescent="0.25">
      <c r="A9867" s="358"/>
      <c r="B9867" s="361"/>
      <c r="C9867" s="364"/>
      <c r="D9867" s="222" t="s">
        <v>24</v>
      </c>
      <c r="E9867" s="222" t="s">
        <v>25</v>
      </c>
      <c r="F9867" s="222" t="s">
        <v>248</v>
      </c>
      <c r="G9867" s="238">
        <f>MROUND(H9867*L9867*I9867/K9867,0.00000001)</f>
        <v>3.1911000000000001E-3</v>
      </c>
      <c r="H9867" s="160">
        <f t="shared" si="2833"/>
        <v>4</v>
      </c>
      <c r="I9867" s="159">
        <f t="shared" si="2836"/>
        <v>2.4731E-2</v>
      </c>
      <c r="J9867" s="160"/>
      <c r="K9867" s="161">
        <f t="shared" si="2837"/>
        <v>31</v>
      </c>
      <c r="L9867" s="250">
        <v>1</v>
      </c>
      <c r="M9867" s="163" t="str">
        <f>CONCATENATE(H9867," ",F9867,"(потребность из расчета 4 контейнера для уборки территории весной и осенью на 1 учреждение)","*",I9867,"/",K9867,"чел/час")</f>
        <v>4 контейнеров(потребность из расчета 4 контейнера для уборки территории весной и осенью на 1 учреждение)*0,024731/31чел/час</v>
      </c>
      <c r="N9867" s="278">
        <f t="shared" si="2834"/>
        <v>5717.9849999999997</v>
      </c>
      <c r="O9867" s="280">
        <f t="shared" si="2835"/>
        <v>18.246662000000001</v>
      </c>
      <c r="P9867" s="166"/>
      <c r="Q9867" s="166">
        <f t="shared" si="2832"/>
        <v>565.646522</v>
      </c>
      <c r="R9867" s="71"/>
    </row>
    <row r="9868" spans="1:18" s="62" customFormat="1" x14ac:dyDescent="0.25">
      <c r="A9868" s="358"/>
      <c r="B9868" s="361"/>
      <c r="C9868" s="218" t="s">
        <v>290</v>
      </c>
      <c r="D9868" s="226"/>
      <c r="E9868" s="226"/>
      <c r="F9868" s="226"/>
      <c r="G9868" s="227"/>
      <c r="H9868" s="228"/>
      <c r="I9868" s="206"/>
      <c r="J9868" s="228"/>
      <c r="K9868" s="207"/>
      <c r="L9868" s="257"/>
      <c r="M9868" s="209"/>
      <c r="N9868" s="281"/>
      <c r="O9868" s="279">
        <f>SUM(O9861:O9867)</f>
        <v>656.20790599999998</v>
      </c>
      <c r="P9868" s="267"/>
      <c r="Q9868" s="166"/>
      <c r="R9868" s="71"/>
    </row>
    <row r="9869" spans="1:18" s="61" customFormat="1" x14ac:dyDescent="0.25">
      <c r="A9869" s="358"/>
      <c r="B9869" s="361"/>
      <c r="C9869" s="221"/>
      <c r="D9869" s="356" t="s">
        <v>14</v>
      </c>
      <c r="E9869" s="356"/>
      <c r="F9869" s="356"/>
      <c r="G9869" s="356"/>
      <c r="H9869" s="188"/>
      <c r="I9869" s="159"/>
      <c r="J9869" s="188"/>
      <c r="K9869" s="161"/>
      <c r="L9869" s="250"/>
      <c r="M9869" s="230"/>
      <c r="N9869" s="278"/>
      <c r="O9869" s="279">
        <f>O9873+O9877+O9879</f>
        <v>0</v>
      </c>
      <c r="P9869" s="166"/>
      <c r="Q9869" s="166">
        <f t="shared" ref="Q9869" si="2838">O9869*K9869</f>
        <v>0</v>
      </c>
      <c r="R9869" s="71"/>
    </row>
    <row r="9870" spans="1:18" s="61" customFormat="1" x14ac:dyDescent="0.25">
      <c r="A9870" s="358"/>
      <c r="B9870" s="361"/>
      <c r="C9870" s="365" t="s">
        <v>379</v>
      </c>
      <c r="D9870" s="231" t="s">
        <v>49</v>
      </c>
      <c r="E9870" s="231" t="s">
        <v>22</v>
      </c>
      <c r="F9870" s="231" t="s">
        <v>22</v>
      </c>
      <c r="G9870" s="238">
        <f>MROUND(H9870*L9870*I9870/K9870,0.000001)</f>
        <v>0</v>
      </c>
      <c r="H9870" s="160"/>
      <c r="I9870" s="159">
        <f>I9865</f>
        <v>2.4731E-2</v>
      </c>
      <c r="J9870" s="160"/>
      <c r="K9870" s="161">
        <f>K9865</f>
        <v>31</v>
      </c>
      <c r="L9870" s="250"/>
      <c r="M9870" s="163"/>
      <c r="N9870" s="278"/>
      <c r="O9870" s="280">
        <f>MROUND(N9870*G9870,0.000001)</f>
        <v>0</v>
      </c>
      <c r="P9870" s="166"/>
      <c r="Q9870" s="166">
        <f>O9870*K9870</f>
        <v>0</v>
      </c>
      <c r="R9870" s="71"/>
    </row>
    <row r="9871" spans="1:18" s="61" customFormat="1" x14ac:dyDescent="0.25">
      <c r="A9871" s="358"/>
      <c r="B9871" s="361"/>
      <c r="C9871" s="366"/>
      <c r="D9871" s="231" t="s">
        <v>49</v>
      </c>
      <c r="E9871" s="231" t="s">
        <v>28</v>
      </c>
      <c r="F9871" s="231" t="s">
        <v>28</v>
      </c>
      <c r="G9871" s="238">
        <f>MROUND(H9871*L9871*I9871/K9871,0.000001)</f>
        <v>0</v>
      </c>
      <c r="H9871" s="160"/>
      <c r="I9871" s="159">
        <f t="shared" si="2836"/>
        <v>2.4731E-2</v>
      </c>
      <c r="J9871" s="160"/>
      <c r="K9871" s="161">
        <f t="shared" si="2837"/>
        <v>31</v>
      </c>
      <c r="L9871" s="250">
        <v>2</v>
      </c>
      <c r="M9871" s="163"/>
      <c r="N9871" s="278"/>
      <c r="O9871" s="280">
        <f>MROUND(N9871*G9871,0.000001)</f>
        <v>0</v>
      </c>
      <c r="P9871" s="166"/>
      <c r="Q9871" s="166"/>
      <c r="R9871" s="71"/>
    </row>
    <row r="9872" spans="1:18" s="61" customFormat="1" x14ac:dyDescent="0.25">
      <c r="A9872" s="358"/>
      <c r="B9872" s="361"/>
      <c r="C9872" s="367"/>
      <c r="D9872" s="231" t="s">
        <v>49</v>
      </c>
      <c r="E9872" s="231" t="s">
        <v>101</v>
      </c>
      <c r="F9872" s="231" t="s">
        <v>101</v>
      </c>
      <c r="G9872" s="238">
        <f>MROUND(H9872*L9872*I9872/K9872,0.00000001)</f>
        <v>0</v>
      </c>
      <c r="H9872" s="160"/>
      <c r="I9872" s="159">
        <f>I9870</f>
        <v>2.4731E-2</v>
      </c>
      <c r="J9872" s="160"/>
      <c r="K9872" s="161">
        <f>K9870</f>
        <v>31</v>
      </c>
      <c r="L9872" s="250">
        <v>1</v>
      </c>
      <c r="M9872" s="163"/>
      <c r="N9872" s="278"/>
      <c r="O9872" s="280">
        <f>MROUND(N9872*G9872,0.000001)</f>
        <v>0</v>
      </c>
      <c r="P9872" s="166"/>
      <c r="Q9872" s="166">
        <f>O9872*K9872</f>
        <v>0</v>
      </c>
      <c r="R9872" s="71"/>
    </row>
    <row r="9873" spans="1:18" s="62" customFormat="1" x14ac:dyDescent="0.25">
      <c r="A9873" s="358"/>
      <c r="B9873" s="361"/>
      <c r="C9873" s="218" t="s">
        <v>380</v>
      </c>
      <c r="D9873" s="232"/>
      <c r="E9873" s="232"/>
      <c r="F9873" s="232"/>
      <c r="G9873" s="227"/>
      <c r="H9873" s="228"/>
      <c r="I9873" s="206"/>
      <c r="J9873" s="228"/>
      <c r="K9873" s="207"/>
      <c r="L9873" s="257"/>
      <c r="M9873" s="209"/>
      <c r="N9873" s="281"/>
      <c r="O9873" s="279">
        <f>O9872+O9870+O9871</f>
        <v>0</v>
      </c>
      <c r="P9873" s="267"/>
      <c r="Q9873" s="166"/>
      <c r="R9873" s="71"/>
    </row>
    <row r="9874" spans="1:18" s="61" customFormat="1" x14ac:dyDescent="0.25">
      <c r="A9874" s="358"/>
      <c r="B9874" s="361"/>
      <c r="C9874" s="365" t="s">
        <v>76</v>
      </c>
      <c r="D9874" s="231" t="s">
        <v>49</v>
      </c>
      <c r="E9874" s="231" t="s">
        <v>22</v>
      </c>
      <c r="F9874" s="231" t="s">
        <v>22</v>
      </c>
      <c r="G9874" s="238">
        <f>MROUND(H9874*L9874*I9874/K9874,0.000001)</f>
        <v>0</v>
      </c>
      <c r="H9874" s="160"/>
      <c r="I9874" s="159">
        <f>I9870</f>
        <v>2.4731E-2</v>
      </c>
      <c r="J9874" s="160"/>
      <c r="K9874" s="161">
        <f>K9870</f>
        <v>31</v>
      </c>
      <c r="L9874" s="250">
        <v>1</v>
      </c>
      <c r="M9874" s="163"/>
      <c r="N9874" s="278"/>
      <c r="O9874" s="280">
        <f>MROUND(N9874*G9874,0.000001)</f>
        <v>0</v>
      </c>
      <c r="P9874" s="166"/>
      <c r="Q9874" s="166">
        <f t="shared" ref="Q9874" si="2839">O9874*K9874</f>
        <v>0</v>
      </c>
      <c r="R9874" s="71"/>
    </row>
    <row r="9875" spans="1:18" s="61" customFormat="1" x14ac:dyDescent="0.25">
      <c r="A9875" s="358"/>
      <c r="B9875" s="361"/>
      <c r="C9875" s="366"/>
      <c r="D9875" s="231" t="s">
        <v>49</v>
      </c>
      <c r="E9875" s="231" t="s">
        <v>28</v>
      </c>
      <c r="F9875" s="231" t="s">
        <v>28</v>
      </c>
      <c r="G9875" s="238">
        <f>MROUND(H9875*L9875*I9875/K9875,0.000001)</f>
        <v>0</v>
      </c>
      <c r="H9875" s="160"/>
      <c r="I9875" s="159">
        <f t="shared" si="2836"/>
        <v>2.4731E-2</v>
      </c>
      <c r="J9875" s="160"/>
      <c r="K9875" s="161">
        <f t="shared" si="2837"/>
        <v>31</v>
      </c>
      <c r="L9875" s="250">
        <v>2</v>
      </c>
      <c r="M9875" s="163"/>
      <c r="N9875" s="278"/>
      <c r="O9875" s="280">
        <f>MROUND(N9875*G9875,0.000001)</f>
        <v>0</v>
      </c>
      <c r="P9875" s="166"/>
      <c r="Q9875" s="166"/>
      <c r="R9875" s="71"/>
    </row>
    <row r="9876" spans="1:18" s="61" customFormat="1" x14ac:dyDescent="0.25">
      <c r="A9876" s="358"/>
      <c r="B9876" s="361"/>
      <c r="C9876" s="367"/>
      <c r="D9876" s="231" t="s">
        <v>49</v>
      </c>
      <c r="E9876" s="231" t="s">
        <v>101</v>
      </c>
      <c r="F9876" s="231" t="s">
        <v>101</v>
      </c>
      <c r="G9876" s="238">
        <f>MROUND(H9876*L9876*I9876/K9876,0.00000001)</f>
        <v>0</v>
      </c>
      <c r="H9876" s="160"/>
      <c r="I9876" s="159">
        <f>I9874</f>
        <v>2.4731E-2</v>
      </c>
      <c r="J9876" s="160"/>
      <c r="K9876" s="161">
        <f>K9874</f>
        <v>31</v>
      </c>
      <c r="L9876" s="250">
        <v>1</v>
      </c>
      <c r="M9876" s="163"/>
      <c r="N9876" s="278"/>
      <c r="O9876" s="280">
        <f>MROUND(N9876*G9876,0.000001)</f>
        <v>0</v>
      </c>
      <c r="P9876" s="166"/>
      <c r="Q9876" s="166">
        <f t="shared" ref="Q9876" si="2840">O9876*K9876</f>
        <v>0</v>
      </c>
      <c r="R9876" s="71"/>
    </row>
    <row r="9877" spans="1:18" s="62" customFormat="1" x14ac:dyDescent="0.25">
      <c r="A9877" s="358"/>
      <c r="B9877" s="361"/>
      <c r="C9877" s="218" t="s">
        <v>291</v>
      </c>
      <c r="D9877" s="232"/>
      <c r="E9877" s="232"/>
      <c r="F9877" s="232"/>
      <c r="G9877" s="227"/>
      <c r="H9877" s="228"/>
      <c r="I9877" s="206"/>
      <c r="J9877" s="228"/>
      <c r="K9877" s="207"/>
      <c r="L9877" s="257"/>
      <c r="M9877" s="209"/>
      <c r="N9877" s="281"/>
      <c r="O9877" s="279">
        <f>O9876+O9874+O9875</f>
        <v>0</v>
      </c>
      <c r="P9877" s="267"/>
      <c r="Q9877" s="166"/>
      <c r="R9877" s="71"/>
    </row>
    <row r="9878" spans="1:18" s="61" customFormat="1" x14ac:dyDescent="0.25">
      <c r="A9878" s="358"/>
      <c r="B9878" s="361"/>
      <c r="C9878" s="221" t="s">
        <v>77</v>
      </c>
      <c r="D9878" s="231"/>
      <c r="E9878" s="231"/>
      <c r="F9878" s="231"/>
      <c r="G9878" s="238">
        <f>MROUND(H9878*L9878*I9878/K9878,0.000001)</f>
        <v>0</v>
      </c>
      <c r="H9878" s="160"/>
      <c r="I9878" s="159">
        <f>I9874</f>
        <v>2.4731E-2</v>
      </c>
      <c r="J9878" s="160"/>
      <c r="K9878" s="161">
        <f>K9874</f>
        <v>31</v>
      </c>
      <c r="L9878" s="250"/>
      <c r="M9878" s="163"/>
      <c r="N9878" s="278">
        <f>N9781</f>
        <v>0</v>
      </c>
      <c r="O9878" s="280">
        <f>MROUND(N9878*G9878,0.000001)</f>
        <v>0</v>
      </c>
      <c r="P9878" s="166"/>
      <c r="Q9878" s="166">
        <f t="shared" ref="Q9878" si="2841">O9878*K9878</f>
        <v>0</v>
      </c>
      <c r="R9878" s="71"/>
    </row>
    <row r="9879" spans="1:18" s="62" customFormat="1" x14ac:dyDescent="0.25">
      <c r="A9879" s="358"/>
      <c r="B9879" s="361"/>
      <c r="C9879" s="218" t="s">
        <v>292</v>
      </c>
      <c r="D9879" s="232"/>
      <c r="E9879" s="232"/>
      <c r="F9879" s="232"/>
      <c r="G9879" s="227"/>
      <c r="H9879" s="228"/>
      <c r="I9879" s="206"/>
      <c r="J9879" s="228"/>
      <c r="K9879" s="207"/>
      <c r="L9879" s="257"/>
      <c r="M9879" s="209"/>
      <c r="N9879" s="281"/>
      <c r="O9879" s="279">
        <f>O9878</f>
        <v>0</v>
      </c>
      <c r="P9879" s="267"/>
      <c r="Q9879" s="166"/>
      <c r="R9879" s="71"/>
    </row>
    <row r="9880" spans="1:18" s="61" customFormat="1" x14ac:dyDescent="0.25">
      <c r="A9880" s="358"/>
      <c r="B9880" s="361"/>
      <c r="C9880" s="221"/>
      <c r="D9880" s="350" t="s">
        <v>65</v>
      </c>
      <c r="E9880" s="350"/>
      <c r="F9880" s="350"/>
      <c r="G9880" s="350"/>
      <c r="H9880" s="195"/>
      <c r="I9880" s="159"/>
      <c r="J9880" s="195"/>
      <c r="K9880" s="161"/>
      <c r="L9880" s="196"/>
      <c r="M9880" s="230"/>
      <c r="N9880" s="278"/>
      <c r="O9880" s="280"/>
      <c r="P9880" s="166"/>
      <c r="Q9880" s="166">
        <f t="shared" ref="Q9880:Q9887" si="2842">O9880*K9880</f>
        <v>0</v>
      </c>
      <c r="R9880" s="71"/>
    </row>
    <row r="9881" spans="1:18" s="61" customFormat="1" x14ac:dyDescent="0.25">
      <c r="A9881" s="358"/>
      <c r="B9881" s="361"/>
      <c r="C9881" s="221"/>
      <c r="D9881" s="194"/>
      <c r="E9881" s="194"/>
      <c r="F9881" s="194"/>
      <c r="G9881" s="217"/>
      <c r="H9881" s="195"/>
      <c r="I9881" s="159"/>
      <c r="J9881" s="195"/>
      <c r="K9881" s="161"/>
      <c r="L9881" s="196"/>
      <c r="M9881" s="230"/>
      <c r="N9881" s="278"/>
      <c r="O9881" s="280"/>
      <c r="P9881" s="166"/>
      <c r="Q9881" s="166">
        <f t="shared" si="2842"/>
        <v>0</v>
      </c>
      <c r="R9881" s="71"/>
    </row>
    <row r="9882" spans="1:18" s="61" customFormat="1" x14ac:dyDescent="0.25">
      <c r="A9882" s="358"/>
      <c r="B9882" s="361"/>
      <c r="C9882" s="221" t="s">
        <v>357</v>
      </c>
      <c r="D9882" s="368" t="s">
        <v>66</v>
      </c>
      <c r="E9882" s="368"/>
      <c r="F9882" s="368"/>
      <c r="G9882" s="368"/>
      <c r="H9882" s="195"/>
      <c r="I9882" s="159"/>
      <c r="J9882" s="195"/>
      <c r="K9882" s="161"/>
      <c r="L9882" s="196"/>
      <c r="M9882" s="230"/>
      <c r="N9882" s="278"/>
      <c r="O9882" s="279">
        <f>SUM(O9883:O9887)</f>
        <v>144.81802200000001</v>
      </c>
      <c r="P9882" s="166"/>
      <c r="Q9882" s="166">
        <f t="shared" si="2842"/>
        <v>0</v>
      </c>
      <c r="R9882" s="71"/>
    </row>
    <row r="9883" spans="1:18" s="61" customFormat="1" x14ac:dyDescent="0.25">
      <c r="A9883" s="358"/>
      <c r="B9883" s="361"/>
      <c r="C9883" s="365"/>
      <c r="D9883" s="284" t="s">
        <v>241</v>
      </c>
      <c r="E9883" s="156" t="s">
        <v>28</v>
      </c>
      <c r="F9883" s="156" t="s">
        <v>28</v>
      </c>
      <c r="G9883" s="238">
        <f>MROUND(H9883*L9883*I9883/K9883,0.000000001)</f>
        <v>4.7866452000000004E-2</v>
      </c>
      <c r="H9883" s="158">
        <f>H9786</f>
        <v>5</v>
      </c>
      <c r="I9883" s="159">
        <f>I9878</f>
        <v>2.4731E-2</v>
      </c>
      <c r="J9883" s="160"/>
      <c r="K9883" s="161">
        <f>K9878</f>
        <v>31</v>
      </c>
      <c r="L9883" s="250">
        <v>12</v>
      </c>
      <c r="M9883" s="163" t="str">
        <f>CONCATENATE(H9883," ",F9883,"*",L9883,"мес.","*",I9883,"/",K9883,"чел/час")</f>
        <v>5 шт*12мес.*0,024731/31чел/час</v>
      </c>
      <c r="N9883" s="278">
        <f>N9786</f>
        <v>303.07650000000001</v>
      </c>
      <c r="O9883" s="280">
        <f>MROUND(N9883*G9883,0.000001)</f>
        <v>14.507197</v>
      </c>
      <c r="P9883" s="166"/>
      <c r="Q9883" s="166">
        <f t="shared" si="2842"/>
        <v>449.72310699999997</v>
      </c>
      <c r="R9883" s="71"/>
    </row>
    <row r="9884" spans="1:18" s="61" customFormat="1" x14ac:dyDescent="0.25">
      <c r="A9884" s="358"/>
      <c r="B9884" s="361"/>
      <c r="C9884" s="366"/>
      <c r="D9884" s="284" t="s">
        <v>242</v>
      </c>
      <c r="E9884" s="156" t="s">
        <v>243</v>
      </c>
      <c r="F9884" s="156" t="s">
        <v>243</v>
      </c>
      <c r="G9884" s="238">
        <f>MROUND(H9884*L9884*I9884/K9884,0.00000001)</f>
        <v>67.319377549999999</v>
      </c>
      <c r="H9884" s="158">
        <v>7032</v>
      </c>
      <c r="I9884" s="159">
        <f t="shared" si="2836"/>
        <v>2.4731E-2</v>
      </c>
      <c r="J9884" s="160"/>
      <c r="K9884" s="161">
        <f t="shared" si="2837"/>
        <v>31</v>
      </c>
      <c r="L9884" s="250">
        <v>12</v>
      </c>
      <c r="M9884" s="163" t="str">
        <f>CONCATENATE(H9884," ",F9884,"*",L9884,"мес.","*",I9884,"/",K9884,"чел/час")</f>
        <v>7032 мин.*12мес.*0,024731/31чел/час</v>
      </c>
      <c r="N9884" s="278">
        <f>N9787</f>
        <v>0.85373684584755394</v>
      </c>
      <c r="O9884" s="280">
        <f>MROUND(N9884*G9884,0.000001)</f>
        <v>57.473033000000001</v>
      </c>
      <c r="P9884" s="166"/>
      <c r="Q9884" s="166">
        <f t="shared" si="2842"/>
        <v>1781.664023</v>
      </c>
      <c r="R9884" s="71"/>
    </row>
    <row r="9885" spans="1:18" s="61" customFormat="1" ht="31.5" x14ac:dyDescent="0.25">
      <c r="A9885" s="358"/>
      <c r="B9885" s="361"/>
      <c r="C9885" s="366"/>
      <c r="D9885" s="285" t="s">
        <v>244</v>
      </c>
      <c r="E9885" s="286" t="s">
        <v>245</v>
      </c>
      <c r="F9885" s="286" t="s">
        <v>247</v>
      </c>
      <c r="G9885" s="238">
        <f>MROUND(H9885*L9885*I9885/K9885,0.000001)</f>
        <v>9.5729999999999999E-3</v>
      </c>
      <c r="H9885" s="158">
        <v>1</v>
      </c>
      <c r="I9885" s="159">
        <f t="shared" si="2836"/>
        <v>2.4731E-2</v>
      </c>
      <c r="J9885" s="160"/>
      <c r="K9885" s="161">
        <f t="shared" si="2837"/>
        <v>31</v>
      </c>
      <c r="L9885" s="250">
        <v>12</v>
      </c>
      <c r="M9885" s="163" t="str">
        <f>CONCATENATE(H9885," ",F9885,"*",L9885,"мес.","*",I9885,"/",K9885,"чел/час")</f>
        <v>1 радиоточек*12мес.*0,024731/31чел/час</v>
      </c>
      <c r="N9885" s="278">
        <f>N9788</f>
        <v>180.23333333333335</v>
      </c>
      <c r="O9885" s="280">
        <f>MROUND(N9885*G9885,0.000001)</f>
        <v>1.725374</v>
      </c>
      <c r="P9885" s="166"/>
      <c r="Q9885" s="166">
        <f t="shared" si="2842"/>
        <v>53.486593999999997</v>
      </c>
      <c r="R9885" s="71"/>
    </row>
    <row r="9886" spans="1:18" s="61" customFormat="1" ht="47.25" x14ac:dyDescent="0.25">
      <c r="A9886" s="358"/>
      <c r="B9886" s="361"/>
      <c r="C9886" s="366"/>
      <c r="D9886" s="285" t="s">
        <v>374</v>
      </c>
      <c r="E9886" s="156" t="s">
        <v>28</v>
      </c>
      <c r="F9886" s="156" t="s">
        <v>28</v>
      </c>
      <c r="G9886" s="238">
        <f>MROUND(H9886*L9886*I9886/K9886,0.000001)</f>
        <v>1.9147000000000001E-2</v>
      </c>
      <c r="H9886" s="158">
        <f>H9789</f>
        <v>6</v>
      </c>
      <c r="I9886" s="159">
        <f>I9884</f>
        <v>2.4731E-2</v>
      </c>
      <c r="J9886" s="160"/>
      <c r="K9886" s="161">
        <f>K9884</f>
        <v>31</v>
      </c>
      <c r="L9886" s="250">
        <f>L9789</f>
        <v>4</v>
      </c>
      <c r="M9886" s="163" t="str">
        <f>CONCATENATE(H9886," ",F9886,"*",L9886,"мес.","*",I9886,"/",K9886,"чел/час")</f>
        <v>6 шт*4мес.*0,024731/31чел/час</v>
      </c>
      <c r="N9886" s="278">
        <f>N9789</f>
        <v>1366.3704166666666</v>
      </c>
      <c r="O9886" s="280">
        <f>MROUND(N9886*G9886,0.000001)</f>
        <v>26.161894</v>
      </c>
      <c r="P9886" s="166"/>
      <c r="Q9886" s="166">
        <f t="shared" si="2842"/>
        <v>811.01871400000005</v>
      </c>
      <c r="R9886" s="71"/>
    </row>
    <row r="9887" spans="1:18" s="61" customFormat="1" x14ac:dyDescent="0.25">
      <c r="A9887" s="358"/>
      <c r="B9887" s="361"/>
      <c r="C9887" s="367"/>
      <c r="D9887" s="284" t="s">
        <v>246</v>
      </c>
      <c r="E9887" s="156" t="s">
        <v>28</v>
      </c>
      <c r="F9887" s="156" t="s">
        <v>28</v>
      </c>
      <c r="G9887" s="238">
        <f>MROUND(H9887*L9887*I9887/K9887,0.000001)</f>
        <v>9.5729999999999999E-3</v>
      </c>
      <c r="H9887" s="158">
        <v>1</v>
      </c>
      <c r="I9887" s="159">
        <f>I9885</f>
        <v>2.4731E-2</v>
      </c>
      <c r="J9887" s="160"/>
      <c r="K9887" s="161">
        <f>K9885</f>
        <v>31</v>
      </c>
      <c r="L9887" s="250">
        <v>12</v>
      </c>
      <c r="M9887" s="163" t="str">
        <f>CONCATENATE(H9887," ",F9887,"*",L9887,"мес.","*",I9887,"/",K9887,"чел/час")</f>
        <v>1 шт*12мес.*0,024731/31чел/час</v>
      </c>
      <c r="N9887" s="278">
        <f>N9790</f>
        <v>4695.5525000000007</v>
      </c>
      <c r="O9887" s="280">
        <f>MROUND(N9887*G9887,0.000001)</f>
        <v>44.950524000000001</v>
      </c>
      <c r="P9887" s="166"/>
      <c r="Q9887" s="166">
        <f t="shared" si="2842"/>
        <v>1393.466244</v>
      </c>
      <c r="R9887" s="71"/>
    </row>
    <row r="9888" spans="1:18" s="62" customFormat="1" x14ac:dyDescent="0.25">
      <c r="A9888" s="358"/>
      <c r="B9888" s="361"/>
      <c r="C9888" s="218" t="s">
        <v>358</v>
      </c>
      <c r="D9888" s="287"/>
      <c r="E9888" s="287"/>
      <c r="F9888" s="287"/>
      <c r="G9888" s="288"/>
      <c r="H9888" s="214"/>
      <c r="I9888" s="206"/>
      <c r="J9888" s="214"/>
      <c r="K9888" s="207"/>
      <c r="L9888" s="215"/>
      <c r="M9888" s="289"/>
      <c r="N9888" s="281"/>
      <c r="O9888" s="279">
        <f>O9882</f>
        <v>144.81802200000001</v>
      </c>
      <c r="P9888" s="267"/>
      <c r="Q9888" s="166"/>
      <c r="R9888" s="71"/>
    </row>
    <row r="9889" spans="1:41" s="61" customFormat="1" x14ac:dyDescent="0.25">
      <c r="A9889" s="358"/>
      <c r="B9889" s="361"/>
      <c r="C9889" s="221"/>
      <c r="D9889" s="368" t="s">
        <v>67</v>
      </c>
      <c r="E9889" s="368"/>
      <c r="F9889" s="368"/>
      <c r="G9889" s="368"/>
      <c r="H9889" s="195"/>
      <c r="I9889" s="159">
        <f>I9886</f>
        <v>2.4731E-2</v>
      </c>
      <c r="J9889" s="195"/>
      <c r="K9889" s="161">
        <f>K9887</f>
        <v>31</v>
      </c>
      <c r="L9889" s="196"/>
      <c r="M9889" s="230"/>
      <c r="N9889" s="278"/>
      <c r="O9889" s="280"/>
      <c r="P9889" s="166"/>
      <c r="Q9889" s="166">
        <f t="shared" ref="Q9889:Q9899" si="2843">O9889*K9889</f>
        <v>0</v>
      </c>
      <c r="R9889" s="71"/>
    </row>
    <row r="9890" spans="1:41" s="61" customFormat="1" x14ac:dyDescent="0.25">
      <c r="A9890" s="358"/>
      <c r="B9890" s="361"/>
      <c r="C9890" s="221"/>
      <c r="D9890" s="194"/>
      <c r="E9890" s="194"/>
      <c r="F9890" s="194"/>
      <c r="G9890" s="217"/>
      <c r="H9890" s="195"/>
      <c r="I9890" s="159"/>
      <c r="J9890" s="195"/>
      <c r="K9890" s="161"/>
      <c r="L9890" s="196"/>
      <c r="M9890" s="230"/>
      <c r="N9890" s="278"/>
      <c r="O9890" s="280"/>
      <c r="P9890" s="166"/>
      <c r="Q9890" s="166">
        <f t="shared" si="2843"/>
        <v>0</v>
      </c>
      <c r="R9890" s="71"/>
    </row>
    <row r="9891" spans="1:41" s="61" customFormat="1" x14ac:dyDescent="0.25">
      <c r="A9891" s="358"/>
      <c r="B9891" s="361"/>
      <c r="C9891" s="221"/>
      <c r="D9891" s="350" t="s">
        <v>68</v>
      </c>
      <c r="E9891" s="350"/>
      <c r="F9891" s="350"/>
      <c r="G9891" s="350"/>
      <c r="H9891" s="195"/>
      <c r="I9891" s="159"/>
      <c r="J9891" s="195"/>
      <c r="K9891" s="161"/>
      <c r="L9891" s="196"/>
      <c r="M9891" s="230"/>
      <c r="N9891" s="278"/>
      <c r="O9891" s="280"/>
      <c r="P9891" s="166"/>
      <c r="Q9891" s="166">
        <f t="shared" si="2843"/>
        <v>0</v>
      </c>
      <c r="R9891" s="71"/>
    </row>
    <row r="9892" spans="1:41" s="61" customFormat="1" x14ac:dyDescent="0.25">
      <c r="A9892" s="358"/>
      <c r="B9892" s="361"/>
      <c r="C9892" s="221"/>
      <c r="D9892" s="156"/>
      <c r="E9892" s="156"/>
      <c r="F9892" s="156"/>
      <c r="G9892" s="236"/>
      <c r="H9892" s="195"/>
      <c r="I9892" s="159"/>
      <c r="J9892" s="195"/>
      <c r="K9892" s="161"/>
      <c r="L9892" s="196"/>
      <c r="M9892" s="230"/>
      <c r="N9892" s="278"/>
      <c r="O9892" s="280"/>
      <c r="P9892" s="166"/>
      <c r="Q9892" s="166">
        <f t="shared" si="2843"/>
        <v>0</v>
      </c>
      <c r="R9892" s="71"/>
    </row>
    <row r="9893" spans="1:41" s="61" customFormat="1" x14ac:dyDescent="0.25">
      <c r="A9893" s="358"/>
      <c r="B9893" s="361"/>
      <c r="C9893" s="221"/>
      <c r="D9893" s="368" t="s">
        <v>69</v>
      </c>
      <c r="E9893" s="368"/>
      <c r="F9893" s="368"/>
      <c r="G9893" s="368"/>
      <c r="H9893" s="187"/>
      <c r="I9893" s="159"/>
      <c r="J9893" s="187"/>
      <c r="K9893" s="161"/>
      <c r="L9893" s="276"/>
      <c r="M9893" s="230"/>
      <c r="N9893" s="278"/>
      <c r="O9893" s="279">
        <f>O9900+O9907+O9911+O9929+O9931+O9933+O9939+O9941+O9944</f>
        <v>929.75824000000011</v>
      </c>
      <c r="P9893" s="166"/>
      <c r="Q9893" s="166">
        <f t="shared" si="2843"/>
        <v>0</v>
      </c>
      <c r="R9893" s="71"/>
    </row>
    <row r="9894" spans="1:41" s="61" customFormat="1" ht="31.5" x14ac:dyDescent="0.25">
      <c r="A9894" s="358"/>
      <c r="B9894" s="361"/>
      <c r="C9894" s="365" t="s">
        <v>78</v>
      </c>
      <c r="D9894" s="156" t="s">
        <v>26</v>
      </c>
      <c r="E9894" s="156" t="s">
        <v>22</v>
      </c>
      <c r="F9894" s="156" t="s">
        <v>22</v>
      </c>
      <c r="G9894" s="238">
        <f>MROUND(H9894*L9894*I9894/K9894,0.000000001)</f>
        <v>6.7013032260000003</v>
      </c>
      <c r="H9894" s="158">
        <f>H9797</f>
        <v>700</v>
      </c>
      <c r="I9894" s="159">
        <f>I9886</f>
        <v>2.4731E-2</v>
      </c>
      <c r="J9894" s="160"/>
      <c r="K9894" s="161">
        <f>K9883</f>
        <v>31</v>
      </c>
      <c r="L9894" s="250">
        <v>12</v>
      </c>
      <c r="M9894" s="163" t="str">
        <f>CONCATENATE(H9894," ",F9894,"(обрабатываемая площадь в мес.)","*",L9894,"мес.","*",I9894,"/",K9894,"чел/час")</f>
        <v>700 м2(обрабатываемая площадь в мес.)*12мес.*0,024731/31чел/час</v>
      </c>
      <c r="N9894" s="278">
        <f>N9797</f>
        <v>1.2568904761904764</v>
      </c>
      <c r="O9894" s="280">
        <f>MROUND(N9894*G9894,0.000001)</f>
        <v>8.4228039999999993</v>
      </c>
      <c r="P9894" s="166"/>
      <c r="Q9894" s="166">
        <f t="shared" si="2843"/>
        <v>261.10692399999999</v>
      </c>
      <c r="R9894" s="71"/>
    </row>
    <row r="9895" spans="1:41" s="61" customFormat="1" ht="32.450000000000003" customHeight="1" x14ac:dyDescent="0.25">
      <c r="A9895" s="358"/>
      <c r="B9895" s="361"/>
      <c r="C9895" s="366"/>
      <c r="D9895" s="156" t="s">
        <v>96</v>
      </c>
      <c r="E9895" s="156" t="s">
        <v>22</v>
      </c>
      <c r="F9895" s="156" t="s">
        <v>22</v>
      </c>
      <c r="G9895" s="238">
        <f>MROUND(H9895*L9895*I9895/K9895,0.0000001)</f>
        <v>4.3079805999999996</v>
      </c>
      <c r="H9895" s="158">
        <f>H9798</f>
        <v>450</v>
      </c>
      <c r="I9895" s="159">
        <f t="shared" si="2836"/>
        <v>2.4731E-2</v>
      </c>
      <c r="J9895" s="160"/>
      <c r="K9895" s="161">
        <f t="shared" si="2837"/>
        <v>31</v>
      </c>
      <c r="L9895" s="250">
        <v>12</v>
      </c>
      <c r="M9895" s="163" t="str">
        <f>CONCATENATE(H9895," ",F9895,"(обрабатываемая площадь в мес.)","*",L9895,"мес.","*",I9895,"/",K9895,"чел/час")</f>
        <v>450 м2(обрабатываемая площадь в мес.)*12мес.*0,024731/31чел/час</v>
      </c>
      <c r="N9895" s="278">
        <f>N9798</f>
        <v>2.0157666666666665</v>
      </c>
      <c r="O9895" s="280">
        <f>MROUND(N9895*G9895,0.000001)</f>
        <v>8.683883999999999</v>
      </c>
      <c r="P9895" s="166"/>
      <c r="Q9895" s="166">
        <f t="shared" si="2843"/>
        <v>269.20040399999999</v>
      </c>
      <c r="R9895" s="71"/>
    </row>
    <row r="9896" spans="1:41" s="135" customFormat="1" ht="31.5" x14ac:dyDescent="0.25">
      <c r="A9896" s="358"/>
      <c r="B9896" s="361"/>
      <c r="C9896" s="366"/>
      <c r="D9896" s="156" t="s">
        <v>385</v>
      </c>
      <c r="E9896" s="156" t="s">
        <v>22</v>
      </c>
      <c r="F9896" s="156" t="s">
        <v>22</v>
      </c>
      <c r="G9896" s="238">
        <f>MROUND(H9896*L9896*I9896/K9896,0.000001)</f>
        <v>13.402605999999999</v>
      </c>
      <c r="H9896" s="242">
        <f>$H$3022</f>
        <v>700</v>
      </c>
      <c r="I9896" s="244">
        <f>I9895</f>
        <v>2.4731E-2</v>
      </c>
      <c r="J9896" s="160"/>
      <c r="K9896" s="161">
        <f>K9894</f>
        <v>31</v>
      </c>
      <c r="L9896" s="162">
        <v>24</v>
      </c>
      <c r="M9896" s="163" t="str">
        <f>CONCATENATE(H9896," ",F9896,"(обрабатываемая площадь в год)","*",L9896," раза в год.","*",I9896,"/",K9896,"чел.")</f>
        <v>700 м2(обрабатываемая площадь в год)*24 раза в год.*0,024731/31чел.</v>
      </c>
      <c r="N9896" s="164">
        <f>$N$9799</f>
        <v>1.6007565476190475</v>
      </c>
      <c r="O9896" s="165">
        <f>MROUND(G9896*N9896,0.000001)</f>
        <v>21.454308999999999</v>
      </c>
      <c r="P9896" s="166"/>
      <c r="Q9896" s="166">
        <f t="shared" si="2843"/>
        <v>665.08357899999999</v>
      </c>
      <c r="R9896" s="71"/>
      <c r="S9896" s="61"/>
      <c r="T9896" s="61"/>
      <c r="U9896" s="61"/>
      <c r="V9896" s="61"/>
      <c r="W9896" s="61"/>
      <c r="X9896" s="61"/>
      <c r="Y9896" s="61"/>
      <c r="Z9896" s="61"/>
      <c r="AA9896" s="61"/>
      <c r="AB9896" s="61"/>
      <c r="AC9896" s="61"/>
      <c r="AD9896" s="61"/>
      <c r="AE9896" s="61"/>
      <c r="AF9896" s="61"/>
      <c r="AG9896" s="61"/>
      <c r="AH9896" s="61"/>
      <c r="AI9896" s="61"/>
      <c r="AJ9896" s="61"/>
      <c r="AK9896" s="61"/>
      <c r="AL9896" s="61"/>
      <c r="AM9896" s="61"/>
      <c r="AN9896" s="61"/>
      <c r="AO9896" s="61"/>
    </row>
    <row r="9897" spans="1:41" s="135" customFormat="1" ht="31.5" x14ac:dyDescent="0.25">
      <c r="A9897" s="358"/>
      <c r="B9897" s="361"/>
      <c r="C9897" s="366"/>
      <c r="D9897" s="156" t="s">
        <v>394</v>
      </c>
      <c r="E9897" s="156" t="s">
        <v>22</v>
      </c>
      <c r="F9897" s="156" t="s">
        <v>22</v>
      </c>
      <c r="G9897" s="238">
        <f>MROUND(H9897*L9897*I9897/K9897,0.000001)</f>
        <v>4.3079809999999998</v>
      </c>
      <c r="H9897" s="243">
        <f>$H$3023</f>
        <v>450</v>
      </c>
      <c r="I9897" s="244">
        <f>I9896</f>
        <v>2.4731E-2</v>
      </c>
      <c r="J9897" s="160"/>
      <c r="K9897" s="161">
        <f>K9894</f>
        <v>31</v>
      </c>
      <c r="L9897" s="162">
        <v>12</v>
      </c>
      <c r="M9897" s="163" t="str">
        <f>CONCATENATE(H9897," ",F9897,"(обрабатываемая площадь в мес.)","*",L9897,"мес.","*",I9897,"/",K9897,"чел.")</f>
        <v>450 м2(обрабатываемая площадь в мес.)*12мес.*0,024731/31чел.</v>
      </c>
      <c r="N9897" s="164">
        <f>$N$9800</f>
        <v>0.92224629629629629</v>
      </c>
      <c r="O9897" s="165">
        <f>MROUND(G9897*N9897,0.000001)</f>
        <v>3.97302</v>
      </c>
      <c r="P9897" s="166"/>
      <c r="Q9897" s="166">
        <f t="shared" si="2843"/>
        <v>123.16361999999999</v>
      </c>
      <c r="R9897" s="71"/>
      <c r="S9897" s="61"/>
      <c r="T9897" s="61"/>
      <c r="U9897" s="61"/>
      <c r="V9897" s="61"/>
      <c r="W9897" s="61"/>
      <c r="X9897" s="61"/>
      <c r="Y9897" s="61"/>
      <c r="Z9897" s="61"/>
      <c r="AA9897" s="61"/>
      <c r="AB9897" s="61"/>
      <c r="AC9897" s="61"/>
      <c r="AD9897" s="61"/>
      <c r="AE9897" s="61"/>
      <c r="AF9897" s="61"/>
      <c r="AG9897" s="61"/>
      <c r="AH9897" s="61"/>
      <c r="AI9897" s="61"/>
      <c r="AJ9897" s="61"/>
      <c r="AK9897" s="61"/>
      <c r="AL9897" s="61"/>
      <c r="AM9897" s="61"/>
      <c r="AN9897" s="61"/>
      <c r="AO9897" s="61"/>
    </row>
    <row r="9898" spans="1:41" s="135" customFormat="1" ht="31.5" x14ac:dyDescent="0.25">
      <c r="A9898" s="358"/>
      <c r="B9898" s="361"/>
      <c r="C9898" s="366"/>
      <c r="D9898" s="156" t="s">
        <v>395</v>
      </c>
      <c r="E9898" s="156" t="s">
        <v>98</v>
      </c>
      <c r="F9898" s="156" t="s">
        <v>98</v>
      </c>
      <c r="G9898" s="238">
        <f>MROUND(H9898*L9898*I9898/K9898,0.000001)</f>
        <v>3.9899999999999999E-4</v>
      </c>
      <c r="H9898" s="242">
        <f>$H$3024</f>
        <v>0.5</v>
      </c>
      <c r="I9898" s="244">
        <f>I9894</f>
        <v>2.4731E-2</v>
      </c>
      <c r="J9898" s="160"/>
      <c r="K9898" s="161">
        <f>K9894</f>
        <v>31</v>
      </c>
      <c r="L9898" s="162">
        <v>1</v>
      </c>
      <c r="M9898" s="163" t="str">
        <f>CONCATENATE(H9898," ",F9898,"(обрабатываемая площадь в год)","*",L9898," раз в год","*",I9898,"/",K9898,"чел.")</f>
        <v>0,5 Га(обрабатываемая площадь в год)*1 раз в год*0,024731/31чел.</v>
      </c>
      <c r="N9898" s="164">
        <f>$N$9801</f>
        <v>592.88</v>
      </c>
      <c r="O9898" s="165">
        <f>MROUND(G9898*N9898,0.000001)</f>
        <v>0.23655899999999999</v>
      </c>
      <c r="P9898" s="166"/>
      <c r="Q9898" s="166">
        <f t="shared" si="2843"/>
        <v>7.333329</v>
      </c>
      <c r="R9898" s="71"/>
      <c r="S9898" s="61"/>
      <c r="T9898" s="61"/>
      <c r="U9898" s="61"/>
      <c r="V9898" s="61"/>
      <c r="W9898" s="61"/>
      <c r="X9898" s="61"/>
      <c r="Y9898" s="61"/>
      <c r="Z9898" s="61"/>
      <c r="AA9898" s="61"/>
      <c r="AB9898" s="61"/>
      <c r="AC9898" s="61"/>
      <c r="AD9898" s="61"/>
      <c r="AE9898" s="61"/>
      <c r="AF9898" s="61"/>
      <c r="AG9898" s="61"/>
      <c r="AH9898" s="61"/>
      <c r="AI9898" s="61"/>
      <c r="AJ9898" s="61"/>
      <c r="AK9898" s="61"/>
      <c r="AL9898" s="61"/>
      <c r="AM9898" s="61"/>
      <c r="AN9898" s="61"/>
      <c r="AO9898" s="61"/>
    </row>
    <row r="9899" spans="1:41" s="61" customFormat="1" ht="31.5" x14ac:dyDescent="0.25">
      <c r="A9899" s="358"/>
      <c r="B9899" s="361"/>
      <c r="C9899" s="367"/>
      <c r="D9899" s="156" t="s">
        <v>97</v>
      </c>
      <c r="E9899" s="156" t="s">
        <v>363</v>
      </c>
      <c r="F9899" s="156" t="s">
        <v>363</v>
      </c>
      <c r="G9899" s="238">
        <f>MROUND(H9899*L9899*I9899/K9899,0.0000001)</f>
        <v>3.9889999999999999E-4</v>
      </c>
      <c r="H9899" s="158">
        <f>H9802</f>
        <v>0.5</v>
      </c>
      <c r="I9899" s="159">
        <f>I9895</f>
        <v>2.4731E-2</v>
      </c>
      <c r="J9899" s="160"/>
      <c r="K9899" s="161">
        <f>K9895</f>
        <v>31</v>
      </c>
      <c r="L9899" s="250">
        <v>1</v>
      </c>
      <c r="M9899" s="163" t="str">
        <f>CONCATENATE(H9899," ",F9899,"(обрабатываемая площадь в мес.)","*",L9899,"мес.","*",I9899,"/",K9899,"чел")</f>
        <v>0,5 га(обрабатываемая площадь в мес.)*1мес.*0,024731/31чел</v>
      </c>
      <c r="N9899" s="278">
        <f>N9802</f>
        <v>3226.5</v>
      </c>
      <c r="O9899" s="280">
        <f>MROUND(N9899*G9899,0.000001)</f>
        <v>1.2870509999999999</v>
      </c>
      <c r="P9899" s="166"/>
      <c r="Q9899" s="166">
        <f t="shared" si="2843"/>
        <v>39.898581</v>
      </c>
      <c r="R9899" s="71"/>
    </row>
    <row r="9900" spans="1:41" s="62" customFormat="1" x14ac:dyDescent="0.25">
      <c r="A9900" s="358"/>
      <c r="B9900" s="361"/>
      <c r="C9900" s="218" t="s">
        <v>294</v>
      </c>
      <c r="D9900" s="240"/>
      <c r="E9900" s="240"/>
      <c r="F9900" s="240"/>
      <c r="G9900" s="227"/>
      <c r="H9900" s="241"/>
      <c r="I9900" s="206"/>
      <c r="J9900" s="228"/>
      <c r="K9900" s="207"/>
      <c r="L9900" s="257"/>
      <c r="M9900" s="209"/>
      <c r="N9900" s="281"/>
      <c r="O9900" s="279">
        <f>SUM(O9894:O9899)</f>
        <v>44.057626999999997</v>
      </c>
      <c r="P9900" s="267"/>
      <c r="Q9900" s="166"/>
      <c r="R9900" s="71"/>
    </row>
    <row r="9901" spans="1:41" s="61" customFormat="1" ht="78.75" x14ac:dyDescent="0.25">
      <c r="A9901" s="358"/>
      <c r="B9901" s="361"/>
      <c r="C9901" s="366"/>
      <c r="D9901" s="156" t="s">
        <v>250</v>
      </c>
      <c r="E9901" s="156" t="s">
        <v>251</v>
      </c>
      <c r="F9901" s="156" t="s">
        <v>60</v>
      </c>
      <c r="G9901" s="238">
        <f>MROUND(H9901*L9901*I9901/K9901,0.00000001)</f>
        <v>9.5732899999999999E-3</v>
      </c>
      <c r="H9901" s="158">
        <v>1</v>
      </c>
      <c r="I9901" s="159">
        <f>I9899</f>
        <v>2.4731E-2</v>
      </c>
      <c r="J9901" s="160"/>
      <c r="K9901" s="161">
        <f>K9899</f>
        <v>31</v>
      </c>
      <c r="L9901" s="250">
        <v>12</v>
      </c>
      <c r="M9901" s="163" t="str">
        <f t="shared" ref="M9901" si="2844">CONCATENATE(H9901," ",F9901,"*",I9901,"/",K9901,"чел/час")</f>
        <v>1 шт.*0,024731/31чел/час</v>
      </c>
      <c r="N9901" s="278">
        <f t="shared" ref="N9901:N9906" si="2845">N9804</f>
        <v>392.98166666666663</v>
      </c>
      <c r="O9901" s="280">
        <f t="shared" ref="O9901:O9903" si="2846">MROUND(N9901*G9901,0.000001)</f>
        <v>3.762127</v>
      </c>
      <c r="P9901" s="166"/>
      <c r="Q9901" s="166">
        <f t="shared" ref="Q9901:Q9906" si="2847">O9901*K9901</f>
        <v>116.62593699999999</v>
      </c>
      <c r="R9901" s="71"/>
    </row>
    <row r="9902" spans="1:41" s="61" customFormat="1" ht="47.25" x14ac:dyDescent="0.25">
      <c r="A9902" s="358"/>
      <c r="B9902" s="361"/>
      <c r="C9902" s="366"/>
      <c r="D9902" s="156" t="s">
        <v>401</v>
      </c>
      <c r="E9902" s="156" t="s">
        <v>60</v>
      </c>
      <c r="F9902" s="156" t="s">
        <v>402</v>
      </c>
      <c r="G9902" s="238">
        <f t="shared" ref="G9902" si="2848">MROUND(H9902*L9902*I9902/K9902,0.000001)</f>
        <v>0</v>
      </c>
      <c r="H9902" s="158"/>
      <c r="I9902" s="159">
        <f t="shared" si="2836"/>
        <v>2.4731E-2</v>
      </c>
      <c r="J9902" s="160"/>
      <c r="K9902" s="161">
        <f t="shared" si="2837"/>
        <v>31</v>
      </c>
      <c r="L9902" s="250">
        <v>1</v>
      </c>
      <c r="M9902" s="163"/>
      <c r="N9902" s="278"/>
      <c r="O9902" s="280">
        <f t="shared" si="2846"/>
        <v>0</v>
      </c>
      <c r="P9902" s="166"/>
      <c r="Q9902" s="166">
        <f t="shared" si="2847"/>
        <v>0</v>
      </c>
      <c r="R9902" s="71"/>
    </row>
    <row r="9903" spans="1:41" s="61" customFormat="1" ht="31.5" x14ac:dyDescent="0.25">
      <c r="A9903" s="358"/>
      <c r="B9903" s="361"/>
      <c r="C9903" s="366"/>
      <c r="D9903" s="156" t="s">
        <v>35</v>
      </c>
      <c r="E9903" s="156" t="s">
        <v>102</v>
      </c>
      <c r="F9903" s="156" t="s">
        <v>252</v>
      </c>
      <c r="G9903" s="238">
        <f>MROUND(H9903*L9903*I9903/K9903,0.00000001)</f>
        <v>0</v>
      </c>
      <c r="H9903" s="158"/>
      <c r="I9903" s="159">
        <f t="shared" si="2836"/>
        <v>2.4731E-2</v>
      </c>
      <c r="J9903" s="160"/>
      <c r="K9903" s="161">
        <f t="shared" si="2837"/>
        <v>31</v>
      </c>
      <c r="L9903" s="250">
        <v>1</v>
      </c>
      <c r="M9903" s="163"/>
      <c r="N9903" s="278"/>
      <c r="O9903" s="280">
        <f t="shared" si="2846"/>
        <v>0</v>
      </c>
      <c r="P9903" s="166"/>
      <c r="Q9903" s="166">
        <f t="shared" si="2847"/>
        <v>0</v>
      </c>
      <c r="R9903" s="71"/>
    </row>
    <row r="9904" spans="1:41" s="61" customFormat="1" ht="31.5" x14ac:dyDescent="0.25">
      <c r="A9904" s="358"/>
      <c r="B9904" s="361"/>
      <c r="C9904" s="366"/>
      <c r="D9904" s="156" t="s">
        <v>99</v>
      </c>
      <c r="E9904" s="156" t="s">
        <v>103</v>
      </c>
      <c r="F9904" s="156" t="s">
        <v>225</v>
      </c>
      <c r="G9904" s="238">
        <f>MROUND(H9904*L9904*I9904/K9904,0.00000001)</f>
        <v>0</v>
      </c>
      <c r="H9904" s="158">
        <f>H9807</f>
        <v>0</v>
      </c>
      <c r="I9904" s="159">
        <f t="shared" si="2836"/>
        <v>2.4731E-2</v>
      </c>
      <c r="J9904" s="160"/>
      <c r="K9904" s="161">
        <f t="shared" si="2837"/>
        <v>31</v>
      </c>
      <c r="L9904" s="250">
        <v>1</v>
      </c>
      <c r="M9904" s="163"/>
      <c r="N9904" s="164">
        <f t="shared" si="2845"/>
        <v>0</v>
      </c>
      <c r="O9904" s="165">
        <f>MROUND(G9904*N9904,0.000001)</f>
        <v>0</v>
      </c>
      <c r="P9904" s="166"/>
      <c r="Q9904" s="166">
        <f t="shared" si="2847"/>
        <v>0</v>
      </c>
      <c r="R9904" s="71"/>
    </row>
    <row r="9905" spans="1:18" s="61" customFormat="1" x14ac:dyDescent="0.25">
      <c r="A9905" s="358"/>
      <c r="B9905" s="361"/>
      <c r="C9905" s="366"/>
      <c r="D9905" s="156" t="s">
        <v>27</v>
      </c>
      <c r="E9905" s="156" t="s">
        <v>28</v>
      </c>
      <c r="F9905" s="156" t="s">
        <v>28</v>
      </c>
      <c r="G9905" s="238">
        <f t="shared" ref="G9905" si="2849">MROUND(H9905*L9905*I9905/K9905,0.000001)</f>
        <v>0</v>
      </c>
      <c r="H9905" s="160">
        <f>H9808</f>
        <v>0</v>
      </c>
      <c r="I9905" s="159">
        <f>I9903</f>
        <v>2.4731E-2</v>
      </c>
      <c r="J9905" s="160"/>
      <c r="K9905" s="161">
        <f>K9903</f>
        <v>31</v>
      </c>
      <c r="L9905" s="250">
        <v>1</v>
      </c>
      <c r="M9905" s="163"/>
      <c r="N9905" s="278">
        <f t="shared" si="2845"/>
        <v>0</v>
      </c>
      <c r="O9905" s="280">
        <f t="shared" ref="O9905:O9906" si="2850">MROUND(N9905*G9905,0.000001)</f>
        <v>0</v>
      </c>
      <c r="P9905" s="166"/>
      <c r="Q9905" s="166">
        <f t="shared" si="2847"/>
        <v>0</v>
      </c>
      <c r="R9905" s="71"/>
    </row>
    <row r="9906" spans="1:18" s="61" customFormat="1" ht="31.5" x14ac:dyDescent="0.25">
      <c r="A9906" s="358"/>
      <c r="B9906" s="361"/>
      <c r="C9906" s="367"/>
      <c r="D9906" s="156" t="s">
        <v>104</v>
      </c>
      <c r="E9906" s="156" t="s">
        <v>105</v>
      </c>
      <c r="F9906" s="156" t="s">
        <v>226</v>
      </c>
      <c r="G9906" s="238">
        <f>MROUND(H9906*L9906*I9906/K9906,0.00000001)</f>
        <v>7.9777000000000005E-4</v>
      </c>
      <c r="H9906" s="160">
        <v>1</v>
      </c>
      <c r="I9906" s="159">
        <f t="shared" si="2836"/>
        <v>2.4731E-2</v>
      </c>
      <c r="J9906" s="160"/>
      <c r="K9906" s="161">
        <f t="shared" si="2837"/>
        <v>31</v>
      </c>
      <c r="L9906" s="250">
        <v>1</v>
      </c>
      <c r="M9906" s="163"/>
      <c r="N9906" s="278">
        <f t="shared" si="2845"/>
        <v>0</v>
      </c>
      <c r="O9906" s="280">
        <f t="shared" si="2850"/>
        <v>0</v>
      </c>
      <c r="P9906" s="166"/>
      <c r="Q9906" s="166">
        <f t="shared" si="2847"/>
        <v>0</v>
      </c>
      <c r="R9906" s="71"/>
    </row>
    <row r="9907" spans="1:18" s="62" customFormat="1" x14ac:dyDescent="0.25">
      <c r="A9907" s="358"/>
      <c r="B9907" s="361"/>
      <c r="C9907" s="249" t="s">
        <v>292</v>
      </c>
      <c r="D9907" s="240"/>
      <c r="E9907" s="240"/>
      <c r="F9907" s="240"/>
      <c r="G9907" s="227"/>
      <c r="H9907" s="228"/>
      <c r="I9907" s="206"/>
      <c r="J9907" s="228"/>
      <c r="K9907" s="207"/>
      <c r="L9907" s="257"/>
      <c r="M9907" s="209"/>
      <c r="N9907" s="281"/>
      <c r="O9907" s="279">
        <f>SUM(O9901:O9906)</f>
        <v>3.762127</v>
      </c>
      <c r="P9907" s="267"/>
      <c r="Q9907" s="166"/>
      <c r="R9907" s="71"/>
    </row>
    <row r="9908" spans="1:18" s="61" customFormat="1" ht="31.5" x14ac:dyDescent="0.25">
      <c r="A9908" s="358"/>
      <c r="B9908" s="361"/>
      <c r="C9908" s="221" t="s">
        <v>79</v>
      </c>
      <c r="D9908" s="156" t="s">
        <v>37</v>
      </c>
      <c r="E9908" s="156" t="s">
        <v>61</v>
      </c>
      <c r="F9908" s="156" t="s">
        <v>254</v>
      </c>
      <c r="G9908" s="238">
        <f>MROUND(H9908*L9908*I9908/K9908,0.00000001)</f>
        <v>7.9777000000000005E-4</v>
      </c>
      <c r="H9908" s="158">
        <v>1</v>
      </c>
      <c r="I9908" s="159">
        <f>I9906</f>
        <v>2.4731E-2</v>
      </c>
      <c r="J9908" s="160"/>
      <c r="K9908" s="161">
        <f>K9906</f>
        <v>31</v>
      </c>
      <c r="L9908" s="250">
        <v>1</v>
      </c>
      <c r="M9908" s="163" t="str">
        <f t="shared" ref="M9908" si="2851">CONCATENATE(H9908," ",F9908,"*",I9908,"/",K9908,"чел/час")</f>
        <v>1 автобус*0,024731/31чел/час</v>
      </c>
      <c r="N9908" s="278">
        <f>N9811</f>
        <v>25403.41</v>
      </c>
      <c r="O9908" s="280">
        <f t="shared" ref="O9908:O9910" si="2852">MROUND(N9908*G9908,0.000001)</f>
        <v>20.266078</v>
      </c>
      <c r="P9908" s="166"/>
      <c r="Q9908" s="166">
        <f t="shared" ref="Q9908:Q9910" si="2853">O9908*K9908</f>
        <v>628.24841800000002</v>
      </c>
      <c r="R9908" s="71"/>
    </row>
    <row r="9909" spans="1:18" s="61" customFormat="1" ht="31.5" x14ac:dyDescent="0.25">
      <c r="A9909" s="358"/>
      <c r="B9909" s="361"/>
      <c r="C9909" s="221"/>
      <c r="D9909" s="156" t="s">
        <v>262</v>
      </c>
      <c r="E9909" s="156" t="s">
        <v>440</v>
      </c>
      <c r="F9909" s="156" t="s">
        <v>441</v>
      </c>
      <c r="G9909" s="238">
        <f t="shared" ref="G9909:G9910" si="2854">MROUND(H9909*L9909*I9909/K9909,0.000001)</f>
        <v>3.1909999999999998E-3</v>
      </c>
      <c r="H9909" s="158">
        <f>$H$3035</f>
        <v>1</v>
      </c>
      <c r="I9909" s="159">
        <f t="shared" si="2836"/>
        <v>2.4731E-2</v>
      </c>
      <c r="J9909" s="160"/>
      <c r="K9909" s="161">
        <f t="shared" si="2837"/>
        <v>31</v>
      </c>
      <c r="L9909" s="250">
        <v>4</v>
      </c>
      <c r="M9909" s="163" t="str">
        <f>CONCATENATE(H9909," ",F9909,"*",L9909,"раза в год","*",I9909,"/",K9909,"чел/час")</f>
        <v>1 услуга*4раза в год*0,024731/31чел/час</v>
      </c>
      <c r="N9909" s="278">
        <f>N9812</f>
        <v>26827.494999999999</v>
      </c>
      <c r="O9909" s="280">
        <f t="shared" si="2852"/>
        <v>85.606537000000003</v>
      </c>
      <c r="P9909" s="166"/>
      <c r="Q9909" s="166">
        <f t="shared" si="2853"/>
        <v>2653.802647</v>
      </c>
      <c r="R9909" s="71"/>
    </row>
    <row r="9910" spans="1:18" s="61" customFormat="1" x14ac:dyDescent="0.25">
      <c r="A9910" s="358"/>
      <c r="B9910" s="361"/>
      <c r="C9910" s="221"/>
      <c r="D9910" s="156" t="s">
        <v>255</v>
      </c>
      <c r="E9910" s="156" t="s">
        <v>28</v>
      </c>
      <c r="F9910" s="156" t="s">
        <v>28</v>
      </c>
      <c r="G9910" s="238">
        <f t="shared" si="2854"/>
        <v>4.4674999999999999E-2</v>
      </c>
      <c r="H9910" s="158">
        <v>56</v>
      </c>
      <c r="I9910" s="159">
        <f>I9908</f>
        <v>2.4731E-2</v>
      </c>
      <c r="J9910" s="160"/>
      <c r="K9910" s="161">
        <f>K9908</f>
        <v>31</v>
      </c>
      <c r="L9910" s="250">
        <v>1</v>
      </c>
      <c r="M9910" s="163" t="str">
        <f>CONCATENATE(H9910," ",F9910,"*",L9910,"раза в год","*",I9910,"/",K9910,"чел/час")</f>
        <v>56 шт*1раза в год*0,024731/31чел/час</v>
      </c>
      <c r="N9910" s="278">
        <f>N9813</f>
        <v>808.84785714285715</v>
      </c>
      <c r="O9910" s="280">
        <f t="shared" si="2852"/>
        <v>36.135278</v>
      </c>
      <c r="P9910" s="166"/>
      <c r="Q9910" s="166">
        <f t="shared" si="2853"/>
        <v>1120.193618</v>
      </c>
      <c r="R9910" s="71"/>
    </row>
    <row r="9911" spans="1:18" s="62" customFormat="1" x14ac:dyDescent="0.25">
      <c r="A9911" s="358"/>
      <c r="B9911" s="361"/>
      <c r="C9911" s="218" t="s">
        <v>295</v>
      </c>
      <c r="D9911" s="240"/>
      <c r="E9911" s="240"/>
      <c r="F9911" s="240"/>
      <c r="G9911" s="227"/>
      <c r="H9911" s="241"/>
      <c r="I9911" s="206"/>
      <c r="J9911" s="228"/>
      <c r="K9911" s="207"/>
      <c r="L9911" s="257"/>
      <c r="M9911" s="209"/>
      <c r="N9911" s="281"/>
      <c r="O9911" s="279">
        <f>O9908+O9909+O9910</f>
        <v>142.007893</v>
      </c>
      <c r="P9911" s="267"/>
      <c r="Q9911" s="166"/>
      <c r="R9911" s="71"/>
    </row>
    <row r="9912" spans="1:18" s="61" customFormat="1" x14ac:dyDescent="0.25">
      <c r="A9912" s="358"/>
      <c r="B9912" s="361"/>
      <c r="C9912" s="364" t="s">
        <v>80</v>
      </c>
      <c r="D9912" s="156" t="s">
        <v>38</v>
      </c>
      <c r="E9912" s="156" t="s">
        <v>57</v>
      </c>
      <c r="F9912" s="156" t="s">
        <v>228</v>
      </c>
      <c r="G9912" s="238">
        <f t="shared" ref="G9912" si="2855">MROUND(H9912*L9912*I9912/K9912,0.000001)</f>
        <v>9.5729999999999999E-3</v>
      </c>
      <c r="H9912" s="158">
        <v>1</v>
      </c>
      <c r="I9912" s="159">
        <f>I9908</f>
        <v>2.4731E-2</v>
      </c>
      <c r="J9912" s="160"/>
      <c r="K9912" s="161">
        <f>K9908</f>
        <v>31</v>
      </c>
      <c r="L9912" s="250">
        <v>12</v>
      </c>
      <c r="M9912" s="163"/>
      <c r="N9912" s="278">
        <f t="shared" ref="N9912:N9928" si="2856">N9815</f>
        <v>0</v>
      </c>
      <c r="O9912" s="280">
        <f t="shared" ref="O9912:O9914" si="2857">MROUND(N9912*G9912,0.000001)</f>
        <v>0</v>
      </c>
      <c r="P9912" s="166"/>
      <c r="Q9912" s="166">
        <f t="shared" ref="Q9912:Q9928" si="2858">O9912*K9912</f>
        <v>0</v>
      </c>
      <c r="R9912" s="71"/>
    </row>
    <row r="9913" spans="1:18" s="61" customFormat="1" x14ac:dyDescent="0.25">
      <c r="A9913" s="358"/>
      <c r="B9913" s="361"/>
      <c r="C9913" s="364"/>
      <c r="D9913" s="156" t="s">
        <v>256</v>
      </c>
      <c r="E9913" s="156" t="s">
        <v>20</v>
      </c>
      <c r="F9913" s="156" t="s">
        <v>20</v>
      </c>
      <c r="G9913" s="238">
        <f>MROUND(H9913*L9913*I9913/K9913,0.00000001)</f>
        <v>1.994435E-2</v>
      </c>
      <c r="H9913" s="158">
        <f>H9816</f>
        <v>25</v>
      </c>
      <c r="I9913" s="159">
        <f>I9910</f>
        <v>2.4731E-2</v>
      </c>
      <c r="J9913" s="160"/>
      <c r="K9913" s="161">
        <f>K9910</f>
        <v>31</v>
      </c>
      <c r="L9913" s="250">
        <v>1</v>
      </c>
      <c r="M9913" s="163" t="str">
        <f t="shared" ref="M9913:M9918" si="2859">CONCATENATE(H9913," ",F9913,"*",I9913,"/",K9913,"чел/час")</f>
        <v>25 чел.*0,024731/31чел/час</v>
      </c>
      <c r="N9913" s="278">
        <f t="shared" si="2856"/>
        <v>2015.7676000000001</v>
      </c>
      <c r="O9913" s="280">
        <f t="shared" si="2857"/>
        <v>40.203175000000002</v>
      </c>
      <c r="P9913" s="166"/>
      <c r="Q9913" s="166">
        <f t="shared" si="2858"/>
        <v>1246.298425</v>
      </c>
      <c r="R9913" s="71"/>
    </row>
    <row r="9914" spans="1:18" s="61" customFormat="1" ht="63" x14ac:dyDescent="0.25">
      <c r="A9914" s="358"/>
      <c r="B9914" s="361"/>
      <c r="C9914" s="364"/>
      <c r="D9914" s="156" t="s">
        <v>39</v>
      </c>
      <c r="E9914" s="156" t="s">
        <v>20</v>
      </c>
      <c r="F9914" s="156" t="s">
        <v>234</v>
      </c>
      <c r="G9914" s="238">
        <f t="shared" ref="G9914" si="2860">MROUND(H9914*L9914*I9914/K9914,0.000001)</f>
        <v>7.9799999999999999E-4</v>
      </c>
      <c r="H9914" s="158">
        <v>1</v>
      </c>
      <c r="I9914" s="159">
        <f>I9912</f>
        <v>2.4731E-2</v>
      </c>
      <c r="J9914" s="160"/>
      <c r="K9914" s="161">
        <f>K9912</f>
        <v>31</v>
      </c>
      <c r="L9914" s="250">
        <v>1</v>
      </c>
      <c r="M9914" s="163" t="str">
        <f t="shared" si="2859"/>
        <v>1 чел(заявленная потребность руководителями учреждений)*0,024731/31чел/час</v>
      </c>
      <c r="N9914" s="278">
        <f t="shared" si="2856"/>
        <v>830.02</v>
      </c>
      <c r="O9914" s="280">
        <f t="shared" si="2857"/>
        <v>0.66235599999999994</v>
      </c>
      <c r="P9914" s="166"/>
      <c r="Q9914" s="166">
        <f t="shared" si="2858"/>
        <v>20.533035999999999</v>
      </c>
      <c r="R9914" s="71"/>
    </row>
    <row r="9915" spans="1:18" s="61" customFormat="1" ht="63" x14ac:dyDescent="0.25">
      <c r="A9915" s="358"/>
      <c r="B9915" s="361"/>
      <c r="C9915" s="364"/>
      <c r="D9915" s="156" t="s">
        <v>40</v>
      </c>
      <c r="E9915" s="156" t="s">
        <v>20</v>
      </c>
      <c r="F9915" s="156" t="s">
        <v>234</v>
      </c>
      <c r="G9915" s="238">
        <f>MROUND(H9915*L9915*I9915/K9915,0.000001)</f>
        <v>7.9799999999999999E-4</v>
      </c>
      <c r="H9915" s="158">
        <v>1</v>
      </c>
      <c r="I9915" s="159">
        <f>I9913</f>
        <v>2.4731E-2</v>
      </c>
      <c r="J9915" s="160"/>
      <c r="K9915" s="161">
        <f>K9913</f>
        <v>31</v>
      </c>
      <c r="L9915" s="250">
        <v>1</v>
      </c>
      <c r="M9915" s="163" t="str">
        <f t="shared" si="2859"/>
        <v>1 чел(заявленная потребность руководителями учреждений)*0,024731/31чел/час</v>
      </c>
      <c r="N9915" s="278">
        <f t="shared" si="2856"/>
        <v>1778.6200000000001</v>
      </c>
      <c r="O9915" s="280">
        <f>MROUND(N9915*G9915,0.000001)</f>
        <v>1.4193389999999999</v>
      </c>
      <c r="P9915" s="166"/>
      <c r="Q9915" s="166">
        <f t="shared" si="2858"/>
        <v>43.999508999999996</v>
      </c>
      <c r="R9915" s="71"/>
    </row>
    <row r="9916" spans="1:18" s="61" customFormat="1" ht="63" x14ac:dyDescent="0.25">
      <c r="A9916" s="358"/>
      <c r="B9916" s="361"/>
      <c r="C9916" s="364"/>
      <c r="D9916" s="156" t="s">
        <v>100</v>
      </c>
      <c r="E9916" s="156" t="s">
        <v>20</v>
      </c>
      <c r="F9916" s="156" t="s">
        <v>234</v>
      </c>
      <c r="G9916" s="238">
        <f>MROUND(H9916*L9916*I9916/K9916,0.00000001)</f>
        <v>7.9777000000000005E-4</v>
      </c>
      <c r="H9916" s="158">
        <v>1</v>
      </c>
      <c r="I9916" s="159">
        <f>I9914</f>
        <v>2.4731E-2</v>
      </c>
      <c r="J9916" s="160"/>
      <c r="K9916" s="161">
        <f>K9914</f>
        <v>31</v>
      </c>
      <c r="L9916" s="250">
        <v>1</v>
      </c>
      <c r="M9916" s="163" t="str">
        <f t="shared" si="2859"/>
        <v>1 чел(заявленная потребность руководителями учреждений)*0,024731/31чел/час</v>
      </c>
      <c r="N9916" s="278">
        <f t="shared" si="2856"/>
        <v>3794.39</v>
      </c>
      <c r="O9916" s="280">
        <f>MROUND(N9916*G9916,0.000001)</f>
        <v>3.0270509999999997</v>
      </c>
      <c r="P9916" s="166"/>
      <c r="Q9916" s="166">
        <f t="shared" si="2858"/>
        <v>93.838580999999991</v>
      </c>
      <c r="R9916" s="71"/>
    </row>
    <row r="9917" spans="1:18" s="61" customFormat="1" ht="110.25" x14ac:dyDescent="0.25">
      <c r="A9917" s="358"/>
      <c r="B9917" s="361"/>
      <c r="C9917" s="364"/>
      <c r="D9917" s="156" t="s">
        <v>235</v>
      </c>
      <c r="E9917" s="156" t="s">
        <v>50</v>
      </c>
      <c r="F9917" s="156" t="s">
        <v>230</v>
      </c>
      <c r="G9917" s="238">
        <f>MROUND(H9917*L9917*I9917/K9917,0.00000001)</f>
        <v>7.9777000000000005E-4</v>
      </c>
      <c r="H9917" s="158">
        <v>1</v>
      </c>
      <c r="I9917" s="159">
        <f>I9913</f>
        <v>2.4731E-2</v>
      </c>
      <c r="J9917" s="160"/>
      <c r="K9917" s="161">
        <f>K9913</f>
        <v>31</v>
      </c>
      <c r="L9917" s="250">
        <v>1</v>
      </c>
      <c r="M9917" s="163" t="str">
        <f t="shared" si="2859"/>
        <v>1 отчетов*0,024731/31чел/час</v>
      </c>
      <c r="N9917" s="278">
        <f t="shared" si="2856"/>
        <v>7114.47</v>
      </c>
      <c r="O9917" s="280">
        <f t="shared" ref="O9917:O9928" si="2861">MROUND(N9917*G9917,0.000001)</f>
        <v>5.6757109999999997</v>
      </c>
      <c r="P9917" s="166"/>
      <c r="Q9917" s="166">
        <f t="shared" si="2858"/>
        <v>175.94704099999998</v>
      </c>
      <c r="R9917" s="71"/>
    </row>
    <row r="9918" spans="1:18" s="61" customFormat="1" ht="63" x14ac:dyDescent="0.25">
      <c r="A9918" s="358"/>
      <c r="B9918" s="361"/>
      <c r="C9918" s="364"/>
      <c r="D9918" s="156" t="s">
        <v>42</v>
      </c>
      <c r="E9918" s="156" t="s">
        <v>51</v>
      </c>
      <c r="F9918" s="156" t="s">
        <v>407</v>
      </c>
      <c r="G9918" s="238">
        <f t="shared" ref="G9918:G9920" si="2862">MROUND(H9918*L9918*I9918/K9918,0.000001)</f>
        <v>4.7869999999999996E-3</v>
      </c>
      <c r="H9918" s="158">
        <f>H9821</f>
        <v>6</v>
      </c>
      <c r="I9918" s="159">
        <f t="shared" si="2836"/>
        <v>2.4731E-2</v>
      </c>
      <c r="J9918" s="160"/>
      <c r="K9918" s="161">
        <f t="shared" si="2837"/>
        <v>31</v>
      </c>
      <c r="L9918" s="250">
        <v>1</v>
      </c>
      <c r="M9918" s="163" t="str">
        <f t="shared" si="2859"/>
        <v>6 ед (заявленная потребность руководителями учреждений)*0,024731/31чел/час</v>
      </c>
      <c r="N9918" s="278">
        <f t="shared" si="2856"/>
        <v>1185.7450000000001</v>
      </c>
      <c r="O9918" s="280">
        <f t="shared" si="2861"/>
        <v>5.6761609999999996</v>
      </c>
      <c r="P9918" s="166"/>
      <c r="Q9918" s="166">
        <f t="shared" si="2858"/>
        <v>175.96099099999998</v>
      </c>
      <c r="R9918" s="71"/>
    </row>
    <row r="9919" spans="1:18" s="61" customFormat="1" ht="31.5" x14ac:dyDescent="0.25">
      <c r="A9919" s="358"/>
      <c r="B9919" s="361"/>
      <c r="C9919" s="364"/>
      <c r="D9919" s="156" t="s">
        <v>263</v>
      </c>
      <c r="E9919" s="156" t="s">
        <v>264</v>
      </c>
      <c r="F9919" s="156" t="s">
        <v>265</v>
      </c>
      <c r="G9919" s="238">
        <f t="shared" si="2862"/>
        <v>9.5729999999999999E-3</v>
      </c>
      <c r="H9919" s="158">
        <v>1</v>
      </c>
      <c r="I9919" s="159">
        <f t="shared" si="2836"/>
        <v>2.4731E-2</v>
      </c>
      <c r="J9919" s="160"/>
      <c r="K9919" s="161">
        <f t="shared" si="2837"/>
        <v>31</v>
      </c>
      <c r="L9919" s="250">
        <v>12</v>
      </c>
      <c r="M9919" s="163" t="str">
        <f>CONCATENATE(H9919," ",F9919,"*",L9919,"мес.","*",I9919,"/",K9919,"чел/час")</f>
        <v>1 мойка*12мес.*0,024731/31чел/час</v>
      </c>
      <c r="N9919" s="278">
        <f t="shared" si="2856"/>
        <v>592.87250000000006</v>
      </c>
      <c r="O9919" s="280">
        <f t="shared" si="2861"/>
        <v>5.6755680000000002</v>
      </c>
      <c r="P9919" s="166"/>
      <c r="Q9919" s="166">
        <f t="shared" si="2858"/>
        <v>175.94260800000001</v>
      </c>
      <c r="R9919" s="71"/>
    </row>
    <row r="9920" spans="1:18" s="61" customFormat="1" ht="31.5" x14ac:dyDescent="0.25">
      <c r="A9920" s="358"/>
      <c r="B9920" s="361"/>
      <c r="C9920" s="364"/>
      <c r="D9920" s="156" t="s">
        <v>266</v>
      </c>
      <c r="E9920" s="156" t="s">
        <v>267</v>
      </c>
      <c r="F9920" s="156" t="s">
        <v>268</v>
      </c>
      <c r="G9920" s="238">
        <f t="shared" si="2862"/>
        <v>0.191466</v>
      </c>
      <c r="H9920" s="158">
        <v>20</v>
      </c>
      <c r="I9920" s="159">
        <f t="shared" si="2836"/>
        <v>2.4731E-2</v>
      </c>
      <c r="J9920" s="160"/>
      <c r="K9920" s="161">
        <f t="shared" si="2837"/>
        <v>31</v>
      </c>
      <c r="L9920" s="250">
        <v>12</v>
      </c>
      <c r="M9920" s="163" t="str">
        <f>CONCATENATE(H9920," ",F9920,"*",L9920,"мес.","*",I9920,"/",K9920,"чел/час")</f>
        <v>20 комплектов в мес.*12мес.*0,024731/31чел/час</v>
      </c>
      <c r="N9920" s="278">
        <f t="shared" si="2856"/>
        <v>533.58550000000002</v>
      </c>
      <c r="O9920" s="280">
        <f t="shared" si="2861"/>
        <v>102.16348099999999</v>
      </c>
      <c r="P9920" s="166"/>
      <c r="Q9920" s="166">
        <f t="shared" si="2858"/>
        <v>3167.0679109999996</v>
      </c>
      <c r="R9920" s="71"/>
    </row>
    <row r="9921" spans="1:18" s="61" customFormat="1" ht="47.25" x14ac:dyDescent="0.25">
      <c r="A9921" s="358"/>
      <c r="B9921" s="361"/>
      <c r="C9921" s="364"/>
      <c r="D9921" s="156" t="s">
        <v>269</v>
      </c>
      <c r="E9921" s="156" t="s">
        <v>20</v>
      </c>
      <c r="F9921" s="156" t="s">
        <v>20</v>
      </c>
      <c r="G9921" s="238">
        <f>MROUND(H9921*L9921*I9921/K9921,0.00000001)</f>
        <v>3.9888700000000003E-3</v>
      </c>
      <c r="H9921" s="158">
        <f>$H$3047</f>
        <v>5</v>
      </c>
      <c r="I9921" s="159">
        <f t="shared" si="2836"/>
        <v>2.4731E-2</v>
      </c>
      <c r="J9921" s="160"/>
      <c r="K9921" s="161">
        <f t="shared" si="2837"/>
        <v>31</v>
      </c>
      <c r="L9921" s="250">
        <v>1</v>
      </c>
      <c r="M9921" s="163" t="str">
        <f>CONCATENATE(H9921," ",F9921,"*",I9921,"/",K9921,"чел/час")</f>
        <v>5 чел.*0,024731/31чел/час</v>
      </c>
      <c r="N9921" s="278">
        <f t="shared" si="2856"/>
        <v>19120.148000000001</v>
      </c>
      <c r="O9921" s="280">
        <f t="shared" si="2861"/>
        <v>76.267785000000003</v>
      </c>
      <c r="P9921" s="166"/>
      <c r="Q9921" s="166">
        <f t="shared" si="2858"/>
        <v>2364.3013350000001</v>
      </c>
      <c r="R9921" s="71"/>
    </row>
    <row r="9922" spans="1:18" s="61" customFormat="1" ht="31.5" x14ac:dyDescent="0.25">
      <c r="A9922" s="358"/>
      <c r="B9922" s="361"/>
      <c r="C9922" s="364"/>
      <c r="D9922" s="156" t="s">
        <v>376</v>
      </c>
      <c r="E9922" s="156" t="s">
        <v>55</v>
      </c>
      <c r="F9922" s="156" t="s">
        <v>55</v>
      </c>
      <c r="G9922" s="238">
        <f>MROUND(H9922*L9922*I9922/K9922,0.00000001)</f>
        <v>9.5732899999999999E-3</v>
      </c>
      <c r="H9922" s="158">
        <v>1</v>
      </c>
      <c r="I9922" s="159">
        <f t="shared" si="2836"/>
        <v>2.4731E-2</v>
      </c>
      <c r="J9922" s="160"/>
      <c r="K9922" s="161">
        <f t="shared" si="2837"/>
        <v>31</v>
      </c>
      <c r="L9922" s="250">
        <v>12</v>
      </c>
      <c r="M9922" s="163" t="str">
        <f>CONCATENATE(H9922," ",F9922,"*",L9922,"мес.","*",I9922,"/",K9922,"чел/час")</f>
        <v>1 система*12мес.*0,024731/31чел/час</v>
      </c>
      <c r="N9922" s="278">
        <f t="shared" si="2856"/>
        <v>26755.559166666662</v>
      </c>
      <c r="O9922" s="280">
        <f t="shared" si="2861"/>
        <v>256.13872699999996</v>
      </c>
      <c r="P9922" s="166"/>
      <c r="Q9922" s="166">
        <f t="shared" si="2858"/>
        <v>7940.3005369999992</v>
      </c>
      <c r="R9922" s="71"/>
    </row>
    <row r="9923" spans="1:18" s="61" customFormat="1" ht="31.5" x14ac:dyDescent="0.25">
      <c r="A9923" s="358"/>
      <c r="B9923" s="361"/>
      <c r="C9923" s="364"/>
      <c r="D9923" s="156" t="s">
        <v>270</v>
      </c>
      <c r="E9923" s="156" t="s">
        <v>60</v>
      </c>
      <c r="F9923" s="156" t="s">
        <v>60</v>
      </c>
      <c r="G9923" s="238">
        <f t="shared" ref="G9923" si="2863">MROUND(H9923*L9923*I9923/K9923,0.000001)</f>
        <v>1.3561999999999999E-2</v>
      </c>
      <c r="H9923" s="158">
        <f>H9826</f>
        <v>17</v>
      </c>
      <c r="I9923" s="159">
        <f t="shared" si="2836"/>
        <v>2.4731E-2</v>
      </c>
      <c r="J9923" s="160"/>
      <c r="K9923" s="161">
        <f t="shared" si="2837"/>
        <v>31</v>
      </c>
      <c r="L9923" s="250">
        <v>1</v>
      </c>
      <c r="M9923" s="163" t="str">
        <f>CONCATENATE(H9923," ",F9923,"*",I9923,"/",K9923,"чел/час")</f>
        <v>17 шт.*0,024731/31чел/час</v>
      </c>
      <c r="N9923" s="278">
        <f t="shared" si="2856"/>
        <v>3347.9876470588238</v>
      </c>
      <c r="O9923" s="280">
        <f t="shared" si="2861"/>
        <v>45.405408000000001</v>
      </c>
      <c r="P9923" s="166"/>
      <c r="Q9923" s="166">
        <f t="shared" si="2858"/>
        <v>1407.567648</v>
      </c>
      <c r="R9923" s="71"/>
    </row>
    <row r="9924" spans="1:18" s="61" customFormat="1" ht="31.5" x14ac:dyDescent="0.25">
      <c r="A9924" s="358"/>
      <c r="B9924" s="361"/>
      <c r="C9924" s="364"/>
      <c r="D9924" s="156" t="s">
        <v>408</v>
      </c>
      <c r="E9924" s="156" t="s">
        <v>20</v>
      </c>
      <c r="F9924" s="156" t="s">
        <v>20</v>
      </c>
      <c r="G9924" s="238">
        <f>MROUND(H9924*L9924*I9924/K9924,0.00000001)</f>
        <v>4.7866499999999999E-3</v>
      </c>
      <c r="H9924" s="158">
        <f>$H$3050</f>
        <v>6</v>
      </c>
      <c r="I9924" s="159">
        <f t="shared" si="2836"/>
        <v>2.4731E-2</v>
      </c>
      <c r="J9924" s="160"/>
      <c r="K9924" s="161">
        <f t="shared" si="2837"/>
        <v>31</v>
      </c>
      <c r="L9924" s="250">
        <v>1</v>
      </c>
      <c r="M9924" s="163" t="str">
        <f>CONCATENATE(H9924," ",F9924,"*",I9924,"/",K9924,"чел/час")</f>
        <v>6 чел.*0,024731/31чел/час</v>
      </c>
      <c r="N9924" s="278">
        <f t="shared" si="2856"/>
        <v>592.87333333333333</v>
      </c>
      <c r="O9924" s="280">
        <f t="shared" si="2861"/>
        <v>2.8378769999999998</v>
      </c>
      <c r="P9924" s="166"/>
      <c r="Q9924" s="166">
        <f t="shared" si="2858"/>
        <v>87.974186999999986</v>
      </c>
      <c r="R9924" s="71"/>
    </row>
    <row r="9925" spans="1:18" s="61" customFormat="1" ht="63" x14ac:dyDescent="0.25">
      <c r="A9925" s="358"/>
      <c r="B9925" s="361"/>
      <c r="C9925" s="364"/>
      <c r="D9925" s="156" t="s">
        <v>45</v>
      </c>
      <c r="E9925" s="156" t="s">
        <v>53</v>
      </c>
      <c r="F9925" s="156" t="s">
        <v>257</v>
      </c>
      <c r="G9925" s="238">
        <f t="shared" ref="G9925:G9928" si="2864">MROUND(H9925*L9925*I9925/K9925,0.000001)</f>
        <v>9.5729999999999999E-3</v>
      </c>
      <c r="H9925" s="158">
        <v>1</v>
      </c>
      <c r="I9925" s="159">
        <f>I9923</f>
        <v>2.4731E-2</v>
      </c>
      <c r="J9925" s="160"/>
      <c r="K9925" s="161">
        <f>K9923</f>
        <v>31</v>
      </c>
      <c r="L9925" s="250">
        <v>12</v>
      </c>
      <c r="M9925" s="163" t="str">
        <f>CONCATENATE(H9925," ",F9925,"*",L9925,"мес.","*",I9925,"/",K9925,"чел")</f>
        <v>1  машина, оборудованная системой ГЛОНАСС*12мес.*0,024731/31чел</v>
      </c>
      <c r="N9925" s="278">
        <f t="shared" si="2856"/>
        <v>958.08249999999998</v>
      </c>
      <c r="O9925" s="280">
        <f t="shared" si="2861"/>
        <v>9.1717239999999993</v>
      </c>
      <c r="P9925" s="166"/>
      <c r="Q9925" s="166">
        <f t="shared" si="2858"/>
        <v>284.32344399999999</v>
      </c>
      <c r="R9925" s="71"/>
    </row>
    <row r="9926" spans="1:18" s="61" customFormat="1" ht="47.25" x14ac:dyDescent="0.25">
      <c r="A9926" s="358"/>
      <c r="B9926" s="361"/>
      <c r="C9926" s="364"/>
      <c r="D9926" s="156" t="s">
        <v>271</v>
      </c>
      <c r="E9926" s="156" t="s">
        <v>85</v>
      </c>
      <c r="F9926" s="156" t="s">
        <v>232</v>
      </c>
      <c r="G9926" s="238">
        <f t="shared" si="2864"/>
        <v>0.24252299999999999</v>
      </c>
      <c r="H9926" s="158">
        <f>H9829</f>
        <v>304</v>
      </c>
      <c r="I9926" s="159">
        <f>I9924</f>
        <v>2.4731E-2</v>
      </c>
      <c r="J9926" s="160"/>
      <c r="K9926" s="161">
        <f>K9924</f>
        <v>31</v>
      </c>
      <c r="L9926" s="250">
        <v>1</v>
      </c>
      <c r="M9926" s="163" t="str">
        <f>CONCATENATE(H9926," ",F9926,"*",L9926,"мес.","*",I9926,"/",K9926,"чел")</f>
        <v>304 мед.осмотров в мес.*1мес.*0,024731/31чел</v>
      </c>
      <c r="N9926" s="278">
        <f t="shared" si="2856"/>
        <v>61.658782894736845</v>
      </c>
      <c r="O9926" s="280">
        <f t="shared" si="2861"/>
        <v>14.953672999999998</v>
      </c>
      <c r="P9926" s="166"/>
      <c r="Q9926" s="166">
        <f t="shared" si="2858"/>
        <v>463.56386299999997</v>
      </c>
      <c r="R9926" s="71"/>
    </row>
    <row r="9927" spans="1:18" s="61" customFormat="1" x14ac:dyDescent="0.25">
      <c r="A9927" s="358"/>
      <c r="B9927" s="361"/>
      <c r="C9927" s="364"/>
      <c r="D9927" s="156" t="s">
        <v>373</v>
      </c>
      <c r="E9927" s="156" t="s">
        <v>28</v>
      </c>
      <c r="F9927" s="156" t="s">
        <v>28</v>
      </c>
      <c r="G9927" s="238">
        <f t="shared" si="2864"/>
        <v>7.9799999999999999E-4</v>
      </c>
      <c r="H9927" s="158">
        <f>H9830</f>
        <v>1</v>
      </c>
      <c r="I9927" s="159">
        <f>I9926</f>
        <v>2.4731E-2</v>
      </c>
      <c r="J9927" s="160"/>
      <c r="K9927" s="161">
        <f>K9926</f>
        <v>31</v>
      </c>
      <c r="L9927" s="250">
        <v>1</v>
      </c>
      <c r="M9927" s="163" t="str">
        <f>CONCATENATE(H9927," ",F9927,"*",L9927,"мес.","*",I9927,"/",K9927,"чел")</f>
        <v>1 шт*1мес.*0,024731/31чел</v>
      </c>
      <c r="N9927" s="278">
        <f t="shared" si="2856"/>
        <v>24000</v>
      </c>
      <c r="O9927" s="280">
        <f t="shared" si="2861"/>
        <v>19.151999999999997</v>
      </c>
      <c r="P9927" s="166"/>
      <c r="Q9927" s="166">
        <f t="shared" si="2858"/>
        <v>593.71199999999988</v>
      </c>
      <c r="R9927" s="71"/>
    </row>
    <row r="9928" spans="1:18" s="61" customFormat="1" ht="31.5" x14ac:dyDescent="0.25">
      <c r="A9928" s="358"/>
      <c r="B9928" s="361"/>
      <c r="C9928" s="364"/>
      <c r="D9928" s="156" t="s">
        <v>43</v>
      </c>
      <c r="E9928" s="156" t="s">
        <v>52</v>
      </c>
      <c r="F9928" s="156" t="s">
        <v>231</v>
      </c>
      <c r="G9928" s="238">
        <f t="shared" si="2864"/>
        <v>7.9799999999999999E-4</v>
      </c>
      <c r="H9928" s="158">
        <v>1</v>
      </c>
      <c r="I9928" s="159">
        <f>I9918</f>
        <v>2.4731E-2</v>
      </c>
      <c r="J9928" s="160"/>
      <c r="K9928" s="161">
        <f>K9918</f>
        <v>31</v>
      </c>
      <c r="L9928" s="250">
        <v>1</v>
      </c>
      <c r="M9928" s="163" t="str">
        <f>CONCATENATE(H9928," ",F9928,"*",I9928,"/",K9928,"чел/час")</f>
        <v>1 ЭЦП*0,024731/31чел/час</v>
      </c>
      <c r="N9928" s="278">
        <f t="shared" si="2856"/>
        <v>8423.5400000000009</v>
      </c>
      <c r="O9928" s="280">
        <f t="shared" si="2861"/>
        <v>6.7219850000000001</v>
      </c>
      <c r="P9928" s="166"/>
      <c r="Q9928" s="166">
        <f t="shared" si="2858"/>
        <v>208.38153500000001</v>
      </c>
      <c r="R9928" s="71"/>
    </row>
    <row r="9929" spans="1:18" s="62" customFormat="1" x14ac:dyDescent="0.25">
      <c r="A9929" s="358"/>
      <c r="B9929" s="361"/>
      <c r="C9929" s="245" t="s">
        <v>296</v>
      </c>
      <c r="D9929" s="240"/>
      <c r="E9929" s="240"/>
      <c r="F9929" s="240"/>
      <c r="G9929" s="227"/>
      <c r="H9929" s="241"/>
      <c r="I9929" s="206"/>
      <c r="J9929" s="228"/>
      <c r="K9929" s="207"/>
      <c r="L9929" s="257"/>
      <c r="M9929" s="209"/>
      <c r="N9929" s="281"/>
      <c r="O9929" s="279">
        <f>SUM(O9912:O9928)</f>
        <v>595.1520210000001</v>
      </c>
      <c r="P9929" s="267"/>
      <c r="Q9929" s="166"/>
      <c r="R9929" s="71"/>
    </row>
    <row r="9930" spans="1:18" s="61" customFormat="1" ht="31.5" x14ac:dyDescent="0.25">
      <c r="A9930" s="358"/>
      <c r="B9930" s="361"/>
      <c r="C9930" s="252" t="s">
        <v>237</v>
      </c>
      <c r="D9930" s="156" t="s">
        <v>41</v>
      </c>
      <c r="E9930" s="156" t="s">
        <v>61</v>
      </c>
      <c r="F9930" s="156" t="s">
        <v>254</v>
      </c>
      <c r="G9930" s="238">
        <f>MROUND(H9930*L9930*I9930/K9930,0.00000001)</f>
        <v>7.9777000000000005E-4</v>
      </c>
      <c r="H9930" s="158">
        <v>1</v>
      </c>
      <c r="I9930" s="159">
        <f>I9928</f>
        <v>2.4731E-2</v>
      </c>
      <c r="J9930" s="160"/>
      <c r="K9930" s="161">
        <f>K9928</f>
        <v>31</v>
      </c>
      <c r="L9930" s="250">
        <v>1</v>
      </c>
      <c r="M9930" s="163" t="str">
        <f>CONCATENATE(H9930," ",F9930,"*",I9930,"/",K9930,"чел/час")</f>
        <v>1 автобус*0,024731/31чел/час</v>
      </c>
      <c r="N9930" s="278">
        <f>N9833</f>
        <v>27983.600000000002</v>
      </c>
      <c r="O9930" s="280">
        <f>MROUND(N9930*G9930,0.000001)</f>
        <v>22.324476999999998</v>
      </c>
      <c r="P9930" s="166"/>
      <c r="Q9930" s="166">
        <f t="shared" ref="Q9930" si="2865">O9930*K9930</f>
        <v>692.05878699999994</v>
      </c>
      <c r="R9930" s="71"/>
    </row>
    <row r="9931" spans="1:18" s="62" customFormat="1" x14ac:dyDescent="0.25">
      <c r="A9931" s="358"/>
      <c r="B9931" s="361"/>
      <c r="C9931" s="245" t="s">
        <v>297</v>
      </c>
      <c r="D9931" s="240"/>
      <c r="E9931" s="240"/>
      <c r="F9931" s="240"/>
      <c r="G9931" s="227"/>
      <c r="H9931" s="241"/>
      <c r="I9931" s="206"/>
      <c r="J9931" s="228"/>
      <c r="K9931" s="207"/>
      <c r="L9931" s="257"/>
      <c r="M9931" s="209"/>
      <c r="N9931" s="281"/>
      <c r="O9931" s="279">
        <f>O9930</f>
        <v>22.324476999999998</v>
      </c>
      <c r="P9931" s="267"/>
      <c r="Q9931" s="166"/>
      <c r="R9931" s="71"/>
    </row>
    <row r="9932" spans="1:18" s="61" customFormat="1" ht="78.75" x14ac:dyDescent="0.25">
      <c r="A9932" s="358"/>
      <c r="B9932" s="361"/>
      <c r="C9932" s="221" t="s">
        <v>236</v>
      </c>
      <c r="D9932" s="156" t="s">
        <v>19</v>
      </c>
      <c r="E9932" s="181" t="s">
        <v>20</v>
      </c>
      <c r="F9932" s="181" t="s">
        <v>238</v>
      </c>
      <c r="G9932" s="238">
        <f t="shared" ref="G9932" si="2866">MROUND(H9932*L9932*I9932/K9932,0.000001)</f>
        <v>0</v>
      </c>
      <c r="H9932" s="158"/>
      <c r="I9932" s="159">
        <f>I9930</f>
        <v>2.4731E-2</v>
      </c>
      <c r="J9932" s="160"/>
      <c r="K9932" s="161">
        <f>K9930</f>
        <v>31</v>
      </c>
      <c r="L9932" s="250"/>
      <c r="M9932" s="163"/>
      <c r="N9932" s="278"/>
      <c r="O9932" s="280">
        <f>MROUND(N9932*G9932,0.000001)</f>
        <v>0</v>
      </c>
      <c r="P9932" s="166"/>
      <c r="Q9932" s="166">
        <f t="shared" ref="Q9932" si="2867">O9932*K9932</f>
        <v>0</v>
      </c>
      <c r="R9932" s="71"/>
    </row>
    <row r="9933" spans="1:18" s="62" customFormat="1" x14ac:dyDescent="0.25">
      <c r="A9933" s="358"/>
      <c r="B9933" s="361"/>
      <c r="C9933" s="245" t="s">
        <v>298</v>
      </c>
      <c r="D9933" s="240"/>
      <c r="E9933" s="253"/>
      <c r="F9933" s="253"/>
      <c r="G9933" s="227"/>
      <c r="H9933" s="241"/>
      <c r="I9933" s="206"/>
      <c r="J9933" s="228"/>
      <c r="K9933" s="207"/>
      <c r="L9933" s="257"/>
      <c r="M9933" s="209"/>
      <c r="N9933" s="281"/>
      <c r="O9933" s="279">
        <f>O9932</f>
        <v>0</v>
      </c>
      <c r="P9933" s="267"/>
      <c r="Q9933" s="166"/>
      <c r="R9933" s="71"/>
    </row>
    <row r="9934" spans="1:18" s="61" customFormat="1" x14ac:dyDescent="0.25">
      <c r="A9934" s="358"/>
      <c r="B9934" s="361"/>
      <c r="C9934" s="365" t="s">
        <v>81</v>
      </c>
      <c r="D9934" s="156" t="s">
        <v>427</v>
      </c>
      <c r="E9934" s="156" t="s">
        <v>28</v>
      </c>
      <c r="F9934" s="156" t="s">
        <v>28</v>
      </c>
      <c r="G9934" s="238">
        <f>MROUND(H9934*L9934*I9934/K9934,0.00000001)</f>
        <v>0</v>
      </c>
      <c r="H9934" s="158"/>
      <c r="I9934" s="159">
        <f>I9930</f>
        <v>2.4731E-2</v>
      </c>
      <c r="J9934" s="160"/>
      <c r="K9934" s="161">
        <f>K9930</f>
        <v>31</v>
      </c>
      <c r="L9934" s="250">
        <v>1</v>
      </c>
      <c r="M9934" s="163"/>
      <c r="N9934" s="278"/>
      <c r="O9934" s="280">
        <f>MROUND(N9934*G9934,0.000001)</f>
        <v>0</v>
      </c>
      <c r="P9934" s="166"/>
      <c r="Q9934" s="166">
        <f t="shared" ref="Q9934:Q9938" si="2868">O9934*K9934</f>
        <v>0</v>
      </c>
      <c r="R9934" s="71"/>
    </row>
    <row r="9935" spans="1:18" s="61" customFormat="1" x14ac:dyDescent="0.25">
      <c r="A9935" s="358"/>
      <c r="B9935" s="361"/>
      <c r="C9935" s="366"/>
      <c r="D9935" s="156" t="s">
        <v>428</v>
      </c>
      <c r="E9935" s="156" t="s">
        <v>28</v>
      </c>
      <c r="F9935" s="156" t="s">
        <v>28</v>
      </c>
      <c r="G9935" s="238">
        <f>MROUND(H9935*L9935*I9935/K9935,0.00000001)</f>
        <v>0</v>
      </c>
      <c r="H9935" s="158"/>
      <c r="I9935" s="159">
        <f>I9934</f>
        <v>2.4731E-2</v>
      </c>
      <c r="J9935" s="160"/>
      <c r="K9935" s="161">
        <f>K9934</f>
        <v>31</v>
      </c>
      <c r="L9935" s="250">
        <v>1</v>
      </c>
      <c r="M9935" s="163"/>
      <c r="N9935" s="278"/>
      <c r="O9935" s="280">
        <f>MROUND(N9935*G9935,0.000001)</f>
        <v>0</v>
      </c>
      <c r="P9935" s="166"/>
      <c r="Q9935" s="166">
        <f t="shared" si="2868"/>
        <v>0</v>
      </c>
      <c r="R9935" s="71"/>
    </row>
    <row r="9936" spans="1:18" s="61" customFormat="1" x14ac:dyDescent="0.25">
      <c r="A9936" s="358"/>
      <c r="B9936" s="361"/>
      <c r="C9936" s="366"/>
      <c r="D9936" s="156" t="s">
        <v>110</v>
      </c>
      <c r="E9936" s="156" t="s">
        <v>28</v>
      </c>
      <c r="F9936" s="156" t="s">
        <v>28</v>
      </c>
      <c r="G9936" s="238">
        <f>MROUND(H9936*L9936*I9936/K9936,0.00000001)</f>
        <v>0</v>
      </c>
      <c r="H9936" s="158"/>
      <c r="I9936" s="159">
        <f t="shared" ref="I9936:I9937" si="2869">I9935</f>
        <v>2.4731E-2</v>
      </c>
      <c r="J9936" s="160"/>
      <c r="K9936" s="161">
        <f t="shared" ref="K9936:K9937" si="2870">K9935</f>
        <v>31</v>
      </c>
      <c r="L9936" s="250">
        <v>1</v>
      </c>
      <c r="M9936" s="163"/>
      <c r="N9936" s="278"/>
      <c r="O9936" s="280">
        <f>MROUND(N9936*G9936,0.000001)</f>
        <v>0</v>
      </c>
      <c r="P9936" s="166"/>
      <c r="Q9936" s="166">
        <f t="shared" si="2868"/>
        <v>0</v>
      </c>
      <c r="R9936" s="71"/>
    </row>
    <row r="9937" spans="1:18" s="61" customFormat="1" x14ac:dyDescent="0.25">
      <c r="A9937" s="358"/>
      <c r="B9937" s="361"/>
      <c r="C9937" s="366"/>
      <c r="D9937" s="156" t="s">
        <v>111</v>
      </c>
      <c r="E9937" s="156" t="s">
        <v>28</v>
      </c>
      <c r="F9937" s="156" t="s">
        <v>28</v>
      </c>
      <c r="G9937" s="238">
        <f>MROUND(H9937*L9937*I9937/K9937,0.00000001)</f>
        <v>0</v>
      </c>
      <c r="H9937" s="158"/>
      <c r="I9937" s="159">
        <f t="shared" si="2869"/>
        <v>2.4731E-2</v>
      </c>
      <c r="J9937" s="160"/>
      <c r="K9937" s="161">
        <f t="shared" si="2870"/>
        <v>31</v>
      </c>
      <c r="L9937" s="250">
        <v>1</v>
      </c>
      <c r="M9937" s="163"/>
      <c r="N9937" s="278"/>
      <c r="O9937" s="280">
        <f>MROUND(N9937*G9937,0.000001)</f>
        <v>0</v>
      </c>
      <c r="P9937" s="166"/>
      <c r="Q9937" s="166">
        <f t="shared" si="2868"/>
        <v>0</v>
      </c>
      <c r="R9937" s="71"/>
    </row>
    <row r="9938" spans="1:18" s="61" customFormat="1" x14ac:dyDescent="0.25">
      <c r="A9938" s="358"/>
      <c r="B9938" s="361"/>
      <c r="C9938" s="367"/>
      <c r="D9938" s="156" t="s">
        <v>438</v>
      </c>
      <c r="E9938" s="156" t="s">
        <v>28</v>
      </c>
      <c r="F9938" s="156" t="s">
        <v>28</v>
      </c>
      <c r="G9938" s="238">
        <f>MROUND(H9938*L9938*I9938/K9938,0.00000001)</f>
        <v>0</v>
      </c>
      <c r="H9938" s="158"/>
      <c r="I9938" s="159">
        <f>I9932</f>
        <v>2.4731E-2</v>
      </c>
      <c r="J9938" s="160"/>
      <c r="K9938" s="161">
        <f>K9932</f>
        <v>31</v>
      </c>
      <c r="L9938" s="250">
        <v>1</v>
      </c>
      <c r="M9938" s="163"/>
      <c r="N9938" s="278"/>
      <c r="O9938" s="280">
        <f>MROUND(N9938*G9938,0.000001)</f>
        <v>0</v>
      </c>
      <c r="P9938" s="166"/>
      <c r="Q9938" s="166">
        <f t="shared" si="2868"/>
        <v>0</v>
      </c>
      <c r="R9938" s="71"/>
    </row>
    <row r="9939" spans="1:18" s="62" customFormat="1" x14ac:dyDescent="0.25">
      <c r="A9939" s="358"/>
      <c r="B9939" s="361"/>
      <c r="C9939" s="245" t="s">
        <v>299</v>
      </c>
      <c r="D9939" s="240"/>
      <c r="E9939" s="240"/>
      <c r="F9939" s="240"/>
      <c r="G9939" s="227"/>
      <c r="H9939" s="241"/>
      <c r="I9939" s="206"/>
      <c r="J9939" s="228"/>
      <c r="K9939" s="207"/>
      <c r="L9939" s="257"/>
      <c r="M9939" s="209"/>
      <c r="N9939" s="281"/>
      <c r="O9939" s="279">
        <f>SUM(O9934:O9938)</f>
        <v>0</v>
      </c>
      <c r="P9939" s="267"/>
      <c r="Q9939" s="166"/>
      <c r="R9939" s="71"/>
    </row>
    <row r="9940" spans="1:18" s="61" customFormat="1" ht="110.25" x14ac:dyDescent="0.25">
      <c r="A9940" s="358"/>
      <c r="B9940" s="361"/>
      <c r="C9940" s="221" t="s">
        <v>82</v>
      </c>
      <c r="D9940" s="156" t="s">
        <v>46</v>
      </c>
      <c r="E9940" s="156" t="s">
        <v>54</v>
      </c>
      <c r="F9940" s="156" t="s">
        <v>285</v>
      </c>
      <c r="G9940" s="238">
        <f t="shared" ref="G9940" si="2871">MROUND(H9940*L9940*I9940/K9940,0.000001)</f>
        <v>2.0343239999999998</v>
      </c>
      <c r="H9940" s="242">
        <f>H9843</f>
        <v>231.81817568471834</v>
      </c>
      <c r="I9940" s="159">
        <f>I9932</f>
        <v>2.4731E-2</v>
      </c>
      <c r="J9940" s="160"/>
      <c r="K9940" s="161">
        <f>K9932</f>
        <v>31</v>
      </c>
      <c r="L9940" s="250">
        <v>11</v>
      </c>
      <c r="M9940" s="163" t="str">
        <f>CONCATENATE(H9940," ",F9940,"*",L9940,"автобус","*",I9940,"/",K9940,"чел/час")</f>
        <v>231,818175684718 л бензина АИ 92 (12,5л/день(зимой)*20дней*7мес+10л/день(летом)*20дней*4мес)*11автобус*0,024731/31чел/час</v>
      </c>
      <c r="N9940" s="278">
        <f>N9843</f>
        <v>59.28728000000001</v>
      </c>
      <c r="O9940" s="280">
        <f>MROUND(N9940*G9940,0.000001)</f>
        <v>120.60953699999999</v>
      </c>
      <c r="P9940" s="166"/>
      <c r="Q9940" s="166">
        <f t="shared" ref="Q9940" si="2872">O9940*K9940</f>
        <v>3738.8956469999998</v>
      </c>
      <c r="R9940" s="71"/>
    </row>
    <row r="9941" spans="1:18" s="62" customFormat="1" x14ac:dyDescent="0.25">
      <c r="A9941" s="358"/>
      <c r="B9941" s="361"/>
      <c r="C9941" s="218" t="s">
        <v>300</v>
      </c>
      <c r="D9941" s="240"/>
      <c r="E9941" s="240"/>
      <c r="F9941" s="240"/>
      <c r="G9941" s="227"/>
      <c r="H9941" s="241"/>
      <c r="I9941" s="206"/>
      <c r="J9941" s="228"/>
      <c r="K9941" s="207"/>
      <c r="L9941" s="257"/>
      <c r="M9941" s="209"/>
      <c r="N9941" s="281"/>
      <c r="O9941" s="279">
        <f>O9940</f>
        <v>120.60953699999999</v>
      </c>
      <c r="P9941" s="267"/>
      <c r="Q9941" s="166"/>
      <c r="R9941" s="71"/>
    </row>
    <row r="9942" spans="1:18" s="61" customFormat="1" ht="47.25" x14ac:dyDescent="0.25">
      <c r="A9942" s="358"/>
      <c r="B9942" s="361"/>
      <c r="C9942" s="364" t="s">
        <v>118</v>
      </c>
      <c r="D9942" s="156" t="s">
        <v>47</v>
      </c>
      <c r="E9942" s="156" t="s">
        <v>28</v>
      </c>
      <c r="F9942" s="156" t="s">
        <v>239</v>
      </c>
      <c r="G9942" s="238">
        <f t="shared" ref="G9942:G9943" si="2873">MROUND(H9942*L9942*I9942/K9942,0.000001)</f>
        <v>0</v>
      </c>
      <c r="H9942" s="158">
        <f>H9845</f>
        <v>0</v>
      </c>
      <c r="I9942" s="159">
        <f>I9940</f>
        <v>2.4731E-2</v>
      </c>
      <c r="J9942" s="160"/>
      <c r="K9942" s="161">
        <f>K9940</f>
        <v>31</v>
      </c>
      <c r="L9942" s="250">
        <v>1</v>
      </c>
      <c r="M9942" s="163"/>
      <c r="N9942" s="278">
        <f>N9845</f>
        <v>0</v>
      </c>
      <c r="O9942" s="280">
        <f>MROUND(N9942*G9942,0.000001)</f>
        <v>0</v>
      </c>
      <c r="P9942" s="166"/>
      <c r="Q9942" s="166">
        <f t="shared" ref="Q9942:Q9943" si="2874">O9942*K9942</f>
        <v>0</v>
      </c>
      <c r="R9942" s="71"/>
    </row>
    <row r="9943" spans="1:18" s="61" customFormat="1" ht="47.25" x14ac:dyDescent="0.25">
      <c r="A9943" s="358"/>
      <c r="B9943" s="361"/>
      <c r="C9943" s="364"/>
      <c r="D9943" s="255" t="s">
        <v>113</v>
      </c>
      <c r="E9943" s="156" t="s">
        <v>28</v>
      </c>
      <c r="F9943" s="156" t="s">
        <v>240</v>
      </c>
      <c r="G9943" s="238">
        <f t="shared" si="2873"/>
        <v>1.5955E-2</v>
      </c>
      <c r="H9943" s="158">
        <f>H9846</f>
        <v>20</v>
      </c>
      <c r="I9943" s="159">
        <f>I9942</f>
        <v>2.4731E-2</v>
      </c>
      <c r="J9943" s="160"/>
      <c r="K9943" s="161">
        <f>K9942</f>
        <v>31</v>
      </c>
      <c r="L9943" s="250">
        <v>1</v>
      </c>
      <c r="M9943" s="163" t="str">
        <f>CONCATENATE(H9943," ",F9943,"*",I9943,"/",K9943,"чел/час")</f>
        <v>20 светильников (потребность учреждений)*0,024731/31чел/час</v>
      </c>
      <c r="N9943" s="278">
        <f>N9846</f>
        <v>115.61000000000001</v>
      </c>
      <c r="O9943" s="280">
        <f>MROUND(N9943*G9943,0.000001)</f>
        <v>1.8445579999999999</v>
      </c>
      <c r="P9943" s="166"/>
      <c r="Q9943" s="166">
        <f t="shared" si="2874"/>
        <v>57.181297999999998</v>
      </c>
      <c r="R9943" s="71"/>
    </row>
    <row r="9944" spans="1:18" s="62" customFormat="1" x14ac:dyDescent="0.25">
      <c r="A9944" s="359"/>
      <c r="B9944" s="362"/>
      <c r="C9944" s="218" t="s">
        <v>301</v>
      </c>
      <c r="D9944" s="256"/>
      <c r="E9944" s="240"/>
      <c r="F9944" s="240"/>
      <c r="G9944" s="227"/>
      <c r="H9944" s="241"/>
      <c r="I9944" s="206"/>
      <c r="J9944" s="228"/>
      <c r="K9944" s="207"/>
      <c r="L9944" s="257"/>
      <c r="M9944" s="209"/>
      <c r="N9944" s="281"/>
      <c r="O9944" s="279">
        <f>O9942+O9943</f>
        <v>1.8445579999999999</v>
      </c>
      <c r="P9944" s="267"/>
      <c r="Q9944" s="166"/>
      <c r="R9944" s="71"/>
    </row>
    <row r="9945" spans="1:18" s="61" customFormat="1" x14ac:dyDescent="0.25">
      <c r="A9945" s="357" t="str">
        <f>школы!$B$27</f>
        <v>Оценка качества образования</v>
      </c>
      <c r="B9945" s="360" t="str">
        <f>школы!$A$27</f>
        <v>48Д71100000000000004101</v>
      </c>
      <c r="C9945" s="194"/>
      <c r="D9945" s="369" t="s">
        <v>15</v>
      </c>
      <c r="E9945" s="370"/>
      <c r="F9945" s="370"/>
      <c r="G9945" s="371"/>
      <c r="H9945" s="195"/>
      <c r="I9945" s="195"/>
      <c r="J9945" s="195"/>
      <c r="K9945" s="195"/>
      <c r="L9945" s="196"/>
      <c r="M9945" s="197"/>
      <c r="N9945" s="278"/>
      <c r="O9945" s="279">
        <f>O9946+O9951+O9954</f>
        <v>10830.761227020301</v>
      </c>
      <c r="P9945" s="166"/>
      <c r="Q9945" s="166">
        <f t="shared" ref="Q9945:Q9947" si="2875">O9945*K9945</f>
        <v>0</v>
      </c>
      <c r="R9945" s="71"/>
    </row>
    <row r="9946" spans="1:18" s="61" customFormat="1" x14ac:dyDescent="0.25">
      <c r="A9946" s="358"/>
      <c r="B9946" s="361"/>
      <c r="C9946" s="194"/>
      <c r="D9946" s="350" t="s">
        <v>62</v>
      </c>
      <c r="E9946" s="350"/>
      <c r="F9946" s="350"/>
      <c r="G9946" s="350"/>
      <c r="H9946" s="195"/>
      <c r="I9946" s="195"/>
      <c r="J9946" s="195"/>
      <c r="K9946" s="195"/>
      <c r="L9946" s="196"/>
      <c r="M9946" s="197"/>
      <c r="N9946" s="278"/>
      <c r="O9946" s="279">
        <f>O9948+O9950</f>
        <v>10687.567888020301</v>
      </c>
      <c r="P9946" s="166"/>
      <c r="Q9946" s="166">
        <f t="shared" si="2875"/>
        <v>0</v>
      </c>
      <c r="R9946" s="71"/>
    </row>
    <row r="9947" spans="1:18" s="61" customFormat="1" x14ac:dyDescent="0.25">
      <c r="A9947" s="358"/>
      <c r="B9947" s="361"/>
      <c r="C9947" s="194">
        <v>211</v>
      </c>
      <c r="D9947" s="194" t="s">
        <v>86</v>
      </c>
      <c r="E9947" s="199" t="s">
        <v>95</v>
      </c>
      <c r="F9947" s="199" t="s">
        <v>95</v>
      </c>
      <c r="G9947" s="275">
        <f>MROUND(H9947*L9947*I9947/K9947,0.00000000001)</f>
        <v>0.46882870587999997</v>
      </c>
      <c r="H9947" s="201">
        <f>$H$2976</f>
        <v>49</v>
      </c>
      <c r="I9947" s="159">
        <f>школы!$K$27</f>
        <v>9.4881999999999994E-2</v>
      </c>
      <c r="J9947" s="159"/>
      <c r="K9947" s="161">
        <f>школы!$G$27</f>
        <v>119</v>
      </c>
      <c r="L9947" s="202">
        <v>12</v>
      </c>
      <c r="M9947" s="163" t="str">
        <f>CONCATENATE(H9947," ",F9947," ","в мес.","*",L9947,"мес.","*",I9947,"/",K9947,"чел/час")</f>
        <v>49 шт.ед в мес.*12мес.*0,094882/119чел/час</v>
      </c>
      <c r="N9947" s="278">
        <f>N9753</f>
        <v>17508.692159863946</v>
      </c>
      <c r="O9947" s="280">
        <f>MROUND(N9947*G9947,0.0000000001)</f>
        <v>8208.577486960301</v>
      </c>
      <c r="P9947" s="166"/>
      <c r="Q9947" s="166">
        <f t="shared" si="2875"/>
        <v>976820.72094827588</v>
      </c>
      <c r="R9947" s="71"/>
    </row>
    <row r="9948" spans="1:18" s="62" customFormat="1" x14ac:dyDescent="0.25">
      <c r="A9948" s="358"/>
      <c r="B9948" s="361"/>
      <c r="C9948" s="203" t="s">
        <v>288</v>
      </c>
      <c r="D9948" s="203"/>
      <c r="E9948" s="204"/>
      <c r="F9948" s="204"/>
      <c r="G9948" s="205"/>
      <c r="H9948" s="206"/>
      <c r="I9948" s="206"/>
      <c r="J9948" s="206"/>
      <c r="K9948" s="207"/>
      <c r="L9948" s="208"/>
      <c r="M9948" s="209"/>
      <c r="N9948" s="281"/>
      <c r="O9948" s="279">
        <f>O9947</f>
        <v>8208.577486960301</v>
      </c>
      <c r="P9948" s="267"/>
      <c r="Q9948" s="166"/>
      <c r="R9948" s="71"/>
    </row>
    <row r="9949" spans="1:18" s="61" customFormat="1" x14ac:dyDescent="0.25">
      <c r="A9949" s="358"/>
      <c r="B9949" s="361"/>
      <c r="C9949" s="194">
        <v>213</v>
      </c>
      <c r="D9949" s="194" t="s">
        <v>87</v>
      </c>
      <c r="E9949" s="194" t="s">
        <v>88</v>
      </c>
      <c r="F9949" s="194"/>
      <c r="G9949" s="211">
        <v>30.2</v>
      </c>
      <c r="H9949" s="159"/>
      <c r="I9949" s="159">
        <f>I9947</f>
        <v>9.4881999999999994E-2</v>
      </c>
      <c r="J9949" s="159"/>
      <c r="K9949" s="161">
        <f>K9947</f>
        <v>119</v>
      </c>
      <c r="L9949" s="202"/>
      <c r="M9949" s="212"/>
      <c r="N9949" s="278"/>
      <c r="O9949" s="280">
        <f>MROUND(O9947*0.302,0.00000001)</f>
        <v>2478.9904010599998</v>
      </c>
      <c r="P9949" s="166"/>
      <c r="Q9949" s="166">
        <f t="shared" ref="Q9949" si="2876">O9949*K9949</f>
        <v>294999.85772614001</v>
      </c>
      <c r="R9949" s="71"/>
    </row>
    <row r="9950" spans="1:18" s="62" customFormat="1" x14ac:dyDescent="0.25">
      <c r="A9950" s="358"/>
      <c r="B9950" s="361"/>
      <c r="C9950" s="203" t="s">
        <v>289</v>
      </c>
      <c r="D9950" s="203"/>
      <c r="E9950" s="203"/>
      <c r="F9950" s="203"/>
      <c r="G9950" s="213"/>
      <c r="H9950" s="214"/>
      <c r="I9950" s="206"/>
      <c r="J9950" s="214"/>
      <c r="K9950" s="207"/>
      <c r="L9950" s="215"/>
      <c r="M9950" s="216"/>
      <c r="N9950" s="281"/>
      <c r="O9950" s="279">
        <f>O9949</f>
        <v>2478.9904010599998</v>
      </c>
      <c r="P9950" s="267"/>
      <c r="Q9950" s="166"/>
      <c r="R9950" s="71"/>
    </row>
    <row r="9951" spans="1:18" s="61" customFormat="1" x14ac:dyDescent="0.25">
      <c r="A9951" s="358"/>
      <c r="B9951" s="361"/>
      <c r="C9951" s="194"/>
      <c r="D9951" s="356" t="s">
        <v>63</v>
      </c>
      <c r="E9951" s="356"/>
      <c r="F9951" s="356"/>
      <c r="G9951" s="356"/>
      <c r="H9951" s="195"/>
      <c r="I9951" s="159"/>
      <c r="J9951" s="195"/>
      <c r="K9951" s="161"/>
      <c r="L9951" s="196"/>
      <c r="M9951" s="197"/>
      <c r="N9951" s="278"/>
      <c r="O9951" s="279">
        <f>O9952</f>
        <v>143.19333899999998</v>
      </c>
      <c r="P9951" s="166"/>
      <c r="Q9951" s="166">
        <f t="shared" ref="Q9951:Q9952" si="2877">O9951*K9951</f>
        <v>0</v>
      </c>
      <c r="R9951" s="71"/>
    </row>
    <row r="9952" spans="1:18" s="61" customFormat="1" x14ac:dyDescent="0.25">
      <c r="A9952" s="358"/>
      <c r="B9952" s="361"/>
      <c r="C9952" s="194">
        <v>346</v>
      </c>
      <c r="D9952" s="194" t="s">
        <v>259</v>
      </c>
      <c r="E9952" s="194" t="s">
        <v>260</v>
      </c>
      <c r="F9952" s="194" t="s">
        <v>261</v>
      </c>
      <c r="G9952" s="238">
        <f>MROUND(H9952*L9952*I9952/K9952,0.000001)</f>
        <v>0.19534499999999999</v>
      </c>
      <c r="H9952" s="283">
        <f>H9758</f>
        <v>245</v>
      </c>
      <c r="I9952" s="159">
        <f>I9949</f>
        <v>9.4881999999999994E-2</v>
      </c>
      <c r="J9952" s="195"/>
      <c r="K9952" s="161">
        <f>K9949</f>
        <v>119</v>
      </c>
      <c r="L9952" s="196">
        <v>1</v>
      </c>
      <c r="M9952" s="163" t="str">
        <f>CONCATENATE(H9952," ",F9952,"*",I9952,"/",K9952,"чел/час")</f>
        <v>245 упаковок*0,094882/119чел/час</v>
      </c>
      <c r="N9952" s="278">
        <f>N9758</f>
        <v>733.02791836734696</v>
      </c>
      <c r="O9952" s="280">
        <f>MROUND(N9952*G9952,0.000001)</f>
        <v>143.19333899999998</v>
      </c>
      <c r="P9952" s="166"/>
      <c r="Q9952" s="166">
        <f t="shared" si="2877"/>
        <v>17040.007340999997</v>
      </c>
      <c r="R9952" s="71"/>
    </row>
    <row r="9953" spans="1:18" s="62" customFormat="1" x14ac:dyDescent="0.25">
      <c r="A9953" s="358"/>
      <c r="B9953" s="361"/>
      <c r="C9953" s="203" t="s">
        <v>356</v>
      </c>
      <c r="D9953" s="203"/>
      <c r="E9953" s="203"/>
      <c r="F9953" s="203"/>
      <c r="G9953" s="227"/>
      <c r="H9953" s="214"/>
      <c r="I9953" s="206"/>
      <c r="J9953" s="214"/>
      <c r="K9953" s="207"/>
      <c r="L9953" s="215"/>
      <c r="M9953" s="209"/>
      <c r="N9953" s="281"/>
      <c r="O9953" s="279">
        <f>O9952</f>
        <v>143.19333899999998</v>
      </c>
      <c r="P9953" s="267"/>
      <c r="Q9953" s="166"/>
      <c r="R9953" s="71"/>
    </row>
    <row r="9954" spans="1:18" s="61" customFormat="1" x14ac:dyDescent="0.25">
      <c r="A9954" s="358"/>
      <c r="B9954" s="361"/>
      <c r="C9954" s="194"/>
      <c r="D9954" s="350" t="s">
        <v>64</v>
      </c>
      <c r="E9954" s="350"/>
      <c r="F9954" s="350"/>
      <c r="G9954" s="350"/>
      <c r="H9954" s="195"/>
      <c r="I9954" s="159"/>
      <c r="J9954" s="195"/>
      <c r="K9954" s="161"/>
      <c r="L9954" s="196"/>
      <c r="M9954" s="197"/>
      <c r="N9954" s="278"/>
      <c r="O9954" s="280"/>
      <c r="P9954" s="166"/>
      <c r="Q9954" s="166">
        <f t="shared" ref="Q9954:Q9964" si="2878">O9954*K9954</f>
        <v>0</v>
      </c>
      <c r="R9954" s="71"/>
    </row>
    <row r="9955" spans="1:18" s="61" customFormat="1" x14ac:dyDescent="0.25">
      <c r="A9955" s="358"/>
      <c r="B9955" s="361"/>
      <c r="C9955" s="194"/>
      <c r="D9955" s="194"/>
      <c r="E9955" s="194"/>
      <c r="F9955" s="194"/>
      <c r="G9955" s="217"/>
      <c r="H9955" s="195"/>
      <c r="I9955" s="159"/>
      <c r="J9955" s="195"/>
      <c r="K9955" s="161"/>
      <c r="L9955" s="196"/>
      <c r="M9955" s="197"/>
      <c r="N9955" s="278"/>
      <c r="O9955" s="280"/>
      <c r="P9955" s="166"/>
      <c r="Q9955" s="166">
        <f t="shared" si="2878"/>
        <v>0</v>
      </c>
      <c r="R9955" s="71"/>
    </row>
    <row r="9956" spans="1:18" s="61" customFormat="1" x14ac:dyDescent="0.25">
      <c r="A9956" s="358"/>
      <c r="B9956" s="361"/>
      <c r="C9956" s="194"/>
      <c r="D9956" s="355" t="s">
        <v>5</v>
      </c>
      <c r="E9956" s="355"/>
      <c r="F9956" s="355"/>
      <c r="G9956" s="355"/>
      <c r="H9956" s="195"/>
      <c r="I9956" s="159"/>
      <c r="J9956" s="195"/>
      <c r="K9956" s="161"/>
      <c r="L9956" s="196"/>
      <c r="M9956" s="197"/>
      <c r="N9956" s="278"/>
      <c r="O9956" s="279">
        <f>O9957+O9966+O9977+O9979+O9990</f>
        <v>1729.7947839999997</v>
      </c>
      <c r="P9956" s="166"/>
      <c r="Q9956" s="166">
        <f t="shared" si="2878"/>
        <v>0</v>
      </c>
      <c r="R9956" s="71"/>
    </row>
    <row r="9957" spans="1:18" s="61" customFormat="1" x14ac:dyDescent="0.25">
      <c r="A9957" s="358"/>
      <c r="B9957" s="361"/>
      <c r="C9957" s="221" t="s">
        <v>70</v>
      </c>
      <c r="D9957" s="355" t="s">
        <v>6</v>
      </c>
      <c r="E9957" s="355"/>
      <c r="F9957" s="355"/>
      <c r="G9957" s="355"/>
      <c r="H9957" s="189"/>
      <c r="I9957" s="159"/>
      <c r="J9957" s="189"/>
      <c r="K9957" s="161"/>
      <c r="L9957" s="190"/>
      <c r="M9957" s="197"/>
      <c r="N9957" s="278"/>
      <c r="O9957" s="279">
        <f>O9958+O9959+O9960+O9961+O9962+O9963+O9964</f>
        <v>655.84065799999985</v>
      </c>
      <c r="P9957" s="166"/>
      <c r="Q9957" s="166">
        <f t="shared" si="2878"/>
        <v>0</v>
      </c>
      <c r="R9957" s="71"/>
    </row>
    <row r="9958" spans="1:18" s="61" customFormat="1" ht="31.5" x14ac:dyDescent="0.25">
      <c r="A9958" s="358"/>
      <c r="B9958" s="361"/>
      <c r="C9958" s="221" t="s">
        <v>72</v>
      </c>
      <c r="D9958" s="222" t="s">
        <v>7</v>
      </c>
      <c r="E9958" s="223" t="s">
        <v>8</v>
      </c>
      <c r="F9958" s="223" t="s">
        <v>8</v>
      </c>
      <c r="G9958" s="238">
        <f>MROUND(H9958*L9958*I9958/K9958,0.00000001)</f>
        <v>9.8631252099999998</v>
      </c>
      <c r="H9958" s="160">
        <f t="shared" ref="H9958:H9964" si="2879">H9764</f>
        <v>12370.227223490891</v>
      </c>
      <c r="I9958" s="159">
        <f>I9952</f>
        <v>9.4881999999999994E-2</v>
      </c>
      <c r="J9958" s="160"/>
      <c r="K9958" s="161">
        <f>K9952</f>
        <v>119</v>
      </c>
      <c r="L9958" s="250">
        <v>1</v>
      </c>
      <c r="M9958" s="163" t="str">
        <f>CONCATENATE(H9958," ",F9958,"(лимиты выделенные УЖКХ) ","*",I9958,"/",K9958,"чел/час")</f>
        <v>12370,2272234909 кВт час.(лимиты выделенные УЖКХ) *0,094882/119чел/час</v>
      </c>
      <c r="N9958" s="278">
        <f t="shared" ref="N9958:N9964" si="2880">N9764</f>
        <v>11.380655137252312</v>
      </c>
      <c r="O9958" s="280">
        <f t="shared" ref="O9958:O9964" si="2881">MROUND(N9958*G9958,0.000001)</f>
        <v>112.24882699999999</v>
      </c>
      <c r="P9958" s="166"/>
      <c r="Q9958" s="166">
        <f t="shared" si="2878"/>
        <v>13357.610412999999</v>
      </c>
      <c r="R9958" s="71"/>
    </row>
    <row r="9959" spans="1:18" s="61" customFormat="1" ht="31.5" x14ac:dyDescent="0.25">
      <c r="A9959" s="358"/>
      <c r="B9959" s="361"/>
      <c r="C9959" s="221" t="s">
        <v>73</v>
      </c>
      <c r="D9959" s="222" t="s">
        <v>9</v>
      </c>
      <c r="E9959" s="223" t="s">
        <v>10</v>
      </c>
      <c r="F9959" s="223" t="s">
        <v>10</v>
      </c>
      <c r="G9959" s="238">
        <f>MROUND(H9959*L9959*I9959/K9959,0.00000001)</f>
        <v>0.13554571000000001</v>
      </c>
      <c r="H9959" s="160">
        <f t="shared" si="2879"/>
        <v>170</v>
      </c>
      <c r="I9959" s="159">
        <f t="shared" ref="I9959:I9964" si="2882">I9958</f>
        <v>9.4881999999999994E-2</v>
      </c>
      <c r="J9959" s="160"/>
      <c r="K9959" s="161">
        <f t="shared" ref="K9959:K9964" si="2883">K9958</f>
        <v>119</v>
      </c>
      <c r="L9959" s="250">
        <v>1</v>
      </c>
      <c r="M9959" s="163" t="str">
        <f>CONCATENATE(H9959," ",F9959,"(лимиты выделенные УЖКХ) ","*",I9959,"/",K9959,"чел/час")</f>
        <v>170 Гкал(лимиты выделенные УЖКХ) *0,094882/119чел/час</v>
      </c>
      <c r="N9959" s="278">
        <f t="shared" si="2880"/>
        <v>3095.3018235294112</v>
      </c>
      <c r="O9959" s="280">
        <f t="shared" si="2881"/>
        <v>419.55488299999996</v>
      </c>
      <c r="P9959" s="166"/>
      <c r="Q9959" s="166">
        <f t="shared" si="2878"/>
        <v>49927.031076999992</v>
      </c>
      <c r="R9959" s="71"/>
    </row>
    <row r="9960" spans="1:18" s="61" customFormat="1" ht="31.5" x14ac:dyDescent="0.25">
      <c r="A9960" s="358"/>
      <c r="B9960" s="361"/>
      <c r="C9960" s="365" t="s">
        <v>74</v>
      </c>
      <c r="D9960" s="222" t="s">
        <v>12</v>
      </c>
      <c r="E9960" s="222" t="s">
        <v>11</v>
      </c>
      <c r="F9960" s="222" t="s">
        <v>11</v>
      </c>
      <c r="G9960" s="238">
        <f>MROUND(H9960*L9960*I9960/K9960,0.000001)</f>
        <v>0.28250900000000001</v>
      </c>
      <c r="H9960" s="224">
        <f t="shared" si="2879"/>
        <v>354.32</v>
      </c>
      <c r="I9960" s="159">
        <f t="shared" si="2882"/>
        <v>9.4881999999999994E-2</v>
      </c>
      <c r="J9960" s="160"/>
      <c r="K9960" s="161">
        <f t="shared" si="2883"/>
        <v>119</v>
      </c>
      <c r="L9960" s="250">
        <v>1</v>
      </c>
      <c r="M9960" s="163" t="str">
        <f>CONCATENATE(H9960," ",F9960,"(лимиты выделенные УЖКХ) ","*",I9960,"/",K9960,"чел/час")</f>
        <v>354,32 м3(лимиты выделенные УЖКХ) *0,094882/119чел/час</v>
      </c>
      <c r="N9960" s="278">
        <f t="shared" si="2880"/>
        <v>56.382747234138634</v>
      </c>
      <c r="O9960" s="280">
        <f t="shared" si="2881"/>
        <v>15.928633999999999</v>
      </c>
      <c r="P9960" s="166"/>
      <c r="Q9960" s="166">
        <f t="shared" si="2878"/>
        <v>1895.5074459999998</v>
      </c>
      <c r="R9960" s="71"/>
    </row>
    <row r="9961" spans="1:18" s="61" customFormat="1" ht="47.25" x14ac:dyDescent="0.25">
      <c r="A9961" s="358"/>
      <c r="B9961" s="361"/>
      <c r="C9961" s="366"/>
      <c r="D9961" s="222" t="s">
        <v>17</v>
      </c>
      <c r="E9961" s="222" t="s">
        <v>11</v>
      </c>
      <c r="F9961" s="222" t="s">
        <v>11</v>
      </c>
      <c r="G9961" s="238">
        <f>MROUND(H9961*L9961*I9961/K9961,0.00000001)</f>
        <v>0.28250915999999998</v>
      </c>
      <c r="H9961" s="160">
        <f t="shared" si="2879"/>
        <v>354.32</v>
      </c>
      <c r="I9961" s="159">
        <f t="shared" si="2882"/>
        <v>9.4881999999999994E-2</v>
      </c>
      <c r="J9961" s="160"/>
      <c r="K9961" s="161">
        <f t="shared" si="2883"/>
        <v>119</v>
      </c>
      <c r="L9961" s="162">
        <v>1</v>
      </c>
      <c r="M9961" s="163" t="str">
        <f>CONCATENATE(H9961," ",F9961,"(лимиты выделенные УЖКХ) ","*",I9961,"/",K9961,"чел/час")</f>
        <v>354,32 м3(лимиты выделенные УЖКХ) *0,094882/119чел/час</v>
      </c>
      <c r="N9961" s="164">
        <f t="shared" si="2880"/>
        <v>85.679537612054801</v>
      </c>
      <c r="O9961" s="280">
        <f t="shared" si="2881"/>
        <v>24.205254</v>
      </c>
      <c r="P9961" s="166"/>
      <c r="Q9961" s="166">
        <f t="shared" si="2878"/>
        <v>2880.4252259999998</v>
      </c>
      <c r="R9961" s="71"/>
    </row>
    <row r="9962" spans="1:18" s="61" customFormat="1" ht="31.5" x14ac:dyDescent="0.25">
      <c r="A9962" s="358"/>
      <c r="B9962" s="361"/>
      <c r="C9962" s="367"/>
      <c r="D9962" s="222" t="s">
        <v>13</v>
      </c>
      <c r="E9962" s="222" t="s">
        <v>11</v>
      </c>
      <c r="F9962" s="222" t="s">
        <v>11</v>
      </c>
      <c r="G9962" s="238">
        <f>MROUND(H9962*L9962*I9962/K9962,0.00000001)</f>
        <v>0.28250915999999998</v>
      </c>
      <c r="H9962" s="160">
        <f t="shared" si="2879"/>
        <v>354.32</v>
      </c>
      <c r="I9962" s="159">
        <f t="shared" si="2882"/>
        <v>9.4881999999999994E-2</v>
      </c>
      <c r="J9962" s="160"/>
      <c r="K9962" s="161">
        <f t="shared" si="2883"/>
        <v>119</v>
      </c>
      <c r="L9962" s="162">
        <v>1</v>
      </c>
      <c r="M9962" s="163" t="str">
        <f>CONCATENATE(H9962," ",F9962,"(лимиты выделенные УЖКХ) ","*",I9962,"/",K9962,"чел/час")</f>
        <v>354,32 м3(лимиты выделенные УЖКХ) *0,094882/119чел/час</v>
      </c>
      <c r="N9962" s="278">
        <f t="shared" si="2880"/>
        <v>104.6284466959154</v>
      </c>
      <c r="O9962" s="280">
        <f t="shared" si="2881"/>
        <v>29.558494999999997</v>
      </c>
      <c r="P9962" s="166"/>
      <c r="Q9962" s="166">
        <f t="shared" si="2878"/>
        <v>3517.4609049999995</v>
      </c>
      <c r="R9962" s="71"/>
    </row>
    <row r="9963" spans="1:18" s="61" customFormat="1" x14ac:dyDescent="0.25">
      <c r="A9963" s="358"/>
      <c r="B9963" s="361"/>
      <c r="C9963" s="365" t="s">
        <v>216</v>
      </c>
      <c r="D9963" s="222" t="s">
        <v>23</v>
      </c>
      <c r="E9963" s="222" t="s">
        <v>11</v>
      </c>
      <c r="F9963" s="222" t="s">
        <v>11</v>
      </c>
      <c r="G9963" s="238">
        <f>MROUND(H9963*L9963*I9963/K9963,0.00000001)</f>
        <v>5.0518689999999998E-2</v>
      </c>
      <c r="H9963" s="160">
        <f t="shared" si="2879"/>
        <v>63.36</v>
      </c>
      <c r="I9963" s="159">
        <f t="shared" si="2882"/>
        <v>9.4881999999999994E-2</v>
      </c>
      <c r="J9963" s="160"/>
      <c r="K9963" s="161">
        <f t="shared" si="2883"/>
        <v>119</v>
      </c>
      <c r="L9963" s="162">
        <v>1</v>
      </c>
      <c r="M9963" s="163" t="str">
        <f>CONCATENATE(H9963," ",F9963," ","*",I9963,"/",K9963,"чел/час")</f>
        <v>63,36 м3 *0,094882/119чел/час</v>
      </c>
      <c r="N9963" s="164">
        <f t="shared" si="2880"/>
        <v>714.74810606060612</v>
      </c>
      <c r="O9963" s="280">
        <f t="shared" si="2881"/>
        <v>36.108137999999997</v>
      </c>
      <c r="P9963" s="166"/>
      <c r="Q9963" s="166">
        <f t="shared" si="2878"/>
        <v>4296.8684219999996</v>
      </c>
      <c r="R9963" s="71"/>
    </row>
    <row r="9964" spans="1:18" s="61" customFormat="1" ht="63" x14ac:dyDescent="0.25">
      <c r="A9964" s="358"/>
      <c r="B9964" s="361"/>
      <c r="C9964" s="367"/>
      <c r="D9964" s="222" t="s">
        <v>24</v>
      </c>
      <c r="E9964" s="222" t="s">
        <v>25</v>
      </c>
      <c r="F9964" s="222" t="s">
        <v>248</v>
      </c>
      <c r="G9964" s="238">
        <f>MROUND(H9964*L9964*I9964/K9964,0.00000001)</f>
        <v>3.1893099999999999E-3</v>
      </c>
      <c r="H9964" s="160">
        <f t="shared" si="2879"/>
        <v>4</v>
      </c>
      <c r="I9964" s="159">
        <f t="shared" si="2882"/>
        <v>9.4881999999999994E-2</v>
      </c>
      <c r="J9964" s="160"/>
      <c r="K9964" s="161">
        <f t="shared" si="2883"/>
        <v>119</v>
      </c>
      <c r="L9964" s="250">
        <v>1</v>
      </c>
      <c r="M9964" s="163" t="str">
        <f>CONCATENATE(H9964," ",F9964,"(потребность из расчета 4 контейнера для уборки территории весной и осенью на 1 учреждение)","*",I9964,"/",K9964,"чел/час")</f>
        <v>4 контейнеров(потребность из расчета 4 контейнера для уборки территории весной и осенью на 1 учреждение)*0,094882/119чел/час</v>
      </c>
      <c r="N9964" s="278">
        <f t="shared" si="2880"/>
        <v>5717.9849999999997</v>
      </c>
      <c r="O9964" s="280">
        <f t="shared" si="2881"/>
        <v>18.236426999999999</v>
      </c>
      <c r="P9964" s="166"/>
      <c r="Q9964" s="166">
        <f t="shared" si="2878"/>
        <v>2170.1348129999997</v>
      </c>
      <c r="R9964" s="71"/>
    </row>
    <row r="9965" spans="1:18" s="62" customFormat="1" x14ac:dyDescent="0.25">
      <c r="A9965" s="358"/>
      <c r="B9965" s="361"/>
      <c r="C9965" s="218" t="s">
        <v>290</v>
      </c>
      <c r="D9965" s="226"/>
      <c r="E9965" s="226"/>
      <c r="F9965" s="226"/>
      <c r="G9965" s="227"/>
      <c r="H9965" s="228"/>
      <c r="I9965" s="206"/>
      <c r="J9965" s="228"/>
      <c r="K9965" s="207"/>
      <c r="L9965" s="257"/>
      <c r="M9965" s="209"/>
      <c r="N9965" s="281"/>
      <c r="O9965" s="279">
        <f>SUM(O9958:O9964)</f>
        <v>655.84065799999985</v>
      </c>
      <c r="P9965" s="267"/>
      <c r="Q9965" s="166"/>
      <c r="R9965" s="71"/>
    </row>
    <row r="9966" spans="1:18" s="61" customFormat="1" x14ac:dyDescent="0.25">
      <c r="A9966" s="358"/>
      <c r="B9966" s="361"/>
      <c r="C9966" s="221"/>
      <c r="D9966" s="356" t="s">
        <v>14</v>
      </c>
      <c r="E9966" s="356"/>
      <c r="F9966" s="356"/>
      <c r="G9966" s="356"/>
      <c r="H9966" s="188"/>
      <c r="I9966" s="159"/>
      <c r="J9966" s="188"/>
      <c r="K9966" s="161"/>
      <c r="L9966" s="250"/>
      <c r="M9966" s="230"/>
      <c r="N9966" s="278"/>
      <c r="O9966" s="279">
        <f>O9974+O9976+O9970</f>
        <v>0</v>
      </c>
      <c r="P9966" s="166"/>
      <c r="Q9966" s="166">
        <f t="shared" ref="Q9966" si="2884">O9966*K9966</f>
        <v>0</v>
      </c>
      <c r="R9966" s="71"/>
    </row>
    <row r="9967" spans="1:18" s="61" customFormat="1" x14ac:dyDescent="0.25">
      <c r="A9967" s="358"/>
      <c r="B9967" s="361"/>
      <c r="C9967" s="365" t="s">
        <v>379</v>
      </c>
      <c r="D9967" s="231" t="s">
        <v>49</v>
      </c>
      <c r="E9967" s="231" t="s">
        <v>22</v>
      </c>
      <c r="F9967" s="231" t="s">
        <v>22</v>
      </c>
      <c r="G9967" s="238">
        <f>MROUND(H9967*L9967*I9967/K9967,0.000001)</f>
        <v>0</v>
      </c>
      <c r="H9967" s="160"/>
      <c r="I9967" s="159">
        <f>I9962</f>
        <v>9.4881999999999994E-2</v>
      </c>
      <c r="J9967" s="160"/>
      <c r="K9967" s="161">
        <f>K9962</f>
        <v>119</v>
      </c>
      <c r="L9967" s="250"/>
      <c r="M9967" s="163"/>
      <c r="N9967" s="278"/>
      <c r="O9967" s="280">
        <f>MROUND(N9967*G9967,0.000001)</f>
        <v>0</v>
      </c>
      <c r="P9967" s="166"/>
      <c r="Q9967" s="166">
        <f>O9967*K9967</f>
        <v>0</v>
      </c>
      <c r="R9967" s="71"/>
    </row>
    <row r="9968" spans="1:18" s="61" customFormat="1" x14ac:dyDescent="0.25">
      <c r="A9968" s="358"/>
      <c r="B9968" s="361"/>
      <c r="C9968" s="366"/>
      <c r="D9968" s="231" t="s">
        <v>49</v>
      </c>
      <c r="E9968" s="231" t="s">
        <v>28</v>
      </c>
      <c r="F9968" s="231" t="s">
        <v>28</v>
      </c>
      <c r="G9968" s="238">
        <f>MROUND(H9968*L9968*I9968/K9968,0.00000001)</f>
        <v>0</v>
      </c>
      <c r="H9968" s="160"/>
      <c r="I9968" s="159">
        <f>I9962</f>
        <v>9.4881999999999994E-2</v>
      </c>
      <c r="J9968" s="160"/>
      <c r="K9968" s="161">
        <f>K9962</f>
        <v>119</v>
      </c>
      <c r="L9968" s="250">
        <v>1</v>
      </c>
      <c r="M9968" s="163"/>
      <c r="N9968" s="278"/>
      <c r="O9968" s="280">
        <f>MROUND(N9968*G9968,0.000001)</f>
        <v>0</v>
      </c>
      <c r="P9968" s="166"/>
      <c r="Q9968" s="166">
        <f>O9968*K9968</f>
        <v>0</v>
      </c>
      <c r="R9968" s="71"/>
    </row>
    <row r="9969" spans="1:18" s="61" customFormat="1" x14ac:dyDescent="0.25">
      <c r="A9969" s="358"/>
      <c r="B9969" s="361"/>
      <c r="C9969" s="367"/>
      <c r="D9969" s="231" t="s">
        <v>49</v>
      </c>
      <c r="E9969" s="231" t="s">
        <v>101</v>
      </c>
      <c r="F9969" s="231" t="s">
        <v>101</v>
      </c>
      <c r="G9969" s="238">
        <f>MROUND(H9969*L9969*I9969/K9969,0.00000001)</f>
        <v>0</v>
      </c>
      <c r="H9969" s="160"/>
      <c r="I9969" s="159">
        <f>I9967</f>
        <v>9.4881999999999994E-2</v>
      </c>
      <c r="J9969" s="160"/>
      <c r="K9969" s="161">
        <f>K9967</f>
        <v>119</v>
      </c>
      <c r="L9969" s="250">
        <v>1</v>
      </c>
      <c r="M9969" s="163"/>
      <c r="N9969" s="278"/>
      <c r="O9969" s="280">
        <f>MROUND(N9969*G9969,0.000001)</f>
        <v>0</v>
      </c>
      <c r="P9969" s="166"/>
      <c r="Q9969" s="166">
        <f>O9969*K9969</f>
        <v>0</v>
      </c>
      <c r="R9969" s="71"/>
    </row>
    <row r="9970" spans="1:18" s="62" customFormat="1" x14ac:dyDescent="0.25">
      <c r="A9970" s="358"/>
      <c r="B9970" s="361"/>
      <c r="C9970" s="218" t="s">
        <v>380</v>
      </c>
      <c r="D9970" s="232"/>
      <c r="E9970" s="232"/>
      <c r="F9970" s="232"/>
      <c r="G9970" s="227"/>
      <c r="H9970" s="228"/>
      <c r="I9970" s="206"/>
      <c r="J9970" s="228"/>
      <c r="K9970" s="207"/>
      <c r="L9970" s="257"/>
      <c r="M9970" s="209"/>
      <c r="N9970" s="281"/>
      <c r="O9970" s="279">
        <f>O9967+O9969+O9968</f>
        <v>0</v>
      </c>
      <c r="P9970" s="267"/>
      <c r="Q9970" s="166"/>
      <c r="R9970" s="71"/>
    </row>
    <row r="9971" spans="1:18" s="61" customFormat="1" x14ac:dyDescent="0.25">
      <c r="A9971" s="358"/>
      <c r="B9971" s="361"/>
      <c r="C9971" s="365" t="s">
        <v>76</v>
      </c>
      <c r="D9971" s="231" t="s">
        <v>49</v>
      </c>
      <c r="E9971" s="231" t="s">
        <v>22</v>
      </c>
      <c r="F9971" s="231" t="s">
        <v>22</v>
      </c>
      <c r="G9971" s="238">
        <f>MROUND(H9971*L9971*I9971/K9971,0.000001)</f>
        <v>0</v>
      </c>
      <c r="H9971" s="160"/>
      <c r="I9971" s="159">
        <f>I9967</f>
        <v>9.4881999999999994E-2</v>
      </c>
      <c r="J9971" s="160"/>
      <c r="K9971" s="161">
        <f>K9967</f>
        <v>119</v>
      </c>
      <c r="L9971" s="250">
        <v>1</v>
      </c>
      <c r="M9971" s="163"/>
      <c r="N9971" s="278"/>
      <c r="O9971" s="280">
        <f>MROUND(N9971*G9971,0.000001)</f>
        <v>0</v>
      </c>
      <c r="P9971" s="166"/>
      <c r="Q9971" s="166">
        <f t="shared" ref="Q9971" si="2885">O9971*K9971</f>
        <v>0</v>
      </c>
      <c r="R9971" s="71"/>
    </row>
    <row r="9972" spans="1:18" s="61" customFormat="1" x14ac:dyDescent="0.25">
      <c r="A9972" s="358"/>
      <c r="B9972" s="361"/>
      <c r="C9972" s="366"/>
      <c r="D9972" s="231" t="s">
        <v>49</v>
      </c>
      <c r="E9972" s="231" t="s">
        <v>28</v>
      </c>
      <c r="F9972" s="231" t="s">
        <v>28</v>
      </c>
      <c r="G9972" s="238">
        <f>MROUND(H9972*L9972*I9972/K9972,0.00000001)</f>
        <v>0</v>
      </c>
      <c r="H9972" s="160"/>
      <c r="I9972" s="159">
        <f>I9967</f>
        <v>9.4881999999999994E-2</v>
      </c>
      <c r="J9972" s="160"/>
      <c r="K9972" s="161">
        <f>K9967</f>
        <v>119</v>
      </c>
      <c r="L9972" s="250">
        <v>1</v>
      </c>
      <c r="M9972" s="163"/>
      <c r="N9972" s="278"/>
      <c r="O9972" s="280">
        <f>MROUND(N9972*G9972,0.000001)</f>
        <v>0</v>
      </c>
      <c r="P9972" s="166"/>
      <c r="Q9972" s="166">
        <f>O9972*K9972</f>
        <v>0</v>
      </c>
      <c r="R9972" s="71"/>
    </row>
    <row r="9973" spans="1:18" s="61" customFormat="1" x14ac:dyDescent="0.25">
      <c r="A9973" s="358"/>
      <c r="B9973" s="361"/>
      <c r="C9973" s="367"/>
      <c r="D9973" s="231" t="s">
        <v>49</v>
      </c>
      <c r="E9973" s="231" t="s">
        <v>101</v>
      </c>
      <c r="F9973" s="231" t="s">
        <v>101</v>
      </c>
      <c r="G9973" s="238">
        <f>MROUND(H9973*L9973*I9973/K9973,0.00000001)</f>
        <v>0</v>
      </c>
      <c r="H9973" s="160"/>
      <c r="I9973" s="159">
        <f>I9971</f>
        <v>9.4881999999999994E-2</v>
      </c>
      <c r="J9973" s="160"/>
      <c r="K9973" s="161">
        <f>K9971</f>
        <v>119</v>
      </c>
      <c r="L9973" s="250">
        <v>1</v>
      </c>
      <c r="M9973" s="163"/>
      <c r="N9973" s="278"/>
      <c r="O9973" s="280">
        <f>MROUND(N9973*G9973,0.000001)</f>
        <v>0</v>
      </c>
      <c r="P9973" s="166"/>
      <c r="Q9973" s="166">
        <f t="shared" ref="Q9973" si="2886">O9973*K9973</f>
        <v>0</v>
      </c>
      <c r="R9973" s="71"/>
    </row>
    <row r="9974" spans="1:18" s="62" customFormat="1" x14ac:dyDescent="0.25">
      <c r="A9974" s="358"/>
      <c r="B9974" s="361"/>
      <c r="C9974" s="218" t="s">
        <v>291</v>
      </c>
      <c r="D9974" s="232"/>
      <c r="E9974" s="232"/>
      <c r="F9974" s="232"/>
      <c r="G9974" s="227"/>
      <c r="H9974" s="228"/>
      <c r="I9974" s="206"/>
      <c r="J9974" s="228"/>
      <c r="K9974" s="207"/>
      <c r="L9974" s="257"/>
      <c r="M9974" s="209"/>
      <c r="N9974" s="281"/>
      <c r="O9974" s="279">
        <f>O9971+O9973+O9972</f>
        <v>0</v>
      </c>
      <c r="P9974" s="267"/>
      <c r="Q9974" s="166"/>
      <c r="R9974" s="71"/>
    </row>
    <row r="9975" spans="1:18" s="61" customFormat="1" x14ac:dyDescent="0.25">
      <c r="A9975" s="358"/>
      <c r="B9975" s="361"/>
      <c r="C9975" s="221" t="s">
        <v>77</v>
      </c>
      <c r="D9975" s="231"/>
      <c r="E9975" s="231"/>
      <c r="F9975" s="231"/>
      <c r="G9975" s="238">
        <f>MROUND(H9975*L9975*I9975/K9975,0.000001)</f>
        <v>0</v>
      </c>
      <c r="H9975" s="160"/>
      <c r="I9975" s="159">
        <f>I9971</f>
        <v>9.4881999999999994E-2</v>
      </c>
      <c r="J9975" s="160"/>
      <c r="K9975" s="161">
        <f>K9971</f>
        <v>119</v>
      </c>
      <c r="L9975" s="250"/>
      <c r="M9975" s="163"/>
      <c r="N9975" s="278">
        <f>N9781</f>
        <v>0</v>
      </c>
      <c r="O9975" s="280">
        <f>MROUND(N9975*G9975,0.000001)</f>
        <v>0</v>
      </c>
      <c r="P9975" s="166"/>
      <c r="Q9975" s="166">
        <f t="shared" ref="Q9975" si="2887">O9975*K9975</f>
        <v>0</v>
      </c>
      <c r="R9975" s="71"/>
    </row>
    <row r="9976" spans="1:18" s="62" customFormat="1" x14ac:dyDescent="0.25">
      <c r="A9976" s="358"/>
      <c r="B9976" s="361"/>
      <c r="C9976" s="218" t="s">
        <v>292</v>
      </c>
      <c r="D9976" s="232"/>
      <c r="E9976" s="232"/>
      <c r="F9976" s="232"/>
      <c r="G9976" s="227"/>
      <c r="H9976" s="228"/>
      <c r="I9976" s="206"/>
      <c r="J9976" s="228"/>
      <c r="K9976" s="207"/>
      <c r="L9976" s="257"/>
      <c r="M9976" s="209"/>
      <c r="N9976" s="281"/>
      <c r="O9976" s="279">
        <f>O9975</f>
        <v>0</v>
      </c>
      <c r="P9976" s="267"/>
      <c r="Q9976" s="166"/>
      <c r="R9976" s="71"/>
    </row>
    <row r="9977" spans="1:18" s="61" customFormat="1" x14ac:dyDescent="0.25">
      <c r="A9977" s="358"/>
      <c r="B9977" s="361"/>
      <c r="C9977" s="221"/>
      <c r="D9977" s="350" t="s">
        <v>65</v>
      </c>
      <c r="E9977" s="350"/>
      <c r="F9977" s="350"/>
      <c r="G9977" s="350"/>
      <c r="H9977" s="195"/>
      <c r="I9977" s="159"/>
      <c r="J9977" s="195"/>
      <c r="K9977" s="161"/>
      <c r="L9977" s="196"/>
      <c r="M9977" s="230"/>
      <c r="N9977" s="278"/>
      <c r="O9977" s="280"/>
      <c r="P9977" s="166"/>
      <c r="Q9977" s="166">
        <f t="shared" ref="Q9977:Q9984" si="2888">O9977*K9977</f>
        <v>0</v>
      </c>
      <c r="R9977" s="71"/>
    </row>
    <row r="9978" spans="1:18" s="61" customFormat="1" x14ac:dyDescent="0.25">
      <c r="A9978" s="358"/>
      <c r="B9978" s="361"/>
      <c r="C9978" s="221"/>
      <c r="D9978" s="194"/>
      <c r="E9978" s="194"/>
      <c r="F9978" s="194"/>
      <c r="G9978" s="217"/>
      <c r="H9978" s="195"/>
      <c r="I9978" s="159"/>
      <c r="J9978" s="195"/>
      <c r="K9978" s="161"/>
      <c r="L9978" s="196"/>
      <c r="M9978" s="230"/>
      <c r="N9978" s="278"/>
      <c r="O9978" s="280"/>
      <c r="P9978" s="166"/>
      <c r="Q9978" s="166">
        <f t="shared" si="2888"/>
        <v>0</v>
      </c>
      <c r="R9978" s="71"/>
    </row>
    <row r="9979" spans="1:18" s="61" customFormat="1" x14ac:dyDescent="0.25">
      <c r="A9979" s="358"/>
      <c r="B9979" s="361"/>
      <c r="C9979" s="221" t="s">
        <v>357</v>
      </c>
      <c r="D9979" s="368" t="s">
        <v>66</v>
      </c>
      <c r="E9979" s="368"/>
      <c r="F9979" s="368"/>
      <c r="G9979" s="368"/>
      <c r="H9979" s="195"/>
      <c r="I9979" s="159"/>
      <c r="J9979" s="195"/>
      <c r="K9979" s="161"/>
      <c r="L9979" s="196"/>
      <c r="M9979" s="230"/>
      <c r="N9979" s="278"/>
      <c r="O9979" s="279">
        <f>SUM(O9980:O9984)</f>
        <v>144.73832999999999</v>
      </c>
      <c r="P9979" s="166"/>
      <c r="Q9979" s="166">
        <f t="shared" si="2888"/>
        <v>0</v>
      </c>
      <c r="R9979" s="71"/>
    </row>
    <row r="9980" spans="1:18" s="61" customFormat="1" x14ac:dyDescent="0.25">
      <c r="A9980" s="358"/>
      <c r="B9980" s="361"/>
      <c r="C9980" s="365"/>
      <c r="D9980" s="284" t="s">
        <v>241</v>
      </c>
      <c r="E9980" s="156" t="s">
        <v>28</v>
      </c>
      <c r="F9980" s="156" t="s">
        <v>28</v>
      </c>
      <c r="G9980" s="238">
        <f>MROUND(H9980*L9980*I9980/K9980,0.000000001)</f>
        <v>4.7839664000000004E-2</v>
      </c>
      <c r="H9980" s="158">
        <f>H9786</f>
        <v>5</v>
      </c>
      <c r="I9980" s="159">
        <f>I9967</f>
        <v>9.4881999999999994E-2</v>
      </c>
      <c r="J9980" s="160"/>
      <c r="K9980" s="161">
        <f>K9967</f>
        <v>119</v>
      </c>
      <c r="L9980" s="250">
        <v>12</v>
      </c>
      <c r="M9980" s="163" t="str">
        <f>CONCATENATE(H9980," ",F9980,"*",L9980,"мес.","*",I9980,"/",K9980,"чел/час")</f>
        <v>5 шт*12мес.*0,094882/119чел/час</v>
      </c>
      <c r="N9980" s="278">
        <f>N9786</f>
        <v>303.07650000000001</v>
      </c>
      <c r="O9980" s="280">
        <f>MROUND(N9980*G9980,0.000001)</f>
        <v>14.499077999999999</v>
      </c>
      <c r="P9980" s="166"/>
      <c r="Q9980" s="166">
        <f t="shared" si="2888"/>
        <v>1725.3902819999998</v>
      </c>
      <c r="R9980" s="71"/>
    </row>
    <row r="9981" spans="1:18" s="61" customFormat="1" x14ac:dyDescent="0.25">
      <c r="A9981" s="358"/>
      <c r="B9981" s="361"/>
      <c r="C9981" s="366"/>
      <c r="D9981" s="284" t="s">
        <v>242</v>
      </c>
      <c r="E9981" s="156" t="s">
        <v>243</v>
      </c>
      <c r="F9981" s="156" t="s">
        <v>243</v>
      </c>
      <c r="G9981" s="238">
        <f>MROUND(H9981*L9981*I9981/K9981,0.00000001)</f>
        <v>67.28170326</v>
      </c>
      <c r="H9981" s="158">
        <v>7032</v>
      </c>
      <c r="I9981" s="159">
        <f>I9980</f>
        <v>9.4881999999999994E-2</v>
      </c>
      <c r="J9981" s="160"/>
      <c r="K9981" s="161">
        <f>K9980</f>
        <v>119</v>
      </c>
      <c r="L9981" s="250">
        <v>12</v>
      </c>
      <c r="M9981" s="163" t="str">
        <f>CONCATENATE(H9981," ",F9981,"*",L9981,"мес.","*",I9981,"/",K9981,"чел/час")</f>
        <v>7032 мин.*12мес.*0,094882/119чел/час</v>
      </c>
      <c r="N9981" s="278">
        <f>N9787</f>
        <v>0.85373684584755394</v>
      </c>
      <c r="O9981" s="280">
        <f>MROUND(N9981*G9981,0.000001)</f>
        <v>57.440868999999999</v>
      </c>
      <c r="P9981" s="166"/>
      <c r="Q9981" s="166">
        <f t="shared" si="2888"/>
        <v>6835.4634109999997</v>
      </c>
      <c r="R9981" s="71"/>
    </row>
    <row r="9982" spans="1:18" s="61" customFormat="1" ht="31.5" x14ac:dyDescent="0.25">
      <c r="A9982" s="358"/>
      <c r="B9982" s="361"/>
      <c r="C9982" s="366"/>
      <c r="D9982" s="285" t="s">
        <v>244</v>
      </c>
      <c r="E9982" s="286" t="s">
        <v>245</v>
      </c>
      <c r="F9982" s="286" t="s">
        <v>247</v>
      </c>
      <c r="G9982" s="238">
        <f>MROUND(H9982*L9982*I9982/K9982,0.000001)</f>
        <v>9.5680000000000001E-3</v>
      </c>
      <c r="H9982" s="158">
        <v>1</v>
      </c>
      <c r="I9982" s="159">
        <f>I9981</f>
        <v>9.4881999999999994E-2</v>
      </c>
      <c r="J9982" s="160"/>
      <c r="K9982" s="161">
        <f>K9981</f>
        <v>119</v>
      </c>
      <c r="L9982" s="250">
        <v>12</v>
      </c>
      <c r="M9982" s="163" t="str">
        <f>CONCATENATE(H9982," ",F9982,"*",L9982,"мес.","*",I9982,"/",K9982,"чел/час")</f>
        <v>1 радиоточек*12мес.*0,094882/119чел/час</v>
      </c>
      <c r="N9982" s="278">
        <f>N9788</f>
        <v>180.23333333333335</v>
      </c>
      <c r="O9982" s="280">
        <f>MROUND(N9982*G9982,0.000001)</f>
        <v>1.7244729999999999</v>
      </c>
      <c r="P9982" s="166"/>
      <c r="Q9982" s="166">
        <f t="shared" si="2888"/>
        <v>205.212287</v>
      </c>
      <c r="R9982" s="71"/>
    </row>
    <row r="9983" spans="1:18" s="61" customFormat="1" ht="47.25" x14ac:dyDescent="0.25">
      <c r="A9983" s="358"/>
      <c r="B9983" s="361"/>
      <c r="C9983" s="366"/>
      <c r="D9983" s="285" t="s">
        <v>374</v>
      </c>
      <c r="E9983" s="156" t="s">
        <v>28</v>
      </c>
      <c r="F9983" s="156" t="s">
        <v>28</v>
      </c>
      <c r="G9983" s="238">
        <f>MROUND(H9983*L9983*I9983/K9983,0.000001)</f>
        <v>1.9136E-2</v>
      </c>
      <c r="H9983" s="158">
        <f>H9789</f>
        <v>6</v>
      </c>
      <c r="I9983" s="159">
        <f>I9981</f>
        <v>9.4881999999999994E-2</v>
      </c>
      <c r="J9983" s="160"/>
      <c r="K9983" s="161">
        <f>K9981</f>
        <v>119</v>
      </c>
      <c r="L9983" s="250">
        <f>L9789</f>
        <v>4</v>
      </c>
      <c r="M9983" s="163" t="str">
        <f>CONCATENATE(H9983," ",F9983,"*",L9983,"мес.","*",I9983,"/",K9983,"чел/час")</f>
        <v>6 шт*4мес.*0,094882/119чел/час</v>
      </c>
      <c r="N9983" s="278">
        <f>N9789</f>
        <v>1366.3704166666666</v>
      </c>
      <c r="O9983" s="280">
        <f>MROUND(N9983*G9983,0.000001)</f>
        <v>26.146863999999997</v>
      </c>
      <c r="P9983" s="166"/>
      <c r="Q9983" s="166">
        <f t="shared" si="2888"/>
        <v>3111.4768159999999</v>
      </c>
      <c r="R9983" s="71"/>
    </row>
    <row r="9984" spans="1:18" s="61" customFormat="1" x14ac:dyDescent="0.25">
      <c r="A9984" s="358"/>
      <c r="B9984" s="361"/>
      <c r="C9984" s="367"/>
      <c r="D9984" s="284" t="s">
        <v>246</v>
      </c>
      <c r="E9984" s="156" t="s">
        <v>28</v>
      </c>
      <c r="F9984" s="156" t="s">
        <v>28</v>
      </c>
      <c r="G9984" s="238">
        <f>MROUND(H9984*L9984*I9984/K9984,0.000001)</f>
        <v>9.5680000000000001E-3</v>
      </c>
      <c r="H9984" s="158">
        <v>1</v>
      </c>
      <c r="I9984" s="159">
        <f>I9982</f>
        <v>9.4881999999999994E-2</v>
      </c>
      <c r="J9984" s="160"/>
      <c r="K9984" s="161">
        <f>K9982</f>
        <v>119</v>
      </c>
      <c r="L9984" s="250">
        <v>12</v>
      </c>
      <c r="M9984" s="163" t="str">
        <f>CONCATENATE(H9984," ",F9984,"*",L9984,"мес.","*",I9984,"/",K9984,"чел/час")</f>
        <v>1 шт*12мес.*0,094882/119чел/час</v>
      </c>
      <c r="N9984" s="278">
        <f>N9790</f>
        <v>4695.5525000000007</v>
      </c>
      <c r="O9984" s="280">
        <f>MROUND(N9984*G9984,0.000001)</f>
        <v>44.927045999999997</v>
      </c>
      <c r="P9984" s="166"/>
      <c r="Q9984" s="166">
        <f t="shared" si="2888"/>
        <v>5346.3184739999997</v>
      </c>
      <c r="R9984" s="71"/>
    </row>
    <row r="9985" spans="1:41" s="62" customFormat="1" x14ac:dyDescent="0.25">
      <c r="A9985" s="358"/>
      <c r="B9985" s="361"/>
      <c r="C9985" s="218" t="s">
        <v>358</v>
      </c>
      <c r="D9985" s="287"/>
      <c r="E9985" s="287"/>
      <c r="F9985" s="287"/>
      <c r="G9985" s="288"/>
      <c r="H9985" s="214"/>
      <c r="I9985" s="206"/>
      <c r="J9985" s="214"/>
      <c r="K9985" s="207"/>
      <c r="L9985" s="215"/>
      <c r="M9985" s="289"/>
      <c r="N9985" s="281"/>
      <c r="O9985" s="279">
        <f>O9979</f>
        <v>144.73832999999999</v>
      </c>
      <c r="P9985" s="267"/>
      <c r="Q9985" s="166"/>
      <c r="R9985" s="71"/>
    </row>
    <row r="9986" spans="1:41" s="61" customFormat="1" x14ac:dyDescent="0.25">
      <c r="A9986" s="358"/>
      <c r="B9986" s="361"/>
      <c r="C9986" s="221"/>
      <c r="D9986" s="368" t="s">
        <v>67</v>
      </c>
      <c r="E9986" s="368"/>
      <c r="F9986" s="368"/>
      <c r="G9986" s="368"/>
      <c r="H9986" s="195"/>
      <c r="I9986" s="159">
        <f>I9984</f>
        <v>9.4881999999999994E-2</v>
      </c>
      <c r="J9986" s="195"/>
      <c r="K9986" s="161">
        <f>K9984</f>
        <v>119</v>
      </c>
      <c r="L9986" s="196"/>
      <c r="M9986" s="230"/>
      <c r="N9986" s="278"/>
      <c r="O9986" s="280"/>
      <c r="P9986" s="166"/>
      <c r="Q9986" s="166">
        <f t="shared" ref="Q9986:Q9996" si="2889">O9986*K9986</f>
        <v>0</v>
      </c>
      <c r="R9986" s="71"/>
    </row>
    <row r="9987" spans="1:41" s="61" customFormat="1" x14ac:dyDescent="0.25">
      <c r="A9987" s="358"/>
      <c r="B9987" s="361"/>
      <c r="C9987" s="221"/>
      <c r="D9987" s="194"/>
      <c r="E9987" s="194"/>
      <c r="F9987" s="194"/>
      <c r="G9987" s="217"/>
      <c r="H9987" s="195"/>
      <c r="I9987" s="159"/>
      <c r="J9987" s="195"/>
      <c r="K9987" s="161"/>
      <c r="L9987" s="196"/>
      <c r="M9987" s="230"/>
      <c r="N9987" s="278"/>
      <c r="O9987" s="280"/>
      <c r="P9987" s="166"/>
      <c r="Q9987" s="166">
        <f t="shared" si="2889"/>
        <v>0</v>
      </c>
      <c r="R9987" s="71"/>
    </row>
    <row r="9988" spans="1:41" s="61" customFormat="1" x14ac:dyDescent="0.25">
      <c r="A9988" s="358"/>
      <c r="B9988" s="361"/>
      <c r="C9988" s="221"/>
      <c r="D9988" s="350" t="s">
        <v>68</v>
      </c>
      <c r="E9988" s="350"/>
      <c r="F9988" s="350"/>
      <c r="G9988" s="350"/>
      <c r="H9988" s="195"/>
      <c r="I9988" s="159"/>
      <c r="J9988" s="195"/>
      <c r="K9988" s="161"/>
      <c r="L9988" s="196"/>
      <c r="M9988" s="230"/>
      <c r="N9988" s="278"/>
      <c r="O9988" s="280"/>
      <c r="P9988" s="166"/>
      <c r="Q9988" s="166">
        <f t="shared" si="2889"/>
        <v>0</v>
      </c>
      <c r="R9988" s="71"/>
    </row>
    <row r="9989" spans="1:41" s="61" customFormat="1" x14ac:dyDescent="0.25">
      <c r="A9989" s="358"/>
      <c r="B9989" s="361"/>
      <c r="C9989" s="221"/>
      <c r="D9989" s="156"/>
      <c r="E9989" s="156"/>
      <c r="F9989" s="156"/>
      <c r="G9989" s="236"/>
      <c r="H9989" s="195"/>
      <c r="I9989" s="159"/>
      <c r="J9989" s="195"/>
      <c r="K9989" s="161"/>
      <c r="L9989" s="196"/>
      <c r="M9989" s="230"/>
      <c r="N9989" s="278"/>
      <c r="O9989" s="280"/>
      <c r="P9989" s="166"/>
      <c r="Q9989" s="166">
        <f t="shared" si="2889"/>
        <v>0</v>
      </c>
      <c r="R9989" s="71"/>
    </row>
    <row r="9990" spans="1:41" s="61" customFormat="1" x14ac:dyDescent="0.25">
      <c r="A9990" s="358"/>
      <c r="B9990" s="361"/>
      <c r="C9990" s="221"/>
      <c r="D9990" s="368" t="s">
        <v>69</v>
      </c>
      <c r="E9990" s="368"/>
      <c r="F9990" s="368"/>
      <c r="G9990" s="368"/>
      <c r="H9990" s="187"/>
      <c r="I9990" s="159"/>
      <c r="J9990" s="187"/>
      <c r="K9990" s="161"/>
      <c r="L9990" s="276"/>
      <c r="M9990" s="230"/>
      <c r="N9990" s="278"/>
      <c r="O9990" s="279">
        <f>O9997+O10004+O10008+O10026+O10028+O10030+O10036+O10038+O10041</f>
        <v>929.21579599999995</v>
      </c>
      <c r="P9990" s="166"/>
      <c r="Q9990" s="166">
        <f t="shared" si="2889"/>
        <v>0</v>
      </c>
      <c r="R9990" s="71"/>
    </row>
    <row r="9991" spans="1:41" s="61" customFormat="1" ht="31.5" x14ac:dyDescent="0.25">
      <c r="A9991" s="358"/>
      <c r="B9991" s="361"/>
      <c r="C9991" s="365" t="s">
        <v>78</v>
      </c>
      <c r="D9991" s="156" t="s">
        <v>26</v>
      </c>
      <c r="E9991" s="156" t="s">
        <v>22</v>
      </c>
      <c r="F9991" s="156" t="s">
        <v>22</v>
      </c>
      <c r="G9991" s="238">
        <f>MROUND(H9991*L9991*I9991/K9991,0.000000001)</f>
        <v>6.6975529410000005</v>
      </c>
      <c r="H9991" s="158">
        <f>H9797</f>
        <v>700</v>
      </c>
      <c r="I9991" s="159">
        <f>I9980</f>
        <v>9.4881999999999994E-2</v>
      </c>
      <c r="J9991" s="160"/>
      <c r="K9991" s="161">
        <f>K9980</f>
        <v>119</v>
      </c>
      <c r="L9991" s="250">
        <v>12</v>
      </c>
      <c r="M9991" s="163" t="str">
        <f>CONCATENATE(H9991," ",F9991,"(обрабатываемая площадь в мес.)","*",L9991,"мес.","*",I9991,"/",K9991,"чел/час")</f>
        <v>700 м2(обрабатываемая площадь в мес.)*12мес.*0,094882/119чел/час</v>
      </c>
      <c r="N9991" s="278">
        <f>N9797</f>
        <v>1.2568904761904764</v>
      </c>
      <c r="O9991" s="280">
        <f>MROUND(N9991*G9991,0.000001)</f>
        <v>8.4180910000000004</v>
      </c>
      <c r="P9991" s="166"/>
      <c r="Q9991" s="166">
        <f t="shared" si="2889"/>
        <v>1001.752829</v>
      </c>
      <c r="R9991" s="71"/>
    </row>
    <row r="9992" spans="1:41" s="61" customFormat="1" ht="31.5" x14ac:dyDescent="0.25">
      <c r="A9992" s="358"/>
      <c r="B9992" s="361"/>
      <c r="C9992" s="366"/>
      <c r="D9992" s="156" t="s">
        <v>96</v>
      </c>
      <c r="E9992" s="156" t="s">
        <v>22</v>
      </c>
      <c r="F9992" s="156" t="s">
        <v>22</v>
      </c>
      <c r="G9992" s="238">
        <f>MROUND(H9992*L9992*I9992/K9992,0.0000001)</f>
        <v>4.3055696999999995</v>
      </c>
      <c r="H9992" s="158">
        <f>H9798</f>
        <v>450</v>
      </c>
      <c r="I9992" s="159">
        <f t="shared" ref="I9992" si="2890">I9991</f>
        <v>9.4881999999999994E-2</v>
      </c>
      <c r="J9992" s="160"/>
      <c r="K9992" s="161">
        <f>K9991</f>
        <v>119</v>
      </c>
      <c r="L9992" s="250">
        <v>12</v>
      </c>
      <c r="M9992" s="163" t="str">
        <f>CONCATENATE(H9992," ",F9992,"(обрабатываемая площадь в мес.)","*",L9992,"мес.","*",I9992,"/",K9992,"чел/час")</f>
        <v>450 м2(обрабатываемая площадь в мес.)*12мес.*0,094882/119чел/час</v>
      </c>
      <c r="N9992" s="278">
        <f>N9798</f>
        <v>2.0157666666666665</v>
      </c>
      <c r="O9992" s="280">
        <f>MROUND(N9992*G9992,0.000001)</f>
        <v>8.6790240000000001</v>
      </c>
      <c r="P9992" s="166"/>
      <c r="Q9992" s="166">
        <f t="shared" si="2889"/>
        <v>1032.803856</v>
      </c>
      <c r="R9992" s="71"/>
    </row>
    <row r="9993" spans="1:41" s="135" customFormat="1" ht="31.5" x14ac:dyDescent="0.25">
      <c r="A9993" s="358"/>
      <c r="B9993" s="361"/>
      <c r="C9993" s="366"/>
      <c r="D9993" s="156" t="s">
        <v>385</v>
      </c>
      <c r="E9993" s="156" t="s">
        <v>22</v>
      </c>
      <c r="F9993" s="156" t="s">
        <v>22</v>
      </c>
      <c r="G9993" s="238">
        <f>MROUND(H9993*L9993*I9993/K9993,0.000001)</f>
        <v>13.395106</v>
      </c>
      <c r="H9993" s="242">
        <f>$H$3022</f>
        <v>700</v>
      </c>
      <c r="I9993" s="244">
        <f>I9991</f>
        <v>9.4881999999999994E-2</v>
      </c>
      <c r="J9993" s="160"/>
      <c r="K9993" s="161">
        <f>K9980</f>
        <v>119</v>
      </c>
      <c r="L9993" s="162">
        <v>24</v>
      </c>
      <c r="M9993" s="163" t="str">
        <f>CONCATENATE(H9993," ",F9993,"(обрабатываемая площадь в год)","*",L9993," раза в год.","*",I9993,"/",K9993,"чел.")</f>
        <v>700 м2(обрабатываемая площадь в год)*24 раза в год.*0,094882/119чел.</v>
      </c>
      <c r="N9993" s="164">
        <f>$N$9799</f>
        <v>1.6007565476190475</v>
      </c>
      <c r="O9993" s="165">
        <f>MROUND(G9993*N9993,0.000001)</f>
        <v>21.442304</v>
      </c>
      <c r="P9993" s="166"/>
      <c r="Q9993" s="166">
        <f t="shared" si="2889"/>
        <v>2551.634176</v>
      </c>
      <c r="R9993" s="71"/>
      <c r="S9993" s="61"/>
      <c r="T9993" s="61"/>
      <c r="U9993" s="61"/>
      <c r="V9993" s="61"/>
      <c r="W9993" s="61"/>
      <c r="X9993" s="61"/>
      <c r="Y9993" s="61"/>
      <c r="Z9993" s="61"/>
      <c r="AA9993" s="61"/>
      <c r="AB9993" s="61"/>
      <c r="AC9993" s="61"/>
      <c r="AD9993" s="61"/>
      <c r="AE9993" s="61"/>
      <c r="AF9993" s="61"/>
      <c r="AG9993" s="61"/>
      <c r="AH9993" s="61"/>
      <c r="AI9993" s="61"/>
      <c r="AJ9993" s="61"/>
      <c r="AK9993" s="61"/>
      <c r="AL9993" s="61"/>
      <c r="AM9993" s="61"/>
      <c r="AN9993" s="61"/>
      <c r="AO9993" s="61"/>
    </row>
    <row r="9994" spans="1:41" s="135" customFormat="1" ht="31.5" x14ac:dyDescent="0.25">
      <c r="A9994" s="358"/>
      <c r="B9994" s="361"/>
      <c r="C9994" s="366"/>
      <c r="D9994" s="156" t="s">
        <v>394</v>
      </c>
      <c r="E9994" s="156" t="s">
        <v>22</v>
      </c>
      <c r="F9994" s="156" t="s">
        <v>22</v>
      </c>
      <c r="G9994" s="238">
        <f>MROUND(H9994*L9994*I9994/K9994,0.000001)</f>
        <v>4.3055699999999995</v>
      </c>
      <c r="H9994" s="243">
        <f>$H$3023</f>
        <v>450</v>
      </c>
      <c r="I9994" s="244">
        <f>I9993</f>
        <v>9.4881999999999994E-2</v>
      </c>
      <c r="J9994" s="160"/>
      <c r="K9994" s="161">
        <f>K9980</f>
        <v>119</v>
      </c>
      <c r="L9994" s="162">
        <v>12</v>
      </c>
      <c r="M9994" s="163" t="str">
        <f>CONCATENATE(H9994," ",F9994,"(обрабатываемая площадь в мес.)","*",L9994,"мес.","*",I9994,"/",K9994,"чел.")</f>
        <v>450 м2(обрабатываемая площадь в мес.)*12мес.*0,094882/119чел.</v>
      </c>
      <c r="N9994" s="164">
        <f>$N$9800</f>
        <v>0.92224629629629629</v>
      </c>
      <c r="O9994" s="165">
        <f>MROUND(G9994*N9994,0.000001)</f>
        <v>3.970796</v>
      </c>
      <c r="P9994" s="166"/>
      <c r="Q9994" s="166">
        <f t="shared" si="2889"/>
        <v>472.52472399999999</v>
      </c>
      <c r="R9994" s="71"/>
      <c r="S9994" s="61"/>
      <c r="T9994" s="61"/>
      <c r="U9994" s="61"/>
      <c r="V9994" s="61"/>
      <c r="W9994" s="61"/>
      <c r="X9994" s="61"/>
      <c r="Y9994" s="61"/>
      <c r="Z9994" s="61"/>
      <c r="AA9994" s="61"/>
      <c r="AB9994" s="61"/>
      <c r="AC9994" s="61"/>
      <c r="AD9994" s="61"/>
      <c r="AE9994" s="61"/>
      <c r="AF9994" s="61"/>
      <c r="AG9994" s="61"/>
      <c r="AH9994" s="61"/>
      <c r="AI9994" s="61"/>
      <c r="AJ9994" s="61"/>
      <c r="AK9994" s="61"/>
      <c r="AL9994" s="61"/>
      <c r="AM9994" s="61"/>
      <c r="AN9994" s="61"/>
      <c r="AO9994" s="61"/>
    </row>
    <row r="9995" spans="1:41" s="135" customFormat="1" ht="31.5" x14ac:dyDescent="0.25">
      <c r="A9995" s="358"/>
      <c r="B9995" s="361"/>
      <c r="C9995" s="366"/>
      <c r="D9995" s="156" t="s">
        <v>395</v>
      </c>
      <c r="E9995" s="156" t="s">
        <v>98</v>
      </c>
      <c r="F9995" s="156" t="s">
        <v>98</v>
      </c>
      <c r="G9995" s="238">
        <f>MROUND(H9995*L9995*I9995/K9995,0.000001)</f>
        <v>3.9899999999999999E-4</v>
      </c>
      <c r="H9995" s="242">
        <f>$H$3024</f>
        <v>0.5</v>
      </c>
      <c r="I9995" s="244">
        <f>I9991</f>
        <v>9.4881999999999994E-2</v>
      </c>
      <c r="J9995" s="160"/>
      <c r="K9995" s="161">
        <f>K9991</f>
        <v>119</v>
      </c>
      <c r="L9995" s="162">
        <v>1</v>
      </c>
      <c r="M9995" s="163" t="str">
        <f>CONCATENATE(H9995," ",F9995,"(обрабатываемая площадь в год)","*",L9995," раз в год","*",I9995,"/",K9995,"чел.")</f>
        <v>0,5 Га(обрабатываемая площадь в год)*1 раз в год*0,094882/119чел.</v>
      </c>
      <c r="N9995" s="164">
        <f>$N$9801</f>
        <v>592.88</v>
      </c>
      <c r="O9995" s="165">
        <f>MROUND(G9995*N9995,0.000001)</f>
        <v>0.23655899999999999</v>
      </c>
      <c r="P9995" s="166"/>
      <c r="Q9995" s="166">
        <f t="shared" si="2889"/>
        <v>28.150520999999998</v>
      </c>
      <c r="R9995" s="71"/>
      <c r="S9995" s="61"/>
      <c r="T9995" s="61"/>
      <c r="U9995" s="61"/>
      <c r="V9995" s="61"/>
      <c r="W9995" s="61"/>
      <c r="X9995" s="61"/>
      <c r="Y9995" s="61"/>
      <c r="Z9995" s="61"/>
      <c r="AA9995" s="61"/>
      <c r="AB9995" s="61"/>
      <c r="AC9995" s="61"/>
      <c r="AD9995" s="61"/>
      <c r="AE9995" s="61"/>
      <c r="AF9995" s="61"/>
      <c r="AG9995" s="61"/>
      <c r="AH9995" s="61"/>
      <c r="AI9995" s="61"/>
      <c r="AJ9995" s="61"/>
      <c r="AK9995" s="61"/>
      <c r="AL9995" s="61"/>
      <c r="AM9995" s="61"/>
      <c r="AN9995" s="61"/>
      <c r="AO9995" s="61"/>
    </row>
    <row r="9996" spans="1:41" s="61" customFormat="1" ht="31.5" x14ac:dyDescent="0.25">
      <c r="A9996" s="358"/>
      <c r="B9996" s="361"/>
      <c r="C9996" s="367"/>
      <c r="D9996" s="156" t="s">
        <v>97</v>
      </c>
      <c r="E9996" s="156" t="s">
        <v>363</v>
      </c>
      <c r="F9996" s="156" t="s">
        <v>363</v>
      </c>
      <c r="G9996" s="238">
        <f>MROUND(H9996*L9996*I9996/K9996,0.0000001)</f>
        <v>3.9869999999999999E-4</v>
      </c>
      <c r="H9996" s="158">
        <f>H9802</f>
        <v>0.5</v>
      </c>
      <c r="I9996" s="159">
        <f>I9992</f>
        <v>9.4881999999999994E-2</v>
      </c>
      <c r="J9996" s="160"/>
      <c r="K9996" s="161">
        <f>K9992</f>
        <v>119</v>
      </c>
      <c r="L9996" s="250">
        <v>1</v>
      </c>
      <c r="M9996" s="163" t="str">
        <f>CONCATENATE(H9996," ",F9996,"(обрабатываемая площадь в мес.)","*",L9996,"мес.","*",I9996,"/",K9996,"чел")</f>
        <v>0,5 га(обрабатываемая площадь в мес.)*1мес.*0,094882/119чел</v>
      </c>
      <c r="N9996" s="278">
        <f>N9802</f>
        <v>3226.5</v>
      </c>
      <c r="O9996" s="280">
        <f>MROUND(N9996*G9996,0.000001)</f>
        <v>1.2864059999999999</v>
      </c>
      <c r="P9996" s="166"/>
      <c r="Q9996" s="166">
        <f t="shared" si="2889"/>
        <v>153.082314</v>
      </c>
      <c r="R9996" s="71"/>
    </row>
    <row r="9997" spans="1:41" s="62" customFormat="1" x14ac:dyDescent="0.25">
      <c r="A9997" s="358"/>
      <c r="B9997" s="361"/>
      <c r="C9997" s="218" t="s">
        <v>294</v>
      </c>
      <c r="D9997" s="240"/>
      <c r="E9997" s="240"/>
      <c r="F9997" s="240"/>
      <c r="G9997" s="227"/>
      <c r="H9997" s="241"/>
      <c r="I9997" s="206"/>
      <c r="J9997" s="228"/>
      <c r="K9997" s="207"/>
      <c r="L9997" s="257"/>
      <c r="M9997" s="209"/>
      <c r="N9997" s="281"/>
      <c r="O9997" s="279">
        <f>SUM(O9991:O9996)</f>
        <v>44.033180000000002</v>
      </c>
      <c r="P9997" s="267"/>
      <c r="Q9997" s="166"/>
      <c r="R9997" s="71"/>
    </row>
    <row r="9998" spans="1:41" s="61" customFormat="1" ht="78.75" x14ac:dyDescent="0.25">
      <c r="A9998" s="358"/>
      <c r="B9998" s="361"/>
      <c r="C9998" s="366"/>
      <c r="D9998" s="156" t="s">
        <v>250</v>
      </c>
      <c r="E9998" s="156" t="s">
        <v>251</v>
      </c>
      <c r="F9998" s="156" t="s">
        <v>60</v>
      </c>
      <c r="G9998" s="238">
        <f>MROUND(H9998*L9998*I9998/K9998,0.00000001)</f>
        <v>9.5679300000000005E-3</v>
      </c>
      <c r="H9998" s="158">
        <v>1</v>
      </c>
      <c r="I9998" s="159">
        <f>I9996</f>
        <v>9.4881999999999994E-2</v>
      </c>
      <c r="J9998" s="160"/>
      <c r="K9998" s="161">
        <f>K9996</f>
        <v>119</v>
      </c>
      <c r="L9998" s="250">
        <v>12</v>
      </c>
      <c r="M9998" s="163" t="str">
        <f>CONCATENATE(H9998," ",F9998,"*",I9998,"/",K9998,"чел/час")</f>
        <v>1 шт.*0,094882/119чел/час</v>
      </c>
      <c r="N9998" s="278">
        <f t="shared" ref="N9998:N10003" si="2891">N9804</f>
        <v>392.98166666666663</v>
      </c>
      <c r="O9998" s="280">
        <f t="shared" ref="O9998:O10000" si="2892">MROUND(N9998*G9998,0.000001)</f>
        <v>3.7600209999999996</v>
      </c>
      <c r="P9998" s="166"/>
      <c r="Q9998" s="166">
        <f t="shared" ref="Q9998:Q10003" si="2893">O9998*K9998</f>
        <v>447.44249899999994</v>
      </c>
      <c r="R9998" s="71"/>
    </row>
    <row r="9999" spans="1:41" s="61" customFormat="1" ht="47.25" x14ac:dyDescent="0.25">
      <c r="A9999" s="358"/>
      <c r="B9999" s="361"/>
      <c r="C9999" s="366"/>
      <c r="D9999" s="156" t="s">
        <v>401</v>
      </c>
      <c r="E9999" s="156" t="s">
        <v>60</v>
      </c>
      <c r="F9999" s="156" t="s">
        <v>402</v>
      </c>
      <c r="G9999" s="238">
        <f t="shared" ref="G9999" si="2894">MROUND(H9999*L9999*I9999/K9999,0.000001)</f>
        <v>0</v>
      </c>
      <c r="H9999" s="158"/>
      <c r="I9999" s="159">
        <f>I9998</f>
        <v>9.4881999999999994E-2</v>
      </c>
      <c r="J9999" s="160"/>
      <c r="K9999" s="161">
        <f>K9998</f>
        <v>119</v>
      </c>
      <c r="L9999" s="250">
        <v>1</v>
      </c>
      <c r="M9999" s="163"/>
      <c r="N9999" s="278"/>
      <c r="O9999" s="280">
        <f t="shared" si="2892"/>
        <v>0</v>
      </c>
      <c r="P9999" s="166"/>
      <c r="Q9999" s="166">
        <f t="shared" si="2893"/>
        <v>0</v>
      </c>
      <c r="R9999" s="71"/>
    </row>
    <row r="10000" spans="1:41" s="61" customFormat="1" ht="31.5" x14ac:dyDescent="0.25">
      <c r="A10000" s="358"/>
      <c r="B10000" s="361"/>
      <c r="C10000" s="366"/>
      <c r="D10000" s="156" t="s">
        <v>35</v>
      </c>
      <c r="E10000" s="156" t="s">
        <v>102</v>
      </c>
      <c r="F10000" s="156" t="s">
        <v>252</v>
      </c>
      <c r="G10000" s="238">
        <f>MROUND(H10000*L10000*I10000/K10000,0.00000001)</f>
        <v>0</v>
      </c>
      <c r="H10000" s="158"/>
      <c r="I10000" s="159">
        <f>I9999</f>
        <v>9.4881999999999994E-2</v>
      </c>
      <c r="J10000" s="160"/>
      <c r="K10000" s="161">
        <f>K9999</f>
        <v>119</v>
      </c>
      <c r="L10000" s="250">
        <v>1</v>
      </c>
      <c r="M10000" s="163"/>
      <c r="N10000" s="278"/>
      <c r="O10000" s="280">
        <f t="shared" si="2892"/>
        <v>0</v>
      </c>
      <c r="P10000" s="166"/>
      <c r="Q10000" s="166">
        <f t="shared" si="2893"/>
        <v>0</v>
      </c>
      <c r="R10000" s="71"/>
    </row>
    <row r="10001" spans="1:18" s="61" customFormat="1" ht="31.5" x14ac:dyDescent="0.25">
      <c r="A10001" s="358"/>
      <c r="B10001" s="361"/>
      <c r="C10001" s="366"/>
      <c r="D10001" s="156" t="s">
        <v>99</v>
      </c>
      <c r="E10001" s="156" t="s">
        <v>103</v>
      </c>
      <c r="F10001" s="156" t="s">
        <v>225</v>
      </c>
      <c r="G10001" s="238">
        <f>MROUND(H10001*L10001*I10001/K10001,0.00000001)</f>
        <v>0</v>
      </c>
      <c r="H10001" s="158">
        <f>H9807</f>
        <v>0</v>
      </c>
      <c r="I10001" s="159">
        <f>I10000</f>
        <v>9.4881999999999994E-2</v>
      </c>
      <c r="J10001" s="160"/>
      <c r="K10001" s="161">
        <f>K10000</f>
        <v>119</v>
      </c>
      <c r="L10001" s="250">
        <v>1</v>
      </c>
      <c r="M10001" s="163"/>
      <c r="N10001" s="164">
        <f t="shared" si="2891"/>
        <v>0</v>
      </c>
      <c r="O10001" s="165">
        <f>MROUND(G10001*N10001,0.000001)</f>
        <v>0</v>
      </c>
      <c r="P10001" s="166"/>
      <c r="Q10001" s="166">
        <f t="shared" si="2893"/>
        <v>0</v>
      </c>
      <c r="R10001" s="71"/>
    </row>
    <row r="10002" spans="1:18" s="61" customFormat="1" x14ac:dyDescent="0.25">
      <c r="A10002" s="358"/>
      <c r="B10002" s="361"/>
      <c r="C10002" s="366"/>
      <c r="D10002" s="156" t="s">
        <v>27</v>
      </c>
      <c r="E10002" s="156" t="s">
        <v>28</v>
      </c>
      <c r="F10002" s="156" t="s">
        <v>28</v>
      </c>
      <c r="G10002" s="238">
        <f t="shared" ref="G10002" si="2895">MROUND(H10002*L10002*I10002/K10002,0.000001)</f>
        <v>0</v>
      </c>
      <c r="H10002" s="160">
        <f>H9808</f>
        <v>0</v>
      </c>
      <c r="I10002" s="159">
        <f>I10000</f>
        <v>9.4881999999999994E-2</v>
      </c>
      <c r="J10002" s="160"/>
      <c r="K10002" s="161">
        <f>K10000</f>
        <v>119</v>
      </c>
      <c r="L10002" s="250">
        <v>1</v>
      </c>
      <c r="M10002" s="163"/>
      <c r="N10002" s="278">
        <f t="shared" si="2891"/>
        <v>0</v>
      </c>
      <c r="O10002" s="280">
        <f t="shared" ref="O10002:O10003" si="2896">MROUND(N10002*G10002,0.000001)</f>
        <v>0</v>
      </c>
      <c r="P10002" s="166"/>
      <c r="Q10002" s="166">
        <f t="shared" si="2893"/>
        <v>0</v>
      </c>
      <c r="R10002" s="71"/>
    </row>
    <row r="10003" spans="1:18" s="61" customFormat="1" ht="31.5" x14ac:dyDescent="0.25">
      <c r="A10003" s="358"/>
      <c r="B10003" s="361"/>
      <c r="C10003" s="367"/>
      <c r="D10003" s="156" t="s">
        <v>104</v>
      </c>
      <c r="E10003" s="156" t="s">
        <v>105</v>
      </c>
      <c r="F10003" s="156" t="s">
        <v>226</v>
      </c>
      <c r="G10003" s="238">
        <f>MROUND(H10003*L10003*I10003/K10003,0.00000001)</f>
        <v>7.9733000000000007E-4</v>
      </c>
      <c r="H10003" s="160">
        <v>1</v>
      </c>
      <c r="I10003" s="159">
        <f>I10002</f>
        <v>9.4881999999999994E-2</v>
      </c>
      <c r="J10003" s="160"/>
      <c r="K10003" s="161">
        <f>K10002</f>
        <v>119</v>
      </c>
      <c r="L10003" s="250">
        <v>1</v>
      </c>
      <c r="M10003" s="163"/>
      <c r="N10003" s="278">
        <f t="shared" si="2891"/>
        <v>0</v>
      </c>
      <c r="O10003" s="280">
        <f t="shared" si="2896"/>
        <v>0</v>
      </c>
      <c r="P10003" s="166"/>
      <c r="Q10003" s="166">
        <f t="shared" si="2893"/>
        <v>0</v>
      </c>
      <c r="R10003" s="71"/>
    </row>
    <row r="10004" spans="1:18" s="62" customFormat="1" x14ac:dyDescent="0.25">
      <c r="A10004" s="358"/>
      <c r="B10004" s="361"/>
      <c r="C10004" s="249" t="s">
        <v>292</v>
      </c>
      <c r="D10004" s="240"/>
      <c r="E10004" s="240"/>
      <c r="F10004" s="240"/>
      <c r="G10004" s="227"/>
      <c r="H10004" s="228"/>
      <c r="I10004" s="206"/>
      <c r="J10004" s="228"/>
      <c r="K10004" s="207"/>
      <c r="L10004" s="257"/>
      <c r="M10004" s="209"/>
      <c r="N10004" s="281"/>
      <c r="O10004" s="279">
        <f>SUM(O9998:O10003)</f>
        <v>3.7600209999999996</v>
      </c>
      <c r="P10004" s="267"/>
      <c r="Q10004" s="166"/>
      <c r="R10004" s="71"/>
    </row>
    <row r="10005" spans="1:18" s="61" customFormat="1" ht="31.5" x14ac:dyDescent="0.25">
      <c r="A10005" s="358"/>
      <c r="B10005" s="361"/>
      <c r="C10005" s="221" t="s">
        <v>79</v>
      </c>
      <c r="D10005" s="156" t="s">
        <v>37</v>
      </c>
      <c r="E10005" s="156" t="s">
        <v>61</v>
      </c>
      <c r="F10005" s="156" t="s">
        <v>254</v>
      </c>
      <c r="G10005" s="238">
        <f>MROUND(H10005*L10005*I10005/K10005,0.00000001)</f>
        <v>7.9733000000000007E-4</v>
      </c>
      <c r="H10005" s="158">
        <v>1</v>
      </c>
      <c r="I10005" s="159">
        <f>I10003</f>
        <v>9.4881999999999994E-2</v>
      </c>
      <c r="J10005" s="160"/>
      <c r="K10005" s="161">
        <f>K10003</f>
        <v>119</v>
      </c>
      <c r="L10005" s="250">
        <v>1</v>
      </c>
      <c r="M10005" s="163" t="str">
        <f>CONCATENATE(H10005," ",F10005,"*",I10005,"/",K10005,"чел/час")</f>
        <v>1 автобус*0,094882/119чел/час</v>
      </c>
      <c r="N10005" s="278">
        <f>N9811</f>
        <v>25403.41</v>
      </c>
      <c r="O10005" s="280">
        <f>MROUND(N10005*G10005,0.000001)</f>
        <v>20.254901</v>
      </c>
      <c r="P10005" s="166"/>
      <c r="Q10005" s="166">
        <f t="shared" ref="Q10005:Q10007" si="2897">O10005*K10005</f>
        <v>2410.3332190000001</v>
      </c>
      <c r="R10005" s="71"/>
    </row>
    <row r="10006" spans="1:18" s="61" customFormat="1" ht="31.5" x14ac:dyDescent="0.25">
      <c r="A10006" s="358"/>
      <c r="B10006" s="361"/>
      <c r="C10006" s="221"/>
      <c r="D10006" s="156" t="s">
        <v>262</v>
      </c>
      <c r="E10006" s="156" t="s">
        <v>440</v>
      </c>
      <c r="F10006" s="156" t="s">
        <v>441</v>
      </c>
      <c r="G10006" s="238">
        <f t="shared" ref="G10006:G10007" si="2898">MROUND(H10006*L10006*I10006/K10006,0.000001)</f>
        <v>3.189E-3</v>
      </c>
      <c r="H10006" s="158">
        <f>$H$3035</f>
        <v>1</v>
      </c>
      <c r="I10006" s="159">
        <f>I10005</f>
        <v>9.4881999999999994E-2</v>
      </c>
      <c r="J10006" s="160"/>
      <c r="K10006" s="161">
        <f>K10005</f>
        <v>119</v>
      </c>
      <c r="L10006" s="250">
        <v>4</v>
      </c>
      <c r="M10006" s="163" t="str">
        <f>CONCATENATE(H10006," ",F10006,"*",L10006,"раза в год","*",I10006,"/",K10006,"чел/час")</f>
        <v>1 услуга*4раза в год*0,094882/119чел/час</v>
      </c>
      <c r="N10006" s="278">
        <f>N9812</f>
        <v>26827.494999999999</v>
      </c>
      <c r="O10006" s="280">
        <f>MROUND(N10006*G10006,0.000001)</f>
        <v>85.552881999999997</v>
      </c>
      <c r="P10006" s="166"/>
      <c r="Q10006" s="166">
        <f t="shared" si="2897"/>
        <v>10180.792958</v>
      </c>
      <c r="R10006" s="71"/>
    </row>
    <row r="10007" spans="1:18" s="61" customFormat="1" x14ac:dyDescent="0.25">
      <c r="A10007" s="358"/>
      <c r="B10007" s="361"/>
      <c r="C10007" s="221"/>
      <c r="D10007" s="156" t="s">
        <v>255</v>
      </c>
      <c r="E10007" s="156" t="s">
        <v>28</v>
      </c>
      <c r="F10007" s="156" t="s">
        <v>28</v>
      </c>
      <c r="G10007" s="238">
        <f t="shared" si="2898"/>
        <v>4.4649999999999995E-2</v>
      </c>
      <c r="H10007" s="158">
        <v>56</v>
      </c>
      <c r="I10007" s="159">
        <f>I10005</f>
        <v>9.4881999999999994E-2</v>
      </c>
      <c r="J10007" s="160"/>
      <c r="K10007" s="161">
        <f>K10005</f>
        <v>119</v>
      </c>
      <c r="L10007" s="250">
        <v>1</v>
      </c>
      <c r="M10007" s="163" t="str">
        <f>CONCATENATE(H10007," ",F10007,"*",L10007,"раза в год","*",I10007,"/",K10007,"чел/час")</f>
        <v>56 шт*1раза в год*0,094882/119чел/час</v>
      </c>
      <c r="N10007" s="278">
        <f>N9813</f>
        <v>808.84785714285715</v>
      </c>
      <c r="O10007" s="280">
        <f>MROUND(N10007*G10007,0.000001)</f>
        <v>36.115057</v>
      </c>
      <c r="P10007" s="166"/>
      <c r="Q10007" s="166">
        <f t="shared" si="2897"/>
        <v>4297.6917830000002</v>
      </c>
      <c r="R10007" s="71"/>
    </row>
    <row r="10008" spans="1:18" s="62" customFormat="1" x14ac:dyDescent="0.25">
      <c r="A10008" s="358"/>
      <c r="B10008" s="361"/>
      <c r="C10008" s="218" t="s">
        <v>295</v>
      </c>
      <c r="D10008" s="240"/>
      <c r="E10008" s="240"/>
      <c r="F10008" s="240"/>
      <c r="G10008" s="227"/>
      <c r="H10008" s="241"/>
      <c r="I10008" s="206"/>
      <c r="J10008" s="228"/>
      <c r="K10008" s="207"/>
      <c r="L10008" s="257"/>
      <c r="M10008" s="209"/>
      <c r="N10008" s="281"/>
      <c r="O10008" s="279">
        <f>O10005+O10006+O10007</f>
        <v>141.92284000000001</v>
      </c>
      <c r="P10008" s="267"/>
      <c r="Q10008" s="166"/>
      <c r="R10008" s="71"/>
    </row>
    <row r="10009" spans="1:18" s="61" customFormat="1" x14ac:dyDescent="0.25">
      <c r="A10009" s="358"/>
      <c r="B10009" s="361"/>
      <c r="C10009" s="365" t="s">
        <v>80</v>
      </c>
      <c r="D10009" s="156" t="s">
        <v>38</v>
      </c>
      <c r="E10009" s="156" t="s">
        <v>57</v>
      </c>
      <c r="F10009" s="156" t="s">
        <v>228</v>
      </c>
      <c r="G10009" s="238">
        <f t="shared" ref="G10009" si="2899">MROUND(H10009*L10009*I10009/K10009,0.000001)</f>
        <v>9.5680000000000001E-3</v>
      </c>
      <c r="H10009" s="158">
        <v>1</v>
      </c>
      <c r="I10009" s="159">
        <f>I10005</f>
        <v>9.4881999999999994E-2</v>
      </c>
      <c r="J10009" s="160"/>
      <c r="K10009" s="161">
        <f>K10005</f>
        <v>119</v>
      </c>
      <c r="L10009" s="250">
        <v>12</v>
      </c>
      <c r="M10009" s="163"/>
      <c r="N10009" s="278">
        <f t="shared" ref="N10009:N10025" si="2900">N9815</f>
        <v>0</v>
      </c>
      <c r="O10009" s="280">
        <f t="shared" ref="O10009:O10025" si="2901">MROUND(N10009*G10009,0.000001)</f>
        <v>0</v>
      </c>
      <c r="P10009" s="166"/>
      <c r="Q10009" s="166">
        <f t="shared" ref="Q10009:Q10025" si="2902">O10009*K10009</f>
        <v>0</v>
      </c>
      <c r="R10009" s="71"/>
    </row>
    <row r="10010" spans="1:18" s="61" customFormat="1" x14ac:dyDescent="0.25">
      <c r="A10010" s="358"/>
      <c r="B10010" s="361"/>
      <c r="C10010" s="366"/>
      <c r="D10010" s="156" t="s">
        <v>256</v>
      </c>
      <c r="E10010" s="156" t="s">
        <v>20</v>
      </c>
      <c r="F10010" s="156" t="s">
        <v>20</v>
      </c>
      <c r="G10010" s="238">
        <f>MROUND(H10010*L10010*I10010/K10010,0.00000001)</f>
        <v>1.993319E-2</v>
      </c>
      <c r="H10010" s="158">
        <f>H9816</f>
        <v>25</v>
      </c>
      <c r="I10010" s="159">
        <f>I10007</f>
        <v>9.4881999999999994E-2</v>
      </c>
      <c r="J10010" s="160"/>
      <c r="K10010" s="161">
        <f>K10007</f>
        <v>119</v>
      </c>
      <c r="L10010" s="250">
        <v>1</v>
      </c>
      <c r="M10010" s="163" t="str">
        <f t="shared" ref="M10010:M10015" si="2903">CONCATENATE(H10010," ",F10010,"*",I10010,"/",K10010,"чел/час")</f>
        <v>25 чел.*0,094882/119чел/час</v>
      </c>
      <c r="N10010" s="278">
        <f t="shared" si="2900"/>
        <v>2015.7676000000001</v>
      </c>
      <c r="O10010" s="280">
        <f t="shared" si="2901"/>
        <v>40.180678999999998</v>
      </c>
      <c r="P10010" s="166"/>
      <c r="Q10010" s="166">
        <f t="shared" si="2902"/>
        <v>4781.5008010000001</v>
      </c>
      <c r="R10010" s="71"/>
    </row>
    <row r="10011" spans="1:18" s="61" customFormat="1" ht="63" x14ac:dyDescent="0.25">
      <c r="A10011" s="358"/>
      <c r="B10011" s="361"/>
      <c r="C10011" s="366"/>
      <c r="D10011" s="156" t="s">
        <v>39</v>
      </c>
      <c r="E10011" s="156" t="s">
        <v>20</v>
      </c>
      <c r="F10011" s="156" t="s">
        <v>234</v>
      </c>
      <c r="G10011" s="238">
        <f t="shared" ref="G10011" si="2904">MROUND(H10011*L10011*I10011/K10011,0.000001)</f>
        <v>7.9699999999999997E-4</v>
      </c>
      <c r="H10011" s="158">
        <v>1</v>
      </c>
      <c r="I10011" s="159">
        <f>I10009</f>
        <v>9.4881999999999994E-2</v>
      </c>
      <c r="J10011" s="160"/>
      <c r="K10011" s="161">
        <f>K10009</f>
        <v>119</v>
      </c>
      <c r="L10011" s="250">
        <v>1</v>
      </c>
      <c r="M10011" s="163" t="str">
        <f t="shared" si="2903"/>
        <v>1 чел(заявленная потребность руководителями учреждений)*0,094882/119чел/час</v>
      </c>
      <c r="N10011" s="278">
        <f t="shared" si="2900"/>
        <v>830.02</v>
      </c>
      <c r="O10011" s="280">
        <f t="shared" si="2901"/>
        <v>0.66152599999999995</v>
      </c>
      <c r="P10011" s="166"/>
      <c r="Q10011" s="166">
        <f t="shared" si="2902"/>
        <v>78.721593999999996</v>
      </c>
      <c r="R10011" s="71"/>
    </row>
    <row r="10012" spans="1:18" s="61" customFormat="1" ht="63" x14ac:dyDescent="0.25">
      <c r="A10012" s="358"/>
      <c r="B10012" s="361"/>
      <c r="C10012" s="366"/>
      <c r="D10012" s="156" t="s">
        <v>40</v>
      </c>
      <c r="E10012" s="156" t="s">
        <v>20</v>
      </c>
      <c r="F10012" s="156" t="s">
        <v>234</v>
      </c>
      <c r="G10012" s="238">
        <f>MROUND(H10012*L10012*I10012/K10012,0.000001)</f>
        <v>7.9699999999999997E-4</v>
      </c>
      <c r="H10012" s="158">
        <v>1</v>
      </c>
      <c r="I10012" s="159">
        <f>I10010</f>
        <v>9.4881999999999994E-2</v>
      </c>
      <c r="J10012" s="160"/>
      <c r="K10012" s="161">
        <f>K10010</f>
        <v>119</v>
      </c>
      <c r="L10012" s="250">
        <v>1</v>
      </c>
      <c r="M10012" s="163" t="str">
        <f t="shared" si="2903"/>
        <v>1 чел(заявленная потребность руководителями учреждений)*0,094882/119чел/час</v>
      </c>
      <c r="N10012" s="278">
        <f t="shared" si="2900"/>
        <v>1778.6200000000001</v>
      </c>
      <c r="O10012" s="280">
        <f t="shared" si="2901"/>
        <v>1.4175599999999999</v>
      </c>
      <c r="P10012" s="166"/>
      <c r="Q10012" s="166">
        <f t="shared" si="2902"/>
        <v>168.68964</v>
      </c>
      <c r="R10012" s="71"/>
    </row>
    <row r="10013" spans="1:18" s="61" customFormat="1" ht="63" x14ac:dyDescent="0.25">
      <c r="A10013" s="358"/>
      <c r="B10013" s="361"/>
      <c r="C10013" s="366"/>
      <c r="D10013" s="156" t="s">
        <v>100</v>
      </c>
      <c r="E10013" s="156" t="s">
        <v>20</v>
      </c>
      <c r="F10013" s="156" t="s">
        <v>234</v>
      </c>
      <c r="G10013" s="238">
        <f>MROUND(H10013*L10013*I10013/K10013,0.00000001)</f>
        <v>7.9733000000000007E-4</v>
      </c>
      <c r="H10013" s="158">
        <v>1</v>
      </c>
      <c r="I10013" s="159">
        <f>I10011</f>
        <v>9.4881999999999994E-2</v>
      </c>
      <c r="J10013" s="160"/>
      <c r="K10013" s="161">
        <f>K10011</f>
        <v>119</v>
      </c>
      <c r="L10013" s="250">
        <v>1</v>
      </c>
      <c r="M10013" s="163" t="str">
        <f t="shared" si="2903"/>
        <v>1 чел(заявленная потребность руководителями учреждений)*0,094882/119чел/час</v>
      </c>
      <c r="N10013" s="278">
        <f t="shared" si="2900"/>
        <v>3794.39</v>
      </c>
      <c r="O10013" s="280">
        <f t="shared" si="2901"/>
        <v>3.0253809999999999</v>
      </c>
      <c r="P10013" s="166"/>
      <c r="Q10013" s="166">
        <f t="shared" si="2902"/>
        <v>360.02033899999998</v>
      </c>
      <c r="R10013" s="71"/>
    </row>
    <row r="10014" spans="1:18" s="61" customFormat="1" ht="110.25" x14ac:dyDescent="0.25">
      <c r="A10014" s="358"/>
      <c r="B10014" s="361"/>
      <c r="C10014" s="366"/>
      <c r="D10014" s="156" t="s">
        <v>235</v>
      </c>
      <c r="E10014" s="156" t="s">
        <v>50</v>
      </c>
      <c r="F10014" s="156" t="s">
        <v>230</v>
      </c>
      <c r="G10014" s="238">
        <f>MROUND(H10014*L10014*I10014/K10014,0.00000001)</f>
        <v>7.9733000000000007E-4</v>
      </c>
      <c r="H10014" s="158">
        <v>1</v>
      </c>
      <c r="I10014" s="159">
        <f>I10010</f>
        <v>9.4881999999999994E-2</v>
      </c>
      <c r="J10014" s="160"/>
      <c r="K10014" s="161">
        <f>K10010</f>
        <v>119</v>
      </c>
      <c r="L10014" s="250">
        <v>1</v>
      </c>
      <c r="M10014" s="163" t="str">
        <f t="shared" si="2903"/>
        <v>1 отчетов*0,094882/119чел/час</v>
      </c>
      <c r="N10014" s="278">
        <f t="shared" si="2900"/>
        <v>7114.47</v>
      </c>
      <c r="O10014" s="280">
        <f t="shared" si="2901"/>
        <v>5.67258</v>
      </c>
      <c r="P10014" s="166"/>
      <c r="Q10014" s="166">
        <f t="shared" si="2902"/>
        <v>675.03701999999998</v>
      </c>
      <c r="R10014" s="71"/>
    </row>
    <row r="10015" spans="1:18" s="61" customFormat="1" ht="63" x14ac:dyDescent="0.25">
      <c r="A10015" s="358"/>
      <c r="B10015" s="361"/>
      <c r="C10015" s="366"/>
      <c r="D10015" s="156" t="s">
        <v>42</v>
      </c>
      <c r="E10015" s="156" t="s">
        <v>51</v>
      </c>
      <c r="F10015" s="156" t="s">
        <v>407</v>
      </c>
      <c r="G10015" s="238">
        <f t="shared" ref="G10015:G10017" si="2905">MROUND(H10015*L10015*I10015/K10015,0.000001)</f>
        <v>4.7840000000000001E-3</v>
      </c>
      <c r="H10015" s="158">
        <f>H9821</f>
        <v>6</v>
      </c>
      <c r="I10015" s="159">
        <f t="shared" ref="I10015:I10021" si="2906">I10014</f>
        <v>9.4881999999999994E-2</v>
      </c>
      <c r="J10015" s="160"/>
      <c r="K10015" s="161">
        <f t="shared" ref="K10015:K10021" si="2907">K10014</f>
        <v>119</v>
      </c>
      <c r="L10015" s="250">
        <v>1</v>
      </c>
      <c r="M10015" s="163" t="str">
        <f t="shared" si="2903"/>
        <v>6 ед (заявленная потребность руководителями учреждений)*0,094882/119чел/час</v>
      </c>
      <c r="N10015" s="278">
        <f t="shared" si="2900"/>
        <v>1185.7450000000001</v>
      </c>
      <c r="O10015" s="280">
        <f t="shared" si="2901"/>
        <v>5.6726039999999998</v>
      </c>
      <c r="P10015" s="166"/>
      <c r="Q10015" s="166">
        <f t="shared" si="2902"/>
        <v>675.03987599999994</v>
      </c>
      <c r="R10015" s="71"/>
    </row>
    <row r="10016" spans="1:18" s="61" customFormat="1" ht="31.5" x14ac:dyDescent="0.25">
      <c r="A10016" s="358"/>
      <c r="B10016" s="361"/>
      <c r="C10016" s="366"/>
      <c r="D10016" s="156" t="s">
        <v>263</v>
      </c>
      <c r="E10016" s="156" t="s">
        <v>264</v>
      </c>
      <c r="F10016" s="156" t="s">
        <v>265</v>
      </c>
      <c r="G10016" s="238">
        <f t="shared" si="2905"/>
        <v>9.5680000000000001E-3</v>
      </c>
      <c r="H10016" s="158">
        <v>1</v>
      </c>
      <c r="I10016" s="159">
        <f t="shared" si="2906"/>
        <v>9.4881999999999994E-2</v>
      </c>
      <c r="J10016" s="160"/>
      <c r="K10016" s="161">
        <f t="shared" si="2907"/>
        <v>119</v>
      </c>
      <c r="L10016" s="250">
        <v>12</v>
      </c>
      <c r="M10016" s="163" t="str">
        <f>CONCATENATE(H10016," ",F10016,"*",L10016,"мес.","*",I10016,"/",K10016,"чел/час")</f>
        <v>1 мойка*12мес.*0,094882/119чел/час</v>
      </c>
      <c r="N10016" s="278">
        <f t="shared" si="2900"/>
        <v>592.87250000000006</v>
      </c>
      <c r="O10016" s="280">
        <f t="shared" si="2901"/>
        <v>5.6726039999999998</v>
      </c>
      <c r="P10016" s="166"/>
      <c r="Q10016" s="166">
        <f t="shared" si="2902"/>
        <v>675.03987599999994</v>
      </c>
      <c r="R10016" s="71"/>
    </row>
    <row r="10017" spans="1:18" s="61" customFormat="1" ht="31.5" x14ac:dyDescent="0.25">
      <c r="A10017" s="358"/>
      <c r="B10017" s="361"/>
      <c r="C10017" s="366"/>
      <c r="D10017" s="156" t="s">
        <v>266</v>
      </c>
      <c r="E10017" s="156" t="s">
        <v>267</v>
      </c>
      <c r="F10017" s="156" t="s">
        <v>268</v>
      </c>
      <c r="G10017" s="238">
        <f t="shared" si="2905"/>
        <v>0.191359</v>
      </c>
      <c r="H10017" s="158">
        <v>20</v>
      </c>
      <c r="I10017" s="159">
        <f t="shared" si="2906"/>
        <v>9.4881999999999994E-2</v>
      </c>
      <c r="J10017" s="160"/>
      <c r="K10017" s="161">
        <f t="shared" si="2907"/>
        <v>119</v>
      </c>
      <c r="L10017" s="250">
        <v>12</v>
      </c>
      <c r="M10017" s="163" t="str">
        <f>CONCATENATE(H10017," ",F10017,"*",L10017,"мес.","*",I10017,"/",K10017,"чел/час")</f>
        <v>20 комплектов в мес.*12мес.*0,094882/119чел/час</v>
      </c>
      <c r="N10017" s="278">
        <f t="shared" si="2900"/>
        <v>533.58550000000002</v>
      </c>
      <c r="O10017" s="280">
        <f t="shared" si="2901"/>
        <v>102.106388</v>
      </c>
      <c r="P10017" s="166"/>
      <c r="Q10017" s="166">
        <f t="shared" si="2902"/>
        <v>12150.660172</v>
      </c>
      <c r="R10017" s="71"/>
    </row>
    <row r="10018" spans="1:18" s="61" customFormat="1" ht="47.25" x14ac:dyDescent="0.25">
      <c r="A10018" s="358"/>
      <c r="B10018" s="361"/>
      <c r="C10018" s="366"/>
      <c r="D10018" s="156" t="s">
        <v>269</v>
      </c>
      <c r="E10018" s="156" t="s">
        <v>20</v>
      </c>
      <c r="F10018" s="156" t="s">
        <v>20</v>
      </c>
      <c r="G10018" s="238">
        <f>MROUND(H10018*L10018*I10018/K10018,0.00000001)</f>
        <v>3.9866400000000005E-3</v>
      </c>
      <c r="H10018" s="158">
        <f>$H$3047</f>
        <v>5</v>
      </c>
      <c r="I10018" s="159">
        <f t="shared" si="2906"/>
        <v>9.4881999999999994E-2</v>
      </c>
      <c r="J10018" s="160"/>
      <c r="K10018" s="161">
        <f t="shared" si="2907"/>
        <v>119</v>
      </c>
      <c r="L10018" s="250">
        <v>1</v>
      </c>
      <c r="M10018" s="163" t="str">
        <f>CONCATENATE(H10018," ",F10018,"*",I10018,"/",K10018,"чел/час")</f>
        <v>5 чел.*0,094882/119чел/час</v>
      </c>
      <c r="N10018" s="278">
        <f t="shared" si="2900"/>
        <v>19120.148000000001</v>
      </c>
      <c r="O10018" s="280">
        <f t="shared" si="2901"/>
        <v>76.225146999999993</v>
      </c>
      <c r="P10018" s="166"/>
      <c r="Q10018" s="166">
        <f t="shared" si="2902"/>
        <v>9070.792492999999</v>
      </c>
      <c r="R10018" s="71"/>
    </row>
    <row r="10019" spans="1:18" s="61" customFormat="1" ht="31.5" x14ac:dyDescent="0.25">
      <c r="A10019" s="358"/>
      <c r="B10019" s="361"/>
      <c r="C10019" s="366"/>
      <c r="D10019" s="156" t="s">
        <v>376</v>
      </c>
      <c r="E10019" s="156" t="s">
        <v>55</v>
      </c>
      <c r="F10019" s="156" t="s">
        <v>55</v>
      </c>
      <c r="G10019" s="238">
        <f>MROUND(H10019*L10019*I10019/K10019,0.00000001)</f>
        <v>9.5679300000000005E-3</v>
      </c>
      <c r="H10019" s="158">
        <v>1</v>
      </c>
      <c r="I10019" s="159">
        <f t="shared" si="2906"/>
        <v>9.4881999999999994E-2</v>
      </c>
      <c r="J10019" s="160"/>
      <c r="K10019" s="161">
        <f t="shared" si="2907"/>
        <v>119</v>
      </c>
      <c r="L10019" s="250">
        <v>12</v>
      </c>
      <c r="M10019" s="163" t="str">
        <f>CONCATENATE(H10019," ",F10019,"*",L10019,"мес.","*",I10019,"/",K10019,"чел/час")</f>
        <v>1 система*12мес.*0,094882/119чел/час</v>
      </c>
      <c r="N10019" s="278">
        <f t="shared" si="2900"/>
        <v>26755.559166666662</v>
      </c>
      <c r="O10019" s="280">
        <f t="shared" si="2901"/>
        <v>255.995317</v>
      </c>
      <c r="P10019" s="166"/>
      <c r="Q10019" s="166">
        <f t="shared" si="2902"/>
        <v>30463.442723</v>
      </c>
      <c r="R10019" s="71"/>
    </row>
    <row r="10020" spans="1:18" s="61" customFormat="1" ht="31.5" x14ac:dyDescent="0.25">
      <c r="A10020" s="358"/>
      <c r="B10020" s="361"/>
      <c r="C10020" s="366"/>
      <c r="D10020" s="156" t="s">
        <v>270</v>
      </c>
      <c r="E10020" s="156" t="s">
        <v>60</v>
      </c>
      <c r="F10020" s="156" t="s">
        <v>60</v>
      </c>
      <c r="G10020" s="238">
        <f t="shared" ref="G10020" si="2908">MROUND(H10020*L10020*I10020/K10020,0.000001)</f>
        <v>1.3554999999999999E-2</v>
      </c>
      <c r="H10020" s="158">
        <f>H9826</f>
        <v>17</v>
      </c>
      <c r="I10020" s="159">
        <f t="shared" si="2906"/>
        <v>9.4881999999999994E-2</v>
      </c>
      <c r="J10020" s="160"/>
      <c r="K10020" s="161">
        <f t="shared" si="2907"/>
        <v>119</v>
      </c>
      <c r="L10020" s="250">
        <v>1</v>
      </c>
      <c r="M10020" s="163" t="str">
        <f>CONCATENATE(H10020," ",F10020,"*",I10020,"/",K10020,"чел/час")</f>
        <v>17 шт.*0,094882/119чел/час</v>
      </c>
      <c r="N10020" s="278">
        <f t="shared" si="2900"/>
        <v>3347.9876470588238</v>
      </c>
      <c r="O10020" s="280">
        <f t="shared" si="2901"/>
        <v>45.381972999999995</v>
      </c>
      <c r="P10020" s="166"/>
      <c r="Q10020" s="166">
        <f t="shared" si="2902"/>
        <v>5400.4547869999997</v>
      </c>
      <c r="R10020" s="71"/>
    </row>
    <row r="10021" spans="1:18" s="61" customFormat="1" ht="31.5" x14ac:dyDescent="0.25">
      <c r="A10021" s="358"/>
      <c r="B10021" s="361"/>
      <c r="C10021" s="366"/>
      <c r="D10021" s="156" t="s">
        <v>408</v>
      </c>
      <c r="E10021" s="156" t="s">
        <v>20</v>
      </c>
      <c r="F10021" s="156" t="s">
        <v>20</v>
      </c>
      <c r="G10021" s="238">
        <f>MROUND(H10021*L10021*I10021/K10021,0.00000001)</f>
        <v>4.7839700000000002E-3</v>
      </c>
      <c r="H10021" s="158">
        <f>$H$3050</f>
        <v>6</v>
      </c>
      <c r="I10021" s="159">
        <f t="shared" si="2906"/>
        <v>9.4881999999999994E-2</v>
      </c>
      <c r="J10021" s="160"/>
      <c r="K10021" s="161">
        <f t="shared" si="2907"/>
        <v>119</v>
      </c>
      <c r="L10021" s="250">
        <v>1</v>
      </c>
      <c r="M10021" s="163" t="str">
        <f>CONCATENATE(H10021," ",F10021,"*",I10021,"/",K10021,"чел/час")</f>
        <v>6 чел.*0,094882/119чел/час</v>
      </c>
      <c r="N10021" s="278">
        <f t="shared" si="2900"/>
        <v>592.87333333333333</v>
      </c>
      <c r="O10021" s="280">
        <f t="shared" si="2901"/>
        <v>2.8362879999999997</v>
      </c>
      <c r="P10021" s="166"/>
      <c r="Q10021" s="166">
        <f t="shared" si="2902"/>
        <v>337.51827199999997</v>
      </c>
      <c r="R10021" s="71"/>
    </row>
    <row r="10022" spans="1:18" s="61" customFormat="1" ht="63" x14ac:dyDescent="0.25">
      <c r="A10022" s="358"/>
      <c r="B10022" s="361"/>
      <c r="C10022" s="366"/>
      <c r="D10022" s="156" t="s">
        <v>45</v>
      </c>
      <c r="E10022" s="156" t="s">
        <v>53</v>
      </c>
      <c r="F10022" s="156" t="s">
        <v>257</v>
      </c>
      <c r="G10022" s="238">
        <f t="shared" ref="G10022:G10025" si="2909">MROUND(H10022*L10022*I10022/K10022,0.000001)</f>
        <v>9.5680000000000001E-3</v>
      </c>
      <c r="H10022" s="158">
        <v>1</v>
      </c>
      <c r="I10022" s="159">
        <f>I10020</f>
        <v>9.4881999999999994E-2</v>
      </c>
      <c r="J10022" s="160"/>
      <c r="K10022" s="161">
        <f>K10020</f>
        <v>119</v>
      </c>
      <c r="L10022" s="250">
        <v>12</v>
      </c>
      <c r="M10022" s="163" t="str">
        <f>CONCATENATE(H10022," ",F10022,"*",L10022,"мес.","*",I10022,"/",K10022,"чел")</f>
        <v>1  машина, оборудованная системой ГЛОНАСС*12мес.*0,094882/119чел</v>
      </c>
      <c r="N10022" s="278">
        <f t="shared" si="2900"/>
        <v>958.08249999999998</v>
      </c>
      <c r="O10022" s="280">
        <f t="shared" si="2901"/>
        <v>9.1669330000000002</v>
      </c>
      <c r="P10022" s="166"/>
      <c r="Q10022" s="166">
        <f t="shared" si="2902"/>
        <v>1090.8650270000001</v>
      </c>
      <c r="R10022" s="71"/>
    </row>
    <row r="10023" spans="1:18" s="61" customFormat="1" ht="47.25" x14ac:dyDescent="0.25">
      <c r="A10023" s="358"/>
      <c r="B10023" s="361"/>
      <c r="C10023" s="366"/>
      <c r="D10023" s="156" t="s">
        <v>271</v>
      </c>
      <c r="E10023" s="156" t="s">
        <v>85</v>
      </c>
      <c r="F10023" s="156" t="s">
        <v>232</v>
      </c>
      <c r="G10023" s="238">
        <f t="shared" si="2909"/>
        <v>0.24238799999999999</v>
      </c>
      <c r="H10023" s="158">
        <f>H9829</f>
        <v>304</v>
      </c>
      <c r="I10023" s="159">
        <f>I10021</f>
        <v>9.4881999999999994E-2</v>
      </c>
      <c r="J10023" s="160"/>
      <c r="K10023" s="161">
        <f>K10021</f>
        <v>119</v>
      </c>
      <c r="L10023" s="250">
        <v>1</v>
      </c>
      <c r="M10023" s="163" t="str">
        <f>CONCATENATE(H10023," ",F10023,"*",L10023,"мес.","*",I10023,"/",K10023,"чел")</f>
        <v>304 мед.осмотров в мес.*1мес.*0,094882/119чел</v>
      </c>
      <c r="N10023" s="278">
        <f t="shared" si="2900"/>
        <v>61.658782894736845</v>
      </c>
      <c r="O10023" s="280">
        <f t="shared" si="2901"/>
        <v>14.945348999999998</v>
      </c>
      <c r="P10023" s="166"/>
      <c r="Q10023" s="166">
        <f t="shared" si="2902"/>
        <v>1778.4965309999998</v>
      </c>
      <c r="R10023" s="71"/>
    </row>
    <row r="10024" spans="1:18" s="61" customFormat="1" x14ac:dyDescent="0.25">
      <c r="A10024" s="358"/>
      <c r="B10024" s="361"/>
      <c r="C10024" s="366"/>
      <c r="D10024" s="156" t="s">
        <v>373</v>
      </c>
      <c r="E10024" s="156" t="s">
        <v>28</v>
      </c>
      <c r="F10024" s="156" t="s">
        <v>28</v>
      </c>
      <c r="G10024" s="238">
        <f t="shared" si="2909"/>
        <v>7.9699999999999997E-4</v>
      </c>
      <c r="H10024" s="158">
        <f>H9830</f>
        <v>1</v>
      </c>
      <c r="I10024" s="159">
        <f>I10023</f>
        <v>9.4881999999999994E-2</v>
      </c>
      <c r="J10024" s="160"/>
      <c r="K10024" s="161">
        <f>K10023</f>
        <v>119</v>
      </c>
      <c r="L10024" s="250">
        <v>1</v>
      </c>
      <c r="M10024" s="163" t="str">
        <f>CONCATENATE(H10024," ",F10024,"*",L10024,"мес.","*",I10024,"/",K10024,"чел")</f>
        <v>1 шт*1мес.*0,094882/119чел</v>
      </c>
      <c r="N10024" s="278">
        <f t="shared" si="2900"/>
        <v>24000</v>
      </c>
      <c r="O10024" s="280">
        <f t="shared" si="2901"/>
        <v>19.128</v>
      </c>
      <c r="P10024" s="166"/>
      <c r="Q10024" s="166">
        <f t="shared" si="2902"/>
        <v>2276.232</v>
      </c>
      <c r="R10024" s="71"/>
    </row>
    <row r="10025" spans="1:18" s="61" customFormat="1" ht="31.5" x14ac:dyDescent="0.25">
      <c r="A10025" s="358"/>
      <c r="B10025" s="361"/>
      <c r="C10025" s="367"/>
      <c r="D10025" s="156" t="s">
        <v>43</v>
      </c>
      <c r="E10025" s="156" t="s">
        <v>52</v>
      </c>
      <c r="F10025" s="156" t="s">
        <v>231</v>
      </c>
      <c r="G10025" s="238">
        <f t="shared" si="2909"/>
        <v>7.9699999999999997E-4</v>
      </c>
      <c r="H10025" s="158">
        <v>1</v>
      </c>
      <c r="I10025" s="159">
        <f>I10015</f>
        <v>9.4881999999999994E-2</v>
      </c>
      <c r="J10025" s="160"/>
      <c r="K10025" s="161">
        <f>K10015</f>
        <v>119</v>
      </c>
      <c r="L10025" s="250">
        <v>1</v>
      </c>
      <c r="M10025" s="163" t="str">
        <f>CONCATENATE(H10025," ",F10025,"*",I10025,"/",K10025,"чел/час")</f>
        <v>1 ЭЦП*0,094882/119чел/час</v>
      </c>
      <c r="N10025" s="278">
        <f t="shared" si="2900"/>
        <v>8423.5400000000009</v>
      </c>
      <c r="O10025" s="280">
        <f t="shared" si="2901"/>
        <v>6.7135609999999994</v>
      </c>
      <c r="P10025" s="166"/>
      <c r="Q10025" s="166">
        <f t="shared" si="2902"/>
        <v>798.91375899999991</v>
      </c>
      <c r="R10025" s="71"/>
    </row>
    <row r="10026" spans="1:18" s="62" customFormat="1" x14ac:dyDescent="0.25">
      <c r="A10026" s="358"/>
      <c r="B10026" s="361"/>
      <c r="C10026" s="245" t="s">
        <v>296</v>
      </c>
      <c r="D10026" s="240"/>
      <c r="E10026" s="240"/>
      <c r="F10026" s="240"/>
      <c r="G10026" s="227"/>
      <c r="H10026" s="241"/>
      <c r="I10026" s="206"/>
      <c r="J10026" s="228"/>
      <c r="K10026" s="207"/>
      <c r="L10026" s="257"/>
      <c r="M10026" s="209"/>
      <c r="N10026" s="281"/>
      <c r="O10026" s="279">
        <f>SUM(O10009:O10025)</f>
        <v>594.80188999999996</v>
      </c>
      <c r="P10026" s="267"/>
      <c r="Q10026" s="166"/>
      <c r="R10026" s="71"/>
    </row>
    <row r="10027" spans="1:18" s="61" customFormat="1" ht="31.5" x14ac:dyDescent="0.25">
      <c r="A10027" s="358"/>
      <c r="B10027" s="361"/>
      <c r="C10027" s="252" t="s">
        <v>237</v>
      </c>
      <c r="D10027" s="156" t="s">
        <v>41</v>
      </c>
      <c r="E10027" s="156" t="s">
        <v>61</v>
      </c>
      <c r="F10027" s="156" t="s">
        <v>254</v>
      </c>
      <c r="G10027" s="238">
        <f>MROUND(H10027*L10027*I10027/K10027,0.00000001)</f>
        <v>7.9733000000000007E-4</v>
      </c>
      <c r="H10027" s="158">
        <v>1</v>
      </c>
      <c r="I10027" s="159">
        <f>I10025</f>
        <v>9.4881999999999994E-2</v>
      </c>
      <c r="J10027" s="160"/>
      <c r="K10027" s="161">
        <f>K10025</f>
        <v>119</v>
      </c>
      <c r="L10027" s="250">
        <v>1</v>
      </c>
      <c r="M10027" s="163" t="str">
        <f>CONCATENATE(H10027," ",F10027,"*",I10027,"/",K10027,"чел/час")</f>
        <v>1 автобус*0,094882/119чел/час</v>
      </c>
      <c r="N10027" s="278">
        <f>N9833</f>
        <v>27983.600000000002</v>
      </c>
      <c r="O10027" s="280">
        <f>MROUND(N10027*G10027,0.000001)</f>
        <v>22.312163999999999</v>
      </c>
      <c r="P10027" s="166"/>
      <c r="Q10027" s="166">
        <f t="shared" ref="Q10027" si="2910">O10027*K10027</f>
        <v>2655.147516</v>
      </c>
      <c r="R10027" s="71"/>
    </row>
    <row r="10028" spans="1:18" s="62" customFormat="1" x14ac:dyDescent="0.25">
      <c r="A10028" s="358"/>
      <c r="B10028" s="361"/>
      <c r="C10028" s="245" t="s">
        <v>297</v>
      </c>
      <c r="D10028" s="240"/>
      <c r="E10028" s="240"/>
      <c r="F10028" s="240"/>
      <c r="G10028" s="227"/>
      <c r="H10028" s="241"/>
      <c r="I10028" s="206"/>
      <c r="J10028" s="228"/>
      <c r="K10028" s="207"/>
      <c r="L10028" s="257"/>
      <c r="M10028" s="209"/>
      <c r="N10028" s="281"/>
      <c r="O10028" s="279">
        <f>O10027</f>
        <v>22.312163999999999</v>
      </c>
      <c r="P10028" s="267"/>
      <c r="Q10028" s="166"/>
      <c r="R10028" s="71"/>
    </row>
    <row r="10029" spans="1:18" s="61" customFormat="1" ht="78.75" x14ac:dyDescent="0.25">
      <c r="A10029" s="358"/>
      <c r="B10029" s="361"/>
      <c r="C10029" s="221" t="s">
        <v>236</v>
      </c>
      <c r="D10029" s="156" t="s">
        <v>19</v>
      </c>
      <c r="E10029" s="181" t="s">
        <v>20</v>
      </c>
      <c r="F10029" s="181" t="s">
        <v>238</v>
      </c>
      <c r="G10029" s="238">
        <f t="shared" ref="G10029" si="2911">MROUND(H10029*L10029*I10029/K10029,0.000001)</f>
        <v>0</v>
      </c>
      <c r="H10029" s="158"/>
      <c r="I10029" s="159">
        <f>I10027</f>
        <v>9.4881999999999994E-2</v>
      </c>
      <c r="J10029" s="160"/>
      <c r="K10029" s="161">
        <f>K10027</f>
        <v>119</v>
      </c>
      <c r="L10029" s="250"/>
      <c r="M10029" s="163"/>
      <c r="N10029" s="278"/>
      <c r="O10029" s="280">
        <f>MROUND(N10029*G10029,0.000001)</f>
        <v>0</v>
      </c>
      <c r="P10029" s="166"/>
      <c r="Q10029" s="166">
        <f t="shared" ref="Q10029" si="2912">O10029*K10029</f>
        <v>0</v>
      </c>
      <c r="R10029" s="71"/>
    </row>
    <row r="10030" spans="1:18" s="62" customFormat="1" x14ac:dyDescent="0.25">
      <c r="A10030" s="358"/>
      <c r="B10030" s="361"/>
      <c r="C10030" s="245" t="s">
        <v>298</v>
      </c>
      <c r="D10030" s="240"/>
      <c r="E10030" s="253"/>
      <c r="F10030" s="253"/>
      <c r="G10030" s="227"/>
      <c r="H10030" s="241"/>
      <c r="I10030" s="206"/>
      <c r="J10030" s="228"/>
      <c r="K10030" s="207"/>
      <c r="L10030" s="257"/>
      <c r="M10030" s="209"/>
      <c r="N10030" s="281"/>
      <c r="O10030" s="279">
        <f>O10029</f>
        <v>0</v>
      </c>
      <c r="P10030" s="267"/>
      <c r="Q10030" s="166"/>
      <c r="R10030" s="71"/>
    </row>
    <row r="10031" spans="1:18" s="61" customFormat="1" ht="15.75" customHeight="1" x14ac:dyDescent="0.25">
      <c r="A10031" s="358"/>
      <c r="B10031" s="361"/>
      <c r="C10031" s="365" t="s">
        <v>81</v>
      </c>
      <c r="D10031" s="156" t="s">
        <v>427</v>
      </c>
      <c r="E10031" s="156" t="s">
        <v>28</v>
      </c>
      <c r="F10031" s="156" t="s">
        <v>28</v>
      </c>
      <c r="G10031" s="238">
        <f>MROUND(H10031*L10031*I10031/K10031,0.00000001)</f>
        <v>0</v>
      </c>
      <c r="H10031" s="158"/>
      <c r="I10031" s="159">
        <f>I10027</f>
        <v>9.4881999999999994E-2</v>
      </c>
      <c r="J10031" s="160"/>
      <c r="K10031" s="161">
        <f>K10027</f>
        <v>119</v>
      </c>
      <c r="L10031" s="250">
        <v>1</v>
      </c>
      <c r="M10031" s="163"/>
      <c r="N10031" s="278"/>
      <c r="O10031" s="280">
        <f>MROUND(N10031*G10031,0.000001)</f>
        <v>0</v>
      </c>
      <c r="P10031" s="166"/>
      <c r="Q10031" s="166">
        <f t="shared" ref="Q10031:Q10035" si="2913">O10031*K10031</f>
        <v>0</v>
      </c>
      <c r="R10031" s="71"/>
    </row>
    <row r="10032" spans="1:18" s="61" customFormat="1" ht="15.75" customHeight="1" x14ac:dyDescent="0.25">
      <c r="A10032" s="358"/>
      <c r="B10032" s="361"/>
      <c r="C10032" s="366"/>
      <c r="D10032" s="156" t="s">
        <v>428</v>
      </c>
      <c r="E10032" s="156" t="s">
        <v>28</v>
      </c>
      <c r="F10032" s="156" t="s">
        <v>28</v>
      </c>
      <c r="G10032" s="238">
        <f>MROUND(H10032*L10032*I10032/K10032,0.00000001)</f>
        <v>0</v>
      </c>
      <c r="H10032" s="158"/>
      <c r="I10032" s="159">
        <f>I10031</f>
        <v>9.4881999999999994E-2</v>
      </c>
      <c r="J10032" s="160"/>
      <c r="K10032" s="161">
        <f>K10031</f>
        <v>119</v>
      </c>
      <c r="L10032" s="250">
        <v>1</v>
      </c>
      <c r="M10032" s="163"/>
      <c r="N10032" s="278"/>
      <c r="O10032" s="280">
        <f>MROUND(N10032*G10032,0.000001)</f>
        <v>0</v>
      </c>
      <c r="P10032" s="166"/>
      <c r="Q10032" s="166">
        <f t="shared" si="2913"/>
        <v>0</v>
      </c>
      <c r="R10032" s="71"/>
    </row>
    <row r="10033" spans="1:18" s="61" customFormat="1" ht="15.75" customHeight="1" x14ac:dyDescent="0.25">
      <c r="A10033" s="358"/>
      <c r="B10033" s="361"/>
      <c r="C10033" s="366"/>
      <c r="D10033" s="156" t="s">
        <v>110</v>
      </c>
      <c r="E10033" s="156" t="s">
        <v>28</v>
      </c>
      <c r="F10033" s="156" t="s">
        <v>28</v>
      </c>
      <c r="G10033" s="238">
        <f>MROUND(H10033*L10033*I10033/K10033,0.00000001)</f>
        <v>0</v>
      </c>
      <c r="H10033" s="158"/>
      <c r="I10033" s="159">
        <f t="shared" ref="I10033:I10034" si="2914">I10032</f>
        <v>9.4881999999999994E-2</v>
      </c>
      <c r="J10033" s="160"/>
      <c r="K10033" s="161">
        <f t="shared" ref="K10033:K10034" si="2915">K10032</f>
        <v>119</v>
      </c>
      <c r="L10033" s="250">
        <v>1</v>
      </c>
      <c r="M10033" s="163"/>
      <c r="N10033" s="278"/>
      <c r="O10033" s="280">
        <f>MROUND(N10033*G10033,0.000001)</f>
        <v>0</v>
      </c>
      <c r="P10033" s="166"/>
      <c r="Q10033" s="166">
        <f t="shared" si="2913"/>
        <v>0</v>
      </c>
      <c r="R10033" s="71"/>
    </row>
    <row r="10034" spans="1:18" s="61" customFormat="1" ht="15.75" customHeight="1" x14ac:dyDescent="0.25">
      <c r="A10034" s="358"/>
      <c r="B10034" s="361"/>
      <c r="C10034" s="366"/>
      <c r="D10034" s="156" t="s">
        <v>111</v>
      </c>
      <c r="E10034" s="156" t="s">
        <v>28</v>
      </c>
      <c r="F10034" s="156" t="s">
        <v>28</v>
      </c>
      <c r="G10034" s="238">
        <f>MROUND(H10034*L10034*I10034/K10034,0.00000001)</f>
        <v>0</v>
      </c>
      <c r="H10034" s="158"/>
      <c r="I10034" s="159">
        <f t="shared" si="2914"/>
        <v>9.4881999999999994E-2</v>
      </c>
      <c r="J10034" s="160"/>
      <c r="K10034" s="161">
        <f t="shared" si="2915"/>
        <v>119</v>
      </c>
      <c r="L10034" s="250">
        <v>1</v>
      </c>
      <c r="M10034" s="163"/>
      <c r="N10034" s="278"/>
      <c r="O10034" s="280">
        <f>MROUND(N10034*G10034,0.000001)</f>
        <v>0</v>
      </c>
      <c r="P10034" s="166"/>
      <c r="Q10034" s="166">
        <f t="shared" si="2913"/>
        <v>0</v>
      </c>
      <c r="R10034" s="71"/>
    </row>
    <row r="10035" spans="1:18" s="61" customFormat="1" x14ac:dyDescent="0.25">
      <c r="A10035" s="358"/>
      <c r="B10035" s="361"/>
      <c r="C10035" s="367"/>
      <c r="D10035" s="156" t="s">
        <v>438</v>
      </c>
      <c r="E10035" s="156" t="s">
        <v>28</v>
      </c>
      <c r="F10035" s="156" t="s">
        <v>28</v>
      </c>
      <c r="G10035" s="238">
        <f>MROUND(H10035*L10035*I10035/K10035,0.00000001)</f>
        <v>0</v>
      </c>
      <c r="H10035" s="158"/>
      <c r="I10035" s="159">
        <f>I10029</f>
        <v>9.4881999999999994E-2</v>
      </c>
      <c r="J10035" s="160"/>
      <c r="K10035" s="161">
        <f>K10029</f>
        <v>119</v>
      </c>
      <c r="L10035" s="250">
        <v>1</v>
      </c>
      <c r="M10035" s="163"/>
      <c r="N10035" s="278"/>
      <c r="O10035" s="280">
        <f>MROUND(N10035*G10035,0.000001)</f>
        <v>0</v>
      </c>
      <c r="P10035" s="166"/>
      <c r="Q10035" s="166">
        <f t="shared" si="2913"/>
        <v>0</v>
      </c>
      <c r="R10035" s="71"/>
    </row>
    <row r="10036" spans="1:18" s="62" customFormat="1" x14ac:dyDescent="0.25">
      <c r="A10036" s="358"/>
      <c r="B10036" s="361"/>
      <c r="C10036" s="245" t="s">
        <v>299</v>
      </c>
      <c r="D10036" s="240"/>
      <c r="E10036" s="240"/>
      <c r="F10036" s="240"/>
      <c r="G10036" s="227"/>
      <c r="H10036" s="241"/>
      <c r="I10036" s="206"/>
      <c r="J10036" s="228"/>
      <c r="K10036" s="207"/>
      <c r="L10036" s="257"/>
      <c r="M10036" s="209"/>
      <c r="N10036" s="281"/>
      <c r="O10036" s="279">
        <f>SUM(O10031:O10035)</f>
        <v>0</v>
      </c>
      <c r="P10036" s="267"/>
      <c r="Q10036" s="166"/>
      <c r="R10036" s="71"/>
    </row>
    <row r="10037" spans="1:18" s="61" customFormat="1" ht="110.25" x14ac:dyDescent="0.25">
      <c r="A10037" s="358"/>
      <c r="B10037" s="361"/>
      <c r="C10037" s="221" t="s">
        <v>82</v>
      </c>
      <c r="D10037" s="156" t="s">
        <v>46</v>
      </c>
      <c r="E10037" s="156" t="s">
        <v>54</v>
      </c>
      <c r="F10037" s="156" t="s">
        <v>285</v>
      </c>
      <c r="G10037" s="238">
        <f t="shared" ref="G10037" si="2916">MROUND(H10037*L10037*I10037/K10037,0.000001)</f>
        <v>2.0331859999999997</v>
      </c>
      <c r="H10037" s="242">
        <f>H9843</f>
        <v>231.81817568471834</v>
      </c>
      <c r="I10037" s="159">
        <f>I10029</f>
        <v>9.4881999999999994E-2</v>
      </c>
      <c r="J10037" s="160"/>
      <c r="K10037" s="161">
        <f>K10029</f>
        <v>119</v>
      </c>
      <c r="L10037" s="250">
        <v>11</v>
      </c>
      <c r="M10037" s="163" t="str">
        <f>CONCATENATE(H10037," ",F10037,"*",L10037,"автобус","*",I10037,"/",K10037,"чел/час")</f>
        <v>231,818175684718 л бензина АИ 92 (12,5л/день(зимой)*20дней*7мес+10л/день(летом)*20дней*4мес)*11автобус*0,094882/119чел/час</v>
      </c>
      <c r="N10037" s="278">
        <f>N9843</f>
        <v>59.28728000000001</v>
      </c>
      <c r="O10037" s="280">
        <f>MROUND(N10037*G10037,0.000001)</f>
        <v>120.542068</v>
      </c>
      <c r="P10037" s="166"/>
      <c r="Q10037" s="166">
        <f t="shared" ref="Q10037" si="2917">O10037*K10037</f>
        <v>14344.506092</v>
      </c>
      <c r="R10037" s="71"/>
    </row>
    <row r="10038" spans="1:18" s="62" customFormat="1" x14ac:dyDescent="0.25">
      <c r="A10038" s="358"/>
      <c r="B10038" s="361"/>
      <c r="C10038" s="218" t="s">
        <v>300</v>
      </c>
      <c r="D10038" s="240"/>
      <c r="E10038" s="240"/>
      <c r="F10038" s="240"/>
      <c r="G10038" s="227"/>
      <c r="H10038" s="241"/>
      <c r="I10038" s="206"/>
      <c r="J10038" s="228"/>
      <c r="K10038" s="207"/>
      <c r="L10038" s="257"/>
      <c r="M10038" s="209"/>
      <c r="N10038" s="281"/>
      <c r="O10038" s="279">
        <f>O10037</f>
        <v>120.542068</v>
      </c>
      <c r="P10038" s="267"/>
      <c r="Q10038" s="166"/>
      <c r="R10038" s="71"/>
    </row>
    <row r="10039" spans="1:18" s="61" customFormat="1" ht="47.25" x14ac:dyDescent="0.25">
      <c r="A10039" s="358"/>
      <c r="B10039" s="361"/>
      <c r="C10039" s="365" t="s">
        <v>118</v>
      </c>
      <c r="D10039" s="156" t="s">
        <v>47</v>
      </c>
      <c r="E10039" s="156" t="s">
        <v>28</v>
      </c>
      <c r="F10039" s="156" t="s">
        <v>239</v>
      </c>
      <c r="G10039" s="238">
        <f t="shared" ref="G10039:G10040" si="2918">MROUND(H10039*L10039*I10039/K10039,0.000001)</f>
        <v>0</v>
      </c>
      <c r="H10039" s="158">
        <f>H9845</f>
        <v>0</v>
      </c>
      <c r="I10039" s="159">
        <f>I10037</f>
        <v>9.4881999999999994E-2</v>
      </c>
      <c r="J10039" s="160"/>
      <c r="K10039" s="161">
        <f>K10037</f>
        <v>119</v>
      </c>
      <c r="L10039" s="250">
        <v>1</v>
      </c>
      <c r="M10039" s="163"/>
      <c r="N10039" s="278">
        <f>N9845</f>
        <v>0</v>
      </c>
      <c r="O10039" s="280">
        <f>MROUND(N10039*G10039,0.000001)</f>
        <v>0</v>
      </c>
      <c r="P10039" s="166"/>
      <c r="Q10039" s="166">
        <f t="shared" ref="Q10039:Q10040" si="2919">O10039*K10039</f>
        <v>0</v>
      </c>
      <c r="R10039" s="71"/>
    </row>
    <row r="10040" spans="1:18" s="61" customFormat="1" ht="47.25" x14ac:dyDescent="0.25">
      <c r="A10040" s="358"/>
      <c r="B10040" s="361"/>
      <c r="C10040" s="367"/>
      <c r="D10040" s="255" t="s">
        <v>113</v>
      </c>
      <c r="E10040" s="156" t="s">
        <v>28</v>
      </c>
      <c r="F10040" s="156" t="s">
        <v>240</v>
      </c>
      <c r="G10040" s="238">
        <f t="shared" si="2918"/>
        <v>1.5946999999999999E-2</v>
      </c>
      <c r="H10040" s="158">
        <f>H9846</f>
        <v>20</v>
      </c>
      <c r="I10040" s="159">
        <f>I10039</f>
        <v>9.4881999999999994E-2</v>
      </c>
      <c r="J10040" s="160"/>
      <c r="K10040" s="161">
        <f>K10039</f>
        <v>119</v>
      </c>
      <c r="L10040" s="250">
        <v>1</v>
      </c>
      <c r="M10040" s="163" t="str">
        <f>CONCATENATE(H10040," ",F10040,"*",I10040,"/",K10040,"чел/час")</f>
        <v>20 светильников (потребность учреждений)*0,094882/119чел/час</v>
      </c>
      <c r="N10040" s="278">
        <f>N9846</f>
        <v>115.61000000000001</v>
      </c>
      <c r="O10040" s="280">
        <f>MROUND(N10040*G10040,0.000001)</f>
        <v>1.8436329999999999</v>
      </c>
      <c r="P10040" s="166"/>
      <c r="Q10040" s="166">
        <f t="shared" si="2919"/>
        <v>219.39232699999999</v>
      </c>
      <c r="R10040" s="71"/>
    </row>
    <row r="10041" spans="1:18" s="62" customFormat="1" x14ac:dyDescent="0.25">
      <c r="A10041" s="359"/>
      <c r="B10041" s="362"/>
      <c r="C10041" s="218" t="s">
        <v>301</v>
      </c>
      <c r="D10041" s="256"/>
      <c r="E10041" s="240"/>
      <c r="F10041" s="240"/>
      <c r="G10041" s="227"/>
      <c r="H10041" s="241"/>
      <c r="I10041" s="206"/>
      <c r="J10041" s="228"/>
      <c r="K10041" s="207"/>
      <c r="L10041" s="257"/>
      <c r="M10041" s="209"/>
      <c r="N10041" s="281"/>
      <c r="O10041" s="279">
        <f>O10039+O10040</f>
        <v>1.8436329999999999</v>
      </c>
      <c r="P10041" s="267"/>
      <c r="Q10041" s="166"/>
      <c r="R10041" s="71"/>
    </row>
    <row r="10042" spans="1:18" s="61" customFormat="1" x14ac:dyDescent="0.25">
      <c r="A10042" s="357" t="str">
        <f>школы!$B$28</f>
        <v>Методическое обеспечение образовательной деятельности</v>
      </c>
      <c r="B10042" s="360" t="str">
        <f>школы!$A$28</f>
        <v>48Д70100000000000005101</v>
      </c>
      <c r="C10042" s="194"/>
      <c r="D10042" s="363" t="s">
        <v>15</v>
      </c>
      <c r="E10042" s="363"/>
      <c r="F10042" s="363"/>
      <c r="G10042" s="363"/>
      <c r="H10042" s="195"/>
      <c r="I10042" s="195"/>
      <c r="J10042" s="195"/>
      <c r="K10042" s="195"/>
      <c r="L10042" s="196"/>
      <c r="M10042" s="197"/>
      <c r="N10042" s="278"/>
      <c r="O10042" s="279">
        <f>O10043+O10048+O10051</f>
        <v>10831.3139748663</v>
      </c>
      <c r="P10042" s="166"/>
      <c r="Q10042" s="166">
        <f t="shared" ref="Q10042:Q10044" si="2920">O10042*K10042</f>
        <v>0</v>
      </c>
      <c r="R10042" s="71"/>
    </row>
    <row r="10043" spans="1:18" s="61" customFormat="1" x14ac:dyDescent="0.25">
      <c r="A10043" s="358"/>
      <c r="B10043" s="361"/>
      <c r="C10043" s="194"/>
      <c r="D10043" s="350" t="s">
        <v>62</v>
      </c>
      <c r="E10043" s="350"/>
      <c r="F10043" s="350"/>
      <c r="G10043" s="350"/>
      <c r="H10043" s="195"/>
      <c r="I10043" s="195"/>
      <c r="J10043" s="195"/>
      <c r="K10043" s="195"/>
      <c r="L10043" s="196"/>
      <c r="M10043" s="197"/>
      <c r="N10043" s="278"/>
      <c r="O10043" s="279">
        <f>O10045+O10047</f>
        <v>10688.1133058663</v>
      </c>
      <c r="P10043" s="166"/>
      <c r="Q10043" s="166">
        <f t="shared" si="2920"/>
        <v>0</v>
      </c>
      <c r="R10043" s="71"/>
    </row>
    <row r="10044" spans="1:18" s="61" customFormat="1" x14ac:dyDescent="0.25">
      <c r="A10044" s="358"/>
      <c r="B10044" s="361"/>
      <c r="C10044" s="194">
        <v>211</v>
      </c>
      <c r="D10044" s="194" t="s">
        <v>86</v>
      </c>
      <c r="E10044" s="199" t="s">
        <v>95</v>
      </c>
      <c r="F10044" s="199" t="s">
        <v>95</v>
      </c>
      <c r="G10044" s="275">
        <f>MROUND(H10044*L10044*I10044/K10044,0.00000000001)</f>
        <v>0.46885263157999996</v>
      </c>
      <c r="H10044" s="201">
        <f>$H$2976</f>
        <v>49</v>
      </c>
      <c r="I10044" s="159">
        <f>школы!$K$28</f>
        <v>9.0899999999999995E-2</v>
      </c>
      <c r="J10044" s="159"/>
      <c r="K10044" s="161">
        <f>школы!$G$28</f>
        <v>114</v>
      </c>
      <c r="L10044" s="202">
        <v>12</v>
      </c>
      <c r="M10044" s="163" t="str">
        <f>CONCATENATE(H10044," ",F10044," ","в мес.","*",L10044,"мес.","*",I10044,"/",K10044,"чел/час")</f>
        <v>49 шт.ед в мес.*12мес.*0,0909/114чел/час</v>
      </c>
      <c r="N10044" s="278">
        <f>N9753</f>
        <v>17508.692159863946</v>
      </c>
      <c r="O10044" s="280">
        <f>MROUND(N10044*G10044,0.0000000001)</f>
        <v>8208.9963946763</v>
      </c>
      <c r="P10044" s="166"/>
      <c r="Q10044" s="166">
        <f t="shared" si="2920"/>
        <v>935825.58899309824</v>
      </c>
      <c r="R10044" s="71"/>
    </row>
    <row r="10045" spans="1:18" s="62" customFormat="1" x14ac:dyDescent="0.25">
      <c r="A10045" s="358"/>
      <c r="B10045" s="361"/>
      <c r="C10045" s="203" t="s">
        <v>288</v>
      </c>
      <c r="D10045" s="203"/>
      <c r="E10045" s="204"/>
      <c r="F10045" s="204"/>
      <c r="G10045" s="205"/>
      <c r="H10045" s="206"/>
      <c r="I10045" s="206"/>
      <c r="J10045" s="206"/>
      <c r="K10045" s="207"/>
      <c r="L10045" s="208"/>
      <c r="M10045" s="209"/>
      <c r="N10045" s="281"/>
      <c r="O10045" s="279">
        <f>O10044</f>
        <v>8208.9963946763</v>
      </c>
      <c r="P10045" s="267"/>
      <c r="Q10045" s="166"/>
      <c r="R10045" s="71"/>
    </row>
    <row r="10046" spans="1:18" s="61" customFormat="1" x14ac:dyDescent="0.25">
      <c r="A10046" s="358"/>
      <c r="B10046" s="361"/>
      <c r="C10046" s="194">
        <v>213</v>
      </c>
      <c r="D10046" s="194" t="s">
        <v>87</v>
      </c>
      <c r="E10046" s="194" t="s">
        <v>88</v>
      </c>
      <c r="F10046" s="194"/>
      <c r="G10046" s="211">
        <v>30.2</v>
      </c>
      <c r="H10046" s="159"/>
      <c r="I10046" s="159">
        <f>I10044</f>
        <v>9.0899999999999995E-2</v>
      </c>
      <c r="J10046" s="159"/>
      <c r="K10046" s="161">
        <f>K10044</f>
        <v>114</v>
      </c>
      <c r="L10046" s="202"/>
      <c r="M10046" s="212"/>
      <c r="N10046" s="278"/>
      <c r="O10046" s="280">
        <f>MROUND(O10044*0.302,0.00000001)</f>
        <v>2479.1169111899999</v>
      </c>
      <c r="P10046" s="166"/>
      <c r="Q10046" s="166">
        <f t="shared" ref="Q10046" si="2921">O10046*K10046</f>
        <v>282619.32787565998</v>
      </c>
      <c r="R10046" s="71"/>
    </row>
    <row r="10047" spans="1:18" s="62" customFormat="1" x14ac:dyDescent="0.25">
      <c r="A10047" s="358"/>
      <c r="B10047" s="361"/>
      <c r="C10047" s="203" t="s">
        <v>289</v>
      </c>
      <c r="D10047" s="203"/>
      <c r="E10047" s="203"/>
      <c r="F10047" s="203"/>
      <c r="G10047" s="213"/>
      <c r="H10047" s="214"/>
      <c r="I10047" s="206"/>
      <c r="J10047" s="214"/>
      <c r="K10047" s="207"/>
      <c r="L10047" s="215"/>
      <c r="M10047" s="216"/>
      <c r="N10047" s="281"/>
      <c r="O10047" s="279">
        <f>O10046</f>
        <v>2479.1169111899999</v>
      </c>
      <c r="P10047" s="267"/>
      <c r="Q10047" s="166"/>
      <c r="R10047" s="71"/>
    </row>
    <row r="10048" spans="1:18" s="61" customFormat="1" x14ac:dyDescent="0.25">
      <c r="A10048" s="358"/>
      <c r="B10048" s="361"/>
      <c r="C10048" s="194"/>
      <c r="D10048" s="356" t="s">
        <v>63</v>
      </c>
      <c r="E10048" s="356"/>
      <c r="F10048" s="356"/>
      <c r="G10048" s="356"/>
      <c r="H10048" s="195"/>
      <c r="I10048" s="159"/>
      <c r="J10048" s="195"/>
      <c r="K10048" s="161"/>
      <c r="L10048" s="196"/>
      <c r="M10048" s="197"/>
      <c r="N10048" s="278"/>
      <c r="O10048" s="279">
        <f>O10049</f>
        <v>143.200669</v>
      </c>
      <c r="P10048" s="166"/>
      <c r="Q10048" s="166">
        <f t="shared" ref="Q10048:Q10049" si="2922">O10048*K10048</f>
        <v>0</v>
      </c>
      <c r="R10048" s="71"/>
    </row>
    <row r="10049" spans="1:18" s="61" customFormat="1" x14ac:dyDescent="0.25">
      <c r="A10049" s="358"/>
      <c r="B10049" s="361"/>
      <c r="C10049" s="194">
        <v>346</v>
      </c>
      <c r="D10049" s="194" t="s">
        <v>259</v>
      </c>
      <c r="E10049" s="194" t="s">
        <v>260</v>
      </c>
      <c r="F10049" s="194" t="s">
        <v>261</v>
      </c>
      <c r="G10049" s="238">
        <f>MROUND(H10049*L10049*I10049/K10049,0.000001)</f>
        <v>0.195355</v>
      </c>
      <c r="H10049" s="283">
        <f>H9758</f>
        <v>245</v>
      </c>
      <c r="I10049" s="159">
        <f>I10046</f>
        <v>9.0899999999999995E-2</v>
      </c>
      <c r="J10049" s="195"/>
      <c r="K10049" s="161">
        <f>K10046</f>
        <v>114</v>
      </c>
      <c r="L10049" s="196">
        <v>1</v>
      </c>
      <c r="M10049" s="163" t="str">
        <f>CONCATENATE(H10049," ",F10049,"*",I10049,"/",K10049,"чел/час")</f>
        <v>245 упаковок*0,0909/114чел/час</v>
      </c>
      <c r="N10049" s="278">
        <f>N9758</f>
        <v>733.02791836734696</v>
      </c>
      <c r="O10049" s="280">
        <f>MROUND(N10049*G10049,0.000001)</f>
        <v>143.200669</v>
      </c>
      <c r="P10049" s="166"/>
      <c r="Q10049" s="166">
        <f t="shared" si="2922"/>
        <v>16324.876266000001</v>
      </c>
      <c r="R10049" s="71"/>
    </row>
    <row r="10050" spans="1:18" s="62" customFormat="1" x14ac:dyDescent="0.25">
      <c r="A10050" s="358"/>
      <c r="B10050" s="361"/>
      <c r="C10050" s="203" t="s">
        <v>301</v>
      </c>
      <c r="D10050" s="203"/>
      <c r="E10050" s="203"/>
      <c r="F10050" s="203"/>
      <c r="G10050" s="227"/>
      <c r="H10050" s="214"/>
      <c r="I10050" s="206"/>
      <c r="J10050" s="214"/>
      <c r="K10050" s="207"/>
      <c r="L10050" s="215"/>
      <c r="M10050" s="209"/>
      <c r="N10050" s="281"/>
      <c r="O10050" s="279">
        <f>O10049</f>
        <v>143.200669</v>
      </c>
      <c r="P10050" s="267"/>
      <c r="Q10050" s="166"/>
      <c r="R10050" s="71"/>
    </row>
    <row r="10051" spans="1:18" s="61" customFormat="1" x14ac:dyDescent="0.25">
      <c r="A10051" s="358"/>
      <c r="B10051" s="361"/>
      <c r="C10051" s="194"/>
      <c r="D10051" s="350" t="s">
        <v>64</v>
      </c>
      <c r="E10051" s="350"/>
      <c r="F10051" s="350"/>
      <c r="G10051" s="350"/>
      <c r="H10051" s="195"/>
      <c r="I10051" s="159"/>
      <c r="J10051" s="195"/>
      <c r="K10051" s="161"/>
      <c r="L10051" s="196"/>
      <c r="M10051" s="197"/>
      <c r="N10051" s="278"/>
      <c r="O10051" s="280"/>
      <c r="P10051" s="166"/>
      <c r="Q10051" s="166">
        <f t="shared" ref="Q10051:Q10056" si="2923">O10051*K10051</f>
        <v>0</v>
      </c>
      <c r="R10051" s="71"/>
    </row>
    <row r="10052" spans="1:18" s="61" customFormat="1" x14ac:dyDescent="0.25">
      <c r="A10052" s="358"/>
      <c r="B10052" s="361"/>
      <c r="C10052" s="194"/>
      <c r="D10052" s="194"/>
      <c r="E10052" s="194"/>
      <c r="F10052" s="194"/>
      <c r="G10052" s="217"/>
      <c r="H10052" s="195"/>
      <c r="I10052" s="159"/>
      <c r="J10052" s="195"/>
      <c r="K10052" s="161"/>
      <c r="L10052" s="196"/>
      <c r="M10052" s="197"/>
      <c r="N10052" s="278"/>
      <c r="O10052" s="280"/>
      <c r="P10052" s="166"/>
      <c r="Q10052" s="166">
        <f t="shared" si="2923"/>
        <v>0</v>
      </c>
      <c r="R10052" s="71"/>
    </row>
    <row r="10053" spans="1:18" s="61" customFormat="1" x14ac:dyDescent="0.25">
      <c r="A10053" s="358"/>
      <c r="B10053" s="361"/>
      <c r="C10053" s="194"/>
      <c r="D10053" s="355" t="s">
        <v>5</v>
      </c>
      <c r="E10053" s="355"/>
      <c r="F10053" s="355"/>
      <c r="G10053" s="355"/>
      <c r="H10053" s="195"/>
      <c r="I10053" s="159"/>
      <c r="J10053" s="195"/>
      <c r="K10053" s="161"/>
      <c r="L10053" s="196"/>
      <c r="M10053" s="197"/>
      <c r="N10053" s="278"/>
      <c r="O10053" s="279">
        <f>O10054+O10063+O10074+O10076+O10087</f>
        <v>1729.8714500000001</v>
      </c>
      <c r="P10053" s="166"/>
      <c r="Q10053" s="166">
        <f t="shared" si="2923"/>
        <v>0</v>
      </c>
      <c r="R10053" s="71"/>
    </row>
    <row r="10054" spans="1:18" s="61" customFormat="1" x14ac:dyDescent="0.25">
      <c r="A10054" s="358"/>
      <c r="B10054" s="361"/>
      <c r="C10054" s="221" t="s">
        <v>70</v>
      </c>
      <c r="D10054" s="355" t="s">
        <v>6</v>
      </c>
      <c r="E10054" s="355"/>
      <c r="F10054" s="355"/>
      <c r="G10054" s="355"/>
      <c r="H10054" s="189"/>
      <c r="I10054" s="159"/>
      <c r="J10054" s="189"/>
      <c r="K10054" s="161"/>
      <c r="L10054" s="190"/>
      <c r="M10054" s="197"/>
      <c r="N10054" s="278"/>
      <c r="O10054" s="279">
        <f>O10055+O10056+O10057+O10058+O10059+O10060+O10061</f>
        <v>655.87414700000011</v>
      </c>
      <c r="P10054" s="166"/>
      <c r="Q10054" s="166">
        <f t="shared" si="2923"/>
        <v>0</v>
      </c>
      <c r="R10054" s="71"/>
    </row>
    <row r="10055" spans="1:18" s="61" customFormat="1" ht="31.5" x14ac:dyDescent="0.25">
      <c r="A10055" s="358"/>
      <c r="B10055" s="361"/>
      <c r="C10055" s="221" t="s">
        <v>72</v>
      </c>
      <c r="D10055" s="222" t="s">
        <v>7</v>
      </c>
      <c r="E10055" s="223" t="s">
        <v>8</v>
      </c>
      <c r="F10055" s="223" t="s">
        <v>8</v>
      </c>
      <c r="G10055" s="238">
        <f>MROUND(H10055*L10055*I10055/K10055,0.00000001)</f>
        <v>9.8636285499999996</v>
      </c>
      <c r="H10055" s="160">
        <f t="shared" ref="H10055:H10061" si="2924">H9764</f>
        <v>12370.227223490891</v>
      </c>
      <c r="I10055" s="159">
        <f>I10049</f>
        <v>9.0899999999999995E-2</v>
      </c>
      <c r="J10055" s="160"/>
      <c r="K10055" s="161">
        <f>K10049</f>
        <v>114</v>
      </c>
      <c r="L10055" s="250">
        <v>1</v>
      </c>
      <c r="M10055" s="163" t="str">
        <f>CONCATENATE(H10055," ",F10055,"(лимиты выделенные УЖКХ) ","*",I10055,"/",K10055,"чел/час")</f>
        <v>12370,2272234909 кВт час.(лимиты выделенные УЖКХ) *0,0909/114чел/час</v>
      </c>
      <c r="N10055" s="278">
        <f t="shared" ref="N10055:N10061" si="2925">N9764</f>
        <v>11.380655137252312</v>
      </c>
      <c r="O10055" s="280">
        <f t="shared" ref="O10055:O10061" si="2926">MROUND(N10055*G10055,0.000001)</f>
        <v>112.254555</v>
      </c>
      <c r="P10055" s="166"/>
      <c r="Q10055" s="166">
        <f t="shared" si="2923"/>
        <v>12797.019269999999</v>
      </c>
      <c r="R10055" s="71"/>
    </row>
    <row r="10056" spans="1:18" s="61" customFormat="1" ht="31.5" x14ac:dyDescent="0.25">
      <c r="A10056" s="358"/>
      <c r="B10056" s="361"/>
      <c r="C10056" s="221" t="s">
        <v>73</v>
      </c>
      <c r="D10056" s="222" t="s">
        <v>9</v>
      </c>
      <c r="E10056" s="223" t="s">
        <v>10</v>
      </c>
      <c r="F10056" s="223" t="s">
        <v>10</v>
      </c>
      <c r="G10056" s="238">
        <f>MROUND(H10056*L10056*I10056/K10056,0.00000001)</f>
        <v>0.13555263000000001</v>
      </c>
      <c r="H10056" s="160">
        <f t="shared" si="2924"/>
        <v>170</v>
      </c>
      <c r="I10056" s="159">
        <f t="shared" ref="I10056:I10061" si="2927">I10055</f>
        <v>9.0899999999999995E-2</v>
      </c>
      <c r="J10056" s="160"/>
      <c r="K10056" s="161">
        <f t="shared" ref="K10056:K10061" si="2928">K10055</f>
        <v>114</v>
      </c>
      <c r="L10056" s="250">
        <v>1</v>
      </c>
      <c r="M10056" s="163" t="str">
        <f>CONCATENATE(H10056," ",F10056,"(лимиты выделенные УЖКХ) ","*",I10056,"/",K10056,"чел/час")</f>
        <v>170 Гкал(лимиты выделенные УЖКХ) *0,0909/114чел/час</v>
      </c>
      <c r="N10056" s="278">
        <f t="shared" si="2925"/>
        <v>3095.3018235294112</v>
      </c>
      <c r="O10056" s="280">
        <f t="shared" si="2926"/>
        <v>419.576303</v>
      </c>
      <c r="P10056" s="166"/>
      <c r="Q10056" s="166">
        <f t="shared" si="2923"/>
        <v>47831.698541999998</v>
      </c>
      <c r="R10056" s="71"/>
    </row>
    <row r="10057" spans="1:18" s="61" customFormat="1" ht="31.5" x14ac:dyDescent="0.25">
      <c r="A10057" s="358"/>
      <c r="B10057" s="361"/>
      <c r="C10057" s="364" t="s">
        <v>74</v>
      </c>
      <c r="D10057" s="222" t="s">
        <v>12</v>
      </c>
      <c r="E10057" s="222" t="s">
        <v>11</v>
      </c>
      <c r="F10057" s="222" t="s">
        <v>11</v>
      </c>
      <c r="G10057" s="238">
        <f>MROUND(H10057*L10057*I10057/K10057,0.000001)</f>
        <v>0.282524</v>
      </c>
      <c r="H10057" s="224">
        <f t="shared" si="2924"/>
        <v>354.32</v>
      </c>
      <c r="I10057" s="159">
        <f t="shared" si="2927"/>
        <v>9.0899999999999995E-2</v>
      </c>
      <c r="J10057" s="160"/>
      <c r="K10057" s="161">
        <f t="shared" si="2928"/>
        <v>114</v>
      </c>
      <c r="L10057" s="250">
        <v>1</v>
      </c>
      <c r="M10057" s="163" t="str">
        <f>CONCATENATE(H10057," ",F10057,"(лимиты выделенные УЖКХ) ","*",I10057,"/",K10057,"чел/час")</f>
        <v>354,32 м3(лимиты выделенные УЖКХ) *0,0909/114чел/час</v>
      </c>
      <c r="N10057" s="278">
        <f t="shared" si="2925"/>
        <v>56.382747234138634</v>
      </c>
      <c r="O10057" s="280">
        <f t="shared" si="2926"/>
        <v>15.929478999999999</v>
      </c>
      <c r="P10057" s="166"/>
      <c r="Q10057" s="166">
        <f>O10057*K10057</f>
        <v>1815.9606059999999</v>
      </c>
      <c r="R10057" s="71"/>
    </row>
    <row r="10058" spans="1:18" s="61" customFormat="1" ht="47.25" x14ac:dyDescent="0.25">
      <c r="A10058" s="358"/>
      <c r="B10058" s="361"/>
      <c r="C10058" s="364"/>
      <c r="D10058" s="222" t="s">
        <v>17</v>
      </c>
      <c r="E10058" s="222" t="s">
        <v>11</v>
      </c>
      <c r="F10058" s="222" t="s">
        <v>11</v>
      </c>
      <c r="G10058" s="238">
        <f>MROUND(H10058*L10058*I10058/K10058,0.00000001)</f>
        <v>0.28252358</v>
      </c>
      <c r="H10058" s="160">
        <f t="shared" si="2924"/>
        <v>354.32</v>
      </c>
      <c r="I10058" s="159">
        <f t="shared" si="2927"/>
        <v>9.0899999999999995E-2</v>
      </c>
      <c r="J10058" s="160"/>
      <c r="K10058" s="161">
        <f t="shared" si="2928"/>
        <v>114</v>
      </c>
      <c r="L10058" s="162">
        <v>1</v>
      </c>
      <c r="M10058" s="163" t="str">
        <f>CONCATENATE(H10058," ",F10058,"(лимиты выделенные УЖКХ) ","*",I10058,"/",K10058,"чел/час")</f>
        <v>354,32 м3(лимиты выделенные УЖКХ) *0,0909/114чел/час</v>
      </c>
      <c r="N10058" s="164">
        <f t="shared" si="2925"/>
        <v>85.679537612054801</v>
      </c>
      <c r="O10058" s="280">
        <f t="shared" si="2926"/>
        <v>24.206489999999999</v>
      </c>
      <c r="P10058" s="166"/>
      <c r="Q10058" s="166">
        <f>O10058*K10058</f>
        <v>2759.5398599999999</v>
      </c>
      <c r="R10058" s="71"/>
    </row>
    <row r="10059" spans="1:18" s="61" customFormat="1" ht="31.5" x14ac:dyDescent="0.25">
      <c r="A10059" s="358"/>
      <c r="B10059" s="361"/>
      <c r="C10059" s="364"/>
      <c r="D10059" s="222" t="s">
        <v>13</v>
      </c>
      <c r="E10059" s="222" t="s">
        <v>11</v>
      </c>
      <c r="F10059" s="222" t="s">
        <v>11</v>
      </c>
      <c r="G10059" s="238">
        <f>MROUND(H10059*L10059*I10059/K10059,0.00000001)</f>
        <v>0.28252358</v>
      </c>
      <c r="H10059" s="160">
        <f t="shared" si="2924"/>
        <v>354.32</v>
      </c>
      <c r="I10059" s="159">
        <f t="shared" si="2927"/>
        <v>9.0899999999999995E-2</v>
      </c>
      <c r="J10059" s="160"/>
      <c r="K10059" s="161">
        <f t="shared" si="2928"/>
        <v>114</v>
      </c>
      <c r="L10059" s="162">
        <v>1</v>
      </c>
      <c r="M10059" s="163" t="str">
        <f>CONCATENATE(H10059," ",F10059,"(лимиты выделенные УЖКХ) ","*",I10059,"/",K10059,"чел/час")</f>
        <v>354,32 м3(лимиты выделенные УЖКХ) *0,0909/114чел/час</v>
      </c>
      <c r="N10059" s="278">
        <f t="shared" si="2925"/>
        <v>104.6284466959154</v>
      </c>
      <c r="O10059" s="280">
        <f t="shared" si="2926"/>
        <v>29.560002999999998</v>
      </c>
      <c r="P10059" s="166"/>
      <c r="Q10059" s="166">
        <f>O10059*K10059</f>
        <v>3369.840342</v>
      </c>
      <c r="R10059" s="71"/>
    </row>
    <row r="10060" spans="1:18" s="61" customFormat="1" x14ac:dyDescent="0.25">
      <c r="A10060" s="358"/>
      <c r="B10060" s="361"/>
      <c r="C10060" s="364" t="s">
        <v>216</v>
      </c>
      <c r="D10060" s="222" t="s">
        <v>23</v>
      </c>
      <c r="E10060" s="222" t="s">
        <v>11</v>
      </c>
      <c r="F10060" s="222" t="s">
        <v>11</v>
      </c>
      <c r="G10060" s="238">
        <f>MROUND(H10060*L10060*I10060/K10060,0.00000001)</f>
        <v>5.0521259999999998E-2</v>
      </c>
      <c r="H10060" s="160">
        <f t="shared" si="2924"/>
        <v>63.36</v>
      </c>
      <c r="I10060" s="159">
        <f t="shared" si="2927"/>
        <v>9.0899999999999995E-2</v>
      </c>
      <c r="J10060" s="160"/>
      <c r="K10060" s="161">
        <f t="shared" si="2928"/>
        <v>114</v>
      </c>
      <c r="L10060" s="162">
        <v>1</v>
      </c>
      <c r="M10060" s="163" t="str">
        <f>CONCATENATE(H10060," ",F10060," ","*",I10060,"/",K10060,"чел/час")</f>
        <v>63,36 м3 *0,0909/114чел/час</v>
      </c>
      <c r="N10060" s="164">
        <f t="shared" si="2925"/>
        <v>714.74810606060612</v>
      </c>
      <c r="O10060" s="280">
        <f t="shared" si="2926"/>
        <v>36.109974999999999</v>
      </c>
      <c r="P10060" s="166"/>
      <c r="Q10060" s="166">
        <f>O10060*K10060</f>
        <v>4116.5371500000001</v>
      </c>
      <c r="R10060" s="71"/>
    </row>
    <row r="10061" spans="1:18" s="61" customFormat="1" ht="47.25" x14ac:dyDescent="0.25">
      <c r="A10061" s="358"/>
      <c r="B10061" s="361"/>
      <c r="C10061" s="364"/>
      <c r="D10061" s="222" t="s">
        <v>24</v>
      </c>
      <c r="E10061" s="222" t="s">
        <v>25</v>
      </c>
      <c r="F10061" s="222" t="s">
        <v>248</v>
      </c>
      <c r="G10061" s="238">
        <f>MROUND(H10061*L10061*I10061/K10061,0.00000001)</f>
        <v>3.1894700000000002E-3</v>
      </c>
      <c r="H10061" s="160">
        <f t="shared" si="2924"/>
        <v>4</v>
      </c>
      <c r="I10061" s="159">
        <f t="shared" si="2927"/>
        <v>9.0899999999999995E-2</v>
      </c>
      <c r="J10061" s="160"/>
      <c r="K10061" s="161">
        <f t="shared" si="2928"/>
        <v>114</v>
      </c>
      <c r="L10061" s="250">
        <v>1</v>
      </c>
      <c r="M10061" s="163" t="str">
        <f>CONCATENATE(H10061," ",F10061,"(потребность из расчета 4 контейнера для уборки территории весной и осенью на 1 учреждение)","*",I10061,"/",K10061,"чел/час")</f>
        <v>4 контейнеров(потребность из расчета 4 контейнера для уборки территории весной и осенью на 1 учреждение)*0,0909/114чел/час</v>
      </c>
      <c r="N10061" s="278">
        <f t="shared" si="2925"/>
        <v>5717.9849999999997</v>
      </c>
      <c r="O10061" s="280">
        <f t="shared" si="2926"/>
        <v>18.237341999999998</v>
      </c>
      <c r="P10061" s="166"/>
      <c r="Q10061" s="166">
        <f>O10061*K10061</f>
        <v>2079.0569879999998</v>
      </c>
      <c r="R10061" s="71"/>
    </row>
    <row r="10062" spans="1:18" s="62" customFormat="1" x14ac:dyDescent="0.25">
      <c r="A10062" s="358"/>
      <c r="B10062" s="361"/>
      <c r="C10062" s="218" t="s">
        <v>290</v>
      </c>
      <c r="D10062" s="226"/>
      <c r="E10062" s="226"/>
      <c r="F10062" s="226"/>
      <c r="G10062" s="227"/>
      <c r="H10062" s="228"/>
      <c r="I10062" s="206"/>
      <c r="J10062" s="228"/>
      <c r="K10062" s="207"/>
      <c r="L10062" s="257"/>
      <c r="M10062" s="209"/>
      <c r="N10062" s="281"/>
      <c r="O10062" s="279">
        <f>SUM(O10055:O10061)</f>
        <v>655.87414700000011</v>
      </c>
      <c r="P10062" s="267"/>
      <c r="Q10062" s="166"/>
      <c r="R10062" s="71"/>
    </row>
    <row r="10063" spans="1:18" s="61" customFormat="1" x14ac:dyDescent="0.25">
      <c r="A10063" s="358"/>
      <c r="B10063" s="361"/>
      <c r="C10063" s="221"/>
      <c r="D10063" s="356" t="s">
        <v>14</v>
      </c>
      <c r="E10063" s="356"/>
      <c r="F10063" s="356"/>
      <c r="G10063" s="356"/>
      <c r="H10063" s="188"/>
      <c r="I10063" s="159"/>
      <c r="J10063" s="188"/>
      <c r="K10063" s="161"/>
      <c r="L10063" s="250"/>
      <c r="M10063" s="230"/>
      <c r="N10063" s="278"/>
      <c r="O10063" s="279">
        <f>O10067+O10071+O10073</f>
        <v>0</v>
      </c>
      <c r="P10063" s="166"/>
      <c r="Q10063" s="166">
        <f t="shared" ref="Q10063:Q10066" si="2929">O10063*K10063</f>
        <v>0</v>
      </c>
      <c r="R10063" s="71"/>
    </row>
    <row r="10064" spans="1:18" s="61" customFormat="1" x14ac:dyDescent="0.25">
      <c r="A10064" s="358"/>
      <c r="B10064" s="361"/>
      <c r="C10064" s="365" t="s">
        <v>379</v>
      </c>
      <c r="D10064" s="231" t="s">
        <v>49</v>
      </c>
      <c r="E10064" s="231" t="s">
        <v>22</v>
      </c>
      <c r="F10064" s="231" t="s">
        <v>22</v>
      </c>
      <c r="G10064" s="238">
        <f>MROUND(H10064*L10064*I10064/K10064,0.000001)</f>
        <v>0</v>
      </c>
      <c r="H10064" s="160"/>
      <c r="I10064" s="159">
        <f>I10059</f>
        <v>9.0899999999999995E-2</v>
      </c>
      <c r="J10064" s="160"/>
      <c r="K10064" s="161">
        <f>K10059</f>
        <v>114</v>
      </c>
      <c r="L10064" s="250"/>
      <c r="M10064" s="163"/>
      <c r="N10064" s="278"/>
      <c r="O10064" s="280">
        <f>MROUND(N10064*G10064,0.000001)</f>
        <v>0</v>
      </c>
      <c r="P10064" s="166"/>
      <c r="Q10064" s="166">
        <f t="shared" si="2929"/>
        <v>0</v>
      </c>
      <c r="R10064" s="71"/>
    </row>
    <row r="10065" spans="1:18" s="61" customFormat="1" x14ac:dyDescent="0.25">
      <c r="A10065" s="358"/>
      <c r="B10065" s="361"/>
      <c r="C10065" s="366"/>
      <c r="D10065" s="231" t="s">
        <v>49</v>
      </c>
      <c r="E10065" s="231" t="s">
        <v>28</v>
      </c>
      <c r="F10065" s="231" t="s">
        <v>28</v>
      </c>
      <c r="G10065" s="238">
        <f>MROUND(H10065*L10065*I10065/K10065,0.00000001)</f>
        <v>0</v>
      </c>
      <c r="H10065" s="160"/>
      <c r="I10065" s="159">
        <f>I10059</f>
        <v>9.0899999999999995E-2</v>
      </c>
      <c r="J10065" s="160"/>
      <c r="K10065" s="161">
        <f>K10059</f>
        <v>114</v>
      </c>
      <c r="L10065" s="250">
        <v>1</v>
      </c>
      <c r="M10065" s="163"/>
      <c r="N10065" s="278"/>
      <c r="O10065" s="280">
        <f>MROUND(N10065*G10065,0.000001)</f>
        <v>0</v>
      </c>
      <c r="P10065" s="166"/>
      <c r="Q10065" s="166">
        <f t="shared" si="2929"/>
        <v>0</v>
      </c>
      <c r="R10065" s="71"/>
    </row>
    <row r="10066" spans="1:18" s="61" customFormat="1" x14ac:dyDescent="0.25">
      <c r="A10066" s="358"/>
      <c r="B10066" s="361"/>
      <c r="C10066" s="367"/>
      <c r="D10066" s="231" t="s">
        <v>49</v>
      </c>
      <c r="E10066" s="231" t="s">
        <v>101</v>
      </c>
      <c r="F10066" s="231" t="s">
        <v>101</v>
      </c>
      <c r="G10066" s="238">
        <f>MROUND(H10066*L10066*I10066/K10066,0.00000001)</f>
        <v>0</v>
      </c>
      <c r="H10066" s="160"/>
      <c r="I10066" s="159">
        <f>I10064</f>
        <v>9.0899999999999995E-2</v>
      </c>
      <c r="J10066" s="160"/>
      <c r="K10066" s="161">
        <f>K10064</f>
        <v>114</v>
      </c>
      <c r="L10066" s="250">
        <v>1</v>
      </c>
      <c r="M10066" s="163"/>
      <c r="N10066" s="278"/>
      <c r="O10066" s="280">
        <f>MROUND(N10066*G10066,0.000001)</f>
        <v>0</v>
      </c>
      <c r="P10066" s="166"/>
      <c r="Q10066" s="166">
        <f t="shared" si="2929"/>
        <v>0</v>
      </c>
      <c r="R10066" s="71"/>
    </row>
    <row r="10067" spans="1:18" s="62" customFormat="1" x14ac:dyDescent="0.25">
      <c r="A10067" s="358"/>
      <c r="B10067" s="361"/>
      <c r="C10067" s="218" t="s">
        <v>380</v>
      </c>
      <c r="D10067" s="232"/>
      <c r="E10067" s="232"/>
      <c r="F10067" s="232"/>
      <c r="G10067" s="227"/>
      <c r="H10067" s="228"/>
      <c r="I10067" s="206"/>
      <c r="J10067" s="228"/>
      <c r="K10067" s="207"/>
      <c r="L10067" s="257"/>
      <c r="M10067" s="209"/>
      <c r="N10067" s="281"/>
      <c r="O10067" s="279">
        <f>O10064+O10066+O10065</f>
        <v>0</v>
      </c>
      <c r="P10067" s="267"/>
      <c r="Q10067" s="166"/>
      <c r="R10067" s="71"/>
    </row>
    <row r="10068" spans="1:18" s="61" customFormat="1" x14ac:dyDescent="0.25">
      <c r="A10068" s="358"/>
      <c r="B10068" s="361"/>
      <c r="C10068" s="365" t="s">
        <v>76</v>
      </c>
      <c r="D10068" s="231" t="s">
        <v>49</v>
      </c>
      <c r="E10068" s="231" t="s">
        <v>22</v>
      </c>
      <c r="F10068" s="231" t="s">
        <v>22</v>
      </c>
      <c r="G10068" s="238">
        <f>MROUND(H10068*L10068*I10068/K10068,0.000001)</f>
        <v>0</v>
      </c>
      <c r="H10068" s="160"/>
      <c r="I10068" s="159">
        <f>I10064</f>
        <v>9.0899999999999995E-2</v>
      </c>
      <c r="J10068" s="160"/>
      <c r="K10068" s="161">
        <f>K10064</f>
        <v>114</v>
      </c>
      <c r="L10068" s="250">
        <v>1</v>
      </c>
      <c r="M10068" s="163"/>
      <c r="N10068" s="278"/>
      <c r="O10068" s="280">
        <f>MROUND(N10068*G10068,0.000001)</f>
        <v>0</v>
      </c>
      <c r="P10068" s="166"/>
      <c r="Q10068" s="166">
        <f t="shared" ref="Q10068" si="2930">O10068*K10068</f>
        <v>0</v>
      </c>
      <c r="R10068" s="71"/>
    </row>
    <row r="10069" spans="1:18" s="61" customFormat="1" x14ac:dyDescent="0.25">
      <c r="A10069" s="358"/>
      <c r="B10069" s="361"/>
      <c r="C10069" s="366"/>
      <c r="D10069" s="231" t="s">
        <v>49</v>
      </c>
      <c r="E10069" s="231" t="s">
        <v>28</v>
      </c>
      <c r="F10069" s="231" t="s">
        <v>28</v>
      </c>
      <c r="G10069" s="238">
        <f>MROUND(H10069*L10069*I10069/K10069,0.000001)</f>
        <v>0</v>
      </c>
      <c r="H10069" s="160"/>
      <c r="I10069" s="159">
        <f>I10064</f>
        <v>9.0899999999999995E-2</v>
      </c>
      <c r="J10069" s="160"/>
      <c r="K10069" s="161">
        <f>K10064</f>
        <v>114</v>
      </c>
      <c r="L10069" s="250">
        <v>1</v>
      </c>
      <c r="M10069" s="163"/>
      <c r="N10069" s="278"/>
      <c r="O10069" s="280">
        <f>MROUND(N10069*G10069,0.000001)</f>
        <v>0</v>
      </c>
      <c r="P10069" s="166"/>
      <c r="Q10069" s="166">
        <f>O10069*K10069</f>
        <v>0</v>
      </c>
      <c r="R10069" s="71"/>
    </row>
    <row r="10070" spans="1:18" s="61" customFormat="1" x14ac:dyDescent="0.25">
      <c r="A10070" s="358"/>
      <c r="B10070" s="361"/>
      <c r="C10070" s="367"/>
      <c r="D10070" s="231" t="s">
        <v>49</v>
      </c>
      <c r="E10070" s="231" t="s">
        <v>101</v>
      </c>
      <c r="F10070" s="231" t="s">
        <v>101</v>
      </c>
      <c r="G10070" s="238">
        <f>MROUND(H10070*L10070*I10070/K10070,0.000001)</f>
        <v>0</v>
      </c>
      <c r="H10070" s="160"/>
      <c r="I10070" s="159">
        <f>I10065</f>
        <v>9.0899999999999995E-2</v>
      </c>
      <c r="J10070" s="160"/>
      <c r="K10070" s="161">
        <f>K10065</f>
        <v>114</v>
      </c>
      <c r="L10070" s="250">
        <v>1</v>
      </c>
      <c r="M10070" s="163"/>
      <c r="N10070" s="278"/>
      <c r="O10070" s="280">
        <f>MROUND(N10070*G10070,0.000001)</f>
        <v>0</v>
      </c>
      <c r="P10070" s="166"/>
      <c r="Q10070" s="166">
        <f t="shared" ref="Q10070" si="2931">O10070*K10070</f>
        <v>0</v>
      </c>
      <c r="R10070" s="71"/>
    </row>
    <row r="10071" spans="1:18" s="62" customFormat="1" x14ac:dyDescent="0.25">
      <c r="A10071" s="358"/>
      <c r="B10071" s="361"/>
      <c r="C10071" s="218" t="s">
        <v>291</v>
      </c>
      <c r="D10071" s="232"/>
      <c r="E10071" s="232"/>
      <c r="F10071" s="232"/>
      <c r="G10071" s="227"/>
      <c r="H10071" s="228"/>
      <c r="I10071" s="206"/>
      <c r="J10071" s="228"/>
      <c r="K10071" s="207"/>
      <c r="L10071" s="257"/>
      <c r="M10071" s="209"/>
      <c r="N10071" s="281"/>
      <c r="O10071" s="279">
        <f>O10068+O10070</f>
        <v>0</v>
      </c>
      <c r="P10071" s="267"/>
      <c r="Q10071" s="166"/>
      <c r="R10071" s="71"/>
    </row>
    <row r="10072" spans="1:18" s="61" customFormat="1" x14ac:dyDescent="0.25">
      <c r="A10072" s="358"/>
      <c r="B10072" s="361"/>
      <c r="C10072" s="221" t="s">
        <v>77</v>
      </c>
      <c r="D10072" s="231"/>
      <c r="E10072" s="231"/>
      <c r="F10072" s="231"/>
      <c r="G10072" s="238">
        <f>MROUND(H10072*L10072*I10072/K10072,0.000001)</f>
        <v>0</v>
      </c>
      <c r="H10072" s="160"/>
      <c r="I10072" s="159">
        <f>I10068</f>
        <v>9.0899999999999995E-2</v>
      </c>
      <c r="J10072" s="160"/>
      <c r="K10072" s="161">
        <f>K10068</f>
        <v>114</v>
      </c>
      <c r="L10072" s="250"/>
      <c r="M10072" s="163"/>
      <c r="N10072" s="278"/>
      <c r="O10072" s="280">
        <f>MROUND(N10072*G10072,0.000001)</f>
        <v>0</v>
      </c>
      <c r="P10072" s="166"/>
      <c r="Q10072" s="166">
        <f t="shared" ref="Q10072" si="2932">O10072*K10072</f>
        <v>0</v>
      </c>
      <c r="R10072" s="71"/>
    </row>
    <row r="10073" spans="1:18" s="62" customFormat="1" x14ac:dyDescent="0.25">
      <c r="A10073" s="358"/>
      <c r="B10073" s="361"/>
      <c r="C10073" s="218" t="s">
        <v>292</v>
      </c>
      <c r="D10073" s="232"/>
      <c r="E10073" s="232"/>
      <c r="F10073" s="232"/>
      <c r="G10073" s="227"/>
      <c r="H10073" s="228"/>
      <c r="I10073" s="206"/>
      <c r="J10073" s="228"/>
      <c r="K10073" s="207"/>
      <c r="L10073" s="257"/>
      <c r="M10073" s="209"/>
      <c r="N10073" s="281"/>
      <c r="O10073" s="279">
        <f>O10072</f>
        <v>0</v>
      </c>
      <c r="P10073" s="267"/>
      <c r="Q10073" s="166"/>
      <c r="R10073" s="71"/>
    </row>
    <row r="10074" spans="1:18" s="61" customFormat="1" x14ac:dyDescent="0.25">
      <c r="A10074" s="358"/>
      <c r="B10074" s="361"/>
      <c r="C10074" s="221"/>
      <c r="D10074" s="350" t="s">
        <v>65</v>
      </c>
      <c r="E10074" s="350"/>
      <c r="F10074" s="350"/>
      <c r="G10074" s="350"/>
      <c r="H10074" s="195"/>
      <c r="I10074" s="159"/>
      <c r="J10074" s="195"/>
      <c r="K10074" s="161"/>
      <c r="L10074" s="196"/>
      <c r="M10074" s="230"/>
      <c r="N10074" s="278"/>
      <c r="O10074" s="280"/>
      <c r="P10074" s="166"/>
      <c r="Q10074" s="166">
        <f t="shared" ref="Q10074:Q10081" si="2933">O10074*K10074</f>
        <v>0</v>
      </c>
      <c r="R10074" s="71"/>
    </row>
    <row r="10075" spans="1:18" s="61" customFormat="1" x14ac:dyDescent="0.25">
      <c r="A10075" s="358"/>
      <c r="B10075" s="361"/>
      <c r="C10075" s="221"/>
      <c r="D10075" s="194"/>
      <c r="E10075" s="194"/>
      <c r="F10075" s="194"/>
      <c r="G10075" s="217"/>
      <c r="H10075" s="195"/>
      <c r="I10075" s="159"/>
      <c r="J10075" s="195"/>
      <c r="K10075" s="161"/>
      <c r="L10075" s="196"/>
      <c r="M10075" s="230"/>
      <c r="N10075" s="278"/>
      <c r="O10075" s="280"/>
      <c r="P10075" s="166"/>
      <c r="Q10075" s="166">
        <f t="shared" si="2933"/>
        <v>0</v>
      </c>
      <c r="R10075" s="71"/>
    </row>
    <row r="10076" spans="1:18" s="61" customFormat="1" x14ac:dyDescent="0.25">
      <c r="A10076" s="358"/>
      <c r="B10076" s="361"/>
      <c r="C10076" s="221" t="s">
        <v>357</v>
      </c>
      <c r="D10076" s="368" t="s">
        <v>66</v>
      </c>
      <c r="E10076" s="368"/>
      <c r="F10076" s="368"/>
      <c r="G10076" s="368"/>
      <c r="H10076" s="195"/>
      <c r="I10076" s="159"/>
      <c r="J10076" s="195"/>
      <c r="K10076" s="161"/>
      <c r="L10076" s="196"/>
      <c r="M10076" s="230"/>
      <c r="N10076" s="278"/>
      <c r="O10076" s="279">
        <f>SUM(O10077:O10081)</f>
        <v>144.743368</v>
      </c>
      <c r="P10076" s="166"/>
      <c r="Q10076" s="166">
        <f t="shared" si="2933"/>
        <v>0</v>
      </c>
      <c r="R10076" s="71"/>
    </row>
    <row r="10077" spans="1:18" s="61" customFormat="1" x14ac:dyDescent="0.25">
      <c r="A10077" s="358"/>
      <c r="B10077" s="361"/>
      <c r="C10077" s="365"/>
      <c r="D10077" s="284" t="s">
        <v>241</v>
      </c>
      <c r="E10077" s="156" t="s">
        <v>28</v>
      </c>
      <c r="F10077" s="156" t="s">
        <v>28</v>
      </c>
      <c r="G10077" s="238">
        <f>MROUND(H10077*L10077*I10077/K10077,0.000000001)</f>
        <v>4.7842105000000003E-2</v>
      </c>
      <c r="H10077" s="158">
        <f>H9786</f>
        <v>5</v>
      </c>
      <c r="I10077" s="159">
        <f>I10068</f>
        <v>9.0899999999999995E-2</v>
      </c>
      <c r="J10077" s="160"/>
      <c r="K10077" s="161">
        <f>K10068</f>
        <v>114</v>
      </c>
      <c r="L10077" s="250">
        <v>12</v>
      </c>
      <c r="M10077" s="163" t="str">
        <f>CONCATENATE(H10077," ",F10077,"*",L10077,"мес.","*",I10077,"/",K10077,"чел/час")</f>
        <v>5 шт*12мес.*0,0909/114чел/час</v>
      </c>
      <c r="N10077" s="278">
        <f>N9786</f>
        <v>303.07650000000001</v>
      </c>
      <c r="O10077" s="280">
        <f>MROUND(N10077*G10077,0.000001)</f>
        <v>14.499817999999999</v>
      </c>
      <c r="P10077" s="166"/>
      <c r="Q10077" s="166">
        <f t="shared" si="2933"/>
        <v>1652.9792519999999</v>
      </c>
      <c r="R10077" s="71"/>
    </row>
    <row r="10078" spans="1:18" s="61" customFormat="1" x14ac:dyDescent="0.25">
      <c r="A10078" s="358"/>
      <c r="B10078" s="361"/>
      <c r="C10078" s="366"/>
      <c r="D10078" s="284" t="s">
        <v>242</v>
      </c>
      <c r="E10078" s="156" t="s">
        <v>243</v>
      </c>
      <c r="F10078" s="156" t="s">
        <v>243</v>
      </c>
      <c r="G10078" s="238">
        <f>MROUND(H10078*L10078*I10078/K10078,0.00000001)</f>
        <v>67.285136840000007</v>
      </c>
      <c r="H10078" s="158">
        <v>7032</v>
      </c>
      <c r="I10078" s="159">
        <f>I10077</f>
        <v>9.0899999999999995E-2</v>
      </c>
      <c r="J10078" s="160"/>
      <c r="K10078" s="161">
        <f>K10077</f>
        <v>114</v>
      </c>
      <c r="L10078" s="250">
        <v>12</v>
      </c>
      <c r="M10078" s="163" t="str">
        <f>CONCATENATE(H10078," ",F10078,"*",L10078,"мес.","*",I10078,"/",K10078,"чел/час")</f>
        <v>7032 мин.*12мес.*0,0909/114чел/час</v>
      </c>
      <c r="N10078" s="278">
        <f>N9787</f>
        <v>0.85373684584755394</v>
      </c>
      <c r="O10078" s="280">
        <f>MROUND(N10078*G10078,0.000001)</f>
        <v>57.443799999999996</v>
      </c>
      <c r="P10078" s="166"/>
      <c r="Q10078" s="166">
        <f t="shared" si="2933"/>
        <v>6548.5931999999993</v>
      </c>
      <c r="R10078" s="71"/>
    </row>
    <row r="10079" spans="1:18" s="61" customFormat="1" ht="31.5" x14ac:dyDescent="0.25">
      <c r="A10079" s="358"/>
      <c r="B10079" s="361"/>
      <c r="C10079" s="366"/>
      <c r="D10079" s="285" t="s">
        <v>244</v>
      </c>
      <c r="E10079" s="286" t="s">
        <v>245</v>
      </c>
      <c r="F10079" s="286" t="s">
        <v>247</v>
      </c>
      <c r="G10079" s="238">
        <f>MROUND(H10079*L10079*I10079/K10079,0.000001)</f>
        <v>9.5680000000000001E-3</v>
      </c>
      <c r="H10079" s="158">
        <v>1</v>
      </c>
      <c r="I10079" s="159">
        <f>I10078</f>
        <v>9.0899999999999995E-2</v>
      </c>
      <c r="J10079" s="160"/>
      <c r="K10079" s="161">
        <f>K10078</f>
        <v>114</v>
      </c>
      <c r="L10079" s="250">
        <v>12</v>
      </c>
      <c r="M10079" s="163" t="str">
        <f>CONCATENATE(H10079," ",F10079,"*",L10079,"мес.","*",I10079,"/",K10079,"чел/час")</f>
        <v>1 радиоточек*12мес.*0,0909/114чел/час</v>
      </c>
      <c r="N10079" s="278">
        <f>N9788</f>
        <v>180.23333333333335</v>
      </c>
      <c r="O10079" s="280">
        <f>MROUND(N10079*G10079,0.000001)</f>
        <v>1.7244729999999999</v>
      </c>
      <c r="P10079" s="166"/>
      <c r="Q10079" s="166">
        <f t="shared" si="2933"/>
        <v>196.589922</v>
      </c>
      <c r="R10079" s="71"/>
    </row>
    <row r="10080" spans="1:18" s="61" customFormat="1" ht="47.25" x14ac:dyDescent="0.25">
      <c r="A10080" s="358"/>
      <c r="B10080" s="361"/>
      <c r="C10080" s="366"/>
      <c r="D10080" s="285" t="s">
        <v>374</v>
      </c>
      <c r="E10080" s="156" t="s">
        <v>28</v>
      </c>
      <c r="F10080" s="156" t="s">
        <v>28</v>
      </c>
      <c r="G10080" s="238">
        <f>MROUND(H10080*L10080*I10080/K10080,0.000001)</f>
        <v>1.9136999999999998E-2</v>
      </c>
      <c r="H10080" s="158">
        <f>H9789</f>
        <v>6</v>
      </c>
      <c r="I10080" s="159">
        <f>I10078</f>
        <v>9.0899999999999995E-2</v>
      </c>
      <c r="J10080" s="160"/>
      <c r="K10080" s="161">
        <f>K10078</f>
        <v>114</v>
      </c>
      <c r="L10080" s="250">
        <f>L9789</f>
        <v>4</v>
      </c>
      <c r="M10080" s="163" t="str">
        <f>CONCATENATE(H10080," ",F10080,"*",L10080,"мес.","*",I10080,"/",K10080,"чел/час")</f>
        <v>6 шт*4мес.*0,0909/114чел/час</v>
      </c>
      <c r="N10080" s="278">
        <f>N9789</f>
        <v>1366.3704166666666</v>
      </c>
      <c r="O10080" s="280">
        <f>MROUND(N10080*G10080,0.000001)</f>
        <v>26.148230999999999</v>
      </c>
      <c r="P10080" s="166"/>
      <c r="Q10080" s="166">
        <f t="shared" si="2933"/>
        <v>2980.898334</v>
      </c>
      <c r="R10080" s="71"/>
    </row>
    <row r="10081" spans="1:41" s="61" customFormat="1" x14ac:dyDescent="0.25">
      <c r="A10081" s="358"/>
      <c r="B10081" s="361"/>
      <c r="C10081" s="367"/>
      <c r="D10081" s="284" t="s">
        <v>246</v>
      </c>
      <c r="E10081" s="156" t="s">
        <v>28</v>
      </c>
      <c r="F10081" s="156" t="s">
        <v>28</v>
      </c>
      <c r="G10081" s="238">
        <f>MROUND(H10081*L10081*I10081/K10081,0.000001)</f>
        <v>9.5680000000000001E-3</v>
      </c>
      <c r="H10081" s="158">
        <v>1</v>
      </c>
      <c r="I10081" s="159">
        <f>I10079</f>
        <v>9.0899999999999995E-2</v>
      </c>
      <c r="J10081" s="160"/>
      <c r="K10081" s="161">
        <f>K10079</f>
        <v>114</v>
      </c>
      <c r="L10081" s="250">
        <v>12</v>
      </c>
      <c r="M10081" s="163" t="str">
        <f>CONCATENATE(H10081," ",F10081,"*",L10081,"мес.","*",I10081,"/",K10081,"чел/час")</f>
        <v>1 шт*12мес.*0,0909/114чел/час</v>
      </c>
      <c r="N10081" s="278">
        <f>N9790</f>
        <v>4695.5525000000007</v>
      </c>
      <c r="O10081" s="280">
        <f>MROUND(N10081*G10081,0.000001)</f>
        <v>44.927045999999997</v>
      </c>
      <c r="P10081" s="166"/>
      <c r="Q10081" s="166">
        <f t="shared" si="2933"/>
        <v>5121.6832439999998</v>
      </c>
      <c r="R10081" s="71"/>
    </row>
    <row r="10082" spans="1:41" s="62" customFormat="1" x14ac:dyDescent="0.25">
      <c r="A10082" s="358"/>
      <c r="B10082" s="361"/>
      <c r="C10082" s="218" t="s">
        <v>358</v>
      </c>
      <c r="D10082" s="287"/>
      <c r="E10082" s="287"/>
      <c r="F10082" s="287"/>
      <c r="G10082" s="288"/>
      <c r="H10082" s="214"/>
      <c r="I10082" s="206"/>
      <c r="J10082" s="214"/>
      <c r="K10082" s="207"/>
      <c r="L10082" s="215"/>
      <c r="M10082" s="289"/>
      <c r="N10082" s="281"/>
      <c r="O10082" s="279">
        <f>O10076</f>
        <v>144.743368</v>
      </c>
      <c r="P10082" s="267"/>
      <c r="Q10082" s="166"/>
      <c r="R10082" s="71"/>
    </row>
    <row r="10083" spans="1:41" s="61" customFormat="1" x14ac:dyDescent="0.25">
      <c r="A10083" s="358"/>
      <c r="B10083" s="361"/>
      <c r="C10083" s="221"/>
      <c r="D10083" s="368" t="s">
        <v>67</v>
      </c>
      <c r="E10083" s="368"/>
      <c r="F10083" s="368"/>
      <c r="G10083" s="368"/>
      <c r="H10083" s="195"/>
      <c r="I10083" s="159">
        <f>I10077</f>
        <v>9.0899999999999995E-2</v>
      </c>
      <c r="J10083" s="195"/>
      <c r="K10083" s="161">
        <f>K10077</f>
        <v>114</v>
      </c>
      <c r="L10083" s="196"/>
      <c r="M10083" s="230"/>
      <c r="N10083" s="278"/>
      <c r="O10083" s="280"/>
      <c r="P10083" s="166"/>
      <c r="Q10083" s="166">
        <f t="shared" ref="Q10083:Q10093" si="2934">O10083*K10083</f>
        <v>0</v>
      </c>
      <c r="R10083" s="71"/>
    </row>
    <row r="10084" spans="1:41" s="61" customFormat="1" x14ac:dyDescent="0.25">
      <c r="A10084" s="358"/>
      <c r="B10084" s="361"/>
      <c r="C10084" s="221"/>
      <c r="D10084" s="194"/>
      <c r="E10084" s="194"/>
      <c r="F10084" s="194"/>
      <c r="G10084" s="217"/>
      <c r="H10084" s="195"/>
      <c r="I10084" s="159"/>
      <c r="J10084" s="195"/>
      <c r="K10084" s="161"/>
      <c r="L10084" s="196"/>
      <c r="M10084" s="230"/>
      <c r="N10084" s="278"/>
      <c r="O10084" s="280"/>
      <c r="P10084" s="166"/>
      <c r="Q10084" s="166">
        <f t="shared" si="2934"/>
        <v>0</v>
      </c>
      <c r="R10084" s="71"/>
    </row>
    <row r="10085" spans="1:41" s="61" customFormat="1" x14ac:dyDescent="0.25">
      <c r="A10085" s="358"/>
      <c r="B10085" s="361"/>
      <c r="C10085" s="221"/>
      <c r="D10085" s="350" t="s">
        <v>68</v>
      </c>
      <c r="E10085" s="350"/>
      <c r="F10085" s="350"/>
      <c r="G10085" s="350"/>
      <c r="H10085" s="195"/>
      <c r="I10085" s="159"/>
      <c r="J10085" s="195"/>
      <c r="K10085" s="161"/>
      <c r="L10085" s="196"/>
      <c r="M10085" s="230"/>
      <c r="N10085" s="278"/>
      <c r="O10085" s="280"/>
      <c r="P10085" s="166"/>
      <c r="Q10085" s="166">
        <f t="shared" si="2934"/>
        <v>0</v>
      </c>
      <c r="R10085" s="71"/>
    </row>
    <row r="10086" spans="1:41" s="61" customFormat="1" x14ac:dyDescent="0.25">
      <c r="A10086" s="358"/>
      <c r="B10086" s="361"/>
      <c r="C10086" s="221"/>
      <c r="D10086" s="156"/>
      <c r="E10086" s="156"/>
      <c r="F10086" s="156"/>
      <c r="G10086" s="236"/>
      <c r="H10086" s="195"/>
      <c r="I10086" s="159"/>
      <c r="J10086" s="195"/>
      <c r="K10086" s="161"/>
      <c r="L10086" s="196"/>
      <c r="M10086" s="230"/>
      <c r="N10086" s="278"/>
      <c r="O10086" s="280"/>
      <c r="P10086" s="166"/>
      <c r="Q10086" s="166">
        <f t="shared" si="2934"/>
        <v>0</v>
      </c>
      <c r="R10086" s="71"/>
    </row>
    <row r="10087" spans="1:41" s="61" customFormat="1" x14ac:dyDescent="0.25">
      <c r="A10087" s="358"/>
      <c r="B10087" s="361"/>
      <c r="C10087" s="221"/>
      <c r="D10087" s="368" t="s">
        <v>69</v>
      </c>
      <c r="E10087" s="368"/>
      <c r="F10087" s="368"/>
      <c r="G10087" s="368"/>
      <c r="H10087" s="187"/>
      <c r="I10087" s="159"/>
      <c r="J10087" s="187"/>
      <c r="K10087" s="161"/>
      <c r="L10087" s="276"/>
      <c r="M10087" s="230"/>
      <c r="N10087" s="278"/>
      <c r="O10087" s="279">
        <f>O10094+O10101+O10105+O10123+O10125+O10127+O10133+O10135+O10138</f>
        <v>929.25393499999996</v>
      </c>
      <c r="P10087" s="166"/>
      <c r="Q10087" s="166">
        <f t="shared" si="2934"/>
        <v>0</v>
      </c>
      <c r="R10087" s="71"/>
    </row>
    <row r="10088" spans="1:41" s="61" customFormat="1" ht="31.5" x14ac:dyDescent="0.25">
      <c r="A10088" s="358"/>
      <c r="B10088" s="361"/>
      <c r="C10088" s="365" t="s">
        <v>78</v>
      </c>
      <c r="D10088" s="156" t="s">
        <v>26</v>
      </c>
      <c r="E10088" s="156" t="s">
        <v>22</v>
      </c>
      <c r="F10088" s="156" t="s">
        <v>22</v>
      </c>
      <c r="G10088" s="238">
        <f>MROUND(H10088*L10088*I10088/K10088,0.000000001)</f>
        <v>6.6978947370000004</v>
      </c>
      <c r="H10088" s="158">
        <f>H9797</f>
        <v>700</v>
      </c>
      <c r="I10088" s="159">
        <f>I10077</f>
        <v>9.0899999999999995E-2</v>
      </c>
      <c r="J10088" s="160"/>
      <c r="K10088" s="161">
        <f>K10077</f>
        <v>114</v>
      </c>
      <c r="L10088" s="250">
        <v>12</v>
      </c>
      <c r="M10088" s="163" t="str">
        <f>CONCATENATE(H10088," ",F10088,"(обрабатываемая площадь в мес.)","*",L10088,"мес.","*",I10088,"/",K10088,"чел/час")</f>
        <v>700 м2(обрабатываемая площадь в мес.)*12мес.*0,0909/114чел/час</v>
      </c>
      <c r="N10088" s="278">
        <f>N9797</f>
        <v>1.2568904761904764</v>
      </c>
      <c r="O10088" s="280">
        <f>MROUND(N10088*G10088,0.000001)</f>
        <v>8.4185199999999991</v>
      </c>
      <c r="P10088" s="166"/>
      <c r="Q10088" s="166">
        <f t="shared" si="2934"/>
        <v>959.71127999999987</v>
      </c>
      <c r="R10088" s="71"/>
    </row>
    <row r="10089" spans="1:41" s="61" customFormat="1" ht="31.5" x14ac:dyDescent="0.25">
      <c r="A10089" s="358"/>
      <c r="B10089" s="361"/>
      <c r="C10089" s="366"/>
      <c r="D10089" s="156" t="s">
        <v>96</v>
      </c>
      <c r="E10089" s="156" t="s">
        <v>22</v>
      </c>
      <c r="F10089" s="156" t="s">
        <v>22</v>
      </c>
      <c r="G10089" s="238">
        <f>MROUND(H10089*L10089*I10089/K10089,0.0000001)</f>
        <v>4.3057894999999995</v>
      </c>
      <c r="H10089" s="158">
        <f>H9798</f>
        <v>450</v>
      </c>
      <c r="I10089" s="159">
        <f t="shared" ref="I10089" si="2935">I10088</f>
        <v>9.0899999999999995E-2</v>
      </c>
      <c r="J10089" s="160"/>
      <c r="K10089" s="161">
        <f>K10088</f>
        <v>114</v>
      </c>
      <c r="L10089" s="250">
        <v>12</v>
      </c>
      <c r="M10089" s="163" t="str">
        <f>CONCATENATE(H10089," ",F10089,"(обрабатываемая площадь в мес.)","*",L10089,"мес.","*",I10089,"/",K10089,"чел/час")</f>
        <v>450 м2(обрабатываемая площадь в мес.)*12мес.*0,0909/114чел/час</v>
      </c>
      <c r="N10089" s="278">
        <f>N9798</f>
        <v>2.0157666666666665</v>
      </c>
      <c r="O10089" s="280">
        <f>MROUND(N10089*G10089,0.000001)</f>
        <v>8.6794669999999989</v>
      </c>
      <c r="P10089" s="166"/>
      <c r="Q10089" s="166">
        <f t="shared" si="2934"/>
        <v>989.45923799999991</v>
      </c>
      <c r="R10089" s="71"/>
    </row>
    <row r="10090" spans="1:41" s="135" customFormat="1" ht="31.5" x14ac:dyDescent="0.25">
      <c r="A10090" s="358"/>
      <c r="B10090" s="361"/>
      <c r="C10090" s="366"/>
      <c r="D10090" s="156" t="s">
        <v>385</v>
      </c>
      <c r="E10090" s="156" t="s">
        <v>22</v>
      </c>
      <c r="F10090" s="156" t="s">
        <v>22</v>
      </c>
      <c r="G10090" s="238">
        <f>MROUND(H10090*L10090*I10090/K10090,0.000001)</f>
        <v>13.395788999999999</v>
      </c>
      <c r="H10090" s="242">
        <f>$H$3022</f>
        <v>700</v>
      </c>
      <c r="I10090" s="244">
        <f>I10088</f>
        <v>9.0899999999999995E-2</v>
      </c>
      <c r="J10090" s="160"/>
      <c r="K10090" s="161">
        <f>K10088</f>
        <v>114</v>
      </c>
      <c r="L10090" s="162">
        <v>24</v>
      </c>
      <c r="M10090" s="163" t="str">
        <f>CONCATENATE(H10090," ",F10090,"(обрабатываемая площадь в год)","*",L10090," раза в год.","*",I10090,"/",K10090,"чел.")</f>
        <v>700 м2(обрабатываемая площадь в год)*24 раза в год.*0,0909/114чел.</v>
      </c>
      <c r="N10090" s="164">
        <f>$N$9799</f>
        <v>1.6007565476190475</v>
      </c>
      <c r="O10090" s="165">
        <f>MROUND(G10090*N10090,0.000001)</f>
        <v>21.443396999999997</v>
      </c>
      <c r="P10090" s="166"/>
      <c r="Q10090" s="166">
        <f t="shared" si="2934"/>
        <v>2444.5472579999996</v>
      </c>
      <c r="R10090" s="71"/>
      <c r="S10090" s="61"/>
      <c r="T10090" s="61"/>
      <c r="U10090" s="61"/>
      <c r="V10090" s="61"/>
      <c r="W10090" s="61"/>
      <c r="X10090" s="61"/>
      <c r="Y10090" s="61"/>
      <c r="Z10090" s="61"/>
      <c r="AA10090" s="61"/>
      <c r="AB10090" s="61"/>
      <c r="AC10090" s="61"/>
      <c r="AD10090" s="61"/>
      <c r="AE10090" s="61"/>
      <c r="AF10090" s="61"/>
      <c r="AG10090" s="61"/>
      <c r="AH10090" s="61"/>
      <c r="AI10090" s="61"/>
      <c r="AJ10090" s="61"/>
      <c r="AK10090" s="61"/>
      <c r="AL10090" s="61"/>
      <c r="AM10090" s="61"/>
      <c r="AN10090" s="61"/>
      <c r="AO10090" s="61"/>
    </row>
    <row r="10091" spans="1:41" s="135" customFormat="1" ht="31.5" x14ac:dyDescent="0.25">
      <c r="A10091" s="358"/>
      <c r="B10091" s="361"/>
      <c r="C10091" s="366"/>
      <c r="D10091" s="156" t="s">
        <v>394</v>
      </c>
      <c r="E10091" s="156" t="s">
        <v>22</v>
      </c>
      <c r="F10091" s="156" t="s">
        <v>22</v>
      </c>
      <c r="G10091" s="238">
        <f>MROUND(H10091*L10091*I10091/K10091,0.000001)</f>
        <v>4.3057889999999999</v>
      </c>
      <c r="H10091" s="243">
        <f>$H$3023</f>
        <v>450</v>
      </c>
      <c r="I10091" s="244">
        <f t="shared" ref="I10091:I10093" si="2936">I10089</f>
        <v>9.0899999999999995E-2</v>
      </c>
      <c r="J10091" s="160"/>
      <c r="K10091" s="161">
        <f>K10088</f>
        <v>114</v>
      </c>
      <c r="L10091" s="162">
        <v>12</v>
      </c>
      <c r="M10091" s="163" t="str">
        <f>CONCATENATE(H10091," ",F10091,"(обрабатываемая площадь в мес.)","*",L10091,"мес.","*",I10091,"/",K10091,"чел.")</f>
        <v>450 м2(обрабатываемая площадь в мес.)*12мес.*0,0909/114чел.</v>
      </c>
      <c r="N10091" s="164">
        <f>$N$9800</f>
        <v>0.92224629629629629</v>
      </c>
      <c r="O10091" s="165">
        <f>MROUND(G10091*N10091,0.000001)</f>
        <v>3.9709979999999998</v>
      </c>
      <c r="P10091" s="166"/>
      <c r="Q10091" s="166">
        <f t="shared" si="2934"/>
        <v>452.69377199999997</v>
      </c>
      <c r="R10091" s="71"/>
      <c r="S10091" s="61"/>
      <c r="T10091" s="61"/>
      <c r="U10091" s="61"/>
      <c r="V10091" s="61"/>
      <c r="W10091" s="61"/>
      <c r="X10091" s="61"/>
      <c r="Y10091" s="61"/>
      <c r="Z10091" s="61"/>
      <c r="AA10091" s="61"/>
      <c r="AB10091" s="61"/>
      <c r="AC10091" s="61"/>
      <c r="AD10091" s="61"/>
      <c r="AE10091" s="61"/>
      <c r="AF10091" s="61"/>
      <c r="AG10091" s="61"/>
      <c r="AH10091" s="61"/>
      <c r="AI10091" s="61"/>
      <c r="AJ10091" s="61"/>
      <c r="AK10091" s="61"/>
      <c r="AL10091" s="61"/>
      <c r="AM10091" s="61"/>
      <c r="AN10091" s="61"/>
      <c r="AO10091" s="61"/>
    </row>
    <row r="10092" spans="1:41" s="135" customFormat="1" ht="31.5" x14ac:dyDescent="0.25">
      <c r="A10092" s="358"/>
      <c r="B10092" s="361"/>
      <c r="C10092" s="366"/>
      <c r="D10092" s="156" t="s">
        <v>395</v>
      </c>
      <c r="E10092" s="156" t="s">
        <v>98</v>
      </c>
      <c r="F10092" s="156" t="s">
        <v>98</v>
      </c>
      <c r="G10092" s="238">
        <f>MROUND(H10092*L10092*I10092/K10092,0.000001)</f>
        <v>3.9899999999999999E-4</v>
      </c>
      <c r="H10092" s="242">
        <f>$H$3024</f>
        <v>0.5</v>
      </c>
      <c r="I10092" s="244">
        <f t="shared" si="2936"/>
        <v>9.0899999999999995E-2</v>
      </c>
      <c r="J10092" s="160"/>
      <c r="K10092" s="161">
        <f>K10088</f>
        <v>114</v>
      </c>
      <c r="L10092" s="162">
        <v>1</v>
      </c>
      <c r="M10092" s="163" t="str">
        <f>CONCATENATE(H10092," ",F10092,"(обрабатываемая площадь в год)","*",L10092," раз в год","*",I10092,"/",K10092,"чел.")</f>
        <v>0,5 Га(обрабатываемая площадь в год)*1 раз в год*0,0909/114чел.</v>
      </c>
      <c r="N10092" s="164">
        <f>$N$9801</f>
        <v>592.88</v>
      </c>
      <c r="O10092" s="165">
        <f>MROUND(G10092*N10092,0.000001)</f>
        <v>0.23655899999999999</v>
      </c>
      <c r="P10092" s="166"/>
      <c r="Q10092" s="166">
        <f t="shared" si="2934"/>
        <v>26.967725999999999</v>
      </c>
      <c r="R10092" s="71"/>
      <c r="S10092" s="61"/>
      <c r="T10092" s="61"/>
      <c r="U10092" s="61"/>
      <c r="V10092" s="61"/>
      <c r="W10092" s="61"/>
      <c r="X10092" s="61"/>
      <c r="Y10092" s="61"/>
      <c r="Z10092" s="61"/>
      <c r="AA10092" s="61"/>
      <c r="AB10092" s="61"/>
      <c r="AC10092" s="61"/>
      <c r="AD10092" s="61"/>
      <c r="AE10092" s="61"/>
      <c r="AF10092" s="61"/>
      <c r="AG10092" s="61"/>
      <c r="AH10092" s="61"/>
      <c r="AI10092" s="61"/>
      <c r="AJ10092" s="61"/>
      <c r="AK10092" s="61"/>
      <c r="AL10092" s="61"/>
      <c r="AM10092" s="61"/>
      <c r="AN10092" s="61"/>
      <c r="AO10092" s="61"/>
    </row>
    <row r="10093" spans="1:41" s="61" customFormat="1" ht="31.5" x14ac:dyDescent="0.25">
      <c r="A10093" s="358"/>
      <c r="B10093" s="361"/>
      <c r="C10093" s="367"/>
      <c r="D10093" s="156" t="s">
        <v>97</v>
      </c>
      <c r="E10093" s="156" t="s">
        <v>363</v>
      </c>
      <c r="F10093" s="156" t="s">
        <v>363</v>
      </c>
      <c r="G10093" s="238">
        <f>MROUND(H10093*L10093*I10093/K10093,0.0000001)</f>
        <v>3.9869999999999999E-4</v>
      </c>
      <c r="H10093" s="158">
        <f>H9802</f>
        <v>0.5</v>
      </c>
      <c r="I10093" s="244">
        <f t="shared" si="2936"/>
        <v>9.0899999999999995E-2</v>
      </c>
      <c r="J10093" s="160"/>
      <c r="K10093" s="161">
        <f>K10089</f>
        <v>114</v>
      </c>
      <c r="L10093" s="250">
        <v>1</v>
      </c>
      <c r="M10093" s="163" t="str">
        <f>CONCATENATE(H10093," ",F10093,"(обрабатываемая площадь в мес.)","*",L10093,"мес.","*",I10093,"/",K10093,"чел")</f>
        <v>0,5 га(обрабатываемая площадь в мес.)*1мес.*0,0909/114чел</v>
      </c>
      <c r="N10093" s="278">
        <f>N9802</f>
        <v>3226.5</v>
      </c>
      <c r="O10093" s="280">
        <f>MROUND(N10093*G10093,0.000001)</f>
        <v>1.2864059999999999</v>
      </c>
      <c r="P10093" s="166"/>
      <c r="Q10093" s="166">
        <f t="shared" si="2934"/>
        <v>146.650284</v>
      </c>
      <c r="R10093" s="71"/>
    </row>
    <row r="10094" spans="1:41" s="62" customFormat="1" x14ac:dyDescent="0.25">
      <c r="A10094" s="358"/>
      <c r="B10094" s="361"/>
      <c r="C10094" s="218" t="s">
        <v>294</v>
      </c>
      <c r="D10094" s="240"/>
      <c r="E10094" s="240"/>
      <c r="F10094" s="240"/>
      <c r="G10094" s="227"/>
      <c r="H10094" s="241"/>
      <c r="I10094" s="206"/>
      <c r="J10094" s="228"/>
      <c r="K10094" s="207"/>
      <c r="L10094" s="257"/>
      <c r="M10094" s="209"/>
      <c r="N10094" s="281"/>
      <c r="O10094" s="279">
        <f>SUM(O10088:O10093)</f>
        <v>44.035346999999994</v>
      </c>
      <c r="P10094" s="267"/>
      <c r="Q10094" s="166"/>
      <c r="R10094" s="71"/>
    </row>
    <row r="10095" spans="1:41" s="61" customFormat="1" ht="78.75" x14ac:dyDescent="0.25">
      <c r="A10095" s="358"/>
      <c r="B10095" s="361"/>
      <c r="C10095" s="366"/>
      <c r="D10095" s="156" t="s">
        <v>250</v>
      </c>
      <c r="E10095" s="156" t="s">
        <v>251</v>
      </c>
      <c r="F10095" s="156" t="s">
        <v>60</v>
      </c>
      <c r="G10095" s="238">
        <f>MROUND(H10095*L10095*I10095/K10095,0.00000001)</f>
        <v>9.5684199999999994E-3</v>
      </c>
      <c r="H10095" s="158">
        <v>1</v>
      </c>
      <c r="I10095" s="159">
        <f>I10093</f>
        <v>9.0899999999999995E-2</v>
      </c>
      <c r="J10095" s="160"/>
      <c r="K10095" s="161">
        <f>K10093</f>
        <v>114</v>
      </c>
      <c r="L10095" s="250">
        <v>12</v>
      </c>
      <c r="M10095" s="163" t="str">
        <f>CONCATENATE(H10095," ",F10095,"*",I10095,"/",K10095,"чел/час")</f>
        <v>1 шт.*0,0909/114чел/час</v>
      </c>
      <c r="N10095" s="278">
        <f t="shared" ref="N10095:N10100" si="2937">N9804</f>
        <v>392.98166666666663</v>
      </c>
      <c r="O10095" s="280">
        <f t="shared" ref="O10095:O10097" si="2938">MROUND(N10095*G10095,0.000001)</f>
        <v>3.7602139999999999</v>
      </c>
      <c r="P10095" s="166"/>
      <c r="Q10095" s="166">
        <f t="shared" ref="Q10095:Q10100" si="2939">O10095*K10095</f>
        <v>428.66439600000001</v>
      </c>
      <c r="R10095" s="71"/>
    </row>
    <row r="10096" spans="1:41" s="61" customFormat="1" ht="47.25" x14ac:dyDescent="0.25">
      <c r="A10096" s="358"/>
      <c r="B10096" s="361"/>
      <c r="C10096" s="366"/>
      <c r="D10096" s="156" t="s">
        <v>401</v>
      </c>
      <c r="E10096" s="156" t="s">
        <v>60</v>
      </c>
      <c r="F10096" s="156" t="s">
        <v>402</v>
      </c>
      <c r="G10096" s="238">
        <f t="shared" ref="G10096" si="2940">MROUND(H10096*L10096*I10096/K10096,0.000001)</f>
        <v>0</v>
      </c>
      <c r="H10096" s="158"/>
      <c r="I10096" s="159">
        <f>I10095</f>
        <v>9.0899999999999995E-2</v>
      </c>
      <c r="J10096" s="160"/>
      <c r="K10096" s="161">
        <f>K10095</f>
        <v>114</v>
      </c>
      <c r="L10096" s="250">
        <v>1</v>
      </c>
      <c r="M10096" s="163"/>
      <c r="N10096" s="278"/>
      <c r="O10096" s="280">
        <f t="shared" si="2938"/>
        <v>0</v>
      </c>
      <c r="P10096" s="166"/>
      <c r="Q10096" s="166">
        <f t="shared" si="2939"/>
        <v>0</v>
      </c>
      <c r="R10096" s="71"/>
    </row>
    <row r="10097" spans="1:18" s="61" customFormat="1" ht="31.5" x14ac:dyDescent="0.25">
      <c r="A10097" s="358"/>
      <c r="B10097" s="361"/>
      <c r="C10097" s="366"/>
      <c r="D10097" s="156" t="s">
        <v>35</v>
      </c>
      <c r="E10097" s="156" t="s">
        <v>102</v>
      </c>
      <c r="F10097" s="156" t="s">
        <v>252</v>
      </c>
      <c r="G10097" s="238">
        <f>MROUND(H10097*L10097*I10097/K10097,0.00000001)</f>
        <v>0</v>
      </c>
      <c r="H10097" s="158"/>
      <c r="I10097" s="159">
        <f>I10096</f>
        <v>9.0899999999999995E-2</v>
      </c>
      <c r="J10097" s="160"/>
      <c r="K10097" s="161">
        <f>K10096</f>
        <v>114</v>
      </c>
      <c r="L10097" s="250">
        <v>1</v>
      </c>
      <c r="M10097" s="163"/>
      <c r="N10097" s="278"/>
      <c r="O10097" s="280">
        <f t="shared" si="2938"/>
        <v>0</v>
      </c>
      <c r="P10097" s="166"/>
      <c r="Q10097" s="166">
        <f t="shared" si="2939"/>
        <v>0</v>
      </c>
      <c r="R10097" s="71"/>
    </row>
    <row r="10098" spans="1:18" s="61" customFormat="1" ht="31.5" x14ac:dyDescent="0.25">
      <c r="A10098" s="358"/>
      <c r="B10098" s="361"/>
      <c r="C10098" s="366"/>
      <c r="D10098" s="156" t="s">
        <v>99</v>
      </c>
      <c r="E10098" s="156" t="s">
        <v>103</v>
      </c>
      <c r="F10098" s="156" t="s">
        <v>225</v>
      </c>
      <c r="G10098" s="238">
        <f>MROUND(H10098*L10098*I10098/K10098,0.00000001)</f>
        <v>0</v>
      </c>
      <c r="H10098" s="158">
        <f>H9807</f>
        <v>0</v>
      </c>
      <c r="I10098" s="159">
        <f>I10097</f>
        <v>9.0899999999999995E-2</v>
      </c>
      <c r="J10098" s="160"/>
      <c r="K10098" s="161">
        <f>K10097</f>
        <v>114</v>
      </c>
      <c r="L10098" s="250">
        <v>1</v>
      </c>
      <c r="M10098" s="163"/>
      <c r="N10098" s="164">
        <f t="shared" si="2937"/>
        <v>0</v>
      </c>
      <c r="O10098" s="165">
        <f>MROUND(G10098*N10098,0.000001)</f>
        <v>0</v>
      </c>
      <c r="P10098" s="166"/>
      <c r="Q10098" s="166">
        <f t="shared" si="2939"/>
        <v>0</v>
      </c>
      <c r="R10098" s="71"/>
    </row>
    <row r="10099" spans="1:18" s="61" customFormat="1" x14ac:dyDescent="0.25">
      <c r="A10099" s="358"/>
      <c r="B10099" s="361"/>
      <c r="C10099" s="366"/>
      <c r="D10099" s="156" t="s">
        <v>27</v>
      </c>
      <c r="E10099" s="156" t="s">
        <v>28</v>
      </c>
      <c r="F10099" s="156" t="s">
        <v>28</v>
      </c>
      <c r="G10099" s="238">
        <f t="shared" ref="G10099" si="2941">MROUND(H10099*L10099*I10099/K10099,0.000001)</f>
        <v>0</v>
      </c>
      <c r="H10099" s="160">
        <f>H9808</f>
        <v>0</v>
      </c>
      <c r="I10099" s="159">
        <f>I10097</f>
        <v>9.0899999999999995E-2</v>
      </c>
      <c r="J10099" s="160"/>
      <c r="K10099" s="161">
        <f>K10097</f>
        <v>114</v>
      </c>
      <c r="L10099" s="250">
        <v>1</v>
      </c>
      <c r="M10099" s="163"/>
      <c r="N10099" s="278">
        <f t="shared" si="2937"/>
        <v>0</v>
      </c>
      <c r="O10099" s="280">
        <f t="shared" ref="O10099:O10100" si="2942">MROUND(N10099*G10099,0.000001)</f>
        <v>0</v>
      </c>
      <c r="P10099" s="166"/>
      <c r="Q10099" s="166">
        <f t="shared" si="2939"/>
        <v>0</v>
      </c>
      <c r="R10099" s="71"/>
    </row>
    <row r="10100" spans="1:18" s="61" customFormat="1" ht="31.5" x14ac:dyDescent="0.25">
      <c r="A10100" s="358"/>
      <c r="B10100" s="361"/>
      <c r="C10100" s="367"/>
      <c r="D10100" s="156" t="s">
        <v>104</v>
      </c>
      <c r="E10100" s="156" t="s">
        <v>105</v>
      </c>
      <c r="F10100" s="156" t="s">
        <v>226</v>
      </c>
      <c r="G10100" s="238">
        <f>MROUND(H10100*L10100*I10100/K10100,0.00000001)</f>
        <v>7.9737000000000004E-4</v>
      </c>
      <c r="H10100" s="160">
        <v>1</v>
      </c>
      <c r="I10100" s="159">
        <f>I10099</f>
        <v>9.0899999999999995E-2</v>
      </c>
      <c r="J10100" s="160"/>
      <c r="K10100" s="161">
        <f>K10099</f>
        <v>114</v>
      </c>
      <c r="L10100" s="250">
        <v>1</v>
      </c>
      <c r="M10100" s="163"/>
      <c r="N10100" s="278">
        <f t="shared" si="2937"/>
        <v>0</v>
      </c>
      <c r="O10100" s="280">
        <f t="shared" si="2942"/>
        <v>0</v>
      </c>
      <c r="P10100" s="166"/>
      <c r="Q10100" s="166">
        <f t="shared" si="2939"/>
        <v>0</v>
      </c>
      <c r="R10100" s="71"/>
    </row>
    <row r="10101" spans="1:18" s="62" customFormat="1" x14ac:dyDescent="0.25">
      <c r="A10101" s="358"/>
      <c r="B10101" s="361"/>
      <c r="C10101" s="249" t="s">
        <v>292</v>
      </c>
      <c r="D10101" s="240"/>
      <c r="E10101" s="240"/>
      <c r="F10101" s="240"/>
      <c r="G10101" s="227"/>
      <c r="H10101" s="228"/>
      <c r="I10101" s="206"/>
      <c r="J10101" s="228"/>
      <c r="K10101" s="207"/>
      <c r="L10101" s="257"/>
      <c r="M10101" s="209"/>
      <c r="N10101" s="281"/>
      <c r="O10101" s="279">
        <f>SUM(O10095:O10100)</f>
        <v>3.7602139999999999</v>
      </c>
      <c r="P10101" s="267"/>
      <c r="Q10101" s="166"/>
      <c r="R10101" s="71"/>
    </row>
    <row r="10102" spans="1:18" s="61" customFormat="1" ht="31.5" x14ac:dyDescent="0.25">
      <c r="A10102" s="358"/>
      <c r="B10102" s="361"/>
      <c r="C10102" s="221" t="s">
        <v>79</v>
      </c>
      <c r="D10102" s="156" t="s">
        <v>37</v>
      </c>
      <c r="E10102" s="156" t="s">
        <v>61</v>
      </c>
      <c r="F10102" s="156" t="s">
        <v>254</v>
      </c>
      <c r="G10102" s="238">
        <f>MROUND(H10102*L10102*I10102/K10102,0.00000001)</f>
        <v>7.9737000000000004E-4</v>
      </c>
      <c r="H10102" s="158">
        <v>1</v>
      </c>
      <c r="I10102" s="159">
        <f>I10100</f>
        <v>9.0899999999999995E-2</v>
      </c>
      <c r="J10102" s="160"/>
      <c r="K10102" s="161">
        <f>K10100</f>
        <v>114</v>
      </c>
      <c r="L10102" s="250">
        <v>1</v>
      </c>
      <c r="M10102" s="163" t="str">
        <f>CONCATENATE(H10102," ",F10102,"*",I10102,"/",K10102,"чел/час")</f>
        <v>1 автобус*0,0909/114чел/час</v>
      </c>
      <c r="N10102" s="278">
        <f>N9811</f>
        <v>25403.41</v>
      </c>
      <c r="O10102" s="280">
        <f>MROUND(N10102*G10102,0.000001)</f>
        <v>20.255917</v>
      </c>
      <c r="P10102" s="166"/>
      <c r="Q10102" s="166">
        <f t="shared" ref="Q10102:Q10104" si="2943">O10102*K10102</f>
        <v>2309.1745380000002</v>
      </c>
      <c r="R10102" s="71"/>
    </row>
    <row r="10103" spans="1:18" s="61" customFormat="1" ht="31.5" x14ac:dyDescent="0.25">
      <c r="A10103" s="358"/>
      <c r="B10103" s="361"/>
      <c r="C10103" s="221"/>
      <c r="D10103" s="156" t="s">
        <v>262</v>
      </c>
      <c r="E10103" s="156" t="s">
        <v>440</v>
      </c>
      <c r="F10103" s="156" t="s">
        <v>441</v>
      </c>
      <c r="G10103" s="238">
        <f t="shared" ref="G10103:G10104" si="2944">MROUND(H10103*L10103*I10103/K10103,0.000001)</f>
        <v>3.189E-3</v>
      </c>
      <c r="H10103" s="158">
        <f>$H$3035</f>
        <v>1</v>
      </c>
      <c r="I10103" s="159">
        <f>I10102</f>
        <v>9.0899999999999995E-2</v>
      </c>
      <c r="J10103" s="160"/>
      <c r="K10103" s="161">
        <f>K10102</f>
        <v>114</v>
      </c>
      <c r="L10103" s="250">
        <v>4</v>
      </c>
      <c r="M10103" s="163" t="str">
        <f>CONCATENATE(H10103," ",F10103,"*",L10103,"раза в год","*",I10103,"/",K10103,"чел/час")</f>
        <v>1 услуга*4раза в год*0,0909/114чел/час</v>
      </c>
      <c r="N10103" s="278">
        <f>N9812</f>
        <v>26827.494999999999</v>
      </c>
      <c r="O10103" s="280">
        <f>MROUND(N10103*G10103,0.000001)</f>
        <v>85.552881999999997</v>
      </c>
      <c r="P10103" s="166"/>
      <c r="Q10103" s="166">
        <f t="shared" si="2943"/>
        <v>9753.0285480000002</v>
      </c>
      <c r="R10103" s="71"/>
    </row>
    <row r="10104" spans="1:18" s="61" customFormat="1" x14ac:dyDescent="0.25">
      <c r="A10104" s="358"/>
      <c r="B10104" s="361"/>
      <c r="C10104" s="221"/>
      <c r="D10104" s="156" t="s">
        <v>255</v>
      </c>
      <c r="E10104" s="156" t="s">
        <v>28</v>
      </c>
      <c r="F10104" s="156" t="s">
        <v>28</v>
      </c>
      <c r="G10104" s="238">
        <f t="shared" si="2944"/>
        <v>4.4652999999999998E-2</v>
      </c>
      <c r="H10104" s="158">
        <v>56</v>
      </c>
      <c r="I10104" s="159">
        <f>I10102</f>
        <v>9.0899999999999995E-2</v>
      </c>
      <c r="J10104" s="160"/>
      <c r="K10104" s="161">
        <f>K10102</f>
        <v>114</v>
      </c>
      <c r="L10104" s="250">
        <v>1</v>
      </c>
      <c r="M10104" s="163" t="str">
        <f>CONCATENATE(H10104," ",F10104,"*",L10104,"раза в год","*",I10104,"/",K10104,"чел/час")</f>
        <v>56 шт*1раза в год*0,0909/114чел/час</v>
      </c>
      <c r="N10104" s="278">
        <f>N9813</f>
        <v>808.84785714285715</v>
      </c>
      <c r="O10104" s="280">
        <f>MROUND(N10104*G10104,0.000001)</f>
        <v>36.117483</v>
      </c>
      <c r="P10104" s="166"/>
      <c r="Q10104" s="166">
        <f t="shared" si="2943"/>
        <v>4117.3930620000001</v>
      </c>
      <c r="R10104" s="71"/>
    </row>
    <row r="10105" spans="1:18" s="62" customFormat="1" x14ac:dyDescent="0.25">
      <c r="A10105" s="358"/>
      <c r="B10105" s="361"/>
      <c r="C10105" s="218" t="s">
        <v>295</v>
      </c>
      <c r="D10105" s="240"/>
      <c r="E10105" s="240"/>
      <c r="F10105" s="240"/>
      <c r="G10105" s="227"/>
      <c r="H10105" s="241"/>
      <c r="I10105" s="206"/>
      <c r="J10105" s="228"/>
      <c r="K10105" s="207"/>
      <c r="L10105" s="257"/>
      <c r="M10105" s="209"/>
      <c r="N10105" s="281"/>
      <c r="O10105" s="279">
        <f>O10102+O10103+O10104</f>
        <v>141.92628199999999</v>
      </c>
      <c r="P10105" s="267"/>
      <c r="Q10105" s="166"/>
      <c r="R10105" s="71"/>
    </row>
    <row r="10106" spans="1:18" s="61" customFormat="1" x14ac:dyDescent="0.25">
      <c r="A10106" s="358"/>
      <c r="B10106" s="361"/>
      <c r="C10106" s="365" t="s">
        <v>80</v>
      </c>
      <c r="D10106" s="156" t="s">
        <v>38</v>
      </c>
      <c r="E10106" s="156" t="s">
        <v>57</v>
      </c>
      <c r="F10106" s="156" t="s">
        <v>228</v>
      </c>
      <c r="G10106" s="238">
        <f t="shared" ref="G10106" si="2945">MROUND(H10106*L10106*I10106/K10106,0.000001)</f>
        <v>9.5680000000000001E-3</v>
      </c>
      <c r="H10106" s="158">
        <v>1</v>
      </c>
      <c r="I10106" s="159">
        <f>I10102</f>
        <v>9.0899999999999995E-2</v>
      </c>
      <c r="J10106" s="160"/>
      <c r="K10106" s="161">
        <f>K10102</f>
        <v>114</v>
      </c>
      <c r="L10106" s="250">
        <v>12</v>
      </c>
      <c r="M10106" s="163"/>
      <c r="N10106" s="278">
        <f t="shared" ref="N10106:N10122" si="2946">N9815</f>
        <v>0</v>
      </c>
      <c r="O10106" s="280">
        <f t="shared" ref="O10106:O10122" si="2947">MROUND(N10106*G10106,0.000001)</f>
        <v>0</v>
      </c>
      <c r="P10106" s="166"/>
      <c r="Q10106" s="166">
        <f t="shared" ref="Q10106:Q10122" si="2948">O10106*K10106</f>
        <v>0</v>
      </c>
      <c r="R10106" s="71"/>
    </row>
    <row r="10107" spans="1:18" s="61" customFormat="1" x14ac:dyDescent="0.25">
      <c r="A10107" s="358"/>
      <c r="B10107" s="361"/>
      <c r="C10107" s="366"/>
      <c r="D10107" s="156" t="s">
        <v>256</v>
      </c>
      <c r="E10107" s="156" t="s">
        <v>20</v>
      </c>
      <c r="F10107" s="156" t="s">
        <v>20</v>
      </c>
      <c r="G10107" s="238">
        <f>MROUND(H10107*L10107*I10107/K10107,0.00000001)</f>
        <v>1.9934210000000001E-2</v>
      </c>
      <c r="H10107" s="158">
        <f>H9816</f>
        <v>25</v>
      </c>
      <c r="I10107" s="159">
        <f>I10104</f>
        <v>9.0899999999999995E-2</v>
      </c>
      <c r="J10107" s="160"/>
      <c r="K10107" s="161">
        <f>K10104</f>
        <v>114</v>
      </c>
      <c r="L10107" s="250">
        <v>1</v>
      </c>
      <c r="M10107" s="163" t="str">
        <f t="shared" ref="M10107:M10112" si="2949">CONCATENATE(H10107," ",F10107,"*",I10107,"/",K10107,"чел/час")</f>
        <v>25 чел.*0,0909/114чел/час</v>
      </c>
      <c r="N10107" s="278">
        <f t="shared" si="2946"/>
        <v>2015.7676000000001</v>
      </c>
      <c r="O10107" s="280">
        <f t="shared" si="2947"/>
        <v>40.182735000000001</v>
      </c>
      <c r="P10107" s="166"/>
      <c r="Q10107" s="166">
        <f t="shared" si="2948"/>
        <v>4580.8317900000002</v>
      </c>
      <c r="R10107" s="71"/>
    </row>
    <row r="10108" spans="1:18" s="61" customFormat="1" ht="63" x14ac:dyDescent="0.25">
      <c r="A10108" s="358"/>
      <c r="B10108" s="361"/>
      <c r="C10108" s="366"/>
      <c r="D10108" s="156" t="s">
        <v>39</v>
      </c>
      <c r="E10108" s="156" t="s">
        <v>20</v>
      </c>
      <c r="F10108" s="156" t="s">
        <v>234</v>
      </c>
      <c r="G10108" s="238">
        <f t="shared" ref="G10108" si="2950">MROUND(H10108*L10108*I10108/K10108,0.000001)</f>
        <v>7.9699999999999997E-4</v>
      </c>
      <c r="H10108" s="158">
        <v>1</v>
      </c>
      <c r="I10108" s="159">
        <f>I10106</f>
        <v>9.0899999999999995E-2</v>
      </c>
      <c r="J10108" s="160"/>
      <c r="K10108" s="161">
        <f>K10106</f>
        <v>114</v>
      </c>
      <c r="L10108" s="250">
        <v>1</v>
      </c>
      <c r="M10108" s="163" t="str">
        <f t="shared" si="2949"/>
        <v>1 чел(заявленная потребность руководителями учреждений)*0,0909/114чел/час</v>
      </c>
      <c r="N10108" s="278">
        <f t="shared" si="2946"/>
        <v>830.02</v>
      </c>
      <c r="O10108" s="280">
        <f t="shared" si="2947"/>
        <v>0.66152599999999995</v>
      </c>
      <c r="P10108" s="166"/>
      <c r="Q10108" s="166">
        <f t="shared" si="2948"/>
        <v>75.413963999999993</v>
      </c>
      <c r="R10108" s="71"/>
    </row>
    <row r="10109" spans="1:18" s="61" customFormat="1" ht="63" x14ac:dyDescent="0.25">
      <c r="A10109" s="358"/>
      <c r="B10109" s="361"/>
      <c r="C10109" s="366"/>
      <c r="D10109" s="156" t="s">
        <v>40</v>
      </c>
      <c r="E10109" s="156" t="s">
        <v>20</v>
      </c>
      <c r="F10109" s="156" t="s">
        <v>234</v>
      </c>
      <c r="G10109" s="238">
        <f>MROUND(H10109*L10109*I10109/K10109,0.000001)</f>
        <v>7.9699999999999997E-4</v>
      </c>
      <c r="H10109" s="158">
        <v>1</v>
      </c>
      <c r="I10109" s="159">
        <f>I10107</f>
        <v>9.0899999999999995E-2</v>
      </c>
      <c r="J10109" s="160"/>
      <c r="K10109" s="161">
        <f>K10107</f>
        <v>114</v>
      </c>
      <c r="L10109" s="250">
        <v>1</v>
      </c>
      <c r="M10109" s="163" t="str">
        <f t="shared" si="2949"/>
        <v>1 чел(заявленная потребность руководителями учреждений)*0,0909/114чел/час</v>
      </c>
      <c r="N10109" s="278">
        <f t="shared" si="2946"/>
        <v>1778.6200000000001</v>
      </c>
      <c r="O10109" s="280">
        <f t="shared" si="2947"/>
        <v>1.4175599999999999</v>
      </c>
      <c r="P10109" s="166"/>
      <c r="Q10109" s="166">
        <f t="shared" si="2948"/>
        <v>161.60183999999998</v>
      </c>
      <c r="R10109" s="71"/>
    </row>
    <row r="10110" spans="1:18" s="61" customFormat="1" ht="63" x14ac:dyDescent="0.25">
      <c r="A10110" s="358"/>
      <c r="B10110" s="361"/>
      <c r="C10110" s="366"/>
      <c r="D10110" s="156" t="s">
        <v>100</v>
      </c>
      <c r="E10110" s="156" t="s">
        <v>20</v>
      </c>
      <c r="F10110" s="156" t="s">
        <v>234</v>
      </c>
      <c r="G10110" s="238">
        <f>MROUND(H10110*L10110*I10110/K10110,0.00000001)</f>
        <v>7.9737000000000004E-4</v>
      </c>
      <c r="H10110" s="158">
        <v>1</v>
      </c>
      <c r="I10110" s="159">
        <f>I10108</f>
        <v>9.0899999999999995E-2</v>
      </c>
      <c r="J10110" s="160"/>
      <c r="K10110" s="161">
        <f>K10108</f>
        <v>114</v>
      </c>
      <c r="L10110" s="250">
        <v>1</v>
      </c>
      <c r="M10110" s="163" t="str">
        <f t="shared" si="2949"/>
        <v>1 чел(заявленная потребность руководителями учреждений)*0,0909/114чел/час</v>
      </c>
      <c r="N10110" s="278">
        <f t="shared" si="2946"/>
        <v>3794.39</v>
      </c>
      <c r="O10110" s="280">
        <f t="shared" si="2947"/>
        <v>3.0255329999999998</v>
      </c>
      <c r="P10110" s="166"/>
      <c r="Q10110" s="166">
        <f t="shared" si="2948"/>
        <v>344.91076199999998</v>
      </c>
      <c r="R10110" s="71"/>
    </row>
    <row r="10111" spans="1:18" s="61" customFormat="1" ht="110.25" x14ac:dyDescent="0.25">
      <c r="A10111" s="358"/>
      <c r="B10111" s="361"/>
      <c r="C10111" s="366"/>
      <c r="D10111" s="156" t="s">
        <v>235</v>
      </c>
      <c r="E10111" s="156" t="s">
        <v>50</v>
      </c>
      <c r="F10111" s="156" t="s">
        <v>230</v>
      </c>
      <c r="G10111" s="238">
        <f>MROUND(H10111*L10111*I10111/K10111,0.00000001)</f>
        <v>7.9737000000000004E-4</v>
      </c>
      <c r="H10111" s="158">
        <v>1</v>
      </c>
      <c r="I10111" s="159">
        <f>I10107</f>
        <v>9.0899999999999995E-2</v>
      </c>
      <c r="J10111" s="160"/>
      <c r="K10111" s="161">
        <f>K10107</f>
        <v>114</v>
      </c>
      <c r="L10111" s="250">
        <v>1</v>
      </c>
      <c r="M10111" s="163" t="str">
        <f t="shared" si="2949"/>
        <v>1 отчетов*0,0909/114чел/час</v>
      </c>
      <c r="N10111" s="278">
        <f t="shared" si="2946"/>
        <v>7114.47</v>
      </c>
      <c r="O10111" s="280">
        <f t="shared" si="2947"/>
        <v>5.6728649999999998</v>
      </c>
      <c r="P10111" s="166"/>
      <c r="Q10111" s="166">
        <f t="shared" si="2948"/>
        <v>646.70660999999996</v>
      </c>
      <c r="R10111" s="71"/>
    </row>
    <row r="10112" spans="1:18" s="61" customFormat="1" ht="63" x14ac:dyDescent="0.25">
      <c r="A10112" s="358"/>
      <c r="B10112" s="361"/>
      <c r="C10112" s="366"/>
      <c r="D10112" s="156" t="s">
        <v>42</v>
      </c>
      <c r="E10112" s="156" t="s">
        <v>51</v>
      </c>
      <c r="F10112" s="156" t="s">
        <v>407</v>
      </c>
      <c r="G10112" s="238">
        <f t="shared" ref="G10112:G10114" si="2951">MROUND(H10112*L10112*I10112/K10112,0.000001)</f>
        <v>4.7840000000000001E-3</v>
      </c>
      <c r="H10112" s="158">
        <f>H9821</f>
        <v>6</v>
      </c>
      <c r="I10112" s="159">
        <f t="shared" ref="I10112:I10118" si="2952">I10111</f>
        <v>9.0899999999999995E-2</v>
      </c>
      <c r="J10112" s="160"/>
      <c r="K10112" s="161">
        <f t="shared" ref="K10112:K10118" si="2953">K10111</f>
        <v>114</v>
      </c>
      <c r="L10112" s="250">
        <v>1</v>
      </c>
      <c r="M10112" s="163" t="str">
        <f t="shared" si="2949"/>
        <v>6 ед (заявленная потребность руководителями учреждений)*0,0909/114чел/час</v>
      </c>
      <c r="N10112" s="278">
        <f t="shared" si="2946"/>
        <v>1185.7450000000001</v>
      </c>
      <c r="O10112" s="280">
        <f t="shared" si="2947"/>
        <v>5.6726039999999998</v>
      </c>
      <c r="P10112" s="166"/>
      <c r="Q10112" s="166">
        <f t="shared" si="2948"/>
        <v>646.67685599999993</v>
      </c>
      <c r="R10112" s="71"/>
    </row>
    <row r="10113" spans="1:18" s="61" customFormat="1" ht="31.5" x14ac:dyDescent="0.25">
      <c r="A10113" s="358"/>
      <c r="B10113" s="361"/>
      <c r="C10113" s="366"/>
      <c r="D10113" s="156" t="s">
        <v>263</v>
      </c>
      <c r="E10113" s="156" t="s">
        <v>264</v>
      </c>
      <c r="F10113" s="156" t="s">
        <v>265</v>
      </c>
      <c r="G10113" s="238">
        <f t="shared" si="2951"/>
        <v>9.5680000000000001E-3</v>
      </c>
      <c r="H10113" s="158">
        <v>1</v>
      </c>
      <c r="I10113" s="159">
        <f t="shared" si="2952"/>
        <v>9.0899999999999995E-2</v>
      </c>
      <c r="J10113" s="160"/>
      <c r="K10113" s="161">
        <f t="shared" si="2953"/>
        <v>114</v>
      </c>
      <c r="L10113" s="250">
        <v>12</v>
      </c>
      <c r="M10113" s="163" t="str">
        <f>CONCATENATE(H10113," ",F10113,"*",L10113,"мес.","*",I10113,"/",K10113,"чел/час")</f>
        <v>1 мойка*12мес.*0,0909/114чел/час</v>
      </c>
      <c r="N10113" s="278">
        <f t="shared" si="2946"/>
        <v>592.87250000000006</v>
      </c>
      <c r="O10113" s="280">
        <f t="shared" si="2947"/>
        <v>5.6726039999999998</v>
      </c>
      <c r="P10113" s="166"/>
      <c r="Q10113" s="166">
        <f t="shared" si="2948"/>
        <v>646.67685599999993</v>
      </c>
      <c r="R10113" s="71"/>
    </row>
    <row r="10114" spans="1:18" s="61" customFormat="1" ht="31.5" x14ac:dyDescent="0.25">
      <c r="A10114" s="358"/>
      <c r="B10114" s="361"/>
      <c r="C10114" s="366"/>
      <c r="D10114" s="156" t="s">
        <v>266</v>
      </c>
      <c r="E10114" s="156" t="s">
        <v>267</v>
      </c>
      <c r="F10114" s="156" t="s">
        <v>268</v>
      </c>
      <c r="G10114" s="238">
        <f t="shared" si="2951"/>
        <v>0.19136799999999998</v>
      </c>
      <c r="H10114" s="158">
        <v>20</v>
      </c>
      <c r="I10114" s="159">
        <f t="shared" si="2952"/>
        <v>9.0899999999999995E-2</v>
      </c>
      <c r="J10114" s="160"/>
      <c r="K10114" s="161">
        <f t="shared" si="2953"/>
        <v>114</v>
      </c>
      <c r="L10114" s="250">
        <v>12</v>
      </c>
      <c r="M10114" s="163" t="str">
        <f>CONCATENATE(H10114," ",F10114,"*",L10114,"мес.","*",I10114,"/",K10114,"чел/час")</f>
        <v>20 комплектов в мес.*12мес.*0,0909/114чел/час</v>
      </c>
      <c r="N10114" s="278">
        <f t="shared" si="2946"/>
        <v>533.58550000000002</v>
      </c>
      <c r="O10114" s="280">
        <f t="shared" si="2947"/>
        <v>102.11118999999999</v>
      </c>
      <c r="P10114" s="166"/>
      <c r="Q10114" s="166">
        <f t="shared" si="2948"/>
        <v>11640.675659999999</v>
      </c>
      <c r="R10114" s="71"/>
    </row>
    <row r="10115" spans="1:18" s="61" customFormat="1" ht="47.25" x14ac:dyDescent="0.25">
      <c r="A10115" s="358"/>
      <c r="B10115" s="361"/>
      <c r="C10115" s="366"/>
      <c r="D10115" s="156" t="s">
        <v>269</v>
      </c>
      <c r="E10115" s="156" t="s">
        <v>20</v>
      </c>
      <c r="F10115" s="156" t="s">
        <v>20</v>
      </c>
      <c r="G10115" s="238">
        <f>MROUND(H10115*L10115*I10115/K10115,0.00000001)</f>
        <v>3.9868400000000002E-3</v>
      </c>
      <c r="H10115" s="158">
        <f>$H$3047</f>
        <v>5</v>
      </c>
      <c r="I10115" s="159">
        <f t="shared" si="2952"/>
        <v>9.0899999999999995E-2</v>
      </c>
      <c r="J10115" s="160"/>
      <c r="K10115" s="161">
        <f t="shared" si="2953"/>
        <v>114</v>
      </c>
      <c r="L10115" s="250">
        <v>1</v>
      </c>
      <c r="M10115" s="163" t="str">
        <f>CONCATENATE(H10115," ",F10115,"*",I10115,"/",K10115,"чел/час")</f>
        <v>5 чел.*0,0909/114чел/час</v>
      </c>
      <c r="N10115" s="278">
        <f t="shared" si="2946"/>
        <v>19120.148000000001</v>
      </c>
      <c r="O10115" s="280">
        <f t="shared" si="2947"/>
        <v>76.228971000000001</v>
      </c>
      <c r="P10115" s="166"/>
      <c r="Q10115" s="166">
        <f t="shared" si="2948"/>
        <v>8690.1026940000011</v>
      </c>
      <c r="R10115" s="71"/>
    </row>
    <row r="10116" spans="1:18" s="61" customFormat="1" ht="31.5" x14ac:dyDescent="0.25">
      <c r="A10116" s="358"/>
      <c r="B10116" s="361"/>
      <c r="C10116" s="366"/>
      <c r="D10116" s="156" t="s">
        <v>376</v>
      </c>
      <c r="E10116" s="156" t="s">
        <v>55</v>
      </c>
      <c r="F10116" s="156" t="s">
        <v>55</v>
      </c>
      <c r="G10116" s="238">
        <f>MROUND(H10116*L10116*I10116/K10116,0.00000001)</f>
        <v>9.5684199999999994E-3</v>
      </c>
      <c r="H10116" s="158">
        <v>1</v>
      </c>
      <c r="I10116" s="159">
        <f t="shared" si="2952"/>
        <v>9.0899999999999995E-2</v>
      </c>
      <c r="J10116" s="160"/>
      <c r="K10116" s="161">
        <f t="shared" si="2953"/>
        <v>114</v>
      </c>
      <c r="L10116" s="250">
        <v>12</v>
      </c>
      <c r="M10116" s="163" t="str">
        <f>CONCATENATE(H10116," ",F10116,"*",L10116,"мес.","*",I10116,"/",K10116,"чел/час")</f>
        <v>1 система*12мес.*0,0909/114чел/час</v>
      </c>
      <c r="N10116" s="278">
        <f t="shared" si="2946"/>
        <v>26755.559166666662</v>
      </c>
      <c r="O10116" s="280">
        <f t="shared" si="2947"/>
        <v>256.00842699999998</v>
      </c>
      <c r="P10116" s="166"/>
      <c r="Q10116" s="166">
        <f t="shared" si="2948"/>
        <v>29184.960677999999</v>
      </c>
      <c r="R10116" s="71"/>
    </row>
    <row r="10117" spans="1:18" s="61" customFormat="1" ht="31.5" x14ac:dyDescent="0.25">
      <c r="A10117" s="358"/>
      <c r="B10117" s="361"/>
      <c r="C10117" s="366"/>
      <c r="D10117" s="156" t="s">
        <v>270</v>
      </c>
      <c r="E10117" s="156" t="s">
        <v>60</v>
      </c>
      <c r="F10117" s="156" t="s">
        <v>60</v>
      </c>
      <c r="G10117" s="238">
        <f t="shared" ref="G10117" si="2954">MROUND(H10117*L10117*I10117/K10117,0.000001)</f>
        <v>1.3554999999999999E-2</v>
      </c>
      <c r="H10117" s="158">
        <f>H9826</f>
        <v>17</v>
      </c>
      <c r="I10117" s="159">
        <f t="shared" si="2952"/>
        <v>9.0899999999999995E-2</v>
      </c>
      <c r="J10117" s="160"/>
      <c r="K10117" s="161">
        <f t="shared" si="2953"/>
        <v>114</v>
      </c>
      <c r="L10117" s="250">
        <v>1</v>
      </c>
      <c r="M10117" s="163" t="str">
        <f>CONCATENATE(H10117," ",F10117,"*",I10117,"/",K10117,"чел/час")</f>
        <v>17 шт.*0,0909/114чел/час</v>
      </c>
      <c r="N10117" s="278">
        <f t="shared" si="2946"/>
        <v>3347.9876470588238</v>
      </c>
      <c r="O10117" s="280">
        <f t="shared" si="2947"/>
        <v>45.381972999999995</v>
      </c>
      <c r="P10117" s="166"/>
      <c r="Q10117" s="166">
        <f t="shared" si="2948"/>
        <v>5173.5449219999991</v>
      </c>
      <c r="R10117" s="71"/>
    </row>
    <row r="10118" spans="1:18" s="61" customFormat="1" ht="31.5" x14ac:dyDescent="0.25">
      <c r="A10118" s="358"/>
      <c r="B10118" s="361"/>
      <c r="C10118" s="366"/>
      <c r="D10118" s="156" t="s">
        <v>408</v>
      </c>
      <c r="E10118" s="156" t="s">
        <v>20</v>
      </c>
      <c r="F10118" s="156" t="s">
        <v>20</v>
      </c>
      <c r="G10118" s="238">
        <f>MROUND(H10118*L10118*I10118/K10118,0.00000001)</f>
        <v>4.7842099999999997E-3</v>
      </c>
      <c r="H10118" s="158">
        <f>$H$3050</f>
        <v>6</v>
      </c>
      <c r="I10118" s="159">
        <f t="shared" si="2952"/>
        <v>9.0899999999999995E-2</v>
      </c>
      <c r="J10118" s="160"/>
      <c r="K10118" s="161">
        <f t="shared" si="2953"/>
        <v>114</v>
      </c>
      <c r="L10118" s="250">
        <v>1</v>
      </c>
      <c r="M10118" s="163" t="str">
        <f>CONCATENATE(H10118," ",F10118,"*",I10118,"/",K10118,"чел/час")</f>
        <v>6 чел.*0,0909/114чел/час</v>
      </c>
      <c r="N10118" s="278">
        <f t="shared" si="2946"/>
        <v>592.87333333333333</v>
      </c>
      <c r="O10118" s="280">
        <f t="shared" si="2947"/>
        <v>2.8364309999999997</v>
      </c>
      <c r="P10118" s="166"/>
      <c r="Q10118" s="166">
        <f t="shared" si="2948"/>
        <v>323.35313399999995</v>
      </c>
      <c r="R10118" s="71"/>
    </row>
    <row r="10119" spans="1:18" s="61" customFormat="1" ht="63" x14ac:dyDescent="0.25">
      <c r="A10119" s="358"/>
      <c r="B10119" s="361"/>
      <c r="C10119" s="366"/>
      <c r="D10119" s="156" t="s">
        <v>45</v>
      </c>
      <c r="E10119" s="156" t="s">
        <v>53</v>
      </c>
      <c r="F10119" s="156" t="s">
        <v>257</v>
      </c>
      <c r="G10119" s="238">
        <f t="shared" ref="G10119:G10122" si="2955">MROUND(H10119*L10119*I10119/K10119,0.000001)</f>
        <v>9.5680000000000001E-3</v>
      </c>
      <c r="H10119" s="158">
        <v>1</v>
      </c>
      <c r="I10119" s="159">
        <f>I10117</f>
        <v>9.0899999999999995E-2</v>
      </c>
      <c r="J10119" s="160"/>
      <c r="K10119" s="161">
        <f>K10117</f>
        <v>114</v>
      </c>
      <c r="L10119" s="250">
        <v>12</v>
      </c>
      <c r="M10119" s="163" t="str">
        <f>CONCATENATE(H10119," ",F10119,"*",L10119,"мес.","*",I10119,"/",K10119,"чел")</f>
        <v>1  машина, оборудованная системой ГЛОНАСС*12мес.*0,0909/114чел</v>
      </c>
      <c r="N10119" s="278">
        <f t="shared" si="2946"/>
        <v>958.08249999999998</v>
      </c>
      <c r="O10119" s="280">
        <f t="shared" si="2947"/>
        <v>9.1669330000000002</v>
      </c>
      <c r="P10119" s="166"/>
      <c r="Q10119" s="166">
        <f t="shared" si="2948"/>
        <v>1045.030362</v>
      </c>
      <c r="R10119" s="71"/>
    </row>
    <row r="10120" spans="1:18" s="61" customFormat="1" ht="47.25" x14ac:dyDescent="0.25">
      <c r="A10120" s="358"/>
      <c r="B10120" s="361"/>
      <c r="C10120" s="366"/>
      <c r="D10120" s="156" t="s">
        <v>271</v>
      </c>
      <c r="E10120" s="156" t="s">
        <v>85</v>
      </c>
      <c r="F10120" s="156" t="s">
        <v>232</v>
      </c>
      <c r="G10120" s="238">
        <f t="shared" si="2955"/>
        <v>0.24239999999999998</v>
      </c>
      <c r="H10120" s="158">
        <f>H9829</f>
        <v>304</v>
      </c>
      <c r="I10120" s="159">
        <f>I10118</f>
        <v>9.0899999999999995E-2</v>
      </c>
      <c r="J10120" s="160"/>
      <c r="K10120" s="161">
        <f>K10118</f>
        <v>114</v>
      </c>
      <c r="L10120" s="250">
        <v>1</v>
      </c>
      <c r="M10120" s="163" t="str">
        <f>CONCATENATE(H10120," ",F10120,"*",L10120,"мес.","*",I10120,"/",K10120,"чел")</f>
        <v>304 мед.осмотров в мес.*1мес.*0,0909/114чел</v>
      </c>
      <c r="N10120" s="278">
        <f t="shared" si="2946"/>
        <v>61.658782894736845</v>
      </c>
      <c r="O10120" s="280">
        <f t="shared" si="2947"/>
        <v>14.946088999999999</v>
      </c>
      <c r="P10120" s="166"/>
      <c r="Q10120" s="166">
        <f t="shared" si="2948"/>
        <v>1703.8541459999999</v>
      </c>
      <c r="R10120" s="71"/>
    </row>
    <row r="10121" spans="1:18" s="61" customFormat="1" x14ac:dyDescent="0.25">
      <c r="A10121" s="358"/>
      <c r="B10121" s="361"/>
      <c r="C10121" s="366"/>
      <c r="D10121" s="156" t="s">
        <v>373</v>
      </c>
      <c r="E10121" s="156" t="s">
        <v>28</v>
      </c>
      <c r="F10121" s="156" t="s">
        <v>28</v>
      </c>
      <c r="G10121" s="238">
        <f t="shared" si="2955"/>
        <v>7.9699999999999997E-4</v>
      </c>
      <c r="H10121" s="158">
        <f>H9830</f>
        <v>1</v>
      </c>
      <c r="I10121" s="159">
        <f>I10120</f>
        <v>9.0899999999999995E-2</v>
      </c>
      <c r="J10121" s="160"/>
      <c r="K10121" s="161">
        <f>K10120</f>
        <v>114</v>
      </c>
      <c r="L10121" s="250">
        <v>1</v>
      </c>
      <c r="M10121" s="163" t="str">
        <f>CONCATENATE(H10121," ",F10121,"*",L10121,"мес.","*",I10121,"/",K10121,"чел")</f>
        <v>1 шт*1мес.*0,0909/114чел</v>
      </c>
      <c r="N10121" s="278">
        <f t="shared" si="2946"/>
        <v>24000</v>
      </c>
      <c r="O10121" s="280">
        <f t="shared" si="2947"/>
        <v>19.128</v>
      </c>
      <c r="P10121" s="166"/>
      <c r="Q10121" s="166">
        <f t="shared" si="2948"/>
        <v>2180.5920000000001</v>
      </c>
      <c r="R10121" s="71"/>
    </row>
    <row r="10122" spans="1:18" s="61" customFormat="1" ht="31.5" x14ac:dyDescent="0.25">
      <c r="A10122" s="358"/>
      <c r="B10122" s="361"/>
      <c r="C10122" s="367"/>
      <c r="D10122" s="156" t="s">
        <v>43</v>
      </c>
      <c r="E10122" s="156" t="s">
        <v>52</v>
      </c>
      <c r="F10122" s="156" t="s">
        <v>231</v>
      </c>
      <c r="G10122" s="238">
        <f t="shared" si="2955"/>
        <v>7.9699999999999997E-4</v>
      </c>
      <c r="H10122" s="158">
        <v>1</v>
      </c>
      <c r="I10122" s="159">
        <f>I10112</f>
        <v>9.0899999999999995E-2</v>
      </c>
      <c r="J10122" s="160"/>
      <c r="K10122" s="161">
        <f>K10112</f>
        <v>114</v>
      </c>
      <c r="L10122" s="250">
        <v>1</v>
      </c>
      <c r="M10122" s="163" t="str">
        <f>CONCATENATE(H10122," ",F10122,"*",I10122,"/",K10122,"чел/час")</f>
        <v>1 ЭЦП*0,0909/114чел/час</v>
      </c>
      <c r="N10122" s="278">
        <f t="shared" si="2946"/>
        <v>8423.5400000000009</v>
      </c>
      <c r="O10122" s="280">
        <f t="shared" si="2947"/>
        <v>6.7135609999999994</v>
      </c>
      <c r="P10122" s="166"/>
      <c r="Q10122" s="166">
        <f t="shared" si="2948"/>
        <v>765.34595399999989</v>
      </c>
      <c r="R10122" s="71"/>
    </row>
    <row r="10123" spans="1:18" s="62" customFormat="1" x14ac:dyDescent="0.25">
      <c r="A10123" s="358"/>
      <c r="B10123" s="361"/>
      <c r="C10123" s="245" t="s">
        <v>296</v>
      </c>
      <c r="D10123" s="240"/>
      <c r="E10123" s="240"/>
      <c r="F10123" s="240"/>
      <c r="G10123" s="227"/>
      <c r="H10123" s="241"/>
      <c r="I10123" s="206"/>
      <c r="J10123" s="228"/>
      <c r="K10123" s="207"/>
      <c r="L10123" s="257"/>
      <c r="M10123" s="209"/>
      <c r="N10123" s="281"/>
      <c r="O10123" s="279">
        <f>SUM(O10106:O10122)</f>
        <v>594.82700199999999</v>
      </c>
      <c r="P10123" s="267"/>
      <c r="Q10123" s="166"/>
      <c r="R10123" s="71"/>
    </row>
    <row r="10124" spans="1:18" s="61" customFormat="1" ht="31.5" x14ac:dyDescent="0.25">
      <c r="A10124" s="358"/>
      <c r="B10124" s="361"/>
      <c r="C10124" s="252" t="s">
        <v>237</v>
      </c>
      <c r="D10124" s="156" t="s">
        <v>41</v>
      </c>
      <c r="E10124" s="156" t="s">
        <v>61</v>
      </c>
      <c r="F10124" s="156" t="s">
        <v>254</v>
      </c>
      <c r="G10124" s="238">
        <f>MROUND(H10124*L10124*I10124/K10124,0.00000001)</f>
        <v>7.9737000000000004E-4</v>
      </c>
      <c r="H10124" s="158">
        <v>1</v>
      </c>
      <c r="I10124" s="159">
        <f>I10122</f>
        <v>9.0899999999999995E-2</v>
      </c>
      <c r="J10124" s="160"/>
      <c r="K10124" s="161">
        <f>K10122</f>
        <v>114</v>
      </c>
      <c r="L10124" s="250">
        <v>1</v>
      </c>
      <c r="M10124" s="163" t="str">
        <f>CONCATENATE(H10124," ",F10124,"*",I10124,"/",K10124,"чел/час")</f>
        <v>1 автобус*0,0909/114чел/час</v>
      </c>
      <c r="N10124" s="278">
        <f>N9833</f>
        <v>27983.600000000002</v>
      </c>
      <c r="O10124" s="280">
        <f>MROUND(N10124*G10124,0.000001)</f>
        <v>22.313282999999998</v>
      </c>
      <c r="P10124" s="166"/>
      <c r="Q10124" s="166">
        <f t="shared" ref="Q10124" si="2956">O10124*K10124</f>
        <v>2543.714262</v>
      </c>
      <c r="R10124" s="71"/>
    </row>
    <row r="10125" spans="1:18" s="62" customFormat="1" x14ac:dyDescent="0.25">
      <c r="A10125" s="358"/>
      <c r="B10125" s="361"/>
      <c r="C10125" s="245" t="s">
        <v>297</v>
      </c>
      <c r="D10125" s="240"/>
      <c r="E10125" s="240"/>
      <c r="F10125" s="240"/>
      <c r="G10125" s="227"/>
      <c r="H10125" s="241"/>
      <c r="I10125" s="206"/>
      <c r="J10125" s="228"/>
      <c r="K10125" s="207"/>
      <c r="L10125" s="257"/>
      <c r="M10125" s="209"/>
      <c r="N10125" s="281"/>
      <c r="O10125" s="279">
        <f>O10124</f>
        <v>22.313282999999998</v>
      </c>
      <c r="P10125" s="267"/>
      <c r="Q10125" s="166"/>
      <c r="R10125" s="71"/>
    </row>
    <row r="10126" spans="1:18" s="61" customFormat="1" ht="78.75" x14ac:dyDescent="0.25">
      <c r="A10126" s="358"/>
      <c r="B10126" s="361"/>
      <c r="C10126" s="221" t="s">
        <v>236</v>
      </c>
      <c r="D10126" s="156" t="s">
        <v>19</v>
      </c>
      <c r="E10126" s="181" t="s">
        <v>20</v>
      </c>
      <c r="F10126" s="181" t="s">
        <v>238</v>
      </c>
      <c r="G10126" s="238">
        <f t="shared" ref="G10126" si="2957">MROUND(H10126*L10126*I10126/K10126,0.000001)</f>
        <v>0</v>
      </c>
      <c r="H10126" s="158"/>
      <c r="I10126" s="159">
        <f>I10124</f>
        <v>9.0899999999999995E-2</v>
      </c>
      <c r="J10126" s="160"/>
      <c r="K10126" s="161">
        <f>K10124</f>
        <v>114</v>
      </c>
      <c r="L10126" s="250"/>
      <c r="M10126" s="163"/>
      <c r="N10126" s="278"/>
      <c r="O10126" s="280">
        <f>MROUND(N10126*G10126,0.000001)</f>
        <v>0</v>
      </c>
      <c r="P10126" s="166"/>
      <c r="Q10126" s="166">
        <f t="shared" ref="Q10126" si="2958">O10126*K10126</f>
        <v>0</v>
      </c>
      <c r="R10126" s="71"/>
    </row>
    <row r="10127" spans="1:18" s="62" customFormat="1" x14ac:dyDescent="0.25">
      <c r="A10127" s="358"/>
      <c r="B10127" s="361"/>
      <c r="C10127" s="245" t="s">
        <v>298</v>
      </c>
      <c r="D10127" s="240"/>
      <c r="E10127" s="253"/>
      <c r="F10127" s="253"/>
      <c r="G10127" s="227"/>
      <c r="H10127" s="241"/>
      <c r="I10127" s="206"/>
      <c r="J10127" s="228"/>
      <c r="K10127" s="207"/>
      <c r="L10127" s="257"/>
      <c r="M10127" s="209"/>
      <c r="N10127" s="281"/>
      <c r="O10127" s="279">
        <f>O10126</f>
        <v>0</v>
      </c>
      <c r="P10127" s="267"/>
      <c r="Q10127" s="166"/>
      <c r="R10127" s="71"/>
    </row>
    <row r="10128" spans="1:18" s="61" customFormat="1" x14ac:dyDescent="0.25">
      <c r="A10128" s="358"/>
      <c r="B10128" s="361"/>
      <c r="C10128" s="365" t="s">
        <v>81</v>
      </c>
      <c r="D10128" s="156" t="s">
        <v>427</v>
      </c>
      <c r="E10128" s="156" t="s">
        <v>28</v>
      </c>
      <c r="F10128" s="156" t="s">
        <v>28</v>
      </c>
      <c r="G10128" s="238">
        <f>MROUND(H10128*L10128*I10128/K10128,0.00000001)</f>
        <v>0</v>
      </c>
      <c r="H10128" s="158"/>
      <c r="I10128" s="159">
        <f>I10124</f>
        <v>9.0899999999999995E-2</v>
      </c>
      <c r="J10128" s="160"/>
      <c r="K10128" s="161">
        <f>K10124</f>
        <v>114</v>
      </c>
      <c r="L10128" s="250">
        <v>1</v>
      </c>
      <c r="M10128" s="163"/>
      <c r="N10128" s="278"/>
      <c r="O10128" s="280">
        <f>MROUND(N10128*G10128,0.000001)</f>
        <v>0</v>
      </c>
      <c r="P10128" s="166"/>
      <c r="Q10128" s="166">
        <f t="shared" ref="Q10128:Q10132" si="2959">O10128*K10128</f>
        <v>0</v>
      </c>
      <c r="R10128" s="71"/>
    </row>
    <row r="10129" spans="1:20" s="61" customFormat="1" x14ac:dyDescent="0.25">
      <c r="A10129" s="358"/>
      <c r="B10129" s="361"/>
      <c r="C10129" s="366"/>
      <c r="D10129" s="156" t="s">
        <v>428</v>
      </c>
      <c r="E10129" s="156" t="s">
        <v>28</v>
      </c>
      <c r="F10129" s="156" t="s">
        <v>28</v>
      </c>
      <c r="G10129" s="238">
        <f>MROUND(H10129*L10129*I10129/K10129,0.00000001)</f>
        <v>0</v>
      </c>
      <c r="H10129" s="158"/>
      <c r="I10129" s="159">
        <f>I10128</f>
        <v>9.0899999999999995E-2</v>
      </c>
      <c r="J10129" s="160"/>
      <c r="K10129" s="161">
        <f>K10128</f>
        <v>114</v>
      </c>
      <c r="L10129" s="250">
        <v>1</v>
      </c>
      <c r="M10129" s="163"/>
      <c r="N10129" s="278"/>
      <c r="O10129" s="280">
        <f>MROUND(N10129*G10129,0.000001)</f>
        <v>0</v>
      </c>
      <c r="P10129" s="166"/>
      <c r="Q10129" s="166">
        <f t="shared" si="2959"/>
        <v>0</v>
      </c>
      <c r="R10129" s="71"/>
    </row>
    <row r="10130" spans="1:20" s="61" customFormat="1" x14ac:dyDescent="0.25">
      <c r="A10130" s="358"/>
      <c r="B10130" s="361"/>
      <c r="C10130" s="366"/>
      <c r="D10130" s="156" t="s">
        <v>110</v>
      </c>
      <c r="E10130" s="156" t="s">
        <v>28</v>
      </c>
      <c r="F10130" s="156" t="s">
        <v>28</v>
      </c>
      <c r="G10130" s="238">
        <f>MROUND(H10130*L10130*I10130/K10130,0.00000001)</f>
        <v>0</v>
      </c>
      <c r="H10130" s="158"/>
      <c r="I10130" s="159">
        <f t="shared" ref="I10130:I10131" si="2960">I10129</f>
        <v>9.0899999999999995E-2</v>
      </c>
      <c r="J10130" s="160"/>
      <c r="K10130" s="161">
        <f t="shared" ref="K10130:K10131" si="2961">K10129</f>
        <v>114</v>
      </c>
      <c r="L10130" s="250">
        <v>1</v>
      </c>
      <c r="M10130" s="163"/>
      <c r="N10130" s="278"/>
      <c r="O10130" s="280">
        <f>MROUND(N10130*G10130,0.000001)</f>
        <v>0</v>
      </c>
      <c r="P10130" s="166"/>
      <c r="Q10130" s="166">
        <f t="shared" si="2959"/>
        <v>0</v>
      </c>
      <c r="R10130" s="71"/>
    </row>
    <row r="10131" spans="1:20" s="61" customFormat="1" x14ac:dyDescent="0.25">
      <c r="A10131" s="358"/>
      <c r="B10131" s="361"/>
      <c r="C10131" s="366"/>
      <c r="D10131" s="156" t="s">
        <v>111</v>
      </c>
      <c r="E10131" s="156" t="s">
        <v>28</v>
      </c>
      <c r="F10131" s="156" t="s">
        <v>28</v>
      </c>
      <c r="G10131" s="238">
        <f>MROUND(H10131*L10131*I10131/K10131,0.00000001)</f>
        <v>0</v>
      </c>
      <c r="H10131" s="158"/>
      <c r="I10131" s="159">
        <f t="shared" si="2960"/>
        <v>9.0899999999999995E-2</v>
      </c>
      <c r="J10131" s="160"/>
      <c r="K10131" s="161">
        <f t="shared" si="2961"/>
        <v>114</v>
      </c>
      <c r="L10131" s="250">
        <v>1</v>
      </c>
      <c r="M10131" s="163"/>
      <c r="N10131" s="278"/>
      <c r="O10131" s="280">
        <f>MROUND(N10131*G10131,0.000001)</f>
        <v>0</v>
      </c>
      <c r="P10131" s="166"/>
      <c r="Q10131" s="166">
        <f t="shared" si="2959"/>
        <v>0</v>
      </c>
      <c r="R10131" s="71"/>
    </row>
    <row r="10132" spans="1:20" s="61" customFormat="1" x14ac:dyDescent="0.25">
      <c r="A10132" s="358"/>
      <c r="B10132" s="361"/>
      <c r="C10132" s="367"/>
      <c r="D10132" s="156" t="s">
        <v>438</v>
      </c>
      <c r="E10132" s="156" t="s">
        <v>28</v>
      </c>
      <c r="F10132" s="156" t="s">
        <v>28</v>
      </c>
      <c r="G10132" s="238">
        <f>MROUND(H10132*L10132*I10132/K10132,0.00000001)</f>
        <v>0</v>
      </c>
      <c r="H10132" s="158"/>
      <c r="I10132" s="159">
        <f>I10126</f>
        <v>9.0899999999999995E-2</v>
      </c>
      <c r="J10132" s="160"/>
      <c r="K10132" s="161">
        <f>K10126</f>
        <v>114</v>
      </c>
      <c r="L10132" s="250">
        <v>1</v>
      </c>
      <c r="M10132" s="163"/>
      <c r="N10132" s="278"/>
      <c r="O10132" s="280">
        <f>MROUND(N10132*G10132,0.000001)</f>
        <v>0</v>
      </c>
      <c r="P10132" s="166"/>
      <c r="Q10132" s="166">
        <f t="shared" si="2959"/>
        <v>0</v>
      </c>
      <c r="R10132" s="71"/>
    </row>
    <row r="10133" spans="1:20" s="62" customFormat="1" x14ac:dyDescent="0.25">
      <c r="A10133" s="358"/>
      <c r="B10133" s="361"/>
      <c r="C10133" s="245" t="s">
        <v>299</v>
      </c>
      <c r="D10133" s="240"/>
      <c r="E10133" s="240"/>
      <c r="F10133" s="240"/>
      <c r="G10133" s="227"/>
      <c r="H10133" s="241"/>
      <c r="I10133" s="206"/>
      <c r="J10133" s="228"/>
      <c r="K10133" s="207"/>
      <c r="L10133" s="257"/>
      <c r="M10133" s="209"/>
      <c r="N10133" s="281"/>
      <c r="O10133" s="279">
        <f>SUM(O10128:O10132)</f>
        <v>0</v>
      </c>
      <c r="P10133" s="267"/>
      <c r="Q10133" s="166"/>
      <c r="R10133" s="71"/>
    </row>
    <row r="10134" spans="1:20" s="61" customFormat="1" ht="110.25" x14ac:dyDescent="0.25">
      <c r="A10134" s="358"/>
      <c r="B10134" s="361"/>
      <c r="C10134" s="221" t="s">
        <v>82</v>
      </c>
      <c r="D10134" s="156" t="s">
        <v>46</v>
      </c>
      <c r="E10134" s="156" t="s">
        <v>54</v>
      </c>
      <c r="F10134" s="156" t="s">
        <v>285</v>
      </c>
      <c r="G10134" s="238">
        <f t="shared" ref="G10134" si="2962">MROUND(H10134*L10134*I10134/K10134,0.000001)</f>
        <v>2.0332889999999999</v>
      </c>
      <c r="H10134" s="242">
        <f>H9843</f>
        <v>231.81817568471834</v>
      </c>
      <c r="I10134" s="159">
        <f>I10126</f>
        <v>9.0899999999999995E-2</v>
      </c>
      <c r="J10134" s="160"/>
      <c r="K10134" s="161">
        <f>K10126</f>
        <v>114</v>
      </c>
      <c r="L10134" s="250">
        <v>11</v>
      </c>
      <c r="M10134" s="163" t="str">
        <f>CONCATENATE(H10134," ",F10134,"*",L10134,"автобус","*",I10134,"/",K10134,"чел/час")</f>
        <v>231,818175684718 л бензина АИ 92 (12,5л/день(зимой)*20дней*7мес+10л/день(летом)*20дней*4мес)*11автобус*0,0909/114чел/час</v>
      </c>
      <c r="N10134" s="278">
        <f>N9843</f>
        <v>59.28728000000001</v>
      </c>
      <c r="O10134" s="280">
        <f>MROUND(N10134*G10134,0.000001)</f>
        <v>120.54817399999999</v>
      </c>
      <c r="P10134" s="166"/>
      <c r="Q10134" s="166">
        <f>O10134*K10134</f>
        <v>13742.491835999999</v>
      </c>
      <c r="R10134" s="71"/>
    </row>
    <row r="10135" spans="1:20" s="62" customFormat="1" x14ac:dyDescent="0.25">
      <c r="A10135" s="358"/>
      <c r="B10135" s="361"/>
      <c r="C10135" s="218" t="s">
        <v>300</v>
      </c>
      <c r="D10135" s="240"/>
      <c r="E10135" s="240"/>
      <c r="F10135" s="240"/>
      <c r="G10135" s="227"/>
      <c r="H10135" s="241"/>
      <c r="I10135" s="206"/>
      <c r="J10135" s="228"/>
      <c r="K10135" s="207"/>
      <c r="L10135" s="257"/>
      <c r="M10135" s="209"/>
      <c r="N10135" s="281"/>
      <c r="O10135" s="279">
        <f>O10134</f>
        <v>120.54817399999999</v>
      </c>
      <c r="P10135" s="267"/>
      <c r="Q10135" s="166"/>
      <c r="R10135" s="71"/>
    </row>
    <row r="10136" spans="1:20" s="61" customFormat="1" ht="47.25" x14ac:dyDescent="0.25">
      <c r="A10136" s="358"/>
      <c r="B10136" s="361"/>
      <c r="C10136" s="365" t="s">
        <v>118</v>
      </c>
      <c r="D10136" s="156" t="s">
        <v>47</v>
      </c>
      <c r="E10136" s="156" t="s">
        <v>28</v>
      </c>
      <c r="F10136" s="156" t="s">
        <v>239</v>
      </c>
      <c r="G10136" s="238">
        <f>MROUND(H10136*L10136*I10136/K10136,0.000001)</f>
        <v>0</v>
      </c>
      <c r="H10136" s="158">
        <f>H9845</f>
        <v>0</v>
      </c>
      <c r="I10136" s="159">
        <f>I10134</f>
        <v>9.0899999999999995E-2</v>
      </c>
      <c r="J10136" s="160"/>
      <c r="K10136" s="161">
        <f>K10134</f>
        <v>114</v>
      </c>
      <c r="L10136" s="250">
        <v>1</v>
      </c>
      <c r="M10136" s="163"/>
      <c r="N10136" s="278">
        <f>N9845</f>
        <v>0</v>
      </c>
      <c r="O10136" s="280">
        <f>MROUND(N10136*G10136,0.000001)</f>
        <v>0</v>
      </c>
      <c r="P10136" s="166"/>
      <c r="Q10136" s="166">
        <f t="shared" ref="Q10136:Q10137" si="2963">O10136*K10136</f>
        <v>0</v>
      </c>
      <c r="R10136" s="71"/>
    </row>
    <row r="10137" spans="1:20" s="61" customFormat="1" ht="47.25" x14ac:dyDescent="0.25">
      <c r="A10137" s="358"/>
      <c r="B10137" s="361"/>
      <c r="C10137" s="367"/>
      <c r="D10137" s="255" t="s">
        <v>113</v>
      </c>
      <c r="E10137" s="156" t="s">
        <v>28</v>
      </c>
      <c r="F10137" s="156" t="s">
        <v>240</v>
      </c>
      <c r="G10137" s="238">
        <f>MROUND(H10137*L10137*I10137/K10137,0.000001)</f>
        <v>1.5946999999999999E-2</v>
      </c>
      <c r="H10137" s="158">
        <f>H9846</f>
        <v>20</v>
      </c>
      <c r="I10137" s="159">
        <f>I10136</f>
        <v>9.0899999999999995E-2</v>
      </c>
      <c r="J10137" s="160"/>
      <c r="K10137" s="161">
        <f>K10136</f>
        <v>114</v>
      </c>
      <c r="L10137" s="250">
        <v>1</v>
      </c>
      <c r="M10137" s="163" t="str">
        <f>CONCATENATE(H10137," ",F10137,"*",I10137,"/",K10137,"чел/час")</f>
        <v>20 светильников (потребность учреждений)*0,0909/114чел/час</v>
      </c>
      <c r="N10137" s="278">
        <f>N9846</f>
        <v>115.61000000000001</v>
      </c>
      <c r="O10137" s="280">
        <f>MROUND(N10137*G10137,0.000001)</f>
        <v>1.8436329999999999</v>
      </c>
      <c r="P10137" s="166"/>
      <c r="Q10137" s="166">
        <f t="shared" si="2963"/>
        <v>210.174162</v>
      </c>
      <c r="R10137" s="71"/>
    </row>
    <row r="10138" spans="1:20" s="62" customFormat="1" x14ac:dyDescent="0.25">
      <c r="A10138" s="359"/>
      <c r="B10138" s="362"/>
      <c r="C10138" s="218" t="s">
        <v>301</v>
      </c>
      <c r="D10138" s="256"/>
      <c r="E10138" s="240"/>
      <c r="F10138" s="240"/>
      <c r="G10138" s="227"/>
      <c r="H10138" s="241"/>
      <c r="I10138" s="206"/>
      <c r="J10138" s="228"/>
      <c r="K10138" s="207"/>
      <c r="L10138" s="257"/>
      <c r="M10138" s="209"/>
      <c r="N10138" s="281"/>
      <c r="O10138" s="279">
        <f>O10136+O10137</f>
        <v>1.8436329999999999</v>
      </c>
      <c r="P10138" s="267"/>
      <c r="Q10138" s="166"/>
      <c r="R10138" s="71"/>
    </row>
    <row r="10139" spans="1:20" s="61" customFormat="1" x14ac:dyDescent="0.25">
      <c r="A10139" s="348" t="str">
        <f>школы!$B$44</f>
        <v>Организация отдыха детей и молодежи</v>
      </c>
      <c r="B10139" s="349" t="str">
        <f>школы!$A$44</f>
        <v>920700О.99.0.АЗ22АА01001</v>
      </c>
      <c r="C10139" s="194"/>
      <c r="D10139" s="350" t="s">
        <v>15</v>
      </c>
      <c r="E10139" s="350"/>
      <c r="F10139" s="350"/>
      <c r="G10139" s="350"/>
      <c r="H10139" s="159"/>
      <c r="I10139" s="159"/>
      <c r="J10139" s="159"/>
      <c r="K10139" s="159"/>
      <c r="L10139" s="202"/>
      <c r="M10139" s="212"/>
      <c r="N10139" s="278"/>
      <c r="O10139" s="279">
        <f>O10140+O10145</f>
        <v>2055.1031809999999</v>
      </c>
      <c r="P10139" s="166"/>
      <c r="Q10139" s="167">
        <f t="shared" ref="Q10139:Q10141" si="2964">O10139*K10139</f>
        <v>0</v>
      </c>
      <c r="R10139" s="71"/>
    </row>
    <row r="10140" spans="1:20" s="61" customFormat="1" x14ac:dyDescent="0.25">
      <c r="A10140" s="348"/>
      <c r="B10140" s="349"/>
      <c r="C10140" s="194"/>
      <c r="D10140" s="350" t="s">
        <v>62</v>
      </c>
      <c r="E10140" s="350"/>
      <c r="F10140" s="350"/>
      <c r="G10140" s="350"/>
      <c r="H10140" s="159"/>
      <c r="I10140" s="159"/>
      <c r="J10140" s="159"/>
      <c r="K10140" s="159"/>
      <c r="L10140" s="202"/>
      <c r="M10140" s="212"/>
      <c r="N10140" s="278"/>
      <c r="O10140" s="279">
        <f>O10141+O10143</f>
        <v>155.40182299999998</v>
      </c>
      <c r="P10140" s="166"/>
      <c r="Q10140" s="167">
        <f t="shared" si="2964"/>
        <v>0</v>
      </c>
      <c r="R10140" s="71"/>
    </row>
    <row r="10141" spans="1:20" s="61" customFormat="1" x14ac:dyDescent="0.25">
      <c r="A10141" s="348"/>
      <c r="B10141" s="349"/>
      <c r="C10141" s="194">
        <v>211</v>
      </c>
      <c r="D10141" s="194" t="s">
        <v>86</v>
      </c>
      <c r="E10141" s="194" t="s">
        <v>272</v>
      </c>
      <c r="F10141" s="194"/>
      <c r="G10141" s="311">
        <f>90/K10141</f>
        <v>1.5177065767284991E-2</v>
      </c>
      <c r="H10141" s="159">
        <v>2.4</v>
      </c>
      <c r="I10141" s="159"/>
      <c r="J10141" s="159"/>
      <c r="K10141" s="161">
        <f>школы!G44</f>
        <v>5930</v>
      </c>
      <c r="L10141" s="202">
        <v>24</v>
      </c>
      <c r="M10141" s="312" t="s">
        <v>442</v>
      </c>
      <c r="N10141" s="278">
        <f>Лист1!Q284</f>
        <v>7864.25</v>
      </c>
      <c r="O10141" s="280">
        <f>MROUND(N10141*G10141,0.000001)</f>
        <v>119.35623899999999</v>
      </c>
      <c r="P10141" s="166"/>
      <c r="Q10141" s="167">
        <f t="shared" si="2964"/>
        <v>707782.49726999993</v>
      </c>
      <c r="R10141" s="71"/>
      <c r="T10141" s="71"/>
    </row>
    <row r="10142" spans="1:20" s="62" customFormat="1" x14ac:dyDescent="0.25">
      <c r="A10142" s="348"/>
      <c r="B10142" s="349"/>
      <c r="C10142" s="203" t="s">
        <v>288</v>
      </c>
      <c r="D10142" s="203"/>
      <c r="E10142" s="203"/>
      <c r="F10142" s="203"/>
      <c r="G10142" s="313"/>
      <c r="H10142" s="206"/>
      <c r="I10142" s="206"/>
      <c r="J10142" s="206"/>
      <c r="K10142" s="207"/>
      <c r="L10142" s="208"/>
      <c r="M10142" s="314"/>
      <c r="N10142" s="281"/>
      <c r="O10142" s="279">
        <f>O10141</f>
        <v>119.35623899999999</v>
      </c>
      <c r="P10142" s="267"/>
      <c r="Q10142" s="167"/>
      <c r="R10142" s="71"/>
      <c r="T10142" s="72"/>
    </row>
    <row r="10143" spans="1:20" s="61" customFormat="1" x14ac:dyDescent="0.25">
      <c r="A10143" s="348"/>
      <c r="B10143" s="349"/>
      <c r="C10143" s="194">
        <v>213</v>
      </c>
      <c r="D10143" s="194" t="s">
        <v>87</v>
      </c>
      <c r="E10143" s="194" t="s">
        <v>88</v>
      </c>
      <c r="F10143" s="194"/>
      <c r="G10143" s="189">
        <v>30.2</v>
      </c>
      <c r="H10143" s="159"/>
      <c r="I10143" s="159"/>
      <c r="J10143" s="159"/>
      <c r="K10143" s="161">
        <f>K10141</f>
        <v>5930</v>
      </c>
      <c r="L10143" s="202"/>
      <c r="M10143" s="212"/>
      <c r="N10143" s="278"/>
      <c r="O10143" s="280">
        <f>MROUND(O10141*0.302,0.000001)</f>
        <v>36.045583999999998</v>
      </c>
      <c r="P10143" s="166"/>
      <c r="Q10143" s="167">
        <f t="shared" ref="Q10143" si="2965">O10143*K10143</f>
        <v>213750.31311999998</v>
      </c>
      <c r="R10143" s="71"/>
      <c r="S10143" s="71"/>
    </row>
    <row r="10144" spans="1:20" s="62" customFormat="1" x14ac:dyDescent="0.25">
      <c r="A10144" s="348"/>
      <c r="B10144" s="349"/>
      <c r="C10144" s="203" t="s">
        <v>289</v>
      </c>
      <c r="D10144" s="203"/>
      <c r="E10144" s="203"/>
      <c r="F10144" s="203"/>
      <c r="G10144" s="219"/>
      <c r="H10144" s="206"/>
      <c r="I10144" s="206"/>
      <c r="J10144" s="206"/>
      <c r="K10144" s="207"/>
      <c r="L10144" s="208"/>
      <c r="M10144" s="315"/>
      <c r="N10144" s="281"/>
      <c r="O10144" s="279">
        <f>O10143</f>
        <v>36.045583999999998</v>
      </c>
      <c r="P10144" s="267"/>
      <c r="Q10144" s="167"/>
      <c r="R10144" s="71"/>
    </row>
    <row r="10145" spans="1:22" s="99" customFormat="1" x14ac:dyDescent="0.25">
      <c r="A10145" s="348"/>
      <c r="B10145" s="349"/>
      <c r="C10145" s="316"/>
      <c r="D10145" s="351" t="s">
        <v>63</v>
      </c>
      <c r="E10145" s="351"/>
      <c r="F10145" s="351"/>
      <c r="G10145" s="351"/>
      <c r="H10145" s="270"/>
      <c r="I10145" s="270"/>
      <c r="J10145" s="270"/>
      <c r="K10145" s="270"/>
      <c r="L10145" s="317"/>
      <c r="M10145" s="318"/>
      <c r="N10145" s="164"/>
      <c r="O10145" s="294">
        <f>O10148+O10149+O10150+O10151+O10152</f>
        <v>1899.701358</v>
      </c>
      <c r="P10145" s="274"/>
      <c r="Q10145" s="167">
        <f t="shared" ref="Q10145:Q10147" si="2966">O10145*K10145</f>
        <v>0</v>
      </c>
      <c r="R10145" s="71"/>
    </row>
    <row r="10146" spans="1:22" s="99" customFormat="1" x14ac:dyDescent="0.25">
      <c r="A10146" s="348"/>
      <c r="B10146" s="349"/>
      <c r="C10146" s="352">
        <v>226</v>
      </c>
      <c r="D10146" s="181" t="s">
        <v>273</v>
      </c>
      <c r="E10146" s="316" t="s">
        <v>274</v>
      </c>
      <c r="F10146" s="316"/>
      <c r="G10146" s="319">
        <f>MROUND(H10146/K10146*L10146,0.0000001)</f>
        <v>1</v>
      </c>
      <c r="H10146" s="320">
        <f>Лист1!O410</f>
        <v>5930</v>
      </c>
      <c r="I10146" s="270"/>
      <c r="J10146" s="270"/>
      <c r="K10146" s="271">
        <f>K10141</f>
        <v>5930</v>
      </c>
      <c r="L10146" s="317">
        <v>1</v>
      </c>
      <c r="M10146" s="163" t="s">
        <v>443</v>
      </c>
      <c r="N10146" s="164">
        <f>Лист1!Q410</f>
        <v>1156.1589713322091</v>
      </c>
      <c r="O10146" s="321">
        <f>MROUND(N10146*G10146,0.000001)</f>
        <v>1156.1589709999998</v>
      </c>
      <c r="P10146" s="274"/>
      <c r="Q10146" s="167">
        <f t="shared" si="2966"/>
        <v>6856022.6980299987</v>
      </c>
      <c r="R10146" s="71"/>
    </row>
    <row r="10147" spans="1:22" s="99" customFormat="1" ht="31.5" x14ac:dyDescent="0.25">
      <c r="A10147" s="348"/>
      <c r="B10147" s="349"/>
      <c r="C10147" s="353"/>
      <c r="D10147" s="181" t="s">
        <v>275</v>
      </c>
      <c r="E10147" s="316" t="s">
        <v>88</v>
      </c>
      <c r="F10147" s="316"/>
      <c r="G10147" s="248">
        <v>50</v>
      </c>
      <c r="H10147" s="270"/>
      <c r="I10147" s="270"/>
      <c r="J10147" s="270"/>
      <c r="K10147" s="271">
        <f>K10141</f>
        <v>5930</v>
      </c>
      <c r="L10147" s="317">
        <v>1</v>
      </c>
      <c r="M10147" s="322">
        <v>0.5</v>
      </c>
      <c r="N10147" s="164"/>
      <c r="O10147" s="321">
        <f>MROUND(O10146*0.5,0.000001)</f>
        <v>578.07948599999997</v>
      </c>
      <c r="P10147" s="274"/>
      <c r="Q10147" s="167">
        <f t="shared" si="2966"/>
        <v>3428011.3519799998</v>
      </c>
      <c r="R10147" s="71"/>
      <c r="V10147" s="100"/>
    </row>
    <row r="10148" spans="1:22" s="92" customFormat="1" x14ac:dyDescent="0.25">
      <c r="A10148" s="348"/>
      <c r="B10148" s="349"/>
      <c r="C10148" s="323" t="s">
        <v>329</v>
      </c>
      <c r="D10148" s="253"/>
      <c r="E10148" s="261"/>
      <c r="F10148" s="261"/>
      <c r="G10148" s="324"/>
      <c r="H10148" s="262"/>
      <c r="I10148" s="262"/>
      <c r="J10148" s="262"/>
      <c r="K10148" s="263"/>
      <c r="L10148" s="264"/>
      <c r="M10148" s="325"/>
      <c r="N10148" s="210"/>
      <c r="O10148" s="294">
        <f>O10146+O10147</f>
        <v>1734.2384569999999</v>
      </c>
      <c r="P10148" s="295"/>
      <c r="Q10148" s="167"/>
      <c r="R10148" s="71"/>
    </row>
    <row r="10149" spans="1:22" s="99" customFormat="1" ht="47.25" x14ac:dyDescent="0.25">
      <c r="A10149" s="348"/>
      <c r="B10149" s="349"/>
      <c r="C10149" s="326">
        <v>227</v>
      </c>
      <c r="D10149" s="181" t="s">
        <v>276</v>
      </c>
      <c r="E10149" s="181" t="s">
        <v>277</v>
      </c>
      <c r="F10149" s="181"/>
      <c r="G10149" s="319">
        <f>MROUND(H10149/K10149*L10149,0.000001)</f>
        <v>1</v>
      </c>
      <c r="H10149" s="271">
        <f>K10149</f>
        <v>5930</v>
      </c>
      <c r="I10149" s="270"/>
      <c r="J10149" s="270"/>
      <c r="K10149" s="271">
        <f>K10141</f>
        <v>5930</v>
      </c>
      <c r="L10149" s="317">
        <v>1</v>
      </c>
      <c r="M10149" s="322" t="s">
        <v>278</v>
      </c>
      <c r="N10149" s="164">
        <f>Лист1!Q412</f>
        <v>60</v>
      </c>
      <c r="O10149" s="321">
        <f>MROUND(N10149*G10149,0.000001)</f>
        <v>60</v>
      </c>
      <c r="P10149" s="274"/>
      <c r="Q10149" s="167">
        <f t="shared" ref="Q10149:Q10151" si="2967">O10149*K10149</f>
        <v>355800</v>
      </c>
      <c r="R10149" s="71"/>
    </row>
    <row r="10150" spans="1:22" s="99" customFormat="1" ht="31.5" x14ac:dyDescent="0.25">
      <c r="A10150" s="348"/>
      <c r="B10150" s="349"/>
      <c r="C10150" s="326" t="s">
        <v>118</v>
      </c>
      <c r="D10150" s="181" t="s">
        <v>279</v>
      </c>
      <c r="E10150" s="181" t="s">
        <v>280</v>
      </c>
      <c r="F10150" s="181"/>
      <c r="G10150" s="319">
        <f>MROUND(H10150/K10150*L10150,0.000001)</f>
        <v>1</v>
      </c>
      <c r="H10150" s="271">
        <f>K10150</f>
        <v>5930</v>
      </c>
      <c r="I10150" s="270"/>
      <c r="J10150" s="270"/>
      <c r="K10150" s="271">
        <f>K10141</f>
        <v>5930</v>
      </c>
      <c r="L10150" s="317">
        <v>1</v>
      </c>
      <c r="M10150" s="322" t="s">
        <v>281</v>
      </c>
      <c r="N10150" s="164">
        <f>Лист1!Q413</f>
        <v>47.613827993254638</v>
      </c>
      <c r="O10150" s="321">
        <f>MROUND(N10150*G10150,0.000001)</f>
        <v>47.613827999999998</v>
      </c>
      <c r="P10150" s="274"/>
      <c r="Q10150" s="167">
        <f t="shared" si="2967"/>
        <v>282350.00004000001</v>
      </c>
      <c r="R10150" s="71"/>
    </row>
    <row r="10151" spans="1:22" s="99" customFormat="1" ht="63" x14ac:dyDescent="0.25">
      <c r="A10151" s="348"/>
      <c r="B10151" s="349"/>
      <c r="C10151" s="326" t="s">
        <v>360</v>
      </c>
      <c r="D10151" s="181" t="s">
        <v>282</v>
      </c>
      <c r="E10151" s="181" t="s">
        <v>283</v>
      </c>
      <c r="F10151" s="181"/>
      <c r="G10151" s="319">
        <f>MROUND(H10151/K10151*L10151,0.000001)</f>
        <v>1</v>
      </c>
      <c r="H10151" s="271">
        <f>K10151</f>
        <v>5930</v>
      </c>
      <c r="I10151" s="270"/>
      <c r="J10151" s="270"/>
      <c r="K10151" s="271">
        <f>K10146</f>
        <v>5930</v>
      </c>
      <c r="L10151" s="317">
        <v>1</v>
      </c>
      <c r="M10151" s="322" t="s">
        <v>284</v>
      </c>
      <c r="N10151" s="164">
        <f>Лист1!Q414</f>
        <v>47.613827993254638</v>
      </c>
      <c r="O10151" s="321">
        <f>MROUND(N10151*G10151,0.000001)</f>
        <v>47.613827999999998</v>
      </c>
      <c r="P10151" s="274"/>
      <c r="Q10151" s="167">
        <f t="shared" si="2967"/>
        <v>282350.00004000001</v>
      </c>
      <c r="R10151" s="71"/>
    </row>
    <row r="10152" spans="1:22" s="99" customFormat="1" ht="31.5" x14ac:dyDescent="0.25">
      <c r="A10152" s="348"/>
      <c r="B10152" s="349"/>
      <c r="C10152" s="326" t="s">
        <v>359</v>
      </c>
      <c r="D10152" s="181" t="s">
        <v>351</v>
      </c>
      <c r="E10152" s="181" t="s">
        <v>354</v>
      </c>
      <c r="F10152" s="181"/>
      <c r="G10152" s="319">
        <f>MROUND(H10152/K10152*L10152,0.000001)</f>
        <v>1</v>
      </c>
      <c r="H10152" s="271">
        <f>K10152</f>
        <v>5930</v>
      </c>
      <c r="I10152" s="270"/>
      <c r="J10152" s="270"/>
      <c r="K10152" s="271">
        <f>K10141</f>
        <v>5930</v>
      </c>
      <c r="L10152" s="317">
        <v>1</v>
      </c>
      <c r="M10152" s="322" t="s">
        <v>353</v>
      </c>
      <c r="N10152" s="164">
        <f>Лист1!Q415</f>
        <v>10.235244519392918</v>
      </c>
      <c r="O10152" s="321">
        <f>MROUND(N10152*G10152,0.000001)</f>
        <v>10.235244999999999</v>
      </c>
      <c r="P10152" s="274"/>
      <c r="Q10152" s="167">
        <f>O10152*K10152</f>
        <v>60695.002849999997</v>
      </c>
      <c r="R10152" s="71"/>
      <c r="S10152" s="100"/>
      <c r="T10152" s="100"/>
    </row>
    <row r="10153" spans="1:22" s="99" customFormat="1" x14ac:dyDescent="0.25">
      <c r="A10153" s="348"/>
      <c r="B10153" s="349"/>
      <c r="C10153" s="316"/>
      <c r="D10153" s="354" t="s">
        <v>64</v>
      </c>
      <c r="E10153" s="354"/>
      <c r="F10153" s="354"/>
      <c r="G10153" s="354"/>
      <c r="H10153" s="270"/>
      <c r="I10153" s="270"/>
      <c r="J10153" s="270"/>
      <c r="K10153" s="270"/>
      <c r="L10153" s="317"/>
      <c r="M10153" s="318"/>
      <c r="N10153" s="164"/>
      <c r="O10153" s="321"/>
      <c r="P10153" s="274"/>
      <c r="Q10153" s="166">
        <f t="shared" ref="Q10153:Q10168" si="2968">O10153*K10153</f>
        <v>0</v>
      </c>
      <c r="R10153" s="100"/>
    </row>
    <row r="10154" spans="1:22" s="99" customFormat="1" x14ac:dyDescent="0.25">
      <c r="A10154" s="348"/>
      <c r="B10154" s="349"/>
      <c r="C10154" s="316"/>
      <c r="D10154" s="316"/>
      <c r="E10154" s="316"/>
      <c r="F10154" s="316"/>
      <c r="G10154" s="269"/>
      <c r="H10154" s="270"/>
      <c r="I10154" s="270"/>
      <c r="J10154" s="270"/>
      <c r="K10154" s="270"/>
      <c r="L10154" s="317"/>
      <c r="M10154" s="318"/>
      <c r="N10154" s="164"/>
      <c r="O10154" s="321"/>
      <c r="P10154" s="274"/>
      <c r="Q10154" s="166">
        <f t="shared" si="2968"/>
        <v>0</v>
      </c>
    </row>
    <row r="10155" spans="1:22" s="61" customFormat="1" x14ac:dyDescent="0.25">
      <c r="A10155" s="348"/>
      <c r="B10155" s="349"/>
      <c r="C10155" s="194"/>
      <c r="D10155" s="355" t="s">
        <v>5</v>
      </c>
      <c r="E10155" s="355"/>
      <c r="F10155" s="355"/>
      <c r="G10155" s="355"/>
      <c r="H10155" s="159"/>
      <c r="I10155" s="159"/>
      <c r="J10155" s="159"/>
      <c r="K10155" s="159"/>
      <c r="L10155" s="202"/>
      <c r="M10155" s="212"/>
      <c r="N10155" s="278"/>
      <c r="O10155" s="280"/>
      <c r="P10155" s="166"/>
      <c r="Q10155" s="166">
        <f t="shared" si="2968"/>
        <v>0</v>
      </c>
    </row>
    <row r="10156" spans="1:22" s="61" customFormat="1" x14ac:dyDescent="0.25">
      <c r="A10156" s="348"/>
      <c r="B10156" s="349"/>
      <c r="C10156" s="221" t="s">
        <v>70</v>
      </c>
      <c r="D10156" s="355" t="s">
        <v>6</v>
      </c>
      <c r="E10156" s="355"/>
      <c r="F10156" s="355"/>
      <c r="G10156" s="355"/>
      <c r="H10156" s="189"/>
      <c r="I10156" s="189"/>
      <c r="J10156" s="189"/>
      <c r="K10156" s="189"/>
      <c r="L10156" s="190"/>
      <c r="M10156" s="212"/>
      <c r="N10156" s="278"/>
      <c r="O10156" s="280"/>
      <c r="P10156" s="166"/>
      <c r="Q10156" s="166">
        <f t="shared" si="2968"/>
        <v>0</v>
      </c>
    </row>
    <row r="10157" spans="1:22" s="61" customFormat="1" x14ac:dyDescent="0.25">
      <c r="A10157" s="348"/>
      <c r="B10157" s="349"/>
      <c r="C10157" s="221"/>
      <c r="D10157" s="156"/>
      <c r="E10157" s="156"/>
      <c r="F10157" s="156"/>
      <c r="G10157" s="311"/>
      <c r="H10157" s="327"/>
      <c r="I10157" s="159"/>
      <c r="J10157" s="159"/>
      <c r="K10157" s="159"/>
      <c r="L10157" s="202"/>
      <c r="M10157" s="156"/>
      <c r="N10157" s="278"/>
      <c r="O10157" s="280"/>
      <c r="P10157" s="166"/>
      <c r="Q10157" s="166">
        <f t="shared" si="2968"/>
        <v>0</v>
      </c>
    </row>
    <row r="10158" spans="1:22" s="61" customFormat="1" x14ac:dyDescent="0.25">
      <c r="A10158" s="348"/>
      <c r="B10158" s="349"/>
      <c r="C10158" s="221"/>
      <c r="D10158" s="356" t="s">
        <v>14</v>
      </c>
      <c r="E10158" s="356"/>
      <c r="F10158" s="356"/>
      <c r="G10158" s="356"/>
      <c r="H10158" s="188"/>
      <c r="I10158" s="188"/>
      <c r="J10158" s="188"/>
      <c r="K10158" s="188"/>
      <c r="L10158" s="328"/>
      <c r="M10158" s="329"/>
      <c r="N10158" s="278"/>
      <c r="O10158" s="280"/>
      <c r="P10158" s="166"/>
      <c r="Q10158" s="166">
        <f t="shared" si="2968"/>
        <v>0</v>
      </c>
    </row>
    <row r="10159" spans="1:22" s="61" customFormat="1" x14ac:dyDescent="0.25">
      <c r="A10159" s="348"/>
      <c r="B10159" s="349"/>
      <c r="C10159" s="221"/>
      <c r="D10159" s="231"/>
      <c r="E10159" s="231"/>
      <c r="F10159" s="231"/>
      <c r="G10159" s="188"/>
      <c r="H10159" s="188"/>
      <c r="I10159" s="188"/>
      <c r="J10159" s="188"/>
      <c r="K10159" s="188"/>
      <c r="L10159" s="328"/>
      <c r="M10159" s="329"/>
      <c r="N10159" s="278"/>
      <c r="O10159" s="280"/>
      <c r="P10159" s="166"/>
      <c r="Q10159" s="166">
        <f t="shared" si="2968"/>
        <v>0</v>
      </c>
    </row>
    <row r="10160" spans="1:22" s="61" customFormat="1" x14ac:dyDescent="0.25">
      <c r="A10160" s="348"/>
      <c r="B10160" s="349"/>
      <c r="C10160" s="221"/>
      <c r="D10160" s="350" t="s">
        <v>65</v>
      </c>
      <c r="E10160" s="350"/>
      <c r="F10160" s="350"/>
      <c r="G10160" s="350"/>
      <c r="H10160" s="159"/>
      <c r="I10160" s="159"/>
      <c r="J10160" s="159"/>
      <c r="K10160" s="159"/>
      <c r="L10160" s="202"/>
      <c r="M10160" s="329"/>
      <c r="N10160" s="278"/>
      <c r="O10160" s="280"/>
      <c r="P10160" s="166"/>
      <c r="Q10160" s="166">
        <f t="shared" si="2968"/>
        <v>0</v>
      </c>
    </row>
    <row r="10161" spans="1:20" s="61" customFormat="1" x14ac:dyDescent="0.25">
      <c r="A10161" s="348"/>
      <c r="B10161" s="349"/>
      <c r="C10161" s="221"/>
      <c r="D10161" s="194"/>
      <c r="E10161" s="194"/>
      <c r="F10161" s="194"/>
      <c r="G10161" s="189"/>
      <c r="H10161" s="159"/>
      <c r="I10161" s="159"/>
      <c r="J10161" s="159"/>
      <c r="K10161" s="159"/>
      <c r="L10161" s="202"/>
      <c r="M10161" s="329"/>
      <c r="N10161" s="278"/>
      <c r="O10161" s="280"/>
      <c r="P10161" s="166"/>
      <c r="Q10161" s="166">
        <f t="shared" si="2968"/>
        <v>0</v>
      </c>
    </row>
    <row r="10162" spans="1:20" s="61" customFormat="1" x14ac:dyDescent="0.25">
      <c r="A10162" s="348"/>
      <c r="B10162" s="349"/>
      <c r="C10162" s="221"/>
      <c r="D10162" s="355" t="s">
        <v>66</v>
      </c>
      <c r="E10162" s="355"/>
      <c r="F10162" s="355"/>
      <c r="G10162" s="355"/>
      <c r="H10162" s="159"/>
      <c r="I10162" s="159"/>
      <c r="J10162" s="159"/>
      <c r="K10162" s="159"/>
      <c r="L10162" s="202"/>
      <c r="M10162" s="329"/>
      <c r="N10162" s="278"/>
      <c r="O10162" s="280"/>
      <c r="P10162" s="166"/>
      <c r="Q10162" s="166">
        <f t="shared" si="2968"/>
        <v>0</v>
      </c>
    </row>
    <row r="10163" spans="1:20" s="61" customFormat="1" x14ac:dyDescent="0.25">
      <c r="A10163" s="348"/>
      <c r="B10163" s="349"/>
      <c r="C10163" s="221"/>
      <c r="D10163" s="194"/>
      <c r="E10163" s="194"/>
      <c r="F10163" s="194"/>
      <c r="G10163" s="189"/>
      <c r="H10163" s="159"/>
      <c r="I10163" s="159"/>
      <c r="J10163" s="159"/>
      <c r="K10163" s="159"/>
      <c r="L10163" s="202"/>
      <c r="M10163" s="329"/>
      <c r="N10163" s="278"/>
      <c r="O10163" s="280"/>
      <c r="P10163" s="166"/>
      <c r="Q10163" s="166">
        <f t="shared" si="2968"/>
        <v>0</v>
      </c>
    </row>
    <row r="10164" spans="1:20" s="61" customFormat="1" x14ac:dyDescent="0.25">
      <c r="A10164" s="348"/>
      <c r="B10164" s="349"/>
      <c r="C10164" s="221"/>
      <c r="D10164" s="355" t="s">
        <v>67</v>
      </c>
      <c r="E10164" s="355"/>
      <c r="F10164" s="355"/>
      <c r="G10164" s="355"/>
      <c r="H10164" s="159"/>
      <c r="I10164" s="159"/>
      <c r="J10164" s="159"/>
      <c r="K10164" s="159"/>
      <c r="L10164" s="202"/>
      <c r="M10164" s="329"/>
      <c r="N10164" s="278"/>
      <c r="O10164" s="280"/>
      <c r="P10164" s="166"/>
      <c r="Q10164" s="166">
        <f t="shared" si="2968"/>
        <v>0</v>
      </c>
    </row>
    <row r="10165" spans="1:20" s="61" customFormat="1" x14ac:dyDescent="0.25">
      <c r="A10165" s="348"/>
      <c r="B10165" s="349"/>
      <c r="C10165" s="221"/>
      <c r="D10165" s="194"/>
      <c r="E10165" s="194"/>
      <c r="F10165" s="194"/>
      <c r="G10165" s="189"/>
      <c r="H10165" s="159"/>
      <c r="I10165" s="159"/>
      <c r="J10165" s="159"/>
      <c r="K10165" s="159"/>
      <c r="L10165" s="202"/>
      <c r="M10165" s="329"/>
      <c r="N10165" s="278"/>
      <c r="O10165" s="280"/>
      <c r="P10165" s="166"/>
      <c r="Q10165" s="166">
        <f t="shared" si="2968"/>
        <v>0</v>
      </c>
    </row>
    <row r="10166" spans="1:20" s="61" customFormat="1" x14ac:dyDescent="0.25">
      <c r="A10166" s="348"/>
      <c r="B10166" s="349"/>
      <c r="C10166" s="221"/>
      <c r="D10166" s="350" t="s">
        <v>68</v>
      </c>
      <c r="E10166" s="350"/>
      <c r="F10166" s="350"/>
      <c r="G10166" s="350"/>
      <c r="H10166" s="159"/>
      <c r="I10166" s="159"/>
      <c r="J10166" s="159"/>
      <c r="K10166" s="159"/>
      <c r="L10166" s="202"/>
      <c r="M10166" s="329"/>
      <c r="N10166" s="278"/>
      <c r="O10166" s="280"/>
      <c r="P10166" s="166"/>
      <c r="Q10166" s="166">
        <f t="shared" si="2968"/>
        <v>0</v>
      </c>
    </row>
    <row r="10167" spans="1:20" s="61" customFormat="1" x14ac:dyDescent="0.25">
      <c r="A10167" s="348"/>
      <c r="B10167" s="349"/>
      <c r="C10167" s="221"/>
      <c r="D10167" s="156"/>
      <c r="E10167" s="156"/>
      <c r="F10167" s="156"/>
      <c r="G10167" s="188"/>
      <c r="H10167" s="159"/>
      <c r="I10167" s="159"/>
      <c r="J10167" s="159"/>
      <c r="K10167" s="159"/>
      <c r="L10167" s="202"/>
      <c r="M10167" s="329"/>
      <c r="N10167" s="278"/>
      <c r="O10167" s="280"/>
      <c r="P10167" s="166"/>
      <c r="Q10167" s="166">
        <f t="shared" si="2968"/>
        <v>0</v>
      </c>
    </row>
    <row r="10168" spans="1:20" s="61" customFormat="1" x14ac:dyDescent="0.25">
      <c r="A10168" s="348"/>
      <c r="B10168" s="349"/>
      <c r="C10168" s="221"/>
      <c r="D10168" s="355" t="s">
        <v>69</v>
      </c>
      <c r="E10168" s="355"/>
      <c r="F10168" s="355"/>
      <c r="G10168" s="355"/>
      <c r="H10168" s="189"/>
      <c r="I10168" s="189"/>
      <c r="J10168" s="189"/>
      <c r="K10168" s="189"/>
      <c r="L10168" s="190"/>
      <c r="M10168" s="329"/>
      <c r="N10168" s="278"/>
      <c r="O10168" s="280"/>
      <c r="P10168" s="166"/>
      <c r="Q10168" s="166">
        <f t="shared" si="2968"/>
        <v>0</v>
      </c>
    </row>
    <row r="10169" spans="1:20" s="61" customFormat="1" x14ac:dyDescent="0.25">
      <c r="B10169" s="166"/>
      <c r="C10169" s="330"/>
      <c r="D10169" s="331"/>
      <c r="E10169" s="332"/>
      <c r="F10169" s="332"/>
      <c r="G10169" s="333"/>
      <c r="H10169" s="334"/>
      <c r="I10169" s="335"/>
      <c r="J10169" s="335"/>
      <c r="K10169" s="335"/>
      <c r="L10169" s="335"/>
      <c r="M10169" s="335"/>
      <c r="N10169" s="336"/>
      <c r="O10169" s="332"/>
      <c r="P10169" s="166"/>
      <c r="Q10169" s="167">
        <f>SUBTOTAL(9,Q6787:Q10168)</f>
        <v>685380006.81342936</v>
      </c>
      <c r="R10169" s="71">
        <f>Лист1!B416-Лист1!B408+Лист1!F416-Лист1!F408+Лист1!J416-Лист1!J408+Лист1!N416</f>
        <v>685380632.10000002</v>
      </c>
      <c r="S10169" s="71"/>
      <c r="T10169" s="71"/>
    </row>
    <row r="10170" spans="1:20" s="61" customFormat="1" x14ac:dyDescent="0.25">
      <c r="B10170" s="166"/>
      <c r="C10170" s="330"/>
      <c r="D10170" s="331"/>
      <c r="E10170" s="332"/>
      <c r="F10170" s="332"/>
      <c r="G10170" s="333"/>
      <c r="H10170" s="335"/>
      <c r="I10170" s="335"/>
      <c r="J10170" s="335"/>
      <c r="K10170" s="335"/>
      <c r="L10170" s="335"/>
      <c r="M10170" s="335"/>
      <c r="N10170" s="332"/>
      <c r="O10170" s="332"/>
      <c r="P10170" s="166"/>
      <c r="Q10170" s="166"/>
      <c r="R10170" s="71"/>
    </row>
    <row r="10171" spans="1:20" x14ac:dyDescent="0.25">
      <c r="Q10171" s="167">
        <f>SUBTOTAL(9,Q6783:Q6783)</f>
        <v>0</v>
      </c>
      <c r="R10171" s="71" t="e">
        <f>Лист1!#REF!+Лист1!#REF!+Лист1!#REF!+Лист1!#REF!-Лист1!#REF!-Лист1!#REF!-Лист1!#REF!</f>
        <v>#REF!</v>
      </c>
      <c r="S10171" s="71"/>
    </row>
    <row r="10172" spans="1:20" x14ac:dyDescent="0.25">
      <c r="R10172" s="71" t="e">
        <f>Лист1!#REF!-Лист1!#REF!</f>
        <v>#REF!</v>
      </c>
      <c r="S10172" s="71"/>
    </row>
    <row r="10174" spans="1:20" x14ac:dyDescent="0.25">
      <c r="B10174" s="337" t="s">
        <v>447</v>
      </c>
      <c r="C10174" s="338"/>
      <c r="D10174" s="338"/>
      <c r="E10174" s="338"/>
      <c r="F10174" s="338"/>
      <c r="G10174" s="172" t="s">
        <v>382</v>
      </c>
    </row>
    <row r="10175" spans="1:20" x14ac:dyDescent="0.25">
      <c r="R10175" s="71">
        <f>Q6780-Лист1!F163-Лист1!F164-Лист1!F165</f>
        <v>755211026.70951188</v>
      </c>
    </row>
    <row r="10177" spans="2:20" x14ac:dyDescent="0.25">
      <c r="B10177" s="390" t="s">
        <v>448</v>
      </c>
    </row>
    <row r="10180" spans="2:20" x14ac:dyDescent="0.25">
      <c r="H10180" s="339"/>
    </row>
    <row r="10182" spans="2:20" x14ac:dyDescent="0.25">
      <c r="R10182" s="71"/>
      <c r="T10182" s="71"/>
    </row>
    <row r="10183" spans="2:20" x14ac:dyDescent="0.25">
      <c r="R10183" s="71"/>
      <c r="S10183" s="71"/>
      <c r="T10183" s="71"/>
    </row>
  </sheetData>
  <mergeCells count="2027">
    <mergeCell ref="A6750:A6779"/>
    <mergeCell ref="B6750:B6779"/>
    <mergeCell ref="D6750:G6750"/>
    <mergeCell ref="D6751:G6751"/>
    <mergeCell ref="D6756:G6756"/>
    <mergeCell ref="C6757:C6758"/>
    <mergeCell ref="D6764:G6764"/>
    <mergeCell ref="D6766:G6766"/>
    <mergeCell ref="D6767:G6767"/>
    <mergeCell ref="D6769:G6769"/>
    <mergeCell ref="D6771:G6771"/>
    <mergeCell ref="D6773:G6773"/>
    <mergeCell ref="D6775:G6775"/>
    <mergeCell ref="D6777:G6777"/>
    <mergeCell ref="D6779:G6779"/>
    <mergeCell ref="A6653:A6749"/>
    <mergeCell ref="B6653:B6749"/>
    <mergeCell ref="D6653:G6653"/>
    <mergeCell ref="D6654:G6654"/>
    <mergeCell ref="D6659:G6659"/>
    <mergeCell ref="D6662:G6662"/>
    <mergeCell ref="D6664:G6664"/>
    <mergeCell ref="D6665:G6665"/>
    <mergeCell ref="C6668:C6670"/>
    <mergeCell ref="C6671:C6672"/>
    <mergeCell ref="D6674:G6674"/>
    <mergeCell ref="C6675:C6677"/>
    <mergeCell ref="C6679:C6681"/>
    <mergeCell ref="D6685:G6685"/>
    <mergeCell ref="D6687:G6687"/>
    <mergeCell ref="C6688:C6692"/>
    <mergeCell ref="D6694:G6694"/>
    <mergeCell ref="D6696:G6696"/>
    <mergeCell ref="D6698:G6698"/>
    <mergeCell ref="C6699:C6704"/>
    <mergeCell ref="C6706:C6711"/>
    <mergeCell ref="C6717:C6733"/>
    <mergeCell ref="C6739:C6743"/>
    <mergeCell ref="C6747:C6748"/>
    <mergeCell ref="A6556:A6652"/>
    <mergeCell ref="B6556:B6652"/>
    <mergeCell ref="D6556:G6556"/>
    <mergeCell ref="D6557:G6557"/>
    <mergeCell ref="D6562:G6562"/>
    <mergeCell ref="D6565:G6565"/>
    <mergeCell ref="D6567:G6567"/>
    <mergeCell ref="D6568:G6568"/>
    <mergeCell ref="C6571:C6573"/>
    <mergeCell ref="C6574:C6575"/>
    <mergeCell ref="D6577:G6577"/>
    <mergeCell ref="C6578:C6580"/>
    <mergeCell ref="C6582:C6584"/>
    <mergeCell ref="D6588:G6588"/>
    <mergeCell ref="D6590:G6590"/>
    <mergeCell ref="C6591:C6595"/>
    <mergeCell ref="D6597:G6597"/>
    <mergeCell ref="D6599:G6599"/>
    <mergeCell ref="D6601:G6601"/>
    <mergeCell ref="C6602:C6607"/>
    <mergeCell ref="C6609:C6614"/>
    <mergeCell ref="C6620:C6636"/>
    <mergeCell ref="C6642:C6646"/>
    <mergeCell ref="C6650:C6651"/>
    <mergeCell ref="A6459:A6555"/>
    <mergeCell ref="B6459:B6555"/>
    <mergeCell ref="D6459:G6459"/>
    <mergeCell ref="D6460:G6460"/>
    <mergeCell ref="D6465:G6465"/>
    <mergeCell ref="D6468:G6468"/>
    <mergeCell ref="D6470:G6470"/>
    <mergeCell ref="D6471:G6471"/>
    <mergeCell ref="C6474:C6476"/>
    <mergeCell ref="C6477:C6478"/>
    <mergeCell ref="D6480:G6480"/>
    <mergeCell ref="C6481:C6483"/>
    <mergeCell ref="C6485:C6487"/>
    <mergeCell ref="D6491:G6491"/>
    <mergeCell ref="D6493:G6493"/>
    <mergeCell ref="C6494:C6498"/>
    <mergeCell ref="D6500:G6500"/>
    <mergeCell ref="D6502:G6502"/>
    <mergeCell ref="D6504:G6504"/>
    <mergeCell ref="C6505:C6510"/>
    <mergeCell ref="C6512:C6517"/>
    <mergeCell ref="C6523:C6539"/>
    <mergeCell ref="C6545:C6549"/>
    <mergeCell ref="C6553:C6554"/>
    <mergeCell ref="A6362:A6458"/>
    <mergeCell ref="B6362:B6458"/>
    <mergeCell ref="D6362:G6362"/>
    <mergeCell ref="D6363:G6363"/>
    <mergeCell ref="D6368:G6368"/>
    <mergeCell ref="D6371:G6371"/>
    <mergeCell ref="D6373:G6373"/>
    <mergeCell ref="D6374:G6374"/>
    <mergeCell ref="C6377:C6379"/>
    <mergeCell ref="C6380:C6381"/>
    <mergeCell ref="D6383:G6383"/>
    <mergeCell ref="C6384:C6386"/>
    <mergeCell ref="C6388:C6390"/>
    <mergeCell ref="D6394:G6394"/>
    <mergeCell ref="D6396:G6396"/>
    <mergeCell ref="C6397:C6401"/>
    <mergeCell ref="D6403:G6403"/>
    <mergeCell ref="D6405:G6405"/>
    <mergeCell ref="D6407:G6407"/>
    <mergeCell ref="C6408:C6413"/>
    <mergeCell ref="C6415:C6420"/>
    <mergeCell ref="C6426:C6442"/>
    <mergeCell ref="C6448:C6452"/>
    <mergeCell ref="C6456:C6457"/>
    <mergeCell ref="A6260:A6361"/>
    <mergeCell ref="B6260:B6361"/>
    <mergeCell ref="D6260:G6260"/>
    <mergeCell ref="D6261:G6261"/>
    <mergeCell ref="D6265:G6265"/>
    <mergeCell ref="D6267:G6267"/>
    <mergeCell ref="D6269:G6269"/>
    <mergeCell ref="D6270:G6270"/>
    <mergeCell ref="C6273:C6275"/>
    <mergeCell ref="C6276:C6277"/>
    <mergeCell ref="D6279:G6279"/>
    <mergeCell ref="D6290:G6290"/>
    <mergeCell ref="C6292:C6297"/>
    <mergeCell ref="D6292:G6292"/>
    <mergeCell ref="C6299:C6300"/>
    <mergeCell ref="D6299:G6299"/>
    <mergeCell ref="D6301:G6301"/>
    <mergeCell ref="D6303:G6303"/>
    <mergeCell ref="C6304:C6309"/>
    <mergeCell ref="C6311:C6325"/>
    <mergeCell ref="C6330:C6341"/>
    <mergeCell ref="C6345:C6354"/>
    <mergeCell ref="C6359:C6360"/>
    <mergeCell ref="A6158:A6259"/>
    <mergeCell ref="B6158:B6259"/>
    <mergeCell ref="D6158:G6158"/>
    <mergeCell ref="D6159:G6159"/>
    <mergeCell ref="D6163:G6163"/>
    <mergeCell ref="D6165:G6165"/>
    <mergeCell ref="D6167:G6167"/>
    <mergeCell ref="D6168:G6168"/>
    <mergeCell ref="C6171:C6173"/>
    <mergeCell ref="C6174:C6175"/>
    <mergeCell ref="D6177:G6177"/>
    <mergeCell ref="D6188:G6188"/>
    <mergeCell ref="C6190:C6195"/>
    <mergeCell ref="D6190:G6190"/>
    <mergeCell ref="C6197:C6198"/>
    <mergeCell ref="D6197:G6197"/>
    <mergeCell ref="D6199:G6199"/>
    <mergeCell ref="D6201:G6201"/>
    <mergeCell ref="C6202:C6207"/>
    <mergeCell ref="C6209:C6223"/>
    <mergeCell ref="C6228:C6239"/>
    <mergeCell ref="C6243:C6252"/>
    <mergeCell ref="C6257:C6258"/>
    <mergeCell ref="A6056:A6157"/>
    <mergeCell ref="B6056:B6157"/>
    <mergeCell ref="D6056:G6056"/>
    <mergeCell ref="D6057:G6057"/>
    <mergeCell ref="D6061:G6061"/>
    <mergeCell ref="D6063:G6063"/>
    <mergeCell ref="D6065:G6065"/>
    <mergeCell ref="D6066:G6066"/>
    <mergeCell ref="C6069:C6071"/>
    <mergeCell ref="C6072:C6073"/>
    <mergeCell ref="D6075:G6075"/>
    <mergeCell ref="D6086:G6086"/>
    <mergeCell ref="C6088:C6093"/>
    <mergeCell ref="D6088:G6088"/>
    <mergeCell ref="C6095:C6096"/>
    <mergeCell ref="D6095:G6095"/>
    <mergeCell ref="D6097:G6097"/>
    <mergeCell ref="D6099:G6099"/>
    <mergeCell ref="C6100:C6105"/>
    <mergeCell ref="C6107:C6121"/>
    <mergeCell ref="C6126:C6137"/>
    <mergeCell ref="C6141:C6150"/>
    <mergeCell ref="C6155:C6156"/>
    <mergeCell ref="A5954:A6055"/>
    <mergeCell ref="B5954:B6055"/>
    <mergeCell ref="D5954:G5954"/>
    <mergeCell ref="D5955:G5955"/>
    <mergeCell ref="D5959:G5959"/>
    <mergeCell ref="D5961:G5961"/>
    <mergeCell ref="D5963:G5963"/>
    <mergeCell ref="D5964:G5964"/>
    <mergeCell ref="C5967:C5969"/>
    <mergeCell ref="C5970:C5971"/>
    <mergeCell ref="D5973:G5973"/>
    <mergeCell ref="D5984:G5984"/>
    <mergeCell ref="C5986:C5991"/>
    <mergeCell ref="D5986:G5986"/>
    <mergeCell ref="C5993:C5994"/>
    <mergeCell ref="D5993:G5993"/>
    <mergeCell ref="D5995:G5995"/>
    <mergeCell ref="D5997:G5997"/>
    <mergeCell ref="C5998:C6003"/>
    <mergeCell ref="C6005:C6019"/>
    <mergeCell ref="C6024:C6035"/>
    <mergeCell ref="C6039:C6048"/>
    <mergeCell ref="C6053:C6054"/>
    <mergeCell ref="A5852:A5953"/>
    <mergeCell ref="B5852:B5953"/>
    <mergeCell ref="D5852:G5852"/>
    <mergeCell ref="D5853:G5853"/>
    <mergeCell ref="D5857:G5857"/>
    <mergeCell ref="D5859:G5859"/>
    <mergeCell ref="D5861:G5861"/>
    <mergeCell ref="D5862:G5862"/>
    <mergeCell ref="C5865:C5867"/>
    <mergeCell ref="C5868:C5869"/>
    <mergeCell ref="D5871:G5871"/>
    <mergeCell ref="D5882:G5882"/>
    <mergeCell ref="C5884:C5889"/>
    <mergeCell ref="D5884:G5884"/>
    <mergeCell ref="C5891:C5892"/>
    <mergeCell ref="D5891:G5891"/>
    <mergeCell ref="D5893:G5893"/>
    <mergeCell ref="D5895:G5895"/>
    <mergeCell ref="C5896:C5901"/>
    <mergeCell ref="C5903:C5917"/>
    <mergeCell ref="C5922:C5933"/>
    <mergeCell ref="C5937:C5946"/>
    <mergeCell ref="C5951:C5952"/>
    <mergeCell ref="A5750:A5851"/>
    <mergeCell ref="B5750:B5851"/>
    <mergeCell ref="D5750:G5750"/>
    <mergeCell ref="D5751:G5751"/>
    <mergeCell ref="D5755:G5755"/>
    <mergeCell ref="D5757:G5757"/>
    <mergeCell ref="D5759:G5759"/>
    <mergeCell ref="D5760:G5760"/>
    <mergeCell ref="C5763:C5765"/>
    <mergeCell ref="C5766:C5767"/>
    <mergeCell ref="D5769:G5769"/>
    <mergeCell ref="D5780:G5780"/>
    <mergeCell ref="C5782:C5787"/>
    <mergeCell ref="D5782:G5782"/>
    <mergeCell ref="C5789:C5790"/>
    <mergeCell ref="D5789:G5789"/>
    <mergeCell ref="D5791:G5791"/>
    <mergeCell ref="D5793:G5793"/>
    <mergeCell ref="C5794:C5799"/>
    <mergeCell ref="C5801:C5815"/>
    <mergeCell ref="C5820:C5831"/>
    <mergeCell ref="C5835:C5844"/>
    <mergeCell ref="C5849:C5850"/>
    <mergeCell ref="A5646:A5749"/>
    <mergeCell ref="B5646:B5749"/>
    <mergeCell ref="D5646:G5646"/>
    <mergeCell ref="D5647:G5647"/>
    <mergeCell ref="D5652:G5652"/>
    <mergeCell ref="D5655:G5655"/>
    <mergeCell ref="D5657:G5657"/>
    <mergeCell ref="D5658:G5658"/>
    <mergeCell ref="C5661:C5663"/>
    <mergeCell ref="C5664:C5665"/>
    <mergeCell ref="D5667:G5667"/>
    <mergeCell ref="D5678:G5678"/>
    <mergeCell ref="C5680:C5685"/>
    <mergeCell ref="D5680:G5680"/>
    <mergeCell ref="C5687:C5688"/>
    <mergeCell ref="D5687:G5687"/>
    <mergeCell ref="D5689:G5689"/>
    <mergeCell ref="D5691:G5691"/>
    <mergeCell ref="C5692:C5697"/>
    <mergeCell ref="C5699:C5713"/>
    <mergeCell ref="C5718:C5729"/>
    <mergeCell ref="C5733:C5742"/>
    <mergeCell ref="C5747:C5748"/>
    <mergeCell ref="A5542:A5645"/>
    <mergeCell ref="B5542:B5645"/>
    <mergeCell ref="D5542:G5542"/>
    <mergeCell ref="D5543:G5543"/>
    <mergeCell ref="D5548:G5548"/>
    <mergeCell ref="D5551:G5551"/>
    <mergeCell ref="D5553:G5553"/>
    <mergeCell ref="D5554:G5554"/>
    <mergeCell ref="C5557:C5559"/>
    <mergeCell ref="C5560:C5561"/>
    <mergeCell ref="D5563:G5563"/>
    <mergeCell ref="D5574:G5574"/>
    <mergeCell ref="C5576:C5581"/>
    <mergeCell ref="D5576:G5576"/>
    <mergeCell ref="C5583:C5584"/>
    <mergeCell ref="D5583:G5583"/>
    <mergeCell ref="D5585:G5585"/>
    <mergeCell ref="D5587:G5587"/>
    <mergeCell ref="C5588:C5593"/>
    <mergeCell ref="C5595:C5609"/>
    <mergeCell ref="C5614:C5625"/>
    <mergeCell ref="C5629:C5638"/>
    <mergeCell ref="C5643:C5644"/>
    <mergeCell ref="A5438:A5541"/>
    <mergeCell ref="B5438:B5541"/>
    <mergeCell ref="D5438:G5438"/>
    <mergeCell ref="D5439:G5439"/>
    <mergeCell ref="D5444:G5444"/>
    <mergeCell ref="D5447:G5447"/>
    <mergeCell ref="D5449:G5449"/>
    <mergeCell ref="D5450:G5450"/>
    <mergeCell ref="C5453:C5455"/>
    <mergeCell ref="C5456:C5457"/>
    <mergeCell ref="D5459:G5459"/>
    <mergeCell ref="D5470:G5470"/>
    <mergeCell ref="C5472:C5477"/>
    <mergeCell ref="D5472:G5472"/>
    <mergeCell ref="C5479:C5480"/>
    <mergeCell ref="D5479:G5479"/>
    <mergeCell ref="D5481:G5481"/>
    <mergeCell ref="D5483:G5483"/>
    <mergeCell ref="C5484:C5489"/>
    <mergeCell ref="C5491:C5505"/>
    <mergeCell ref="C5510:C5521"/>
    <mergeCell ref="C5525:C5534"/>
    <mergeCell ref="C5539:C5540"/>
    <mergeCell ref="A5318:A5437"/>
    <mergeCell ref="B5318:B5437"/>
    <mergeCell ref="D5318:G5318"/>
    <mergeCell ref="D5319:G5319"/>
    <mergeCell ref="D5324:G5324"/>
    <mergeCell ref="D5326:G5326"/>
    <mergeCell ref="D5328:G5328"/>
    <mergeCell ref="D5329:G5329"/>
    <mergeCell ref="C5332:C5334"/>
    <mergeCell ref="C5336:C5337"/>
    <mergeCell ref="D5339:G5339"/>
    <mergeCell ref="D5350:G5350"/>
    <mergeCell ref="D5352:G5352"/>
    <mergeCell ref="D5354:G5354"/>
    <mergeCell ref="D5356:G5356"/>
    <mergeCell ref="D5358:G5358"/>
    <mergeCell ref="C5361:C5366"/>
    <mergeCell ref="C5368:C5383"/>
    <mergeCell ref="C5387:C5400"/>
    <mergeCell ref="C5406:C5429"/>
    <mergeCell ref="C5435:C5436"/>
    <mergeCell ref="A5198:A5317"/>
    <mergeCell ref="B5198:B5317"/>
    <mergeCell ref="D5198:G5198"/>
    <mergeCell ref="D5199:G5199"/>
    <mergeCell ref="D5204:G5204"/>
    <mergeCell ref="D5206:G5206"/>
    <mergeCell ref="D5208:G5208"/>
    <mergeCell ref="D5209:G5209"/>
    <mergeCell ref="C5212:C5214"/>
    <mergeCell ref="C5216:C5217"/>
    <mergeCell ref="D5219:G5219"/>
    <mergeCell ref="D5230:G5230"/>
    <mergeCell ref="D5232:G5232"/>
    <mergeCell ref="D5234:G5234"/>
    <mergeCell ref="D5236:G5236"/>
    <mergeCell ref="D5238:G5238"/>
    <mergeCell ref="C5241:C5246"/>
    <mergeCell ref="C5248:C5263"/>
    <mergeCell ref="C5267:C5280"/>
    <mergeCell ref="C5286:C5309"/>
    <mergeCell ref="C5315:C5316"/>
    <mergeCell ref="A5078:A5197"/>
    <mergeCell ref="B5078:B5197"/>
    <mergeCell ref="D5078:G5078"/>
    <mergeCell ref="D5079:G5079"/>
    <mergeCell ref="D5084:G5084"/>
    <mergeCell ref="D5086:G5086"/>
    <mergeCell ref="D5088:G5088"/>
    <mergeCell ref="D5089:G5089"/>
    <mergeCell ref="C5092:C5094"/>
    <mergeCell ref="C5096:C5097"/>
    <mergeCell ref="D5099:G5099"/>
    <mergeCell ref="D5110:G5110"/>
    <mergeCell ref="D5112:G5112"/>
    <mergeCell ref="D5114:G5114"/>
    <mergeCell ref="D5116:G5116"/>
    <mergeCell ref="D5118:G5118"/>
    <mergeCell ref="C5121:C5126"/>
    <mergeCell ref="C5128:C5143"/>
    <mergeCell ref="C5147:C5160"/>
    <mergeCell ref="C5166:C5189"/>
    <mergeCell ref="C5195:C5196"/>
    <mergeCell ref="A4958:A5077"/>
    <mergeCell ref="B4958:B5077"/>
    <mergeCell ref="D4958:G4958"/>
    <mergeCell ref="D4959:G4959"/>
    <mergeCell ref="D4964:G4964"/>
    <mergeCell ref="D4966:G4966"/>
    <mergeCell ref="D4968:G4968"/>
    <mergeCell ref="D4969:G4969"/>
    <mergeCell ref="C4972:C4974"/>
    <mergeCell ref="C4976:C4977"/>
    <mergeCell ref="D4979:G4979"/>
    <mergeCell ref="D4990:G4990"/>
    <mergeCell ref="D4992:G4992"/>
    <mergeCell ref="D4994:G4994"/>
    <mergeCell ref="D4996:G4996"/>
    <mergeCell ref="D4998:G4998"/>
    <mergeCell ref="C5001:C5006"/>
    <mergeCell ref="C5008:C5023"/>
    <mergeCell ref="C5027:C5040"/>
    <mergeCell ref="C5046:C5069"/>
    <mergeCell ref="C5075:C5076"/>
    <mergeCell ref="A4838:A4957"/>
    <mergeCell ref="B4838:B4957"/>
    <mergeCell ref="D4838:G4838"/>
    <mergeCell ref="D4839:G4839"/>
    <mergeCell ref="D4844:G4844"/>
    <mergeCell ref="D4846:G4846"/>
    <mergeCell ref="D4848:G4848"/>
    <mergeCell ref="D4849:G4849"/>
    <mergeCell ref="C4852:C4854"/>
    <mergeCell ref="C4856:C4857"/>
    <mergeCell ref="D4859:G4859"/>
    <mergeCell ref="D4870:G4870"/>
    <mergeCell ref="D4872:G4872"/>
    <mergeCell ref="D4874:G4874"/>
    <mergeCell ref="D4876:G4876"/>
    <mergeCell ref="D4878:G4878"/>
    <mergeCell ref="C4881:C4886"/>
    <mergeCell ref="C4888:C4903"/>
    <mergeCell ref="C4907:C4920"/>
    <mergeCell ref="C4926:C4949"/>
    <mergeCell ref="C4955:C4956"/>
    <mergeCell ref="A4718:A4837"/>
    <mergeCell ref="B4718:B4837"/>
    <mergeCell ref="D4718:G4718"/>
    <mergeCell ref="D4719:G4719"/>
    <mergeCell ref="D4724:G4724"/>
    <mergeCell ref="D4726:G4726"/>
    <mergeCell ref="D4728:G4728"/>
    <mergeCell ref="D4729:G4729"/>
    <mergeCell ref="C4732:C4734"/>
    <mergeCell ref="C4736:C4737"/>
    <mergeCell ref="D4739:G4739"/>
    <mergeCell ref="D4750:G4750"/>
    <mergeCell ref="D4752:G4752"/>
    <mergeCell ref="D4754:G4754"/>
    <mergeCell ref="D4756:G4756"/>
    <mergeCell ref="D4758:G4758"/>
    <mergeCell ref="C4761:C4766"/>
    <mergeCell ref="C4768:C4783"/>
    <mergeCell ref="C4787:C4800"/>
    <mergeCell ref="C4806:C4829"/>
    <mergeCell ref="C4835:C4836"/>
    <mergeCell ref="A4598:A4717"/>
    <mergeCell ref="B4598:B4717"/>
    <mergeCell ref="D4598:G4598"/>
    <mergeCell ref="D4599:G4599"/>
    <mergeCell ref="D4604:G4604"/>
    <mergeCell ref="D4606:G4606"/>
    <mergeCell ref="D4608:G4608"/>
    <mergeCell ref="D4609:G4609"/>
    <mergeCell ref="C4612:C4614"/>
    <mergeCell ref="C4616:C4617"/>
    <mergeCell ref="D4619:G4619"/>
    <mergeCell ref="D4630:G4630"/>
    <mergeCell ref="D4632:G4632"/>
    <mergeCell ref="D4634:G4634"/>
    <mergeCell ref="D4636:G4636"/>
    <mergeCell ref="D4638:G4638"/>
    <mergeCell ref="C4641:C4646"/>
    <mergeCell ref="C4648:C4663"/>
    <mergeCell ref="C4667:C4680"/>
    <mergeCell ref="C4686:C4709"/>
    <mergeCell ref="C4715:C4716"/>
    <mergeCell ref="A4478:A4597"/>
    <mergeCell ref="B4478:B4597"/>
    <mergeCell ref="D4478:G4478"/>
    <mergeCell ref="D4479:G4479"/>
    <mergeCell ref="D4484:G4484"/>
    <mergeCell ref="D4486:G4486"/>
    <mergeCell ref="D4488:G4488"/>
    <mergeCell ref="D4489:G4489"/>
    <mergeCell ref="C4492:C4494"/>
    <mergeCell ref="C4496:C4497"/>
    <mergeCell ref="D4499:G4499"/>
    <mergeCell ref="D4510:G4510"/>
    <mergeCell ref="D4512:G4512"/>
    <mergeCell ref="D4514:G4514"/>
    <mergeCell ref="D4516:G4516"/>
    <mergeCell ref="D4518:G4518"/>
    <mergeCell ref="C4521:C4526"/>
    <mergeCell ref="C4528:C4543"/>
    <mergeCell ref="C4547:C4560"/>
    <mergeCell ref="C4566:C4589"/>
    <mergeCell ref="C4595:C4596"/>
    <mergeCell ref="A4358:A4477"/>
    <mergeCell ref="B4358:B4477"/>
    <mergeCell ref="D4358:G4358"/>
    <mergeCell ref="D4359:G4359"/>
    <mergeCell ref="D4364:G4364"/>
    <mergeCell ref="D4366:G4366"/>
    <mergeCell ref="D4368:G4368"/>
    <mergeCell ref="D4369:G4369"/>
    <mergeCell ref="C4372:C4374"/>
    <mergeCell ref="C4376:C4377"/>
    <mergeCell ref="D4379:G4379"/>
    <mergeCell ref="D4390:G4390"/>
    <mergeCell ref="D4392:G4392"/>
    <mergeCell ref="D4394:G4394"/>
    <mergeCell ref="D4396:G4396"/>
    <mergeCell ref="D4398:G4398"/>
    <mergeCell ref="C4401:C4406"/>
    <mergeCell ref="C4408:C4423"/>
    <mergeCell ref="C4427:C4440"/>
    <mergeCell ref="C4446:C4469"/>
    <mergeCell ref="C4475:C4476"/>
    <mergeCell ref="A4238:A4357"/>
    <mergeCell ref="B4238:B4357"/>
    <mergeCell ref="D4238:G4238"/>
    <mergeCell ref="D4239:G4239"/>
    <mergeCell ref="D4244:G4244"/>
    <mergeCell ref="D4246:G4246"/>
    <mergeCell ref="D4248:G4248"/>
    <mergeCell ref="D4249:G4249"/>
    <mergeCell ref="C4252:C4254"/>
    <mergeCell ref="C4256:C4257"/>
    <mergeCell ref="D4259:G4259"/>
    <mergeCell ref="D4270:G4270"/>
    <mergeCell ref="D4272:G4272"/>
    <mergeCell ref="D4274:G4274"/>
    <mergeCell ref="D4276:G4276"/>
    <mergeCell ref="D4278:G4278"/>
    <mergeCell ref="C4281:C4286"/>
    <mergeCell ref="C4288:C4303"/>
    <mergeCell ref="C4307:C4320"/>
    <mergeCell ref="C4326:C4349"/>
    <mergeCell ref="C4355:C4356"/>
    <mergeCell ref="A4118:A4237"/>
    <mergeCell ref="B4118:B4237"/>
    <mergeCell ref="D4118:G4118"/>
    <mergeCell ref="D4119:G4119"/>
    <mergeCell ref="D4124:G4124"/>
    <mergeCell ref="D4126:G4126"/>
    <mergeCell ref="D4128:G4128"/>
    <mergeCell ref="D4129:G4129"/>
    <mergeCell ref="C4132:C4134"/>
    <mergeCell ref="C4136:C4137"/>
    <mergeCell ref="D4139:G4139"/>
    <mergeCell ref="D4150:G4150"/>
    <mergeCell ref="D4152:G4152"/>
    <mergeCell ref="D4154:G4154"/>
    <mergeCell ref="D4156:G4156"/>
    <mergeCell ref="D4158:G4158"/>
    <mergeCell ref="C4161:C4166"/>
    <mergeCell ref="C4168:C4183"/>
    <mergeCell ref="C4187:C4200"/>
    <mergeCell ref="C4206:C4229"/>
    <mergeCell ref="C4235:C4236"/>
    <mergeCell ref="A3998:A4117"/>
    <mergeCell ref="B3998:B4117"/>
    <mergeCell ref="D3998:G3998"/>
    <mergeCell ref="D3999:G3999"/>
    <mergeCell ref="D4004:G4004"/>
    <mergeCell ref="D4006:G4006"/>
    <mergeCell ref="D4008:G4008"/>
    <mergeCell ref="D4009:G4009"/>
    <mergeCell ref="C4012:C4014"/>
    <mergeCell ref="C4016:C4017"/>
    <mergeCell ref="D4019:G4019"/>
    <mergeCell ref="D4030:G4030"/>
    <mergeCell ref="D4032:G4032"/>
    <mergeCell ref="D4034:G4034"/>
    <mergeCell ref="D4036:G4036"/>
    <mergeCell ref="D4038:G4038"/>
    <mergeCell ref="C4041:C4046"/>
    <mergeCell ref="C4048:C4063"/>
    <mergeCell ref="C4067:C4080"/>
    <mergeCell ref="C4086:C4109"/>
    <mergeCell ref="C4115:C4116"/>
    <mergeCell ref="A3878:A3997"/>
    <mergeCell ref="B3878:B3997"/>
    <mergeCell ref="D3878:G3878"/>
    <mergeCell ref="D3879:G3879"/>
    <mergeCell ref="D3884:G3884"/>
    <mergeCell ref="D3886:G3886"/>
    <mergeCell ref="D3888:G3888"/>
    <mergeCell ref="D3889:G3889"/>
    <mergeCell ref="C3892:C3894"/>
    <mergeCell ref="C3896:C3897"/>
    <mergeCell ref="D3899:G3899"/>
    <mergeCell ref="D3910:G3910"/>
    <mergeCell ref="D3912:G3912"/>
    <mergeCell ref="D3914:G3914"/>
    <mergeCell ref="D3916:G3916"/>
    <mergeCell ref="D3918:G3918"/>
    <mergeCell ref="C3921:C3926"/>
    <mergeCell ref="C3928:C3943"/>
    <mergeCell ref="C3947:C3960"/>
    <mergeCell ref="C3966:C3989"/>
    <mergeCell ref="C3995:C3996"/>
    <mergeCell ref="A3758:A3877"/>
    <mergeCell ref="B3758:B3877"/>
    <mergeCell ref="D3758:G3758"/>
    <mergeCell ref="D3759:G3759"/>
    <mergeCell ref="D3764:G3764"/>
    <mergeCell ref="D3766:G3766"/>
    <mergeCell ref="D3768:G3768"/>
    <mergeCell ref="D3769:G3769"/>
    <mergeCell ref="C3772:C3774"/>
    <mergeCell ref="C3776:C3777"/>
    <mergeCell ref="D3779:G3779"/>
    <mergeCell ref="D3790:G3790"/>
    <mergeCell ref="D3792:G3792"/>
    <mergeCell ref="D3794:G3794"/>
    <mergeCell ref="D3796:G3796"/>
    <mergeCell ref="D3798:G3798"/>
    <mergeCell ref="C3801:C3806"/>
    <mergeCell ref="C3808:C3823"/>
    <mergeCell ref="C3827:C3840"/>
    <mergeCell ref="C3846:C3869"/>
    <mergeCell ref="C3875:C3876"/>
    <mergeCell ref="A3638:A3757"/>
    <mergeCell ref="B3638:B3757"/>
    <mergeCell ref="D3638:G3638"/>
    <mergeCell ref="D3639:G3639"/>
    <mergeCell ref="D3644:G3644"/>
    <mergeCell ref="D3646:G3646"/>
    <mergeCell ref="D3648:G3648"/>
    <mergeCell ref="D3649:G3649"/>
    <mergeCell ref="C3652:C3654"/>
    <mergeCell ref="C3656:C3657"/>
    <mergeCell ref="D3659:G3659"/>
    <mergeCell ref="D3670:G3670"/>
    <mergeCell ref="D3672:G3672"/>
    <mergeCell ref="D3674:G3674"/>
    <mergeCell ref="D3676:G3676"/>
    <mergeCell ref="D3678:G3678"/>
    <mergeCell ref="C3681:C3686"/>
    <mergeCell ref="C3688:C3703"/>
    <mergeCell ref="C3707:C3720"/>
    <mergeCell ref="C3726:C3749"/>
    <mergeCell ref="C3755:C3756"/>
    <mergeCell ref="A3518:A3637"/>
    <mergeCell ref="B3518:B3637"/>
    <mergeCell ref="D3518:G3518"/>
    <mergeCell ref="D3519:G3519"/>
    <mergeCell ref="D3524:G3524"/>
    <mergeCell ref="D3526:G3526"/>
    <mergeCell ref="D3528:G3528"/>
    <mergeCell ref="D3529:G3529"/>
    <mergeCell ref="C3532:C3534"/>
    <mergeCell ref="C3536:C3537"/>
    <mergeCell ref="D3539:G3539"/>
    <mergeCell ref="D3550:G3550"/>
    <mergeCell ref="D3552:G3552"/>
    <mergeCell ref="D3554:G3554"/>
    <mergeCell ref="D3556:G3556"/>
    <mergeCell ref="D3558:G3558"/>
    <mergeCell ref="C3561:C3566"/>
    <mergeCell ref="C3568:C3583"/>
    <mergeCell ref="C3587:C3600"/>
    <mergeCell ref="C3606:C3629"/>
    <mergeCell ref="C3635:C3636"/>
    <mergeCell ref="A3398:A3517"/>
    <mergeCell ref="B3398:B3517"/>
    <mergeCell ref="D3398:G3398"/>
    <mergeCell ref="D3399:G3399"/>
    <mergeCell ref="D3404:G3404"/>
    <mergeCell ref="D3406:G3406"/>
    <mergeCell ref="D3408:G3408"/>
    <mergeCell ref="D3409:G3409"/>
    <mergeCell ref="C3412:C3414"/>
    <mergeCell ref="C3416:C3417"/>
    <mergeCell ref="D3419:G3419"/>
    <mergeCell ref="D3430:G3430"/>
    <mergeCell ref="D3432:G3432"/>
    <mergeCell ref="D3434:G3434"/>
    <mergeCell ref="D3436:G3436"/>
    <mergeCell ref="D3438:G3438"/>
    <mergeCell ref="C3441:C3446"/>
    <mergeCell ref="C3448:C3463"/>
    <mergeCell ref="C3467:C3480"/>
    <mergeCell ref="C3486:C3509"/>
    <mergeCell ref="C3515:C3516"/>
    <mergeCell ref="C2923:C2937"/>
    <mergeCell ref="C2942:C2953"/>
    <mergeCell ref="C2996:C2998"/>
    <mergeCell ref="C3089:C3090"/>
    <mergeCell ref="C2137:C2146"/>
    <mergeCell ref="C2241:C2250"/>
    <mergeCell ref="C2345:C2354"/>
    <mergeCell ref="C2447:C2456"/>
    <mergeCell ref="C2549:C2558"/>
    <mergeCell ref="C2651:C2660"/>
    <mergeCell ref="C2753:C2762"/>
    <mergeCell ref="C2855:C2864"/>
    <mergeCell ref="C2480:C2481"/>
    <mergeCell ref="C2207:C2221"/>
    <mergeCell ref="C2226:C2237"/>
    <mergeCell ref="C2821:C2835"/>
    <mergeCell ref="C2840:C2851"/>
    <mergeCell ref="C2665:C2666"/>
    <mergeCell ref="C2255:C2256"/>
    <mergeCell ref="C2719:C2733"/>
    <mergeCell ref="C2738:C2749"/>
    <mergeCell ref="C2767:C2768"/>
    <mergeCell ref="C2869:C2870"/>
    <mergeCell ref="C2814:C2819"/>
    <mergeCell ref="C3027:C3032"/>
    <mergeCell ref="C3060:C3064"/>
    <mergeCell ref="C2700:C2705"/>
    <mergeCell ref="C3000:C3002"/>
    <mergeCell ref="M1:O1"/>
    <mergeCell ref="M2:O2"/>
    <mergeCell ref="A2154:A2257"/>
    <mergeCell ref="B2154:B2257"/>
    <mergeCell ref="D1951:G1951"/>
    <mergeCell ref="D1962:G1962"/>
    <mergeCell ref="D1690:G1690"/>
    <mergeCell ref="D1691:G1691"/>
    <mergeCell ref="D1696:G1696"/>
    <mergeCell ref="D1698:G1698"/>
    <mergeCell ref="D1700:G1700"/>
    <mergeCell ref="D1701:G1701"/>
    <mergeCell ref="C1704:C1706"/>
    <mergeCell ref="C1708:C1709"/>
    <mergeCell ref="D1711:G1711"/>
    <mergeCell ref="D1722:G1722"/>
    <mergeCell ref="D1724:G1724"/>
    <mergeCell ref="D1726:G1726"/>
    <mergeCell ref="C1948:C1949"/>
    <mergeCell ref="D1578:G1578"/>
    <mergeCell ref="D1461:G1461"/>
    <mergeCell ref="C1464:C1466"/>
    <mergeCell ref="A970:A1089"/>
    <mergeCell ref="A1090:A1209"/>
    <mergeCell ref="D1482:G1482"/>
    <mergeCell ref="D1484:G1484"/>
    <mergeCell ref="D1486:G1486"/>
    <mergeCell ref="A130:A249"/>
    <mergeCell ref="A250:A369"/>
    <mergeCell ref="A370:A489"/>
    <mergeCell ref="A490:A609"/>
    <mergeCell ref="A610:A729"/>
    <mergeCell ref="A2770:A2871"/>
    <mergeCell ref="B2770:B2871"/>
    <mergeCell ref="C1973:C1978"/>
    <mergeCell ref="C1980:C1995"/>
    <mergeCell ref="C1999:C2012"/>
    <mergeCell ref="C2018:C2041"/>
    <mergeCell ref="C2047:C2048"/>
    <mergeCell ref="C1853:C1858"/>
    <mergeCell ref="C1860:C1875"/>
    <mergeCell ref="C1879:C1892"/>
    <mergeCell ref="C1898:C1921"/>
    <mergeCell ref="C1927:C1928"/>
    <mergeCell ref="A1330:A1449"/>
    <mergeCell ref="A1450:A1569"/>
    <mergeCell ref="A1570:A1689"/>
    <mergeCell ref="A1690:A1809"/>
    <mergeCell ref="A2258:A2361"/>
    <mergeCell ref="B2258:B2361"/>
    <mergeCell ref="C2188:C2193"/>
    <mergeCell ref="C2292:C2297"/>
    <mergeCell ref="C2394:C2399"/>
    <mergeCell ref="C2496:C2501"/>
    <mergeCell ref="C2503:C2504"/>
    <mergeCell ref="C2598:C2603"/>
    <mergeCell ref="C2605:C2606"/>
    <mergeCell ref="C2096:C2101"/>
    <mergeCell ref="C2200:C2205"/>
    <mergeCell ref="C2304:C2309"/>
    <mergeCell ref="C1493:C1498"/>
    <mergeCell ref="C1500:C1515"/>
    <mergeCell ref="C1519:C1532"/>
    <mergeCell ref="C1538:C1561"/>
    <mergeCell ref="A2566:A2667"/>
    <mergeCell ref="B2566:B2667"/>
    <mergeCell ref="A2668:A2769"/>
    <mergeCell ref="A730:A849"/>
    <mergeCell ref="A850:A969"/>
    <mergeCell ref="B1690:B1809"/>
    <mergeCell ref="B1570:B1689"/>
    <mergeCell ref="B2668:B2769"/>
    <mergeCell ref="B2362:B2463"/>
    <mergeCell ref="B250:B369"/>
    <mergeCell ref="D1218:G1218"/>
    <mergeCell ref="D1220:G1220"/>
    <mergeCell ref="D1221:G1221"/>
    <mergeCell ref="C1228:C1229"/>
    <mergeCell ref="D1231:G1231"/>
    <mergeCell ref="D1242:G1242"/>
    <mergeCell ref="A1210:A1329"/>
    <mergeCell ref="C1133:C1138"/>
    <mergeCell ref="C1140:C1155"/>
    <mergeCell ref="C1159:C1172"/>
    <mergeCell ref="C1567:C1568"/>
    <mergeCell ref="C1253:C1258"/>
    <mergeCell ref="C1260:C1275"/>
    <mergeCell ref="C1279:C1292"/>
    <mergeCell ref="C1298:C1321"/>
    <mergeCell ref="C1327:C1328"/>
    <mergeCell ref="C1224:C1226"/>
    <mergeCell ref="C1588:C1589"/>
    <mergeCell ref="C1418:C1441"/>
    <mergeCell ref="C1447:C1448"/>
    <mergeCell ref="C1178:C1201"/>
    <mergeCell ref="C1207:C1208"/>
    <mergeCell ref="A10:A129"/>
    <mergeCell ref="B1930:B2049"/>
    <mergeCell ref="A1930:A2049"/>
    <mergeCell ref="A2050:A2153"/>
    <mergeCell ref="B2050:B2153"/>
    <mergeCell ref="B1810:B1929"/>
    <mergeCell ref="A1810:A1929"/>
    <mergeCell ref="B130:B249"/>
    <mergeCell ref="B370:B489"/>
    <mergeCell ref="B490:B609"/>
    <mergeCell ref="B10:B129"/>
    <mergeCell ref="B1450:B1569"/>
    <mergeCell ref="B1330:B1449"/>
    <mergeCell ref="B1210:B1329"/>
    <mergeCell ref="B1090:B1209"/>
    <mergeCell ref="B970:B1089"/>
    <mergeCell ref="B850:B969"/>
    <mergeCell ref="B730:B849"/>
    <mergeCell ref="B610:B729"/>
    <mergeCell ref="A2464:A2565"/>
    <mergeCell ref="B2464:B2565"/>
    <mergeCell ref="C2563:C2564"/>
    <mergeCell ref="C2311:C2325"/>
    <mergeCell ref="C2330:C2341"/>
    <mergeCell ref="D2471:G2471"/>
    <mergeCell ref="D2473:G2473"/>
    <mergeCell ref="D2474:G2474"/>
    <mergeCell ref="C2477:C2479"/>
    <mergeCell ref="D2483:G2483"/>
    <mergeCell ref="D2494:G2494"/>
    <mergeCell ref="D2496:G2496"/>
    <mergeCell ref="D2503:G2503"/>
    <mergeCell ref="D2505:G2505"/>
    <mergeCell ref="D2507:G2507"/>
    <mergeCell ref="C2515:C2529"/>
    <mergeCell ref="C2534:C2545"/>
    <mergeCell ref="C2401:C2402"/>
    <mergeCell ref="C2406:C2411"/>
    <mergeCell ref="C2508:C2513"/>
    <mergeCell ref="D2464:G2464"/>
    <mergeCell ref="D2465:G2465"/>
    <mergeCell ref="D2469:G2469"/>
    <mergeCell ref="D2403:G2403"/>
    <mergeCell ref="D2405:G2405"/>
    <mergeCell ref="C2413:C2427"/>
    <mergeCell ref="A2362:A2463"/>
    <mergeCell ref="D1930:G1930"/>
    <mergeCell ref="D1931:G1931"/>
    <mergeCell ref="D1936:G1936"/>
    <mergeCell ref="D1938:G1938"/>
    <mergeCell ref="D1940:G1940"/>
    <mergeCell ref="D1941:G1941"/>
    <mergeCell ref="C1944:C1946"/>
    <mergeCell ref="D1970:G1970"/>
    <mergeCell ref="D2050:G2050"/>
    <mergeCell ref="D2051:G2051"/>
    <mergeCell ref="D1968:G1968"/>
    <mergeCell ref="C2195:C2196"/>
    <mergeCell ref="C2299:C2300"/>
    <mergeCell ref="D2381:G2381"/>
    <mergeCell ref="D2392:G2392"/>
    <mergeCell ref="D2394:G2394"/>
    <mergeCell ref="D2401:G2401"/>
    <mergeCell ref="D2369:G2369"/>
    <mergeCell ref="D2371:G2371"/>
    <mergeCell ref="D2372:G2372"/>
    <mergeCell ref="D2270:G2270"/>
    <mergeCell ref="D2299:G2299"/>
    <mergeCell ref="D2301:G2301"/>
    <mergeCell ref="D2303:G2303"/>
    <mergeCell ref="D2175:G2175"/>
    <mergeCell ref="C2359:C2360"/>
    <mergeCell ref="C2068:C2069"/>
    <mergeCell ref="D2071:G2071"/>
    <mergeCell ref="D2082:G2082"/>
    <mergeCell ref="D2269:G2269"/>
    <mergeCell ref="D2259:G2259"/>
    <mergeCell ref="D2258:G2258"/>
    <mergeCell ref="D1608:G1608"/>
    <mergeCell ref="D1610:G1610"/>
    <mergeCell ref="D2698:G2698"/>
    <mergeCell ref="D2700:G2700"/>
    <mergeCell ref="D2084:G2084"/>
    <mergeCell ref="D2091:G2091"/>
    <mergeCell ref="D2093:G2093"/>
    <mergeCell ref="D2095:G2095"/>
    <mergeCell ref="D2056:G2056"/>
    <mergeCell ref="D2059:G2059"/>
    <mergeCell ref="C2375:C2377"/>
    <mergeCell ref="C2378:C2379"/>
    <mergeCell ref="C2579:C2581"/>
    <mergeCell ref="C2582:C2583"/>
    <mergeCell ref="C2122:C2133"/>
    <mergeCell ref="C2151:C2152"/>
    <mergeCell ref="D2165:G2165"/>
    <mergeCell ref="C2103:C2117"/>
    <mergeCell ref="D2160:G2160"/>
    <mergeCell ref="D1844:G1844"/>
    <mergeCell ref="D1846:G1846"/>
    <mergeCell ref="D1848:G1848"/>
    <mergeCell ref="D1850:G1850"/>
    <mergeCell ref="D1964:G1964"/>
    <mergeCell ref="D1966:G1966"/>
    <mergeCell ref="D2362:G2362"/>
    <mergeCell ref="D2363:G2363"/>
    <mergeCell ref="D2367:G2367"/>
    <mergeCell ref="D2163:G2163"/>
    <mergeCell ref="D2061:G2061"/>
    <mergeCell ref="D2062:G2062"/>
    <mergeCell ref="C2461:C2462"/>
    <mergeCell ref="D1570:G1570"/>
    <mergeCell ref="D1571:G1571"/>
    <mergeCell ref="D1576:G1576"/>
    <mergeCell ref="D1820:G1820"/>
    <mergeCell ref="D1821:G1821"/>
    <mergeCell ref="C1824:C1826"/>
    <mergeCell ref="C1828:C1829"/>
    <mergeCell ref="D1831:G1831"/>
    <mergeCell ref="D1842:G1842"/>
    <mergeCell ref="C1759:C1772"/>
    <mergeCell ref="C1778:C1801"/>
    <mergeCell ref="C1807:C1808"/>
    <mergeCell ref="C1740:C1755"/>
    <mergeCell ref="C1613:C1618"/>
    <mergeCell ref="C1620:C1635"/>
    <mergeCell ref="C1639:C1652"/>
    <mergeCell ref="C1658:C1681"/>
    <mergeCell ref="C1687:C1688"/>
    <mergeCell ref="D1810:G1810"/>
    <mergeCell ref="D1811:G1811"/>
    <mergeCell ref="D1816:G1816"/>
    <mergeCell ref="D1818:G1818"/>
    <mergeCell ref="C1733:C1738"/>
    <mergeCell ref="C1584:C1586"/>
    <mergeCell ref="D1580:G1580"/>
    <mergeCell ref="D1581:G1581"/>
    <mergeCell ref="D1728:G1728"/>
    <mergeCell ref="D1730:G1730"/>
    <mergeCell ref="D1591:G1591"/>
    <mergeCell ref="D1602:G1602"/>
    <mergeCell ref="D1604:G1604"/>
    <mergeCell ref="D1606:G1606"/>
    <mergeCell ref="C919:C932"/>
    <mergeCell ref="C938:C961"/>
    <mergeCell ref="D1341:G1341"/>
    <mergeCell ref="C1344:C1346"/>
    <mergeCell ref="C1348:C1349"/>
    <mergeCell ref="D1351:G1351"/>
    <mergeCell ref="D1362:G1362"/>
    <mergeCell ref="D1364:G1364"/>
    <mergeCell ref="D1366:G1366"/>
    <mergeCell ref="D1368:G1368"/>
    <mergeCell ref="D1370:G1370"/>
    <mergeCell ref="D1471:G1471"/>
    <mergeCell ref="D1450:G1450"/>
    <mergeCell ref="D1451:G1451"/>
    <mergeCell ref="D1456:G1456"/>
    <mergeCell ref="D1458:G1458"/>
    <mergeCell ref="D1460:G1460"/>
    <mergeCell ref="D1210:G1210"/>
    <mergeCell ref="D1211:G1211"/>
    <mergeCell ref="D1216:G1216"/>
    <mergeCell ref="C1468:C1469"/>
    <mergeCell ref="D1331:G1331"/>
    <mergeCell ref="D1336:G1336"/>
    <mergeCell ref="D1338:G1338"/>
    <mergeCell ref="D1340:G1340"/>
    <mergeCell ref="D1244:G1244"/>
    <mergeCell ref="D1246:G1246"/>
    <mergeCell ref="D1248:G1248"/>
    <mergeCell ref="C1039:C1052"/>
    <mergeCell ref="D250:G250"/>
    <mergeCell ref="D251:G251"/>
    <mergeCell ref="D256:G256"/>
    <mergeCell ref="D258:G258"/>
    <mergeCell ref="D260:G260"/>
    <mergeCell ref="D261:G261"/>
    <mergeCell ref="C293:C298"/>
    <mergeCell ref="D620:G620"/>
    <mergeCell ref="D621:G621"/>
    <mergeCell ref="D970:G970"/>
    <mergeCell ref="D971:G971"/>
    <mergeCell ref="C748:C749"/>
    <mergeCell ref="D751:G751"/>
    <mergeCell ref="D762:G762"/>
    <mergeCell ref="D764:G764"/>
    <mergeCell ref="C624:C626"/>
    <mergeCell ref="C628:C629"/>
    <mergeCell ref="D631:G631"/>
    <mergeCell ref="D611:G611"/>
    <mergeCell ref="D616:G616"/>
    <mergeCell ref="D861:G861"/>
    <mergeCell ref="C864:C866"/>
    <mergeCell ref="C868:C869"/>
    <mergeCell ref="D871:G871"/>
    <mergeCell ref="D882:G882"/>
    <mergeCell ref="D884:G884"/>
    <mergeCell ref="C653:C658"/>
    <mergeCell ref="D618:G618"/>
    <mergeCell ref="D860:G860"/>
    <mergeCell ref="C660:C675"/>
    <mergeCell ref="C679:C692"/>
    <mergeCell ref="C799:C812"/>
    <mergeCell ref="D21:G21"/>
    <mergeCell ref="C24:C26"/>
    <mergeCell ref="C53:C58"/>
    <mergeCell ref="C79:C92"/>
    <mergeCell ref="C199:C212"/>
    <mergeCell ref="C28:C29"/>
    <mergeCell ref="D42:G42"/>
    <mergeCell ref="C127:C128"/>
    <mergeCell ref="C98:C121"/>
    <mergeCell ref="C60:C75"/>
    <mergeCell ref="D44:G44"/>
    <mergeCell ref="D10:G10"/>
    <mergeCell ref="D46:G46"/>
    <mergeCell ref="D48:G48"/>
    <mergeCell ref="D11:G11"/>
    <mergeCell ref="D16:G16"/>
    <mergeCell ref="D18:G18"/>
    <mergeCell ref="D20:G20"/>
    <mergeCell ref="D50:G50"/>
    <mergeCell ref="D31:G31"/>
    <mergeCell ref="C173:C178"/>
    <mergeCell ref="C180:C195"/>
    <mergeCell ref="C218:C241"/>
    <mergeCell ref="C247:C248"/>
    <mergeCell ref="D130:G130"/>
    <mergeCell ref="D131:G131"/>
    <mergeCell ref="D136:G136"/>
    <mergeCell ref="D138:G138"/>
    <mergeCell ref="D140:G140"/>
    <mergeCell ref="D141:G141"/>
    <mergeCell ref="C144:C146"/>
    <mergeCell ref="C148:C149"/>
    <mergeCell ref="D151:G151"/>
    <mergeCell ref="D162:G162"/>
    <mergeCell ref="D164:G164"/>
    <mergeCell ref="D166:G166"/>
    <mergeCell ref="D168:G168"/>
    <mergeCell ref="D170:G170"/>
    <mergeCell ref="D526:G526"/>
    <mergeCell ref="D404:G404"/>
    <mergeCell ref="D406:G406"/>
    <mergeCell ref="D408:G408"/>
    <mergeCell ref="D410:G410"/>
    <mergeCell ref="D511:G511"/>
    <mergeCell ref="D376:G376"/>
    <mergeCell ref="D496:G496"/>
    <mergeCell ref="D498:G498"/>
    <mergeCell ref="D500:G500"/>
    <mergeCell ref="D501:G501"/>
    <mergeCell ref="C504:C506"/>
    <mergeCell ref="C508:C509"/>
    <mergeCell ref="C413:C418"/>
    <mergeCell ref="C420:C435"/>
    <mergeCell ref="C439:C452"/>
    <mergeCell ref="C2065:C2067"/>
    <mergeCell ref="C578:C601"/>
    <mergeCell ref="C607:C608"/>
    <mergeCell ref="D991:G991"/>
    <mergeCell ref="D1002:G1002"/>
    <mergeCell ref="D1004:G1004"/>
    <mergeCell ref="D1006:G1006"/>
    <mergeCell ref="D1008:G1008"/>
    <mergeCell ref="D1010:G1010"/>
    <mergeCell ref="C744:C746"/>
    <mergeCell ref="D978:G978"/>
    <mergeCell ref="D980:G980"/>
    <mergeCell ref="D981:G981"/>
    <mergeCell ref="C984:C986"/>
    <mergeCell ref="C988:C989"/>
    <mergeCell ref="C727:C728"/>
    <mergeCell ref="C540:C555"/>
    <mergeCell ref="D888:G888"/>
    <mergeCell ref="D890:G890"/>
    <mergeCell ref="C559:C572"/>
    <mergeCell ref="C847:C848"/>
    <mergeCell ref="D730:G730"/>
    <mergeCell ref="D731:G731"/>
    <mergeCell ref="D736:G736"/>
    <mergeCell ref="D738:G738"/>
    <mergeCell ref="D740:G740"/>
    <mergeCell ref="D741:G741"/>
    <mergeCell ref="C1013:C1018"/>
    <mergeCell ref="C967:C968"/>
    <mergeCell ref="D1090:G1090"/>
    <mergeCell ref="C893:C898"/>
    <mergeCell ref="C900:C915"/>
    <mergeCell ref="D2154:G2154"/>
    <mergeCell ref="D976:G976"/>
    <mergeCell ref="D1111:G1111"/>
    <mergeCell ref="D1122:G1122"/>
    <mergeCell ref="D1124:G1124"/>
    <mergeCell ref="C1058:C1081"/>
    <mergeCell ref="C1087:C1088"/>
    <mergeCell ref="D2155:G2155"/>
    <mergeCell ref="D766:G766"/>
    <mergeCell ref="D1096:G1096"/>
    <mergeCell ref="D1098:G1098"/>
    <mergeCell ref="D1100:G1100"/>
    <mergeCell ref="D1101:G1101"/>
    <mergeCell ref="C1104:C1106"/>
    <mergeCell ref="C1108:C1109"/>
    <mergeCell ref="C773:C778"/>
    <mergeCell ref="D768:G768"/>
    <mergeCell ref="D770:G770"/>
    <mergeCell ref="D850:G850"/>
    <mergeCell ref="D851:G851"/>
    <mergeCell ref="D856:G856"/>
    <mergeCell ref="D858:G858"/>
    <mergeCell ref="D1126:G1126"/>
    <mergeCell ref="D1128:G1128"/>
    <mergeCell ref="D1130:G1130"/>
    <mergeCell ref="D1488:G1488"/>
    <mergeCell ref="D1490:G1490"/>
    <mergeCell ref="D1250:G1250"/>
    <mergeCell ref="C1373:C1378"/>
    <mergeCell ref="C1380:C1395"/>
    <mergeCell ref="C1399:C1412"/>
    <mergeCell ref="D1330:G1330"/>
    <mergeCell ref="C458:C481"/>
    <mergeCell ref="C300:C315"/>
    <mergeCell ref="C264:C266"/>
    <mergeCell ref="C268:C269"/>
    <mergeCell ref="D271:G271"/>
    <mergeCell ref="D282:G282"/>
    <mergeCell ref="D284:G284"/>
    <mergeCell ref="D286:G286"/>
    <mergeCell ref="D288:G288"/>
    <mergeCell ref="D290:G290"/>
    <mergeCell ref="C487:C488"/>
    <mergeCell ref="D371:G371"/>
    <mergeCell ref="D490:G490"/>
    <mergeCell ref="D491:G491"/>
    <mergeCell ref="D370:G370"/>
    <mergeCell ref="D378:G378"/>
    <mergeCell ref="D380:G380"/>
    <mergeCell ref="D381:G381"/>
    <mergeCell ref="C384:C386"/>
    <mergeCell ref="C388:C389"/>
    <mergeCell ref="D391:G391"/>
    <mergeCell ref="D402:G402"/>
    <mergeCell ref="D522:G522"/>
    <mergeCell ref="D524:G524"/>
    <mergeCell ref="C533:C538"/>
    <mergeCell ref="C319:C332"/>
    <mergeCell ref="C338:C361"/>
    <mergeCell ref="C367:C368"/>
    <mergeCell ref="D646:G646"/>
    <mergeCell ref="D648:G648"/>
    <mergeCell ref="D650:G650"/>
    <mergeCell ref="D2166:G2166"/>
    <mergeCell ref="C2169:C2171"/>
    <mergeCell ref="C2172:C2173"/>
    <mergeCell ref="C2684:C2685"/>
    <mergeCell ref="D2687:G2687"/>
    <mergeCell ref="D2264:G2264"/>
    <mergeCell ref="D2267:G2267"/>
    <mergeCell ref="C2432:C2443"/>
    <mergeCell ref="C2273:C2275"/>
    <mergeCell ref="C2276:C2277"/>
    <mergeCell ref="D2279:G2279"/>
    <mergeCell ref="D2290:G2290"/>
    <mergeCell ref="D2292:G2292"/>
    <mergeCell ref="C2636:C2647"/>
    <mergeCell ref="C780:C795"/>
    <mergeCell ref="C698:C721"/>
    <mergeCell ref="D528:G528"/>
    <mergeCell ref="D530:G530"/>
    <mergeCell ref="D610:G610"/>
    <mergeCell ref="D642:G642"/>
    <mergeCell ref="D644:G644"/>
    <mergeCell ref="D2195:G2195"/>
    <mergeCell ref="D2197:G2197"/>
    <mergeCell ref="D2199:G2199"/>
    <mergeCell ref="D886:G886"/>
    <mergeCell ref="D2186:G2186"/>
    <mergeCell ref="D2188:G2188"/>
    <mergeCell ref="C2091:C2092"/>
    <mergeCell ref="C2084:C2089"/>
    <mergeCell ref="C818:C841"/>
    <mergeCell ref="D1091:G1091"/>
    <mergeCell ref="C1020:C1035"/>
    <mergeCell ref="D2911:G2911"/>
    <mergeCell ref="C2885:C2887"/>
    <mergeCell ref="C2888:C2889"/>
    <mergeCell ref="D2913:G2913"/>
    <mergeCell ref="D2711:G2711"/>
    <mergeCell ref="D2566:G2566"/>
    <mergeCell ref="D2567:G2567"/>
    <mergeCell ref="D2571:G2571"/>
    <mergeCell ref="D2573:G2573"/>
    <mergeCell ref="D2707:G2707"/>
    <mergeCell ref="D2709:G2709"/>
    <mergeCell ref="D2575:G2575"/>
    <mergeCell ref="D2576:G2576"/>
    <mergeCell ref="D2585:G2585"/>
    <mergeCell ref="D2596:G2596"/>
    <mergeCell ref="D2598:G2598"/>
    <mergeCell ref="D2605:G2605"/>
    <mergeCell ref="D2607:G2607"/>
    <mergeCell ref="D2609:G2609"/>
    <mergeCell ref="D2678:G2678"/>
    <mergeCell ref="C2681:C2683"/>
    <mergeCell ref="C2617:C2631"/>
    <mergeCell ref="C2707:C2708"/>
    <mergeCell ref="D2668:G2668"/>
    <mergeCell ref="D2669:G2669"/>
    <mergeCell ref="D2673:G2673"/>
    <mergeCell ref="D2675:G2675"/>
    <mergeCell ref="D2677:G2677"/>
    <mergeCell ref="C2610:C2615"/>
    <mergeCell ref="C2712:C2717"/>
    <mergeCell ref="D3019:G3019"/>
    <mergeCell ref="D3168:G3168"/>
    <mergeCell ref="C3038:C3054"/>
    <mergeCell ref="C3068:C3069"/>
    <mergeCell ref="D2770:G2770"/>
    <mergeCell ref="D2771:G2771"/>
    <mergeCell ref="D2775:G2775"/>
    <mergeCell ref="D2777:G2777"/>
    <mergeCell ref="D2779:G2779"/>
    <mergeCell ref="D2780:G2780"/>
    <mergeCell ref="C2783:C2785"/>
    <mergeCell ref="C2786:C2787"/>
    <mergeCell ref="D2789:G2789"/>
    <mergeCell ref="D2800:G2800"/>
    <mergeCell ref="D2802:G2802"/>
    <mergeCell ref="D2809:G2809"/>
    <mergeCell ref="D2811:G2811"/>
    <mergeCell ref="D2813:G2813"/>
    <mergeCell ref="C2916:C2921"/>
    <mergeCell ref="C2809:C2810"/>
    <mergeCell ref="C2802:C2807"/>
    <mergeCell ref="C2911:C2912"/>
    <mergeCell ref="C2904:C2909"/>
    <mergeCell ref="D2872:G2872"/>
    <mergeCell ref="D2873:G2873"/>
    <mergeCell ref="D2877:G2877"/>
    <mergeCell ref="D2879:G2879"/>
    <mergeCell ref="D2881:G2881"/>
    <mergeCell ref="D2882:G2882"/>
    <mergeCell ref="D2891:G2891"/>
    <mergeCell ref="D2902:G2902"/>
    <mergeCell ref="D2904:G2904"/>
    <mergeCell ref="C3369:C3370"/>
    <mergeCell ref="D3362:G3362"/>
    <mergeCell ref="D3363:G3363"/>
    <mergeCell ref="D3368:G3368"/>
    <mergeCell ref="D3376:G3376"/>
    <mergeCell ref="D3378:G3378"/>
    <mergeCell ref="D3379:G3379"/>
    <mergeCell ref="D3381:G3381"/>
    <mergeCell ref="D3383:G3383"/>
    <mergeCell ref="D3385:G3385"/>
    <mergeCell ref="C3232:C3248"/>
    <mergeCell ref="C3262:C3263"/>
    <mergeCell ref="D3277:G3277"/>
    <mergeCell ref="C3280:C3282"/>
    <mergeCell ref="D3103:G3103"/>
    <mergeCell ref="D3105:G3105"/>
    <mergeCell ref="C3106:C3110"/>
    <mergeCell ref="D3112:G3112"/>
    <mergeCell ref="D3114:G3114"/>
    <mergeCell ref="D3116:G3116"/>
    <mergeCell ref="C3097:C3099"/>
    <mergeCell ref="C3124:C3129"/>
    <mergeCell ref="D3083:G3083"/>
    <mergeCell ref="D2995:G2995"/>
    <mergeCell ref="D3006:G3006"/>
    <mergeCell ref="D3391:G3391"/>
    <mergeCell ref="D3387:G3387"/>
    <mergeCell ref="D3389:G3389"/>
    <mergeCell ref="A3265:A3361"/>
    <mergeCell ref="B3265:B3361"/>
    <mergeCell ref="C3287:C3289"/>
    <mergeCell ref="C3359:C3360"/>
    <mergeCell ref="D3265:G3265"/>
    <mergeCell ref="D3266:G3266"/>
    <mergeCell ref="D3271:G3271"/>
    <mergeCell ref="D3274:G3274"/>
    <mergeCell ref="D3276:G3276"/>
    <mergeCell ref="D2985:G2985"/>
    <mergeCell ref="C2971:C2972"/>
    <mergeCell ref="C3318:C3323"/>
    <mergeCell ref="C3329:C3345"/>
    <mergeCell ref="D3213:G3213"/>
    <mergeCell ref="C3221:C3226"/>
    <mergeCell ref="C3311:C3316"/>
    <mergeCell ref="D3297:G3297"/>
    <mergeCell ref="D3299:G3299"/>
    <mergeCell ref="C3300:C3304"/>
    <mergeCell ref="D3306:G3306"/>
    <mergeCell ref="D3308:G3308"/>
    <mergeCell ref="D3310:G3310"/>
    <mergeCell ref="A3168:A3264"/>
    <mergeCell ref="B3168:B3264"/>
    <mergeCell ref="D3177:G3177"/>
    <mergeCell ref="D3179:G3179"/>
    <mergeCell ref="D3180:G3180"/>
    <mergeCell ref="C3291:C3293"/>
    <mergeCell ref="C3214:C3219"/>
    <mergeCell ref="A2974:A3070"/>
    <mergeCell ref="B2974:B3070"/>
    <mergeCell ref="D3169:G3169"/>
    <mergeCell ref="A3071:A3167"/>
    <mergeCell ref="B3071:B3167"/>
    <mergeCell ref="C3009:C3013"/>
    <mergeCell ref="D3015:G3015"/>
    <mergeCell ref="D3017:G3017"/>
    <mergeCell ref="D2915:G2915"/>
    <mergeCell ref="C2957:C2966"/>
    <mergeCell ref="A2872:A2973"/>
    <mergeCell ref="B2872:B2973"/>
    <mergeCell ref="C3020:C3025"/>
    <mergeCell ref="C3117:C3122"/>
    <mergeCell ref="D3189:G3189"/>
    <mergeCell ref="D3200:G3200"/>
    <mergeCell ref="C3093:C3095"/>
    <mergeCell ref="D3077:G3077"/>
    <mergeCell ref="D3080:G3080"/>
    <mergeCell ref="D2986:G2986"/>
    <mergeCell ref="C2989:C2991"/>
    <mergeCell ref="C2992:C2993"/>
    <mergeCell ref="C3194:C3196"/>
    <mergeCell ref="D2974:G2974"/>
    <mergeCell ref="D2975:G2975"/>
    <mergeCell ref="D2980:G2980"/>
    <mergeCell ref="D2983:G2983"/>
    <mergeCell ref="C3086:C3088"/>
    <mergeCell ref="C3135:C3151"/>
    <mergeCell ref="C3165:C3166"/>
    <mergeCell ref="C3190:C3192"/>
    <mergeCell ref="D3092:G3092"/>
    <mergeCell ref="D3008:G3008"/>
    <mergeCell ref="A6787:A6906"/>
    <mergeCell ref="B6787:B6906"/>
    <mergeCell ref="D6787:G6787"/>
    <mergeCell ref="D6788:G6788"/>
    <mergeCell ref="D6793:G6793"/>
    <mergeCell ref="D6795:G6795"/>
    <mergeCell ref="D6797:G6797"/>
    <mergeCell ref="D6798:G6798"/>
    <mergeCell ref="C6801:C6803"/>
    <mergeCell ref="C6805:C6806"/>
    <mergeCell ref="D6808:G6808"/>
    <mergeCell ref="D6819:G6819"/>
    <mergeCell ref="D6821:G6821"/>
    <mergeCell ref="D6823:G6823"/>
    <mergeCell ref="D6825:G6825"/>
    <mergeCell ref="D6827:G6827"/>
    <mergeCell ref="C6830:C6835"/>
    <mergeCell ref="C6837:C6852"/>
    <mergeCell ref="C6856:C6869"/>
    <mergeCell ref="C6875:C6898"/>
    <mergeCell ref="C6904:C6905"/>
    <mergeCell ref="C3157:C3161"/>
    <mergeCell ref="C3254:C3258"/>
    <mergeCell ref="C3351:C3355"/>
    <mergeCell ref="D3082:G3082"/>
    <mergeCell ref="D3071:G3071"/>
    <mergeCell ref="D3072:G3072"/>
    <mergeCell ref="C3183:C3185"/>
    <mergeCell ref="C3186:C3187"/>
    <mergeCell ref="D3174:G3174"/>
    <mergeCell ref="C3283:C3284"/>
    <mergeCell ref="D6913:G6913"/>
    <mergeCell ref="D6915:G6915"/>
    <mergeCell ref="D6917:G6917"/>
    <mergeCell ref="D6918:G6918"/>
    <mergeCell ref="C6921:C6923"/>
    <mergeCell ref="C6925:C6926"/>
    <mergeCell ref="D6928:G6928"/>
    <mergeCell ref="D6939:G6939"/>
    <mergeCell ref="D6941:G6941"/>
    <mergeCell ref="D6943:G6943"/>
    <mergeCell ref="D6945:G6945"/>
    <mergeCell ref="D6947:G6947"/>
    <mergeCell ref="C6950:C6955"/>
    <mergeCell ref="C6957:C6972"/>
    <mergeCell ref="C6976:C6989"/>
    <mergeCell ref="C6995:C7018"/>
    <mergeCell ref="C7024:C7025"/>
    <mergeCell ref="D3209:G3209"/>
    <mergeCell ref="D3211:G3211"/>
    <mergeCell ref="D3202:G3202"/>
    <mergeCell ref="C3203:C3207"/>
    <mergeCell ref="A3362:A3391"/>
    <mergeCell ref="B3362:B3391"/>
    <mergeCell ref="A7027:A7146"/>
    <mergeCell ref="B7027:B7146"/>
    <mergeCell ref="D7027:G7027"/>
    <mergeCell ref="D7028:G7028"/>
    <mergeCell ref="D7033:G7033"/>
    <mergeCell ref="D7035:G7035"/>
    <mergeCell ref="D7037:G7037"/>
    <mergeCell ref="D7038:G7038"/>
    <mergeCell ref="C7041:C7043"/>
    <mergeCell ref="C7045:C7046"/>
    <mergeCell ref="D7048:G7048"/>
    <mergeCell ref="D7059:G7059"/>
    <mergeCell ref="D7061:G7061"/>
    <mergeCell ref="D7063:G7063"/>
    <mergeCell ref="D7065:G7065"/>
    <mergeCell ref="D7067:G7067"/>
    <mergeCell ref="C7070:C7075"/>
    <mergeCell ref="C7077:C7092"/>
    <mergeCell ref="C7096:C7109"/>
    <mergeCell ref="C7115:C7138"/>
    <mergeCell ref="C7144:C7145"/>
    <mergeCell ref="D3286:G3286"/>
    <mergeCell ref="A6907:A7026"/>
    <mergeCell ref="B6907:B7026"/>
    <mergeCell ref="D6907:G6907"/>
    <mergeCell ref="D6908:G6908"/>
    <mergeCell ref="A7147:A7266"/>
    <mergeCell ref="B7147:B7266"/>
    <mergeCell ref="D7147:G7147"/>
    <mergeCell ref="D7148:G7148"/>
    <mergeCell ref="D7153:G7153"/>
    <mergeCell ref="D7155:G7155"/>
    <mergeCell ref="D7157:G7157"/>
    <mergeCell ref="D7158:G7158"/>
    <mergeCell ref="C7161:C7163"/>
    <mergeCell ref="C7165:C7166"/>
    <mergeCell ref="D7168:G7168"/>
    <mergeCell ref="D7179:G7179"/>
    <mergeCell ref="D7181:G7181"/>
    <mergeCell ref="D7183:G7183"/>
    <mergeCell ref="D7185:G7185"/>
    <mergeCell ref="D7187:G7187"/>
    <mergeCell ref="C7190:C7195"/>
    <mergeCell ref="C7197:C7212"/>
    <mergeCell ref="C7216:C7229"/>
    <mergeCell ref="C7235:C7258"/>
    <mergeCell ref="C7264:C7265"/>
    <mergeCell ref="A7267:A7386"/>
    <mergeCell ref="B7267:B7386"/>
    <mergeCell ref="D7267:G7267"/>
    <mergeCell ref="D7268:G7268"/>
    <mergeCell ref="D7273:G7273"/>
    <mergeCell ref="D7275:G7275"/>
    <mergeCell ref="D7277:G7277"/>
    <mergeCell ref="D7278:G7278"/>
    <mergeCell ref="C7281:C7283"/>
    <mergeCell ref="C7285:C7286"/>
    <mergeCell ref="D7288:G7288"/>
    <mergeCell ref="D7299:G7299"/>
    <mergeCell ref="D7301:G7301"/>
    <mergeCell ref="D7303:G7303"/>
    <mergeCell ref="D7305:G7305"/>
    <mergeCell ref="D7307:G7307"/>
    <mergeCell ref="C7310:C7315"/>
    <mergeCell ref="C7317:C7332"/>
    <mergeCell ref="C7336:C7349"/>
    <mergeCell ref="C7355:C7378"/>
    <mergeCell ref="C7384:C7385"/>
    <mergeCell ref="A7387:A7506"/>
    <mergeCell ref="B7387:B7506"/>
    <mergeCell ref="D7387:G7387"/>
    <mergeCell ref="D7388:G7388"/>
    <mergeCell ref="D7393:G7393"/>
    <mergeCell ref="D7395:G7395"/>
    <mergeCell ref="D7397:G7397"/>
    <mergeCell ref="D7398:G7398"/>
    <mergeCell ref="C7401:C7403"/>
    <mergeCell ref="C7405:C7406"/>
    <mergeCell ref="D7408:G7408"/>
    <mergeCell ref="D7419:G7419"/>
    <mergeCell ref="D7421:G7421"/>
    <mergeCell ref="D7423:G7423"/>
    <mergeCell ref="D7425:G7425"/>
    <mergeCell ref="D7427:G7427"/>
    <mergeCell ref="C7430:C7435"/>
    <mergeCell ref="C7437:C7452"/>
    <mergeCell ref="C7456:C7469"/>
    <mergeCell ref="C7475:C7498"/>
    <mergeCell ref="C7504:C7505"/>
    <mergeCell ref="A7507:A7626"/>
    <mergeCell ref="B7507:B7626"/>
    <mergeCell ref="D7507:G7507"/>
    <mergeCell ref="D7508:G7508"/>
    <mergeCell ref="D7513:G7513"/>
    <mergeCell ref="D7515:G7515"/>
    <mergeCell ref="D7517:G7517"/>
    <mergeCell ref="D7518:G7518"/>
    <mergeCell ref="C7521:C7523"/>
    <mergeCell ref="C7525:C7526"/>
    <mergeCell ref="D7528:G7528"/>
    <mergeCell ref="D7539:G7539"/>
    <mergeCell ref="D7541:G7541"/>
    <mergeCell ref="D7543:G7543"/>
    <mergeCell ref="D7545:G7545"/>
    <mergeCell ref="D7547:G7547"/>
    <mergeCell ref="C7550:C7555"/>
    <mergeCell ref="C7557:C7572"/>
    <mergeCell ref="C7576:C7589"/>
    <mergeCell ref="C7595:C7618"/>
    <mergeCell ref="C7624:C7625"/>
    <mergeCell ref="A7627:A7746"/>
    <mergeCell ref="B7627:B7746"/>
    <mergeCell ref="D7627:G7627"/>
    <mergeCell ref="D7628:G7628"/>
    <mergeCell ref="D7633:G7633"/>
    <mergeCell ref="D7635:G7635"/>
    <mergeCell ref="D7637:G7637"/>
    <mergeCell ref="D7638:G7638"/>
    <mergeCell ref="C7641:C7643"/>
    <mergeCell ref="C7645:C7646"/>
    <mergeCell ref="D7648:G7648"/>
    <mergeCell ref="D7659:G7659"/>
    <mergeCell ref="D7661:G7661"/>
    <mergeCell ref="D7663:G7663"/>
    <mergeCell ref="D7665:G7665"/>
    <mergeCell ref="D7667:G7667"/>
    <mergeCell ref="C7670:C7675"/>
    <mergeCell ref="C7677:C7692"/>
    <mergeCell ref="C7696:C7709"/>
    <mergeCell ref="C7715:C7738"/>
    <mergeCell ref="C7744:C7745"/>
    <mergeCell ref="A7747:A7866"/>
    <mergeCell ref="B7747:B7866"/>
    <mergeCell ref="D7747:G7747"/>
    <mergeCell ref="D7748:G7748"/>
    <mergeCell ref="D7753:G7753"/>
    <mergeCell ref="D7755:G7755"/>
    <mergeCell ref="D7757:G7757"/>
    <mergeCell ref="D7758:G7758"/>
    <mergeCell ref="C7761:C7763"/>
    <mergeCell ref="C7765:C7766"/>
    <mergeCell ref="D7768:G7768"/>
    <mergeCell ref="D7779:G7779"/>
    <mergeCell ref="D7781:G7781"/>
    <mergeCell ref="D7783:G7783"/>
    <mergeCell ref="D7785:G7785"/>
    <mergeCell ref="D7787:G7787"/>
    <mergeCell ref="C7790:C7795"/>
    <mergeCell ref="C7797:C7812"/>
    <mergeCell ref="C7816:C7829"/>
    <mergeCell ref="C7835:C7858"/>
    <mergeCell ref="C7864:C7865"/>
    <mergeCell ref="A7867:A7986"/>
    <mergeCell ref="B7867:B7986"/>
    <mergeCell ref="D7867:G7867"/>
    <mergeCell ref="D7868:G7868"/>
    <mergeCell ref="D7873:G7873"/>
    <mergeCell ref="D7875:G7875"/>
    <mergeCell ref="D7877:G7877"/>
    <mergeCell ref="D7878:G7878"/>
    <mergeCell ref="C7881:C7883"/>
    <mergeCell ref="C7885:C7886"/>
    <mergeCell ref="D7888:G7888"/>
    <mergeCell ref="D7899:G7899"/>
    <mergeCell ref="D7901:G7901"/>
    <mergeCell ref="D7903:G7903"/>
    <mergeCell ref="D7905:G7905"/>
    <mergeCell ref="D7907:G7907"/>
    <mergeCell ref="C7910:C7915"/>
    <mergeCell ref="C7917:C7932"/>
    <mergeCell ref="C7936:C7949"/>
    <mergeCell ref="C7955:C7978"/>
    <mergeCell ref="C7984:C7985"/>
    <mergeCell ref="A7987:A8106"/>
    <mergeCell ref="B7987:B8106"/>
    <mergeCell ref="D7987:G7987"/>
    <mergeCell ref="D7988:G7988"/>
    <mergeCell ref="D7993:G7993"/>
    <mergeCell ref="D7995:G7995"/>
    <mergeCell ref="D7997:G7997"/>
    <mergeCell ref="D7998:G7998"/>
    <mergeCell ref="C8001:C8003"/>
    <mergeCell ref="C8005:C8006"/>
    <mergeCell ref="D8008:G8008"/>
    <mergeCell ref="D8019:G8019"/>
    <mergeCell ref="D8021:G8021"/>
    <mergeCell ref="D8023:G8023"/>
    <mergeCell ref="D8025:G8025"/>
    <mergeCell ref="D8027:G8027"/>
    <mergeCell ref="C8030:C8035"/>
    <mergeCell ref="C8037:C8052"/>
    <mergeCell ref="C8056:C8069"/>
    <mergeCell ref="C8075:C8098"/>
    <mergeCell ref="C8104:C8105"/>
    <mergeCell ref="A8107:A8226"/>
    <mergeCell ref="B8107:B8226"/>
    <mergeCell ref="D8107:G8107"/>
    <mergeCell ref="D8108:G8108"/>
    <mergeCell ref="D8113:G8113"/>
    <mergeCell ref="D8115:G8115"/>
    <mergeCell ref="D8117:G8117"/>
    <mergeCell ref="D8118:G8118"/>
    <mergeCell ref="C8121:C8123"/>
    <mergeCell ref="C8125:C8126"/>
    <mergeCell ref="D8128:G8128"/>
    <mergeCell ref="D8139:G8139"/>
    <mergeCell ref="D8141:G8141"/>
    <mergeCell ref="D8143:G8143"/>
    <mergeCell ref="D8145:G8145"/>
    <mergeCell ref="D8147:G8147"/>
    <mergeCell ref="C8150:C8155"/>
    <mergeCell ref="C8157:C8172"/>
    <mergeCell ref="C8176:C8189"/>
    <mergeCell ref="C8195:C8218"/>
    <mergeCell ref="C8224:C8225"/>
    <mergeCell ref="A8227:A8346"/>
    <mergeCell ref="B8227:B8346"/>
    <mergeCell ref="D8227:G8227"/>
    <mergeCell ref="D8228:G8228"/>
    <mergeCell ref="D8233:G8233"/>
    <mergeCell ref="D8235:G8235"/>
    <mergeCell ref="D8237:G8237"/>
    <mergeCell ref="D8238:G8238"/>
    <mergeCell ref="C8241:C8243"/>
    <mergeCell ref="C8245:C8246"/>
    <mergeCell ref="D8248:G8248"/>
    <mergeCell ref="D8259:G8259"/>
    <mergeCell ref="D8261:G8261"/>
    <mergeCell ref="D8263:G8263"/>
    <mergeCell ref="D8265:G8265"/>
    <mergeCell ref="D8267:G8267"/>
    <mergeCell ref="C8270:C8275"/>
    <mergeCell ref="C8277:C8292"/>
    <mergeCell ref="C8296:C8309"/>
    <mergeCell ref="C8315:C8338"/>
    <mergeCell ref="C8344:C8345"/>
    <mergeCell ref="A8347:A8466"/>
    <mergeCell ref="B8347:B8466"/>
    <mergeCell ref="D8347:G8347"/>
    <mergeCell ref="D8348:G8348"/>
    <mergeCell ref="D8353:G8353"/>
    <mergeCell ref="D8355:G8355"/>
    <mergeCell ref="D8357:G8357"/>
    <mergeCell ref="D8358:G8358"/>
    <mergeCell ref="C8361:C8363"/>
    <mergeCell ref="C8365:C8366"/>
    <mergeCell ref="D8368:G8368"/>
    <mergeCell ref="D8379:G8379"/>
    <mergeCell ref="D8381:G8381"/>
    <mergeCell ref="D8383:G8383"/>
    <mergeCell ref="D8385:G8385"/>
    <mergeCell ref="D8387:G8387"/>
    <mergeCell ref="C8390:C8395"/>
    <mergeCell ref="C8397:C8412"/>
    <mergeCell ref="C8416:C8429"/>
    <mergeCell ref="C8435:C8458"/>
    <mergeCell ref="C8464:C8465"/>
    <mergeCell ref="A8467:A8586"/>
    <mergeCell ref="B8467:B8586"/>
    <mergeCell ref="D8467:G8467"/>
    <mergeCell ref="D8468:G8468"/>
    <mergeCell ref="D8473:G8473"/>
    <mergeCell ref="D8475:G8475"/>
    <mergeCell ref="D8477:G8477"/>
    <mergeCell ref="D8478:G8478"/>
    <mergeCell ref="C8481:C8483"/>
    <mergeCell ref="C8485:C8486"/>
    <mergeCell ref="D8488:G8488"/>
    <mergeCell ref="D8499:G8499"/>
    <mergeCell ref="D8501:G8501"/>
    <mergeCell ref="D8503:G8503"/>
    <mergeCell ref="D8505:G8505"/>
    <mergeCell ref="D8507:G8507"/>
    <mergeCell ref="C8510:C8515"/>
    <mergeCell ref="C8517:C8532"/>
    <mergeCell ref="C8536:C8549"/>
    <mergeCell ref="C8555:C8578"/>
    <mergeCell ref="C8584:C8585"/>
    <mergeCell ref="A8587:A8706"/>
    <mergeCell ref="B8587:B8706"/>
    <mergeCell ref="D8587:G8587"/>
    <mergeCell ref="D8588:G8588"/>
    <mergeCell ref="D8593:G8593"/>
    <mergeCell ref="D8595:G8595"/>
    <mergeCell ref="D8597:G8597"/>
    <mergeCell ref="D8598:G8598"/>
    <mergeCell ref="C8601:C8603"/>
    <mergeCell ref="C8605:C8606"/>
    <mergeCell ref="D8608:G8608"/>
    <mergeCell ref="D8619:G8619"/>
    <mergeCell ref="D8621:G8621"/>
    <mergeCell ref="D8623:G8623"/>
    <mergeCell ref="D8625:G8625"/>
    <mergeCell ref="D8627:G8627"/>
    <mergeCell ref="C8630:C8635"/>
    <mergeCell ref="C8637:C8652"/>
    <mergeCell ref="C8656:C8669"/>
    <mergeCell ref="C8675:C8698"/>
    <mergeCell ref="C8704:C8705"/>
    <mergeCell ref="A8707:A8826"/>
    <mergeCell ref="B8707:B8826"/>
    <mergeCell ref="D8707:G8707"/>
    <mergeCell ref="D8708:G8708"/>
    <mergeCell ref="D8713:G8713"/>
    <mergeCell ref="D8715:G8715"/>
    <mergeCell ref="D8717:G8717"/>
    <mergeCell ref="D8718:G8718"/>
    <mergeCell ref="C8721:C8723"/>
    <mergeCell ref="C8725:C8726"/>
    <mergeCell ref="D8728:G8728"/>
    <mergeCell ref="D8739:G8739"/>
    <mergeCell ref="D8741:G8741"/>
    <mergeCell ref="D8743:G8743"/>
    <mergeCell ref="D8745:G8745"/>
    <mergeCell ref="D8747:G8747"/>
    <mergeCell ref="C8750:C8755"/>
    <mergeCell ref="C8757:C8772"/>
    <mergeCell ref="C8776:C8789"/>
    <mergeCell ref="C8795:C8818"/>
    <mergeCell ref="C8824:C8825"/>
    <mergeCell ref="A8827:A8930"/>
    <mergeCell ref="B8827:B8930"/>
    <mergeCell ref="D8827:G8827"/>
    <mergeCell ref="D8828:G8828"/>
    <mergeCell ref="D8833:G8833"/>
    <mergeCell ref="D8836:G8836"/>
    <mergeCell ref="D8838:G8838"/>
    <mergeCell ref="D8839:G8839"/>
    <mergeCell ref="C8842:C8844"/>
    <mergeCell ref="C8845:C8846"/>
    <mergeCell ref="D8848:G8848"/>
    <mergeCell ref="D8859:G8859"/>
    <mergeCell ref="C8861:C8866"/>
    <mergeCell ref="D8861:G8861"/>
    <mergeCell ref="C8868:C8869"/>
    <mergeCell ref="D8868:G8868"/>
    <mergeCell ref="D8870:G8870"/>
    <mergeCell ref="D8872:G8872"/>
    <mergeCell ref="C8873:C8878"/>
    <mergeCell ref="C8880:C8894"/>
    <mergeCell ref="C8899:C8910"/>
    <mergeCell ref="C8914:C8923"/>
    <mergeCell ref="C8928:C8929"/>
    <mergeCell ref="A8931:A9034"/>
    <mergeCell ref="B8931:B9034"/>
    <mergeCell ref="D8931:G8931"/>
    <mergeCell ref="D8932:G8932"/>
    <mergeCell ref="D8937:G8937"/>
    <mergeCell ref="D8940:G8940"/>
    <mergeCell ref="D8942:G8942"/>
    <mergeCell ref="D8943:G8943"/>
    <mergeCell ref="C8946:C8948"/>
    <mergeCell ref="C8949:C8950"/>
    <mergeCell ref="D8952:G8952"/>
    <mergeCell ref="D8963:G8963"/>
    <mergeCell ref="C8965:C8970"/>
    <mergeCell ref="D8965:G8965"/>
    <mergeCell ref="C8972:C8973"/>
    <mergeCell ref="D8972:G8972"/>
    <mergeCell ref="D8974:G8974"/>
    <mergeCell ref="D8976:G8976"/>
    <mergeCell ref="C8977:C8982"/>
    <mergeCell ref="C8984:C8998"/>
    <mergeCell ref="C9003:C9014"/>
    <mergeCell ref="C9018:C9027"/>
    <mergeCell ref="C9032:C9033"/>
    <mergeCell ref="A9035:A9138"/>
    <mergeCell ref="B9035:B9138"/>
    <mergeCell ref="D9035:G9035"/>
    <mergeCell ref="D9036:G9036"/>
    <mergeCell ref="D9041:G9041"/>
    <mergeCell ref="D9044:G9044"/>
    <mergeCell ref="D9046:G9046"/>
    <mergeCell ref="D9047:G9047"/>
    <mergeCell ref="C9050:C9052"/>
    <mergeCell ref="C9053:C9054"/>
    <mergeCell ref="D9056:G9056"/>
    <mergeCell ref="D9067:G9067"/>
    <mergeCell ref="C9069:C9074"/>
    <mergeCell ref="D9069:G9069"/>
    <mergeCell ref="C9076:C9077"/>
    <mergeCell ref="D9076:G9076"/>
    <mergeCell ref="D9078:G9078"/>
    <mergeCell ref="D9080:G9080"/>
    <mergeCell ref="C9081:C9086"/>
    <mergeCell ref="C9088:C9102"/>
    <mergeCell ref="C9107:C9118"/>
    <mergeCell ref="C9122:C9131"/>
    <mergeCell ref="C9136:C9137"/>
    <mergeCell ref="A9139:A9240"/>
    <mergeCell ref="B9139:B9240"/>
    <mergeCell ref="D9139:G9139"/>
    <mergeCell ref="D9140:G9140"/>
    <mergeCell ref="D9144:G9144"/>
    <mergeCell ref="D9146:G9146"/>
    <mergeCell ref="D9148:G9148"/>
    <mergeCell ref="D9149:G9149"/>
    <mergeCell ref="C9152:C9154"/>
    <mergeCell ref="C9155:C9156"/>
    <mergeCell ref="D9158:G9158"/>
    <mergeCell ref="D9169:G9169"/>
    <mergeCell ref="C9171:C9176"/>
    <mergeCell ref="D9171:G9171"/>
    <mergeCell ref="C9178:C9179"/>
    <mergeCell ref="D9178:G9178"/>
    <mergeCell ref="D9180:G9180"/>
    <mergeCell ref="D9182:G9182"/>
    <mergeCell ref="C9183:C9188"/>
    <mergeCell ref="C9190:C9204"/>
    <mergeCell ref="C9209:C9220"/>
    <mergeCell ref="C9224:C9233"/>
    <mergeCell ref="C9238:C9239"/>
    <mergeCell ref="A9241:A9342"/>
    <mergeCell ref="B9241:B9342"/>
    <mergeCell ref="D9241:G9241"/>
    <mergeCell ref="D9242:G9242"/>
    <mergeCell ref="D9246:G9246"/>
    <mergeCell ref="D9248:G9248"/>
    <mergeCell ref="D9250:G9250"/>
    <mergeCell ref="D9251:G9251"/>
    <mergeCell ref="C9254:C9256"/>
    <mergeCell ref="C9257:C9258"/>
    <mergeCell ref="D9260:G9260"/>
    <mergeCell ref="D9271:G9271"/>
    <mergeCell ref="C9273:C9278"/>
    <mergeCell ref="D9273:G9273"/>
    <mergeCell ref="C9280:C9281"/>
    <mergeCell ref="D9280:G9280"/>
    <mergeCell ref="D9282:G9282"/>
    <mergeCell ref="D9284:G9284"/>
    <mergeCell ref="C9285:C9290"/>
    <mergeCell ref="C9292:C9306"/>
    <mergeCell ref="C9311:C9322"/>
    <mergeCell ref="C9326:C9335"/>
    <mergeCell ref="C9340:C9341"/>
    <mergeCell ref="A9343:A9444"/>
    <mergeCell ref="B9343:B9444"/>
    <mergeCell ref="D9343:G9343"/>
    <mergeCell ref="D9344:G9344"/>
    <mergeCell ref="D9348:G9348"/>
    <mergeCell ref="D9350:G9350"/>
    <mergeCell ref="D9352:G9352"/>
    <mergeCell ref="D9353:G9353"/>
    <mergeCell ref="C9356:C9358"/>
    <mergeCell ref="C9359:C9360"/>
    <mergeCell ref="D9362:G9362"/>
    <mergeCell ref="D9373:G9373"/>
    <mergeCell ref="C9375:C9380"/>
    <mergeCell ref="D9375:G9375"/>
    <mergeCell ref="C9382:C9383"/>
    <mergeCell ref="D9382:G9382"/>
    <mergeCell ref="D9384:G9384"/>
    <mergeCell ref="D9386:G9386"/>
    <mergeCell ref="C9387:C9392"/>
    <mergeCell ref="C9394:C9408"/>
    <mergeCell ref="C9413:C9424"/>
    <mergeCell ref="C9428:C9437"/>
    <mergeCell ref="C9442:C9443"/>
    <mergeCell ref="A9445:A9546"/>
    <mergeCell ref="B9445:B9546"/>
    <mergeCell ref="D9445:G9445"/>
    <mergeCell ref="D9446:G9446"/>
    <mergeCell ref="D9450:G9450"/>
    <mergeCell ref="D9452:G9452"/>
    <mergeCell ref="D9454:G9454"/>
    <mergeCell ref="D9455:G9455"/>
    <mergeCell ref="C9458:C9460"/>
    <mergeCell ref="C9461:C9462"/>
    <mergeCell ref="D9464:G9464"/>
    <mergeCell ref="D9475:G9475"/>
    <mergeCell ref="C9477:C9482"/>
    <mergeCell ref="D9477:G9477"/>
    <mergeCell ref="C9484:C9485"/>
    <mergeCell ref="D9484:G9484"/>
    <mergeCell ref="D9486:G9486"/>
    <mergeCell ref="D9488:G9488"/>
    <mergeCell ref="C9489:C9494"/>
    <mergeCell ref="C9496:C9510"/>
    <mergeCell ref="C9515:C9526"/>
    <mergeCell ref="C9530:C9539"/>
    <mergeCell ref="C9544:C9545"/>
    <mergeCell ref="A9547:A9648"/>
    <mergeCell ref="B9547:B9648"/>
    <mergeCell ref="D9547:G9547"/>
    <mergeCell ref="D9548:G9548"/>
    <mergeCell ref="D9552:G9552"/>
    <mergeCell ref="D9554:G9554"/>
    <mergeCell ref="D9556:G9556"/>
    <mergeCell ref="D9557:G9557"/>
    <mergeCell ref="C9560:C9562"/>
    <mergeCell ref="C9563:C9564"/>
    <mergeCell ref="D9566:G9566"/>
    <mergeCell ref="D9577:G9577"/>
    <mergeCell ref="C9579:C9584"/>
    <mergeCell ref="D9579:G9579"/>
    <mergeCell ref="C9586:C9587"/>
    <mergeCell ref="D9586:G9586"/>
    <mergeCell ref="D9588:G9588"/>
    <mergeCell ref="D9590:G9590"/>
    <mergeCell ref="C9591:C9596"/>
    <mergeCell ref="C9598:C9612"/>
    <mergeCell ref="C9617:C9628"/>
    <mergeCell ref="C9632:C9641"/>
    <mergeCell ref="C9646:C9647"/>
    <mergeCell ref="A9649:A9750"/>
    <mergeCell ref="B9649:B9750"/>
    <mergeCell ref="D9649:G9649"/>
    <mergeCell ref="D9650:G9650"/>
    <mergeCell ref="D9654:G9654"/>
    <mergeCell ref="D9656:G9656"/>
    <mergeCell ref="D9658:G9658"/>
    <mergeCell ref="D9659:G9659"/>
    <mergeCell ref="C9662:C9664"/>
    <mergeCell ref="C9665:C9666"/>
    <mergeCell ref="D9668:G9668"/>
    <mergeCell ref="D9679:G9679"/>
    <mergeCell ref="C9681:C9686"/>
    <mergeCell ref="D9681:G9681"/>
    <mergeCell ref="C9688:C9689"/>
    <mergeCell ref="D9688:G9688"/>
    <mergeCell ref="D9690:G9690"/>
    <mergeCell ref="D9692:G9692"/>
    <mergeCell ref="C9693:C9698"/>
    <mergeCell ref="C9700:C9714"/>
    <mergeCell ref="C9719:C9730"/>
    <mergeCell ref="C9734:C9743"/>
    <mergeCell ref="C9748:C9749"/>
    <mergeCell ref="A9751:A9847"/>
    <mergeCell ref="B9751:B9847"/>
    <mergeCell ref="D9751:G9751"/>
    <mergeCell ref="D9752:G9752"/>
    <mergeCell ref="D9757:G9757"/>
    <mergeCell ref="D9760:G9760"/>
    <mergeCell ref="D9762:G9762"/>
    <mergeCell ref="D9763:G9763"/>
    <mergeCell ref="C9766:C9768"/>
    <mergeCell ref="C9769:C9770"/>
    <mergeCell ref="D9772:G9772"/>
    <mergeCell ref="C9773:C9775"/>
    <mergeCell ref="C9777:C9779"/>
    <mergeCell ref="D9783:G9783"/>
    <mergeCell ref="D9785:G9785"/>
    <mergeCell ref="C9786:C9790"/>
    <mergeCell ref="D9792:G9792"/>
    <mergeCell ref="D9794:G9794"/>
    <mergeCell ref="D9796:G9796"/>
    <mergeCell ref="C9797:C9802"/>
    <mergeCell ref="C9804:C9809"/>
    <mergeCell ref="C9815:C9831"/>
    <mergeCell ref="C9837:C9841"/>
    <mergeCell ref="C9845:C9846"/>
    <mergeCell ref="A9848:A9944"/>
    <mergeCell ref="B9848:B9944"/>
    <mergeCell ref="D9848:G9848"/>
    <mergeCell ref="D9849:G9849"/>
    <mergeCell ref="D9854:G9854"/>
    <mergeCell ref="D9857:G9857"/>
    <mergeCell ref="D9859:G9859"/>
    <mergeCell ref="D9860:G9860"/>
    <mergeCell ref="C9863:C9865"/>
    <mergeCell ref="C9866:C9867"/>
    <mergeCell ref="D9869:G9869"/>
    <mergeCell ref="C9870:C9872"/>
    <mergeCell ref="C9874:C9876"/>
    <mergeCell ref="D9880:G9880"/>
    <mergeCell ref="D9882:G9882"/>
    <mergeCell ref="C9883:C9887"/>
    <mergeCell ref="D9889:G9889"/>
    <mergeCell ref="D9891:G9891"/>
    <mergeCell ref="D9893:G9893"/>
    <mergeCell ref="C9894:C9899"/>
    <mergeCell ref="C9901:C9906"/>
    <mergeCell ref="C9912:C9928"/>
    <mergeCell ref="C9934:C9938"/>
    <mergeCell ref="C9942:C9943"/>
    <mergeCell ref="D10085:G10085"/>
    <mergeCell ref="D10087:G10087"/>
    <mergeCell ref="C10088:C10093"/>
    <mergeCell ref="C10095:C10100"/>
    <mergeCell ref="C10106:C10122"/>
    <mergeCell ref="C10128:C10132"/>
    <mergeCell ref="C10136:C10137"/>
    <mergeCell ref="A9945:A10041"/>
    <mergeCell ref="B9945:B10041"/>
    <mergeCell ref="D9945:G9945"/>
    <mergeCell ref="D9946:G9946"/>
    <mergeCell ref="D9951:G9951"/>
    <mergeCell ref="D9954:G9954"/>
    <mergeCell ref="D9956:G9956"/>
    <mergeCell ref="D9957:G9957"/>
    <mergeCell ref="C9960:C9962"/>
    <mergeCell ref="C9963:C9964"/>
    <mergeCell ref="D9966:G9966"/>
    <mergeCell ref="C9967:C9969"/>
    <mergeCell ref="C9971:C9973"/>
    <mergeCell ref="D9977:G9977"/>
    <mergeCell ref="D9979:G9979"/>
    <mergeCell ref="C9980:C9984"/>
    <mergeCell ref="D9986:G9986"/>
    <mergeCell ref="D9988:G9988"/>
    <mergeCell ref="D9990:G9990"/>
    <mergeCell ref="C9991:C9996"/>
    <mergeCell ref="C9998:C10003"/>
    <mergeCell ref="C10009:C10025"/>
    <mergeCell ref="C10031:C10035"/>
    <mergeCell ref="C10039:C10040"/>
    <mergeCell ref="A10139:A10168"/>
    <mergeCell ref="B10139:B10168"/>
    <mergeCell ref="D10139:G10139"/>
    <mergeCell ref="D10140:G10140"/>
    <mergeCell ref="D10145:G10145"/>
    <mergeCell ref="C10146:C10147"/>
    <mergeCell ref="D10153:G10153"/>
    <mergeCell ref="D10155:G10155"/>
    <mergeCell ref="D10156:G10156"/>
    <mergeCell ref="D10158:G10158"/>
    <mergeCell ref="D10160:G10160"/>
    <mergeCell ref="D10162:G10162"/>
    <mergeCell ref="D10164:G10164"/>
    <mergeCell ref="D10166:G10166"/>
    <mergeCell ref="D10168:G10168"/>
    <mergeCell ref="A10042:A10138"/>
    <mergeCell ref="B10042:B10138"/>
    <mergeCell ref="D10042:G10042"/>
    <mergeCell ref="D10043:G10043"/>
    <mergeCell ref="D10048:G10048"/>
    <mergeCell ref="D10051:G10051"/>
    <mergeCell ref="D10053:G10053"/>
    <mergeCell ref="D10054:G10054"/>
    <mergeCell ref="C10057:C10059"/>
    <mergeCell ref="C10060:C10061"/>
    <mergeCell ref="D10063:G10063"/>
    <mergeCell ref="C10064:C10066"/>
    <mergeCell ref="C10068:C10070"/>
    <mergeCell ref="D10074:G10074"/>
    <mergeCell ref="D10076:G10076"/>
    <mergeCell ref="C10077:C10081"/>
    <mergeCell ref="D10083:G10083"/>
  </mergeCells>
  <pageMargins left="0.70866141732283472" right="0.39370078740157483" top="0.19685039370078741" bottom="0.23622047244094491" header="0.31496062992125984" footer="0.31496062992125984"/>
  <pageSetup paperSize="9" scale="59" fitToHeight="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 filterMode="1">
    <pageSetUpPr fitToPage="1"/>
  </sheetPr>
  <dimension ref="A1:V419"/>
  <sheetViews>
    <sheetView workbookViewId="0">
      <pane xSplit="1" ySplit="3" topLeftCell="B136" activePane="bottomRight" state="frozen"/>
      <selection pane="topRight" activeCell="B1" sqref="B1"/>
      <selection pane="bottomLeft" activeCell="A4" sqref="A4"/>
      <selection pane="bottomRight" sqref="A1:F1048576"/>
    </sheetView>
  </sheetViews>
  <sheetFormatPr defaultRowHeight="15" x14ac:dyDescent="0.25"/>
  <cols>
    <col min="1" max="1" width="41.85546875" style="87" customWidth="1"/>
    <col min="2" max="2" width="19.7109375" style="74" customWidth="1"/>
    <col min="3" max="4" width="12.28515625" style="74" customWidth="1"/>
    <col min="5" max="5" width="22.28515625" style="75" customWidth="1"/>
    <col min="6" max="6" width="19.7109375" style="74" customWidth="1"/>
    <col min="7" max="8" width="12.28515625" style="74" customWidth="1"/>
    <col min="9" max="9" width="22.28515625" style="75" customWidth="1"/>
    <col min="10" max="10" width="19.7109375" style="74" customWidth="1"/>
    <col min="11" max="12" width="12.28515625" style="74" customWidth="1"/>
    <col min="13" max="13" width="22.28515625" style="75" customWidth="1"/>
    <col min="14" max="14" width="19.7109375" style="74" customWidth="1"/>
    <col min="15" max="16" width="12.28515625" style="74" customWidth="1"/>
    <col min="17" max="17" width="22.28515625" style="75" customWidth="1"/>
    <col min="18" max="18" width="9.140625" style="127"/>
    <col min="19" max="19" width="10.7109375" bestFit="1" customWidth="1"/>
    <col min="20" max="20" width="12.7109375" customWidth="1"/>
    <col min="21" max="21" width="11.42578125" bestFit="1" customWidth="1"/>
    <col min="22" max="22" width="9.7109375" bestFit="1" customWidth="1"/>
    <col min="23" max="23" width="13.28515625" customWidth="1"/>
  </cols>
  <sheetData>
    <row r="1" spans="1:18" x14ac:dyDescent="0.25">
      <c r="I1" s="74"/>
    </row>
    <row r="2" spans="1:18" x14ac:dyDescent="0.25">
      <c r="A2" s="81" t="s">
        <v>364</v>
      </c>
      <c r="B2" s="385" t="s">
        <v>338</v>
      </c>
      <c r="C2" s="385"/>
      <c r="D2" s="385"/>
      <c r="E2" s="385"/>
      <c r="F2" s="382" t="s">
        <v>339</v>
      </c>
      <c r="G2" s="383"/>
      <c r="H2" s="383"/>
      <c r="I2" s="384"/>
      <c r="J2" s="382" t="s">
        <v>340</v>
      </c>
      <c r="K2" s="383"/>
      <c r="L2" s="383"/>
      <c r="M2" s="384"/>
      <c r="N2" s="382" t="s">
        <v>347</v>
      </c>
      <c r="O2" s="383"/>
      <c r="P2" s="383"/>
      <c r="Q2" s="384"/>
    </row>
    <row r="3" spans="1:18" ht="38.25" x14ac:dyDescent="0.25">
      <c r="A3" s="84"/>
      <c r="B3" s="76" t="s">
        <v>384</v>
      </c>
      <c r="C3" s="76" t="s">
        <v>170</v>
      </c>
      <c r="D3" s="76" t="s">
        <v>174</v>
      </c>
      <c r="E3" s="77" t="s">
        <v>286</v>
      </c>
      <c r="F3" s="76" t="s">
        <v>384</v>
      </c>
      <c r="G3" s="76" t="s">
        <v>170</v>
      </c>
      <c r="H3" s="76" t="s">
        <v>174</v>
      </c>
      <c r="I3" s="77" t="s">
        <v>286</v>
      </c>
      <c r="J3" s="76" t="s">
        <v>384</v>
      </c>
      <c r="K3" s="76" t="s">
        <v>170</v>
      </c>
      <c r="L3" s="76" t="s">
        <v>174</v>
      </c>
      <c r="M3" s="77" t="s">
        <v>286</v>
      </c>
      <c r="N3" s="76" t="s">
        <v>384</v>
      </c>
      <c r="O3" s="76" t="s">
        <v>170</v>
      </c>
      <c r="P3" s="76" t="s">
        <v>174</v>
      </c>
      <c r="Q3" s="77" t="s">
        <v>286</v>
      </c>
    </row>
    <row r="4" spans="1:18" x14ac:dyDescent="0.25">
      <c r="A4" s="85" t="s">
        <v>86</v>
      </c>
      <c r="B4" s="89">
        <v>138253990.16999996</v>
      </c>
      <c r="C4" s="89">
        <v>921.8</v>
      </c>
      <c r="D4" s="89">
        <v>12</v>
      </c>
      <c r="E4" s="90">
        <f>B4/C4/D4</f>
        <v>12498.552665979601</v>
      </c>
      <c r="F4" s="89">
        <v>103381216.88</v>
      </c>
      <c r="G4" s="89">
        <v>368.4</v>
      </c>
      <c r="H4" s="89">
        <v>12</v>
      </c>
      <c r="I4" s="90">
        <f>F4/G4/H4</f>
        <v>23385.182971407892</v>
      </c>
      <c r="J4" s="89">
        <v>9823855.9100000001</v>
      </c>
      <c r="K4" s="89">
        <v>49</v>
      </c>
      <c r="L4" s="89">
        <v>12</v>
      </c>
      <c r="M4" s="90">
        <f>J4/K4/L4</f>
        <v>16707.237942176871</v>
      </c>
      <c r="N4" s="89">
        <v>707782.5</v>
      </c>
      <c r="O4" s="89">
        <v>2.4</v>
      </c>
      <c r="P4" s="89">
        <v>24</v>
      </c>
      <c r="Q4" s="90">
        <f>N4/90</f>
        <v>7864.25</v>
      </c>
      <c r="R4" s="128">
        <v>211</v>
      </c>
    </row>
    <row r="5" spans="1:18" x14ac:dyDescent="0.25">
      <c r="A5" s="85" t="s">
        <v>334</v>
      </c>
      <c r="B5" s="89">
        <v>41752705.039999992</v>
      </c>
      <c r="C5" s="89"/>
      <c r="D5" s="89"/>
      <c r="E5" s="90"/>
      <c r="F5" s="89">
        <v>31221127.500000004</v>
      </c>
      <c r="G5" s="89"/>
      <c r="H5" s="89"/>
      <c r="I5" s="90"/>
      <c r="J5" s="89">
        <v>2966804.49</v>
      </c>
      <c r="K5" s="89"/>
      <c r="L5" s="89"/>
      <c r="M5" s="90"/>
      <c r="N5" s="89">
        <v>213750.30000000005</v>
      </c>
      <c r="O5" s="89"/>
      <c r="P5" s="89"/>
      <c r="Q5" s="90"/>
      <c r="R5" s="128">
        <v>213</v>
      </c>
    </row>
    <row r="6" spans="1:18" x14ac:dyDescent="0.25">
      <c r="A6" s="85" t="s">
        <v>241</v>
      </c>
      <c r="B6" s="89"/>
      <c r="C6" s="89"/>
      <c r="D6" s="89"/>
      <c r="E6" s="90"/>
      <c r="F6" s="89">
        <v>66864.95</v>
      </c>
      <c r="G6" s="89">
        <v>17</v>
      </c>
      <c r="H6" s="89">
        <v>12</v>
      </c>
      <c r="I6" s="90">
        <f t="shared" ref="I6:I11" si="0">F6/G6/H6</f>
        <v>327.76936274509802</v>
      </c>
      <c r="J6" s="89">
        <v>16716.240000000002</v>
      </c>
      <c r="K6" s="89">
        <v>5</v>
      </c>
      <c r="L6" s="89">
        <v>12</v>
      </c>
      <c r="M6" s="90">
        <f>J6/K6/L6</f>
        <v>278.60400000000004</v>
      </c>
      <c r="N6" s="89"/>
      <c r="O6" s="89"/>
      <c r="P6" s="89"/>
      <c r="Q6" s="90"/>
      <c r="R6" s="128">
        <v>221</v>
      </c>
    </row>
    <row r="7" spans="1:18" x14ac:dyDescent="0.25">
      <c r="A7" s="85" t="s">
        <v>242</v>
      </c>
      <c r="B7" s="89"/>
      <c r="C7" s="89"/>
      <c r="D7" s="89"/>
      <c r="E7" s="90"/>
      <c r="F7" s="89">
        <v>162980.99</v>
      </c>
      <c r="G7" s="89">
        <v>17306</v>
      </c>
      <c r="H7" s="89">
        <v>12</v>
      </c>
      <c r="I7" s="90">
        <f t="shared" si="0"/>
        <v>0.78480002118725689</v>
      </c>
      <c r="J7" s="89">
        <v>66224.56</v>
      </c>
      <c r="K7" s="89">
        <v>7032</v>
      </c>
      <c r="L7" s="89">
        <v>12</v>
      </c>
      <c r="M7" s="90">
        <f>J7/K7/L7</f>
        <v>0.78479996207811897</v>
      </c>
      <c r="N7" s="89"/>
      <c r="O7" s="89"/>
      <c r="P7" s="89"/>
      <c r="Q7" s="90"/>
      <c r="R7" s="128">
        <v>221</v>
      </c>
    </row>
    <row r="8" spans="1:18" x14ac:dyDescent="0.25">
      <c r="A8" s="85" t="s">
        <v>244</v>
      </c>
      <c r="B8" s="89"/>
      <c r="C8" s="89"/>
      <c r="D8" s="89"/>
      <c r="E8" s="90"/>
      <c r="F8" s="89">
        <v>9940.8000000000011</v>
      </c>
      <c r="G8" s="89">
        <v>5</v>
      </c>
      <c r="H8" s="89">
        <v>12</v>
      </c>
      <c r="I8" s="90">
        <f t="shared" si="0"/>
        <v>165.68000000000004</v>
      </c>
      <c r="J8" s="89">
        <v>1988.16</v>
      </c>
      <c r="K8" s="89">
        <v>1</v>
      </c>
      <c r="L8" s="89">
        <v>12</v>
      </c>
      <c r="M8" s="90">
        <f>J8/K8/L8</f>
        <v>165.68</v>
      </c>
      <c r="N8" s="89"/>
      <c r="O8" s="89"/>
      <c r="P8" s="89"/>
      <c r="Q8" s="90"/>
      <c r="R8" s="128">
        <v>221</v>
      </c>
    </row>
    <row r="9" spans="1:18" x14ac:dyDescent="0.25">
      <c r="A9" s="85" t="s">
        <v>246</v>
      </c>
      <c r="B9" s="89"/>
      <c r="C9" s="89"/>
      <c r="D9" s="89"/>
      <c r="E9" s="90"/>
      <c r="F9" s="89">
        <v>173019.62</v>
      </c>
      <c r="G9" s="89">
        <v>5</v>
      </c>
      <c r="H9" s="89">
        <v>12</v>
      </c>
      <c r="I9" s="90">
        <f t="shared" si="0"/>
        <v>2883.6603333333333</v>
      </c>
      <c r="J9" s="89">
        <v>51796.800000000003</v>
      </c>
      <c r="K9" s="89">
        <v>1</v>
      </c>
      <c r="L9" s="89">
        <v>12</v>
      </c>
      <c r="M9" s="90">
        <f>J9/K9/L9</f>
        <v>4316.4000000000005</v>
      </c>
      <c r="N9" s="89"/>
      <c r="O9" s="89"/>
      <c r="P9" s="89"/>
      <c r="Q9" s="90"/>
      <c r="R9" s="128">
        <v>221</v>
      </c>
    </row>
    <row r="10" spans="1:18" ht="25.5" x14ac:dyDescent="0.25">
      <c r="A10" s="85" t="s">
        <v>374</v>
      </c>
      <c r="B10" s="89">
        <v>180869.7600000001</v>
      </c>
      <c r="C10" s="89">
        <v>36</v>
      </c>
      <c r="D10" s="89">
        <v>4</v>
      </c>
      <c r="E10" s="90">
        <f>B10/C10/D10</f>
        <v>1256.0400000000006</v>
      </c>
      <c r="F10" s="89">
        <v>35169.119999999995</v>
      </c>
      <c r="G10" s="89">
        <v>7</v>
      </c>
      <c r="H10" s="89">
        <v>4</v>
      </c>
      <c r="I10" s="90">
        <f t="shared" si="0"/>
        <v>1256.0399999999997</v>
      </c>
      <c r="J10" s="89">
        <v>30144.95</v>
      </c>
      <c r="K10" s="89">
        <v>6</v>
      </c>
      <c r="L10" s="89">
        <v>12</v>
      </c>
      <c r="M10" s="90">
        <f>J10/K10/L10</f>
        <v>418.67986111111117</v>
      </c>
      <c r="N10" s="89"/>
      <c r="O10" s="89"/>
      <c r="P10" s="89"/>
      <c r="Q10" s="90"/>
      <c r="R10" s="133" t="s">
        <v>357</v>
      </c>
    </row>
    <row r="11" spans="1:18" x14ac:dyDescent="0.25">
      <c r="A11" s="85" t="s">
        <v>365</v>
      </c>
      <c r="B11" s="89"/>
      <c r="C11" s="89"/>
      <c r="D11" s="89"/>
      <c r="E11" s="90"/>
      <c r="F11" s="89">
        <v>60168</v>
      </c>
      <c r="G11" s="89">
        <v>2</v>
      </c>
      <c r="H11" s="89">
        <v>12</v>
      </c>
      <c r="I11" s="90">
        <f t="shared" si="0"/>
        <v>2507</v>
      </c>
      <c r="J11" s="89"/>
      <c r="K11" s="89"/>
      <c r="L11" s="89"/>
      <c r="M11" s="90"/>
      <c r="N11" s="89"/>
      <c r="O11" s="89"/>
      <c r="P11" s="89"/>
      <c r="Q11" s="90"/>
      <c r="R11" s="128" t="s">
        <v>366</v>
      </c>
    </row>
    <row r="12" spans="1:18" x14ac:dyDescent="0.25">
      <c r="A12" s="85" t="s">
        <v>7</v>
      </c>
      <c r="B12" s="89">
        <v>34517577.210000008</v>
      </c>
      <c r="C12" s="89">
        <v>3313.1214264326877</v>
      </c>
      <c r="D12" s="89">
        <v>1</v>
      </c>
      <c r="E12" s="90">
        <f>B12/C12/D12/1000</f>
        <v>10.418446162163715</v>
      </c>
      <c r="F12" s="89">
        <v>1182801.24</v>
      </c>
      <c r="G12" s="89">
        <v>113.06013705633248</v>
      </c>
      <c r="H12" s="89">
        <v>1</v>
      </c>
      <c r="I12" s="90">
        <f>F12/G12/H12/1000</f>
        <v>10.461700036774822</v>
      </c>
      <c r="J12" s="89">
        <v>129413.61</v>
      </c>
      <c r="K12" s="89">
        <v>12370.227223490891</v>
      </c>
      <c r="L12" s="89">
        <v>1</v>
      </c>
      <c r="M12" s="90">
        <f>J12/K12/L12/1000</f>
        <v>1.0461700311716613E-2</v>
      </c>
      <c r="N12" s="89"/>
      <c r="O12" s="89"/>
      <c r="P12" s="89"/>
      <c r="Q12" s="90"/>
      <c r="R12" s="128" t="s">
        <v>386</v>
      </c>
    </row>
    <row r="13" spans="1:18" x14ac:dyDescent="0.25">
      <c r="A13" s="85" t="s">
        <v>9</v>
      </c>
      <c r="B13" s="89">
        <v>90759717.100000009</v>
      </c>
      <c r="C13" s="89">
        <v>31897.39</v>
      </c>
      <c r="D13" s="89">
        <v>1</v>
      </c>
      <c r="E13" s="90">
        <f t="shared" ref="E13:E127" si="1">B13/C13/D13</f>
        <v>2845.3650000830794</v>
      </c>
      <c r="F13" s="89">
        <v>3966438.8099999996</v>
      </c>
      <c r="G13" s="89">
        <v>1394</v>
      </c>
      <c r="H13" s="89">
        <v>1</v>
      </c>
      <c r="I13" s="90">
        <f>F13/G13/H13</f>
        <v>2845.3649999999998</v>
      </c>
      <c r="J13" s="89">
        <v>483712.05</v>
      </c>
      <c r="K13" s="89">
        <v>170</v>
      </c>
      <c r="L13" s="89">
        <v>1</v>
      </c>
      <c r="M13" s="90">
        <f>J13/K13/L13</f>
        <v>2845.3649999999998</v>
      </c>
      <c r="N13" s="89"/>
      <c r="O13" s="89"/>
      <c r="P13" s="89"/>
      <c r="Q13" s="90"/>
      <c r="R13" s="128" t="s">
        <v>387</v>
      </c>
    </row>
    <row r="14" spans="1:18" x14ac:dyDescent="0.25">
      <c r="A14" s="85" t="s">
        <v>12</v>
      </c>
      <c r="B14" s="89">
        <v>9574305.5800000019</v>
      </c>
      <c r="C14" s="89">
        <v>184725.17</v>
      </c>
      <c r="D14" s="89">
        <v>1</v>
      </c>
      <c r="E14" s="90">
        <f t="shared" si="1"/>
        <v>51.830000102314166</v>
      </c>
      <c r="F14" s="89">
        <v>209450.73130000004</v>
      </c>
      <c r="G14" s="89">
        <v>4041.1099999999997</v>
      </c>
      <c r="H14" s="89">
        <v>1</v>
      </c>
      <c r="I14" s="90">
        <f>F14/G14/H14</f>
        <v>51.830000000000013</v>
      </c>
      <c r="J14" s="89">
        <v>18364.405600000002</v>
      </c>
      <c r="K14" s="89">
        <v>354.32</v>
      </c>
      <c r="L14" s="89">
        <v>1</v>
      </c>
      <c r="M14" s="90">
        <f>J14/K14/L14</f>
        <v>51.830000000000005</v>
      </c>
      <c r="N14" s="89"/>
      <c r="O14" s="89"/>
      <c r="P14" s="89"/>
      <c r="Q14" s="90"/>
      <c r="R14" s="128" t="s">
        <v>388</v>
      </c>
    </row>
    <row r="15" spans="1:18" x14ac:dyDescent="0.25">
      <c r="A15" s="85" t="s">
        <v>17</v>
      </c>
      <c r="B15" s="89">
        <v>14549168.214299992</v>
      </c>
      <c r="C15" s="89">
        <v>184725.17</v>
      </c>
      <c r="D15" s="89">
        <v>1</v>
      </c>
      <c r="E15" s="90">
        <f t="shared" si="1"/>
        <v>78.76115753094173</v>
      </c>
      <c r="F15" s="89">
        <v>318282.50132321916</v>
      </c>
      <c r="G15" s="117">
        <f>G14</f>
        <v>4041.1099999999997</v>
      </c>
      <c r="H15" s="89">
        <v>1</v>
      </c>
      <c r="I15" s="90">
        <f>F15/G15/H15</f>
        <v>78.761157534246578</v>
      </c>
      <c r="J15" s="89">
        <v>27906.653337534244</v>
      </c>
      <c r="K15" s="117">
        <f>K14</f>
        <v>354.32</v>
      </c>
      <c r="L15" s="89">
        <v>1</v>
      </c>
      <c r="M15" s="90">
        <f>J15/K15/L15</f>
        <v>78.761157534246564</v>
      </c>
      <c r="N15" s="89"/>
      <c r="O15" s="117"/>
      <c r="P15" s="89"/>
      <c r="Q15" s="90"/>
      <c r="R15" s="128" t="s">
        <v>388</v>
      </c>
    </row>
    <row r="16" spans="1:18" x14ac:dyDescent="0.25">
      <c r="A16" s="85" t="s">
        <v>13</v>
      </c>
      <c r="B16" s="89">
        <v>19843139.455699995</v>
      </c>
      <c r="C16" s="89">
        <f>C14</f>
        <v>184725.17</v>
      </c>
      <c r="D16" s="89">
        <v>1</v>
      </c>
      <c r="E16" s="90">
        <f>B16/C16/D16</f>
        <v>107.41979263410609</v>
      </c>
      <c r="F16" s="89">
        <v>388673.97737678071</v>
      </c>
      <c r="G16" s="89">
        <f>G15</f>
        <v>4041.1099999999997</v>
      </c>
      <c r="H16" s="89">
        <v>1</v>
      </c>
      <c r="I16" s="90">
        <f>F16/G16/H16</f>
        <v>96.180004349493274</v>
      </c>
      <c r="J16" s="89">
        <v>34078.497600000002</v>
      </c>
      <c r="K16" s="89">
        <f>K14</f>
        <v>354.32</v>
      </c>
      <c r="L16" s="89">
        <v>1</v>
      </c>
      <c r="M16" s="90">
        <f>J16/K16/L16</f>
        <v>96.18</v>
      </c>
      <c r="N16" s="89"/>
      <c r="O16" s="89"/>
      <c r="P16" s="89"/>
      <c r="Q16" s="90"/>
      <c r="R16" s="128" t="s">
        <v>388</v>
      </c>
    </row>
    <row r="17" spans="1:18" hidden="1" x14ac:dyDescent="0.25">
      <c r="A17" s="85" t="s">
        <v>18</v>
      </c>
      <c r="B17" s="89">
        <v>405956.53</v>
      </c>
      <c r="C17" s="118">
        <v>13887.6</v>
      </c>
      <c r="D17" s="89">
        <v>1</v>
      </c>
      <c r="E17" s="90">
        <f>B17/C17/D17</f>
        <v>29.231582850888564</v>
      </c>
      <c r="F17" s="89"/>
      <c r="G17" s="89"/>
      <c r="H17" s="89"/>
      <c r="I17" s="90"/>
      <c r="J17" s="89"/>
      <c r="K17" s="89"/>
      <c r="L17" s="89"/>
      <c r="M17" s="90"/>
      <c r="N17" s="89"/>
      <c r="O17" s="89"/>
      <c r="P17" s="89"/>
      <c r="Q17" s="90"/>
      <c r="R17" s="128" t="s">
        <v>389</v>
      </c>
    </row>
    <row r="18" spans="1:18" x14ac:dyDescent="0.25">
      <c r="A18" s="85" t="s">
        <v>23</v>
      </c>
      <c r="B18" s="89">
        <v>2500250.79</v>
      </c>
      <c r="C18" s="89">
        <v>3368.6400000000003</v>
      </c>
      <c r="D18" s="89">
        <v>1</v>
      </c>
      <c r="E18" s="90">
        <f t="shared" si="1"/>
        <v>742.21370939013957</v>
      </c>
      <c r="F18" s="89">
        <v>222485.98</v>
      </c>
      <c r="G18" s="89">
        <v>24.979999999999997</v>
      </c>
      <c r="H18" s="89">
        <v>1</v>
      </c>
      <c r="I18" s="90">
        <f>F18/G18/H18</f>
        <v>8906.5644515612512</v>
      </c>
      <c r="J18" s="89">
        <v>47026.66</v>
      </c>
      <c r="K18" s="89">
        <v>63.36</v>
      </c>
      <c r="L18" s="89">
        <v>1</v>
      </c>
      <c r="M18" s="90">
        <f>J18/K18/L18</f>
        <v>742.21369949494954</v>
      </c>
      <c r="N18" s="89"/>
      <c r="O18" s="89"/>
      <c r="P18" s="89"/>
      <c r="Q18" s="90"/>
      <c r="R18" s="128" t="s">
        <v>390</v>
      </c>
    </row>
    <row r="19" spans="1:18" x14ac:dyDescent="0.25">
      <c r="A19" s="85" t="s">
        <v>24</v>
      </c>
      <c r="B19" s="89">
        <v>846242.21999999951</v>
      </c>
      <c r="C19" s="89">
        <v>147</v>
      </c>
      <c r="D19" s="89">
        <v>1</v>
      </c>
      <c r="E19" s="90">
        <f t="shared" si="1"/>
        <v>5756.7497959183638</v>
      </c>
      <c r="F19" s="89">
        <v>28759</v>
      </c>
      <c r="G19" s="89">
        <v>5</v>
      </c>
      <c r="H19" s="89">
        <v>1</v>
      </c>
      <c r="I19" s="90">
        <f>F19/G19/H19</f>
        <v>5751.8</v>
      </c>
      <c r="J19" s="89">
        <v>23007.200000000001</v>
      </c>
      <c r="K19" s="89">
        <v>4</v>
      </c>
      <c r="L19" s="89">
        <v>1</v>
      </c>
      <c r="M19" s="90">
        <f>J19/K19/L19</f>
        <v>5751.8</v>
      </c>
      <c r="N19" s="89"/>
      <c r="O19" s="89"/>
      <c r="P19" s="89"/>
      <c r="Q19" s="90"/>
      <c r="R19" s="128" t="s">
        <v>390</v>
      </c>
    </row>
    <row r="20" spans="1:18" x14ac:dyDescent="0.25">
      <c r="A20" s="85" t="s">
        <v>335</v>
      </c>
      <c r="B20" s="89"/>
      <c r="C20" s="89"/>
      <c r="D20" s="89"/>
      <c r="E20" s="90"/>
      <c r="F20" s="89">
        <v>10000000</v>
      </c>
      <c r="G20" s="89">
        <v>3336.3</v>
      </c>
      <c r="H20" s="89">
        <v>1</v>
      </c>
      <c r="I20" s="90">
        <f>F20/G20/H20</f>
        <v>2997.3323741869735</v>
      </c>
      <c r="J20" s="89"/>
      <c r="K20" s="89"/>
      <c r="L20" s="89"/>
      <c r="M20" s="90"/>
      <c r="N20" s="89"/>
      <c r="O20" s="89"/>
      <c r="P20" s="89"/>
      <c r="Q20" s="90"/>
      <c r="R20" s="128" t="s">
        <v>396</v>
      </c>
    </row>
    <row r="21" spans="1:18" hidden="1" x14ac:dyDescent="0.25">
      <c r="A21" s="85" t="s">
        <v>336</v>
      </c>
      <c r="B21" s="89"/>
      <c r="C21" s="89"/>
      <c r="D21" s="89"/>
      <c r="E21" s="90"/>
      <c r="F21" s="89"/>
      <c r="G21" s="89"/>
      <c r="H21" s="89"/>
      <c r="I21" s="90"/>
      <c r="J21" s="89"/>
      <c r="K21" s="89"/>
      <c r="L21" s="89"/>
      <c r="M21" s="90"/>
      <c r="N21" s="89"/>
      <c r="O21" s="89"/>
      <c r="P21" s="89"/>
      <c r="Q21" s="90"/>
      <c r="R21" s="128" t="s">
        <v>396</v>
      </c>
    </row>
    <row r="22" spans="1:18" hidden="1" x14ac:dyDescent="0.25">
      <c r="A22" s="85" t="s">
        <v>337</v>
      </c>
      <c r="B22" s="89">
        <v>140600000</v>
      </c>
      <c r="C22" s="89">
        <v>5</v>
      </c>
      <c r="D22" s="89">
        <v>1</v>
      </c>
      <c r="E22" s="90">
        <f>B22/C22/D22</f>
        <v>28120000</v>
      </c>
      <c r="F22" s="89"/>
      <c r="G22" s="89"/>
      <c r="H22" s="89"/>
      <c r="I22" s="90"/>
      <c r="J22" s="89"/>
      <c r="K22" s="89"/>
      <c r="L22" s="89"/>
      <c r="M22" s="90"/>
      <c r="N22" s="89"/>
      <c r="O22" s="89"/>
      <c r="P22" s="89"/>
      <c r="Q22" s="90"/>
      <c r="R22" s="128" t="s">
        <v>396</v>
      </c>
    </row>
    <row r="23" spans="1:18" x14ac:dyDescent="0.25">
      <c r="A23" s="85" t="s">
        <v>335</v>
      </c>
      <c r="B23" s="89">
        <v>244186270</v>
      </c>
      <c r="C23" s="89">
        <v>73217.02</v>
      </c>
      <c r="D23" s="89">
        <v>1</v>
      </c>
      <c r="E23" s="90">
        <f t="shared" si="1"/>
        <v>3335.10254856043</v>
      </c>
      <c r="F23" s="89">
        <v>61117508</v>
      </c>
      <c r="G23" s="89">
        <v>18714</v>
      </c>
      <c r="H23" s="89">
        <v>1</v>
      </c>
      <c r="I23" s="90">
        <f>F23/G23/H23</f>
        <v>3265.8708987923478</v>
      </c>
      <c r="J23" s="89"/>
      <c r="K23" s="89"/>
      <c r="L23" s="89"/>
      <c r="M23" s="90"/>
      <c r="N23" s="89"/>
      <c r="O23" s="89"/>
      <c r="P23" s="89"/>
      <c r="Q23" s="90"/>
      <c r="R23" s="128" t="s">
        <v>391</v>
      </c>
    </row>
    <row r="24" spans="1:18" x14ac:dyDescent="0.25">
      <c r="A24" s="85" t="s">
        <v>336</v>
      </c>
      <c r="B24" s="89">
        <v>38465218.799999997</v>
      </c>
      <c r="C24" s="89">
        <v>14274</v>
      </c>
      <c r="D24" s="89">
        <v>1</v>
      </c>
      <c r="E24" s="90">
        <f t="shared" si="1"/>
        <v>2694.7750315258509</v>
      </c>
      <c r="F24" s="89">
        <v>11220000</v>
      </c>
      <c r="G24" s="89">
        <v>2222</v>
      </c>
      <c r="H24" s="89">
        <v>1</v>
      </c>
      <c r="I24" s="90">
        <f>F24/G24/H24</f>
        <v>5049.5049504950493</v>
      </c>
      <c r="J24" s="89"/>
      <c r="K24" s="89"/>
      <c r="L24" s="89"/>
      <c r="M24" s="90"/>
      <c r="N24" s="89"/>
      <c r="O24" s="89"/>
      <c r="P24" s="89"/>
      <c r="Q24" s="90"/>
      <c r="R24" s="128" t="s">
        <v>391</v>
      </c>
    </row>
    <row r="25" spans="1:18" x14ac:dyDescent="0.25">
      <c r="A25" s="85" t="s">
        <v>337</v>
      </c>
      <c r="B25" s="89">
        <v>297213114</v>
      </c>
      <c r="C25" s="89">
        <v>4150</v>
      </c>
      <c r="D25" s="89">
        <v>1</v>
      </c>
      <c r="E25" s="90">
        <f t="shared" si="1"/>
        <v>71617.617831325304</v>
      </c>
      <c r="F25" s="89">
        <v>21650000</v>
      </c>
      <c r="G25" s="89">
        <v>200</v>
      </c>
      <c r="H25" s="89">
        <v>1</v>
      </c>
      <c r="I25" s="90">
        <f>F25/G25/H25</f>
        <v>108250</v>
      </c>
      <c r="J25" s="89"/>
      <c r="K25" s="89"/>
      <c r="L25" s="89"/>
      <c r="M25" s="90"/>
      <c r="N25" s="89"/>
      <c r="O25" s="89"/>
      <c r="P25" s="89"/>
      <c r="Q25" s="90"/>
      <c r="R25" s="128" t="s">
        <v>391</v>
      </c>
    </row>
    <row r="26" spans="1:18" hidden="1" x14ac:dyDescent="0.25">
      <c r="A26" s="85" t="s">
        <v>21</v>
      </c>
      <c r="B26" s="89"/>
      <c r="C26" s="89"/>
      <c r="D26" s="89"/>
      <c r="E26" s="90"/>
      <c r="F26" s="89"/>
      <c r="G26" s="89"/>
      <c r="H26" s="89"/>
      <c r="I26" s="90"/>
      <c r="J26" s="89"/>
      <c r="K26" s="89"/>
      <c r="L26" s="89"/>
      <c r="M26" s="90"/>
      <c r="N26" s="89"/>
      <c r="O26" s="89"/>
      <c r="P26" s="89"/>
      <c r="Q26" s="90"/>
      <c r="R26" s="128" t="s">
        <v>392</v>
      </c>
    </row>
    <row r="27" spans="1:18" x14ac:dyDescent="0.25">
      <c r="A27" s="85" t="s">
        <v>26</v>
      </c>
      <c r="B27" s="89">
        <v>358266.43000000011</v>
      </c>
      <c r="C27" s="89">
        <v>25840</v>
      </c>
      <c r="D27" s="89">
        <v>12</v>
      </c>
      <c r="E27" s="90">
        <f t="shared" si="1"/>
        <v>1.1553999935500519</v>
      </c>
      <c r="F27" s="89">
        <v>68773.010000000009</v>
      </c>
      <c r="G27" s="89">
        <v>4960.26</v>
      </c>
      <c r="H27" s="89">
        <v>12</v>
      </c>
      <c r="I27" s="90">
        <f t="shared" ref="I27:I33" si="2">F27/G27/H27</f>
        <v>1.1553999521530458</v>
      </c>
      <c r="J27" s="89">
        <v>9705.36</v>
      </c>
      <c r="K27" s="89">
        <v>700</v>
      </c>
      <c r="L27" s="89">
        <v>12</v>
      </c>
      <c r="M27" s="90">
        <f t="shared" ref="M27:M32" si="3">J27/K27/L27</f>
        <v>1.1554</v>
      </c>
      <c r="N27" s="89"/>
      <c r="O27" s="89"/>
      <c r="P27" s="89"/>
      <c r="Q27" s="90"/>
      <c r="R27" s="128" t="s">
        <v>390</v>
      </c>
    </row>
    <row r="28" spans="1:18" x14ac:dyDescent="0.25">
      <c r="A28" s="85" t="s">
        <v>96</v>
      </c>
      <c r="B28" s="89">
        <v>297406.50000000006</v>
      </c>
      <c r="C28" s="89">
        <v>13375</v>
      </c>
      <c r="D28" s="89">
        <v>12</v>
      </c>
      <c r="E28" s="90">
        <f t="shared" si="1"/>
        <v>1.8530000000000004</v>
      </c>
      <c r="F28" s="89">
        <v>53105.64</v>
      </c>
      <c r="G28" s="89">
        <v>2747.26</v>
      </c>
      <c r="H28" s="89">
        <v>12</v>
      </c>
      <c r="I28" s="90">
        <f t="shared" si="2"/>
        <v>1.6108668273115756</v>
      </c>
      <c r="J28" s="89">
        <v>10006.200000000001</v>
      </c>
      <c r="K28" s="89">
        <v>450</v>
      </c>
      <c r="L28" s="89">
        <v>12</v>
      </c>
      <c r="M28" s="90">
        <f t="shared" si="3"/>
        <v>1.853</v>
      </c>
      <c r="N28" s="89"/>
      <c r="O28" s="89"/>
      <c r="P28" s="89"/>
      <c r="Q28" s="90"/>
      <c r="R28" s="128" t="s">
        <v>390</v>
      </c>
    </row>
    <row r="29" spans="1:18" s="107" customFormat="1" x14ac:dyDescent="0.25">
      <c r="A29" s="115" t="s">
        <v>385</v>
      </c>
      <c r="B29" s="116">
        <v>734768.99999999977</v>
      </c>
      <c r="C29" s="116">
        <v>13375</v>
      </c>
      <c r="D29" s="116">
        <v>24</v>
      </c>
      <c r="E29" s="126">
        <f>B29/C29/D29</f>
        <v>2.2889999999999993</v>
      </c>
      <c r="F29" s="116">
        <v>117227.28</v>
      </c>
      <c r="G29" s="116">
        <v>2747.26</v>
      </c>
      <c r="H29" s="116">
        <v>24</v>
      </c>
      <c r="I29" s="126">
        <f t="shared" si="2"/>
        <v>1.7779423862321002</v>
      </c>
      <c r="J29" s="116">
        <v>4578</v>
      </c>
      <c r="K29" s="116">
        <v>700</v>
      </c>
      <c r="L29" s="116">
        <v>24</v>
      </c>
      <c r="M29" s="126">
        <f t="shared" si="3"/>
        <v>0.27250000000000002</v>
      </c>
      <c r="N29" s="116"/>
      <c r="O29" s="116"/>
      <c r="P29" s="116"/>
      <c r="Q29" s="126"/>
      <c r="R29" s="129" t="s">
        <v>390</v>
      </c>
    </row>
    <row r="30" spans="1:18" s="107" customFormat="1" x14ac:dyDescent="0.25">
      <c r="A30" s="115" t="s">
        <v>394</v>
      </c>
      <c r="B30" s="116">
        <v>168993.59999999998</v>
      </c>
      <c r="C30" s="116">
        <v>25840</v>
      </c>
      <c r="D30" s="116">
        <v>12</v>
      </c>
      <c r="E30" s="126">
        <f>B30/C30/D30</f>
        <v>0.54499999999999993</v>
      </c>
      <c r="F30" s="116">
        <v>32440.100000000002</v>
      </c>
      <c r="G30" s="116">
        <v>4960.26</v>
      </c>
      <c r="H30" s="116">
        <v>12</v>
      </c>
      <c r="I30" s="126">
        <f t="shared" si="2"/>
        <v>0.54499999327992221</v>
      </c>
      <c r="J30" s="116">
        <v>24721.200000000001</v>
      </c>
      <c r="K30" s="116">
        <v>450</v>
      </c>
      <c r="L30" s="116">
        <v>12</v>
      </c>
      <c r="M30" s="126">
        <f t="shared" si="3"/>
        <v>4.5780000000000003</v>
      </c>
      <c r="N30" s="116"/>
      <c r="O30" s="116"/>
      <c r="P30" s="116"/>
      <c r="Q30" s="126"/>
      <c r="R30" s="129" t="s">
        <v>390</v>
      </c>
    </row>
    <row r="31" spans="1:18" x14ac:dyDescent="0.25">
      <c r="A31" s="85" t="s">
        <v>97</v>
      </c>
      <c r="B31" s="89">
        <v>56175.659999999989</v>
      </c>
      <c r="C31" s="89">
        <v>18.939999999999998</v>
      </c>
      <c r="D31" s="89">
        <v>1</v>
      </c>
      <c r="E31" s="90">
        <f>B31/C31/D31</f>
        <v>2965.979936642027</v>
      </c>
      <c r="F31" s="89">
        <v>5576.03</v>
      </c>
      <c r="G31" s="89">
        <v>1.8800000000000001</v>
      </c>
      <c r="H31" s="89">
        <v>1</v>
      </c>
      <c r="I31" s="90">
        <f t="shared" si="2"/>
        <v>2965.9734042553187</v>
      </c>
      <c r="J31" s="89">
        <v>1482.99</v>
      </c>
      <c r="K31" s="89">
        <v>0.5</v>
      </c>
      <c r="L31" s="89">
        <v>1</v>
      </c>
      <c r="M31" s="90">
        <f t="shared" si="3"/>
        <v>2965.98</v>
      </c>
      <c r="N31" s="89"/>
      <c r="O31" s="89"/>
      <c r="P31" s="89"/>
      <c r="Q31" s="90"/>
      <c r="R31" s="128" t="s">
        <v>390</v>
      </c>
    </row>
    <row r="32" spans="1:18" s="107" customFormat="1" x14ac:dyDescent="0.25">
      <c r="A32" s="115" t="s">
        <v>395</v>
      </c>
      <c r="B32" s="116">
        <v>10322.299999999999</v>
      </c>
      <c r="C32" s="116">
        <v>18.939999999999998</v>
      </c>
      <c r="D32" s="116">
        <v>1</v>
      </c>
      <c r="E32" s="126">
        <f>B32/C32/D32</f>
        <v>545</v>
      </c>
      <c r="F32" s="116">
        <v>1024.5999999999999</v>
      </c>
      <c r="G32" s="116">
        <v>1.8800000000000001</v>
      </c>
      <c r="H32" s="116">
        <v>1</v>
      </c>
      <c r="I32" s="126">
        <f t="shared" si="2"/>
        <v>544.99999999999989</v>
      </c>
      <c r="J32" s="116">
        <v>272.5</v>
      </c>
      <c r="K32" s="116">
        <v>0.5</v>
      </c>
      <c r="L32" s="116">
        <v>1</v>
      </c>
      <c r="M32" s="90">
        <f t="shared" si="3"/>
        <v>545</v>
      </c>
      <c r="N32" s="116"/>
      <c r="O32" s="116"/>
      <c r="P32" s="116"/>
      <c r="Q32" s="126"/>
      <c r="R32" s="129" t="s">
        <v>390</v>
      </c>
    </row>
    <row r="33" spans="1:18" x14ac:dyDescent="0.25">
      <c r="A33" s="85" t="s">
        <v>341</v>
      </c>
      <c r="B33" s="89"/>
      <c r="C33" s="89"/>
      <c r="D33" s="89"/>
      <c r="E33" s="90"/>
      <c r="F33" s="89">
        <v>251226.55000000005</v>
      </c>
      <c r="G33" s="89">
        <v>690.79</v>
      </c>
      <c r="H33" s="89">
        <v>12</v>
      </c>
      <c r="I33" s="90">
        <f t="shared" si="2"/>
        <v>30.306671829837342</v>
      </c>
      <c r="J33" s="89"/>
      <c r="K33" s="89"/>
      <c r="L33" s="89"/>
      <c r="M33" s="90"/>
      <c r="N33" s="89"/>
      <c r="O33" s="89"/>
      <c r="P33" s="89"/>
      <c r="Q33" s="90"/>
      <c r="R33" s="128" t="s">
        <v>393</v>
      </c>
    </row>
    <row r="34" spans="1:18" ht="25.5" hidden="1" x14ac:dyDescent="0.25">
      <c r="A34" s="85" t="s">
        <v>29</v>
      </c>
      <c r="B34" s="89">
        <v>43305.29</v>
      </c>
      <c r="C34" s="89">
        <v>15</v>
      </c>
      <c r="D34" s="89">
        <v>4</v>
      </c>
      <c r="E34" s="90">
        <f t="shared" si="1"/>
        <v>721.75483333333329</v>
      </c>
      <c r="F34" s="89"/>
      <c r="G34" s="89"/>
      <c r="H34" s="89"/>
      <c r="I34" s="90"/>
      <c r="J34" s="89"/>
      <c r="K34" s="89"/>
      <c r="L34" s="89"/>
      <c r="M34" s="90"/>
      <c r="N34" s="89"/>
      <c r="O34" s="89"/>
      <c r="P34" s="89"/>
      <c r="Q34" s="90"/>
      <c r="R34" s="128" t="s">
        <v>393</v>
      </c>
    </row>
    <row r="35" spans="1:18" ht="25.5" hidden="1" x14ac:dyDescent="0.25">
      <c r="A35" s="85" t="s">
        <v>30</v>
      </c>
      <c r="B35" s="89">
        <v>21652.579999999998</v>
      </c>
      <c r="C35" s="89">
        <v>15</v>
      </c>
      <c r="D35" s="89">
        <v>2</v>
      </c>
      <c r="E35" s="90">
        <f t="shared" si="1"/>
        <v>721.75266666666664</v>
      </c>
      <c r="F35" s="89"/>
      <c r="G35" s="89"/>
      <c r="H35" s="89"/>
      <c r="I35" s="90"/>
      <c r="J35" s="89"/>
      <c r="K35" s="89"/>
      <c r="L35" s="89"/>
      <c r="M35" s="90"/>
      <c r="N35" s="89"/>
      <c r="O35" s="89"/>
      <c r="P35" s="89"/>
      <c r="Q35" s="90"/>
      <c r="R35" s="128" t="s">
        <v>393</v>
      </c>
    </row>
    <row r="36" spans="1:18" s="107" customFormat="1" hidden="1" x14ac:dyDescent="0.25">
      <c r="A36" s="115" t="s">
        <v>397</v>
      </c>
      <c r="B36" s="116">
        <v>180000</v>
      </c>
      <c r="C36" s="116">
        <v>600</v>
      </c>
      <c r="D36" s="116">
        <v>1</v>
      </c>
      <c r="E36" s="126">
        <f t="shared" si="1"/>
        <v>300</v>
      </c>
      <c r="F36" s="116"/>
      <c r="G36" s="116"/>
      <c r="H36" s="116"/>
      <c r="I36" s="126"/>
      <c r="J36" s="116"/>
      <c r="K36" s="116"/>
      <c r="L36" s="116"/>
      <c r="M36" s="126"/>
      <c r="N36" s="116"/>
      <c r="O36" s="116"/>
      <c r="P36" s="116"/>
      <c r="Q36" s="126"/>
      <c r="R36" s="129" t="s">
        <v>393</v>
      </c>
    </row>
    <row r="37" spans="1:18" ht="25.5" hidden="1" x14ac:dyDescent="0.25">
      <c r="A37" s="85" t="s">
        <v>32</v>
      </c>
      <c r="B37" s="89">
        <v>997132</v>
      </c>
      <c r="C37" s="89">
        <v>36</v>
      </c>
      <c r="D37" s="89">
        <v>4</v>
      </c>
      <c r="E37" s="90">
        <f t="shared" si="1"/>
        <v>6924.5277777777774</v>
      </c>
      <c r="F37" s="89"/>
      <c r="G37" s="89"/>
      <c r="H37" s="89"/>
      <c r="I37" s="90"/>
      <c r="J37" s="89"/>
      <c r="K37" s="89"/>
      <c r="L37" s="89"/>
      <c r="M37" s="90"/>
      <c r="N37" s="89"/>
      <c r="O37" s="89"/>
      <c r="P37" s="89"/>
      <c r="Q37" s="90"/>
      <c r="R37" s="128" t="s">
        <v>393</v>
      </c>
    </row>
    <row r="38" spans="1:18" s="61" customFormat="1" hidden="1" x14ac:dyDescent="0.25">
      <c r="A38" s="85" t="s">
        <v>400</v>
      </c>
      <c r="B38" s="89"/>
      <c r="C38" s="89"/>
      <c r="D38" s="89"/>
      <c r="E38" s="90"/>
      <c r="F38" s="89"/>
      <c r="G38" s="89"/>
      <c r="H38" s="89"/>
      <c r="I38" s="90"/>
      <c r="J38" s="89"/>
      <c r="K38" s="89"/>
      <c r="L38" s="89"/>
      <c r="M38" s="90"/>
      <c r="N38" s="89"/>
      <c r="O38" s="89"/>
      <c r="P38" s="89"/>
      <c r="Q38" s="90"/>
      <c r="R38" s="130" t="s">
        <v>393</v>
      </c>
    </row>
    <row r="39" spans="1:18" ht="25.5" x14ac:dyDescent="0.25">
      <c r="A39" s="85" t="s">
        <v>33</v>
      </c>
      <c r="B39" s="89">
        <v>235440</v>
      </c>
      <c r="C39" s="89">
        <v>36</v>
      </c>
      <c r="D39" s="89">
        <v>1</v>
      </c>
      <c r="E39" s="90">
        <f t="shared" si="1"/>
        <v>6540</v>
      </c>
      <c r="F39" s="89">
        <v>32700</v>
      </c>
      <c r="G39" s="89">
        <v>5</v>
      </c>
      <c r="H39" s="89">
        <v>1</v>
      </c>
      <c r="I39" s="90">
        <f t="shared" ref="I39:I45" si="4">F39/G39/H39</f>
        <v>6540</v>
      </c>
      <c r="J39" s="89"/>
      <c r="K39" s="89"/>
      <c r="L39" s="89"/>
      <c r="M39" s="90"/>
      <c r="N39" s="89"/>
      <c r="O39" s="89"/>
      <c r="P39" s="89"/>
      <c r="Q39" s="90"/>
      <c r="R39" s="128" t="s">
        <v>393</v>
      </c>
    </row>
    <row r="40" spans="1:18" x14ac:dyDescent="0.25">
      <c r="A40" s="115" t="s">
        <v>398</v>
      </c>
      <c r="B40" s="116">
        <v>385315</v>
      </c>
      <c r="C40" s="116">
        <v>35</v>
      </c>
      <c r="D40" s="116">
        <v>1</v>
      </c>
      <c r="E40" s="126">
        <f>B40/C40/D40</f>
        <v>11009</v>
      </c>
      <c r="F40" s="89">
        <v>55045</v>
      </c>
      <c r="G40" s="89">
        <v>5</v>
      </c>
      <c r="H40" s="89">
        <v>1</v>
      </c>
      <c r="I40" s="90">
        <f t="shared" si="4"/>
        <v>11009</v>
      </c>
      <c r="J40" s="89"/>
      <c r="K40" s="89"/>
      <c r="L40" s="89"/>
      <c r="M40" s="90"/>
      <c r="N40" s="89"/>
      <c r="O40" s="89"/>
      <c r="P40" s="89"/>
      <c r="Q40" s="90"/>
      <c r="R40" s="128" t="s">
        <v>393</v>
      </c>
    </row>
    <row r="41" spans="1:18" s="107" customFormat="1" x14ac:dyDescent="0.25">
      <c r="A41" s="115" t="s">
        <v>401</v>
      </c>
      <c r="B41" s="116">
        <v>381500</v>
      </c>
      <c r="C41" s="116">
        <v>35</v>
      </c>
      <c r="D41" s="116">
        <v>2</v>
      </c>
      <c r="E41" s="126">
        <f t="shared" si="1"/>
        <v>5450</v>
      </c>
      <c r="F41" s="116">
        <v>54500</v>
      </c>
      <c r="G41" s="116">
        <v>5</v>
      </c>
      <c r="H41" s="116">
        <v>2</v>
      </c>
      <c r="I41" s="126">
        <f t="shared" si="4"/>
        <v>5450</v>
      </c>
      <c r="J41" s="116"/>
      <c r="K41" s="116"/>
      <c r="L41" s="116"/>
      <c r="M41" s="126"/>
      <c r="N41" s="116"/>
      <c r="O41" s="116"/>
      <c r="P41" s="116"/>
      <c r="Q41" s="126"/>
      <c r="R41" s="129" t="s">
        <v>393</v>
      </c>
    </row>
    <row r="42" spans="1:18" x14ac:dyDescent="0.25">
      <c r="A42" s="85" t="s">
        <v>221</v>
      </c>
      <c r="B42" s="89">
        <v>1358227.2</v>
      </c>
      <c r="C42" s="89">
        <v>18</v>
      </c>
      <c r="D42" s="89">
        <v>12</v>
      </c>
      <c r="E42" s="90">
        <f t="shared" si="1"/>
        <v>6288.0888888888885</v>
      </c>
      <c r="F42" s="89">
        <v>255060</v>
      </c>
      <c r="G42" s="89">
        <v>5</v>
      </c>
      <c r="H42" s="89">
        <v>12</v>
      </c>
      <c r="I42" s="90">
        <f t="shared" si="4"/>
        <v>4251</v>
      </c>
      <c r="J42" s="89"/>
      <c r="K42" s="89"/>
      <c r="L42" s="89"/>
      <c r="M42" s="90"/>
      <c r="N42" s="89"/>
      <c r="O42" s="89"/>
      <c r="P42" s="89"/>
      <c r="Q42" s="90"/>
      <c r="R42" s="128" t="s">
        <v>393</v>
      </c>
    </row>
    <row r="43" spans="1:18" ht="25.5" x14ac:dyDescent="0.25">
      <c r="A43" s="85" t="s">
        <v>34</v>
      </c>
      <c r="B43" s="89">
        <v>15000</v>
      </c>
      <c r="C43" s="89">
        <v>2</v>
      </c>
      <c r="D43" s="89">
        <v>1</v>
      </c>
      <c r="E43" s="90">
        <f t="shared" si="1"/>
        <v>7500</v>
      </c>
      <c r="F43" s="89">
        <v>15000</v>
      </c>
      <c r="G43" s="89">
        <v>2</v>
      </c>
      <c r="H43" s="89">
        <v>1</v>
      </c>
      <c r="I43" s="90">
        <f t="shared" si="4"/>
        <v>7500</v>
      </c>
      <c r="J43" s="89"/>
      <c r="K43" s="89"/>
      <c r="L43" s="89"/>
      <c r="M43" s="90"/>
      <c r="N43" s="89"/>
      <c r="O43" s="89"/>
      <c r="P43" s="89"/>
      <c r="Q43" s="90"/>
      <c r="R43" s="128" t="s">
        <v>393</v>
      </c>
    </row>
    <row r="44" spans="1:18" ht="25.5" x14ac:dyDescent="0.25">
      <c r="A44" s="85" t="s">
        <v>222</v>
      </c>
      <c r="B44" s="89">
        <v>286642</v>
      </c>
      <c r="C44" s="89">
        <v>35</v>
      </c>
      <c r="D44" s="89">
        <v>1</v>
      </c>
      <c r="E44" s="90">
        <f t="shared" si="1"/>
        <v>8189.7714285714283</v>
      </c>
      <c r="F44" s="89">
        <v>26000</v>
      </c>
      <c r="G44" s="89">
        <v>2</v>
      </c>
      <c r="H44" s="89">
        <v>1</v>
      </c>
      <c r="I44" s="90">
        <f t="shared" si="4"/>
        <v>13000</v>
      </c>
      <c r="J44" s="89"/>
      <c r="K44" s="89"/>
      <c r="L44" s="89"/>
      <c r="M44" s="90"/>
      <c r="N44" s="89"/>
      <c r="O44" s="89"/>
      <c r="P44" s="89"/>
      <c r="Q44" s="90"/>
      <c r="R44" s="128" t="s">
        <v>393</v>
      </c>
    </row>
    <row r="45" spans="1:18" x14ac:dyDescent="0.25">
      <c r="A45" s="85" t="s">
        <v>35</v>
      </c>
      <c r="B45" s="89">
        <v>705000</v>
      </c>
      <c r="C45" s="89">
        <v>35</v>
      </c>
      <c r="D45" s="89">
        <v>1</v>
      </c>
      <c r="E45" s="90">
        <f t="shared" si="1"/>
        <v>20142.857142857141</v>
      </c>
      <c r="F45" s="89">
        <v>51660</v>
      </c>
      <c r="G45" s="89">
        <v>2</v>
      </c>
      <c r="H45" s="89">
        <v>1</v>
      </c>
      <c r="I45" s="90">
        <f t="shared" si="4"/>
        <v>25830</v>
      </c>
      <c r="J45" s="89"/>
      <c r="K45" s="89"/>
      <c r="L45" s="89"/>
      <c r="M45" s="90"/>
      <c r="N45" s="89"/>
      <c r="O45" s="89"/>
      <c r="P45" s="89"/>
      <c r="Q45" s="90"/>
      <c r="R45" s="128" t="s">
        <v>393</v>
      </c>
    </row>
    <row r="46" spans="1:18" ht="25.5" x14ac:dyDescent="0.25">
      <c r="A46" s="85" t="s">
        <v>399</v>
      </c>
      <c r="B46" s="89">
        <v>1087766.0599999998</v>
      </c>
      <c r="C46" s="89">
        <v>35</v>
      </c>
      <c r="D46" s="89">
        <v>10</v>
      </c>
      <c r="E46" s="90">
        <f t="shared" si="1"/>
        <v>3107.903028571428</v>
      </c>
      <c r="F46" s="89">
        <v>96465</v>
      </c>
      <c r="G46" s="89">
        <v>4</v>
      </c>
      <c r="H46" s="89">
        <v>10</v>
      </c>
      <c r="I46" s="90">
        <f t="shared" ref="I46:I52" si="5">F46/G46/H46</f>
        <v>2411.625</v>
      </c>
      <c r="J46" s="89"/>
      <c r="K46" s="89"/>
      <c r="L46" s="89"/>
      <c r="M46" s="90"/>
      <c r="N46" s="89"/>
      <c r="O46" s="89"/>
      <c r="P46" s="89"/>
      <c r="Q46" s="90"/>
      <c r="R46" s="128" t="s">
        <v>393</v>
      </c>
    </row>
    <row r="47" spans="1:18" ht="25.5" x14ac:dyDescent="0.25">
      <c r="A47" s="85" t="s">
        <v>36</v>
      </c>
      <c r="B47" s="89">
        <v>950400</v>
      </c>
      <c r="C47" s="89">
        <v>36</v>
      </c>
      <c r="D47" s="89">
        <v>12</v>
      </c>
      <c r="E47" s="90">
        <f t="shared" si="1"/>
        <v>2200</v>
      </c>
      <c r="F47" s="89">
        <v>211200</v>
      </c>
      <c r="G47" s="89">
        <v>8</v>
      </c>
      <c r="H47" s="89">
        <v>12</v>
      </c>
      <c r="I47" s="90">
        <f t="shared" si="5"/>
        <v>2200</v>
      </c>
      <c r="J47" s="89"/>
      <c r="K47" s="89"/>
      <c r="L47" s="89"/>
      <c r="M47" s="90"/>
      <c r="N47" s="89"/>
      <c r="O47" s="89"/>
      <c r="P47" s="89"/>
      <c r="Q47" s="90"/>
      <c r="R47" s="128" t="s">
        <v>393</v>
      </c>
    </row>
    <row r="48" spans="1:18" x14ac:dyDescent="0.25">
      <c r="A48" s="85" t="s">
        <v>99</v>
      </c>
      <c r="B48" s="89">
        <v>5700000</v>
      </c>
      <c r="C48" s="89">
        <v>380</v>
      </c>
      <c r="D48" s="89">
        <v>1</v>
      </c>
      <c r="E48" s="90">
        <f>B48/C48/D48</f>
        <v>15000</v>
      </c>
      <c r="F48" s="89">
        <v>705000</v>
      </c>
      <c r="G48" s="89">
        <v>47</v>
      </c>
      <c r="H48" s="89">
        <v>1</v>
      </c>
      <c r="I48" s="90">
        <f t="shared" si="5"/>
        <v>15000</v>
      </c>
      <c r="J48" s="89"/>
      <c r="K48" s="89"/>
      <c r="L48" s="89"/>
      <c r="M48" s="90"/>
      <c r="N48" s="89"/>
      <c r="O48" s="89"/>
      <c r="P48" s="89"/>
      <c r="Q48" s="90"/>
      <c r="R48" s="128" t="s">
        <v>393</v>
      </c>
    </row>
    <row r="49" spans="1:18" x14ac:dyDescent="0.25">
      <c r="A49" s="85" t="s">
        <v>27</v>
      </c>
      <c r="B49" s="89">
        <v>2286000</v>
      </c>
      <c r="C49" s="89">
        <v>5715</v>
      </c>
      <c r="D49" s="89">
        <v>1</v>
      </c>
      <c r="E49" s="90">
        <f t="shared" si="1"/>
        <v>400</v>
      </c>
      <c r="F49" s="89">
        <v>168000</v>
      </c>
      <c r="G49" s="89">
        <v>420</v>
      </c>
      <c r="H49" s="89">
        <v>1</v>
      </c>
      <c r="I49" s="90">
        <f t="shared" si="5"/>
        <v>400</v>
      </c>
      <c r="J49" s="89"/>
      <c r="K49" s="89"/>
      <c r="L49" s="89"/>
      <c r="M49" s="90"/>
      <c r="N49" s="89"/>
      <c r="O49" s="89"/>
      <c r="P49" s="89"/>
      <c r="Q49" s="90"/>
      <c r="R49" s="128" t="s">
        <v>393</v>
      </c>
    </row>
    <row r="50" spans="1:18" x14ac:dyDescent="0.25">
      <c r="A50" s="85" t="s">
        <v>104</v>
      </c>
      <c r="B50" s="89">
        <v>353160</v>
      </c>
      <c r="C50" s="89">
        <v>36</v>
      </c>
      <c r="D50" s="89">
        <v>1</v>
      </c>
      <c r="E50" s="90">
        <f t="shared" si="1"/>
        <v>9810</v>
      </c>
      <c r="F50" s="89">
        <v>49050</v>
      </c>
      <c r="G50" s="89">
        <v>5</v>
      </c>
      <c r="H50" s="89">
        <v>1</v>
      </c>
      <c r="I50" s="90">
        <f t="shared" si="5"/>
        <v>9810</v>
      </c>
      <c r="J50" s="89"/>
      <c r="K50" s="89"/>
      <c r="L50" s="89"/>
      <c r="M50" s="90"/>
      <c r="N50" s="89"/>
      <c r="O50" s="89"/>
      <c r="P50" s="89"/>
      <c r="Q50" s="90"/>
      <c r="R50" s="128" t="s">
        <v>393</v>
      </c>
    </row>
    <row r="51" spans="1:18" x14ac:dyDescent="0.25">
      <c r="A51" s="85" t="s">
        <v>250</v>
      </c>
      <c r="B51" s="89"/>
      <c r="C51" s="89"/>
      <c r="D51" s="89"/>
      <c r="E51" s="90"/>
      <c r="F51" s="89">
        <v>261600</v>
      </c>
      <c r="G51" s="89">
        <v>5</v>
      </c>
      <c r="H51" s="89">
        <v>1</v>
      </c>
      <c r="I51" s="90">
        <f t="shared" si="5"/>
        <v>52320</v>
      </c>
      <c r="J51" s="89">
        <v>52320</v>
      </c>
      <c r="K51" s="89">
        <v>1</v>
      </c>
      <c r="L51" s="89">
        <v>12</v>
      </c>
      <c r="M51" s="90">
        <f t="shared" ref="M51:M59" si="6">J51/K51/L51</f>
        <v>4360</v>
      </c>
      <c r="N51" s="89"/>
      <c r="O51" s="89"/>
      <c r="P51" s="89"/>
      <c r="Q51" s="90"/>
      <c r="R51" s="128" t="s">
        <v>393</v>
      </c>
    </row>
    <row r="52" spans="1:18" x14ac:dyDescent="0.25">
      <c r="A52" s="85" t="s">
        <v>37</v>
      </c>
      <c r="B52" s="89">
        <v>373634.56000000006</v>
      </c>
      <c r="C52" s="89">
        <v>4</v>
      </c>
      <c r="D52" s="89">
        <v>1</v>
      </c>
      <c r="E52" s="90">
        <f t="shared" si="1"/>
        <v>93408.640000000014</v>
      </c>
      <c r="F52" s="89">
        <v>23352.160000000003</v>
      </c>
      <c r="G52" s="89">
        <v>1</v>
      </c>
      <c r="H52" s="89">
        <v>1</v>
      </c>
      <c r="I52" s="90">
        <f t="shared" si="5"/>
        <v>23352.160000000003</v>
      </c>
      <c r="J52" s="89">
        <v>23352.160000000003</v>
      </c>
      <c r="K52" s="89">
        <v>1</v>
      </c>
      <c r="L52" s="89">
        <v>1</v>
      </c>
      <c r="M52" s="90">
        <f t="shared" si="6"/>
        <v>23352.160000000003</v>
      </c>
      <c r="N52" s="89"/>
      <c r="O52" s="89"/>
      <c r="P52" s="89"/>
      <c r="Q52" s="90"/>
      <c r="R52" s="128" t="s">
        <v>403</v>
      </c>
    </row>
    <row r="53" spans="1:18" hidden="1" x14ac:dyDescent="0.25">
      <c r="A53" s="85" t="s">
        <v>262</v>
      </c>
      <c r="B53" s="89"/>
      <c r="C53" s="89"/>
      <c r="D53" s="89"/>
      <c r="E53" s="90"/>
      <c r="F53" s="89"/>
      <c r="G53" s="89"/>
      <c r="H53" s="89"/>
      <c r="I53" s="90"/>
      <c r="J53" s="89">
        <v>98645</v>
      </c>
      <c r="K53" s="89">
        <v>1</v>
      </c>
      <c r="L53" s="89">
        <v>4</v>
      </c>
      <c r="M53" s="90">
        <f t="shared" si="6"/>
        <v>24661.25</v>
      </c>
      <c r="N53" s="89"/>
      <c r="O53" s="89"/>
      <c r="P53" s="89"/>
      <c r="Q53" s="90"/>
      <c r="R53" s="128" t="s">
        <v>403</v>
      </c>
    </row>
    <row r="54" spans="1:18" x14ac:dyDescent="0.25">
      <c r="A54" s="85" t="s">
        <v>255</v>
      </c>
      <c r="B54" s="89"/>
      <c r="C54" s="89"/>
      <c r="D54" s="89"/>
      <c r="E54" s="90"/>
      <c r="F54" s="89">
        <v>300840</v>
      </c>
      <c r="G54" s="89">
        <v>345</v>
      </c>
      <c r="H54" s="89">
        <v>2</v>
      </c>
      <c r="I54" s="90">
        <f>F54/G54/H54</f>
        <v>436</v>
      </c>
      <c r="J54" s="89">
        <v>41638</v>
      </c>
      <c r="K54" s="89">
        <v>56</v>
      </c>
      <c r="L54" s="89">
        <v>1</v>
      </c>
      <c r="M54" s="90">
        <f t="shared" si="6"/>
        <v>743.53571428571433</v>
      </c>
      <c r="N54" s="89"/>
      <c r="O54" s="89"/>
      <c r="P54" s="89"/>
      <c r="Q54" s="90"/>
      <c r="R54" s="128" t="s">
        <v>403</v>
      </c>
    </row>
    <row r="55" spans="1:18" s="61" customFormat="1" x14ac:dyDescent="0.25">
      <c r="A55" s="85" t="s">
        <v>38</v>
      </c>
      <c r="B55" s="116">
        <v>2028080.1600000011</v>
      </c>
      <c r="C55" s="89">
        <v>36</v>
      </c>
      <c r="D55" s="89">
        <v>12</v>
      </c>
      <c r="E55" s="90">
        <f t="shared" si="1"/>
        <v>4694.6300000000019</v>
      </c>
      <c r="F55" s="89">
        <v>450684.48</v>
      </c>
      <c r="G55" s="89">
        <v>8</v>
      </c>
      <c r="H55" s="89">
        <v>12</v>
      </c>
      <c r="I55" s="90">
        <f>F55/G55/H55</f>
        <v>4694.63</v>
      </c>
      <c r="J55" s="89"/>
      <c r="K55" s="89"/>
      <c r="L55" s="89"/>
      <c r="M55" s="90"/>
      <c r="N55" s="89"/>
      <c r="O55" s="89"/>
      <c r="P55" s="89"/>
      <c r="Q55" s="90"/>
      <c r="R55" s="130" t="s">
        <v>80</v>
      </c>
    </row>
    <row r="56" spans="1:18" x14ac:dyDescent="0.25">
      <c r="A56" s="85" t="s">
        <v>373</v>
      </c>
      <c r="B56" s="89">
        <v>864000</v>
      </c>
      <c r="C56" s="89">
        <v>36</v>
      </c>
      <c r="D56" s="89">
        <v>1</v>
      </c>
      <c r="E56" s="90">
        <f>B56/C56/D56</f>
        <v>24000</v>
      </c>
      <c r="F56" s="89">
        <v>120000</v>
      </c>
      <c r="G56" s="89">
        <v>5</v>
      </c>
      <c r="H56" s="89">
        <v>1</v>
      </c>
      <c r="I56" s="90">
        <f>F56/G56/H56</f>
        <v>24000</v>
      </c>
      <c r="J56" s="89">
        <v>24000</v>
      </c>
      <c r="K56" s="89">
        <v>1</v>
      </c>
      <c r="L56" s="89">
        <v>1</v>
      </c>
      <c r="M56" s="90">
        <f t="shared" si="6"/>
        <v>24000</v>
      </c>
      <c r="N56" s="89"/>
      <c r="O56" s="89"/>
      <c r="P56" s="89"/>
      <c r="Q56" s="90"/>
      <c r="R56" s="128" t="s">
        <v>80</v>
      </c>
    </row>
    <row r="57" spans="1:18" hidden="1" x14ac:dyDescent="0.25">
      <c r="A57" s="85" t="s">
        <v>342</v>
      </c>
      <c r="B57" s="89"/>
      <c r="C57" s="89"/>
      <c r="D57" s="89"/>
      <c r="E57" s="90"/>
      <c r="F57" s="89"/>
      <c r="G57" s="89"/>
      <c r="H57" s="89"/>
      <c r="I57" s="90"/>
      <c r="J57" s="89">
        <v>6540</v>
      </c>
      <c r="K57" s="89">
        <v>1</v>
      </c>
      <c r="L57" s="89">
        <v>12</v>
      </c>
      <c r="M57" s="90">
        <f t="shared" si="6"/>
        <v>545</v>
      </c>
      <c r="N57" s="89"/>
      <c r="O57" s="89"/>
      <c r="P57" s="89"/>
      <c r="Q57" s="90"/>
      <c r="R57" s="128" t="s">
        <v>80</v>
      </c>
    </row>
    <row r="58" spans="1:18" hidden="1" x14ac:dyDescent="0.25">
      <c r="A58" s="85" t="s">
        <v>343</v>
      </c>
      <c r="B58" s="89"/>
      <c r="C58" s="89"/>
      <c r="D58" s="89"/>
      <c r="E58" s="90"/>
      <c r="F58" s="89"/>
      <c r="G58" s="89"/>
      <c r="H58" s="89"/>
      <c r="I58" s="90"/>
      <c r="J58" s="89">
        <v>117720</v>
      </c>
      <c r="K58" s="89">
        <v>20</v>
      </c>
      <c r="L58" s="89">
        <v>12</v>
      </c>
      <c r="M58" s="90">
        <f t="shared" si="6"/>
        <v>490.5</v>
      </c>
      <c r="N58" s="89"/>
      <c r="O58" s="89"/>
      <c r="P58" s="89"/>
      <c r="Q58" s="90"/>
      <c r="R58" s="128" t="s">
        <v>80</v>
      </c>
    </row>
    <row r="59" spans="1:18" hidden="1" x14ac:dyDescent="0.25">
      <c r="A59" s="85" t="s">
        <v>344</v>
      </c>
      <c r="B59" s="89"/>
      <c r="C59" s="89"/>
      <c r="D59" s="89"/>
      <c r="E59" s="90"/>
      <c r="F59" s="89"/>
      <c r="G59" s="89"/>
      <c r="H59" s="89"/>
      <c r="I59" s="90"/>
      <c r="J59" s="89">
        <v>87881.25</v>
      </c>
      <c r="K59" s="89">
        <v>5</v>
      </c>
      <c r="L59" s="89">
        <v>1</v>
      </c>
      <c r="M59" s="90">
        <f t="shared" si="6"/>
        <v>17576.25</v>
      </c>
      <c r="N59" s="89"/>
      <c r="O59" s="89"/>
      <c r="P59" s="89"/>
      <c r="Q59" s="90"/>
      <c r="R59" s="128" t="s">
        <v>80</v>
      </c>
    </row>
    <row r="60" spans="1:18" ht="25.5" hidden="1" x14ac:dyDescent="0.25">
      <c r="A60" s="85" t="s">
        <v>229</v>
      </c>
      <c r="B60" s="116">
        <v>391419</v>
      </c>
      <c r="C60" s="89">
        <v>2394</v>
      </c>
      <c r="D60" s="89">
        <v>1</v>
      </c>
      <c r="E60" s="90">
        <f t="shared" si="1"/>
        <v>163.5</v>
      </c>
      <c r="F60" s="89"/>
      <c r="G60" s="89"/>
      <c r="H60" s="89"/>
      <c r="I60" s="90"/>
      <c r="J60" s="89"/>
      <c r="K60" s="89"/>
      <c r="L60" s="89"/>
      <c r="M60" s="90"/>
      <c r="N60" s="89"/>
      <c r="O60" s="89"/>
      <c r="P60" s="89"/>
      <c r="Q60" s="90"/>
      <c r="R60" s="128" t="s">
        <v>80</v>
      </c>
    </row>
    <row r="61" spans="1:18" ht="25.5" hidden="1" x14ac:dyDescent="0.25">
      <c r="A61" s="85" t="s">
        <v>405</v>
      </c>
      <c r="B61" s="89">
        <v>431640</v>
      </c>
      <c r="C61" s="89">
        <v>36</v>
      </c>
      <c r="D61" s="89">
        <v>1</v>
      </c>
      <c r="E61" s="90">
        <f t="shared" si="1"/>
        <v>11990</v>
      </c>
      <c r="F61" s="89"/>
      <c r="G61" s="89"/>
      <c r="H61" s="89"/>
      <c r="I61" s="90"/>
      <c r="J61" s="89"/>
      <c r="K61" s="89"/>
      <c r="L61" s="89"/>
      <c r="M61" s="90"/>
      <c r="N61" s="89"/>
      <c r="O61" s="89"/>
      <c r="P61" s="89"/>
      <c r="Q61" s="90"/>
      <c r="R61" s="128" t="s">
        <v>80</v>
      </c>
    </row>
    <row r="62" spans="1:18" x14ac:dyDescent="0.25">
      <c r="A62" s="85" t="s">
        <v>39</v>
      </c>
      <c r="B62" s="89">
        <v>90034</v>
      </c>
      <c r="C62" s="89">
        <v>118</v>
      </c>
      <c r="D62" s="89">
        <v>1</v>
      </c>
      <c r="E62" s="90">
        <f t="shared" si="1"/>
        <v>763</v>
      </c>
      <c r="F62" s="89">
        <v>6867</v>
      </c>
      <c r="G62" s="89">
        <v>9</v>
      </c>
      <c r="H62" s="89">
        <v>1</v>
      </c>
      <c r="I62" s="90">
        <f>F62/G62/H62</f>
        <v>763</v>
      </c>
      <c r="J62" s="89">
        <v>763</v>
      </c>
      <c r="K62" s="89">
        <v>1</v>
      </c>
      <c r="L62" s="89">
        <v>1</v>
      </c>
      <c r="M62" s="90">
        <f t="shared" ref="M62:M74" si="7">J62/K62/L62</f>
        <v>763</v>
      </c>
      <c r="N62" s="89"/>
      <c r="O62" s="89"/>
      <c r="P62" s="89"/>
      <c r="Q62" s="90"/>
      <c r="R62" s="128" t="s">
        <v>80</v>
      </c>
    </row>
    <row r="63" spans="1:18" x14ac:dyDescent="0.25">
      <c r="A63" s="85" t="s">
        <v>40</v>
      </c>
      <c r="B63" s="89">
        <v>156960</v>
      </c>
      <c r="C63" s="89">
        <v>99</v>
      </c>
      <c r="D63" s="89">
        <v>1</v>
      </c>
      <c r="E63" s="90">
        <f t="shared" si="1"/>
        <v>1585.4545454545455</v>
      </c>
      <c r="F63" s="89">
        <v>21255</v>
      </c>
      <c r="G63" s="89">
        <v>13</v>
      </c>
      <c r="H63" s="89">
        <v>1</v>
      </c>
      <c r="I63" s="90">
        <f>F63/G63/H63</f>
        <v>1635</v>
      </c>
      <c r="J63" s="89">
        <v>1635</v>
      </c>
      <c r="K63" s="89">
        <v>1</v>
      </c>
      <c r="L63" s="89">
        <v>1</v>
      </c>
      <c r="M63" s="90">
        <f t="shared" si="7"/>
        <v>1635</v>
      </c>
      <c r="N63" s="89"/>
      <c r="O63" s="89"/>
      <c r="P63" s="89"/>
      <c r="Q63" s="90"/>
      <c r="R63" s="128" t="s">
        <v>80</v>
      </c>
    </row>
    <row r="64" spans="1:18" x14ac:dyDescent="0.25">
      <c r="A64" s="85" t="s">
        <v>100</v>
      </c>
      <c r="B64" s="89">
        <v>282528</v>
      </c>
      <c r="C64" s="89">
        <v>81</v>
      </c>
      <c r="D64" s="89">
        <v>1</v>
      </c>
      <c r="E64" s="90">
        <f t="shared" si="1"/>
        <v>3488</v>
      </c>
      <c r="F64" s="89">
        <v>24416</v>
      </c>
      <c r="G64" s="89">
        <v>7</v>
      </c>
      <c r="H64" s="89">
        <v>1</v>
      </c>
      <c r="I64" s="90">
        <f>F64/G64/H64</f>
        <v>3488</v>
      </c>
      <c r="J64" s="89">
        <v>3488</v>
      </c>
      <c r="K64" s="89">
        <v>1</v>
      </c>
      <c r="L64" s="89">
        <v>1</v>
      </c>
      <c r="M64" s="90">
        <f t="shared" si="7"/>
        <v>3488</v>
      </c>
      <c r="N64" s="89"/>
      <c r="O64" s="89"/>
      <c r="P64" s="89"/>
      <c r="Q64" s="90"/>
      <c r="R64" s="128" t="s">
        <v>80</v>
      </c>
    </row>
    <row r="65" spans="1:22" ht="51" x14ac:dyDescent="0.25">
      <c r="A65" s="85" t="s">
        <v>235</v>
      </c>
      <c r="B65" s="116">
        <v>235440</v>
      </c>
      <c r="C65" s="89">
        <v>36</v>
      </c>
      <c r="D65" s="89">
        <v>1</v>
      </c>
      <c r="E65" s="90">
        <f t="shared" si="1"/>
        <v>6540</v>
      </c>
      <c r="F65" s="89">
        <v>32700</v>
      </c>
      <c r="G65" s="89">
        <v>5</v>
      </c>
      <c r="H65" s="89">
        <v>1</v>
      </c>
      <c r="I65" s="90">
        <f>F65/G65/H65</f>
        <v>6540</v>
      </c>
      <c r="J65" s="89">
        <v>6540</v>
      </c>
      <c r="K65" s="89">
        <v>1</v>
      </c>
      <c r="L65" s="89">
        <v>1</v>
      </c>
      <c r="M65" s="90">
        <f t="shared" si="7"/>
        <v>6540</v>
      </c>
      <c r="N65" s="89"/>
      <c r="O65" s="89"/>
      <c r="P65" s="89"/>
      <c r="Q65" s="90"/>
      <c r="R65" s="128" t="s">
        <v>80</v>
      </c>
    </row>
    <row r="66" spans="1:22" hidden="1" x14ac:dyDescent="0.25">
      <c r="A66" s="84" t="s">
        <v>376</v>
      </c>
      <c r="B66" s="89"/>
      <c r="C66" s="89"/>
      <c r="D66" s="89"/>
      <c r="E66" s="90"/>
      <c r="F66" s="89"/>
      <c r="G66" s="89"/>
      <c r="H66" s="89"/>
      <c r="I66" s="90"/>
      <c r="J66" s="89">
        <v>212563.08000000002</v>
      </c>
      <c r="K66" s="89">
        <v>1</v>
      </c>
      <c r="L66" s="89">
        <v>12</v>
      </c>
      <c r="M66" s="90">
        <f t="shared" si="7"/>
        <v>17713.59</v>
      </c>
      <c r="N66" s="89"/>
      <c r="O66" s="89"/>
      <c r="P66" s="89"/>
      <c r="Q66" s="90"/>
      <c r="R66" s="128" t="s">
        <v>80</v>
      </c>
    </row>
    <row r="67" spans="1:22" hidden="1" x14ac:dyDescent="0.25">
      <c r="A67" s="85" t="s">
        <v>345</v>
      </c>
      <c r="B67" s="89"/>
      <c r="C67" s="89"/>
      <c r="D67" s="89"/>
      <c r="E67" s="90"/>
      <c r="F67" s="89"/>
      <c r="G67" s="89"/>
      <c r="H67" s="89"/>
      <c r="I67" s="90"/>
      <c r="J67" s="89"/>
      <c r="K67" s="89"/>
      <c r="L67" s="89"/>
      <c r="M67" s="90"/>
      <c r="N67" s="89"/>
      <c r="O67" s="89"/>
      <c r="P67" s="89"/>
      <c r="Q67" s="90"/>
      <c r="R67" s="128" t="s">
        <v>80</v>
      </c>
    </row>
    <row r="68" spans="1:22" hidden="1" x14ac:dyDescent="0.25">
      <c r="A68" s="85" t="s">
        <v>346</v>
      </c>
      <c r="B68" s="89"/>
      <c r="C68" s="89"/>
      <c r="D68" s="89"/>
      <c r="E68" s="90"/>
      <c r="F68" s="89"/>
      <c r="G68" s="89"/>
      <c r="H68" s="89"/>
      <c r="I68" s="90"/>
      <c r="J68" s="89">
        <v>134898.40000000002</v>
      </c>
      <c r="K68" s="89">
        <v>17</v>
      </c>
      <c r="L68" s="89">
        <v>1</v>
      </c>
      <c r="M68" s="90">
        <f t="shared" si="7"/>
        <v>7935.2000000000016</v>
      </c>
      <c r="N68" s="89"/>
      <c r="O68" s="89"/>
      <c r="P68" s="89"/>
      <c r="Q68" s="90"/>
      <c r="R68" s="128" t="s">
        <v>80</v>
      </c>
    </row>
    <row r="69" spans="1:22" x14ac:dyDescent="0.25">
      <c r="A69" s="85" t="s">
        <v>42</v>
      </c>
      <c r="B69" s="89">
        <v>222360</v>
      </c>
      <c r="C69" s="89">
        <v>204</v>
      </c>
      <c r="D69" s="89">
        <v>1</v>
      </c>
      <c r="E69" s="90">
        <f t="shared" si="1"/>
        <v>1090</v>
      </c>
      <c r="F69" s="89">
        <v>28340</v>
      </c>
      <c r="G69" s="89">
        <v>26</v>
      </c>
      <c r="H69" s="89">
        <v>1</v>
      </c>
      <c r="I69" s="90">
        <f t="shared" ref="I69:I75" si="8">F69/G69/H69</f>
        <v>1090</v>
      </c>
      <c r="J69" s="89">
        <v>6540</v>
      </c>
      <c r="K69" s="89">
        <v>6</v>
      </c>
      <c r="L69" s="89">
        <v>1</v>
      </c>
      <c r="M69" s="90">
        <f t="shared" si="7"/>
        <v>1090</v>
      </c>
      <c r="N69" s="89"/>
      <c r="O69" s="89"/>
      <c r="P69" s="89"/>
      <c r="Q69" s="90"/>
      <c r="R69" s="128" t="s">
        <v>80</v>
      </c>
    </row>
    <row r="70" spans="1:22" ht="38.25" x14ac:dyDescent="0.25">
      <c r="A70" s="85" t="s">
        <v>404</v>
      </c>
      <c r="B70" s="89">
        <v>278760.95999999973</v>
      </c>
      <c r="C70" s="89">
        <v>36</v>
      </c>
      <c r="D70" s="89">
        <v>1</v>
      </c>
      <c r="E70" s="90">
        <f t="shared" si="1"/>
        <v>7743.3599999999924</v>
      </c>
      <c r="F70" s="89">
        <v>38716.800000000003</v>
      </c>
      <c r="G70" s="89">
        <v>5</v>
      </c>
      <c r="H70" s="89">
        <v>1</v>
      </c>
      <c r="I70" s="90">
        <f t="shared" si="8"/>
        <v>7743.3600000000006</v>
      </c>
      <c r="J70" s="89">
        <v>7743.3600000000006</v>
      </c>
      <c r="K70" s="89">
        <v>1</v>
      </c>
      <c r="L70" s="89">
        <v>1</v>
      </c>
      <c r="M70" s="90">
        <f t="shared" si="7"/>
        <v>7743.3600000000006</v>
      </c>
      <c r="N70" s="89"/>
      <c r="O70" s="89"/>
      <c r="P70" s="89"/>
      <c r="Q70" s="90"/>
      <c r="R70" s="128" t="s">
        <v>80</v>
      </c>
    </row>
    <row r="71" spans="1:22" x14ac:dyDescent="0.25">
      <c r="A71" s="85" t="s">
        <v>44</v>
      </c>
      <c r="B71" s="89">
        <v>68922.880000000005</v>
      </c>
      <c r="C71" s="89">
        <v>1216</v>
      </c>
      <c r="D71" s="89">
        <v>1</v>
      </c>
      <c r="E71" s="90">
        <f t="shared" si="1"/>
        <v>56.680000000000007</v>
      </c>
      <c r="F71" s="89">
        <v>17230.72</v>
      </c>
      <c r="G71" s="89">
        <v>304</v>
      </c>
      <c r="H71" s="89">
        <v>1</v>
      </c>
      <c r="I71" s="90">
        <f t="shared" si="8"/>
        <v>56.680000000000007</v>
      </c>
      <c r="J71" s="89">
        <v>17230.72</v>
      </c>
      <c r="K71" s="89">
        <v>304</v>
      </c>
      <c r="L71" s="89">
        <v>1</v>
      </c>
      <c r="M71" s="90">
        <f t="shared" si="7"/>
        <v>56.680000000000007</v>
      </c>
      <c r="N71" s="89"/>
      <c r="O71" s="89"/>
      <c r="P71" s="89"/>
      <c r="Q71" s="90"/>
      <c r="R71" s="128" t="s">
        <v>80</v>
      </c>
    </row>
    <row r="72" spans="1:22" x14ac:dyDescent="0.25">
      <c r="A72" s="85" t="s">
        <v>256</v>
      </c>
      <c r="B72" s="89"/>
      <c r="C72" s="89"/>
      <c r="D72" s="89"/>
      <c r="E72" s="90"/>
      <c r="F72" s="89">
        <v>346511</v>
      </c>
      <c r="G72" s="89">
        <v>187</v>
      </c>
      <c r="H72" s="89">
        <v>1</v>
      </c>
      <c r="I72" s="90">
        <f t="shared" si="8"/>
        <v>1853</v>
      </c>
      <c r="J72" s="89">
        <v>46325</v>
      </c>
      <c r="K72" s="89">
        <v>25</v>
      </c>
      <c r="L72" s="89">
        <v>1</v>
      </c>
      <c r="M72" s="90">
        <f t="shared" si="7"/>
        <v>1853</v>
      </c>
      <c r="N72" s="89"/>
      <c r="O72" s="89"/>
      <c r="P72" s="89"/>
      <c r="Q72" s="90"/>
      <c r="R72" s="128" t="s">
        <v>80</v>
      </c>
    </row>
    <row r="73" spans="1:22" x14ac:dyDescent="0.25">
      <c r="A73" s="85" t="s">
        <v>45</v>
      </c>
      <c r="B73" s="89">
        <v>42274.559999999998</v>
      </c>
      <c r="C73" s="89">
        <v>4</v>
      </c>
      <c r="D73" s="89">
        <v>12</v>
      </c>
      <c r="E73" s="90">
        <f t="shared" si="1"/>
        <v>880.71999999999991</v>
      </c>
      <c r="F73" s="89">
        <v>10568.64</v>
      </c>
      <c r="G73" s="89">
        <v>1</v>
      </c>
      <c r="H73" s="89">
        <v>12</v>
      </c>
      <c r="I73" s="90">
        <f t="shared" si="8"/>
        <v>880.71999999999991</v>
      </c>
      <c r="J73" s="89">
        <v>10568.64</v>
      </c>
      <c r="K73" s="89">
        <v>1</v>
      </c>
      <c r="L73" s="89">
        <v>12</v>
      </c>
      <c r="M73" s="90">
        <f t="shared" si="7"/>
        <v>880.71999999999991</v>
      </c>
      <c r="N73" s="89"/>
      <c r="O73" s="89"/>
      <c r="P73" s="89"/>
      <c r="Q73" s="90"/>
      <c r="R73" s="128" t="s">
        <v>80</v>
      </c>
    </row>
    <row r="74" spans="1:22" s="107" customFormat="1" ht="25.5" x14ac:dyDescent="0.25">
      <c r="A74" s="115" t="s">
        <v>408</v>
      </c>
      <c r="B74" s="116">
        <v>933040</v>
      </c>
      <c r="C74" s="116">
        <v>1712</v>
      </c>
      <c r="D74" s="116">
        <v>1</v>
      </c>
      <c r="E74" s="126">
        <f t="shared" si="1"/>
        <v>545</v>
      </c>
      <c r="F74" s="116">
        <v>14170</v>
      </c>
      <c r="G74" s="116">
        <v>30</v>
      </c>
      <c r="H74" s="116">
        <v>1</v>
      </c>
      <c r="I74" s="90">
        <f t="shared" si="8"/>
        <v>472.33333333333331</v>
      </c>
      <c r="J74" s="116">
        <v>3270</v>
      </c>
      <c r="K74" s="116">
        <v>6</v>
      </c>
      <c r="L74" s="116">
        <v>1</v>
      </c>
      <c r="M74" s="90">
        <f t="shared" si="7"/>
        <v>545</v>
      </c>
      <c r="N74" s="116"/>
      <c r="O74" s="116"/>
      <c r="P74" s="116"/>
      <c r="Q74" s="126"/>
      <c r="R74" s="128" t="s">
        <v>80</v>
      </c>
      <c r="T74" s="107">
        <v>687706.45</v>
      </c>
      <c r="U74" s="138">
        <f>SUM(J55:J74)</f>
        <v>687706.45</v>
      </c>
      <c r="V74" s="138">
        <f>T74-U74</f>
        <v>0</v>
      </c>
    </row>
    <row r="75" spans="1:22" x14ac:dyDescent="0.25">
      <c r="A75" s="85" t="s">
        <v>41</v>
      </c>
      <c r="B75" s="89">
        <v>102896</v>
      </c>
      <c r="C75" s="89">
        <v>4</v>
      </c>
      <c r="D75" s="89">
        <v>1</v>
      </c>
      <c r="E75" s="90">
        <f t="shared" si="1"/>
        <v>25724</v>
      </c>
      <c r="F75" s="89">
        <v>25724</v>
      </c>
      <c r="G75" s="89">
        <v>1</v>
      </c>
      <c r="H75" s="89">
        <v>1</v>
      </c>
      <c r="I75" s="90">
        <f t="shared" si="8"/>
        <v>25724</v>
      </c>
      <c r="J75" s="89">
        <v>25724</v>
      </c>
      <c r="K75" s="89">
        <v>1</v>
      </c>
      <c r="L75" s="89">
        <v>1</v>
      </c>
      <c r="M75" s="90">
        <f>J75/K75/L75</f>
        <v>25724</v>
      </c>
      <c r="N75" s="89"/>
      <c r="O75" s="89"/>
      <c r="P75" s="89"/>
      <c r="Q75" s="90"/>
      <c r="R75" s="128" t="s">
        <v>237</v>
      </c>
    </row>
    <row r="76" spans="1:22" ht="25.5" hidden="1" x14ac:dyDescent="0.25">
      <c r="A76" s="85" t="s">
        <v>19</v>
      </c>
      <c r="B76" s="89"/>
      <c r="C76" s="89"/>
      <c r="D76" s="89"/>
      <c r="E76" s="90"/>
      <c r="F76" s="89"/>
      <c r="G76" s="89"/>
      <c r="H76" s="89">
        <v>12</v>
      </c>
      <c r="I76" s="90"/>
      <c r="J76" s="89"/>
      <c r="K76" s="89"/>
      <c r="L76" s="89"/>
      <c r="M76" s="90"/>
      <c r="N76" s="89"/>
      <c r="O76" s="89"/>
      <c r="P76" s="89"/>
      <c r="Q76" s="90"/>
      <c r="R76" s="128"/>
      <c r="S76" s="105"/>
    </row>
    <row r="77" spans="1:22" hidden="1" x14ac:dyDescent="0.25">
      <c r="A77" s="85" t="s">
        <v>258</v>
      </c>
      <c r="B77" s="89"/>
      <c r="C77" s="89"/>
      <c r="D77" s="89"/>
      <c r="E77" s="90"/>
      <c r="F77" s="89"/>
      <c r="G77" s="89"/>
      <c r="H77" s="89">
        <v>1</v>
      </c>
      <c r="I77" s="90"/>
      <c r="J77" s="89"/>
      <c r="K77" s="89"/>
      <c r="L77" s="89"/>
      <c r="M77" s="90"/>
      <c r="N77" s="89"/>
      <c r="O77" s="89"/>
      <c r="P77" s="89"/>
      <c r="Q77" s="90"/>
      <c r="R77" s="128"/>
    </row>
    <row r="78" spans="1:22" s="107" customFormat="1" hidden="1" x14ac:dyDescent="0.25">
      <c r="A78" s="132" t="s">
        <v>409</v>
      </c>
      <c r="B78" s="116">
        <v>5267900</v>
      </c>
      <c r="C78" s="116">
        <v>23</v>
      </c>
      <c r="D78" s="116">
        <v>1</v>
      </c>
      <c r="E78" s="126">
        <f t="shared" si="1"/>
        <v>229039.13043478262</v>
      </c>
      <c r="F78" s="116"/>
      <c r="G78" s="116"/>
      <c r="H78" s="116">
        <v>1</v>
      </c>
      <c r="I78" s="126"/>
      <c r="J78" s="116"/>
      <c r="K78" s="116"/>
      <c r="L78" s="116"/>
      <c r="M78" s="126"/>
      <c r="N78" s="116"/>
      <c r="O78" s="116"/>
      <c r="P78" s="116"/>
      <c r="Q78" s="126"/>
      <c r="R78" s="128" t="s">
        <v>430</v>
      </c>
    </row>
    <row r="79" spans="1:22" hidden="1" x14ac:dyDescent="0.25">
      <c r="A79" s="119" t="s">
        <v>410</v>
      </c>
      <c r="B79" s="89">
        <v>1065000</v>
      </c>
      <c r="C79" s="89">
        <v>7</v>
      </c>
      <c r="D79" s="89">
        <v>1</v>
      </c>
      <c r="E79" s="90">
        <f t="shared" si="1"/>
        <v>152142.85714285713</v>
      </c>
      <c r="F79" s="89"/>
      <c r="G79" s="89"/>
      <c r="H79" s="89">
        <v>1</v>
      </c>
      <c r="I79" s="90"/>
      <c r="J79" s="89"/>
      <c r="K79" s="89"/>
      <c r="L79" s="89"/>
      <c r="M79" s="90"/>
      <c r="N79" s="89"/>
      <c r="O79" s="89"/>
      <c r="P79" s="89"/>
      <c r="Q79" s="90"/>
      <c r="R79" s="128" t="s">
        <v>430</v>
      </c>
    </row>
    <row r="80" spans="1:22" hidden="1" x14ac:dyDescent="0.25">
      <c r="A80" s="119" t="s">
        <v>411</v>
      </c>
      <c r="B80" s="89">
        <v>575000</v>
      </c>
      <c r="C80" s="89">
        <v>7</v>
      </c>
      <c r="D80" s="89">
        <v>1</v>
      </c>
      <c r="E80" s="90">
        <f t="shared" si="1"/>
        <v>82142.857142857145</v>
      </c>
      <c r="F80" s="89"/>
      <c r="G80" s="89"/>
      <c r="H80" s="89">
        <v>1</v>
      </c>
      <c r="I80" s="90"/>
      <c r="J80" s="89"/>
      <c r="K80" s="89"/>
      <c r="L80" s="89"/>
      <c r="M80" s="90"/>
      <c r="N80" s="89"/>
      <c r="O80" s="89"/>
      <c r="P80" s="89"/>
      <c r="Q80" s="90"/>
      <c r="R80" s="128" t="s">
        <v>430</v>
      </c>
    </row>
    <row r="81" spans="1:18" ht="15.75" hidden="1" x14ac:dyDescent="0.25">
      <c r="A81" s="83" t="s">
        <v>412</v>
      </c>
      <c r="B81" s="89">
        <v>4414024</v>
      </c>
      <c r="C81" s="89">
        <v>35</v>
      </c>
      <c r="D81" s="89">
        <v>1</v>
      </c>
      <c r="E81" s="90">
        <f t="shared" si="1"/>
        <v>126114.97142857143</v>
      </c>
      <c r="F81" s="89"/>
      <c r="G81" s="89"/>
      <c r="H81" s="89">
        <v>1</v>
      </c>
      <c r="I81" s="90"/>
      <c r="J81" s="89"/>
      <c r="K81" s="89"/>
      <c r="L81" s="89"/>
      <c r="M81" s="90"/>
      <c r="N81" s="89"/>
      <c r="O81" s="89"/>
      <c r="P81" s="89"/>
      <c r="Q81" s="90"/>
      <c r="R81" s="128" t="s">
        <v>430</v>
      </c>
    </row>
    <row r="82" spans="1:18" ht="15.75" hidden="1" x14ac:dyDescent="0.25">
      <c r="A82" s="83" t="s">
        <v>413</v>
      </c>
      <c r="B82" s="89">
        <v>1130000</v>
      </c>
      <c r="C82" s="89">
        <v>15</v>
      </c>
      <c r="D82" s="89">
        <v>1</v>
      </c>
      <c r="E82" s="90">
        <f t="shared" si="1"/>
        <v>75333.333333333328</v>
      </c>
      <c r="F82" s="89"/>
      <c r="G82" s="89"/>
      <c r="H82" s="89">
        <v>1</v>
      </c>
      <c r="I82" s="90"/>
      <c r="J82" s="89"/>
      <c r="K82" s="89"/>
      <c r="L82" s="89"/>
      <c r="M82" s="90"/>
      <c r="N82" s="89"/>
      <c r="O82" s="89"/>
      <c r="P82" s="89"/>
      <c r="Q82" s="90"/>
      <c r="R82" s="128" t="s">
        <v>430</v>
      </c>
    </row>
    <row r="83" spans="1:18" hidden="1" x14ac:dyDescent="0.25">
      <c r="A83" s="119" t="s">
        <v>109</v>
      </c>
      <c r="B83" s="89">
        <v>2715000</v>
      </c>
      <c r="C83" s="89">
        <v>16</v>
      </c>
      <c r="D83" s="89">
        <v>1</v>
      </c>
      <c r="E83" s="90">
        <f t="shared" si="1"/>
        <v>169687.5</v>
      </c>
      <c r="F83" s="89"/>
      <c r="G83" s="89"/>
      <c r="H83" s="89">
        <v>1</v>
      </c>
      <c r="I83" s="90"/>
      <c r="J83" s="89"/>
      <c r="K83" s="89"/>
      <c r="L83" s="89"/>
      <c r="M83" s="90"/>
      <c r="N83" s="89"/>
      <c r="O83" s="89"/>
      <c r="P83" s="89"/>
      <c r="Q83" s="90"/>
      <c r="R83" s="128" t="s">
        <v>430</v>
      </c>
    </row>
    <row r="84" spans="1:18" hidden="1" x14ac:dyDescent="0.25">
      <c r="A84" s="119" t="s">
        <v>414</v>
      </c>
      <c r="B84" s="89">
        <v>804000</v>
      </c>
      <c r="C84" s="89">
        <v>9</v>
      </c>
      <c r="D84" s="89">
        <v>1</v>
      </c>
      <c r="E84" s="90">
        <f t="shared" si="1"/>
        <v>89333.333333333328</v>
      </c>
      <c r="F84" s="89"/>
      <c r="G84" s="89"/>
      <c r="H84" s="89">
        <v>1</v>
      </c>
      <c r="I84" s="90"/>
      <c r="J84" s="89"/>
      <c r="K84" s="89"/>
      <c r="L84" s="89"/>
      <c r="M84" s="90"/>
      <c r="N84" s="89"/>
      <c r="O84" s="89"/>
      <c r="P84" s="89"/>
      <c r="Q84" s="90"/>
      <c r="R84" s="128" t="s">
        <v>430</v>
      </c>
    </row>
    <row r="85" spans="1:18" hidden="1" x14ac:dyDescent="0.25">
      <c r="A85" s="119" t="s">
        <v>415</v>
      </c>
      <c r="B85" s="89">
        <v>1344000</v>
      </c>
      <c r="C85" s="89">
        <v>11</v>
      </c>
      <c r="D85" s="89">
        <v>1</v>
      </c>
      <c r="E85" s="90">
        <f t="shared" si="1"/>
        <v>122181.81818181818</v>
      </c>
      <c r="F85" s="89"/>
      <c r="G85" s="89"/>
      <c r="H85" s="89">
        <v>1</v>
      </c>
      <c r="I85" s="90"/>
      <c r="J85" s="89"/>
      <c r="K85" s="89"/>
      <c r="L85" s="89"/>
      <c r="M85" s="90"/>
      <c r="N85" s="89"/>
      <c r="O85" s="89"/>
      <c r="P85" s="89"/>
      <c r="Q85" s="90"/>
      <c r="R85" s="128" t="s">
        <v>430</v>
      </c>
    </row>
    <row r="86" spans="1:18" hidden="1" x14ac:dyDescent="0.25">
      <c r="A86" s="119" t="s">
        <v>416</v>
      </c>
      <c r="B86" s="89">
        <v>1050000</v>
      </c>
      <c r="C86" s="89">
        <v>20</v>
      </c>
      <c r="D86" s="89">
        <v>1</v>
      </c>
      <c r="E86" s="90">
        <f t="shared" si="1"/>
        <v>52500</v>
      </c>
      <c r="F86" s="89"/>
      <c r="G86" s="89"/>
      <c r="H86" s="89">
        <v>1</v>
      </c>
      <c r="I86" s="90"/>
      <c r="J86" s="89"/>
      <c r="K86" s="89"/>
      <c r="L86" s="89"/>
      <c r="M86" s="90"/>
      <c r="N86" s="89"/>
      <c r="O86" s="89"/>
      <c r="P86" s="89"/>
      <c r="Q86" s="90"/>
      <c r="R86" s="128" t="s">
        <v>430</v>
      </c>
    </row>
    <row r="87" spans="1:18" hidden="1" x14ac:dyDescent="0.25">
      <c r="A87" s="119" t="s">
        <v>417</v>
      </c>
      <c r="B87" s="89">
        <v>1275000</v>
      </c>
      <c r="C87" s="89">
        <v>17</v>
      </c>
      <c r="D87" s="89">
        <v>1</v>
      </c>
      <c r="E87" s="90">
        <f t="shared" si="1"/>
        <v>75000</v>
      </c>
      <c r="F87" s="89"/>
      <c r="G87" s="89"/>
      <c r="H87" s="89">
        <v>1</v>
      </c>
      <c r="I87" s="90"/>
      <c r="J87" s="89"/>
      <c r="K87" s="89"/>
      <c r="L87" s="89"/>
      <c r="M87" s="90"/>
      <c r="N87" s="89"/>
      <c r="O87" s="89"/>
      <c r="P87" s="89"/>
      <c r="Q87" s="90"/>
      <c r="R87" s="128" t="s">
        <v>430</v>
      </c>
    </row>
    <row r="88" spans="1:18" hidden="1" x14ac:dyDescent="0.25">
      <c r="A88" s="119" t="s">
        <v>418</v>
      </c>
      <c r="B88" s="89">
        <v>600000</v>
      </c>
      <c r="C88" s="89">
        <v>9</v>
      </c>
      <c r="D88" s="89">
        <v>1</v>
      </c>
      <c r="E88" s="90">
        <f t="shared" si="1"/>
        <v>66666.666666666672</v>
      </c>
      <c r="F88" s="89"/>
      <c r="G88" s="89"/>
      <c r="H88" s="89">
        <v>1</v>
      </c>
      <c r="I88" s="90"/>
      <c r="J88" s="89"/>
      <c r="K88" s="89"/>
      <c r="L88" s="89"/>
      <c r="M88" s="90"/>
      <c r="N88" s="89"/>
      <c r="O88" s="89"/>
      <c r="P88" s="89"/>
      <c r="Q88" s="90"/>
      <c r="R88" s="128" t="s">
        <v>430</v>
      </c>
    </row>
    <row r="89" spans="1:18" hidden="1" x14ac:dyDescent="0.25">
      <c r="A89" s="119" t="s">
        <v>324</v>
      </c>
      <c r="B89" s="89">
        <v>6575000</v>
      </c>
      <c r="C89" s="89">
        <v>18</v>
      </c>
      <c r="D89" s="89">
        <v>1</v>
      </c>
      <c r="E89" s="90">
        <f t="shared" si="1"/>
        <v>365277.77777777775</v>
      </c>
      <c r="F89" s="89"/>
      <c r="G89" s="89"/>
      <c r="H89" s="89">
        <v>1</v>
      </c>
      <c r="I89" s="90"/>
      <c r="J89" s="89"/>
      <c r="K89" s="89"/>
      <c r="L89" s="89"/>
      <c r="M89" s="90"/>
      <c r="N89" s="89"/>
      <c r="O89" s="89"/>
      <c r="P89" s="89"/>
      <c r="Q89" s="90"/>
      <c r="R89" s="128" t="s">
        <v>430</v>
      </c>
    </row>
    <row r="90" spans="1:18" x14ac:dyDescent="0.25">
      <c r="A90" s="119" t="s">
        <v>419</v>
      </c>
      <c r="B90" s="89">
        <v>778000</v>
      </c>
      <c r="C90" s="89">
        <v>24</v>
      </c>
      <c r="D90" s="89">
        <v>1</v>
      </c>
      <c r="E90" s="90">
        <f t="shared" si="1"/>
        <v>32416.666666666668</v>
      </c>
      <c r="F90" s="89">
        <v>270000</v>
      </c>
      <c r="G90" s="89">
        <v>8</v>
      </c>
      <c r="H90" s="89">
        <v>1</v>
      </c>
      <c r="I90" s="90">
        <f>F90/G90/H90</f>
        <v>33750</v>
      </c>
      <c r="J90" s="89"/>
      <c r="K90" s="89"/>
      <c r="L90" s="89"/>
      <c r="M90" s="90"/>
      <c r="N90" s="89"/>
      <c r="O90" s="89"/>
      <c r="P90" s="89"/>
      <c r="Q90" s="90"/>
      <c r="R90" s="128" t="s">
        <v>430</v>
      </c>
    </row>
    <row r="91" spans="1:18" hidden="1" x14ac:dyDescent="0.25">
      <c r="A91" s="119" t="s">
        <v>420</v>
      </c>
      <c r="B91" s="89">
        <v>1915000</v>
      </c>
      <c r="C91" s="89">
        <v>15</v>
      </c>
      <c r="D91" s="89">
        <v>1</v>
      </c>
      <c r="E91" s="90">
        <f t="shared" si="1"/>
        <v>127666.66666666667</v>
      </c>
      <c r="F91" s="89"/>
      <c r="G91" s="89"/>
      <c r="H91" s="89">
        <v>1</v>
      </c>
      <c r="I91" s="90"/>
      <c r="J91" s="89"/>
      <c r="K91" s="89"/>
      <c r="L91" s="89"/>
      <c r="M91" s="90"/>
      <c r="N91" s="89"/>
      <c r="O91" s="89"/>
      <c r="P91" s="89"/>
      <c r="Q91" s="90"/>
      <c r="R91" s="128" t="s">
        <v>430</v>
      </c>
    </row>
    <row r="92" spans="1:18" hidden="1" x14ac:dyDescent="0.25">
      <c r="A92" s="119" t="s">
        <v>421</v>
      </c>
      <c r="B92" s="89">
        <v>392000</v>
      </c>
      <c r="C92" s="89">
        <v>29</v>
      </c>
      <c r="D92" s="89">
        <v>1</v>
      </c>
      <c r="E92" s="90">
        <f t="shared" si="1"/>
        <v>13517.241379310344</v>
      </c>
      <c r="F92" s="89"/>
      <c r="G92" s="89"/>
      <c r="H92" s="89">
        <v>1</v>
      </c>
      <c r="I92" s="90"/>
      <c r="J92" s="89"/>
      <c r="K92" s="89"/>
      <c r="L92" s="89"/>
      <c r="M92" s="90"/>
      <c r="N92" s="89"/>
      <c r="O92" s="89"/>
      <c r="P92" s="89"/>
      <c r="Q92" s="90"/>
      <c r="R92" s="128" t="s">
        <v>430</v>
      </c>
    </row>
    <row r="93" spans="1:18" hidden="1" x14ac:dyDescent="0.25">
      <c r="A93" s="119" t="s">
        <v>422</v>
      </c>
      <c r="B93" s="89">
        <v>629000</v>
      </c>
      <c r="C93" s="89">
        <v>18</v>
      </c>
      <c r="D93" s="89">
        <v>1</v>
      </c>
      <c r="E93" s="90">
        <f t="shared" si="1"/>
        <v>34944.444444444445</v>
      </c>
      <c r="F93" s="89"/>
      <c r="G93" s="89"/>
      <c r="H93" s="89">
        <v>1</v>
      </c>
      <c r="I93" s="90"/>
      <c r="J93" s="89"/>
      <c r="K93" s="89"/>
      <c r="L93" s="89"/>
      <c r="M93" s="90"/>
      <c r="N93" s="89"/>
      <c r="O93" s="89"/>
      <c r="P93" s="89"/>
      <c r="Q93" s="90"/>
      <c r="R93" s="128" t="s">
        <v>430</v>
      </c>
    </row>
    <row r="94" spans="1:18" hidden="1" x14ac:dyDescent="0.25">
      <c r="A94" s="119" t="s">
        <v>423</v>
      </c>
      <c r="B94" s="89">
        <v>1490000</v>
      </c>
      <c r="C94" s="89">
        <v>20</v>
      </c>
      <c r="D94" s="89">
        <v>1</v>
      </c>
      <c r="E94" s="90">
        <f t="shared" si="1"/>
        <v>74500</v>
      </c>
      <c r="F94" s="89"/>
      <c r="G94" s="89"/>
      <c r="H94" s="89">
        <v>1</v>
      </c>
      <c r="I94" s="90"/>
      <c r="J94" s="89"/>
      <c r="K94" s="89"/>
      <c r="L94" s="89"/>
      <c r="M94" s="90"/>
      <c r="N94" s="89"/>
      <c r="O94" s="89"/>
      <c r="P94" s="89"/>
      <c r="Q94" s="90"/>
      <c r="R94" s="128" t="s">
        <v>430</v>
      </c>
    </row>
    <row r="95" spans="1:18" hidden="1" x14ac:dyDescent="0.25">
      <c r="A95" s="119" t="s">
        <v>424</v>
      </c>
      <c r="B95" s="89">
        <v>1200000</v>
      </c>
      <c r="C95" s="89">
        <v>35</v>
      </c>
      <c r="D95" s="89">
        <v>1</v>
      </c>
      <c r="E95" s="90">
        <f t="shared" si="1"/>
        <v>34285.714285714283</v>
      </c>
      <c r="F95" s="89"/>
      <c r="G95" s="89"/>
      <c r="H95" s="89">
        <v>1</v>
      </c>
      <c r="I95" s="90"/>
      <c r="J95" s="89"/>
      <c r="K95" s="89"/>
      <c r="L95" s="89"/>
      <c r="M95" s="90"/>
      <c r="N95" s="89"/>
      <c r="O95" s="89"/>
      <c r="P95" s="89"/>
      <c r="Q95" s="90"/>
      <c r="R95" s="128" t="s">
        <v>430</v>
      </c>
    </row>
    <row r="96" spans="1:18" x14ac:dyDescent="0.25">
      <c r="A96" s="119" t="s">
        <v>425</v>
      </c>
      <c r="B96" s="89">
        <v>668600</v>
      </c>
      <c r="C96" s="89">
        <v>35</v>
      </c>
      <c r="D96" s="89">
        <v>1</v>
      </c>
      <c r="E96" s="90">
        <f t="shared" si="1"/>
        <v>19102.857142857141</v>
      </c>
      <c r="F96" s="89">
        <v>36000</v>
      </c>
      <c r="G96" s="89">
        <v>3</v>
      </c>
      <c r="H96" s="89">
        <v>1</v>
      </c>
      <c r="I96" s="90">
        <f>F96/G96/H96</f>
        <v>12000</v>
      </c>
      <c r="J96" s="89"/>
      <c r="K96" s="89"/>
      <c r="L96" s="89"/>
      <c r="M96" s="90"/>
      <c r="N96" s="89"/>
      <c r="O96" s="89"/>
      <c r="P96" s="89"/>
      <c r="Q96" s="90"/>
      <c r="R96" s="128" t="s">
        <v>430</v>
      </c>
    </row>
    <row r="97" spans="1:18" hidden="1" x14ac:dyDescent="0.25">
      <c r="A97" s="119" t="s">
        <v>108</v>
      </c>
      <c r="B97" s="89">
        <v>674150</v>
      </c>
      <c r="C97" s="89">
        <v>865</v>
      </c>
      <c r="D97" s="89">
        <v>1</v>
      </c>
      <c r="E97" s="90">
        <f t="shared" si="1"/>
        <v>779.36416184971097</v>
      </c>
      <c r="F97" s="89"/>
      <c r="G97" s="89"/>
      <c r="H97" s="89">
        <v>1</v>
      </c>
      <c r="I97" s="90"/>
      <c r="J97" s="89"/>
      <c r="K97" s="89"/>
      <c r="L97" s="89"/>
      <c r="M97" s="90"/>
      <c r="N97" s="89"/>
      <c r="O97" s="89"/>
      <c r="P97" s="89"/>
      <c r="Q97" s="90"/>
      <c r="R97" s="128" t="s">
        <v>430</v>
      </c>
    </row>
    <row r="98" spans="1:18" x14ac:dyDescent="0.25">
      <c r="A98" s="119" t="s">
        <v>426</v>
      </c>
      <c r="B98" s="89">
        <v>546346</v>
      </c>
      <c r="C98" s="89">
        <v>44</v>
      </c>
      <c r="D98" s="89">
        <v>1</v>
      </c>
      <c r="E98" s="90">
        <f t="shared" si="1"/>
        <v>12416.954545454546</v>
      </c>
      <c r="F98" s="89">
        <v>204000</v>
      </c>
      <c r="G98" s="89">
        <v>21</v>
      </c>
      <c r="H98" s="89">
        <v>1</v>
      </c>
      <c r="I98" s="90">
        <f t="shared" ref="I98:I104" si="9">F98/G98/H98</f>
        <v>9714.2857142857138</v>
      </c>
      <c r="J98" s="89"/>
      <c r="K98" s="89"/>
      <c r="L98" s="89"/>
      <c r="M98" s="90"/>
      <c r="N98" s="89"/>
      <c r="O98" s="89"/>
      <c r="P98" s="89"/>
      <c r="Q98" s="90"/>
      <c r="R98" s="128" t="s">
        <v>430</v>
      </c>
    </row>
    <row r="99" spans="1:18" x14ac:dyDescent="0.25">
      <c r="A99" s="119" t="s">
        <v>427</v>
      </c>
      <c r="B99" s="89">
        <v>862000</v>
      </c>
      <c r="C99" s="89">
        <v>66</v>
      </c>
      <c r="D99" s="89">
        <v>1</v>
      </c>
      <c r="E99" s="90">
        <f t="shared" si="1"/>
        <v>13060.60606060606</v>
      </c>
      <c r="F99" s="89">
        <v>220000</v>
      </c>
      <c r="G99" s="89">
        <v>50</v>
      </c>
      <c r="H99" s="89">
        <v>1</v>
      </c>
      <c r="I99" s="90">
        <f t="shared" si="9"/>
        <v>4400</v>
      </c>
      <c r="J99" s="89">
        <v>20000</v>
      </c>
      <c r="K99" s="89">
        <v>2</v>
      </c>
      <c r="L99" s="89">
        <v>1</v>
      </c>
      <c r="M99" s="90">
        <f>J99/K99/L99</f>
        <v>10000</v>
      </c>
      <c r="N99" s="89"/>
      <c r="O99" s="89"/>
      <c r="P99" s="89"/>
      <c r="Q99" s="90"/>
      <c r="R99" s="128" t="s">
        <v>430</v>
      </c>
    </row>
    <row r="100" spans="1:18" x14ac:dyDescent="0.25">
      <c r="A100" s="119" t="s">
        <v>428</v>
      </c>
      <c r="B100" s="89">
        <v>2939650</v>
      </c>
      <c r="C100" s="89">
        <v>345</v>
      </c>
      <c r="D100" s="89">
        <v>1</v>
      </c>
      <c r="E100" s="90">
        <f t="shared" si="1"/>
        <v>8520.7246376811599</v>
      </c>
      <c r="F100" s="89">
        <v>428000</v>
      </c>
      <c r="G100" s="89">
        <v>106</v>
      </c>
      <c r="H100" s="89">
        <v>1</v>
      </c>
      <c r="I100" s="90">
        <f t="shared" si="9"/>
        <v>4037.7358490566039</v>
      </c>
      <c r="J100" s="89">
        <v>12000</v>
      </c>
      <c r="K100" s="89">
        <v>2</v>
      </c>
      <c r="L100" s="89">
        <v>1</v>
      </c>
      <c r="M100" s="90">
        <f t="shared" ref="M100:M105" si="10">J100/K100/L100</f>
        <v>6000</v>
      </c>
      <c r="N100" s="89"/>
      <c r="O100" s="89"/>
      <c r="P100" s="89"/>
      <c r="Q100" s="90"/>
      <c r="R100" s="128" t="s">
        <v>430</v>
      </c>
    </row>
    <row r="101" spans="1:18" ht="15.75" x14ac:dyDescent="0.25">
      <c r="A101" s="83" t="s">
        <v>429</v>
      </c>
      <c r="B101" s="89">
        <v>2635000</v>
      </c>
      <c r="C101" s="89">
        <v>49</v>
      </c>
      <c r="D101" s="89">
        <v>1</v>
      </c>
      <c r="E101" s="90">
        <f t="shared" si="1"/>
        <v>53775.510204081635</v>
      </c>
      <c r="F101" s="89">
        <v>1035000</v>
      </c>
      <c r="G101" s="89">
        <v>26</v>
      </c>
      <c r="H101" s="89">
        <v>1</v>
      </c>
      <c r="I101" s="90">
        <f t="shared" si="9"/>
        <v>39807.692307692305</v>
      </c>
      <c r="J101" s="89"/>
      <c r="K101" s="89"/>
      <c r="L101" s="89"/>
      <c r="M101" s="90"/>
      <c r="N101" s="89"/>
      <c r="O101" s="89"/>
      <c r="P101" s="89"/>
      <c r="Q101" s="90"/>
      <c r="R101" s="128" t="s">
        <v>430</v>
      </c>
    </row>
    <row r="102" spans="1:18" x14ac:dyDescent="0.25">
      <c r="A102" s="119" t="s">
        <v>110</v>
      </c>
      <c r="B102" s="89"/>
      <c r="C102" s="89"/>
      <c r="D102" s="89"/>
      <c r="E102" s="90"/>
      <c r="F102" s="89">
        <v>1340000</v>
      </c>
      <c r="G102" s="89">
        <v>25</v>
      </c>
      <c r="H102" s="89">
        <v>1</v>
      </c>
      <c r="I102" s="90">
        <f t="shared" si="9"/>
        <v>53600</v>
      </c>
      <c r="J102" s="89">
        <v>40000</v>
      </c>
      <c r="K102" s="89">
        <v>1</v>
      </c>
      <c r="L102" s="89">
        <v>1</v>
      </c>
      <c r="M102" s="90">
        <f t="shared" si="10"/>
        <v>40000</v>
      </c>
      <c r="N102" s="89"/>
      <c r="O102" s="89"/>
      <c r="P102" s="89"/>
      <c r="Q102" s="90"/>
      <c r="R102" s="128" t="s">
        <v>430</v>
      </c>
    </row>
    <row r="103" spans="1:18" x14ac:dyDescent="0.25">
      <c r="A103" s="119" t="s">
        <v>112</v>
      </c>
      <c r="B103" s="89"/>
      <c r="C103" s="89"/>
      <c r="D103" s="89"/>
      <c r="E103" s="90"/>
      <c r="F103" s="89">
        <v>165000</v>
      </c>
      <c r="G103" s="89">
        <v>5</v>
      </c>
      <c r="H103" s="89">
        <v>1</v>
      </c>
      <c r="I103" s="90">
        <f t="shared" si="9"/>
        <v>33000</v>
      </c>
      <c r="J103" s="89"/>
      <c r="K103" s="89"/>
      <c r="L103" s="89"/>
      <c r="M103" s="90"/>
      <c r="N103" s="89"/>
      <c r="O103" s="89"/>
      <c r="P103" s="89"/>
      <c r="Q103" s="90"/>
      <c r="R103" s="128" t="s">
        <v>430</v>
      </c>
    </row>
    <row r="104" spans="1:18" x14ac:dyDescent="0.25">
      <c r="A104" s="119" t="s">
        <v>111</v>
      </c>
      <c r="B104" s="89"/>
      <c r="C104" s="89"/>
      <c r="D104" s="89"/>
      <c r="E104" s="90"/>
      <c r="F104" s="89">
        <v>3695000</v>
      </c>
      <c r="G104" s="89">
        <v>73</v>
      </c>
      <c r="H104" s="89">
        <v>1</v>
      </c>
      <c r="I104" s="90">
        <f t="shared" si="9"/>
        <v>50616.438356164384</v>
      </c>
      <c r="J104" s="89">
        <v>150000</v>
      </c>
      <c r="K104" s="89">
        <v>3</v>
      </c>
      <c r="L104" s="89">
        <v>1</v>
      </c>
      <c r="M104" s="90">
        <f t="shared" si="10"/>
        <v>50000</v>
      </c>
      <c r="N104" s="89"/>
      <c r="O104" s="89"/>
      <c r="P104" s="89"/>
      <c r="Q104" s="90"/>
      <c r="R104" s="128" t="s">
        <v>430</v>
      </c>
    </row>
    <row r="105" spans="1:18" x14ac:dyDescent="0.25">
      <c r="A105" s="119" t="s">
        <v>438</v>
      </c>
      <c r="B105" s="89"/>
      <c r="C105" s="89"/>
      <c r="D105" s="89"/>
      <c r="E105" s="90"/>
      <c r="F105" s="89">
        <v>825000</v>
      </c>
      <c r="G105" s="89">
        <v>33</v>
      </c>
      <c r="H105" s="89">
        <v>1</v>
      </c>
      <c r="I105" s="90">
        <f t="shared" ref="I105:I123" si="11">F105/G105/H105</f>
        <v>25000</v>
      </c>
      <c r="J105" s="89">
        <v>110000</v>
      </c>
      <c r="K105" s="89">
        <v>2</v>
      </c>
      <c r="L105" s="89">
        <v>1</v>
      </c>
      <c r="M105" s="90">
        <f t="shared" si="10"/>
        <v>55000</v>
      </c>
      <c r="N105" s="89"/>
      <c r="O105" s="89"/>
      <c r="P105" s="89"/>
      <c r="Q105" s="90"/>
      <c r="R105" s="128" t="s">
        <v>430</v>
      </c>
    </row>
    <row r="106" spans="1:18" hidden="1" x14ac:dyDescent="0.25">
      <c r="A106" s="119"/>
      <c r="B106" s="89"/>
      <c r="C106" s="89"/>
      <c r="D106" s="89"/>
      <c r="E106" s="90"/>
      <c r="F106" s="89"/>
      <c r="G106" s="89"/>
      <c r="H106" s="89"/>
      <c r="I106" s="90"/>
      <c r="J106" s="89"/>
      <c r="K106" s="89"/>
      <c r="L106" s="89"/>
      <c r="M106" s="90"/>
      <c r="N106" s="89"/>
      <c r="O106" s="89"/>
      <c r="P106" s="89"/>
      <c r="Q106" s="90"/>
      <c r="R106" s="128" t="s">
        <v>430</v>
      </c>
    </row>
    <row r="107" spans="1:18" hidden="1" x14ac:dyDescent="0.25">
      <c r="A107" s="119"/>
      <c r="B107" s="89"/>
      <c r="C107" s="89"/>
      <c r="D107" s="89"/>
      <c r="E107" s="90"/>
      <c r="F107" s="89"/>
      <c r="G107" s="89"/>
      <c r="H107" s="89"/>
      <c r="I107" s="90"/>
      <c r="J107" s="89"/>
      <c r="K107" s="89"/>
      <c r="L107" s="89"/>
      <c r="M107" s="90"/>
      <c r="N107" s="89"/>
      <c r="O107" s="89"/>
      <c r="P107" s="89"/>
      <c r="Q107" s="90"/>
      <c r="R107" s="128" t="s">
        <v>430</v>
      </c>
    </row>
    <row r="108" spans="1:18" hidden="1" x14ac:dyDescent="0.25">
      <c r="A108" s="119"/>
      <c r="B108" s="89"/>
      <c r="C108" s="89"/>
      <c r="D108" s="89"/>
      <c r="E108" s="90"/>
      <c r="F108" s="89"/>
      <c r="G108" s="89"/>
      <c r="H108" s="89"/>
      <c r="I108" s="90"/>
      <c r="J108" s="89"/>
      <c r="K108" s="89"/>
      <c r="L108" s="89"/>
      <c r="M108" s="90"/>
      <c r="N108" s="89"/>
      <c r="O108" s="89"/>
      <c r="P108" s="89"/>
      <c r="Q108" s="90"/>
      <c r="R108" s="128" t="s">
        <v>430</v>
      </c>
    </row>
    <row r="109" spans="1:18" hidden="1" x14ac:dyDescent="0.25">
      <c r="A109" s="119"/>
      <c r="B109" s="89"/>
      <c r="C109" s="89"/>
      <c r="D109" s="89"/>
      <c r="E109" s="90"/>
      <c r="F109" s="89"/>
      <c r="G109" s="89"/>
      <c r="H109" s="89"/>
      <c r="I109" s="90"/>
      <c r="J109" s="89"/>
      <c r="K109" s="89"/>
      <c r="L109" s="89"/>
      <c r="M109" s="90"/>
      <c r="N109" s="89"/>
      <c r="O109" s="89"/>
      <c r="P109" s="89"/>
      <c r="Q109" s="90"/>
      <c r="R109" s="128" t="s">
        <v>430</v>
      </c>
    </row>
    <row r="110" spans="1:18" hidden="1" x14ac:dyDescent="0.25">
      <c r="A110" s="119"/>
      <c r="B110" s="89"/>
      <c r="C110" s="89"/>
      <c r="D110" s="89"/>
      <c r="E110" s="90"/>
      <c r="F110" s="89"/>
      <c r="G110" s="89"/>
      <c r="H110" s="89"/>
      <c r="I110" s="90"/>
      <c r="J110" s="89"/>
      <c r="K110" s="89"/>
      <c r="L110" s="89"/>
      <c r="M110" s="90"/>
      <c r="N110" s="89"/>
      <c r="O110" s="89"/>
      <c r="P110" s="89"/>
      <c r="Q110" s="90"/>
      <c r="R110" s="128" t="s">
        <v>430</v>
      </c>
    </row>
    <row r="111" spans="1:18" hidden="1" x14ac:dyDescent="0.25">
      <c r="A111" s="119"/>
      <c r="B111" s="89"/>
      <c r="C111" s="89"/>
      <c r="D111" s="89"/>
      <c r="E111" s="90"/>
      <c r="F111" s="89"/>
      <c r="G111" s="89"/>
      <c r="H111" s="89"/>
      <c r="I111" s="90"/>
      <c r="J111" s="89"/>
      <c r="K111" s="89"/>
      <c r="L111" s="89"/>
      <c r="M111" s="90"/>
      <c r="N111" s="89"/>
      <c r="O111" s="89"/>
      <c r="P111" s="89"/>
      <c r="Q111" s="90"/>
      <c r="R111" s="128" t="s">
        <v>430</v>
      </c>
    </row>
    <row r="112" spans="1:18" hidden="1" x14ac:dyDescent="0.25">
      <c r="A112" s="119"/>
      <c r="B112" s="89"/>
      <c r="C112" s="89"/>
      <c r="D112" s="89"/>
      <c r="E112" s="90"/>
      <c r="F112" s="89"/>
      <c r="G112" s="89"/>
      <c r="H112" s="89"/>
      <c r="I112" s="90"/>
      <c r="J112" s="89"/>
      <c r="K112" s="89"/>
      <c r="L112" s="89"/>
      <c r="M112" s="90"/>
      <c r="N112" s="89"/>
      <c r="O112" s="89"/>
      <c r="P112" s="89"/>
      <c r="Q112" s="90"/>
      <c r="R112" s="128" t="s">
        <v>430</v>
      </c>
    </row>
    <row r="113" spans="1:18" hidden="1" x14ac:dyDescent="0.25">
      <c r="A113" s="119"/>
      <c r="B113" s="89"/>
      <c r="C113" s="89"/>
      <c r="D113" s="89"/>
      <c r="E113" s="90"/>
      <c r="F113" s="89"/>
      <c r="G113" s="89"/>
      <c r="H113" s="89"/>
      <c r="I113" s="90"/>
      <c r="J113" s="89"/>
      <c r="K113" s="89"/>
      <c r="L113" s="89"/>
      <c r="M113" s="90"/>
      <c r="N113" s="89"/>
      <c r="O113" s="89"/>
      <c r="P113" s="89"/>
      <c r="Q113" s="90"/>
      <c r="R113" s="128" t="s">
        <v>430</v>
      </c>
    </row>
    <row r="114" spans="1:18" hidden="1" x14ac:dyDescent="0.25">
      <c r="A114" s="119"/>
      <c r="B114" s="89"/>
      <c r="C114" s="89"/>
      <c r="D114" s="89"/>
      <c r="E114" s="90"/>
      <c r="F114" s="89"/>
      <c r="G114" s="89"/>
      <c r="H114" s="89"/>
      <c r="I114" s="90"/>
      <c r="J114" s="89"/>
      <c r="K114" s="89"/>
      <c r="L114" s="89"/>
      <c r="M114" s="90"/>
      <c r="N114" s="89"/>
      <c r="O114" s="89"/>
      <c r="P114" s="89"/>
      <c r="Q114" s="90"/>
      <c r="R114" s="128" t="s">
        <v>430</v>
      </c>
    </row>
    <row r="115" spans="1:18" hidden="1" x14ac:dyDescent="0.25">
      <c r="A115" s="119"/>
      <c r="B115" s="89"/>
      <c r="C115" s="89"/>
      <c r="D115" s="89"/>
      <c r="E115" s="90"/>
      <c r="F115" s="89"/>
      <c r="G115" s="89"/>
      <c r="H115" s="89"/>
      <c r="I115" s="90"/>
      <c r="J115" s="89"/>
      <c r="K115" s="89"/>
      <c r="L115" s="89"/>
      <c r="M115" s="90"/>
      <c r="N115" s="89"/>
      <c r="O115" s="89"/>
      <c r="P115" s="89"/>
      <c r="Q115" s="90"/>
      <c r="R115" s="128" t="s">
        <v>430</v>
      </c>
    </row>
    <row r="116" spans="1:18" hidden="1" x14ac:dyDescent="0.25">
      <c r="A116" s="119"/>
      <c r="B116" s="89"/>
      <c r="C116" s="89"/>
      <c r="D116" s="89"/>
      <c r="E116" s="90"/>
      <c r="F116" s="89"/>
      <c r="G116" s="89"/>
      <c r="H116" s="89"/>
      <c r="I116" s="90"/>
      <c r="J116" s="89"/>
      <c r="K116" s="89"/>
      <c r="L116" s="89"/>
      <c r="M116" s="90"/>
      <c r="N116" s="89"/>
      <c r="O116" s="89"/>
      <c r="P116" s="89"/>
      <c r="Q116" s="90"/>
      <c r="R116" s="128" t="s">
        <v>430</v>
      </c>
    </row>
    <row r="117" spans="1:18" hidden="1" x14ac:dyDescent="0.25">
      <c r="A117" s="119"/>
      <c r="B117" s="89"/>
      <c r="C117" s="89"/>
      <c r="D117" s="89"/>
      <c r="E117" s="90"/>
      <c r="F117" s="89"/>
      <c r="G117" s="89"/>
      <c r="H117" s="89"/>
      <c r="I117" s="90"/>
      <c r="J117" s="89"/>
      <c r="K117" s="89"/>
      <c r="L117" s="89"/>
      <c r="M117" s="90"/>
      <c r="N117" s="89"/>
      <c r="O117" s="89"/>
      <c r="P117" s="89"/>
      <c r="Q117" s="90"/>
      <c r="R117" s="128" t="s">
        <v>430</v>
      </c>
    </row>
    <row r="118" spans="1:18" hidden="1" x14ac:dyDescent="0.25">
      <c r="A118" s="119"/>
      <c r="B118" s="89"/>
      <c r="C118" s="89"/>
      <c r="D118" s="89"/>
      <c r="E118" s="90"/>
      <c r="F118" s="89"/>
      <c r="G118" s="89"/>
      <c r="H118" s="89"/>
      <c r="I118" s="90"/>
      <c r="J118" s="89"/>
      <c r="K118" s="89"/>
      <c r="L118" s="89"/>
      <c r="M118" s="90"/>
      <c r="N118" s="89"/>
      <c r="O118" s="89"/>
      <c r="P118" s="89"/>
      <c r="Q118" s="90"/>
      <c r="R118" s="128" t="s">
        <v>430</v>
      </c>
    </row>
    <row r="119" spans="1:18" hidden="1" x14ac:dyDescent="0.25">
      <c r="A119" s="119"/>
      <c r="B119" s="89"/>
      <c r="C119" s="89"/>
      <c r="D119" s="89"/>
      <c r="E119" s="90"/>
      <c r="F119" s="89"/>
      <c r="G119" s="89"/>
      <c r="H119" s="89"/>
      <c r="I119" s="90"/>
      <c r="J119" s="89"/>
      <c r="K119" s="89"/>
      <c r="L119" s="89"/>
      <c r="M119" s="90"/>
      <c r="N119" s="89"/>
      <c r="O119" s="89"/>
      <c r="P119" s="89"/>
      <c r="Q119" s="90"/>
      <c r="R119" s="128" t="s">
        <v>430</v>
      </c>
    </row>
    <row r="120" spans="1:18" hidden="1" x14ac:dyDescent="0.25">
      <c r="A120" s="119"/>
      <c r="B120" s="89"/>
      <c r="C120" s="89"/>
      <c r="D120" s="89"/>
      <c r="E120" s="90"/>
      <c r="F120" s="89"/>
      <c r="G120" s="89"/>
      <c r="H120" s="89"/>
      <c r="I120" s="90"/>
      <c r="J120" s="89"/>
      <c r="K120" s="89"/>
      <c r="L120" s="89"/>
      <c r="M120" s="90"/>
      <c r="N120" s="89"/>
      <c r="O120" s="89"/>
      <c r="P120" s="89"/>
      <c r="Q120" s="90"/>
      <c r="R120" s="128" t="s">
        <v>430</v>
      </c>
    </row>
    <row r="121" spans="1:18" hidden="1" x14ac:dyDescent="0.25">
      <c r="A121" s="119"/>
      <c r="B121" s="89"/>
      <c r="C121" s="89"/>
      <c r="D121" s="89"/>
      <c r="E121" s="90"/>
      <c r="F121" s="89"/>
      <c r="G121" s="89"/>
      <c r="H121" s="89"/>
      <c r="I121" s="90"/>
      <c r="J121" s="89"/>
      <c r="K121" s="89"/>
      <c r="L121" s="89"/>
      <c r="M121" s="90"/>
      <c r="N121" s="89"/>
      <c r="O121" s="89"/>
      <c r="P121" s="89"/>
      <c r="Q121" s="90"/>
      <c r="R121" s="128" t="s">
        <v>430</v>
      </c>
    </row>
    <row r="122" spans="1:18" ht="15.75" hidden="1" x14ac:dyDescent="0.25">
      <c r="A122" s="83"/>
      <c r="B122" s="89"/>
      <c r="C122" s="89"/>
      <c r="D122" s="89"/>
      <c r="E122" s="90"/>
      <c r="F122" s="89"/>
      <c r="G122" s="89"/>
      <c r="H122" s="89"/>
      <c r="I122" s="90"/>
      <c r="J122" s="89"/>
      <c r="K122" s="89"/>
      <c r="L122" s="89"/>
      <c r="M122" s="90"/>
      <c r="N122" s="89"/>
      <c r="O122" s="89"/>
      <c r="P122" s="89"/>
      <c r="Q122" s="90"/>
      <c r="R122" s="128" t="s">
        <v>430</v>
      </c>
    </row>
    <row r="123" spans="1:18" ht="15.75" x14ac:dyDescent="0.25">
      <c r="A123" s="134" t="s">
        <v>436</v>
      </c>
      <c r="B123" s="89">
        <v>580000</v>
      </c>
      <c r="C123" s="89">
        <v>290</v>
      </c>
      <c r="D123" s="89">
        <v>1</v>
      </c>
      <c r="E123" s="90">
        <f t="shared" si="1"/>
        <v>2000</v>
      </c>
      <c r="F123" s="89">
        <v>56680</v>
      </c>
      <c r="G123" s="89">
        <v>26</v>
      </c>
      <c r="H123" s="89">
        <v>1</v>
      </c>
      <c r="I123" s="90">
        <f t="shared" si="11"/>
        <v>2180</v>
      </c>
      <c r="J123" s="89"/>
      <c r="K123" s="89"/>
      <c r="L123" s="89"/>
      <c r="M123" s="90"/>
      <c r="N123" s="89"/>
      <c r="O123" s="89"/>
      <c r="P123" s="89"/>
      <c r="Q123" s="90"/>
      <c r="R123" s="128" t="s">
        <v>432</v>
      </c>
    </row>
    <row r="124" spans="1:18" x14ac:dyDescent="0.25">
      <c r="A124" s="119" t="s">
        <v>46</v>
      </c>
      <c r="B124" s="89">
        <v>616395</v>
      </c>
      <c r="C124" s="89">
        <f>B124/D124/E124</f>
        <v>1028.181818181818</v>
      </c>
      <c r="D124" s="89">
        <v>11</v>
      </c>
      <c r="E124" s="90">
        <v>54.500000000000007</v>
      </c>
      <c r="F124" s="89">
        <v>138975</v>
      </c>
      <c r="G124" s="89">
        <f>F124/I124/H124</f>
        <v>231.81818181818178</v>
      </c>
      <c r="H124" s="89">
        <v>11</v>
      </c>
      <c r="I124" s="90">
        <v>54.500000000000007</v>
      </c>
      <c r="J124" s="89">
        <v>138975</v>
      </c>
      <c r="K124" s="89">
        <f>J124/M124/L124</f>
        <v>231.81818181818178</v>
      </c>
      <c r="L124" s="89">
        <v>11</v>
      </c>
      <c r="M124" s="90">
        <v>54.500000000000007</v>
      </c>
      <c r="N124" s="89"/>
      <c r="O124" s="89"/>
      <c r="P124" s="89"/>
      <c r="Q124" s="90"/>
      <c r="R124" s="128" t="s">
        <v>430</v>
      </c>
    </row>
    <row r="125" spans="1:18" x14ac:dyDescent="0.25">
      <c r="A125" s="119" t="s">
        <v>259</v>
      </c>
      <c r="B125" s="89"/>
      <c r="C125" s="89"/>
      <c r="D125" s="89"/>
      <c r="E125" s="90"/>
      <c r="F125" s="89">
        <v>816691.66</v>
      </c>
      <c r="G125" s="89">
        <v>1212</v>
      </c>
      <c r="H125" s="89">
        <v>1</v>
      </c>
      <c r="I125" s="90">
        <f>F125/G125/H125</f>
        <v>673.83800330033012</v>
      </c>
      <c r="J125" s="89">
        <v>165090.31</v>
      </c>
      <c r="K125" s="89">
        <v>245</v>
      </c>
      <c r="L125" s="89">
        <v>1</v>
      </c>
      <c r="M125" s="90">
        <f>J125/K125/L125</f>
        <v>673.83799999999997</v>
      </c>
      <c r="N125" s="89"/>
      <c r="O125" s="89"/>
      <c r="P125" s="89"/>
      <c r="Q125" s="90"/>
      <c r="R125" s="128" t="s">
        <v>431</v>
      </c>
    </row>
    <row r="126" spans="1:18" x14ac:dyDescent="0.25">
      <c r="A126" s="119" t="s">
        <v>47</v>
      </c>
      <c r="B126" s="89">
        <v>102024</v>
      </c>
      <c r="C126" s="89">
        <v>144</v>
      </c>
      <c r="D126" s="89">
        <v>1</v>
      </c>
      <c r="E126" s="90">
        <f t="shared" si="1"/>
        <v>708.5</v>
      </c>
      <c r="F126" s="89">
        <v>13000</v>
      </c>
      <c r="G126" s="89">
        <v>20</v>
      </c>
      <c r="H126" s="89">
        <v>1</v>
      </c>
      <c r="I126" s="90">
        <f>F126/G126/H126</f>
        <v>650</v>
      </c>
      <c r="J126" s="89"/>
      <c r="K126" s="89"/>
      <c r="L126" s="89"/>
      <c r="M126" s="90"/>
      <c r="N126" s="89"/>
      <c r="O126" s="89"/>
      <c r="P126" s="89"/>
      <c r="Q126" s="90"/>
      <c r="R126" s="128" t="s">
        <v>431</v>
      </c>
    </row>
    <row r="127" spans="1:18" x14ac:dyDescent="0.25">
      <c r="A127" s="119" t="s">
        <v>113</v>
      </c>
      <c r="B127" s="89">
        <v>607361.63</v>
      </c>
      <c r="C127" s="89">
        <v>5715</v>
      </c>
      <c r="D127" s="89">
        <v>1</v>
      </c>
      <c r="E127" s="90">
        <f t="shared" si="1"/>
        <v>106.27500087489064</v>
      </c>
      <c r="F127" s="89">
        <v>10627.5</v>
      </c>
      <c r="G127" s="89">
        <v>100</v>
      </c>
      <c r="H127" s="89">
        <v>1</v>
      </c>
      <c r="I127" s="90">
        <f>F127/G127/H127</f>
        <v>106.27500000000001</v>
      </c>
      <c r="J127" s="89">
        <v>2125.5</v>
      </c>
      <c r="K127" s="89">
        <v>20</v>
      </c>
      <c r="L127" s="89">
        <v>1</v>
      </c>
      <c r="M127" s="90">
        <f>J127/K127/L127</f>
        <v>106.27500000000001</v>
      </c>
      <c r="N127" s="89"/>
      <c r="O127" s="89"/>
      <c r="P127" s="89"/>
      <c r="Q127" s="90"/>
      <c r="R127" s="128" t="s">
        <v>431</v>
      </c>
    </row>
    <row r="128" spans="1:18" x14ac:dyDescent="0.25">
      <c r="A128" s="119" t="s">
        <v>333</v>
      </c>
      <c r="B128" s="89">
        <v>32220324</v>
      </c>
      <c r="C128" s="89"/>
      <c r="D128" s="89"/>
      <c r="E128" s="90"/>
      <c r="F128" s="89">
        <v>191148</v>
      </c>
      <c r="G128" s="89"/>
      <c r="H128" s="89"/>
      <c r="I128" s="90"/>
      <c r="J128" s="89">
        <v>6710</v>
      </c>
      <c r="K128" s="89"/>
      <c r="L128" s="89"/>
      <c r="M128" s="90"/>
      <c r="N128" s="89"/>
      <c r="O128" s="89"/>
      <c r="P128" s="89"/>
      <c r="Q128" s="90"/>
      <c r="R128" s="128"/>
    </row>
    <row r="129" spans="1:18" hidden="1" x14ac:dyDescent="0.25">
      <c r="A129" s="119" t="s">
        <v>368</v>
      </c>
      <c r="B129" s="89"/>
      <c r="C129" s="89"/>
      <c r="D129" s="89"/>
      <c r="E129" s="90"/>
      <c r="F129" s="89"/>
      <c r="G129" s="89"/>
      <c r="H129" s="89"/>
      <c r="I129" s="90"/>
      <c r="J129" s="89"/>
      <c r="K129" s="89"/>
      <c r="L129" s="89"/>
      <c r="M129" s="90"/>
      <c r="N129" s="89"/>
      <c r="O129" s="89"/>
      <c r="P129" s="89"/>
      <c r="Q129" s="90"/>
      <c r="R129" s="128"/>
    </row>
    <row r="130" spans="1:18" hidden="1" x14ac:dyDescent="0.25">
      <c r="A130" s="119" t="s">
        <v>352</v>
      </c>
      <c r="B130" s="89"/>
      <c r="C130" s="89"/>
      <c r="D130" s="89"/>
      <c r="E130" s="90"/>
      <c r="F130" s="89"/>
      <c r="G130" s="89"/>
      <c r="H130" s="89"/>
      <c r="I130" s="90"/>
      <c r="J130" s="89"/>
      <c r="K130" s="89"/>
      <c r="L130" s="89"/>
      <c r="M130" s="90"/>
      <c r="N130" s="89">
        <v>6856022.7000000002</v>
      </c>
      <c r="O130" s="89">
        <v>5930</v>
      </c>
      <c r="P130" s="89">
        <v>24</v>
      </c>
      <c r="Q130" s="90">
        <f>N130/O130</f>
        <v>1156.1589713322091</v>
      </c>
      <c r="R130" s="128"/>
    </row>
    <row r="131" spans="1:18" hidden="1" x14ac:dyDescent="0.25">
      <c r="A131" s="119" t="s">
        <v>355</v>
      </c>
      <c r="B131" s="89"/>
      <c r="C131" s="89"/>
      <c r="D131" s="89"/>
      <c r="E131" s="90"/>
      <c r="F131" s="89"/>
      <c r="G131" s="89"/>
      <c r="H131" s="89"/>
      <c r="I131" s="90"/>
      <c r="J131" s="89"/>
      <c r="K131" s="89"/>
      <c r="L131" s="89"/>
      <c r="M131" s="90"/>
      <c r="N131" s="89">
        <v>3428011.35</v>
      </c>
      <c r="O131" s="89"/>
      <c r="P131" s="89"/>
      <c r="Q131" s="90"/>
      <c r="R131" s="128"/>
    </row>
    <row r="132" spans="1:18" hidden="1" x14ac:dyDescent="0.25">
      <c r="A132" s="119" t="s">
        <v>348</v>
      </c>
      <c r="B132" s="89"/>
      <c r="C132" s="89"/>
      <c r="D132" s="89"/>
      <c r="E132" s="90"/>
      <c r="F132" s="89"/>
      <c r="G132" s="89"/>
      <c r="H132" s="89"/>
      <c r="I132" s="90"/>
      <c r="J132" s="89"/>
      <c r="K132" s="89"/>
      <c r="L132" s="89"/>
      <c r="M132" s="90"/>
      <c r="N132" s="89">
        <v>355800</v>
      </c>
      <c r="O132" s="89">
        <v>5930</v>
      </c>
      <c r="P132" s="89">
        <v>1</v>
      </c>
      <c r="Q132" s="90">
        <f>N132/O132/P132</f>
        <v>60</v>
      </c>
      <c r="R132" s="128"/>
    </row>
    <row r="133" spans="1:18" hidden="1" x14ac:dyDescent="0.25">
      <c r="A133" s="119" t="s">
        <v>349</v>
      </c>
      <c r="B133" s="89"/>
      <c r="C133" s="89"/>
      <c r="D133" s="89"/>
      <c r="E133" s="90"/>
      <c r="F133" s="89"/>
      <c r="G133" s="89"/>
      <c r="H133" s="89"/>
      <c r="I133" s="90"/>
      <c r="J133" s="89"/>
      <c r="K133" s="89"/>
      <c r="L133" s="89"/>
      <c r="M133" s="90"/>
      <c r="N133" s="89">
        <v>282350</v>
      </c>
      <c r="O133" s="89">
        <v>5930</v>
      </c>
      <c r="P133" s="89">
        <v>1</v>
      </c>
      <c r="Q133" s="90">
        <f>N133/O133/P133</f>
        <v>47.613827993254638</v>
      </c>
      <c r="R133" s="128"/>
    </row>
    <row r="134" spans="1:18" hidden="1" x14ac:dyDescent="0.25">
      <c r="A134" s="119" t="s">
        <v>350</v>
      </c>
      <c r="B134" s="89"/>
      <c r="C134" s="89"/>
      <c r="D134" s="89"/>
      <c r="E134" s="90"/>
      <c r="F134" s="89"/>
      <c r="G134" s="89"/>
      <c r="H134" s="89"/>
      <c r="I134" s="90"/>
      <c r="J134" s="89"/>
      <c r="K134" s="89"/>
      <c r="L134" s="89"/>
      <c r="M134" s="90"/>
      <c r="N134" s="89">
        <v>282350</v>
      </c>
      <c r="O134" s="89">
        <v>5930</v>
      </c>
      <c r="P134" s="89">
        <v>1</v>
      </c>
      <c r="Q134" s="90">
        <f>N134/O134/P134</f>
        <v>47.613827993254638</v>
      </c>
      <c r="R134" s="128"/>
    </row>
    <row r="135" spans="1:18" hidden="1" x14ac:dyDescent="0.25">
      <c r="A135" s="119" t="s">
        <v>351</v>
      </c>
      <c r="B135" s="89"/>
      <c r="C135" s="89"/>
      <c r="D135" s="89"/>
      <c r="E135" s="90"/>
      <c r="F135" s="89"/>
      <c r="G135" s="89"/>
      <c r="H135" s="89"/>
      <c r="I135" s="90"/>
      <c r="J135" s="89"/>
      <c r="K135" s="89"/>
      <c r="L135" s="89"/>
      <c r="M135" s="90"/>
      <c r="N135" s="89">
        <v>60695</v>
      </c>
      <c r="O135" s="89">
        <v>5930</v>
      </c>
      <c r="P135" s="89">
        <v>1</v>
      </c>
      <c r="Q135" s="90">
        <f>N135/O135/P135</f>
        <v>10.235244519392918</v>
      </c>
      <c r="R135" s="128"/>
    </row>
    <row r="136" spans="1:18" s="73" customFormat="1" x14ac:dyDescent="0.25">
      <c r="A136" s="86" t="s">
        <v>332</v>
      </c>
      <c r="B136" s="78">
        <f>SUM(B4:B128)</f>
        <v>1172433763.24</v>
      </c>
      <c r="C136" s="79"/>
      <c r="D136" s="79"/>
      <c r="E136" s="80"/>
      <c r="F136" s="78">
        <f>SUM(F4:F129)</f>
        <v>258832039.26999998</v>
      </c>
      <c r="G136" s="79"/>
      <c r="H136" s="79"/>
      <c r="I136" s="80"/>
      <c r="J136" s="78">
        <f>SUM(J4:J128)</f>
        <v>15346092.856537536</v>
      </c>
      <c r="K136" s="79"/>
      <c r="L136" s="79"/>
      <c r="M136" s="80"/>
      <c r="N136" s="78">
        <f>SUM(N4:N135)</f>
        <v>12186761.85</v>
      </c>
      <c r="O136" s="78">
        <f>SUM(O4:O135)</f>
        <v>29652.400000000001</v>
      </c>
      <c r="P136" s="78">
        <f>SUM(P4:P135)</f>
        <v>52</v>
      </c>
      <c r="Q136" s="78">
        <f>SUM(Q4:Q135)</f>
        <v>9185.8718718381133</v>
      </c>
      <c r="R136" s="131"/>
    </row>
    <row r="138" spans="1:18" x14ac:dyDescent="0.25">
      <c r="A138" s="88"/>
      <c r="B138" s="82">
        <v>1172433763.24</v>
      </c>
      <c r="C138" s="82"/>
      <c r="F138" s="82">
        <v>258832039.26999998</v>
      </c>
      <c r="G138" s="82"/>
      <c r="J138" s="82">
        <v>15346092.860000001</v>
      </c>
      <c r="K138" s="82"/>
      <c r="N138" s="82">
        <v>12186761.849999998</v>
      </c>
      <c r="O138" s="82"/>
    </row>
    <row r="139" spans="1:18" x14ac:dyDescent="0.25">
      <c r="B139" s="82">
        <f>B138-B136</f>
        <v>0</v>
      </c>
      <c r="F139" s="82">
        <f>F138-F136</f>
        <v>0</v>
      </c>
      <c r="J139" s="82">
        <f>J138-J136</f>
        <v>3.4624654799699783E-3</v>
      </c>
      <c r="N139" s="82">
        <f>N138-N136</f>
        <v>0</v>
      </c>
    </row>
    <row r="142" spans="1:18" s="107" customFormat="1" x14ac:dyDescent="0.25">
      <c r="A142" s="140" t="s">
        <v>375</v>
      </c>
      <c r="B142" s="386" t="s">
        <v>338</v>
      </c>
      <c r="C142" s="386"/>
      <c r="D142" s="386"/>
      <c r="E142" s="386"/>
      <c r="F142" s="387" t="s">
        <v>339</v>
      </c>
      <c r="G142" s="388"/>
      <c r="H142" s="388"/>
      <c r="I142" s="389"/>
      <c r="J142" s="387" t="s">
        <v>340</v>
      </c>
      <c r="K142" s="388"/>
      <c r="L142" s="388"/>
      <c r="M142" s="389"/>
      <c r="N142" s="387" t="s">
        <v>347</v>
      </c>
      <c r="O142" s="388"/>
      <c r="P142" s="388"/>
      <c r="Q142" s="389"/>
      <c r="R142" s="139"/>
    </row>
    <row r="143" spans="1:18" s="61" customFormat="1" ht="38.25" x14ac:dyDescent="0.25">
      <c r="A143" s="85"/>
      <c r="B143" s="141" t="s">
        <v>444</v>
      </c>
      <c r="C143" s="141" t="s">
        <v>170</v>
      </c>
      <c r="D143" s="141" t="s">
        <v>174</v>
      </c>
      <c r="E143" s="90" t="s">
        <v>286</v>
      </c>
      <c r="F143" s="141" t="s">
        <v>444</v>
      </c>
      <c r="G143" s="141" t="s">
        <v>170</v>
      </c>
      <c r="H143" s="141" t="s">
        <v>174</v>
      </c>
      <c r="I143" s="90" t="s">
        <v>286</v>
      </c>
      <c r="J143" s="141" t="s">
        <v>444</v>
      </c>
      <c r="K143" s="141" t="s">
        <v>170</v>
      </c>
      <c r="L143" s="141" t="s">
        <v>174</v>
      </c>
      <c r="M143" s="90" t="s">
        <v>286</v>
      </c>
      <c r="N143" s="141" t="s">
        <v>444</v>
      </c>
      <c r="O143" s="141" t="s">
        <v>170</v>
      </c>
      <c r="P143" s="141" t="s">
        <v>174</v>
      </c>
      <c r="Q143" s="90" t="s">
        <v>286</v>
      </c>
      <c r="R143" s="114"/>
    </row>
    <row r="144" spans="1:18" s="61" customFormat="1" x14ac:dyDescent="0.25">
      <c r="A144" s="85" t="s">
        <v>86</v>
      </c>
      <c r="B144" s="89">
        <v>142513459.16999999</v>
      </c>
      <c r="C144" s="89">
        <f>C4</f>
        <v>921.8</v>
      </c>
      <c r="D144" s="89">
        <v>12</v>
      </c>
      <c r="E144" s="90">
        <f>B144/C144/D144</f>
        <v>12883.620739314385</v>
      </c>
      <c r="F144" s="89">
        <v>104783347.98999999</v>
      </c>
      <c r="G144" s="89">
        <f>G4</f>
        <v>368.4</v>
      </c>
      <c r="H144" s="89">
        <v>12</v>
      </c>
      <c r="I144" s="90">
        <f>F144/G144/H144</f>
        <v>23702.349798678973</v>
      </c>
      <c r="J144" s="89">
        <v>10295110.99</v>
      </c>
      <c r="K144" s="89">
        <f>K4</f>
        <v>49</v>
      </c>
      <c r="L144" s="89">
        <v>12</v>
      </c>
      <c r="M144" s="90">
        <f>J144/K144/L144</f>
        <v>17508.692159863946</v>
      </c>
      <c r="N144" s="89">
        <v>707782.5</v>
      </c>
      <c r="O144" s="89">
        <v>2.4</v>
      </c>
      <c r="P144" s="89">
        <v>24</v>
      </c>
      <c r="Q144" s="90">
        <f>N144/90</f>
        <v>7864.25</v>
      </c>
      <c r="R144" s="130">
        <v>211</v>
      </c>
    </row>
    <row r="145" spans="1:18" s="61" customFormat="1" x14ac:dyDescent="0.25">
      <c r="A145" s="85" t="s">
        <v>334</v>
      </c>
      <c r="B145" s="89">
        <v>43039064.669999994</v>
      </c>
      <c r="C145" s="89">
        <f t="shared" ref="C145:C208" si="12">C5</f>
        <v>0</v>
      </c>
      <c r="D145" s="89"/>
      <c r="E145" s="90"/>
      <c r="F145" s="89">
        <v>31644571.090000007</v>
      </c>
      <c r="G145" s="89">
        <f t="shared" ref="G145:G208" si="13">G5</f>
        <v>0</v>
      </c>
      <c r="H145" s="89"/>
      <c r="I145" s="90">
        <v>0</v>
      </c>
      <c r="J145" s="89">
        <v>3109123.52</v>
      </c>
      <c r="K145" s="89">
        <f t="shared" ref="K145:K208" si="14">K5</f>
        <v>0</v>
      </c>
      <c r="L145" s="89"/>
      <c r="M145" s="90"/>
      <c r="N145" s="89">
        <v>213750.30000000005</v>
      </c>
      <c r="O145" s="89"/>
      <c r="P145" s="89"/>
      <c r="Q145" s="90"/>
      <c r="R145" s="130">
        <v>213</v>
      </c>
    </row>
    <row r="146" spans="1:18" s="61" customFormat="1" x14ac:dyDescent="0.25">
      <c r="A146" s="85" t="s">
        <v>241</v>
      </c>
      <c r="B146" s="89"/>
      <c r="C146" s="89">
        <f t="shared" si="12"/>
        <v>0</v>
      </c>
      <c r="D146" s="89"/>
      <c r="E146" s="90"/>
      <c r="F146" s="89">
        <v>69940.740000000005</v>
      </c>
      <c r="G146" s="89">
        <f t="shared" si="13"/>
        <v>17</v>
      </c>
      <c r="H146" s="89">
        <v>12</v>
      </c>
      <c r="I146" s="90">
        <f t="shared" ref="I146:I151" si="15">F146/G146/H146</f>
        <v>342.84676470588238</v>
      </c>
      <c r="J146" s="89">
        <v>17485.189999999999</v>
      </c>
      <c r="K146" s="89">
        <f t="shared" si="14"/>
        <v>5</v>
      </c>
      <c r="L146" s="89">
        <v>12</v>
      </c>
      <c r="M146" s="90">
        <f>J146/K146/L146</f>
        <v>291.41983333333332</v>
      </c>
      <c r="N146" s="89"/>
      <c r="O146" s="89"/>
      <c r="P146" s="89"/>
      <c r="Q146" s="90"/>
      <c r="R146" s="130">
        <v>221</v>
      </c>
    </row>
    <row r="147" spans="1:18" s="61" customFormat="1" x14ac:dyDescent="0.25">
      <c r="A147" s="85" t="s">
        <v>242</v>
      </c>
      <c r="B147" s="89"/>
      <c r="C147" s="89">
        <f t="shared" si="12"/>
        <v>0</v>
      </c>
      <c r="D147" s="89"/>
      <c r="E147" s="90"/>
      <c r="F147" s="89">
        <v>170478.11</v>
      </c>
      <c r="G147" s="89">
        <f t="shared" si="13"/>
        <v>17306</v>
      </c>
      <c r="H147" s="89">
        <v>12</v>
      </c>
      <c r="I147" s="90">
        <f t="shared" si="15"/>
        <v>0.82090079548518802</v>
      </c>
      <c r="J147" s="89">
        <v>69270.89</v>
      </c>
      <c r="K147" s="89">
        <f t="shared" si="14"/>
        <v>7032</v>
      </c>
      <c r="L147" s="89">
        <v>12</v>
      </c>
      <c r="M147" s="90">
        <f>J147/K147/L147</f>
        <v>0.82090076317785365</v>
      </c>
      <c r="N147" s="89"/>
      <c r="O147" s="89"/>
      <c r="P147" s="89"/>
      <c r="Q147" s="90"/>
      <c r="R147" s="130">
        <v>221</v>
      </c>
    </row>
    <row r="148" spans="1:18" s="61" customFormat="1" x14ac:dyDescent="0.25">
      <c r="A148" s="85" t="s">
        <v>244</v>
      </c>
      <c r="B148" s="89"/>
      <c r="C148" s="89">
        <f t="shared" si="12"/>
        <v>0</v>
      </c>
      <c r="D148" s="89"/>
      <c r="E148" s="90"/>
      <c r="F148" s="89">
        <v>10398.099999999999</v>
      </c>
      <c r="G148" s="89">
        <f t="shared" si="13"/>
        <v>5</v>
      </c>
      <c r="H148" s="89">
        <v>12</v>
      </c>
      <c r="I148" s="90">
        <f t="shared" si="15"/>
        <v>173.30166666666665</v>
      </c>
      <c r="J148" s="89">
        <v>2079.62</v>
      </c>
      <c r="K148" s="89">
        <f t="shared" si="14"/>
        <v>1</v>
      </c>
      <c r="L148" s="89">
        <v>12</v>
      </c>
      <c r="M148" s="90">
        <f>J148/K148/L148</f>
        <v>173.30166666666665</v>
      </c>
      <c r="N148" s="89"/>
      <c r="O148" s="89"/>
      <c r="P148" s="89"/>
      <c r="Q148" s="90"/>
      <c r="R148" s="130">
        <v>221</v>
      </c>
    </row>
    <row r="149" spans="1:18" s="61" customFormat="1" x14ac:dyDescent="0.25">
      <c r="A149" s="85" t="s">
        <v>246</v>
      </c>
      <c r="B149" s="89"/>
      <c r="C149" s="89">
        <f t="shared" si="12"/>
        <v>0</v>
      </c>
      <c r="D149" s="89"/>
      <c r="E149" s="90"/>
      <c r="F149" s="89">
        <v>180978.53999999998</v>
      </c>
      <c r="G149" s="89">
        <f t="shared" si="13"/>
        <v>5</v>
      </c>
      <c r="H149" s="89">
        <v>12</v>
      </c>
      <c r="I149" s="90">
        <f t="shared" si="15"/>
        <v>3016.3089999999997</v>
      </c>
      <c r="J149" s="89">
        <v>54179.450000000004</v>
      </c>
      <c r="K149" s="89">
        <f t="shared" si="14"/>
        <v>1</v>
      </c>
      <c r="L149" s="89">
        <v>12</v>
      </c>
      <c r="M149" s="90">
        <f>J149/K149/L149</f>
        <v>4514.9541666666673</v>
      </c>
      <c r="N149" s="89"/>
      <c r="O149" s="89"/>
      <c r="P149" s="89"/>
      <c r="Q149" s="90"/>
      <c r="R149" s="130">
        <v>221</v>
      </c>
    </row>
    <row r="150" spans="1:18" s="61" customFormat="1" ht="25.5" x14ac:dyDescent="0.25">
      <c r="A150" s="85" t="s">
        <v>374</v>
      </c>
      <c r="B150" s="89">
        <v>567569.16000000015</v>
      </c>
      <c r="C150" s="89">
        <f t="shared" si="12"/>
        <v>36</v>
      </c>
      <c r="D150" s="89">
        <v>4</v>
      </c>
      <c r="E150" s="90">
        <f>B150/C150/D150</f>
        <v>3941.4525000000012</v>
      </c>
      <c r="F150" s="89">
        <v>36786.89</v>
      </c>
      <c r="G150" s="89">
        <f t="shared" si="13"/>
        <v>7</v>
      </c>
      <c r="H150" s="89">
        <v>4</v>
      </c>
      <c r="I150" s="90">
        <f t="shared" si="15"/>
        <v>1313.8174999999999</v>
      </c>
      <c r="J150" s="89">
        <v>31531.62</v>
      </c>
      <c r="K150" s="89">
        <f t="shared" si="14"/>
        <v>6</v>
      </c>
      <c r="L150" s="89">
        <v>4</v>
      </c>
      <c r="M150" s="90">
        <f>J150/K150/L150</f>
        <v>1313.8174999999999</v>
      </c>
      <c r="N150" s="89"/>
      <c r="O150" s="89"/>
      <c r="P150" s="89"/>
      <c r="Q150" s="90"/>
      <c r="R150" s="142" t="s">
        <v>357</v>
      </c>
    </row>
    <row r="151" spans="1:18" s="61" customFormat="1" x14ac:dyDescent="0.25">
      <c r="A151" s="85" t="s">
        <v>365</v>
      </c>
      <c r="B151" s="89"/>
      <c r="C151" s="89">
        <f t="shared" si="12"/>
        <v>0</v>
      </c>
      <c r="D151" s="89"/>
      <c r="E151" s="90"/>
      <c r="F151" s="89">
        <v>62935.73</v>
      </c>
      <c r="G151" s="89">
        <f t="shared" si="13"/>
        <v>2</v>
      </c>
      <c r="H151" s="89">
        <v>12</v>
      </c>
      <c r="I151" s="90">
        <f t="shared" si="15"/>
        <v>2622.3220833333335</v>
      </c>
      <c r="J151" s="89"/>
      <c r="K151" s="89">
        <f t="shared" si="14"/>
        <v>0</v>
      </c>
      <c r="L151" s="89"/>
      <c r="M151" s="90"/>
      <c r="N151" s="89"/>
      <c r="O151" s="89"/>
      <c r="P151" s="89"/>
      <c r="Q151" s="90"/>
      <c r="R151" s="130" t="s">
        <v>366</v>
      </c>
    </row>
    <row r="152" spans="1:18" s="61" customFormat="1" x14ac:dyDescent="0.25">
      <c r="A152" s="85" t="s">
        <v>7</v>
      </c>
      <c r="B152" s="89">
        <v>36105385.759999998</v>
      </c>
      <c r="C152" s="89">
        <f t="shared" si="12"/>
        <v>3313.1214264326877</v>
      </c>
      <c r="D152" s="89">
        <v>1</v>
      </c>
      <c r="E152" s="90">
        <f>B152/C152/D152/1000</f>
        <v>10.897694685122204</v>
      </c>
      <c r="F152" s="89">
        <v>1237210.1000000001</v>
      </c>
      <c r="G152" s="89">
        <f t="shared" si="13"/>
        <v>113.06013705633248</v>
      </c>
      <c r="H152" s="89">
        <v>1</v>
      </c>
      <c r="I152" s="90">
        <f>F152/G152/H152/1000</f>
        <v>10.942938264647223</v>
      </c>
      <c r="J152" s="89">
        <v>135366.63</v>
      </c>
      <c r="K152" s="89">
        <f t="shared" si="14"/>
        <v>12370.227223490891</v>
      </c>
      <c r="L152" s="89">
        <v>1</v>
      </c>
      <c r="M152" s="90">
        <f>J152/K152/L152</f>
        <v>10.942938036169672</v>
      </c>
      <c r="N152" s="89"/>
      <c r="O152" s="89"/>
      <c r="P152" s="89"/>
      <c r="Q152" s="90"/>
      <c r="R152" s="130" t="s">
        <v>386</v>
      </c>
    </row>
    <row r="153" spans="1:18" s="61" customFormat="1" x14ac:dyDescent="0.25">
      <c r="A153" s="85" t="s">
        <v>9</v>
      </c>
      <c r="B153" s="89">
        <v>94934664.110000029</v>
      </c>
      <c r="C153" s="89">
        <f t="shared" si="12"/>
        <v>31897.39</v>
      </c>
      <c r="D153" s="89">
        <v>1</v>
      </c>
      <c r="E153" s="90">
        <f t="shared" ref="E153:E155" si="16">B153/C153/D153</f>
        <v>2976.2517908205036</v>
      </c>
      <c r="F153" s="89">
        <v>4148894.9800000004</v>
      </c>
      <c r="G153" s="89">
        <f t="shared" si="13"/>
        <v>1394</v>
      </c>
      <c r="H153" s="89">
        <v>1</v>
      </c>
      <c r="I153" s="90">
        <f>F153/G153/H153</f>
        <v>2976.2517790530851</v>
      </c>
      <c r="J153" s="89">
        <v>505962.8</v>
      </c>
      <c r="K153" s="89">
        <f t="shared" si="14"/>
        <v>170</v>
      </c>
      <c r="L153" s="89">
        <v>1</v>
      </c>
      <c r="M153" s="90">
        <f>J153/K153/L153</f>
        <v>2976.2517647058821</v>
      </c>
      <c r="N153" s="89"/>
      <c r="O153" s="89"/>
      <c r="P153" s="89"/>
      <c r="Q153" s="90"/>
      <c r="R153" s="130" t="s">
        <v>387</v>
      </c>
    </row>
    <row r="154" spans="1:18" s="61" customFormat="1" x14ac:dyDescent="0.25">
      <c r="A154" s="85" t="s">
        <v>12</v>
      </c>
      <c r="B154" s="89">
        <v>10014723.620000001</v>
      </c>
      <c r="C154" s="89">
        <f t="shared" si="12"/>
        <v>184725.17</v>
      </c>
      <c r="D154" s="89">
        <v>1</v>
      </c>
      <c r="E154" s="90">
        <f t="shared" si="16"/>
        <v>54.214180016724306</v>
      </c>
      <c r="F154" s="89">
        <v>219085.465</v>
      </c>
      <c r="G154" s="89">
        <f t="shared" si="13"/>
        <v>4041.1099999999997</v>
      </c>
      <c r="H154" s="89">
        <v>1</v>
      </c>
      <c r="I154" s="90">
        <f>F154/G154/H154</f>
        <v>54.214180014896904</v>
      </c>
      <c r="J154" s="89">
        <v>19209.168300000001</v>
      </c>
      <c r="K154" s="89">
        <f t="shared" si="14"/>
        <v>354.32</v>
      </c>
      <c r="L154" s="89">
        <v>1</v>
      </c>
      <c r="M154" s="90">
        <f>J154/K154/L154</f>
        <v>54.214180119665841</v>
      </c>
      <c r="N154" s="89"/>
      <c r="O154" s="89"/>
      <c r="P154" s="89"/>
      <c r="Q154" s="90"/>
      <c r="R154" s="130" t="s">
        <v>388</v>
      </c>
    </row>
    <row r="155" spans="1:18" s="61" customFormat="1" x14ac:dyDescent="0.25">
      <c r="A155" s="85" t="s">
        <v>17</v>
      </c>
      <c r="B155" s="89">
        <v>15218429.952796362</v>
      </c>
      <c r="C155" s="89">
        <f t="shared" si="12"/>
        <v>184725.17</v>
      </c>
      <c r="D155" s="89">
        <v>1</v>
      </c>
      <c r="E155" s="90">
        <f t="shared" si="16"/>
        <v>82.384170780821918</v>
      </c>
      <c r="F155" s="89">
        <v>332923.49638408725</v>
      </c>
      <c r="G155" s="89">
        <f t="shared" si="13"/>
        <v>4041.1099999999997</v>
      </c>
      <c r="H155" s="89">
        <v>1</v>
      </c>
      <c r="I155" s="90">
        <f>F155/G155/H155</f>
        <v>82.384170780821918</v>
      </c>
      <c r="J155" s="89">
        <v>29190.359391060822</v>
      </c>
      <c r="K155" s="89">
        <f t="shared" si="14"/>
        <v>354.32</v>
      </c>
      <c r="L155" s="89">
        <v>1</v>
      </c>
      <c r="M155" s="90">
        <f>J155/K155/L155</f>
        <v>82.384170780821918</v>
      </c>
      <c r="N155" s="89"/>
      <c r="O155" s="117"/>
      <c r="P155" s="89"/>
      <c r="Q155" s="90"/>
      <c r="R155" s="130" t="s">
        <v>388</v>
      </c>
    </row>
    <row r="156" spans="1:18" s="61" customFormat="1" x14ac:dyDescent="0.25">
      <c r="A156" s="85" t="s">
        <v>13</v>
      </c>
      <c r="B156" s="89">
        <v>20755923.917203642</v>
      </c>
      <c r="C156" s="89">
        <f t="shared" si="12"/>
        <v>184725.17</v>
      </c>
      <c r="D156" s="89">
        <v>1</v>
      </c>
      <c r="E156" s="90">
        <f>B156/C156/D156</f>
        <v>112.36110334722464</v>
      </c>
      <c r="F156" s="89">
        <v>406552.9486159127</v>
      </c>
      <c r="G156" s="89">
        <f t="shared" si="13"/>
        <v>4041.1099999999997</v>
      </c>
      <c r="H156" s="89">
        <v>1</v>
      </c>
      <c r="I156" s="90">
        <f>F156/G156/H156</f>
        <v>100.60427670019196</v>
      </c>
      <c r="J156" s="89">
        <v>35646.112308939177</v>
      </c>
      <c r="K156" s="89">
        <f t="shared" si="14"/>
        <v>354.32</v>
      </c>
      <c r="L156" s="89">
        <v>1</v>
      </c>
      <c r="M156" s="90">
        <f>J156/K156/L156</f>
        <v>100.60429077934968</v>
      </c>
      <c r="N156" s="89"/>
      <c r="O156" s="89"/>
      <c r="P156" s="89"/>
      <c r="Q156" s="90"/>
      <c r="R156" s="130" t="s">
        <v>388</v>
      </c>
    </row>
    <row r="157" spans="1:18" s="61" customFormat="1" x14ac:dyDescent="0.25">
      <c r="A157" s="85" t="s">
        <v>18</v>
      </c>
      <c r="B157" s="89">
        <v>424630.53000000009</v>
      </c>
      <c r="C157" s="89">
        <f t="shared" si="12"/>
        <v>13887.6</v>
      </c>
      <c r="D157" s="89">
        <v>1</v>
      </c>
      <c r="E157" s="90">
        <f>B157/C157/D157</f>
        <v>30.576235634666901</v>
      </c>
      <c r="F157" s="89"/>
      <c r="G157" s="89">
        <f t="shared" si="13"/>
        <v>0</v>
      </c>
      <c r="H157" s="89"/>
      <c r="I157" s="90"/>
      <c r="J157" s="89"/>
      <c r="K157" s="89">
        <f t="shared" si="14"/>
        <v>0</v>
      </c>
      <c r="L157" s="89"/>
      <c r="M157" s="90"/>
      <c r="N157" s="89"/>
      <c r="O157" s="89"/>
      <c r="P157" s="89"/>
      <c r="Q157" s="90"/>
      <c r="R157" s="130" t="s">
        <v>389</v>
      </c>
    </row>
    <row r="158" spans="1:18" s="61" customFormat="1" x14ac:dyDescent="0.25">
      <c r="A158" s="85" t="s">
        <v>23</v>
      </c>
      <c r="B158" s="89">
        <v>2615262.2799999998</v>
      </c>
      <c r="C158" s="89">
        <f t="shared" si="12"/>
        <v>3368.6400000000003</v>
      </c>
      <c r="D158" s="89">
        <v>1</v>
      </c>
      <c r="E158" s="90">
        <f t="shared" ref="E158:E159" si="17">B158/C158/D158</f>
        <v>776.35552626579261</v>
      </c>
      <c r="F158" s="89">
        <v>19393.37</v>
      </c>
      <c r="G158" s="89">
        <f t="shared" si="13"/>
        <v>24.979999999999997</v>
      </c>
      <c r="H158" s="89">
        <v>1</v>
      </c>
      <c r="I158" s="90">
        <f>F158/G158/H158</f>
        <v>776.35588470776622</v>
      </c>
      <c r="J158" s="89">
        <v>43544.65</v>
      </c>
      <c r="K158" s="89">
        <f t="shared" si="14"/>
        <v>63.36</v>
      </c>
      <c r="L158" s="89">
        <v>1</v>
      </c>
      <c r="M158" s="90">
        <f>J158/K158/L158</f>
        <v>687.25773358585866</v>
      </c>
      <c r="N158" s="89"/>
      <c r="O158" s="89"/>
      <c r="P158" s="89"/>
      <c r="Q158" s="90"/>
      <c r="R158" s="130" t="s">
        <v>390</v>
      </c>
    </row>
    <row r="159" spans="1:18" s="61" customFormat="1" x14ac:dyDescent="0.25">
      <c r="A159" s="85" t="s">
        <v>24</v>
      </c>
      <c r="B159" s="89">
        <v>889028.15000000061</v>
      </c>
      <c r="C159" s="89">
        <f t="shared" si="12"/>
        <v>147</v>
      </c>
      <c r="D159" s="89">
        <v>1</v>
      </c>
      <c r="E159" s="90">
        <f t="shared" si="17"/>
        <v>6047.8105442176911</v>
      </c>
      <c r="F159" s="89">
        <v>30081.9</v>
      </c>
      <c r="G159" s="89">
        <f t="shared" si="13"/>
        <v>5</v>
      </c>
      <c r="H159" s="89">
        <v>1</v>
      </c>
      <c r="I159" s="90">
        <f>F159/G159/H159</f>
        <v>6016.38</v>
      </c>
      <c r="J159" s="89">
        <v>21992.25</v>
      </c>
      <c r="K159" s="89">
        <f t="shared" si="14"/>
        <v>4</v>
      </c>
      <c r="L159" s="89">
        <v>1</v>
      </c>
      <c r="M159" s="90">
        <f>J159/K159/L159</f>
        <v>5498.0625</v>
      </c>
      <c r="N159" s="89"/>
      <c r="O159" s="89"/>
      <c r="P159" s="89"/>
      <c r="Q159" s="90"/>
      <c r="R159" s="130" t="s">
        <v>390</v>
      </c>
    </row>
    <row r="160" spans="1:18" s="61" customFormat="1" x14ac:dyDescent="0.25">
      <c r="A160" s="85" t="s">
        <v>335</v>
      </c>
      <c r="B160" s="89"/>
      <c r="C160" s="89">
        <f t="shared" si="12"/>
        <v>0</v>
      </c>
      <c r="D160" s="89"/>
      <c r="E160" s="90"/>
      <c r="F160" s="89"/>
      <c r="G160" s="89">
        <f t="shared" si="13"/>
        <v>3336.3</v>
      </c>
      <c r="H160" s="89">
        <v>1</v>
      </c>
      <c r="I160" s="90">
        <f>F160/G160/H160</f>
        <v>0</v>
      </c>
      <c r="J160" s="89"/>
      <c r="K160" s="89">
        <f t="shared" si="14"/>
        <v>0</v>
      </c>
      <c r="L160" s="89"/>
      <c r="M160" s="90"/>
      <c r="N160" s="89"/>
      <c r="O160" s="89"/>
      <c r="P160" s="89"/>
      <c r="Q160" s="90"/>
      <c r="R160" s="130" t="s">
        <v>396</v>
      </c>
    </row>
    <row r="161" spans="1:18" s="61" customFormat="1" x14ac:dyDescent="0.25">
      <c r="A161" s="85" t="s">
        <v>336</v>
      </c>
      <c r="B161" s="89"/>
      <c r="C161" s="89">
        <f t="shared" si="12"/>
        <v>0</v>
      </c>
      <c r="D161" s="89"/>
      <c r="E161" s="90"/>
      <c r="F161" s="89"/>
      <c r="G161" s="89">
        <f t="shared" si="13"/>
        <v>0</v>
      </c>
      <c r="H161" s="89"/>
      <c r="I161" s="90"/>
      <c r="J161" s="89"/>
      <c r="K161" s="89">
        <f t="shared" si="14"/>
        <v>0</v>
      </c>
      <c r="L161" s="89"/>
      <c r="M161" s="90"/>
      <c r="N161" s="89"/>
      <c r="O161" s="89"/>
      <c r="P161" s="89"/>
      <c r="Q161" s="90"/>
      <c r="R161" s="130" t="s">
        <v>396</v>
      </c>
    </row>
    <row r="162" spans="1:18" s="61" customFormat="1" x14ac:dyDescent="0.25">
      <c r="A162" s="85" t="s">
        <v>337</v>
      </c>
      <c r="B162" s="89"/>
      <c r="C162" s="89">
        <f t="shared" si="12"/>
        <v>5</v>
      </c>
      <c r="D162" s="89">
        <v>1</v>
      </c>
      <c r="E162" s="90">
        <f>B162/C162/D162</f>
        <v>0</v>
      </c>
      <c r="F162" s="89"/>
      <c r="G162" s="89">
        <f t="shared" si="13"/>
        <v>0</v>
      </c>
      <c r="H162" s="89"/>
      <c r="I162" s="90"/>
      <c r="J162" s="89"/>
      <c r="K162" s="89">
        <f t="shared" si="14"/>
        <v>0</v>
      </c>
      <c r="L162" s="89"/>
      <c r="M162" s="90"/>
      <c r="N162" s="89"/>
      <c r="O162" s="89"/>
      <c r="P162" s="89"/>
      <c r="Q162" s="90"/>
      <c r="R162" s="130" t="s">
        <v>396</v>
      </c>
    </row>
    <row r="163" spans="1:18" s="61" customFormat="1" x14ac:dyDescent="0.25">
      <c r="A163" s="85" t="s">
        <v>335</v>
      </c>
      <c r="B163" s="89">
        <v>45907160</v>
      </c>
      <c r="C163" s="89">
        <v>1224029.57</v>
      </c>
      <c r="D163" s="89">
        <v>1</v>
      </c>
      <c r="E163" s="90">
        <f t="shared" ref="E163:E165" si="18">B163/C163/D163</f>
        <v>37.50494361014497</v>
      </c>
      <c r="F163" s="89">
        <v>14360000</v>
      </c>
      <c r="G163" s="89">
        <v>9940</v>
      </c>
      <c r="H163" s="89">
        <v>1</v>
      </c>
      <c r="I163" s="90">
        <f>F163/G163/H163</f>
        <v>1444.6680080482897</v>
      </c>
      <c r="J163" s="89"/>
      <c r="K163" s="89">
        <f t="shared" si="14"/>
        <v>0</v>
      </c>
      <c r="L163" s="89"/>
      <c r="M163" s="90"/>
      <c r="N163" s="89"/>
      <c r="O163" s="89"/>
      <c r="P163" s="89"/>
      <c r="Q163" s="90"/>
      <c r="R163" s="130" t="s">
        <v>391</v>
      </c>
    </row>
    <row r="164" spans="1:18" s="61" customFormat="1" x14ac:dyDescent="0.25">
      <c r="A164" s="85" t="s">
        <v>336</v>
      </c>
      <c r="B164" s="89">
        <v>48100000</v>
      </c>
      <c r="C164" s="89">
        <v>36670</v>
      </c>
      <c r="D164" s="89">
        <v>1</v>
      </c>
      <c r="E164" s="90">
        <f t="shared" si="18"/>
        <v>1311.6989364603219</v>
      </c>
      <c r="F164" s="89">
        <v>4550000</v>
      </c>
      <c r="G164" s="89">
        <v>1820</v>
      </c>
      <c r="H164" s="89">
        <v>1</v>
      </c>
      <c r="I164" s="90">
        <f>F164/G164/H164</f>
        <v>2500</v>
      </c>
      <c r="J164" s="89"/>
      <c r="K164" s="89">
        <f t="shared" si="14"/>
        <v>0</v>
      </c>
      <c r="L164" s="89"/>
      <c r="M164" s="90"/>
      <c r="N164" s="89"/>
      <c r="O164" s="89"/>
      <c r="P164" s="89"/>
      <c r="Q164" s="90"/>
      <c r="R164" s="130" t="s">
        <v>391</v>
      </c>
    </row>
    <row r="165" spans="1:18" s="61" customFormat="1" x14ac:dyDescent="0.25">
      <c r="A165" s="85" t="s">
        <v>337</v>
      </c>
      <c r="B165" s="89">
        <v>95329100</v>
      </c>
      <c r="C165" s="89">
        <v>1106</v>
      </c>
      <c r="D165" s="89">
        <v>1</v>
      </c>
      <c r="E165" s="90">
        <f t="shared" si="18"/>
        <v>86192.676311030737</v>
      </c>
      <c r="F165" s="89">
        <v>4710000</v>
      </c>
      <c r="G165" s="89">
        <v>43</v>
      </c>
      <c r="H165" s="89">
        <v>1</v>
      </c>
      <c r="I165" s="90">
        <f>F165/G165/H165</f>
        <v>109534.88372093023</v>
      </c>
      <c r="J165" s="89"/>
      <c r="K165" s="89">
        <f t="shared" si="14"/>
        <v>0</v>
      </c>
      <c r="L165" s="89"/>
      <c r="M165" s="90"/>
      <c r="N165" s="89"/>
      <c r="O165" s="89"/>
      <c r="P165" s="89"/>
      <c r="Q165" s="90"/>
      <c r="R165" s="130" t="s">
        <v>391</v>
      </c>
    </row>
    <row r="166" spans="1:18" s="61" customFormat="1" x14ac:dyDescent="0.25">
      <c r="A166" s="85" t="s">
        <v>21</v>
      </c>
      <c r="B166" s="89"/>
      <c r="C166" s="89">
        <f t="shared" si="12"/>
        <v>0</v>
      </c>
      <c r="D166" s="89"/>
      <c r="E166" s="90"/>
      <c r="F166" s="89"/>
      <c r="G166" s="89">
        <f t="shared" si="13"/>
        <v>0</v>
      </c>
      <c r="H166" s="89"/>
      <c r="I166" s="90"/>
      <c r="J166" s="89"/>
      <c r="K166" s="89">
        <f t="shared" si="14"/>
        <v>0</v>
      </c>
      <c r="L166" s="89"/>
      <c r="M166" s="90"/>
      <c r="N166" s="89"/>
      <c r="O166" s="89"/>
      <c r="P166" s="89"/>
      <c r="Q166" s="90"/>
      <c r="R166" s="130" t="s">
        <v>392</v>
      </c>
    </row>
    <row r="167" spans="1:18" s="61" customFormat="1" x14ac:dyDescent="0.25">
      <c r="A167" s="85" t="s">
        <v>26</v>
      </c>
      <c r="B167" s="89">
        <v>374746.68</v>
      </c>
      <c r="C167" s="89">
        <f t="shared" si="12"/>
        <v>25840</v>
      </c>
      <c r="D167" s="89">
        <v>12</v>
      </c>
      <c r="E167" s="90">
        <f t="shared" ref="E167:E168" si="19">B167/C167/D167</f>
        <v>1.208548374613003</v>
      </c>
      <c r="F167" s="89">
        <v>71936.570000000007</v>
      </c>
      <c r="G167" s="89">
        <f t="shared" si="13"/>
        <v>4960.26</v>
      </c>
      <c r="H167" s="89">
        <v>12</v>
      </c>
      <c r="I167" s="90">
        <f t="shared" ref="I167:I173" si="20">F167/G167/H167</f>
        <v>1.2085483758243856</v>
      </c>
      <c r="J167" s="89">
        <v>10151.81</v>
      </c>
      <c r="K167" s="89">
        <f t="shared" si="14"/>
        <v>700</v>
      </c>
      <c r="L167" s="89">
        <v>12</v>
      </c>
      <c r="M167" s="90">
        <f t="shared" ref="M167:M172" si="21">J167/K167/L167</f>
        <v>1.2085488095238095</v>
      </c>
      <c r="N167" s="89"/>
      <c r="O167" s="89"/>
      <c r="P167" s="89"/>
      <c r="Q167" s="90"/>
      <c r="R167" s="130" t="s">
        <v>390</v>
      </c>
    </row>
    <row r="168" spans="1:18" s="61" customFormat="1" x14ac:dyDescent="0.25">
      <c r="A168" s="85" t="s">
        <v>96</v>
      </c>
      <c r="B168" s="89">
        <v>311087.20000000007</v>
      </c>
      <c r="C168" s="89">
        <f t="shared" si="12"/>
        <v>13375</v>
      </c>
      <c r="D168" s="89">
        <v>12</v>
      </c>
      <c r="E168" s="90">
        <f t="shared" si="19"/>
        <v>1.93823800623053</v>
      </c>
      <c r="F168" s="89">
        <v>55548.5</v>
      </c>
      <c r="G168" s="89">
        <f t="shared" si="13"/>
        <v>2747.26</v>
      </c>
      <c r="H168" s="89">
        <v>12</v>
      </c>
      <c r="I168" s="90">
        <f t="shared" si="20"/>
        <v>1.68496671835453</v>
      </c>
      <c r="J168" s="89">
        <v>10466.49</v>
      </c>
      <c r="K168" s="89">
        <f t="shared" si="14"/>
        <v>450</v>
      </c>
      <c r="L168" s="89">
        <v>12</v>
      </c>
      <c r="M168" s="90">
        <f t="shared" si="21"/>
        <v>1.9382388888888888</v>
      </c>
      <c r="N168" s="89"/>
      <c r="O168" s="89"/>
      <c r="P168" s="89"/>
      <c r="Q168" s="90"/>
      <c r="R168" s="130" t="s">
        <v>390</v>
      </c>
    </row>
    <row r="169" spans="1:18" s="61" customFormat="1" x14ac:dyDescent="0.25">
      <c r="A169" s="85" t="s">
        <v>385</v>
      </c>
      <c r="B169" s="89">
        <v>768568.35999999964</v>
      </c>
      <c r="C169" s="89">
        <f t="shared" si="12"/>
        <v>13375</v>
      </c>
      <c r="D169" s="89">
        <v>24</v>
      </c>
      <c r="E169" s="90">
        <f>B169/C169/D169</f>
        <v>2.3942939563862917</v>
      </c>
      <c r="F169" s="89">
        <v>122619.73000000001</v>
      </c>
      <c r="G169" s="89">
        <f t="shared" si="13"/>
        <v>2747.26</v>
      </c>
      <c r="H169" s="89">
        <v>24</v>
      </c>
      <c r="I169" s="90">
        <f t="shared" si="20"/>
        <v>1.8597276619856391</v>
      </c>
      <c r="J169" s="89">
        <v>25858.38</v>
      </c>
      <c r="K169" s="89">
        <f t="shared" si="14"/>
        <v>700</v>
      </c>
      <c r="L169" s="89">
        <v>24</v>
      </c>
      <c r="M169" s="90">
        <f t="shared" si="21"/>
        <v>1.5391892857142857</v>
      </c>
      <c r="N169" s="89"/>
      <c r="O169" s="89"/>
      <c r="P169" s="89"/>
      <c r="Q169" s="90"/>
      <c r="R169" s="130" t="s">
        <v>390</v>
      </c>
    </row>
    <row r="170" spans="1:18" s="61" customFormat="1" x14ac:dyDescent="0.25">
      <c r="A170" s="85" t="s">
        <v>394</v>
      </c>
      <c r="B170" s="89">
        <v>176767.32000000004</v>
      </c>
      <c r="C170" s="89">
        <f t="shared" si="12"/>
        <v>25840</v>
      </c>
      <c r="D170" s="89">
        <v>12</v>
      </c>
      <c r="E170" s="90">
        <f>B170/C170/D170</f>
        <v>0.57007004643962855</v>
      </c>
      <c r="F170" s="89">
        <v>33932.340000000004</v>
      </c>
      <c r="G170" s="89">
        <f t="shared" si="13"/>
        <v>4960.26</v>
      </c>
      <c r="H170" s="89">
        <v>12</v>
      </c>
      <c r="I170" s="90">
        <f t="shared" si="20"/>
        <v>0.57006991568990339</v>
      </c>
      <c r="J170" s="89">
        <v>4788.59</v>
      </c>
      <c r="K170" s="89">
        <f t="shared" si="14"/>
        <v>450</v>
      </c>
      <c r="L170" s="89">
        <v>12</v>
      </c>
      <c r="M170" s="90">
        <f t="shared" si="21"/>
        <v>0.88677592592592591</v>
      </c>
      <c r="N170" s="89"/>
      <c r="O170" s="89"/>
      <c r="P170" s="89"/>
      <c r="Q170" s="90"/>
      <c r="R170" s="130" t="s">
        <v>390</v>
      </c>
    </row>
    <row r="171" spans="1:18" s="61" customFormat="1" x14ac:dyDescent="0.25">
      <c r="A171" s="85" t="s">
        <v>97</v>
      </c>
      <c r="B171" s="89">
        <v>58759.809999999976</v>
      </c>
      <c r="C171" s="89">
        <f t="shared" si="12"/>
        <v>18.939999999999998</v>
      </c>
      <c r="D171" s="89">
        <v>1</v>
      </c>
      <c r="E171" s="90">
        <f>B171/C171/D171</f>
        <v>3102.4186906018999</v>
      </c>
      <c r="F171" s="89">
        <v>5832.5300000000007</v>
      </c>
      <c r="G171" s="89">
        <f t="shared" si="13"/>
        <v>1.8800000000000001</v>
      </c>
      <c r="H171" s="89">
        <v>1</v>
      </c>
      <c r="I171" s="90">
        <f t="shared" si="20"/>
        <v>3102.4095744680853</v>
      </c>
      <c r="J171" s="89">
        <v>1551.21</v>
      </c>
      <c r="K171" s="89">
        <f t="shared" si="14"/>
        <v>0.5</v>
      </c>
      <c r="L171" s="89">
        <v>1</v>
      </c>
      <c r="M171" s="90">
        <f t="shared" si="21"/>
        <v>3102.42</v>
      </c>
      <c r="N171" s="89"/>
      <c r="O171" s="89"/>
      <c r="P171" s="89"/>
      <c r="Q171" s="90"/>
      <c r="R171" s="130" t="s">
        <v>390</v>
      </c>
    </row>
    <row r="172" spans="1:18" s="61" customFormat="1" x14ac:dyDescent="0.25">
      <c r="A172" s="85" t="s">
        <v>395</v>
      </c>
      <c r="B172" s="89">
        <v>10797.270000000008</v>
      </c>
      <c r="C172" s="89">
        <f t="shared" si="12"/>
        <v>18.939999999999998</v>
      </c>
      <c r="D172" s="89">
        <v>1</v>
      </c>
      <c r="E172" s="90">
        <f>B172/C172/D172</f>
        <v>570.07761351636793</v>
      </c>
      <c r="F172" s="89">
        <v>1071.74</v>
      </c>
      <c r="G172" s="89">
        <f t="shared" si="13"/>
        <v>1.8800000000000001</v>
      </c>
      <c r="H172" s="89">
        <v>1</v>
      </c>
      <c r="I172" s="90">
        <f t="shared" si="20"/>
        <v>570.07446808510633</v>
      </c>
      <c r="J172" s="89">
        <v>285.04000000000002</v>
      </c>
      <c r="K172" s="89">
        <f t="shared" si="14"/>
        <v>0.5</v>
      </c>
      <c r="L172" s="89">
        <v>1</v>
      </c>
      <c r="M172" s="90">
        <f t="shared" si="21"/>
        <v>570.08000000000004</v>
      </c>
      <c r="N172" s="89"/>
      <c r="O172" s="89"/>
      <c r="P172" s="89"/>
      <c r="Q172" s="90"/>
      <c r="R172" s="130" t="s">
        <v>390</v>
      </c>
    </row>
    <row r="173" spans="1:18" s="61" customFormat="1" x14ac:dyDescent="0.25">
      <c r="A173" s="85" t="s">
        <v>341</v>
      </c>
      <c r="B173" s="89"/>
      <c r="C173" s="89">
        <f t="shared" si="12"/>
        <v>0</v>
      </c>
      <c r="D173" s="89"/>
      <c r="E173" s="90"/>
      <c r="F173" s="89">
        <v>262782.96999999997</v>
      </c>
      <c r="G173" s="89">
        <f t="shared" si="13"/>
        <v>690.79</v>
      </c>
      <c r="H173" s="89">
        <v>12</v>
      </c>
      <c r="I173" s="90">
        <f t="shared" si="20"/>
        <v>31.700778577184575</v>
      </c>
      <c r="J173" s="89"/>
      <c r="K173" s="89">
        <f t="shared" si="14"/>
        <v>0</v>
      </c>
      <c r="L173" s="89"/>
      <c r="M173" s="90"/>
      <c r="N173" s="89"/>
      <c r="O173" s="89"/>
      <c r="P173" s="89"/>
      <c r="Q173" s="90"/>
      <c r="R173" s="130" t="s">
        <v>393</v>
      </c>
    </row>
    <row r="174" spans="1:18" s="61" customFormat="1" ht="25.5" x14ac:dyDescent="0.25">
      <c r="A174" s="85" t="s">
        <v>29</v>
      </c>
      <c r="B174" s="89">
        <v>135891.91</v>
      </c>
      <c r="C174" s="89">
        <f t="shared" si="12"/>
        <v>15</v>
      </c>
      <c r="D174" s="89">
        <v>4</v>
      </c>
      <c r="E174" s="90">
        <f t="shared" ref="E174:E177" si="22">B174/C174/D174</f>
        <v>2264.8651666666669</v>
      </c>
      <c r="F174" s="89"/>
      <c r="G174" s="89">
        <f t="shared" si="13"/>
        <v>0</v>
      </c>
      <c r="H174" s="89"/>
      <c r="I174" s="90"/>
      <c r="J174" s="89"/>
      <c r="K174" s="89">
        <f t="shared" si="14"/>
        <v>0</v>
      </c>
      <c r="L174" s="89"/>
      <c r="M174" s="90"/>
      <c r="N174" s="89"/>
      <c r="O174" s="89"/>
      <c r="P174" s="89"/>
      <c r="Q174" s="90"/>
      <c r="R174" s="130" t="s">
        <v>393</v>
      </c>
    </row>
    <row r="175" spans="1:18" s="61" customFormat="1" ht="25.5" x14ac:dyDescent="0.25">
      <c r="A175" s="85" t="s">
        <v>30</v>
      </c>
      <c r="B175" s="89">
        <v>135891.91</v>
      </c>
      <c r="C175" s="89">
        <f t="shared" si="12"/>
        <v>15</v>
      </c>
      <c r="D175" s="89">
        <v>2</v>
      </c>
      <c r="E175" s="90">
        <f t="shared" si="22"/>
        <v>4529.7303333333339</v>
      </c>
      <c r="F175" s="89"/>
      <c r="G175" s="89">
        <f t="shared" si="13"/>
        <v>0</v>
      </c>
      <c r="H175" s="89"/>
      <c r="I175" s="90"/>
      <c r="J175" s="89"/>
      <c r="K175" s="89">
        <f t="shared" si="14"/>
        <v>0</v>
      </c>
      <c r="L175" s="89"/>
      <c r="M175" s="90"/>
      <c r="N175" s="89"/>
      <c r="O175" s="89"/>
      <c r="P175" s="89"/>
      <c r="Q175" s="90"/>
      <c r="R175" s="130" t="s">
        <v>393</v>
      </c>
    </row>
    <row r="176" spans="1:18" s="61" customFormat="1" x14ac:dyDescent="0.25">
      <c r="A176" s="85" t="s">
        <v>397</v>
      </c>
      <c r="B176" s="89">
        <v>90000</v>
      </c>
      <c r="C176" s="89">
        <v>300</v>
      </c>
      <c r="D176" s="89">
        <v>1</v>
      </c>
      <c r="E176" s="90">
        <f t="shared" si="22"/>
        <v>300</v>
      </c>
      <c r="F176" s="89"/>
      <c r="G176" s="89">
        <f t="shared" si="13"/>
        <v>0</v>
      </c>
      <c r="H176" s="89"/>
      <c r="I176" s="90"/>
      <c r="J176" s="89"/>
      <c r="K176" s="89">
        <f t="shared" si="14"/>
        <v>0</v>
      </c>
      <c r="L176" s="89"/>
      <c r="M176" s="90"/>
      <c r="N176" s="89"/>
      <c r="O176" s="89"/>
      <c r="P176" s="89"/>
      <c r="Q176" s="90"/>
      <c r="R176" s="130" t="s">
        <v>393</v>
      </c>
    </row>
    <row r="177" spans="1:22" s="61" customFormat="1" ht="25.5" x14ac:dyDescent="0.25">
      <c r="A177" s="85" t="s">
        <v>32</v>
      </c>
      <c r="B177" s="89">
        <v>1043000.1400000006</v>
      </c>
      <c r="C177" s="89">
        <f t="shared" si="12"/>
        <v>36</v>
      </c>
      <c r="D177" s="89">
        <v>4</v>
      </c>
      <c r="E177" s="90">
        <f t="shared" si="22"/>
        <v>7243.0565277777823</v>
      </c>
      <c r="F177" s="89"/>
      <c r="G177" s="89">
        <f t="shared" si="13"/>
        <v>0</v>
      </c>
      <c r="H177" s="89"/>
      <c r="I177" s="90"/>
      <c r="J177" s="89"/>
      <c r="K177" s="89">
        <f t="shared" si="14"/>
        <v>0</v>
      </c>
      <c r="L177" s="89"/>
      <c r="M177" s="90"/>
      <c r="N177" s="89"/>
      <c r="O177" s="89"/>
      <c r="P177" s="89"/>
      <c r="Q177" s="90"/>
      <c r="R177" s="130" t="s">
        <v>393</v>
      </c>
    </row>
    <row r="178" spans="1:22" s="61" customFormat="1" x14ac:dyDescent="0.25">
      <c r="A178" s="85" t="s">
        <v>400</v>
      </c>
      <c r="B178" s="89"/>
      <c r="C178" s="89">
        <f t="shared" si="12"/>
        <v>0</v>
      </c>
      <c r="D178" s="89"/>
      <c r="E178" s="90"/>
      <c r="F178" s="89"/>
      <c r="G178" s="89">
        <f t="shared" si="13"/>
        <v>0</v>
      </c>
      <c r="H178" s="89"/>
      <c r="I178" s="90"/>
      <c r="J178" s="89"/>
      <c r="K178" s="89">
        <f t="shared" si="14"/>
        <v>0</v>
      </c>
      <c r="L178" s="89"/>
      <c r="M178" s="90"/>
      <c r="N178" s="89"/>
      <c r="O178" s="89"/>
      <c r="P178" s="89"/>
      <c r="Q178" s="90"/>
      <c r="R178" s="130" t="s">
        <v>393</v>
      </c>
    </row>
    <row r="179" spans="1:22" s="61" customFormat="1" ht="25.5" x14ac:dyDescent="0.25">
      <c r="A179" s="85" t="s">
        <v>33</v>
      </c>
      <c r="B179" s="89">
        <v>253111.0799999999</v>
      </c>
      <c r="C179" s="89">
        <f t="shared" si="12"/>
        <v>36</v>
      </c>
      <c r="D179" s="89">
        <v>1</v>
      </c>
      <c r="E179" s="90">
        <f t="shared" ref="E179" si="23">B179/C179/D179</f>
        <v>7030.863333333331</v>
      </c>
      <c r="F179" s="89">
        <v>34204.199999999997</v>
      </c>
      <c r="G179" s="89">
        <f t="shared" si="13"/>
        <v>5</v>
      </c>
      <c r="H179" s="89">
        <v>1</v>
      </c>
      <c r="I179" s="90">
        <f t="shared" ref="I179:I192" si="24">F179/G179/H179</f>
        <v>6840.8399999999992</v>
      </c>
      <c r="J179" s="89"/>
      <c r="K179" s="89">
        <f t="shared" si="14"/>
        <v>0</v>
      </c>
      <c r="L179" s="89"/>
      <c r="M179" s="90"/>
      <c r="N179" s="89"/>
      <c r="O179" s="89"/>
      <c r="P179" s="89"/>
      <c r="Q179" s="90"/>
      <c r="R179" s="130" t="s">
        <v>393</v>
      </c>
    </row>
    <row r="180" spans="1:22" s="61" customFormat="1" x14ac:dyDescent="0.25">
      <c r="A180" s="85" t="s">
        <v>398</v>
      </c>
      <c r="B180" s="89">
        <v>426070.16999999969</v>
      </c>
      <c r="C180" s="89">
        <f t="shared" si="12"/>
        <v>35</v>
      </c>
      <c r="D180" s="89">
        <v>1</v>
      </c>
      <c r="E180" s="90">
        <f>B180/C180/D180</f>
        <v>12173.433428571419</v>
      </c>
      <c r="F180" s="89">
        <v>28503.5</v>
      </c>
      <c r="G180" s="89">
        <f t="shared" si="13"/>
        <v>5</v>
      </c>
      <c r="H180" s="89">
        <v>1</v>
      </c>
      <c r="I180" s="90">
        <f t="shared" si="24"/>
        <v>5700.7</v>
      </c>
      <c r="J180" s="89"/>
      <c r="K180" s="89">
        <f t="shared" si="14"/>
        <v>0</v>
      </c>
      <c r="L180" s="89"/>
      <c r="M180" s="90"/>
      <c r="N180" s="89"/>
      <c r="O180" s="89"/>
      <c r="P180" s="89"/>
      <c r="Q180" s="90"/>
      <c r="R180" s="130" t="s">
        <v>393</v>
      </c>
    </row>
    <row r="181" spans="1:22" s="61" customFormat="1" x14ac:dyDescent="0.25">
      <c r="A181" s="85" t="s">
        <v>401</v>
      </c>
      <c r="B181" s="89">
        <v>399049.00000000017</v>
      </c>
      <c r="C181" s="89">
        <v>35</v>
      </c>
      <c r="D181" s="89">
        <v>2</v>
      </c>
      <c r="E181" s="90">
        <f t="shared" ref="E181:E187" si="25">B181/C181/D181</f>
        <v>5700.7000000000025</v>
      </c>
      <c r="F181" s="89">
        <v>28503.5</v>
      </c>
      <c r="G181" s="89">
        <f t="shared" si="13"/>
        <v>5</v>
      </c>
      <c r="H181" s="89">
        <v>2</v>
      </c>
      <c r="I181" s="90">
        <f t="shared" si="24"/>
        <v>2850.35</v>
      </c>
      <c r="J181" s="89"/>
      <c r="K181" s="89">
        <f t="shared" si="14"/>
        <v>0</v>
      </c>
      <c r="L181" s="89"/>
      <c r="M181" s="90"/>
      <c r="N181" s="89"/>
      <c r="O181" s="89"/>
      <c r="P181" s="89"/>
      <c r="Q181" s="90"/>
      <c r="R181" s="130" t="s">
        <v>393</v>
      </c>
    </row>
    <row r="182" spans="1:22" s="61" customFormat="1" x14ac:dyDescent="0.25">
      <c r="A182" s="85" t="s">
        <v>221</v>
      </c>
      <c r="B182" s="89">
        <v>1420705.6300000001</v>
      </c>
      <c r="C182" s="89">
        <v>18</v>
      </c>
      <c r="D182" s="89">
        <v>12</v>
      </c>
      <c r="E182" s="90">
        <f t="shared" si="25"/>
        <v>6577.3408796296308</v>
      </c>
      <c r="F182" s="89">
        <v>266792.76</v>
      </c>
      <c r="G182" s="89">
        <f t="shared" si="13"/>
        <v>5</v>
      </c>
      <c r="H182" s="89">
        <v>12</v>
      </c>
      <c r="I182" s="90">
        <f t="shared" si="24"/>
        <v>4446.5460000000003</v>
      </c>
      <c r="J182" s="89"/>
      <c r="K182" s="89">
        <f t="shared" si="14"/>
        <v>0</v>
      </c>
      <c r="L182" s="89"/>
      <c r="M182" s="90"/>
      <c r="N182" s="89"/>
      <c r="O182" s="89"/>
      <c r="P182" s="89"/>
      <c r="Q182" s="90"/>
      <c r="R182" s="130" t="s">
        <v>393</v>
      </c>
    </row>
    <row r="183" spans="1:22" s="61" customFormat="1" ht="25.5" x14ac:dyDescent="0.25">
      <c r="A183" s="85" t="s">
        <v>34</v>
      </c>
      <c r="B183" s="89">
        <v>15690</v>
      </c>
      <c r="C183" s="89">
        <v>2</v>
      </c>
      <c r="D183" s="89">
        <v>1</v>
      </c>
      <c r="E183" s="90">
        <f t="shared" si="25"/>
        <v>7845</v>
      </c>
      <c r="F183" s="89">
        <v>15690</v>
      </c>
      <c r="G183" s="89">
        <f t="shared" si="13"/>
        <v>2</v>
      </c>
      <c r="H183" s="89">
        <v>1</v>
      </c>
      <c r="I183" s="90">
        <f t="shared" si="24"/>
        <v>7845</v>
      </c>
      <c r="J183" s="89"/>
      <c r="K183" s="89">
        <f t="shared" si="14"/>
        <v>0</v>
      </c>
      <c r="L183" s="89"/>
      <c r="M183" s="90"/>
      <c r="N183" s="89"/>
      <c r="O183" s="89"/>
      <c r="P183" s="89"/>
      <c r="Q183" s="90"/>
      <c r="R183" s="130" t="s">
        <v>393</v>
      </c>
    </row>
    <row r="184" spans="1:22" s="61" customFormat="1" ht="25.5" x14ac:dyDescent="0.25">
      <c r="A184" s="85" t="s">
        <v>222</v>
      </c>
      <c r="B184" s="89">
        <v>219285.53</v>
      </c>
      <c r="C184" s="89">
        <v>5</v>
      </c>
      <c r="D184" s="89">
        <v>1</v>
      </c>
      <c r="E184" s="90">
        <f t="shared" si="25"/>
        <v>43857.106</v>
      </c>
      <c r="F184" s="89">
        <v>27196</v>
      </c>
      <c r="G184" s="89">
        <f t="shared" si="13"/>
        <v>2</v>
      </c>
      <c r="H184" s="89">
        <v>1</v>
      </c>
      <c r="I184" s="90">
        <f t="shared" si="24"/>
        <v>13598</v>
      </c>
      <c r="J184" s="89"/>
      <c r="K184" s="89">
        <f t="shared" si="14"/>
        <v>0</v>
      </c>
      <c r="L184" s="89"/>
      <c r="M184" s="90"/>
      <c r="N184" s="89"/>
      <c r="O184" s="89"/>
      <c r="P184" s="89"/>
      <c r="Q184" s="90"/>
      <c r="R184" s="130" t="s">
        <v>393</v>
      </c>
    </row>
    <row r="185" spans="1:22" s="61" customFormat="1" x14ac:dyDescent="0.25">
      <c r="A185" s="85" t="s">
        <v>35</v>
      </c>
      <c r="B185" s="89">
        <v>925000</v>
      </c>
      <c r="C185" s="89">
        <f t="shared" si="12"/>
        <v>35</v>
      </c>
      <c r="D185" s="89">
        <v>1</v>
      </c>
      <c r="E185" s="90">
        <f t="shared" si="25"/>
        <v>26428.571428571428</v>
      </c>
      <c r="F185" s="89">
        <v>125000</v>
      </c>
      <c r="G185" s="89">
        <f t="shared" si="13"/>
        <v>2</v>
      </c>
      <c r="H185" s="89">
        <v>1</v>
      </c>
      <c r="I185" s="90">
        <f t="shared" si="24"/>
        <v>62500</v>
      </c>
      <c r="J185" s="89"/>
      <c r="K185" s="89">
        <f t="shared" si="14"/>
        <v>0</v>
      </c>
      <c r="L185" s="89"/>
      <c r="M185" s="90"/>
      <c r="N185" s="89"/>
      <c r="O185" s="89"/>
      <c r="P185" s="89"/>
      <c r="Q185" s="90"/>
      <c r="R185" s="130" t="s">
        <v>393</v>
      </c>
    </row>
    <row r="186" spans="1:22" s="61" customFormat="1" ht="25.5" x14ac:dyDescent="0.25">
      <c r="A186" s="85" t="s">
        <v>399</v>
      </c>
      <c r="B186" s="89">
        <v>1137803.29</v>
      </c>
      <c r="C186" s="89">
        <f t="shared" si="12"/>
        <v>35</v>
      </c>
      <c r="D186" s="89">
        <v>10</v>
      </c>
      <c r="E186" s="90">
        <f t="shared" si="25"/>
        <v>3250.866542857143</v>
      </c>
      <c r="F186" s="89">
        <v>100902.38999999998</v>
      </c>
      <c r="G186" s="89">
        <f t="shared" si="13"/>
        <v>4</v>
      </c>
      <c r="H186" s="89">
        <v>10</v>
      </c>
      <c r="I186" s="90">
        <f t="shared" si="24"/>
        <v>2522.5597499999994</v>
      </c>
      <c r="J186" s="89"/>
      <c r="K186" s="89">
        <f t="shared" si="14"/>
        <v>0</v>
      </c>
      <c r="L186" s="89"/>
      <c r="M186" s="90"/>
      <c r="N186" s="89"/>
      <c r="O186" s="89"/>
      <c r="P186" s="89"/>
      <c r="Q186" s="90"/>
      <c r="R186" s="130" t="s">
        <v>393</v>
      </c>
    </row>
    <row r="187" spans="1:22" s="61" customFormat="1" ht="25.5" x14ac:dyDescent="0.25">
      <c r="A187" s="85" t="s">
        <v>36</v>
      </c>
      <c r="B187" s="89">
        <v>1083589.1899999995</v>
      </c>
      <c r="C187" s="89">
        <f t="shared" si="12"/>
        <v>36</v>
      </c>
      <c r="D187" s="89">
        <v>12</v>
      </c>
      <c r="E187" s="90">
        <f t="shared" si="25"/>
        <v>2508.3083101851839</v>
      </c>
      <c r="F187" s="89">
        <v>220915.20000000001</v>
      </c>
      <c r="G187" s="89">
        <f t="shared" si="13"/>
        <v>8</v>
      </c>
      <c r="H187" s="89">
        <v>12</v>
      </c>
      <c r="I187" s="90">
        <f t="shared" si="24"/>
        <v>2301.2000000000003</v>
      </c>
      <c r="J187" s="89"/>
      <c r="K187" s="89">
        <f t="shared" si="14"/>
        <v>0</v>
      </c>
      <c r="L187" s="89"/>
      <c r="M187" s="90"/>
      <c r="N187" s="89"/>
      <c r="O187" s="89"/>
      <c r="P187" s="89"/>
      <c r="Q187" s="90"/>
      <c r="R187" s="130" t="s">
        <v>393</v>
      </c>
    </row>
    <row r="188" spans="1:22" s="61" customFormat="1" x14ac:dyDescent="0.25">
      <c r="A188" s="85" t="s">
        <v>99</v>
      </c>
      <c r="B188" s="89">
        <v>3750000</v>
      </c>
      <c r="C188" s="89">
        <v>250</v>
      </c>
      <c r="D188" s="89">
        <v>1</v>
      </c>
      <c r="E188" s="90">
        <f>B188/C188/D188</f>
        <v>15000</v>
      </c>
      <c r="F188" s="89">
        <v>375000</v>
      </c>
      <c r="G188" s="89">
        <v>25</v>
      </c>
      <c r="H188" s="89">
        <v>1</v>
      </c>
      <c r="I188" s="90">
        <f t="shared" si="24"/>
        <v>15000</v>
      </c>
      <c r="J188" s="89"/>
      <c r="K188" s="89">
        <f t="shared" si="14"/>
        <v>0</v>
      </c>
      <c r="L188" s="89"/>
      <c r="M188" s="90"/>
      <c r="N188" s="89"/>
      <c r="O188" s="89"/>
      <c r="P188" s="89"/>
      <c r="Q188" s="90"/>
      <c r="R188" s="130" t="s">
        <v>393</v>
      </c>
    </row>
    <row r="189" spans="1:22" s="61" customFormat="1" x14ac:dyDescent="0.25">
      <c r="A189" s="85" t="s">
        <v>27</v>
      </c>
      <c r="B189" s="89">
        <v>1520884</v>
      </c>
      <c r="C189" s="89">
        <v>3635</v>
      </c>
      <c r="D189" s="89">
        <v>1</v>
      </c>
      <c r="E189" s="90">
        <f t="shared" ref="E189:E190" si="26">B189/C189/D189</f>
        <v>418.4</v>
      </c>
      <c r="F189" s="89">
        <v>60000</v>
      </c>
      <c r="G189" s="89">
        <v>150</v>
      </c>
      <c r="H189" s="89">
        <v>1</v>
      </c>
      <c r="I189" s="90">
        <f t="shared" si="24"/>
        <v>400</v>
      </c>
      <c r="J189" s="89"/>
      <c r="K189" s="89">
        <f t="shared" si="14"/>
        <v>0</v>
      </c>
      <c r="L189" s="89"/>
      <c r="M189" s="90"/>
      <c r="N189" s="89"/>
      <c r="O189" s="89"/>
      <c r="P189" s="89"/>
      <c r="Q189" s="90"/>
      <c r="R189" s="130" t="s">
        <v>393</v>
      </c>
    </row>
    <row r="190" spans="1:22" s="61" customFormat="1" x14ac:dyDescent="0.25">
      <c r="A190" s="85" t="s">
        <v>104</v>
      </c>
      <c r="B190" s="89">
        <v>369405.36000000016</v>
      </c>
      <c r="C190" s="89">
        <f t="shared" si="12"/>
        <v>36</v>
      </c>
      <c r="D190" s="89">
        <v>1</v>
      </c>
      <c r="E190" s="90">
        <f t="shared" si="26"/>
        <v>10261.260000000004</v>
      </c>
      <c r="F190" s="89">
        <v>47070</v>
      </c>
      <c r="G190" s="89">
        <f t="shared" si="13"/>
        <v>5</v>
      </c>
      <c r="H190" s="89">
        <v>1</v>
      </c>
      <c r="I190" s="90">
        <f t="shared" si="24"/>
        <v>9414</v>
      </c>
      <c r="J190" s="89"/>
      <c r="K190" s="89">
        <f t="shared" si="14"/>
        <v>0</v>
      </c>
      <c r="L190" s="89"/>
      <c r="M190" s="90"/>
      <c r="N190" s="89"/>
      <c r="O190" s="89"/>
      <c r="P190" s="89"/>
      <c r="Q190" s="90"/>
      <c r="R190" s="130" t="s">
        <v>393</v>
      </c>
    </row>
    <row r="191" spans="1:22" s="61" customFormat="1" x14ac:dyDescent="0.25">
      <c r="A191" s="85" t="s">
        <v>250</v>
      </c>
      <c r="B191" s="89"/>
      <c r="C191" s="89">
        <f t="shared" si="12"/>
        <v>0</v>
      </c>
      <c r="D191" s="89"/>
      <c r="E191" s="90"/>
      <c r="F191" s="89">
        <v>22802.800000000003</v>
      </c>
      <c r="G191" s="89">
        <f t="shared" si="13"/>
        <v>5</v>
      </c>
      <c r="H191" s="89">
        <v>1</v>
      </c>
      <c r="I191" s="90">
        <f t="shared" si="24"/>
        <v>4560.5600000000004</v>
      </c>
      <c r="J191" s="89">
        <v>4560.5600000000004</v>
      </c>
      <c r="K191" s="89">
        <f t="shared" si="14"/>
        <v>1</v>
      </c>
      <c r="L191" s="89">
        <v>12</v>
      </c>
      <c r="M191" s="90">
        <f t="shared" ref="M191:M194" si="27">J191/K191/L191</f>
        <v>380.04666666666668</v>
      </c>
      <c r="N191" s="89"/>
      <c r="O191" s="89"/>
      <c r="P191" s="89"/>
      <c r="Q191" s="90"/>
      <c r="R191" s="130" t="s">
        <v>393</v>
      </c>
      <c r="T191" s="71">
        <f>SUM(F173:F191)</f>
        <v>1615363.32</v>
      </c>
      <c r="U191" s="61">
        <v>1615363.32</v>
      </c>
      <c r="V191" s="71">
        <f>U191-T191</f>
        <v>0</v>
      </c>
    </row>
    <row r="192" spans="1:22" s="61" customFormat="1" x14ac:dyDescent="0.25">
      <c r="A192" s="85" t="s">
        <v>37</v>
      </c>
      <c r="B192" s="89">
        <v>145770.6</v>
      </c>
      <c r="C192" s="89">
        <f t="shared" si="12"/>
        <v>4</v>
      </c>
      <c r="D192" s="89">
        <v>1</v>
      </c>
      <c r="E192" s="90">
        <f t="shared" ref="E192" si="28">B192/C192/D192</f>
        <v>36442.65</v>
      </c>
      <c r="F192" s="89">
        <v>24426.36</v>
      </c>
      <c r="G192" s="89">
        <f t="shared" si="13"/>
        <v>1</v>
      </c>
      <c r="H192" s="89">
        <v>1</v>
      </c>
      <c r="I192" s="90">
        <f t="shared" si="24"/>
        <v>24426.36</v>
      </c>
      <c r="J192" s="89">
        <v>24426.36</v>
      </c>
      <c r="K192" s="89">
        <f t="shared" si="14"/>
        <v>1</v>
      </c>
      <c r="L192" s="89">
        <v>1</v>
      </c>
      <c r="M192" s="90">
        <f t="shared" si="27"/>
        <v>24426.36</v>
      </c>
      <c r="N192" s="89"/>
      <c r="O192" s="89"/>
      <c r="P192" s="89"/>
      <c r="Q192" s="90"/>
      <c r="R192" s="130" t="s">
        <v>403</v>
      </c>
    </row>
    <row r="193" spans="1:18" s="61" customFormat="1" x14ac:dyDescent="0.25">
      <c r="A193" s="85" t="s">
        <v>262</v>
      </c>
      <c r="B193" s="89"/>
      <c r="C193" s="89">
        <f t="shared" si="12"/>
        <v>0</v>
      </c>
      <c r="D193" s="89"/>
      <c r="E193" s="90"/>
      <c r="F193" s="89"/>
      <c r="G193" s="89">
        <f t="shared" si="13"/>
        <v>0</v>
      </c>
      <c r="H193" s="89"/>
      <c r="I193" s="90"/>
      <c r="J193" s="89">
        <v>103182.67</v>
      </c>
      <c r="K193" s="89">
        <f t="shared" si="14"/>
        <v>1</v>
      </c>
      <c r="L193" s="89">
        <v>4</v>
      </c>
      <c r="M193" s="90">
        <f t="shared" si="27"/>
        <v>25795.6675</v>
      </c>
      <c r="N193" s="89"/>
      <c r="O193" s="89"/>
      <c r="P193" s="89"/>
      <c r="Q193" s="90"/>
      <c r="R193" s="130" t="s">
        <v>403</v>
      </c>
    </row>
    <row r="194" spans="1:18" s="61" customFormat="1" x14ac:dyDescent="0.25">
      <c r="A194" s="85" t="s">
        <v>255</v>
      </c>
      <c r="B194" s="89"/>
      <c r="C194" s="89">
        <f t="shared" si="12"/>
        <v>0</v>
      </c>
      <c r="D194" s="89"/>
      <c r="E194" s="90"/>
      <c r="F194" s="89">
        <v>314678.65000000002</v>
      </c>
      <c r="G194" s="89">
        <f t="shared" si="13"/>
        <v>345</v>
      </c>
      <c r="H194" s="89">
        <v>2</v>
      </c>
      <c r="I194" s="90">
        <f>F194/G194/H194</f>
        <v>456.05601449275366</v>
      </c>
      <c r="J194" s="89">
        <v>43553.35</v>
      </c>
      <c r="K194" s="89">
        <f t="shared" si="14"/>
        <v>56</v>
      </c>
      <c r="L194" s="89">
        <v>1</v>
      </c>
      <c r="M194" s="90">
        <f t="shared" si="27"/>
        <v>777.7383928571428</v>
      </c>
      <c r="N194" s="89"/>
      <c r="O194" s="89"/>
      <c r="P194" s="89"/>
      <c r="Q194" s="90"/>
      <c r="R194" s="130" t="s">
        <v>403</v>
      </c>
    </row>
    <row r="195" spans="1:18" s="61" customFormat="1" x14ac:dyDescent="0.25">
      <c r="A195" s="85" t="s">
        <v>38</v>
      </c>
      <c r="B195" s="89">
        <v>2121371.9900000002</v>
      </c>
      <c r="C195" s="89">
        <f t="shared" si="12"/>
        <v>36</v>
      </c>
      <c r="D195" s="89">
        <v>12</v>
      </c>
      <c r="E195" s="90">
        <f t="shared" ref="E195" si="29">B195/C195/D195</f>
        <v>4910.5833101851858</v>
      </c>
      <c r="F195" s="89">
        <v>471415.97</v>
      </c>
      <c r="G195" s="89">
        <f t="shared" si="13"/>
        <v>8</v>
      </c>
      <c r="H195" s="89">
        <v>12</v>
      </c>
      <c r="I195" s="90">
        <f>F195/G195/H195</f>
        <v>4910.5830208333327</v>
      </c>
      <c r="J195" s="89"/>
      <c r="K195" s="89">
        <f t="shared" si="14"/>
        <v>0</v>
      </c>
      <c r="L195" s="89"/>
      <c r="M195" s="90"/>
      <c r="N195" s="89"/>
      <c r="O195" s="89"/>
      <c r="P195" s="89"/>
      <c r="Q195" s="90"/>
      <c r="R195" s="130" t="s">
        <v>80</v>
      </c>
    </row>
    <row r="196" spans="1:18" s="61" customFormat="1" x14ac:dyDescent="0.25">
      <c r="A196" s="85" t="s">
        <v>373</v>
      </c>
      <c r="B196" s="89">
        <v>864000</v>
      </c>
      <c r="C196" s="89">
        <f t="shared" si="12"/>
        <v>36</v>
      </c>
      <c r="D196" s="89">
        <v>1</v>
      </c>
      <c r="E196" s="90">
        <f>B196/C196/D196</f>
        <v>24000</v>
      </c>
      <c r="F196" s="89">
        <v>120000</v>
      </c>
      <c r="G196" s="89">
        <f t="shared" si="13"/>
        <v>5</v>
      </c>
      <c r="H196" s="89">
        <v>1</v>
      </c>
      <c r="I196" s="90">
        <f>F196/G196/H196</f>
        <v>24000</v>
      </c>
      <c r="J196" s="89">
        <v>24000</v>
      </c>
      <c r="K196" s="89">
        <f t="shared" si="14"/>
        <v>1</v>
      </c>
      <c r="L196" s="89">
        <v>1</v>
      </c>
      <c r="M196" s="90">
        <f t="shared" ref="M196:M199" si="30">J196/K196/L196</f>
        <v>24000</v>
      </c>
      <c r="N196" s="89"/>
      <c r="O196" s="89"/>
      <c r="P196" s="89"/>
      <c r="Q196" s="90"/>
      <c r="R196" s="130" t="s">
        <v>80</v>
      </c>
    </row>
    <row r="197" spans="1:18" s="61" customFormat="1" x14ac:dyDescent="0.25">
      <c r="A197" s="85" t="s">
        <v>342</v>
      </c>
      <c r="B197" s="89"/>
      <c r="C197" s="89">
        <f t="shared" si="12"/>
        <v>0</v>
      </c>
      <c r="D197" s="89"/>
      <c r="E197" s="90"/>
      <c r="F197" s="89"/>
      <c r="G197" s="89">
        <f t="shared" si="13"/>
        <v>0</v>
      </c>
      <c r="H197" s="89"/>
      <c r="I197" s="90"/>
      <c r="J197" s="89">
        <v>6840.84</v>
      </c>
      <c r="K197" s="89">
        <f t="shared" si="14"/>
        <v>1</v>
      </c>
      <c r="L197" s="89">
        <v>12</v>
      </c>
      <c r="M197" s="90">
        <f t="shared" si="30"/>
        <v>570.07000000000005</v>
      </c>
      <c r="N197" s="89"/>
      <c r="O197" s="89"/>
      <c r="P197" s="89"/>
      <c r="Q197" s="90"/>
      <c r="R197" s="130" t="s">
        <v>80</v>
      </c>
    </row>
    <row r="198" spans="1:18" s="61" customFormat="1" x14ac:dyDescent="0.25">
      <c r="A198" s="85" t="s">
        <v>343</v>
      </c>
      <c r="B198" s="89"/>
      <c r="C198" s="89">
        <f t="shared" si="12"/>
        <v>0</v>
      </c>
      <c r="D198" s="89"/>
      <c r="E198" s="90"/>
      <c r="F198" s="89"/>
      <c r="G198" s="89">
        <f t="shared" si="13"/>
        <v>0</v>
      </c>
      <c r="H198" s="89"/>
      <c r="I198" s="90"/>
      <c r="J198" s="89">
        <v>123135.12</v>
      </c>
      <c r="K198" s="89">
        <f t="shared" si="14"/>
        <v>20</v>
      </c>
      <c r="L198" s="89">
        <v>12</v>
      </c>
      <c r="M198" s="90">
        <f t="shared" si="30"/>
        <v>513.06299999999999</v>
      </c>
      <c r="N198" s="89"/>
      <c r="O198" s="89"/>
      <c r="P198" s="89"/>
      <c r="Q198" s="90"/>
      <c r="R198" s="130" t="s">
        <v>80</v>
      </c>
    </row>
    <row r="199" spans="1:18" s="61" customFormat="1" x14ac:dyDescent="0.25">
      <c r="A199" s="85" t="s">
        <v>344</v>
      </c>
      <c r="B199" s="89"/>
      <c r="C199" s="89">
        <f t="shared" si="12"/>
        <v>0</v>
      </c>
      <c r="D199" s="89"/>
      <c r="E199" s="90"/>
      <c r="F199" s="89"/>
      <c r="G199" s="89">
        <f t="shared" si="13"/>
        <v>0</v>
      </c>
      <c r="H199" s="89"/>
      <c r="I199" s="90"/>
      <c r="J199" s="89">
        <v>91923.790000000008</v>
      </c>
      <c r="K199" s="89">
        <f t="shared" si="14"/>
        <v>5</v>
      </c>
      <c r="L199" s="89">
        <v>1</v>
      </c>
      <c r="M199" s="90">
        <f t="shared" si="30"/>
        <v>18384.758000000002</v>
      </c>
      <c r="N199" s="89"/>
      <c r="O199" s="89"/>
      <c r="P199" s="89"/>
      <c r="Q199" s="90"/>
      <c r="R199" s="130" t="s">
        <v>80</v>
      </c>
    </row>
    <row r="200" spans="1:18" s="61" customFormat="1" ht="25.5" x14ac:dyDescent="0.25">
      <c r="A200" s="85" t="s">
        <v>229</v>
      </c>
      <c r="B200" s="89">
        <v>409424.32</v>
      </c>
      <c r="C200" s="89">
        <v>2394</v>
      </c>
      <c r="D200" s="89">
        <v>1</v>
      </c>
      <c r="E200" s="90">
        <f t="shared" ref="E200:E205" si="31">B200/C200/D200</f>
        <v>171.02101921470341</v>
      </c>
      <c r="F200" s="89"/>
      <c r="G200" s="89">
        <f t="shared" si="13"/>
        <v>0</v>
      </c>
      <c r="H200" s="89"/>
      <c r="I200" s="90"/>
      <c r="J200" s="89"/>
      <c r="K200" s="89">
        <f t="shared" si="14"/>
        <v>0</v>
      </c>
      <c r="L200" s="89"/>
      <c r="M200" s="90"/>
      <c r="N200" s="89"/>
      <c r="O200" s="89"/>
      <c r="P200" s="89"/>
      <c r="Q200" s="90"/>
      <c r="R200" s="130" t="s">
        <v>80</v>
      </c>
    </row>
    <row r="201" spans="1:18" s="61" customFormat="1" ht="25.5" x14ac:dyDescent="0.25">
      <c r="A201" s="85" t="s">
        <v>405</v>
      </c>
      <c r="B201" s="89">
        <v>451495.43999999977</v>
      </c>
      <c r="C201" s="89">
        <f t="shared" si="12"/>
        <v>36</v>
      </c>
      <c r="D201" s="89">
        <v>1</v>
      </c>
      <c r="E201" s="90">
        <f t="shared" si="31"/>
        <v>12541.539999999994</v>
      </c>
      <c r="F201" s="89"/>
      <c r="G201" s="89">
        <f t="shared" si="13"/>
        <v>0</v>
      </c>
      <c r="H201" s="89"/>
      <c r="I201" s="90"/>
      <c r="J201" s="89"/>
      <c r="K201" s="89">
        <f t="shared" si="14"/>
        <v>0</v>
      </c>
      <c r="L201" s="89"/>
      <c r="M201" s="90"/>
      <c r="N201" s="89"/>
      <c r="O201" s="89"/>
      <c r="P201" s="89"/>
      <c r="Q201" s="90"/>
      <c r="R201" s="130" t="s">
        <v>80</v>
      </c>
    </row>
    <row r="202" spans="1:18" s="61" customFormat="1" x14ac:dyDescent="0.25">
      <c r="A202" s="85" t="s">
        <v>39</v>
      </c>
      <c r="B202" s="89">
        <v>94175.560000000027</v>
      </c>
      <c r="C202" s="89">
        <v>118</v>
      </c>
      <c r="D202" s="89">
        <v>1</v>
      </c>
      <c r="E202" s="90">
        <f t="shared" si="31"/>
        <v>798.09796610169519</v>
      </c>
      <c r="F202" s="89">
        <v>7182.87</v>
      </c>
      <c r="G202" s="89">
        <f t="shared" si="13"/>
        <v>9</v>
      </c>
      <c r="H202" s="89">
        <v>1</v>
      </c>
      <c r="I202" s="90">
        <f>F202/G202/H202</f>
        <v>798.09666666666669</v>
      </c>
      <c r="J202" s="89">
        <v>798.1</v>
      </c>
      <c r="K202" s="89">
        <f t="shared" si="14"/>
        <v>1</v>
      </c>
      <c r="L202" s="89">
        <v>1</v>
      </c>
      <c r="M202" s="90">
        <f t="shared" ref="M202:M206" si="32">J202/K202/L202</f>
        <v>798.1</v>
      </c>
      <c r="N202" s="89"/>
      <c r="O202" s="89"/>
      <c r="P202" s="89"/>
      <c r="Q202" s="90"/>
      <c r="R202" s="130" t="s">
        <v>80</v>
      </c>
    </row>
    <row r="203" spans="1:18" s="61" customFormat="1" x14ac:dyDescent="0.25">
      <c r="A203" s="85" t="s">
        <v>40</v>
      </c>
      <c r="B203" s="89">
        <v>164180.16000000006</v>
      </c>
      <c r="C203" s="89">
        <v>96</v>
      </c>
      <c r="D203" s="89">
        <v>1</v>
      </c>
      <c r="E203" s="90">
        <f t="shared" si="31"/>
        <v>1710.2100000000007</v>
      </c>
      <c r="F203" s="89">
        <v>22232.730000000003</v>
      </c>
      <c r="G203" s="89">
        <f t="shared" si="13"/>
        <v>13</v>
      </c>
      <c r="H203" s="89">
        <v>1</v>
      </c>
      <c r="I203" s="90">
        <f>F203/G203/H203</f>
        <v>1710.2100000000003</v>
      </c>
      <c r="J203" s="89">
        <v>1710.21</v>
      </c>
      <c r="K203" s="89">
        <f t="shared" si="14"/>
        <v>1</v>
      </c>
      <c r="L203" s="89">
        <v>1</v>
      </c>
      <c r="M203" s="90">
        <f t="shared" si="32"/>
        <v>1710.21</v>
      </c>
      <c r="N203" s="89"/>
      <c r="O203" s="89"/>
      <c r="P203" s="89"/>
      <c r="Q203" s="90"/>
      <c r="R203" s="130" t="s">
        <v>80</v>
      </c>
    </row>
    <row r="204" spans="1:18" s="61" customFormat="1" x14ac:dyDescent="0.25">
      <c r="A204" s="85" t="s">
        <v>100</v>
      </c>
      <c r="B204" s="89">
        <v>295524.3</v>
      </c>
      <c r="C204" s="89">
        <v>81</v>
      </c>
      <c r="D204" s="89">
        <v>1</v>
      </c>
      <c r="E204" s="90">
        <f t="shared" si="31"/>
        <v>3648.448148148148</v>
      </c>
      <c r="F204" s="89">
        <v>25539.13</v>
      </c>
      <c r="G204" s="89">
        <f t="shared" si="13"/>
        <v>7</v>
      </c>
      <c r="H204" s="89">
        <v>1</v>
      </c>
      <c r="I204" s="90">
        <f>F204/G204/H204</f>
        <v>3648.4471428571428</v>
      </c>
      <c r="J204" s="89">
        <v>3648.4500000000003</v>
      </c>
      <c r="K204" s="89">
        <f t="shared" si="14"/>
        <v>1</v>
      </c>
      <c r="L204" s="89">
        <v>1</v>
      </c>
      <c r="M204" s="90">
        <f t="shared" si="32"/>
        <v>3648.4500000000003</v>
      </c>
      <c r="N204" s="89"/>
      <c r="O204" s="89"/>
      <c r="P204" s="89"/>
      <c r="Q204" s="90"/>
      <c r="R204" s="130" t="s">
        <v>80</v>
      </c>
    </row>
    <row r="205" spans="1:18" s="61" customFormat="1" ht="51" x14ac:dyDescent="0.25">
      <c r="A205" s="85" t="s">
        <v>235</v>
      </c>
      <c r="B205" s="89">
        <v>246270.2399999999</v>
      </c>
      <c r="C205" s="89">
        <f t="shared" si="12"/>
        <v>36</v>
      </c>
      <c r="D205" s="89">
        <v>1</v>
      </c>
      <c r="E205" s="90">
        <f t="shared" si="31"/>
        <v>6840.8399999999974</v>
      </c>
      <c r="F205" s="89">
        <v>34204.199999999997</v>
      </c>
      <c r="G205" s="89">
        <f t="shared" si="13"/>
        <v>5</v>
      </c>
      <c r="H205" s="89">
        <v>1</v>
      </c>
      <c r="I205" s="90">
        <f>F205/G205/H205</f>
        <v>6840.8399999999992</v>
      </c>
      <c r="J205" s="89">
        <v>6840.84</v>
      </c>
      <c r="K205" s="89">
        <f t="shared" si="14"/>
        <v>1</v>
      </c>
      <c r="L205" s="89">
        <v>1</v>
      </c>
      <c r="M205" s="90">
        <f t="shared" si="32"/>
        <v>6840.84</v>
      </c>
      <c r="N205" s="89"/>
      <c r="O205" s="89"/>
      <c r="P205" s="89"/>
      <c r="Q205" s="90"/>
      <c r="R205" s="130" t="s">
        <v>80</v>
      </c>
    </row>
    <row r="206" spans="1:18" s="61" customFormat="1" x14ac:dyDescent="0.25">
      <c r="A206" s="85" t="s">
        <v>376</v>
      </c>
      <c r="B206" s="89"/>
      <c r="C206" s="89">
        <f t="shared" si="12"/>
        <v>0</v>
      </c>
      <c r="D206" s="89"/>
      <c r="E206" s="90"/>
      <c r="F206" s="89"/>
      <c r="G206" s="89">
        <f t="shared" si="13"/>
        <v>0</v>
      </c>
      <c r="H206" s="89"/>
      <c r="I206" s="90"/>
      <c r="J206" s="89">
        <v>308717.99</v>
      </c>
      <c r="K206" s="89">
        <f t="shared" si="14"/>
        <v>1</v>
      </c>
      <c r="L206" s="89">
        <v>12</v>
      </c>
      <c r="M206" s="90">
        <f t="shared" si="32"/>
        <v>25726.499166666665</v>
      </c>
      <c r="N206" s="89"/>
      <c r="O206" s="89"/>
      <c r="P206" s="89"/>
      <c r="Q206" s="90"/>
      <c r="R206" s="130" t="s">
        <v>80</v>
      </c>
    </row>
    <row r="207" spans="1:18" s="61" customFormat="1" x14ac:dyDescent="0.25">
      <c r="A207" s="85" t="s">
        <v>345</v>
      </c>
      <c r="B207" s="89"/>
      <c r="C207" s="89">
        <f t="shared" si="12"/>
        <v>0</v>
      </c>
      <c r="D207" s="89"/>
      <c r="E207" s="90"/>
      <c r="F207" s="89"/>
      <c r="G207" s="89">
        <f t="shared" si="13"/>
        <v>0</v>
      </c>
      <c r="H207" s="89"/>
      <c r="I207" s="90"/>
      <c r="J207" s="89"/>
      <c r="K207" s="89">
        <f t="shared" si="14"/>
        <v>0</v>
      </c>
      <c r="L207" s="89"/>
      <c r="M207" s="90"/>
      <c r="N207" s="89"/>
      <c r="O207" s="89"/>
      <c r="P207" s="89"/>
      <c r="Q207" s="90"/>
      <c r="R207" s="130" t="s">
        <v>80</v>
      </c>
    </row>
    <row r="208" spans="1:18" s="61" customFormat="1" x14ac:dyDescent="0.25">
      <c r="A208" s="85" t="s">
        <v>346</v>
      </c>
      <c r="B208" s="89"/>
      <c r="C208" s="89">
        <f t="shared" si="12"/>
        <v>0</v>
      </c>
      <c r="D208" s="89"/>
      <c r="E208" s="90"/>
      <c r="F208" s="89"/>
      <c r="G208" s="89">
        <f t="shared" si="13"/>
        <v>0</v>
      </c>
      <c r="H208" s="89"/>
      <c r="I208" s="90"/>
      <c r="J208" s="89">
        <v>54726.720000000001</v>
      </c>
      <c r="K208" s="89">
        <f t="shared" si="14"/>
        <v>17</v>
      </c>
      <c r="L208" s="89">
        <v>1</v>
      </c>
      <c r="M208" s="90">
        <f t="shared" ref="M208:M214" si="33">J208/K208/L208</f>
        <v>3219.218823529412</v>
      </c>
      <c r="N208" s="89"/>
      <c r="O208" s="89"/>
      <c r="P208" s="89"/>
      <c r="Q208" s="90"/>
      <c r="R208" s="130" t="s">
        <v>80</v>
      </c>
    </row>
    <row r="209" spans="1:22" s="61" customFormat="1" x14ac:dyDescent="0.25">
      <c r="A209" s="85" t="s">
        <v>42</v>
      </c>
      <c r="B209" s="89">
        <v>232588.56</v>
      </c>
      <c r="C209" s="89">
        <f t="shared" ref="C209:C267" si="34">C69</f>
        <v>204</v>
      </c>
      <c r="D209" s="89">
        <v>1</v>
      </c>
      <c r="E209" s="90">
        <f t="shared" ref="E209:E211" si="35">B209/C209/D209</f>
        <v>1140.1400000000001</v>
      </c>
      <c r="F209" s="89">
        <v>29643.640000000003</v>
      </c>
      <c r="G209" s="89">
        <f t="shared" ref="G209:G267" si="36">G69</f>
        <v>26</v>
      </c>
      <c r="H209" s="89">
        <v>1</v>
      </c>
      <c r="I209" s="90">
        <f t="shared" ref="I209:I215" si="37">F209/G209/H209</f>
        <v>1140.1400000000001</v>
      </c>
      <c r="J209" s="89">
        <v>6840.84</v>
      </c>
      <c r="K209" s="89">
        <f t="shared" ref="K209:K267" si="38">K69</f>
        <v>6</v>
      </c>
      <c r="L209" s="89">
        <v>1</v>
      </c>
      <c r="M209" s="90">
        <f t="shared" si="33"/>
        <v>1140.1400000000001</v>
      </c>
      <c r="N209" s="89"/>
      <c r="O209" s="89"/>
      <c r="P209" s="89"/>
      <c r="Q209" s="90"/>
      <c r="R209" s="130" t="s">
        <v>80</v>
      </c>
    </row>
    <row r="210" spans="1:22" s="61" customFormat="1" ht="38.25" x14ac:dyDescent="0.25">
      <c r="A210" s="85" t="s">
        <v>404</v>
      </c>
      <c r="B210" s="89">
        <v>291583.79999999981</v>
      </c>
      <c r="C210" s="89">
        <f t="shared" si="34"/>
        <v>36</v>
      </c>
      <c r="D210" s="89">
        <v>1</v>
      </c>
      <c r="E210" s="90">
        <f t="shared" si="35"/>
        <v>8099.5499999999947</v>
      </c>
      <c r="F210" s="89">
        <v>40497.75</v>
      </c>
      <c r="G210" s="89">
        <f t="shared" si="36"/>
        <v>5</v>
      </c>
      <c r="H210" s="89">
        <v>1</v>
      </c>
      <c r="I210" s="90">
        <f t="shared" si="37"/>
        <v>8099.55</v>
      </c>
      <c r="J210" s="89">
        <v>8099.55</v>
      </c>
      <c r="K210" s="89">
        <f t="shared" si="38"/>
        <v>1</v>
      </c>
      <c r="L210" s="89">
        <v>1</v>
      </c>
      <c r="M210" s="90">
        <f t="shared" si="33"/>
        <v>8099.55</v>
      </c>
      <c r="N210" s="89"/>
      <c r="O210" s="89"/>
      <c r="P210" s="89"/>
      <c r="Q210" s="90"/>
      <c r="R210" s="130" t="s">
        <v>80</v>
      </c>
    </row>
    <row r="211" spans="1:22" s="61" customFormat="1" x14ac:dyDescent="0.25">
      <c r="A211" s="85" t="s">
        <v>44</v>
      </c>
      <c r="B211" s="89">
        <v>72093.33</v>
      </c>
      <c r="C211" s="89">
        <f t="shared" si="34"/>
        <v>1216</v>
      </c>
      <c r="D211" s="89">
        <v>1</v>
      </c>
      <c r="E211" s="90">
        <f t="shared" si="35"/>
        <v>59.287277960526318</v>
      </c>
      <c r="F211" s="89">
        <v>18023.330000000002</v>
      </c>
      <c r="G211" s="89">
        <f t="shared" si="36"/>
        <v>304</v>
      </c>
      <c r="H211" s="89">
        <v>1</v>
      </c>
      <c r="I211" s="90">
        <f t="shared" si="37"/>
        <v>59.287269736842113</v>
      </c>
      <c r="J211" s="89">
        <v>18023.330000000002</v>
      </c>
      <c r="K211" s="89">
        <f t="shared" si="38"/>
        <v>304</v>
      </c>
      <c r="L211" s="89">
        <v>1</v>
      </c>
      <c r="M211" s="90">
        <f t="shared" si="33"/>
        <v>59.287269736842113</v>
      </c>
      <c r="N211" s="89"/>
      <c r="O211" s="89"/>
      <c r="P211" s="89"/>
      <c r="Q211" s="90"/>
      <c r="R211" s="130" t="s">
        <v>80</v>
      </c>
    </row>
    <row r="212" spans="1:22" s="61" customFormat="1" x14ac:dyDescent="0.25">
      <c r="A212" s="85" t="s">
        <v>256</v>
      </c>
      <c r="B212" s="89"/>
      <c r="C212" s="89">
        <f t="shared" si="34"/>
        <v>0</v>
      </c>
      <c r="D212" s="89"/>
      <c r="E212" s="90"/>
      <c r="F212" s="89">
        <v>362450.5</v>
      </c>
      <c r="G212" s="89">
        <f t="shared" si="36"/>
        <v>187</v>
      </c>
      <c r="H212" s="89">
        <v>1</v>
      </c>
      <c r="I212" s="90">
        <f t="shared" si="37"/>
        <v>1938.2379679144385</v>
      </c>
      <c r="J212" s="89">
        <v>48455.950000000004</v>
      </c>
      <c r="K212" s="89">
        <f t="shared" si="38"/>
        <v>25</v>
      </c>
      <c r="L212" s="89">
        <v>1</v>
      </c>
      <c r="M212" s="90">
        <f t="shared" si="33"/>
        <v>1938.2380000000003</v>
      </c>
      <c r="N212" s="89"/>
      <c r="O212" s="89"/>
      <c r="P212" s="89"/>
      <c r="Q212" s="90"/>
      <c r="R212" s="130" t="s">
        <v>80</v>
      </c>
    </row>
    <row r="213" spans="1:22" s="61" customFormat="1" x14ac:dyDescent="0.25">
      <c r="A213" s="85" t="s">
        <v>45</v>
      </c>
      <c r="B213" s="89">
        <v>44219.19</v>
      </c>
      <c r="C213" s="89">
        <f t="shared" si="34"/>
        <v>4</v>
      </c>
      <c r="D213" s="89">
        <v>12</v>
      </c>
      <c r="E213" s="90">
        <f t="shared" ref="E213:E215" si="39">B213/C213/D213</f>
        <v>921.23312500000009</v>
      </c>
      <c r="F213" s="89">
        <v>11054.800000000001</v>
      </c>
      <c r="G213" s="89">
        <f t="shared" si="36"/>
        <v>1</v>
      </c>
      <c r="H213" s="89">
        <v>12</v>
      </c>
      <c r="I213" s="90">
        <f t="shared" si="37"/>
        <v>921.23333333333346</v>
      </c>
      <c r="J213" s="89">
        <v>11054.800000000001</v>
      </c>
      <c r="K213" s="89">
        <f t="shared" si="38"/>
        <v>1</v>
      </c>
      <c r="L213" s="89">
        <v>12</v>
      </c>
      <c r="M213" s="90">
        <f t="shared" si="33"/>
        <v>921.23333333333346</v>
      </c>
      <c r="N213" s="89"/>
      <c r="O213" s="89"/>
      <c r="P213" s="89"/>
      <c r="Q213" s="90"/>
      <c r="R213" s="130" t="s">
        <v>80</v>
      </c>
    </row>
    <row r="214" spans="1:22" s="61" customFormat="1" ht="25.5" x14ac:dyDescent="0.25">
      <c r="A214" s="85" t="s">
        <v>408</v>
      </c>
      <c r="B214" s="89">
        <v>967408.7899999998</v>
      </c>
      <c r="C214" s="89">
        <v>1697</v>
      </c>
      <c r="D214" s="89">
        <v>1</v>
      </c>
      <c r="E214" s="90">
        <f t="shared" si="39"/>
        <v>570.06999999999994</v>
      </c>
      <c r="F214" s="89"/>
      <c r="G214" s="89">
        <f t="shared" si="36"/>
        <v>30</v>
      </c>
      <c r="H214" s="89">
        <v>1</v>
      </c>
      <c r="I214" s="90">
        <f t="shared" si="37"/>
        <v>0</v>
      </c>
      <c r="J214" s="89">
        <v>3420.42</v>
      </c>
      <c r="K214" s="89">
        <f t="shared" si="38"/>
        <v>6</v>
      </c>
      <c r="L214" s="89">
        <v>1</v>
      </c>
      <c r="M214" s="90">
        <f t="shared" si="33"/>
        <v>570.07000000000005</v>
      </c>
      <c r="N214" s="89"/>
      <c r="O214" s="89"/>
      <c r="P214" s="89"/>
      <c r="Q214" s="90"/>
      <c r="R214" s="130" t="s">
        <v>80</v>
      </c>
      <c r="T214" s="61">
        <v>687706.45</v>
      </c>
      <c r="U214" s="71">
        <f>SUM(J195:J214)</f>
        <v>718236.95</v>
      </c>
      <c r="V214" s="71">
        <f>T214-U214</f>
        <v>-30530.5</v>
      </c>
    </row>
    <row r="215" spans="1:22" s="61" customFormat="1" x14ac:dyDescent="0.25">
      <c r="A215" s="85" t="s">
        <v>41</v>
      </c>
      <c r="B215" s="89">
        <v>107629.22</v>
      </c>
      <c r="C215" s="89">
        <f t="shared" si="34"/>
        <v>4</v>
      </c>
      <c r="D215" s="89">
        <v>1</v>
      </c>
      <c r="E215" s="90">
        <f t="shared" si="39"/>
        <v>26907.305</v>
      </c>
      <c r="F215" s="89">
        <v>26907.3</v>
      </c>
      <c r="G215" s="89">
        <f t="shared" si="36"/>
        <v>1</v>
      </c>
      <c r="H215" s="89">
        <v>1</v>
      </c>
      <c r="I215" s="90">
        <f t="shared" si="37"/>
        <v>26907.3</v>
      </c>
      <c r="J215" s="89">
        <v>26907.3</v>
      </c>
      <c r="K215" s="89">
        <f t="shared" si="38"/>
        <v>1</v>
      </c>
      <c r="L215" s="89">
        <v>1</v>
      </c>
      <c r="M215" s="90">
        <f>J215/K215/L215</f>
        <v>26907.3</v>
      </c>
      <c r="N215" s="89"/>
      <c r="O215" s="89"/>
      <c r="P215" s="89"/>
      <c r="Q215" s="90"/>
      <c r="R215" s="130" t="s">
        <v>237</v>
      </c>
    </row>
    <row r="216" spans="1:22" s="61" customFormat="1" ht="25.5" x14ac:dyDescent="0.25">
      <c r="A216" s="85" t="s">
        <v>19</v>
      </c>
      <c r="B216" s="89"/>
      <c r="C216" s="89">
        <f t="shared" si="34"/>
        <v>0</v>
      </c>
      <c r="D216" s="89"/>
      <c r="E216" s="90"/>
      <c r="F216" s="89"/>
      <c r="G216" s="89">
        <f t="shared" si="36"/>
        <v>0</v>
      </c>
      <c r="H216" s="89">
        <v>12</v>
      </c>
      <c r="I216" s="90"/>
      <c r="J216" s="89"/>
      <c r="K216" s="89">
        <f t="shared" si="38"/>
        <v>0</v>
      </c>
      <c r="L216" s="89"/>
      <c r="M216" s="90"/>
      <c r="N216" s="89"/>
      <c r="O216" s="89"/>
      <c r="P216" s="89"/>
      <c r="Q216" s="90"/>
      <c r="R216" s="130"/>
      <c r="S216" s="71"/>
    </row>
    <row r="217" spans="1:22" s="61" customFormat="1" x14ac:dyDescent="0.25">
      <c r="A217" s="85" t="s">
        <v>258</v>
      </c>
      <c r="B217" s="89"/>
      <c r="C217" s="89">
        <f t="shared" si="34"/>
        <v>0</v>
      </c>
      <c r="D217" s="89"/>
      <c r="E217" s="90"/>
      <c r="F217" s="89"/>
      <c r="G217" s="89">
        <f t="shared" si="36"/>
        <v>0</v>
      </c>
      <c r="H217" s="89">
        <v>1</v>
      </c>
      <c r="I217" s="90"/>
      <c r="J217" s="89"/>
      <c r="K217" s="89">
        <f t="shared" si="38"/>
        <v>0</v>
      </c>
      <c r="L217" s="89"/>
      <c r="M217" s="90"/>
      <c r="N217" s="89"/>
      <c r="O217" s="89"/>
      <c r="P217" s="89"/>
      <c r="Q217" s="90"/>
      <c r="R217" s="130"/>
    </row>
    <row r="218" spans="1:22" s="61" customFormat="1" x14ac:dyDescent="0.25">
      <c r="A218" s="119" t="s">
        <v>409</v>
      </c>
      <c r="B218" s="89"/>
      <c r="C218" s="89">
        <f t="shared" si="34"/>
        <v>23</v>
      </c>
      <c r="D218" s="89">
        <v>1</v>
      </c>
      <c r="E218" s="90">
        <f t="shared" ref="E218:E241" si="40">B218/C218/D218</f>
        <v>0</v>
      </c>
      <c r="F218" s="89"/>
      <c r="G218" s="89">
        <f t="shared" si="36"/>
        <v>0</v>
      </c>
      <c r="H218" s="89">
        <v>1</v>
      </c>
      <c r="I218" s="90"/>
      <c r="J218" s="89"/>
      <c r="K218" s="89">
        <f t="shared" si="38"/>
        <v>0</v>
      </c>
      <c r="L218" s="89"/>
      <c r="M218" s="90"/>
      <c r="N218" s="89"/>
      <c r="O218" s="89"/>
      <c r="P218" s="89"/>
      <c r="Q218" s="90"/>
      <c r="R218" s="130" t="s">
        <v>430</v>
      </c>
    </row>
    <row r="219" spans="1:22" s="61" customFormat="1" x14ac:dyDescent="0.25">
      <c r="A219" s="119" t="s">
        <v>410</v>
      </c>
      <c r="B219" s="89"/>
      <c r="C219" s="89">
        <f t="shared" si="34"/>
        <v>7</v>
      </c>
      <c r="D219" s="89">
        <v>1</v>
      </c>
      <c r="E219" s="90">
        <f t="shared" si="40"/>
        <v>0</v>
      </c>
      <c r="F219" s="89"/>
      <c r="G219" s="89">
        <f t="shared" si="36"/>
        <v>0</v>
      </c>
      <c r="H219" s="89">
        <v>1</v>
      </c>
      <c r="I219" s="90"/>
      <c r="J219" s="89"/>
      <c r="K219" s="89">
        <f t="shared" si="38"/>
        <v>0</v>
      </c>
      <c r="L219" s="89"/>
      <c r="M219" s="90"/>
      <c r="N219" s="89"/>
      <c r="O219" s="89"/>
      <c r="P219" s="89"/>
      <c r="Q219" s="90"/>
      <c r="R219" s="130" t="s">
        <v>430</v>
      </c>
    </row>
    <row r="220" spans="1:22" s="61" customFormat="1" x14ac:dyDescent="0.25">
      <c r="A220" s="119" t="s">
        <v>411</v>
      </c>
      <c r="B220" s="89"/>
      <c r="C220" s="89">
        <f t="shared" si="34"/>
        <v>7</v>
      </c>
      <c r="D220" s="89">
        <v>1</v>
      </c>
      <c r="E220" s="90">
        <f t="shared" si="40"/>
        <v>0</v>
      </c>
      <c r="F220" s="89"/>
      <c r="G220" s="89">
        <f t="shared" si="36"/>
        <v>0</v>
      </c>
      <c r="H220" s="89">
        <v>1</v>
      </c>
      <c r="I220" s="90"/>
      <c r="J220" s="89"/>
      <c r="K220" s="89">
        <f t="shared" si="38"/>
        <v>0</v>
      </c>
      <c r="L220" s="89"/>
      <c r="M220" s="90"/>
      <c r="N220" s="89"/>
      <c r="O220" s="89"/>
      <c r="P220" s="89"/>
      <c r="Q220" s="90"/>
      <c r="R220" s="130" t="s">
        <v>430</v>
      </c>
    </row>
    <row r="221" spans="1:22" s="61" customFormat="1" ht="15.75" x14ac:dyDescent="0.25">
      <c r="A221" s="83" t="s">
        <v>412</v>
      </c>
      <c r="B221" s="89"/>
      <c r="C221" s="89">
        <f t="shared" si="34"/>
        <v>35</v>
      </c>
      <c r="D221" s="89">
        <v>1</v>
      </c>
      <c r="E221" s="90">
        <f t="shared" si="40"/>
        <v>0</v>
      </c>
      <c r="F221" s="89"/>
      <c r="G221" s="89">
        <f t="shared" si="36"/>
        <v>0</v>
      </c>
      <c r="H221" s="89">
        <v>1</v>
      </c>
      <c r="I221" s="90"/>
      <c r="J221" s="89"/>
      <c r="K221" s="89">
        <f t="shared" si="38"/>
        <v>0</v>
      </c>
      <c r="L221" s="89"/>
      <c r="M221" s="90"/>
      <c r="N221" s="89"/>
      <c r="O221" s="89"/>
      <c r="P221" s="89"/>
      <c r="Q221" s="90"/>
      <c r="R221" s="130" t="s">
        <v>430</v>
      </c>
    </row>
    <row r="222" spans="1:22" s="61" customFormat="1" ht="15.75" x14ac:dyDescent="0.25">
      <c r="A222" s="83" t="s">
        <v>413</v>
      </c>
      <c r="B222" s="89"/>
      <c r="C222" s="89">
        <f t="shared" si="34"/>
        <v>15</v>
      </c>
      <c r="D222" s="89">
        <v>1</v>
      </c>
      <c r="E222" s="90">
        <f t="shared" si="40"/>
        <v>0</v>
      </c>
      <c r="F222" s="89"/>
      <c r="G222" s="89">
        <f t="shared" si="36"/>
        <v>0</v>
      </c>
      <c r="H222" s="89">
        <v>1</v>
      </c>
      <c r="I222" s="90"/>
      <c r="J222" s="89"/>
      <c r="K222" s="89">
        <f t="shared" si="38"/>
        <v>0</v>
      </c>
      <c r="L222" s="89"/>
      <c r="M222" s="90"/>
      <c r="N222" s="89"/>
      <c r="O222" s="89"/>
      <c r="P222" s="89"/>
      <c r="Q222" s="90"/>
      <c r="R222" s="130" t="s">
        <v>430</v>
      </c>
    </row>
    <row r="223" spans="1:22" s="61" customFormat="1" x14ac:dyDescent="0.25">
      <c r="A223" s="119" t="s">
        <v>109</v>
      </c>
      <c r="B223" s="89"/>
      <c r="C223" s="89">
        <f t="shared" si="34"/>
        <v>16</v>
      </c>
      <c r="D223" s="89">
        <v>1</v>
      </c>
      <c r="E223" s="90">
        <f t="shared" si="40"/>
        <v>0</v>
      </c>
      <c r="F223" s="89"/>
      <c r="G223" s="89">
        <f t="shared" si="36"/>
        <v>0</v>
      </c>
      <c r="H223" s="89">
        <v>1</v>
      </c>
      <c r="I223" s="90"/>
      <c r="J223" s="89"/>
      <c r="K223" s="89">
        <f t="shared" si="38"/>
        <v>0</v>
      </c>
      <c r="L223" s="89"/>
      <c r="M223" s="90"/>
      <c r="N223" s="89"/>
      <c r="O223" s="89"/>
      <c r="P223" s="89"/>
      <c r="Q223" s="90"/>
      <c r="R223" s="130" t="s">
        <v>430</v>
      </c>
    </row>
    <row r="224" spans="1:22" s="61" customFormat="1" x14ac:dyDescent="0.25">
      <c r="A224" s="119" t="s">
        <v>414</v>
      </c>
      <c r="B224" s="89"/>
      <c r="C224" s="89">
        <f t="shared" si="34"/>
        <v>9</v>
      </c>
      <c r="D224" s="89">
        <v>1</v>
      </c>
      <c r="E224" s="90">
        <f t="shared" si="40"/>
        <v>0</v>
      </c>
      <c r="F224" s="89"/>
      <c r="G224" s="89">
        <f t="shared" si="36"/>
        <v>0</v>
      </c>
      <c r="H224" s="89">
        <v>1</v>
      </c>
      <c r="I224" s="90"/>
      <c r="J224" s="89"/>
      <c r="K224" s="89">
        <f t="shared" si="38"/>
        <v>0</v>
      </c>
      <c r="L224" s="89"/>
      <c r="M224" s="90"/>
      <c r="N224" s="89"/>
      <c r="O224" s="89"/>
      <c r="P224" s="89"/>
      <c r="Q224" s="90"/>
      <c r="R224" s="130" t="s">
        <v>430</v>
      </c>
    </row>
    <row r="225" spans="1:18" s="61" customFormat="1" x14ac:dyDescent="0.25">
      <c r="A225" s="119" t="s">
        <v>415</v>
      </c>
      <c r="B225" s="89"/>
      <c r="C225" s="89">
        <f t="shared" si="34"/>
        <v>11</v>
      </c>
      <c r="D225" s="89">
        <v>1</v>
      </c>
      <c r="E225" s="90">
        <f t="shared" si="40"/>
        <v>0</v>
      </c>
      <c r="F225" s="89"/>
      <c r="G225" s="89">
        <f t="shared" si="36"/>
        <v>0</v>
      </c>
      <c r="H225" s="89">
        <v>1</v>
      </c>
      <c r="I225" s="90"/>
      <c r="J225" s="89"/>
      <c r="K225" s="89">
        <f t="shared" si="38"/>
        <v>0</v>
      </c>
      <c r="L225" s="89"/>
      <c r="M225" s="90"/>
      <c r="N225" s="89"/>
      <c r="O225" s="89"/>
      <c r="P225" s="89"/>
      <c r="Q225" s="90"/>
      <c r="R225" s="130" t="s">
        <v>430</v>
      </c>
    </row>
    <row r="226" spans="1:18" s="61" customFormat="1" x14ac:dyDescent="0.25">
      <c r="A226" s="119" t="s">
        <v>416</v>
      </c>
      <c r="B226" s="89"/>
      <c r="C226" s="89">
        <f t="shared" si="34"/>
        <v>20</v>
      </c>
      <c r="D226" s="89">
        <v>1</v>
      </c>
      <c r="E226" s="90">
        <f t="shared" si="40"/>
        <v>0</v>
      </c>
      <c r="F226" s="89"/>
      <c r="G226" s="89">
        <f t="shared" si="36"/>
        <v>0</v>
      </c>
      <c r="H226" s="89">
        <v>1</v>
      </c>
      <c r="I226" s="90"/>
      <c r="J226" s="89"/>
      <c r="K226" s="89">
        <f t="shared" si="38"/>
        <v>0</v>
      </c>
      <c r="L226" s="89"/>
      <c r="M226" s="90"/>
      <c r="N226" s="89"/>
      <c r="O226" s="89"/>
      <c r="P226" s="89"/>
      <c r="Q226" s="90"/>
      <c r="R226" s="130" t="s">
        <v>430</v>
      </c>
    </row>
    <row r="227" spans="1:18" s="61" customFormat="1" x14ac:dyDescent="0.25">
      <c r="A227" s="119" t="s">
        <v>417</v>
      </c>
      <c r="B227" s="89"/>
      <c r="C227" s="89">
        <f t="shared" si="34"/>
        <v>17</v>
      </c>
      <c r="D227" s="89">
        <v>1</v>
      </c>
      <c r="E227" s="90">
        <f t="shared" si="40"/>
        <v>0</v>
      </c>
      <c r="F227" s="89"/>
      <c r="G227" s="89">
        <f t="shared" si="36"/>
        <v>0</v>
      </c>
      <c r="H227" s="89">
        <v>1</v>
      </c>
      <c r="I227" s="90"/>
      <c r="J227" s="89"/>
      <c r="K227" s="89">
        <f t="shared" si="38"/>
        <v>0</v>
      </c>
      <c r="L227" s="89"/>
      <c r="M227" s="90"/>
      <c r="N227" s="89"/>
      <c r="O227" s="89"/>
      <c r="P227" s="89"/>
      <c r="Q227" s="90"/>
      <c r="R227" s="130" t="s">
        <v>430</v>
      </c>
    </row>
    <row r="228" spans="1:18" s="61" customFormat="1" x14ac:dyDescent="0.25">
      <c r="A228" s="119" t="s">
        <v>418</v>
      </c>
      <c r="B228" s="89"/>
      <c r="C228" s="89">
        <f t="shared" si="34"/>
        <v>9</v>
      </c>
      <c r="D228" s="89">
        <v>1</v>
      </c>
      <c r="E228" s="90">
        <f t="shared" si="40"/>
        <v>0</v>
      </c>
      <c r="F228" s="89"/>
      <c r="G228" s="89">
        <f t="shared" si="36"/>
        <v>0</v>
      </c>
      <c r="H228" s="89">
        <v>1</v>
      </c>
      <c r="I228" s="90"/>
      <c r="J228" s="89"/>
      <c r="K228" s="89">
        <f t="shared" si="38"/>
        <v>0</v>
      </c>
      <c r="L228" s="89"/>
      <c r="M228" s="90"/>
      <c r="N228" s="89"/>
      <c r="O228" s="89"/>
      <c r="P228" s="89"/>
      <c r="Q228" s="90"/>
      <c r="R228" s="130" t="s">
        <v>430</v>
      </c>
    </row>
    <row r="229" spans="1:18" s="61" customFormat="1" x14ac:dyDescent="0.25">
      <c r="A229" s="119" t="s">
        <v>324</v>
      </c>
      <c r="B229" s="89"/>
      <c r="C229" s="89">
        <f t="shared" si="34"/>
        <v>18</v>
      </c>
      <c r="D229" s="89">
        <v>1</v>
      </c>
      <c r="E229" s="90">
        <f t="shared" si="40"/>
        <v>0</v>
      </c>
      <c r="F229" s="89"/>
      <c r="G229" s="89">
        <f t="shared" si="36"/>
        <v>0</v>
      </c>
      <c r="H229" s="89">
        <v>1</v>
      </c>
      <c r="I229" s="90"/>
      <c r="J229" s="89"/>
      <c r="K229" s="89">
        <f t="shared" si="38"/>
        <v>0</v>
      </c>
      <c r="L229" s="89"/>
      <c r="M229" s="90"/>
      <c r="N229" s="89"/>
      <c r="O229" s="89"/>
      <c r="P229" s="89"/>
      <c r="Q229" s="90"/>
      <c r="R229" s="130" t="s">
        <v>430</v>
      </c>
    </row>
    <row r="230" spans="1:18" s="61" customFormat="1" x14ac:dyDescent="0.25">
      <c r="A230" s="119" t="s">
        <v>419</v>
      </c>
      <c r="B230" s="89"/>
      <c r="C230" s="89">
        <f t="shared" si="34"/>
        <v>24</v>
      </c>
      <c r="D230" s="89">
        <v>1</v>
      </c>
      <c r="E230" s="90">
        <f t="shared" si="40"/>
        <v>0</v>
      </c>
      <c r="F230" s="89"/>
      <c r="G230" s="89">
        <f t="shared" si="36"/>
        <v>8</v>
      </c>
      <c r="H230" s="89">
        <v>1</v>
      </c>
      <c r="I230" s="90">
        <f>F230/G230/H230</f>
        <v>0</v>
      </c>
      <c r="J230" s="89"/>
      <c r="K230" s="89">
        <f t="shared" si="38"/>
        <v>0</v>
      </c>
      <c r="L230" s="89"/>
      <c r="M230" s="90"/>
      <c r="N230" s="89"/>
      <c r="O230" s="89"/>
      <c r="P230" s="89"/>
      <c r="Q230" s="90"/>
      <c r="R230" s="130" t="s">
        <v>430</v>
      </c>
    </row>
    <row r="231" spans="1:18" s="61" customFormat="1" x14ac:dyDescent="0.25">
      <c r="A231" s="119" t="s">
        <v>420</v>
      </c>
      <c r="B231" s="89"/>
      <c r="C231" s="89">
        <f t="shared" si="34"/>
        <v>15</v>
      </c>
      <c r="D231" s="89">
        <v>1</v>
      </c>
      <c r="E231" s="90">
        <f t="shared" si="40"/>
        <v>0</v>
      </c>
      <c r="F231" s="89"/>
      <c r="G231" s="89">
        <f t="shared" si="36"/>
        <v>0</v>
      </c>
      <c r="H231" s="89">
        <v>1</v>
      </c>
      <c r="I231" s="90"/>
      <c r="J231" s="89"/>
      <c r="K231" s="89">
        <f t="shared" si="38"/>
        <v>0</v>
      </c>
      <c r="L231" s="89"/>
      <c r="M231" s="90"/>
      <c r="N231" s="89"/>
      <c r="O231" s="89"/>
      <c r="P231" s="89"/>
      <c r="Q231" s="90"/>
      <c r="R231" s="130" t="s">
        <v>430</v>
      </c>
    </row>
    <row r="232" spans="1:18" s="61" customFormat="1" x14ac:dyDescent="0.25">
      <c r="A232" s="119" t="s">
        <v>421</v>
      </c>
      <c r="B232" s="89"/>
      <c r="C232" s="89">
        <f t="shared" si="34"/>
        <v>29</v>
      </c>
      <c r="D232" s="89">
        <v>1</v>
      </c>
      <c r="E232" s="90">
        <f t="shared" si="40"/>
        <v>0</v>
      </c>
      <c r="F232" s="89"/>
      <c r="G232" s="89">
        <f t="shared" si="36"/>
        <v>0</v>
      </c>
      <c r="H232" s="89">
        <v>1</v>
      </c>
      <c r="I232" s="90"/>
      <c r="J232" s="89"/>
      <c r="K232" s="89">
        <f t="shared" si="38"/>
        <v>0</v>
      </c>
      <c r="L232" s="89"/>
      <c r="M232" s="90"/>
      <c r="N232" s="89"/>
      <c r="O232" s="89"/>
      <c r="P232" s="89"/>
      <c r="Q232" s="90"/>
      <c r="R232" s="130" t="s">
        <v>430</v>
      </c>
    </row>
    <row r="233" spans="1:18" s="61" customFormat="1" x14ac:dyDescent="0.25">
      <c r="A233" s="119" t="s">
        <v>422</v>
      </c>
      <c r="B233" s="89"/>
      <c r="C233" s="89">
        <f t="shared" si="34"/>
        <v>18</v>
      </c>
      <c r="D233" s="89">
        <v>1</v>
      </c>
      <c r="E233" s="90">
        <f t="shared" si="40"/>
        <v>0</v>
      </c>
      <c r="F233" s="89"/>
      <c r="G233" s="89">
        <f t="shared" si="36"/>
        <v>0</v>
      </c>
      <c r="H233" s="89">
        <v>1</v>
      </c>
      <c r="I233" s="90"/>
      <c r="J233" s="89"/>
      <c r="K233" s="89">
        <f t="shared" si="38"/>
        <v>0</v>
      </c>
      <c r="L233" s="89"/>
      <c r="M233" s="90"/>
      <c r="N233" s="89"/>
      <c r="O233" s="89"/>
      <c r="P233" s="89"/>
      <c r="Q233" s="90"/>
      <c r="R233" s="130" t="s">
        <v>430</v>
      </c>
    </row>
    <row r="234" spans="1:18" s="61" customFormat="1" x14ac:dyDescent="0.25">
      <c r="A234" s="119" t="s">
        <v>423</v>
      </c>
      <c r="B234" s="89"/>
      <c r="C234" s="89">
        <f t="shared" si="34"/>
        <v>20</v>
      </c>
      <c r="D234" s="89">
        <v>1</v>
      </c>
      <c r="E234" s="90">
        <f t="shared" si="40"/>
        <v>0</v>
      </c>
      <c r="F234" s="89"/>
      <c r="G234" s="89">
        <f t="shared" si="36"/>
        <v>0</v>
      </c>
      <c r="H234" s="89">
        <v>1</v>
      </c>
      <c r="I234" s="90"/>
      <c r="J234" s="89"/>
      <c r="K234" s="89">
        <f t="shared" si="38"/>
        <v>0</v>
      </c>
      <c r="L234" s="89"/>
      <c r="M234" s="90"/>
      <c r="N234" s="89"/>
      <c r="O234" s="89"/>
      <c r="P234" s="89"/>
      <c r="Q234" s="90"/>
      <c r="R234" s="130" t="s">
        <v>430</v>
      </c>
    </row>
    <row r="235" spans="1:18" s="61" customFormat="1" x14ac:dyDescent="0.25">
      <c r="A235" s="119" t="s">
        <v>424</v>
      </c>
      <c r="B235" s="89"/>
      <c r="C235" s="89">
        <f t="shared" si="34"/>
        <v>35</v>
      </c>
      <c r="D235" s="89">
        <v>1</v>
      </c>
      <c r="E235" s="90">
        <f t="shared" si="40"/>
        <v>0</v>
      </c>
      <c r="F235" s="89"/>
      <c r="G235" s="89">
        <f t="shared" si="36"/>
        <v>0</v>
      </c>
      <c r="H235" s="89">
        <v>1</v>
      </c>
      <c r="I235" s="90"/>
      <c r="J235" s="89"/>
      <c r="K235" s="89">
        <f t="shared" si="38"/>
        <v>0</v>
      </c>
      <c r="L235" s="89"/>
      <c r="M235" s="90"/>
      <c r="N235" s="89"/>
      <c r="O235" s="89"/>
      <c r="P235" s="89"/>
      <c r="Q235" s="90"/>
      <c r="R235" s="130" t="s">
        <v>430</v>
      </c>
    </row>
    <row r="236" spans="1:18" s="61" customFormat="1" x14ac:dyDescent="0.25">
      <c r="A236" s="119" t="s">
        <v>425</v>
      </c>
      <c r="B236" s="89"/>
      <c r="C236" s="89">
        <f t="shared" si="34"/>
        <v>35</v>
      </c>
      <c r="D236" s="89">
        <v>1</v>
      </c>
      <c r="E236" s="90">
        <f t="shared" si="40"/>
        <v>0</v>
      </c>
      <c r="F236" s="89"/>
      <c r="G236" s="89">
        <f t="shared" si="36"/>
        <v>3</v>
      </c>
      <c r="H236" s="89">
        <v>1</v>
      </c>
      <c r="I236" s="90">
        <f>F236/G236/H236</f>
        <v>0</v>
      </c>
      <c r="J236" s="89"/>
      <c r="K236" s="89">
        <f t="shared" si="38"/>
        <v>0</v>
      </c>
      <c r="L236" s="89"/>
      <c r="M236" s="90"/>
      <c r="N236" s="89"/>
      <c r="O236" s="89"/>
      <c r="P236" s="89"/>
      <c r="Q236" s="90"/>
      <c r="R236" s="130" t="s">
        <v>430</v>
      </c>
    </row>
    <row r="237" spans="1:18" s="61" customFormat="1" x14ac:dyDescent="0.25">
      <c r="A237" s="119" t="s">
        <v>108</v>
      </c>
      <c r="B237" s="89"/>
      <c r="C237" s="89">
        <f t="shared" si="34"/>
        <v>865</v>
      </c>
      <c r="D237" s="89">
        <v>1</v>
      </c>
      <c r="E237" s="90">
        <f t="shared" si="40"/>
        <v>0</v>
      </c>
      <c r="F237" s="89"/>
      <c r="G237" s="89">
        <f t="shared" si="36"/>
        <v>0</v>
      </c>
      <c r="H237" s="89">
        <v>1</v>
      </c>
      <c r="I237" s="90"/>
      <c r="J237" s="89"/>
      <c r="K237" s="89">
        <f t="shared" si="38"/>
        <v>0</v>
      </c>
      <c r="L237" s="89"/>
      <c r="M237" s="90"/>
      <c r="N237" s="89"/>
      <c r="O237" s="89"/>
      <c r="P237" s="89"/>
      <c r="Q237" s="90"/>
      <c r="R237" s="130" t="s">
        <v>430</v>
      </c>
    </row>
    <row r="238" spans="1:18" s="61" customFormat="1" x14ac:dyDescent="0.25">
      <c r="A238" s="119" t="s">
        <v>426</v>
      </c>
      <c r="B238" s="89"/>
      <c r="C238" s="89">
        <f t="shared" si="34"/>
        <v>44</v>
      </c>
      <c r="D238" s="89">
        <v>1</v>
      </c>
      <c r="E238" s="90">
        <f t="shared" si="40"/>
        <v>0</v>
      </c>
      <c r="F238" s="89"/>
      <c r="G238" s="89">
        <f t="shared" si="36"/>
        <v>21</v>
      </c>
      <c r="H238" s="89">
        <v>1</v>
      </c>
      <c r="I238" s="90">
        <f t="shared" ref="I238:I245" si="41">F238/G238/H238</f>
        <v>0</v>
      </c>
      <c r="J238" s="89"/>
      <c r="K238" s="89">
        <f t="shared" si="38"/>
        <v>0</v>
      </c>
      <c r="L238" s="89"/>
      <c r="M238" s="90"/>
      <c r="N238" s="89"/>
      <c r="O238" s="89"/>
      <c r="P238" s="89"/>
      <c r="Q238" s="90"/>
      <c r="R238" s="130" t="s">
        <v>430</v>
      </c>
    </row>
    <row r="239" spans="1:18" s="61" customFormat="1" x14ac:dyDescent="0.25">
      <c r="A239" s="119" t="s">
        <v>427</v>
      </c>
      <c r="B239" s="89"/>
      <c r="C239" s="89">
        <f t="shared" si="34"/>
        <v>66</v>
      </c>
      <c r="D239" s="89">
        <v>1</v>
      </c>
      <c r="E239" s="90">
        <f t="shared" si="40"/>
        <v>0</v>
      </c>
      <c r="F239" s="89"/>
      <c r="G239" s="89">
        <f t="shared" si="36"/>
        <v>50</v>
      </c>
      <c r="H239" s="89">
        <v>1</v>
      </c>
      <c r="I239" s="90">
        <f t="shared" si="41"/>
        <v>0</v>
      </c>
      <c r="J239" s="89"/>
      <c r="K239" s="89">
        <f t="shared" si="38"/>
        <v>2</v>
      </c>
      <c r="L239" s="89">
        <v>1</v>
      </c>
      <c r="M239" s="90">
        <f>J239/K239/L239</f>
        <v>0</v>
      </c>
      <c r="N239" s="89"/>
      <c r="O239" s="89"/>
      <c r="P239" s="89"/>
      <c r="Q239" s="90"/>
      <c r="R239" s="130" t="s">
        <v>430</v>
      </c>
    </row>
    <row r="240" spans="1:18" s="61" customFormat="1" x14ac:dyDescent="0.25">
      <c r="A240" s="119" t="s">
        <v>428</v>
      </c>
      <c r="B240" s="89"/>
      <c r="C240" s="89">
        <f t="shared" si="34"/>
        <v>345</v>
      </c>
      <c r="D240" s="89">
        <v>1</v>
      </c>
      <c r="E240" s="90">
        <f t="shared" si="40"/>
        <v>0</v>
      </c>
      <c r="F240" s="89"/>
      <c r="G240" s="89">
        <f t="shared" si="36"/>
        <v>106</v>
      </c>
      <c r="H240" s="89">
        <v>1</v>
      </c>
      <c r="I240" s="90">
        <f t="shared" si="41"/>
        <v>0</v>
      </c>
      <c r="J240" s="89"/>
      <c r="K240" s="89">
        <f t="shared" si="38"/>
        <v>2</v>
      </c>
      <c r="L240" s="89">
        <v>1</v>
      </c>
      <c r="M240" s="90">
        <f t="shared" ref="M240" si="42">J240/K240/L240</f>
        <v>0</v>
      </c>
      <c r="N240" s="89"/>
      <c r="O240" s="89"/>
      <c r="P240" s="89"/>
      <c r="Q240" s="90"/>
      <c r="R240" s="130" t="s">
        <v>430</v>
      </c>
    </row>
    <row r="241" spans="1:18" s="61" customFormat="1" ht="15.75" x14ac:dyDescent="0.25">
      <c r="A241" s="83" t="s">
        <v>429</v>
      </c>
      <c r="B241" s="89"/>
      <c r="C241" s="89">
        <f t="shared" si="34"/>
        <v>49</v>
      </c>
      <c r="D241" s="89">
        <v>1</v>
      </c>
      <c r="E241" s="90">
        <f t="shared" si="40"/>
        <v>0</v>
      </c>
      <c r="F241" s="89"/>
      <c r="G241" s="89">
        <f t="shared" si="36"/>
        <v>26</v>
      </c>
      <c r="H241" s="89">
        <v>1</v>
      </c>
      <c r="I241" s="90">
        <f t="shared" si="41"/>
        <v>0</v>
      </c>
      <c r="J241" s="89"/>
      <c r="K241" s="89">
        <f t="shared" si="38"/>
        <v>0</v>
      </c>
      <c r="L241" s="89"/>
      <c r="M241" s="90"/>
      <c r="N241" s="89"/>
      <c r="O241" s="89"/>
      <c r="P241" s="89"/>
      <c r="Q241" s="90"/>
      <c r="R241" s="130" t="s">
        <v>430</v>
      </c>
    </row>
    <row r="242" spans="1:18" s="61" customFormat="1" x14ac:dyDescent="0.25">
      <c r="A242" s="119" t="s">
        <v>110</v>
      </c>
      <c r="B242" s="89"/>
      <c r="C242" s="89">
        <f t="shared" si="34"/>
        <v>0</v>
      </c>
      <c r="D242" s="89"/>
      <c r="E242" s="90"/>
      <c r="F242" s="89"/>
      <c r="G242" s="89">
        <f t="shared" si="36"/>
        <v>25</v>
      </c>
      <c r="H242" s="89">
        <v>1</v>
      </c>
      <c r="I242" s="90">
        <f t="shared" si="41"/>
        <v>0</v>
      </c>
      <c r="J242" s="89"/>
      <c r="K242" s="89">
        <f t="shared" si="38"/>
        <v>1</v>
      </c>
      <c r="L242" s="89">
        <v>1</v>
      </c>
      <c r="M242" s="90">
        <f t="shared" ref="M242" si="43">J242/K242/L242</f>
        <v>0</v>
      </c>
      <c r="N242" s="89"/>
      <c r="O242" s="89"/>
      <c r="P242" s="89"/>
      <c r="Q242" s="90"/>
      <c r="R242" s="130" t="s">
        <v>430</v>
      </c>
    </row>
    <row r="243" spans="1:18" s="61" customFormat="1" x14ac:dyDescent="0.25">
      <c r="A243" s="119" t="s">
        <v>112</v>
      </c>
      <c r="B243" s="89"/>
      <c r="C243" s="89">
        <f t="shared" si="34"/>
        <v>0</v>
      </c>
      <c r="D243" s="89"/>
      <c r="E243" s="90"/>
      <c r="F243" s="89"/>
      <c r="G243" s="89">
        <f t="shared" si="36"/>
        <v>5</v>
      </c>
      <c r="H243" s="89">
        <v>1</v>
      </c>
      <c r="I243" s="90">
        <f t="shared" si="41"/>
        <v>0</v>
      </c>
      <c r="J243" s="89"/>
      <c r="K243" s="89">
        <f t="shared" si="38"/>
        <v>0</v>
      </c>
      <c r="L243" s="89"/>
      <c r="M243" s="90"/>
      <c r="N243" s="89"/>
      <c r="O243" s="89"/>
      <c r="P243" s="89"/>
      <c r="Q243" s="90"/>
      <c r="R243" s="130" t="s">
        <v>430</v>
      </c>
    </row>
    <row r="244" spans="1:18" s="61" customFormat="1" x14ac:dyDescent="0.25">
      <c r="A244" s="119" t="s">
        <v>111</v>
      </c>
      <c r="B244" s="89"/>
      <c r="C244" s="89">
        <f t="shared" si="34"/>
        <v>0</v>
      </c>
      <c r="D244" s="89"/>
      <c r="E244" s="90"/>
      <c r="F244" s="89"/>
      <c r="G244" s="89">
        <f t="shared" si="36"/>
        <v>73</v>
      </c>
      <c r="H244" s="89">
        <v>1</v>
      </c>
      <c r="I244" s="90">
        <f t="shared" si="41"/>
        <v>0</v>
      </c>
      <c r="J244" s="89"/>
      <c r="K244" s="89">
        <f t="shared" si="38"/>
        <v>3</v>
      </c>
      <c r="L244" s="89">
        <v>1</v>
      </c>
      <c r="M244" s="90">
        <f t="shared" ref="M244:M245" si="44">J244/K244/L244</f>
        <v>0</v>
      </c>
      <c r="N244" s="89"/>
      <c r="O244" s="89"/>
      <c r="P244" s="89"/>
      <c r="Q244" s="90"/>
      <c r="R244" s="130" t="s">
        <v>430</v>
      </c>
    </row>
    <row r="245" spans="1:18" s="61" customFormat="1" x14ac:dyDescent="0.25">
      <c r="A245" s="119" t="s">
        <v>438</v>
      </c>
      <c r="B245" s="89"/>
      <c r="C245" s="89">
        <f t="shared" si="34"/>
        <v>0</v>
      </c>
      <c r="D245" s="89"/>
      <c r="E245" s="90"/>
      <c r="F245" s="89"/>
      <c r="G245" s="89">
        <f t="shared" si="36"/>
        <v>33</v>
      </c>
      <c r="H245" s="89">
        <v>1</v>
      </c>
      <c r="I245" s="90">
        <f t="shared" si="41"/>
        <v>0</v>
      </c>
      <c r="J245" s="89"/>
      <c r="K245" s="89">
        <f t="shared" si="38"/>
        <v>2</v>
      </c>
      <c r="L245" s="89">
        <v>1</v>
      </c>
      <c r="M245" s="90">
        <f t="shared" si="44"/>
        <v>0</v>
      </c>
      <c r="N245" s="89"/>
      <c r="O245" s="89"/>
      <c r="P245" s="89"/>
      <c r="Q245" s="90"/>
      <c r="R245" s="130" t="s">
        <v>430</v>
      </c>
    </row>
    <row r="246" spans="1:18" s="61" customFormat="1" x14ac:dyDescent="0.25">
      <c r="A246" s="119"/>
      <c r="B246" s="89"/>
      <c r="C246" s="89">
        <f t="shared" si="34"/>
        <v>0</v>
      </c>
      <c r="D246" s="89"/>
      <c r="E246" s="90"/>
      <c r="F246" s="89"/>
      <c r="G246" s="89">
        <f t="shared" si="36"/>
        <v>0</v>
      </c>
      <c r="H246" s="89"/>
      <c r="I246" s="90"/>
      <c r="J246" s="89"/>
      <c r="K246" s="89">
        <f t="shared" si="38"/>
        <v>0</v>
      </c>
      <c r="L246" s="89"/>
      <c r="M246" s="90"/>
      <c r="N246" s="89"/>
      <c r="O246" s="89"/>
      <c r="P246" s="89"/>
      <c r="Q246" s="90"/>
      <c r="R246" s="130" t="s">
        <v>430</v>
      </c>
    </row>
    <row r="247" spans="1:18" s="61" customFormat="1" x14ac:dyDescent="0.25">
      <c r="A247" s="119"/>
      <c r="B247" s="89"/>
      <c r="C247" s="89">
        <f t="shared" si="34"/>
        <v>0</v>
      </c>
      <c r="D247" s="89"/>
      <c r="E247" s="90"/>
      <c r="F247" s="89"/>
      <c r="G247" s="89">
        <f t="shared" si="36"/>
        <v>0</v>
      </c>
      <c r="H247" s="89"/>
      <c r="I247" s="90"/>
      <c r="J247" s="89"/>
      <c r="K247" s="89">
        <f t="shared" si="38"/>
        <v>0</v>
      </c>
      <c r="L247" s="89"/>
      <c r="M247" s="90"/>
      <c r="N247" s="89"/>
      <c r="O247" s="89"/>
      <c r="P247" s="89"/>
      <c r="Q247" s="90"/>
      <c r="R247" s="130" t="s">
        <v>430</v>
      </c>
    </row>
    <row r="248" spans="1:18" s="61" customFormat="1" x14ac:dyDescent="0.25">
      <c r="A248" s="119"/>
      <c r="B248" s="89"/>
      <c r="C248" s="89">
        <f t="shared" si="34"/>
        <v>0</v>
      </c>
      <c r="D248" s="89"/>
      <c r="E248" s="90"/>
      <c r="F248" s="89"/>
      <c r="G248" s="89">
        <f t="shared" si="36"/>
        <v>0</v>
      </c>
      <c r="H248" s="89"/>
      <c r="I248" s="90"/>
      <c r="J248" s="89"/>
      <c r="K248" s="89">
        <f t="shared" si="38"/>
        <v>0</v>
      </c>
      <c r="L248" s="89"/>
      <c r="M248" s="90"/>
      <c r="N248" s="89"/>
      <c r="O248" s="89"/>
      <c r="P248" s="89"/>
      <c r="Q248" s="90"/>
      <c r="R248" s="130" t="s">
        <v>430</v>
      </c>
    </row>
    <row r="249" spans="1:18" s="61" customFormat="1" x14ac:dyDescent="0.25">
      <c r="A249" s="119"/>
      <c r="B249" s="89"/>
      <c r="C249" s="89">
        <f t="shared" si="34"/>
        <v>0</v>
      </c>
      <c r="D249" s="89"/>
      <c r="E249" s="90"/>
      <c r="F249" s="89"/>
      <c r="G249" s="89">
        <f t="shared" si="36"/>
        <v>0</v>
      </c>
      <c r="H249" s="89"/>
      <c r="I249" s="90"/>
      <c r="J249" s="89"/>
      <c r="K249" s="89">
        <f t="shared" si="38"/>
        <v>0</v>
      </c>
      <c r="L249" s="89"/>
      <c r="M249" s="90"/>
      <c r="N249" s="89"/>
      <c r="O249" s="89"/>
      <c r="P249" s="89"/>
      <c r="Q249" s="90"/>
      <c r="R249" s="130" t="s">
        <v>430</v>
      </c>
    </row>
    <row r="250" spans="1:18" s="61" customFormat="1" x14ac:dyDescent="0.25">
      <c r="A250" s="119"/>
      <c r="B250" s="89"/>
      <c r="C250" s="89">
        <f t="shared" si="34"/>
        <v>0</v>
      </c>
      <c r="D250" s="89"/>
      <c r="E250" s="90"/>
      <c r="F250" s="89"/>
      <c r="G250" s="89">
        <f t="shared" si="36"/>
        <v>0</v>
      </c>
      <c r="H250" s="89"/>
      <c r="I250" s="90"/>
      <c r="J250" s="89"/>
      <c r="K250" s="89">
        <f t="shared" si="38"/>
        <v>0</v>
      </c>
      <c r="L250" s="89"/>
      <c r="M250" s="90"/>
      <c r="N250" s="89"/>
      <c r="O250" s="89"/>
      <c r="P250" s="89"/>
      <c r="Q250" s="90"/>
      <c r="R250" s="130" t="s">
        <v>430</v>
      </c>
    </row>
    <row r="251" spans="1:18" s="61" customFormat="1" x14ac:dyDescent="0.25">
      <c r="A251" s="119"/>
      <c r="B251" s="89"/>
      <c r="C251" s="89">
        <f t="shared" si="34"/>
        <v>0</v>
      </c>
      <c r="D251" s="89"/>
      <c r="E251" s="90"/>
      <c r="F251" s="89"/>
      <c r="G251" s="89">
        <f t="shared" si="36"/>
        <v>0</v>
      </c>
      <c r="H251" s="89"/>
      <c r="I251" s="90"/>
      <c r="J251" s="89"/>
      <c r="K251" s="89">
        <f t="shared" si="38"/>
        <v>0</v>
      </c>
      <c r="L251" s="89"/>
      <c r="M251" s="90"/>
      <c r="N251" s="89"/>
      <c r="O251" s="89"/>
      <c r="P251" s="89"/>
      <c r="Q251" s="90"/>
      <c r="R251" s="130" t="s">
        <v>430</v>
      </c>
    </row>
    <row r="252" spans="1:18" s="61" customFormat="1" x14ac:dyDescent="0.25">
      <c r="A252" s="119"/>
      <c r="B252" s="89"/>
      <c r="C252" s="89">
        <f t="shared" si="34"/>
        <v>0</v>
      </c>
      <c r="D252" s="89"/>
      <c r="E252" s="90"/>
      <c r="F252" s="89"/>
      <c r="G252" s="89">
        <f t="shared" si="36"/>
        <v>0</v>
      </c>
      <c r="H252" s="89"/>
      <c r="I252" s="90"/>
      <c r="J252" s="89"/>
      <c r="K252" s="89">
        <f t="shared" si="38"/>
        <v>0</v>
      </c>
      <c r="L252" s="89"/>
      <c r="M252" s="90"/>
      <c r="N252" s="89"/>
      <c r="O252" s="89"/>
      <c r="P252" s="89"/>
      <c r="Q252" s="90"/>
      <c r="R252" s="130" t="s">
        <v>430</v>
      </c>
    </row>
    <row r="253" spans="1:18" s="61" customFormat="1" x14ac:dyDescent="0.25">
      <c r="A253" s="119"/>
      <c r="B253" s="89"/>
      <c r="C253" s="89">
        <f t="shared" si="34"/>
        <v>0</v>
      </c>
      <c r="D253" s="89"/>
      <c r="E253" s="90"/>
      <c r="F253" s="89"/>
      <c r="G253" s="89">
        <f t="shared" si="36"/>
        <v>0</v>
      </c>
      <c r="H253" s="89"/>
      <c r="I253" s="90"/>
      <c r="J253" s="89"/>
      <c r="K253" s="89">
        <f t="shared" si="38"/>
        <v>0</v>
      </c>
      <c r="L253" s="89"/>
      <c r="M253" s="90"/>
      <c r="N253" s="89"/>
      <c r="O253" s="89"/>
      <c r="P253" s="89"/>
      <c r="Q253" s="90"/>
      <c r="R253" s="130" t="s">
        <v>430</v>
      </c>
    </row>
    <row r="254" spans="1:18" s="61" customFormat="1" x14ac:dyDescent="0.25">
      <c r="A254" s="119"/>
      <c r="B254" s="89"/>
      <c r="C254" s="89">
        <f t="shared" si="34"/>
        <v>0</v>
      </c>
      <c r="D254" s="89"/>
      <c r="E254" s="90"/>
      <c r="F254" s="89"/>
      <c r="G254" s="89">
        <f t="shared" si="36"/>
        <v>0</v>
      </c>
      <c r="H254" s="89"/>
      <c r="I254" s="90"/>
      <c r="J254" s="89"/>
      <c r="K254" s="89">
        <f t="shared" si="38"/>
        <v>0</v>
      </c>
      <c r="L254" s="89"/>
      <c r="M254" s="90"/>
      <c r="N254" s="89"/>
      <c r="O254" s="89"/>
      <c r="P254" s="89"/>
      <c r="Q254" s="90"/>
      <c r="R254" s="130" t="s">
        <v>430</v>
      </c>
    </row>
    <row r="255" spans="1:18" s="61" customFormat="1" x14ac:dyDescent="0.25">
      <c r="A255" s="119"/>
      <c r="B255" s="89"/>
      <c r="C255" s="89">
        <f t="shared" si="34"/>
        <v>0</v>
      </c>
      <c r="D255" s="89"/>
      <c r="E255" s="90"/>
      <c r="F255" s="89"/>
      <c r="G255" s="89">
        <f t="shared" si="36"/>
        <v>0</v>
      </c>
      <c r="H255" s="89"/>
      <c r="I255" s="90"/>
      <c r="J255" s="89"/>
      <c r="K255" s="89">
        <f t="shared" si="38"/>
        <v>0</v>
      </c>
      <c r="L255" s="89"/>
      <c r="M255" s="90"/>
      <c r="N255" s="89"/>
      <c r="O255" s="89"/>
      <c r="P255" s="89"/>
      <c r="Q255" s="90"/>
      <c r="R255" s="130" t="s">
        <v>430</v>
      </c>
    </row>
    <row r="256" spans="1:18" s="61" customFormat="1" x14ac:dyDescent="0.25">
      <c r="A256" s="119"/>
      <c r="B256" s="89"/>
      <c r="C256" s="89">
        <f t="shared" si="34"/>
        <v>0</v>
      </c>
      <c r="D256" s="89"/>
      <c r="E256" s="90"/>
      <c r="F256" s="89"/>
      <c r="G256" s="89">
        <f t="shared" si="36"/>
        <v>0</v>
      </c>
      <c r="H256" s="89"/>
      <c r="I256" s="90"/>
      <c r="J256" s="89"/>
      <c r="K256" s="89">
        <f t="shared" si="38"/>
        <v>0</v>
      </c>
      <c r="L256" s="89"/>
      <c r="M256" s="90"/>
      <c r="N256" s="89"/>
      <c r="O256" s="89"/>
      <c r="P256" s="89"/>
      <c r="Q256" s="90"/>
      <c r="R256" s="130" t="s">
        <v>430</v>
      </c>
    </row>
    <row r="257" spans="1:18" s="61" customFormat="1" x14ac:dyDescent="0.25">
      <c r="A257" s="119"/>
      <c r="B257" s="89"/>
      <c r="C257" s="89">
        <f t="shared" si="34"/>
        <v>0</v>
      </c>
      <c r="D257" s="89"/>
      <c r="E257" s="90"/>
      <c r="F257" s="89"/>
      <c r="G257" s="89">
        <f t="shared" si="36"/>
        <v>0</v>
      </c>
      <c r="H257" s="89"/>
      <c r="I257" s="90"/>
      <c r="J257" s="89"/>
      <c r="K257" s="89">
        <f t="shared" si="38"/>
        <v>0</v>
      </c>
      <c r="L257" s="89"/>
      <c r="M257" s="90"/>
      <c r="N257" s="89"/>
      <c r="O257" s="89"/>
      <c r="P257" s="89"/>
      <c r="Q257" s="90"/>
      <c r="R257" s="130" t="s">
        <v>430</v>
      </c>
    </row>
    <row r="258" spans="1:18" s="61" customFormat="1" x14ac:dyDescent="0.25">
      <c r="A258" s="119"/>
      <c r="B258" s="89"/>
      <c r="C258" s="89">
        <f t="shared" si="34"/>
        <v>0</v>
      </c>
      <c r="D258" s="89"/>
      <c r="E258" s="90"/>
      <c r="F258" s="89"/>
      <c r="G258" s="89">
        <f t="shared" si="36"/>
        <v>0</v>
      </c>
      <c r="H258" s="89"/>
      <c r="I258" s="90"/>
      <c r="J258" s="89"/>
      <c r="K258" s="89">
        <f t="shared" si="38"/>
        <v>0</v>
      </c>
      <c r="L258" s="89"/>
      <c r="M258" s="90"/>
      <c r="N258" s="89"/>
      <c r="O258" s="89"/>
      <c r="P258" s="89"/>
      <c r="Q258" s="90"/>
      <c r="R258" s="130" t="s">
        <v>430</v>
      </c>
    </row>
    <row r="259" spans="1:18" s="61" customFormat="1" x14ac:dyDescent="0.25">
      <c r="A259" s="119"/>
      <c r="B259" s="89"/>
      <c r="C259" s="89">
        <f t="shared" si="34"/>
        <v>0</v>
      </c>
      <c r="D259" s="89"/>
      <c r="E259" s="90"/>
      <c r="F259" s="89"/>
      <c r="G259" s="89">
        <f t="shared" si="36"/>
        <v>0</v>
      </c>
      <c r="H259" s="89"/>
      <c r="I259" s="90"/>
      <c r="J259" s="89"/>
      <c r="K259" s="89">
        <f t="shared" si="38"/>
        <v>0</v>
      </c>
      <c r="L259" s="89"/>
      <c r="M259" s="90"/>
      <c r="N259" s="89"/>
      <c r="O259" s="89"/>
      <c r="P259" s="89"/>
      <c r="Q259" s="90"/>
      <c r="R259" s="130" t="s">
        <v>430</v>
      </c>
    </row>
    <row r="260" spans="1:18" s="61" customFormat="1" x14ac:dyDescent="0.25">
      <c r="A260" s="119"/>
      <c r="B260" s="89"/>
      <c r="C260" s="89">
        <f t="shared" si="34"/>
        <v>0</v>
      </c>
      <c r="D260" s="89"/>
      <c r="E260" s="90"/>
      <c r="F260" s="89"/>
      <c r="G260" s="89">
        <f t="shared" si="36"/>
        <v>0</v>
      </c>
      <c r="H260" s="89"/>
      <c r="I260" s="90"/>
      <c r="J260" s="89"/>
      <c r="K260" s="89">
        <f t="shared" si="38"/>
        <v>0</v>
      </c>
      <c r="L260" s="89"/>
      <c r="M260" s="90"/>
      <c r="N260" s="89"/>
      <c r="O260" s="89"/>
      <c r="P260" s="89"/>
      <c r="Q260" s="90"/>
      <c r="R260" s="130" t="s">
        <v>430</v>
      </c>
    </row>
    <row r="261" spans="1:18" s="61" customFormat="1" x14ac:dyDescent="0.25">
      <c r="A261" s="119"/>
      <c r="B261" s="89"/>
      <c r="C261" s="89">
        <f t="shared" si="34"/>
        <v>0</v>
      </c>
      <c r="D261" s="89"/>
      <c r="E261" s="90"/>
      <c r="F261" s="89"/>
      <c r="G261" s="89">
        <f t="shared" si="36"/>
        <v>0</v>
      </c>
      <c r="H261" s="89"/>
      <c r="I261" s="90"/>
      <c r="J261" s="89"/>
      <c r="K261" s="89">
        <f t="shared" si="38"/>
        <v>0</v>
      </c>
      <c r="L261" s="89"/>
      <c r="M261" s="90"/>
      <c r="N261" s="89"/>
      <c r="O261" s="89"/>
      <c r="P261" s="89"/>
      <c r="Q261" s="90"/>
      <c r="R261" s="130" t="s">
        <v>430</v>
      </c>
    </row>
    <row r="262" spans="1:18" s="61" customFormat="1" ht="15.75" x14ac:dyDescent="0.25">
      <c r="A262" s="83"/>
      <c r="B262" s="89"/>
      <c r="C262" s="89">
        <f t="shared" si="34"/>
        <v>0</v>
      </c>
      <c r="D262" s="89"/>
      <c r="E262" s="90"/>
      <c r="F262" s="89"/>
      <c r="G262" s="89">
        <f t="shared" si="36"/>
        <v>0</v>
      </c>
      <c r="H262" s="89"/>
      <c r="I262" s="90"/>
      <c r="J262" s="89"/>
      <c r="K262" s="89">
        <f t="shared" si="38"/>
        <v>0</v>
      </c>
      <c r="L262" s="89"/>
      <c r="M262" s="90"/>
      <c r="N262" s="89"/>
      <c r="O262" s="89"/>
      <c r="P262" s="89"/>
      <c r="Q262" s="90"/>
      <c r="R262" s="130" t="s">
        <v>430</v>
      </c>
    </row>
    <row r="263" spans="1:18" s="61" customFormat="1" ht="15.75" x14ac:dyDescent="0.25">
      <c r="A263" s="83" t="s">
        <v>436</v>
      </c>
      <c r="B263" s="89">
        <v>580000</v>
      </c>
      <c r="C263" s="89">
        <f t="shared" si="34"/>
        <v>290</v>
      </c>
      <c r="D263" s="89">
        <v>1</v>
      </c>
      <c r="E263" s="90">
        <f t="shared" ref="E263" si="45">B263/C263/D263</f>
        <v>2000</v>
      </c>
      <c r="F263" s="89">
        <v>59287.280000000006</v>
      </c>
      <c r="G263" s="89">
        <f t="shared" si="36"/>
        <v>26</v>
      </c>
      <c r="H263" s="89">
        <v>1</v>
      </c>
      <c r="I263" s="90">
        <f t="shared" ref="I263" si="46">F263/G263/H263</f>
        <v>2280.2800000000002</v>
      </c>
      <c r="J263" s="89"/>
      <c r="K263" s="89">
        <f t="shared" si="38"/>
        <v>0</v>
      </c>
      <c r="L263" s="89"/>
      <c r="M263" s="90"/>
      <c r="N263" s="89"/>
      <c r="O263" s="89"/>
      <c r="P263" s="89"/>
      <c r="Q263" s="90"/>
      <c r="R263" s="130" t="s">
        <v>432</v>
      </c>
    </row>
    <row r="264" spans="1:18" s="61" customFormat="1" x14ac:dyDescent="0.25">
      <c r="A264" s="119" t="s">
        <v>46</v>
      </c>
      <c r="B264" s="89">
        <v>644749.16999999993</v>
      </c>
      <c r="C264" s="89">
        <f>B264/D264/E264</f>
        <v>1028.181818181818</v>
      </c>
      <c r="D264" s="89">
        <v>11</v>
      </c>
      <c r="E264" s="90">
        <f>54.5*1.046</f>
        <v>57.007000000000005</v>
      </c>
      <c r="F264" s="89">
        <v>143275.85</v>
      </c>
      <c r="G264" s="89">
        <f>F264/H264/I264</f>
        <v>228.48206839032525</v>
      </c>
      <c r="H264" s="89">
        <v>11</v>
      </c>
      <c r="I264" s="90">
        <f>54.5*1.046</f>
        <v>57.007000000000005</v>
      </c>
      <c r="J264" s="89">
        <v>145367.85</v>
      </c>
      <c r="K264" s="89">
        <f>J264/L264/M264</f>
        <v>231.81818181818181</v>
      </c>
      <c r="L264" s="89">
        <v>11</v>
      </c>
      <c r="M264" s="90">
        <f>54.5*1.046</f>
        <v>57.007000000000005</v>
      </c>
      <c r="N264" s="89"/>
      <c r="O264" s="89"/>
      <c r="P264" s="89"/>
      <c r="Q264" s="90"/>
      <c r="R264" s="130" t="s">
        <v>430</v>
      </c>
    </row>
    <row r="265" spans="1:18" s="61" customFormat="1" x14ac:dyDescent="0.25">
      <c r="A265" s="119" t="s">
        <v>259</v>
      </c>
      <c r="B265" s="89"/>
      <c r="C265" s="89">
        <f t="shared" si="34"/>
        <v>0</v>
      </c>
      <c r="D265" s="89"/>
      <c r="E265" s="90"/>
      <c r="F265" s="89">
        <v>854259.47</v>
      </c>
      <c r="G265" s="89">
        <f t="shared" si="36"/>
        <v>1212</v>
      </c>
      <c r="H265" s="89">
        <v>1</v>
      </c>
      <c r="I265" s="90">
        <f>F265/G265/H265</f>
        <v>704.83454620462044</v>
      </c>
      <c r="J265" s="89">
        <v>172684.46</v>
      </c>
      <c r="K265" s="89">
        <f t="shared" si="38"/>
        <v>245</v>
      </c>
      <c r="L265" s="89">
        <v>1</v>
      </c>
      <c r="M265" s="90">
        <f>J265/K265/L265</f>
        <v>704.83453061224486</v>
      </c>
      <c r="N265" s="89"/>
      <c r="O265" s="89"/>
      <c r="P265" s="89"/>
      <c r="Q265" s="90"/>
      <c r="R265" s="130" t="s">
        <v>431</v>
      </c>
    </row>
    <row r="266" spans="1:18" s="61" customFormat="1" x14ac:dyDescent="0.25">
      <c r="A266" s="119" t="s">
        <v>47</v>
      </c>
      <c r="B266" s="89">
        <v>103752.6</v>
      </c>
      <c r="C266" s="89">
        <f t="shared" si="34"/>
        <v>144</v>
      </c>
      <c r="D266" s="89">
        <v>1</v>
      </c>
      <c r="E266" s="90">
        <f t="shared" ref="E266:E267" si="47">B266/C266/D266</f>
        <v>720.50416666666672</v>
      </c>
      <c r="F266" s="89">
        <v>13598</v>
      </c>
      <c r="G266" s="89">
        <f t="shared" si="36"/>
        <v>20</v>
      </c>
      <c r="H266" s="89">
        <v>1</v>
      </c>
      <c r="I266" s="90">
        <f>F266/G266/H266</f>
        <v>679.9</v>
      </c>
      <c r="J266" s="89"/>
      <c r="K266" s="89">
        <f t="shared" si="38"/>
        <v>0</v>
      </c>
      <c r="L266" s="89"/>
      <c r="M266" s="90"/>
      <c r="N266" s="89"/>
      <c r="O266" s="89"/>
      <c r="P266" s="89"/>
      <c r="Q266" s="90"/>
      <c r="R266" s="130" t="s">
        <v>431</v>
      </c>
    </row>
    <row r="267" spans="1:18" s="61" customFormat="1" x14ac:dyDescent="0.25">
      <c r="A267" s="119" t="s">
        <v>113</v>
      </c>
      <c r="B267" s="89">
        <v>635300.30999999971</v>
      </c>
      <c r="C267" s="89">
        <f t="shared" si="34"/>
        <v>5715</v>
      </c>
      <c r="D267" s="89">
        <v>1</v>
      </c>
      <c r="E267" s="90">
        <f t="shared" si="47"/>
        <v>111.16365879265086</v>
      </c>
      <c r="F267" s="89">
        <v>11116.35</v>
      </c>
      <c r="G267" s="89">
        <f t="shared" si="36"/>
        <v>100</v>
      </c>
      <c r="H267" s="89">
        <v>1</v>
      </c>
      <c r="I267" s="90">
        <f>F267/G267/H267</f>
        <v>111.1635</v>
      </c>
      <c r="J267" s="89">
        <v>2223.27</v>
      </c>
      <c r="K267" s="89">
        <f t="shared" si="38"/>
        <v>20</v>
      </c>
      <c r="L267" s="89">
        <v>1</v>
      </c>
      <c r="M267" s="90">
        <f>J267/K267/L267</f>
        <v>111.1635</v>
      </c>
      <c r="N267" s="89"/>
      <c r="O267" s="89"/>
      <c r="P267" s="89"/>
      <c r="Q267" s="90"/>
      <c r="R267" s="130" t="s">
        <v>431</v>
      </c>
    </row>
    <row r="268" spans="1:18" s="61" customFormat="1" x14ac:dyDescent="0.25">
      <c r="A268" s="119" t="s">
        <v>333</v>
      </c>
      <c r="B268" s="89">
        <v>32220324</v>
      </c>
      <c r="C268" s="89"/>
      <c r="D268" s="89"/>
      <c r="E268" s="90"/>
      <c r="F268" s="89">
        <v>191148</v>
      </c>
      <c r="G268" s="89"/>
      <c r="H268" s="89"/>
      <c r="I268" s="90"/>
      <c r="J268" s="89">
        <v>6710</v>
      </c>
      <c r="K268" s="89"/>
      <c r="L268" s="89"/>
      <c r="M268" s="90"/>
      <c r="N268" s="89"/>
      <c r="O268" s="89"/>
      <c r="P268" s="89"/>
      <c r="Q268" s="90"/>
      <c r="R268" s="130"/>
    </row>
    <row r="269" spans="1:18" s="61" customFormat="1" x14ac:dyDescent="0.25">
      <c r="A269" s="119" t="s">
        <v>368</v>
      </c>
      <c r="B269" s="89"/>
      <c r="C269" s="89"/>
      <c r="D269" s="89"/>
      <c r="E269" s="90"/>
      <c r="F269" s="89"/>
      <c r="G269" s="89"/>
      <c r="H269" s="89"/>
      <c r="I269" s="90"/>
      <c r="J269" s="89"/>
      <c r="K269" s="89"/>
      <c r="L269" s="89"/>
      <c r="M269" s="90"/>
      <c r="N269" s="89"/>
      <c r="O269" s="89"/>
      <c r="P269" s="89"/>
      <c r="Q269" s="90"/>
      <c r="R269" s="130"/>
    </row>
    <row r="270" spans="1:18" s="61" customFormat="1" x14ac:dyDescent="0.25">
      <c r="A270" s="119" t="s">
        <v>352</v>
      </c>
      <c r="B270" s="89"/>
      <c r="C270" s="89"/>
      <c r="D270" s="89"/>
      <c r="E270" s="90"/>
      <c r="F270" s="89"/>
      <c r="G270" s="89"/>
      <c r="H270" s="89"/>
      <c r="I270" s="90"/>
      <c r="J270" s="89"/>
      <c r="K270" s="89"/>
      <c r="L270" s="89"/>
      <c r="M270" s="90"/>
      <c r="N270" s="89">
        <v>6856022.7000000002</v>
      </c>
      <c r="O270" s="89">
        <v>5930</v>
      </c>
      <c r="P270" s="89">
        <v>24</v>
      </c>
      <c r="Q270" s="90">
        <f>N270/O270</f>
        <v>1156.1589713322091</v>
      </c>
      <c r="R270" s="130"/>
    </row>
    <row r="271" spans="1:18" s="61" customFormat="1" x14ac:dyDescent="0.25">
      <c r="A271" s="119" t="s">
        <v>355</v>
      </c>
      <c r="B271" s="89"/>
      <c r="C271" s="89"/>
      <c r="D271" s="89"/>
      <c r="E271" s="90"/>
      <c r="F271" s="89"/>
      <c r="G271" s="89"/>
      <c r="H271" s="89"/>
      <c r="I271" s="90"/>
      <c r="J271" s="89"/>
      <c r="K271" s="89"/>
      <c r="L271" s="89"/>
      <c r="M271" s="90"/>
      <c r="N271" s="89">
        <v>3428011.35</v>
      </c>
      <c r="O271" s="89"/>
      <c r="P271" s="89"/>
      <c r="Q271" s="90"/>
      <c r="R271" s="130"/>
    </row>
    <row r="272" spans="1:18" s="61" customFormat="1" x14ac:dyDescent="0.25">
      <c r="A272" s="119" t="s">
        <v>348</v>
      </c>
      <c r="B272" s="89"/>
      <c r="C272" s="89"/>
      <c r="D272" s="89"/>
      <c r="E272" s="90"/>
      <c r="F272" s="89"/>
      <c r="G272" s="89"/>
      <c r="H272" s="89"/>
      <c r="I272" s="90"/>
      <c r="J272" s="89"/>
      <c r="K272" s="89"/>
      <c r="L272" s="89"/>
      <c r="M272" s="90"/>
      <c r="N272" s="89">
        <v>355800</v>
      </c>
      <c r="O272" s="89">
        <v>5930</v>
      </c>
      <c r="P272" s="89">
        <v>1</v>
      </c>
      <c r="Q272" s="90">
        <f>N272/O272/P272</f>
        <v>60</v>
      </c>
      <c r="R272" s="130"/>
    </row>
    <row r="273" spans="1:18" s="61" customFormat="1" x14ac:dyDescent="0.25">
      <c r="A273" s="119" t="s">
        <v>349</v>
      </c>
      <c r="B273" s="89"/>
      <c r="C273" s="89"/>
      <c r="D273" s="89"/>
      <c r="E273" s="90"/>
      <c r="F273" s="89"/>
      <c r="G273" s="89"/>
      <c r="H273" s="89"/>
      <c r="I273" s="90"/>
      <c r="J273" s="89"/>
      <c r="K273" s="89"/>
      <c r="L273" s="89"/>
      <c r="M273" s="90"/>
      <c r="N273" s="89">
        <v>282350</v>
      </c>
      <c r="O273" s="89">
        <v>5930</v>
      </c>
      <c r="P273" s="89">
        <v>1</v>
      </c>
      <c r="Q273" s="90">
        <f>N273/O273/P273</f>
        <v>47.613827993254638</v>
      </c>
      <c r="R273" s="130"/>
    </row>
    <row r="274" spans="1:18" s="61" customFormat="1" x14ac:dyDescent="0.25">
      <c r="A274" s="119" t="s">
        <v>350</v>
      </c>
      <c r="B274" s="89"/>
      <c r="C274" s="89"/>
      <c r="D274" s="89"/>
      <c r="E274" s="90"/>
      <c r="F274" s="89"/>
      <c r="G274" s="89"/>
      <c r="H274" s="89"/>
      <c r="I274" s="90"/>
      <c r="J274" s="89"/>
      <c r="K274" s="89"/>
      <c r="L274" s="89"/>
      <c r="M274" s="90"/>
      <c r="N274" s="89">
        <v>282350</v>
      </c>
      <c r="O274" s="89">
        <v>5930</v>
      </c>
      <c r="P274" s="89">
        <v>1</v>
      </c>
      <c r="Q274" s="90">
        <f>N274/O274/P274</f>
        <v>47.613827993254638</v>
      </c>
      <c r="R274" s="130"/>
    </row>
    <row r="275" spans="1:18" s="61" customFormat="1" x14ac:dyDescent="0.25">
      <c r="A275" s="119" t="s">
        <v>351</v>
      </c>
      <c r="B275" s="89"/>
      <c r="C275" s="89"/>
      <c r="D275" s="89"/>
      <c r="E275" s="90"/>
      <c r="F275" s="89"/>
      <c r="G275" s="89"/>
      <c r="H275" s="89"/>
      <c r="I275" s="90"/>
      <c r="J275" s="89"/>
      <c r="K275" s="89"/>
      <c r="L275" s="89"/>
      <c r="M275" s="90"/>
      <c r="N275" s="89">
        <v>60695</v>
      </c>
      <c r="O275" s="89">
        <v>5930</v>
      </c>
      <c r="P275" s="89">
        <v>1</v>
      </c>
      <c r="Q275" s="90">
        <f>N275/O275/P275</f>
        <v>10.235244519392918</v>
      </c>
      <c r="R275" s="130"/>
    </row>
    <row r="276" spans="1:18" s="62" customFormat="1" x14ac:dyDescent="0.25">
      <c r="A276" s="143" t="s">
        <v>332</v>
      </c>
      <c r="B276" s="144">
        <f>SUM(B144:B268)</f>
        <v>611732366.74999976</v>
      </c>
      <c r="C276" s="145"/>
      <c r="D276" s="145"/>
      <c r="E276" s="146"/>
      <c r="F276" s="144">
        <f>SUM(F144:F269)</f>
        <v>171660826.35999995</v>
      </c>
      <c r="G276" s="145"/>
      <c r="H276" s="145"/>
      <c r="I276" s="146"/>
      <c r="J276" s="144">
        <f>SUM(J144:J268)</f>
        <v>15670647.540000001</v>
      </c>
      <c r="K276" s="145"/>
      <c r="L276" s="145"/>
      <c r="M276" s="146"/>
      <c r="N276" s="144">
        <f>SUM(N144:N275)</f>
        <v>12186761.85</v>
      </c>
      <c r="O276" s="144">
        <f>SUM(O144:O275)</f>
        <v>29652.400000000001</v>
      </c>
      <c r="P276" s="144">
        <f>SUM(P144:P275)</f>
        <v>52</v>
      </c>
      <c r="Q276" s="144">
        <f>SUM(Q144:Q275)</f>
        <v>9185.8718718381133</v>
      </c>
      <c r="R276" s="147"/>
    </row>
    <row r="277" spans="1:18" s="61" customFormat="1" x14ac:dyDescent="0.25">
      <c r="A277" s="148"/>
      <c r="B277" s="149"/>
      <c r="C277" s="149"/>
      <c r="D277" s="149"/>
      <c r="E277" s="150"/>
      <c r="F277" s="149"/>
      <c r="G277" s="149"/>
      <c r="H277" s="149"/>
      <c r="I277" s="150"/>
      <c r="J277" s="149"/>
      <c r="K277" s="149"/>
      <c r="L277" s="149"/>
      <c r="M277" s="150"/>
      <c r="N277" s="149"/>
      <c r="O277" s="149"/>
      <c r="P277" s="149"/>
      <c r="Q277" s="150"/>
      <c r="R277" s="114"/>
    </row>
    <row r="278" spans="1:18" s="61" customFormat="1" x14ac:dyDescent="0.25">
      <c r="A278" s="151"/>
      <c r="B278" s="152">
        <v>611732366.75</v>
      </c>
      <c r="C278" s="152"/>
      <c r="D278" s="149"/>
      <c r="E278" s="150"/>
      <c r="F278" s="152">
        <v>171660826.35999998</v>
      </c>
      <c r="G278" s="152"/>
      <c r="H278" s="149"/>
      <c r="I278" s="150"/>
      <c r="J278" s="152">
        <v>15670647.540000003</v>
      </c>
      <c r="K278" s="152"/>
      <c r="L278" s="149"/>
      <c r="M278" s="150"/>
      <c r="N278" s="152">
        <v>12186761.849999998</v>
      </c>
      <c r="O278" s="152"/>
      <c r="P278" s="149"/>
      <c r="Q278" s="150"/>
      <c r="R278" s="114"/>
    </row>
    <row r="279" spans="1:18" s="61" customFormat="1" x14ac:dyDescent="0.25">
      <c r="A279" s="148"/>
      <c r="B279" s="152">
        <f>B278-B276</f>
        <v>0</v>
      </c>
      <c r="C279" s="149"/>
      <c r="D279" s="149"/>
      <c r="E279" s="150"/>
      <c r="F279" s="152">
        <f>F278-F276</f>
        <v>0</v>
      </c>
      <c r="G279" s="149"/>
      <c r="H279" s="149"/>
      <c r="I279" s="150"/>
      <c r="J279" s="152">
        <f>J278-J276</f>
        <v>0</v>
      </c>
      <c r="K279" s="149"/>
      <c r="L279" s="149"/>
      <c r="M279" s="150"/>
      <c r="N279" s="152">
        <f>N278-N276</f>
        <v>0</v>
      </c>
      <c r="O279" s="149"/>
      <c r="P279" s="149"/>
      <c r="Q279" s="150"/>
      <c r="R279" s="114"/>
    </row>
    <row r="280" spans="1:18" s="61" customFormat="1" x14ac:dyDescent="0.25">
      <c r="A280" s="148"/>
      <c r="B280" s="149"/>
      <c r="C280" s="149"/>
      <c r="D280" s="149"/>
      <c r="E280" s="150"/>
      <c r="F280" s="149"/>
      <c r="G280" s="149"/>
      <c r="H280" s="149"/>
      <c r="I280" s="150"/>
      <c r="J280" s="149"/>
      <c r="K280" s="149"/>
      <c r="L280" s="149"/>
      <c r="M280" s="150"/>
      <c r="N280" s="149"/>
      <c r="O280" s="149"/>
      <c r="P280" s="149"/>
      <c r="Q280" s="150"/>
      <c r="R280" s="114"/>
    </row>
    <row r="282" spans="1:18" s="107" customFormat="1" x14ac:dyDescent="0.25">
      <c r="A282" s="140" t="s">
        <v>445</v>
      </c>
      <c r="B282" s="386" t="s">
        <v>338</v>
      </c>
      <c r="C282" s="386"/>
      <c r="D282" s="386"/>
      <c r="E282" s="386"/>
      <c r="F282" s="387" t="s">
        <v>339</v>
      </c>
      <c r="G282" s="388"/>
      <c r="H282" s="388"/>
      <c r="I282" s="389"/>
      <c r="J282" s="387" t="s">
        <v>340</v>
      </c>
      <c r="K282" s="388"/>
      <c r="L282" s="388"/>
      <c r="M282" s="389"/>
      <c r="N282" s="387" t="s">
        <v>347</v>
      </c>
      <c r="O282" s="388"/>
      <c r="P282" s="388"/>
      <c r="Q282" s="389"/>
      <c r="R282" s="139"/>
    </row>
    <row r="283" spans="1:18" s="61" customFormat="1" ht="38.25" x14ac:dyDescent="0.25">
      <c r="A283" s="85"/>
      <c r="B283" s="141" t="s">
        <v>444</v>
      </c>
      <c r="C283" s="141" t="s">
        <v>170</v>
      </c>
      <c r="D283" s="141" t="s">
        <v>174</v>
      </c>
      <c r="E283" s="90" t="s">
        <v>286</v>
      </c>
      <c r="F283" s="141" t="s">
        <v>444</v>
      </c>
      <c r="G283" s="141" t="s">
        <v>170</v>
      </c>
      <c r="H283" s="141" t="s">
        <v>174</v>
      </c>
      <c r="I283" s="90" t="s">
        <v>286</v>
      </c>
      <c r="J283" s="141" t="s">
        <v>446</v>
      </c>
      <c r="K283" s="141" t="s">
        <v>170</v>
      </c>
      <c r="L283" s="141" t="s">
        <v>174</v>
      </c>
      <c r="M283" s="90" t="s">
        <v>286</v>
      </c>
      <c r="N283" s="141" t="s">
        <v>446</v>
      </c>
      <c r="O283" s="141" t="s">
        <v>170</v>
      </c>
      <c r="P283" s="141" t="s">
        <v>174</v>
      </c>
      <c r="Q283" s="90" t="s">
        <v>286</v>
      </c>
      <c r="R283" s="114"/>
    </row>
    <row r="284" spans="1:18" s="61" customFormat="1" x14ac:dyDescent="0.25">
      <c r="A284" s="85" t="s">
        <v>86</v>
      </c>
      <c r="B284" s="89">
        <v>142513459.16999999</v>
      </c>
      <c r="C284" s="89">
        <f>C144</f>
        <v>921.8</v>
      </c>
      <c r="D284" s="89">
        <v>12</v>
      </c>
      <c r="E284" s="90">
        <f>B284/C284/D284</f>
        <v>12883.620739314385</v>
      </c>
      <c r="F284" s="89">
        <v>104783347.98999999</v>
      </c>
      <c r="G284" s="89">
        <f>G144</f>
        <v>368.4</v>
      </c>
      <c r="H284" s="89">
        <v>12</v>
      </c>
      <c r="I284" s="90">
        <f>F284/G284/H284</f>
        <v>23702.349798678973</v>
      </c>
      <c r="J284" s="89">
        <v>10295110.99</v>
      </c>
      <c r="K284" s="89">
        <f>K144</f>
        <v>49</v>
      </c>
      <c r="L284" s="89">
        <v>12</v>
      </c>
      <c r="M284" s="90">
        <f>J284/K284/L284</f>
        <v>17508.692159863946</v>
      </c>
      <c r="N284" s="89">
        <v>707782.5</v>
      </c>
      <c r="O284" s="89">
        <v>2.4</v>
      </c>
      <c r="P284" s="89">
        <v>24</v>
      </c>
      <c r="Q284" s="90">
        <f>N284/90</f>
        <v>7864.25</v>
      </c>
      <c r="R284" s="130">
        <v>211</v>
      </c>
    </row>
    <row r="285" spans="1:18" s="61" customFormat="1" x14ac:dyDescent="0.25">
      <c r="A285" s="85" t="s">
        <v>334</v>
      </c>
      <c r="B285" s="89">
        <v>43039064.669999994</v>
      </c>
      <c r="C285" s="89">
        <f t="shared" ref="C285:C348" si="48">C145</f>
        <v>0</v>
      </c>
      <c r="D285" s="89"/>
      <c r="E285" s="90"/>
      <c r="F285" s="89">
        <v>31644571.090000007</v>
      </c>
      <c r="G285" s="89">
        <f t="shared" ref="G285:G348" si="49">G145</f>
        <v>0</v>
      </c>
      <c r="H285" s="89"/>
      <c r="I285" s="90"/>
      <c r="J285" s="89">
        <v>3109123.52</v>
      </c>
      <c r="K285" s="89">
        <f t="shared" ref="K285:K348" si="50">K145</f>
        <v>0</v>
      </c>
      <c r="L285" s="89"/>
      <c r="M285" s="90"/>
      <c r="N285" s="89">
        <v>213750.30000000005</v>
      </c>
      <c r="O285" s="89"/>
      <c r="P285" s="89"/>
      <c r="Q285" s="90"/>
      <c r="R285" s="130">
        <v>213</v>
      </c>
    </row>
    <row r="286" spans="1:18" s="61" customFormat="1" x14ac:dyDescent="0.25">
      <c r="A286" s="85" t="s">
        <v>241</v>
      </c>
      <c r="B286" s="89"/>
      <c r="C286" s="89">
        <f t="shared" si="48"/>
        <v>0</v>
      </c>
      <c r="D286" s="89"/>
      <c r="E286" s="90"/>
      <c r="F286" s="89">
        <v>72738.39</v>
      </c>
      <c r="G286" s="89">
        <f t="shared" si="49"/>
        <v>17</v>
      </c>
      <c r="H286" s="89">
        <v>12</v>
      </c>
      <c r="I286" s="90">
        <f t="shared" ref="I286:I291" si="51">F286/G286/H286</f>
        <v>356.56073529411765</v>
      </c>
      <c r="J286" s="89">
        <v>18184.59</v>
      </c>
      <c r="K286" s="89">
        <f t="shared" si="50"/>
        <v>5</v>
      </c>
      <c r="L286" s="89">
        <v>12</v>
      </c>
      <c r="M286" s="90">
        <f>J286/K286/L286</f>
        <v>303.07650000000001</v>
      </c>
      <c r="N286" s="89"/>
      <c r="O286" s="89"/>
      <c r="P286" s="89"/>
      <c r="Q286" s="90"/>
      <c r="R286" s="130">
        <v>221</v>
      </c>
    </row>
    <row r="287" spans="1:18" s="61" customFormat="1" x14ac:dyDescent="0.25">
      <c r="A287" s="85" t="s">
        <v>242</v>
      </c>
      <c r="B287" s="89"/>
      <c r="C287" s="89">
        <f t="shared" si="48"/>
        <v>0</v>
      </c>
      <c r="D287" s="89"/>
      <c r="E287" s="90"/>
      <c r="F287" s="89">
        <v>177297.24</v>
      </c>
      <c r="G287" s="89">
        <f t="shared" si="49"/>
        <v>17306</v>
      </c>
      <c r="H287" s="89">
        <v>12</v>
      </c>
      <c r="I287" s="90">
        <f t="shared" si="51"/>
        <v>0.85373685427019519</v>
      </c>
      <c r="J287" s="89">
        <v>72041.73</v>
      </c>
      <c r="K287" s="89">
        <f t="shared" si="50"/>
        <v>7032</v>
      </c>
      <c r="L287" s="89">
        <v>12</v>
      </c>
      <c r="M287" s="90">
        <f>J287/K287/L287</f>
        <v>0.85373684584755394</v>
      </c>
      <c r="N287" s="89"/>
      <c r="O287" s="89"/>
      <c r="P287" s="89"/>
      <c r="Q287" s="90"/>
      <c r="R287" s="130">
        <v>221</v>
      </c>
    </row>
    <row r="288" spans="1:18" s="61" customFormat="1" x14ac:dyDescent="0.25">
      <c r="A288" s="85" t="s">
        <v>244</v>
      </c>
      <c r="B288" s="89"/>
      <c r="C288" s="89">
        <f t="shared" si="48"/>
        <v>0</v>
      </c>
      <c r="D288" s="89"/>
      <c r="E288" s="90"/>
      <c r="F288" s="89">
        <v>10814</v>
      </c>
      <c r="G288" s="89">
        <f t="shared" si="49"/>
        <v>5</v>
      </c>
      <c r="H288" s="89">
        <v>12</v>
      </c>
      <c r="I288" s="90">
        <f t="shared" si="51"/>
        <v>180.23333333333335</v>
      </c>
      <c r="J288" s="89">
        <v>2162.8000000000002</v>
      </c>
      <c r="K288" s="89">
        <f t="shared" si="50"/>
        <v>1</v>
      </c>
      <c r="L288" s="89">
        <v>12</v>
      </c>
      <c r="M288" s="90">
        <f>J288/K288/L288</f>
        <v>180.23333333333335</v>
      </c>
      <c r="N288" s="89"/>
      <c r="O288" s="89"/>
      <c r="P288" s="89"/>
      <c r="Q288" s="90"/>
      <c r="R288" s="130">
        <v>221</v>
      </c>
    </row>
    <row r="289" spans="1:18" s="61" customFormat="1" x14ac:dyDescent="0.25">
      <c r="A289" s="85" t="s">
        <v>246</v>
      </c>
      <c r="B289" s="89"/>
      <c r="C289" s="89">
        <f t="shared" si="48"/>
        <v>0</v>
      </c>
      <c r="D289" s="89"/>
      <c r="E289" s="90"/>
      <c r="F289" s="89">
        <v>188217.66999999998</v>
      </c>
      <c r="G289" s="89">
        <f t="shared" si="49"/>
        <v>5</v>
      </c>
      <c r="H289" s="89">
        <v>12</v>
      </c>
      <c r="I289" s="90">
        <f t="shared" si="51"/>
        <v>3136.9611666666665</v>
      </c>
      <c r="J289" s="89">
        <v>56346.630000000005</v>
      </c>
      <c r="K289" s="89">
        <f t="shared" si="50"/>
        <v>1</v>
      </c>
      <c r="L289" s="89">
        <v>12</v>
      </c>
      <c r="M289" s="90">
        <f>J289/K289/L289</f>
        <v>4695.5525000000007</v>
      </c>
      <c r="N289" s="89"/>
      <c r="O289" s="89"/>
      <c r="P289" s="89"/>
      <c r="Q289" s="90"/>
      <c r="R289" s="130">
        <v>221</v>
      </c>
    </row>
    <row r="290" spans="1:18" s="61" customFormat="1" ht="25.5" x14ac:dyDescent="0.25">
      <c r="A290" s="85" t="s">
        <v>374</v>
      </c>
      <c r="B290" s="89">
        <v>586980.09000000032</v>
      </c>
      <c r="C290" s="89">
        <f t="shared" si="48"/>
        <v>36</v>
      </c>
      <c r="D290" s="89">
        <v>4</v>
      </c>
      <c r="E290" s="90">
        <f>B290/C290/D290</f>
        <v>4076.2506250000024</v>
      </c>
      <c r="F290" s="89">
        <v>38258.36</v>
      </c>
      <c r="G290" s="89">
        <f t="shared" si="49"/>
        <v>7</v>
      </c>
      <c r="H290" s="89">
        <v>4</v>
      </c>
      <c r="I290" s="90">
        <f t="shared" si="51"/>
        <v>1366.3700000000001</v>
      </c>
      <c r="J290" s="89">
        <v>32792.89</v>
      </c>
      <c r="K290" s="89">
        <f t="shared" si="50"/>
        <v>6</v>
      </c>
      <c r="L290" s="89">
        <v>4</v>
      </c>
      <c r="M290" s="90">
        <f>J290/K290/L290</f>
        <v>1366.3704166666666</v>
      </c>
      <c r="N290" s="89"/>
      <c r="O290" s="89"/>
      <c r="P290" s="89"/>
      <c r="Q290" s="90"/>
      <c r="R290" s="142" t="s">
        <v>357</v>
      </c>
    </row>
    <row r="291" spans="1:18" s="61" customFormat="1" x14ac:dyDescent="0.25">
      <c r="A291" s="85" t="s">
        <v>365</v>
      </c>
      <c r="B291" s="89"/>
      <c r="C291" s="89">
        <f t="shared" si="48"/>
        <v>0</v>
      </c>
      <c r="D291" s="89"/>
      <c r="E291" s="90"/>
      <c r="F291" s="89">
        <v>65077.71</v>
      </c>
      <c r="G291" s="89">
        <f t="shared" si="49"/>
        <v>2</v>
      </c>
      <c r="H291" s="89">
        <v>12</v>
      </c>
      <c r="I291" s="90">
        <f t="shared" si="51"/>
        <v>2711.57125</v>
      </c>
      <c r="J291" s="89"/>
      <c r="K291" s="89">
        <f t="shared" si="50"/>
        <v>0</v>
      </c>
      <c r="L291" s="89"/>
      <c r="M291" s="90"/>
      <c r="N291" s="89"/>
      <c r="O291" s="89"/>
      <c r="P291" s="89"/>
      <c r="Q291" s="90"/>
      <c r="R291" s="130" t="s">
        <v>366</v>
      </c>
    </row>
    <row r="292" spans="1:18" s="61" customFormat="1" x14ac:dyDescent="0.25">
      <c r="A292" s="85" t="s">
        <v>7</v>
      </c>
      <c r="B292" s="89">
        <v>37549601.200000018</v>
      </c>
      <c r="C292" s="89">
        <f t="shared" si="48"/>
        <v>3313.1214264326877</v>
      </c>
      <c r="D292" s="89">
        <v>1</v>
      </c>
      <c r="E292" s="90">
        <f>B292/C292/D292/1000</f>
        <v>11.333602475424668</v>
      </c>
      <c r="F292" s="89">
        <v>1286698.5</v>
      </c>
      <c r="G292" s="89">
        <f t="shared" si="49"/>
        <v>113.06013705633248</v>
      </c>
      <c r="H292" s="89">
        <v>1</v>
      </c>
      <c r="I292" s="90">
        <f>F292/G292/H292/1000</f>
        <v>11.38065575985371</v>
      </c>
      <c r="J292" s="89">
        <v>140781.29</v>
      </c>
      <c r="K292" s="89">
        <f t="shared" si="50"/>
        <v>12370.227223490891</v>
      </c>
      <c r="L292" s="89">
        <v>1</v>
      </c>
      <c r="M292" s="90">
        <f>J292/K292/L292</f>
        <v>11.380655137252312</v>
      </c>
      <c r="N292" s="89"/>
      <c r="O292" s="89"/>
      <c r="P292" s="89"/>
      <c r="Q292" s="90"/>
      <c r="R292" s="130" t="s">
        <v>386</v>
      </c>
    </row>
    <row r="293" spans="1:18" s="61" customFormat="1" x14ac:dyDescent="0.25">
      <c r="A293" s="85" t="s">
        <v>9</v>
      </c>
      <c r="B293" s="89">
        <v>98732050.670000017</v>
      </c>
      <c r="C293" s="89">
        <f t="shared" si="48"/>
        <v>31897.39</v>
      </c>
      <c r="D293" s="89">
        <v>1</v>
      </c>
      <c r="E293" s="90">
        <f t="shared" ref="E293:E295" si="52">B293/C293/D293</f>
        <v>3095.3018623153812</v>
      </c>
      <c r="F293" s="89">
        <v>4314850.790000001</v>
      </c>
      <c r="G293" s="89">
        <f t="shared" si="49"/>
        <v>1394</v>
      </c>
      <c r="H293" s="89">
        <v>1</v>
      </c>
      <c r="I293" s="90">
        <f>F293/G293/H293</f>
        <v>3095.3018579626978</v>
      </c>
      <c r="J293" s="89">
        <v>526201.30999999994</v>
      </c>
      <c r="K293" s="89">
        <f t="shared" si="50"/>
        <v>170</v>
      </c>
      <c r="L293" s="89">
        <v>1</v>
      </c>
      <c r="M293" s="90">
        <f>J293/K293/L293</f>
        <v>3095.3018235294112</v>
      </c>
      <c r="N293" s="89"/>
      <c r="O293" s="89"/>
      <c r="P293" s="89"/>
      <c r="Q293" s="90"/>
      <c r="R293" s="130" t="s">
        <v>387</v>
      </c>
    </row>
    <row r="294" spans="1:18" s="61" customFormat="1" x14ac:dyDescent="0.25">
      <c r="A294" s="85" t="s">
        <v>12</v>
      </c>
      <c r="B294" s="89">
        <v>10415312.569999998</v>
      </c>
      <c r="C294" s="89">
        <f t="shared" si="48"/>
        <v>184725.17</v>
      </c>
      <c r="D294" s="89">
        <v>1</v>
      </c>
      <c r="E294" s="90">
        <f t="shared" si="52"/>
        <v>56.382747245543193</v>
      </c>
      <c r="F294" s="89">
        <v>227848.88350000003</v>
      </c>
      <c r="G294" s="89">
        <f t="shared" si="49"/>
        <v>4041.1099999999997</v>
      </c>
      <c r="H294" s="89">
        <v>1</v>
      </c>
      <c r="I294" s="90">
        <f>F294/G294/H294</f>
        <v>56.382747190747111</v>
      </c>
      <c r="J294" s="89">
        <v>19977.535</v>
      </c>
      <c r="K294" s="89">
        <f t="shared" si="50"/>
        <v>354.32</v>
      </c>
      <c r="L294" s="89">
        <v>1</v>
      </c>
      <c r="M294" s="90">
        <f>J294/K294/L294</f>
        <v>56.382747234138634</v>
      </c>
      <c r="N294" s="89"/>
      <c r="O294" s="89"/>
      <c r="P294" s="89"/>
      <c r="Q294" s="90"/>
      <c r="R294" s="130" t="s">
        <v>388</v>
      </c>
    </row>
    <row r="295" spans="1:18" s="61" customFormat="1" x14ac:dyDescent="0.25">
      <c r="A295" s="85" t="s">
        <v>17</v>
      </c>
      <c r="B295" s="89">
        <v>15827167.150908213</v>
      </c>
      <c r="C295" s="89">
        <f t="shared" si="48"/>
        <v>184725.17</v>
      </c>
      <c r="D295" s="89">
        <v>1</v>
      </c>
      <c r="E295" s="90">
        <f t="shared" si="52"/>
        <v>85.679537612054773</v>
      </c>
      <c r="F295" s="89">
        <v>346240.43623945076</v>
      </c>
      <c r="G295" s="89">
        <f t="shared" si="49"/>
        <v>4041.1099999999997</v>
      </c>
      <c r="H295" s="89">
        <v>1</v>
      </c>
      <c r="I295" s="90">
        <f>F295/G295/H295</f>
        <v>85.679537612054801</v>
      </c>
      <c r="J295" s="89">
        <v>30357.973766703257</v>
      </c>
      <c r="K295" s="89">
        <f t="shared" si="50"/>
        <v>354.32</v>
      </c>
      <c r="L295" s="89">
        <v>1</v>
      </c>
      <c r="M295" s="90">
        <f>J295/K295/L295</f>
        <v>85.679537612054801</v>
      </c>
      <c r="N295" s="89"/>
      <c r="O295" s="117"/>
      <c r="P295" s="89"/>
      <c r="Q295" s="90"/>
      <c r="R295" s="130" t="s">
        <v>388</v>
      </c>
    </row>
    <row r="296" spans="1:18" s="61" customFormat="1" x14ac:dyDescent="0.25">
      <c r="A296" s="85" t="s">
        <v>13</v>
      </c>
      <c r="B296" s="89">
        <v>21586160.849091787</v>
      </c>
      <c r="C296" s="89">
        <f t="shared" si="48"/>
        <v>184725.17</v>
      </c>
      <c r="D296" s="89">
        <v>1</v>
      </c>
      <c r="E296" s="90">
        <f>B296/C296/D296</f>
        <v>116.85554734686012</v>
      </c>
      <c r="F296" s="89">
        <v>422815.09026054927</v>
      </c>
      <c r="G296" s="89">
        <f t="shared" si="49"/>
        <v>4041.1099999999997</v>
      </c>
      <c r="H296" s="89">
        <v>1</v>
      </c>
      <c r="I296" s="90">
        <f>F296/G296/H296</f>
        <v>104.62845363292494</v>
      </c>
      <c r="J296" s="89">
        <v>37071.951233296742</v>
      </c>
      <c r="K296" s="89">
        <f t="shared" si="50"/>
        <v>354.32</v>
      </c>
      <c r="L296" s="89">
        <v>1</v>
      </c>
      <c r="M296" s="90">
        <f>J296/K296/L296</f>
        <v>104.6284466959154</v>
      </c>
      <c r="N296" s="89"/>
      <c r="O296" s="89"/>
      <c r="P296" s="89"/>
      <c r="Q296" s="90"/>
      <c r="R296" s="130" t="s">
        <v>388</v>
      </c>
    </row>
    <row r="297" spans="1:18" s="61" customFormat="1" x14ac:dyDescent="0.25">
      <c r="A297" s="85" t="s">
        <v>18</v>
      </c>
      <c r="B297" s="89">
        <v>441615.75000000006</v>
      </c>
      <c r="C297" s="89">
        <f t="shared" si="48"/>
        <v>13887.6</v>
      </c>
      <c r="D297" s="89">
        <v>1</v>
      </c>
      <c r="E297" s="90">
        <f>B297/C297/D297</f>
        <v>31.799284973645559</v>
      </c>
      <c r="F297" s="89"/>
      <c r="G297" s="89"/>
      <c r="H297" s="89"/>
      <c r="I297" s="90"/>
      <c r="J297" s="89"/>
      <c r="K297" s="89">
        <f t="shared" si="50"/>
        <v>0</v>
      </c>
      <c r="L297" s="89"/>
      <c r="M297" s="90"/>
      <c r="N297" s="89"/>
      <c r="O297" s="89"/>
      <c r="P297" s="89"/>
      <c r="Q297" s="90"/>
      <c r="R297" s="130" t="s">
        <v>389</v>
      </c>
    </row>
    <row r="298" spans="1:18" s="61" customFormat="1" x14ac:dyDescent="0.25">
      <c r="A298" s="85" t="s">
        <v>23</v>
      </c>
      <c r="B298" s="89">
        <v>2719872.74</v>
      </c>
      <c r="C298" s="89">
        <f t="shared" si="48"/>
        <v>3368.6400000000003</v>
      </c>
      <c r="D298" s="89">
        <v>1</v>
      </c>
      <c r="E298" s="90">
        <f t="shared" ref="E298:E299" si="53">B298/C298/D298</f>
        <v>807.40973805452643</v>
      </c>
      <c r="F298" s="89">
        <v>20169.100000000002</v>
      </c>
      <c r="G298" s="89">
        <f t="shared" si="49"/>
        <v>24.979999999999997</v>
      </c>
      <c r="H298" s="89">
        <v>1</v>
      </c>
      <c r="I298" s="90">
        <f>F298/G298/H298</f>
        <v>807.4099279423541</v>
      </c>
      <c r="J298" s="89">
        <v>45286.44</v>
      </c>
      <c r="K298" s="89">
        <f t="shared" si="50"/>
        <v>63.36</v>
      </c>
      <c r="L298" s="89">
        <v>1</v>
      </c>
      <c r="M298" s="90">
        <f>J298/K298/L298</f>
        <v>714.74810606060612</v>
      </c>
      <c r="N298" s="89"/>
      <c r="O298" s="89"/>
      <c r="P298" s="89"/>
      <c r="Q298" s="90"/>
      <c r="R298" s="130" t="s">
        <v>390</v>
      </c>
    </row>
    <row r="299" spans="1:18" s="61" customFormat="1" x14ac:dyDescent="0.25">
      <c r="A299" s="85" t="s">
        <v>24</v>
      </c>
      <c r="B299" s="89">
        <v>924589.23000000045</v>
      </c>
      <c r="C299" s="89">
        <f t="shared" si="48"/>
        <v>147</v>
      </c>
      <c r="D299" s="89">
        <v>1</v>
      </c>
      <c r="E299" s="90">
        <f t="shared" si="53"/>
        <v>6289.7226530612279</v>
      </c>
      <c r="F299" s="89">
        <v>31285.200000000001</v>
      </c>
      <c r="G299" s="89">
        <f t="shared" si="49"/>
        <v>5</v>
      </c>
      <c r="H299" s="89">
        <v>1</v>
      </c>
      <c r="I299" s="90">
        <f>F299/G299/H299</f>
        <v>6257.04</v>
      </c>
      <c r="J299" s="89">
        <v>22871.94</v>
      </c>
      <c r="K299" s="89">
        <f t="shared" si="50"/>
        <v>4</v>
      </c>
      <c r="L299" s="89">
        <v>1</v>
      </c>
      <c r="M299" s="90">
        <f>J299/K299/L299</f>
        <v>5717.9849999999997</v>
      </c>
      <c r="N299" s="89"/>
      <c r="O299" s="89"/>
      <c r="P299" s="89"/>
      <c r="Q299" s="90"/>
      <c r="R299" s="130" t="s">
        <v>390</v>
      </c>
    </row>
    <row r="300" spans="1:18" s="61" customFormat="1" x14ac:dyDescent="0.25">
      <c r="A300" s="85" t="s">
        <v>335</v>
      </c>
      <c r="B300" s="89"/>
      <c r="C300" s="89">
        <f t="shared" si="48"/>
        <v>0</v>
      </c>
      <c r="D300" s="89"/>
      <c r="E300" s="90"/>
      <c r="F300" s="89"/>
      <c r="G300" s="89">
        <f t="shared" si="49"/>
        <v>3336.3</v>
      </c>
      <c r="H300" s="89">
        <v>1</v>
      </c>
      <c r="I300" s="90">
        <f>F300/G300/H300</f>
        <v>0</v>
      </c>
      <c r="J300" s="89"/>
      <c r="K300" s="89">
        <f t="shared" si="50"/>
        <v>0</v>
      </c>
      <c r="L300" s="89"/>
      <c r="M300" s="90"/>
      <c r="N300" s="89"/>
      <c r="O300" s="89"/>
      <c r="P300" s="89"/>
      <c r="Q300" s="90"/>
      <c r="R300" s="130" t="s">
        <v>396</v>
      </c>
    </row>
    <row r="301" spans="1:18" s="61" customFormat="1" x14ac:dyDescent="0.25">
      <c r="A301" s="85" t="s">
        <v>336</v>
      </c>
      <c r="B301" s="89"/>
      <c r="C301" s="89">
        <f t="shared" si="48"/>
        <v>0</v>
      </c>
      <c r="D301" s="89"/>
      <c r="E301" s="90"/>
      <c r="F301" s="89"/>
      <c r="G301" s="89"/>
      <c r="H301" s="89"/>
      <c r="I301" s="90"/>
      <c r="J301" s="89"/>
      <c r="K301" s="89">
        <f t="shared" si="50"/>
        <v>0</v>
      </c>
      <c r="L301" s="89"/>
      <c r="M301" s="90"/>
      <c r="N301" s="89"/>
      <c r="O301" s="89"/>
      <c r="P301" s="89"/>
      <c r="Q301" s="90"/>
      <c r="R301" s="130" t="s">
        <v>396</v>
      </c>
    </row>
    <row r="302" spans="1:18" s="61" customFormat="1" x14ac:dyDescent="0.25">
      <c r="A302" s="85" t="s">
        <v>337</v>
      </c>
      <c r="B302" s="89"/>
      <c r="C302" s="89">
        <f t="shared" si="48"/>
        <v>5</v>
      </c>
      <c r="D302" s="89">
        <v>1</v>
      </c>
      <c r="E302" s="90">
        <f>B302/C302/D302</f>
        <v>0</v>
      </c>
      <c r="F302" s="89"/>
      <c r="G302" s="89"/>
      <c r="H302" s="89"/>
      <c r="I302" s="90"/>
      <c r="J302" s="89"/>
      <c r="K302" s="89">
        <f t="shared" si="50"/>
        <v>0</v>
      </c>
      <c r="L302" s="89"/>
      <c r="M302" s="90"/>
      <c r="N302" s="89"/>
      <c r="O302" s="89"/>
      <c r="P302" s="89"/>
      <c r="Q302" s="90"/>
      <c r="R302" s="130" t="s">
        <v>396</v>
      </c>
    </row>
    <row r="303" spans="1:18" s="61" customFormat="1" x14ac:dyDescent="0.25">
      <c r="A303" s="85" t="s">
        <v>335</v>
      </c>
      <c r="B303" s="89">
        <v>62905000</v>
      </c>
      <c r="C303" s="89">
        <v>25651</v>
      </c>
      <c r="D303" s="89">
        <v>1</v>
      </c>
      <c r="E303" s="90">
        <f t="shared" ref="E303:E305" si="54">B303/C303/D303</f>
        <v>2452.3410393356985</v>
      </c>
      <c r="F303" s="89">
        <v>12104000</v>
      </c>
      <c r="G303" s="89">
        <v>2316</v>
      </c>
      <c r="H303" s="89">
        <v>1</v>
      </c>
      <c r="I303" s="90">
        <f>F303/G303/H303</f>
        <v>5226.2521588946456</v>
      </c>
      <c r="J303" s="89"/>
      <c r="K303" s="89">
        <f t="shared" si="50"/>
        <v>0</v>
      </c>
      <c r="L303" s="89"/>
      <c r="M303" s="90"/>
      <c r="N303" s="89"/>
      <c r="O303" s="89"/>
      <c r="P303" s="89"/>
      <c r="Q303" s="90"/>
      <c r="R303" s="130" t="s">
        <v>391</v>
      </c>
    </row>
    <row r="304" spans="1:18" s="61" customFormat="1" x14ac:dyDescent="0.25">
      <c r="A304" s="85" t="s">
        <v>336</v>
      </c>
      <c r="B304" s="89">
        <v>2940000</v>
      </c>
      <c r="C304" s="89">
        <v>640</v>
      </c>
      <c r="D304" s="89">
        <v>1</v>
      </c>
      <c r="E304" s="90">
        <f t="shared" si="54"/>
        <v>4593.75</v>
      </c>
      <c r="F304" s="89"/>
      <c r="G304" s="89"/>
      <c r="H304" s="89"/>
      <c r="I304" s="90"/>
      <c r="J304" s="89"/>
      <c r="K304" s="89">
        <f t="shared" si="50"/>
        <v>0</v>
      </c>
      <c r="L304" s="89"/>
      <c r="M304" s="90"/>
      <c r="N304" s="89"/>
      <c r="O304" s="89"/>
      <c r="P304" s="89"/>
      <c r="Q304" s="90"/>
      <c r="R304" s="130" t="s">
        <v>391</v>
      </c>
    </row>
    <row r="305" spans="1:18" s="61" customFormat="1" x14ac:dyDescent="0.25">
      <c r="A305" s="85" t="s">
        <v>337</v>
      </c>
      <c r="B305" s="89">
        <v>34165600</v>
      </c>
      <c r="C305" s="89">
        <v>1867</v>
      </c>
      <c r="D305" s="89">
        <v>1</v>
      </c>
      <c r="E305" s="90">
        <f t="shared" si="54"/>
        <v>18299.732190680235</v>
      </c>
      <c r="F305" s="89">
        <v>200000</v>
      </c>
      <c r="G305" s="89">
        <v>2</v>
      </c>
      <c r="H305" s="89">
        <v>1</v>
      </c>
      <c r="I305" s="90">
        <f>F305/G305/H305</f>
        <v>100000</v>
      </c>
      <c r="J305" s="89"/>
      <c r="K305" s="89">
        <f t="shared" si="50"/>
        <v>0</v>
      </c>
      <c r="L305" s="89"/>
      <c r="M305" s="90"/>
      <c r="N305" s="89"/>
      <c r="O305" s="89"/>
      <c r="P305" s="89"/>
      <c r="Q305" s="90"/>
      <c r="R305" s="130" t="s">
        <v>391</v>
      </c>
    </row>
    <row r="306" spans="1:18" s="61" customFormat="1" x14ac:dyDescent="0.25">
      <c r="A306" s="85" t="s">
        <v>21</v>
      </c>
      <c r="B306" s="89"/>
      <c r="C306" s="89">
        <f t="shared" si="48"/>
        <v>0</v>
      </c>
      <c r="D306" s="89"/>
      <c r="E306" s="90"/>
      <c r="F306" s="89"/>
      <c r="G306" s="89"/>
      <c r="H306" s="89"/>
      <c r="I306" s="90"/>
      <c r="J306" s="89"/>
      <c r="K306" s="89">
        <f t="shared" si="50"/>
        <v>0</v>
      </c>
      <c r="L306" s="89"/>
      <c r="M306" s="90"/>
      <c r="N306" s="89"/>
      <c r="O306" s="89"/>
      <c r="P306" s="89"/>
      <c r="Q306" s="90"/>
      <c r="R306" s="130" t="s">
        <v>392</v>
      </c>
    </row>
    <row r="307" spans="1:18" s="61" customFormat="1" x14ac:dyDescent="0.25">
      <c r="A307" s="85" t="s">
        <v>26</v>
      </c>
      <c r="B307" s="89">
        <v>389736.56000000011</v>
      </c>
      <c r="C307" s="89">
        <f t="shared" si="48"/>
        <v>25840</v>
      </c>
      <c r="D307" s="89">
        <v>12</v>
      </c>
      <c r="E307" s="90">
        <f t="shared" ref="E307:E308" si="55">B307/C307/D307</f>
        <v>1.2568903508771934</v>
      </c>
      <c r="F307" s="89">
        <v>74814.02</v>
      </c>
      <c r="G307" s="89">
        <f t="shared" si="49"/>
        <v>4960.26</v>
      </c>
      <c r="H307" s="89">
        <v>12</v>
      </c>
      <c r="I307" s="90">
        <f t="shared" ref="I307:I313" si="56">F307/G307/H307</f>
        <v>1.2568900958148699</v>
      </c>
      <c r="J307" s="89">
        <v>10557.880000000001</v>
      </c>
      <c r="K307" s="89">
        <f t="shared" si="50"/>
        <v>700</v>
      </c>
      <c r="L307" s="89">
        <v>12</v>
      </c>
      <c r="M307" s="90">
        <f t="shared" ref="M307:M312" si="57">J307/K307/L307</f>
        <v>1.2568904761904764</v>
      </c>
      <c r="N307" s="89"/>
      <c r="O307" s="89"/>
      <c r="P307" s="89"/>
      <c r="Q307" s="90"/>
      <c r="R307" s="130" t="s">
        <v>390</v>
      </c>
    </row>
    <row r="308" spans="1:18" s="61" customFormat="1" x14ac:dyDescent="0.25">
      <c r="A308" s="85" t="s">
        <v>96</v>
      </c>
      <c r="B308" s="89">
        <v>323530.63999999996</v>
      </c>
      <c r="C308" s="89">
        <f t="shared" si="48"/>
        <v>13375</v>
      </c>
      <c r="D308" s="89">
        <v>12</v>
      </c>
      <c r="E308" s="90">
        <f t="shared" si="55"/>
        <v>2.0157672274143299</v>
      </c>
      <c r="F308" s="89">
        <v>57770.44</v>
      </c>
      <c r="G308" s="89">
        <f t="shared" si="49"/>
        <v>2747.26</v>
      </c>
      <c r="H308" s="89">
        <v>12</v>
      </c>
      <c r="I308" s="90">
        <f t="shared" si="56"/>
        <v>1.7523653870887115</v>
      </c>
      <c r="J308" s="89">
        <v>10885.14</v>
      </c>
      <c r="K308" s="89">
        <f t="shared" si="50"/>
        <v>450</v>
      </c>
      <c r="L308" s="89">
        <v>12</v>
      </c>
      <c r="M308" s="90">
        <f t="shared" si="57"/>
        <v>2.0157666666666665</v>
      </c>
      <c r="N308" s="89"/>
      <c r="O308" s="89"/>
      <c r="P308" s="89"/>
      <c r="Q308" s="90"/>
      <c r="R308" s="130" t="s">
        <v>390</v>
      </c>
    </row>
    <row r="309" spans="1:18" s="61" customFormat="1" x14ac:dyDescent="0.25">
      <c r="A309" s="85" t="s">
        <v>385</v>
      </c>
      <c r="B309" s="89">
        <v>799311.06000000029</v>
      </c>
      <c r="C309" s="89">
        <f t="shared" si="48"/>
        <v>13375</v>
      </c>
      <c r="D309" s="89">
        <v>24</v>
      </c>
      <c r="E309" s="90">
        <f>B309/C309/D309</f>
        <v>2.4900656074766365</v>
      </c>
      <c r="F309" s="89">
        <v>127524.52</v>
      </c>
      <c r="G309" s="89">
        <f t="shared" si="49"/>
        <v>2747.26</v>
      </c>
      <c r="H309" s="89">
        <v>24</v>
      </c>
      <c r="I309" s="90">
        <f t="shared" si="56"/>
        <v>1.9341167805983659</v>
      </c>
      <c r="J309" s="89">
        <v>26892.71</v>
      </c>
      <c r="K309" s="89">
        <f t="shared" si="50"/>
        <v>700</v>
      </c>
      <c r="L309" s="89">
        <v>24</v>
      </c>
      <c r="M309" s="90">
        <f t="shared" si="57"/>
        <v>1.6007565476190475</v>
      </c>
      <c r="N309" s="89"/>
      <c r="O309" s="89"/>
      <c r="P309" s="89"/>
      <c r="Q309" s="90"/>
      <c r="R309" s="130" t="s">
        <v>390</v>
      </c>
    </row>
    <row r="310" spans="1:18" s="61" customFormat="1" x14ac:dyDescent="0.25">
      <c r="A310" s="85" t="s">
        <v>394</v>
      </c>
      <c r="B310" s="89">
        <v>183837.98999999996</v>
      </c>
      <c r="C310" s="89">
        <f t="shared" si="48"/>
        <v>25840</v>
      </c>
      <c r="D310" s="89">
        <v>12</v>
      </c>
      <c r="E310" s="90">
        <f>B310/C310/D310</f>
        <v>0.59287277476780176</v>
      </c>
      <c r="F310" s="89">
        <v>35289.64</v>
      </c>
      <c r="G310" s="89">
        <f t="shared" si="49"/>
        <v>4960.26</v>
      </c>
      <c r="H310" s="89">
        <v>12</v>
      </c>
      <c r="I310" s="90">
        <f t="shared" si="56"/>
        <v>0.59287281983874496</v>
      </c>
      <c r="J310" s="89">
        <v>4980.13</v>
      </c>
      <c r="K310" s="89">
        <f t="shared" si="50"/>
        <v>450</v>
      </c>
      <c r="L310" s="89">
        <v>12</v>
      </c>
      <c r="M310" s="90">
        <f t="shared" si="57"/>
        <v>0.92224629629629629</v>
      </c>
      <c r="N310" s="89"/>
      <c r="O310" s="89"/>
      <c r="P310" s="89"/>
      <c r="Q310" s="90"/>
      <c r="R310" s="130" t="s">
        <v>390</v>
      </c>
    </row>
    <row r="311" spans="1:18" s="61" customFormat="1" x14ac:dyDescent="0.25">
      <c r="A311" s="85" t="s">
        <v>97</v>
      </c>
      <c r="B311" s="89">
        <v>61109.950000000004</v>
      </c>
      <c r="C311" s="89">
        <f t="shared" si="48"/>
        <v>18.939999999999998</v>
      </c>
      <c r="D311" s="89">
        <v>1</v>
      </c>
      <c r="E311" s="90">
        <f>B311/C311/D311</f>
        <v>3226.5021119324188</v>
      </c>
      <c r="F311" s="89">
        <v>6065.82</v>
      </c>
      <c r="G311" s="89">
        <f t="shared" si="49"/>
        <v>1.8800000000000001</v>
      </c>
      <c r="H311" s="89">
        <v>1</v>
      </c>
      <c r="I311" s="90">
        <f t="shared" si="56"/>
        <v>3226.4999999999995</v>
      </c>
      <c r="J311" s="89">
        <v>1613.25</v>
      </c>
      <c r="K311" s="89">
        <f t="shared" si="50"/>
        <v>0.5</v>
      </c>
      <c r="L311" s="89">
        <v>1</v>
      </c>
      <c r="M311" s="90">
        <f t="shared" si="57"/>
        <v>3226.5</v>
      </c>
      <c r="N311" s="89"/>
      <c r="O311" s="89"/>
      <c r="P311" s="89"/>
      <c r="Q311" s="90"/>
      <c r="R311" s="130" t="s">
        <v>390</v>
      </c>
    </row>
    <row r="312" spans="1:18" s="61" customFormat="1" x14ac:dyDescent="0.25">
      <c r="A312" s="85" t="s">
        <v>395</v>
      </c>
      <c r="B312" s="89">
        <v>11229.110000000002</v>
      </c>
      <c r="C312" s="89">
        <f t="shared" si="48"/>
        <v>18.939999999999998</v>
      </c>
      <c r="D312" s="89">
        <v>1</v>
      </c>
      <c r="E312" s="90">
        <f>B312/C312/D312</f>
        <v>592.87803590285125</v>
      </c>
      <c r="F312" s="89">
        <v>1114.5999999999999</v>
      </c>
      <c r="G312" s="89">
        <f t="shared" si="49"/>
        <v>1.8800000000000001</v>
      </c>
      <c r="H312" s="89">
        <v>1</v>
      </c>
      <c r="I312" s="90">
        <f t="shared" si="56"/>
        <v>592.87234042553177</v>
      </c>
      <c r="J312" s="89">
        <v>296.44</v>
      </c>
      <c r="K312" s="89">
        <f t="shared" si="50"/>
        <v>0.5</v>
      </c>
      <c r="L312" s="89">
        <v>1</v>
      </c>
      <c r="M312" s="90">
        <f t="shared" si="57"/>
        <v>592.88</v>
      </c>
      <c r="N312" s="89"/>
      <c r="O312" s="89"/>
      <c r="P312" s="89"/>
      <c r="Q312" s="90"/>
      <c r="R312" s="130" t="s">
        <v>390</v>
      </c>
    </row>
    <row r="313" spans="1:18" s="61" customFormat="1" x14ac:dyDescent="0.25">
      <c r="A313" s="85" t="s">
        <v>341</v>
      </c>
      <c r="B313" s="89"/>
      <c r="C313" s="89">
        <f t="shared" si="48"/>
        <v>0</v>
      </c>
      <c r="D313" s="89"/>
      <c r="E313" s="90"/>
      <c r="F313" s="89">
        <v>273294.3</v>
      </c>
      <c r="G313" s="89">
        <f t="shared" si="49"/>
        <v>690.79</v>
      </c>
      <c r="H313" s="89">
        <v>12</v>
      </c>
      <c r="I313" s="90">
        <f t="shared" si="56"/>
        <v>32.968811071382042</v>
      </c>
      <c r="J313" s="89"/>
      <c r="K313" s="89">
        <f t="shared" si="50"/>
        <v>0</v>
      </c>
      <c r="L313" s="89"/>
      <c r="M313" s="90"/>
      <c r="N313" s="89"/>
      <c r="O313" s="89"/>
      <c r="P313" s="89"/>
      <c r="Q313" s="90"/>
      <c r="R313" s="130" t="s">
        <v>393</v>
      </c>
    </row>
    <row r="314" spans="1:18" s="61" customFormat="1" ht="25.5" x14ac:dyDescent="0.25">
      <c r="A314" s="85" t="s">
        <v>29</v>
      </c>
      <c r="B314" s="89">
        <v>141327.60000000003</v>
      </c>
      <c r="C314" s="89">
        <f t="shared" si="48"/>
        <v>15</v>
      </c>
      <c r="D314" s="89">
        <v>4</v>
      </c>
      <c r="E314" s="90">
        <f t="shared" ref="E314:E317" si="58">B314/C314/D314</f>
        <v>2355.4600000000005</v>
      </c>
      <c r="F314" s="89"/>
      <c r="G314" s="89">
        <f t="shared" si="49"/>
        <v>0</v>
      </c>
      <c r="H314" s="89"/>
      <c r="I314" s="90"/>
      <c r="J314" s="89"/>
      <c r="K314" s="89">
        <f t="shared" si="50"/>
        <v>0</v>
      </c>
      <c r="L314" s="89"/>
      <c r="M314" s="90"/>
      <c r="N314" s="89"/>
      <c r="O314" s="89"/>
      <c r="P314" s="89"/>
      <c r="Q314" s="90"/>
      <c r="R314" s="130" t="s">
        <v>393</v>
      </c>
    </row>
    <row r="315" spans="1:18" s="61" customFormat="1" ht="25.5" x14ac:dyDescent="0.25">
      <c r="A315" s="85" t="s">
        <v>30</v>
      </c>
      <c r="B315" s="89">
        <v>141327.60000000003</v>
      </c>
      <c r="C315" s="89">
        <f t="shared" si="48"/>
        <v>15</v>
      </c>
      <c r="D315" s="89">
        <v>2</v>
      </c>
      <c r="E315" s="90">
        <f t="shared" si="58"/>
        <v>4710.920000000001</v>
      </c>
      <c r="F315" s="89"/>
      <c r="G315" s="89">
        <f t="shared" si="49"/>
        <v>0</v>
      </c>
      <c r="H315" s="89"/>
      <c r="I315" s="90"/>
      <c r="J315" s="89"/>
      <c r="K315" s="89">
        <f t="shared" si="50"/>
        <v>0</v>
      </c>
      <c r="L315" s="89"/>
      <c r="M315" s="90"/>
      <c r="N315" s="89"/>
      <c r="O315" s="89"/>
      <c r="P315" s="89"/>
      <c r="Q315" s="90"/>
      <c r="R315" s="130" t="s">
        <v>393</v>
      </c>
    </row>
    <row r="316" spans="1:18" s="61" customFormat="1" x14ac:dyDescent="0.25">
      <c r="A316" s="85" t="s">
        <v>397</v>
      </c>
      <c r="B316" s="89"/>
      <c r="C316" s="89">
        <v>300</v>
      </c>
      <c r="D316" s="89">
        <v>1</v>
      </c>
      <c r="E316" s="90">
        <f t="shared" si="58"/>
        <v>0</v>
      </c>
      <c r="F316" s="89"/>
      <c r="G316" s="89">
        <f t="shared" si="49"/>
        <v>0</v>
      </c>
      <c r="H316" s="89"/>
      <c r="I316" s="90"/>
      <c r="J316" s="89"/>
      <c r="K316" s="89">
        <f t="shared" si="50"/>
        <v>0</v>
      </c>
      <c r="L316" s="89"/>
      <c r="M316" s="90"/>
      <c r="N316" s="89"/>
      <c r="O316" s="89"/>
      <c r="P316" s="89"/>
      <c r="Q316" s="90"/>
      <c r="R316" s="130" t="s">
        <v>393</v>
      </c>
    </row>
    <row r="317" spans="1:18" s="61" customFormat="1" ht="25.5" x14ac:dyDescent="0.25">
      <c r="A317" s="85" t="s">
        <v>32</v>
      </c>
      <c r="B317" s="89">
        <v>1084720.1100000003</v>
      </c>
      <c r="C317" s="89">
        <f t="shared" si="48"/>
        <v>36</v>
      </c>
      <c r="D317" s="89">
        <v>4</v>
      </c>
      <c r="E317" s="90">
        <f t="shared" si="58"/>
        <v>7532.7785416666693</v>
      </c>
      <c r="F317" s="89"/>
      <c r="G317" s="89">
        <f t="shared" si="49"/>
        <v>0</v>
      </c>
      <c r="H317" s="89"/>
      <c r="I317" s="90"/>
      <c r="J317" s="89"/>
      <c r="K317" s="89">
        <f t="shared" si="50"/>
        <v>0</v>
      </c>
      <c r="L317" s="89"/>
      <c r="M317" s="90"/>
      <c r="N317" s="89"/>
      <c r="O317" s="89"/>
      <c r="P317" s="89"/>
      <c r="Q317" s="90"/>
      <c r="R317" s="130" t="s">
        <v>393</v>
      </c>
    </row>
    <row r="318" spans="1:18" s="61" customFormat="1" x14ac:dyDescent="0.25">
      <c r="A318" s="85" t="s">
        <v>400</v>
      </c>
      <c r="B318" s="89"/>
      <c r="C318" s="89">
        <f t="shared" si="48"/>
        <v>0</v>
      </c>
      <c r="D318" s="89"/>
      <c r="E318" s="90"/>
      <c r="F318" s="89"/>
      <c r="G318" s="89">
        <f t="shared" si="49"/>
        <v>0</v>
      </c>
      <c r="H318" s="89"/>
      <c r="I318" s="90"/>
      <c r="J318" s="89"/>
      <c r="K318" s="89">
        <f t="shared" si="50"/>
        <v>0</v>
      </c>
      <c r="L318" s="89"/>
      <c r="M318" s="90"/>
      <c r="N318" s="89"/>
      <c r="O318" s="89"/>
      <c r="P318" s="89"/>
      <c r="Q318" s="90"/>
      <c r="R318" s="130" t="s">
        <v>393</v>
      </c>
    </row>
    <row r="319" spans="1:18" s="61" customFormat="1" ht="25.5" x14ac:dyDescent="0.25">
      <c r="A319" s="85" t="s">
        <v>33</v>
      </c>
      <c r="B319" s="89">
        <v>263235.39</v>
      </c>
      <c r="C319" s="89">
        <f t="shared" si="48"/>
        <v>36</v>
      </c>
      <c r="D319" s="89">
        <v>1</v>
      </c>
      <c r="E319" s="90">
        <f t="shared" ref="E319" si="59">B319/C319/D319</f>
        <v>7312.0941666666668</v>
      </c>
      <c r="F319" s="89">
        <v>35572.35</v>
      </c>
      <c r="G319" s="89">
        <f t="shared" si="49"/>
        <v>5</v>
      </c>
      <c r="H319" s="89">
        <v>1</v>
      </c>
      <c r="I319" s="90">
        <f t="shared" ref="I319:I332" si="60">F319/G319/H319</f>
        <v>7114.4699999999993</v>
      </c>
      <c r="J319" s="89"/>
      <c r="K319" s="89">
        <f t="shared" si="50"/>
        <v>0</v>
      </c>
      <c r="L319" s="89"/>
      <c r="M319" s="90"/>
      <c r="N319" s="89"/>
      <c r="O319" s="89"/>
      <c r="P319" s="89"/>
      <c r="Q319" s="90"/>
      <c r="R319" s="130" t="s">
        <v>393</v>
      </c>
    </row>
    <row r="320" spans="1:18" s="61" customFormat="1" x14ac:dyDescent="0.25">
      <c r="A320" s="85" t="s">
        <v>398</v>
      </c>
      <c r="B320" s="89">
        <v>443113.11000000045</v>
      </c>
      <c r="C320" s="89">
        <f t="shared" si="48"/>
        <v>35</v>
      </c>
      <c r="D320" s="89">
        <v>1</v>
      </c>
      <c r="E320" s="90">
        <f>B320/C320/D320</f>
        <v>12660.374571428585</v>
      </c>
      <c r="F320" s="89">
        <v>29643.65</v>
      </c>
      <c r="G320" s="89">
        <f t="shared" si="49"/>
        <v>5</v>
      </c>
      <c r="H320" s="89">
        <v>1</v>
      </c>
      <c r="I320" s="90">
        <f t="shared" si="60"/>
        <v>5928.7300000000005</v>
      </c>
      <c r="J320" s="89"/>
      <c r="K320" s="89">
        <f t="shared" si="50"/>
        <v>0</v>
      </c>
      <c r="L320" s="89"/>
      <c r="M320" s="90"/>
      <c r="N320" s="89"/>
      <c r="O320" s="89"/>
      <c r="P320" s="89"/>
      <c r="Q320" s="90"/>
      <c r="R320" s="130" t="s">
        <v>393</v>
      </c>
    </row>
    <row r="321" spans="1:22" s="61" customFormat="1" x14ac:dyDescent="0.25">
      <c r="A321" s="85" t="s">
        <v>401</v>
      </c>
      <c r="B321" s="89">
        <v>415011.10000000021</v>
      </c>
      <c r="C321" s="89">
        <v>35</v>
      </c>
      <c r="D321" s="89">
        <v>2</v>
      </c>
      <c r="E321" s="90">
        <f t="shared" ref="E321:E327" si="61">B321/C321/D321</f>
        <v>5928.7300000000032</v>
      </c>
      <c r="F321" s="89">
        <v>29643.65</v>
      </c>
      <c r="G321" s="89">
        <f t="shared" si="49"/>
        <v>5</v>
      </c>
      <c r="H321" s="89">
        <v>2</v>
      </c>
      <c r="I321" s="90">
        <f t="shared" si="60"/>
        <v>2964.3650000000002</v>
      </c>
      <c r="J321" s="89"/>
      <c r="K321" s="89">
        <f t="shared" si="50"/>
        <v>0</v>
      </c>
      <c r="L321" s="89"/>
      <c r="M321" s="90"/>
      <c r="N321" s="89"/>
      <c r="O321" s="89"/>
      <c r="P321" s="89"/>
      <c r="Q321" s="90"/>
      <c r="R321" s="130" t="s">
        <v>393</v>
      </c>
    </row>
    <row r="322" spans="1:22" s="61" customFormat="1" x14ac:dyDescent="0.25">
      <c r="A322" s="85" t="s">
        <v>221</v>
      </c>
      <c r="B322" s="89">
        <v>1477533.87</v>
      </c>
      <c r="C322" s="89">
        <v>18</v>
      </c>
      <c r="D322" s="89">
        <v>12</v>
      </c>
      <c r="E322" s="90">
        <f t="shared" si="61"/>
        <v>6840.4345833333346</v>
      </c>
      <c r="F322" s="89">
        <v>277464.49</v>
      </c>
      <c r="G322" s="89">
        <f t="shared" si="49"/>
        <v>5</v>
      </c>
      <c r="H322" s="89">
        <v>12</v>
      </c>
      <c r="I322" s="90">
        <f t="shared" si="60"/>
        <v>4624.4081666666671</v>
      </c>
      <c r="J322" s="89"/>
      <c r="K322" s="89">
        <f t="shared" si="50"/>
        <v>0</v>
      </c>
      <c r="L322" s="89"/>
      <c r="M322" s="90"/>
      <c r="N322" s="89"/>
      <c r="O322" s="89"/>
      <c r="P322" s="89"/>
      <c r="Q322" s="90"/>
      <c r="R322" s="130" t="s">
        <v>393</v>
      </c>
    </row>
    <row r="323" spans="1:22" s="61" customFormat="1" ht="25.5" x14ac:dyDescent="0.25">
      <c r="A323" s="85" t="s">
        <v>34</v>
      </c>
      <c r="B323" s="89">
        <v>16317.6</v>
      </c>
      <c r="C323" s="89">
        <v>2</v>
      </c>
      <c r="D323" s="89">
        <v>1</v>
      </c>
      <c r="E323" s="90">
        <f t="shared" si="61"/>
        <v>8158.8</v>
      </c>
      <c r="F323" s="89">
        <v>16317.6</v>
      </c>
      <c r="G323" s="89">
        <f t="shared" si="49"/>
        <v>2</v>
      </c>
      <c r="H323" s="89">
        <v>1</v>
      </c>
      <c r="I323" s="90">
        <f t="shared" si="60"/>
        <v>8158.8</v>
      </c>
      <c r="J323" s="89"/>
      <c r="K323" s="89">
        <f t="shared" si="50"/>
        <v>0</v>
      </c>
      <c r="L323" s="89"/>
      <c r="M323" s="90"/>
      <c r="N323" s="89"/>
      <c r="O323" s="89"/>
      <c r="P323" s="89"/>
      <c r="Q323" s="90"/>
      <c r="R323" s="130" t="s">
        <v>393</v>
      </c>
    </row>
    <row r="324" spans="1:22" s="61" customFormat="1" ht="25.5" x14ac:dyDescent="0.25">
      <c r="A324" s="85" t="s">
        <v>222</v>
      </c>
      <c r="B324" s="89">
        <v>228056.95</v>
      </c>
      <c r="C324" s="89">
        <v>5</v>
      </c>
      <c r="D324" s="89">
        <v>1</v>
      </c>
      <c r="E324" s="90">
        <f t="shared" si="61"/>
        <v>45611.39</v>
      </c>
      <c r="F324" s="89">
        <v>28283.84</v>
      </c>
      <c r="G324" s="89">
        <f t="shared" si="49"/>
        <v>2</v>
      </c>
      <c r="H324" s="89">
        <v>1</v>
      </c>
      <c r="I324" s="90">
        <f t="shared" si="60"/>
        <v>14141.92</v>
      </c>
      <c r="J324" s="89"/>
      <c r="K324" s="89">
        <f t="shared" si="50"/>
        <v>0</v>
      </c>
      <c r="L324" s="89"/>
      <c r="M324" s="90"/>
      <c r="N324" s="89"/>
      <c r="O324" s="89"/>
      <c r="P324" s="89"/>
      <c r="Q324" s="90"/>
      <c r="R324" s="130" t="s">
        <v>393</v>
      </c>
    </row>
    <row r="325" spans="1:22" s="61" customFormat="1" x14ac:dyDescent="0.25">
      <c r="A325" s="85" t="s">
        <v>35</v>
      </c>
      <c r="B325" s="89">
        <v>910000</v>
      </c>
      <c r="C325" s="89">
        <f t="shared" si="48"/>
        <v>35</v>
      </c>
      <c r="D325" s="89">
        <v>1</v>
      </c>
      <c r="E325" s="90">
        <f t="shared" si="61"/>
        <v>26000</v>
      </c>
      <c r="F325" s="89">
        <v>81588</v>
      </c>
      <c r="G325" s="89">
        <f t="shared" si="49"/>
        <v>2</v>
      </c>
      <c r="H325" s="89">
        <v>1</v>
      </c>
      <c r="I325" s="90">
        <f t="shared" si="60"/>
        <v>40794</v>
      </c>
      <c r="J325" s="89"/>
      <c r="K325" s="89">
        <f t="shared" si="50"/>
        <v>0</v>
      </c>
      <c r="L325" s="89"/>
      <c r="M325" s="90"/>
      <c r="N325" s="89"/>
      <c r="O325" s="89"/>
      <c r="P325" s="89"/>
      <c r="Q325" s="90"/>
      <c r="R325" s="130" t="s">
        <v>393</v>
      </c>
    </row>
    <row r="326" spans="1:22" s="61" customFormat="1" ht="25.5" x14ac:dyDescent="0.25">
      <c r="A326" s="85" t="s">
        <v>399</v>
      </c>
      <c r="B326" s="89">
        <v>1183315.5199999996</v>
      </c>
      <c r="C326" s="89">
        <f t="shared" si="48"/>
        <v>35</v>
      </c>
      <c r="D326" s="89">
        <v>10</v>
      </c>
      <c r="E326" s="90">
        <f t="shared" si="61"/>
        <v>3380.9014857142843</v>
      </c>
      <c r="F326" s="89">
        <v>104938.5</v>
      </c>
      <c r="G326" s="89">
        <f t="shared" si="49"/>
        <v>4</v>
      </c>
      <c r="H326" s="89">
        <v>10</v>
      </c>
      <c r="I326" s="90">
        <f t="shared" si="60"/>
        <v>2623.4625000000001</v>
      </c>
      <c r="J326" s="89"/>
      <c r="K326" s="89">
        <f t="shared" si="50"/>
        <v>0</v>
      </c>
      <c r="L326" s="89"/>
      <c r="M326" s="90"/>
      <c r="N326" s="89"/>
      <c r="O326" s="89"/>
      <c r="P326" s="89"/>
      <c r="Q326" s="90"/>
      <c r="R326" s="130" t="s">
        <v>393</v>
      </c>
    </row>
    <row r="327" spans="1:22" s="61" customFormat="1" ht="25.5" x14ac:dyDescent="0.25">
      <c r="A327" s="85" t="s">
        <v>36</v>
      </c>
      <c r="B327" s="89">
        <v>548440.48000000033</v>
      </c>
      <c r="C327" s="89">
        <f t="shared" si="48"/>
        <v>36</v>
      </c>
      <c r="D327" s="89">
        <v>12</v>
      </c>
      <c r="E327" s="90">
        <f t="shared" si="61"/>
        <v>1269.5381481481488</v>
      </c>
      <c r="F327" s="89">
        <v>229751.81000000003</v>
      </c>
      <c r="G327" s="89">
        <f t="shared" si="49"/>
        <v>8</v>
      </c>
      <c r="H327" s="89">
        <v>12</v>
      </c>
      <c r="I327" s="90">
        <f t="shared" si="60"/>
        <v>2393.2480208333336</v>
      </c>
      <c r="J327" s="89"/>
      <c r="K327" s="89">
        <f t="shared" si="50"/>
        <v>0</v>
      </c>
      <c r="L327" s="89"/>
      <c r="M327" s="90"/>
      <c r="N327" s="89"/>
      <c r="O327" s="89"/>
      <c r="P327" s="89"/>
      <c r="Q327" s="90"/>
      <c r="R327" s="130" t="s">
        <v>393</v>
      </c>
    </row>
    <row r="328" spans="1:22" s="61" customFormat="1" x14ac:dyDescent="0.25">
      <c r="A328" s="85" t="s">
        <v>99</v>
      </c>
      <c r="B328" s="89">
        <v>3015000</v>
      </c>
      <c r="C328" s="89">
        <v>201</v>
      </c>
      <c r="D328" s="89">
        <v>1</v>
      </c>
      <c r="E328" s="90">
        <f>B328/C328/D328</f>
        <v>15000</v>
      </c>
      <c r="F328" s="89">
        <v>392250</v>
      </c>
      <c r="G328" s="89">
        <v>25</v>
      </c>
      <c r="H328" s="89">
        <v>1</v>
      </c>
      <c r="I328" s="90">
        <f t="shared" si="60"/>
        <v>15690</v>
      </c>
      <c r="J328" s="89"/>
      <c r="K328" s="89">
        <f t="shared" si="50"/>
        <v>0</v>
      </c>
      <c r="L328" s="89"/>
      <c r="M328" s="90"/>
      <c r="N328" s="89"/>
      <c r="O328" s="89"/>
      <c r="P328" s="89"/>
      <c r="Q328" s="90"/>
      <c r="R328" s="130" t="s">
        <v>393</v>
      </c>
    </row>
    <row r="329" spans="1:22" s="61" customFormat="1" x14ac:dyDescent="0.25">
      <c r="A329" s="85" t="s">
        <v>27</v>
      </c>
      <c r="B329" s="89">
        <v>1823219.8400000003</v>
      </c>
      <c r="C329" s="89">
        <v>4190</v>
      </c>
      <c r="D329" s="89">
        <v>1</v>
      </c>
      <c r="E329" s="90">
        <f t="shared" ref="E329:E330" si="62">B329/C329/D329</f>
        <v>435.13600000000008</v>
      </c>
      <c r="F329" s="89">
        <v>65270.399999999994</v>
      </c>
      <c r="G329" s="89">
        <v>150</v>
      </c>
      <c r="H329" s="89">
        <v>1</v>
      </c>
      <c r="I329" s="90">
        <f t="shared" si="60"/>
        <v>435.13599999999997</v>
      </c>
      <c r="J329" s="89"/>
      <c r="K329" s="89">
        <f t="shared" si="50"/>
        <v>0</v>
      </c>
      <c r="L329" s="89"/>
      <c r="M329" s="90"/>
      <c r="N329" s="89"/>
      <c r="O329" s="89"/>
      <c r="P329" s="89"/>
      <c r="Q329" s="90"/>
      <c r="R329" s="130" t="s">
        <v>393</v>
      </c>
    </row>
    <row r="330" spans="1:22" s="61" customFormat="1" x14ac:dyDescent="0.25">
      <c r="A330" s="85" t="s">
        <v>104</v>
      </c>
      <c r="B330" s="89">
        <v>384181.56000000023</v>
      </c>
      <c r="C330" s="89">
        <f t="shared" si="48"/>
        <v>36</v>
      </c>
      <c r="D330" s="89">
        <v>1</v>
      </c>
      <c r="E330" s="90">
        <f t="shared" si="62"/>
        <v>10671.710000000006</v>
      </c>
      <c r="F330" s="89">
        <v>48952.799999999996</v>
      </c>
      <c r="G330" s="89">
        <f t="shared" si="49"/>
        <v>5</v>
      </c>
      <c r="H330" s="89">
        <v>1</v>
      </c>
      <c r="I330" s="90">
        <f t="shared" si="60"/>
        <v>9790.56</v>
      </c>
      <c r="J330" s="89"/>
      <c r="K330" s="89">
        <f t="shared" si="50"/>
        <v>0</v>
      </c>
      <c r="L330" s="89"/>
      <c r="M330" s="90"/>
      <c r="N330" s="89"/>
      <c r="O330" s="89"/>
      <c r="P330" s="89"/>
      <c r="Q330" s="90"/>
      <c r="R330" s="130" t="s">
        <v>393</v>
      </c>
    </row>
    <row r="331" spans="1:22" s="61" customFormat="1" x14ac:dyDescent="0.25">
      <c r="A331" s="85" t="s">
        <v>250</v>
      </c>
      <c r="B331" s="89"/>
      <c r="C331" s="89">
        <f t="shared" si="48"/>
        <v>0</v>
      </c>
      <c r="D331" s="89"/>
      <c r="E331" s="90"/>
      <c r="F331" s="89">
        <v>23714.9</v>
      </c>
      <c r="G331" s="89">
        <f t="shared" si="49"/>
        <v>5</v>
      </c>
      <c r="H331" s="89">
        <v>1</v>
      </c>
      <c r="I331" s="90">
        <f t="shared" si="60"/>
        <v>4742.9800000000005</v>
      </c>
      <c r="J331" s="89">
        <v>4715.78</v>
      </c>
      <c r="K331" s="89">
        <f t="shared" si="50"/>
        <v>1</v>
      </c>
      <c r="L331" s="89">
        <v>12</v>
      </c>
      <c r="M331" s="90">
        <f t="shared" ref="M331:M334" si="63">J331/K331/L331</f>
        <v>392.98166666666663</v>
      </c>
      <c r="N331" s="89"/>
      <c r="O331" s="89"/>
      <c r="P331" s="89"/>
      <c r="Q331" s="90"/>
      <c r="R331" s="130" t="s">
        <v>393</v>
      </c>
      <c r="T331" s="71">
        <f>SUM(B313:B330)</f>
        <v>12074800.730000002</v>
      </c>
      <c r="U331" s="61">
        <v>12074800.73</v>
      </c>
      <c r="V331" s="71">
        <f>U331-T331</f>
        <v>0</v>
      </c>
    </row>
    <row r="332" spans="1:22" s="61" customFormat="1" x14ac:dyDescent="0.25">
      <c r="A332" s="85" t="s">
        <v>37</v>
      </c>
      <c r="B332" s="89">
        <v>151601.4</v>
      </c>
      <c r="C332" s="89">
        <f t="shared" si="48"/>
        <v>4</v>
      </c>
      <c r="D332" s="89">
        <v>1</v>
      </c>
      <c r="E332" s="90">
        <f t="shared" ref="E332" si="64">B332/C332/D332</f>
        <v>37900.35</v>
      </c>
      <c r="F332" s="89">
        <v>25403.41</v>
      </c>
      <c r="G332" s="89">
        <f t="shared" si="49"/>
        <v>1</v>
      </c>
      <c r="H332" s="89">
        <v>1</v>
      </c>
      <c r="I332" s="90">
        <f t="shared" si="60"/>
        <v>25403.41</v>
      </c>
      <c r="J332" s="89">
        <v>25403.41</v>
      </c>
      <c r="K332" s="89">
        <f t="shared" si="50"/>
        <v>1</v>
      </c>
      <c r="L332" s="89">
        <v>1</v>
      </c>
      <c r="M332" s="90">
        <f t="shared" si="63"/>
        <v>25403.41</v>
      </c>
      <c r="N332" s="89"/>
      <c r="O332" s="89"/>
      <c r="P332" s="89"/>
      <c r="Q332" s="90"/>
      <c r="R332" s="130" t="s">
        <v>403</v>
      </c>
    </row>
    <row r="333" spans="1:22" s="61" customFormat="1" x14ac:dyDescent="0.25">
      <c r="A333" s="85" t="s">
        <v>262</v>
      </c>
      <c r="B333" s="89"/>
      <c r="C333" s="89">
        <f t="shared" si="48"/>
        <v>0</v>
      </c>
      <c r="D333" s="89"/>
      <c r="E333" s="90"/>
      <c r="F333" s="89"/>
      <c r="G333" s="89"/>
      <c r="H333" s="89"/>
      <c r="I333" s="90"/>
      <c r="J333" s="89">
        <v>107309.98</v>
      </c>
      <c r="K333" s="89">
        <f t="shared" si="50"/>
        <v>1</v>
      </c>
      <c r="L333" s="89">
        <v>4</v>
      </c>
      <c r="M333" s="90">
        <f t="shared" si="63"/>
        <v>26827.494999999999</v>
      </c>
      <c r="N333" s="89"/>
      <c r="O333" s="89"/>
      <c r="P333" s="89"/>
      <c r="Q333" s="90"/>
      <c r="R333" s="130" t="s">
        <v>403</v>
      </c>
    </row>
    <row r="334" spans="1:22" s="61" customFormat="1" x14ac:dyDescent="0.25">
      <c r="A334" s="85" t="s">
        <v>255</v>
      </c>
      <c r="B334" s="89"/>
      <c r="C334" s="89">
        <f t="shared" si="48"/>
        <v>0</v>
      </c>
      <c r="D334" s="89"/>
      <c r="E334" s="90"/>
      <c r="F334" s="89">
        <v>327265.78999999998</v>
      </c>
      <c r="G334" s="89">
        <f t="shared" si="49"/>
        <v>345</v>
      </c>
      <c r="H334" s="89">
        <v>2</v>
      </c>
      <c r="I334" s="90">
        <f>F334/G334/H334</f>
        <v>474.29824637681156</v>
      </c>
      <c r="J334" s="89">
        <v>45295.48</v>
      </c>
      <c r="K334" s="89">
        <f t="shared" si="50"/>
        <v>56</v>
      </c>
      <c r="L334" s="89">
        <v>1</v>
      </c>
      <c r="M334" s="90">
        <f t="shared" si="63"/>
        <v>808.84785714285715</v>
      </c>
      <c r="N334" s="89"/>
      <c r="O334" s="89"/>
      <c r="P334" s="89"/>
      <c r="Q334" s="90"/>
      <c r="R334" s="130" t="s">
        <v>403</v>
      </c>
    </row>
    <row r="335" spans="1:22" s="61" customFormat="1" ht="13.9" customHeight="1" x14ac:dyDescent="0.25">
      <c r="A335" s="85" t="s">
        <v>38</v>
      </c>
      <c r="B335" s="89">
        <v>2205875.330000001</v>
      </c>
      <c r="C335" s="89">
        <f t="shared" si="48"/>
        <v>36</v>
      </c>
      <c r="D335" s="89">
        <v>12</v>
      </c>
      <c r="E335" s="90">
        <f t="shared" ref="E335" si="65">B335/C335/D335</f>
        <v>5106.1928935185206</v>
      </c>
      <c r="F335" s="89">
        <v>490272.61000000004</v>
      </c>
      <c r="G335" s="89">
        <f t="shared" si="49"/>
        <v>8</v>
      </c>
      <c r="H335" s="89">
        <v>12</v>
      </c>
      <c r="I335" s="90">
        <f>F335/G335/H335</f>
        <v>5107.0063541666668</v>
      </c>
      <c r="J335" s="89"/>
      <c r="K335" s="89">
        <f t="shared" si="50"/>
        <v>0</v>
      </c>
      <c r="L335" s="89"/>
      <c r="M335" s="90"/>
      <c r="N335" s="89"/>
      <c r="O335" s="89"/>
      <c r="P335" s="89"/>
      <c r="Q335" s="90"/>
      <c r="R335" s="130" t="s">
        <v>80</v>
      </c>
    </row>
    <row r="336" spans="1:22" s="61" customFormat="1" x14ac:dyDescent="0.25">
      <c r="A336" s="85" t="s">
        <v>373</v>
      </c>
      <c r="B336" s="89">
        <v>864000</v>
      </c>
      <c r="C336" s="89">
        <f t="shared" si="48"/>
        <v>36</v>
      </c>
      <c r="D336" s="89">
        <v>1</v>
      </c>
      <c r="E336" s="90">
        <f>B336/C336/D336</f>
        <v>24000</v>
      </c>
      <c r="F336" s="89">
        <v>120000</v>
      </c>
      <c r="G336" s="89">
        <f t="shared" si="49"/>
        <v>5</v>
      </c>
      <c r="H336" s="89">
        <v>1</v>
      </c>
      <c r="I336" s="90">
        <f>F336/G336/H336</f>
        <v>24000</v>
      </c>
      <c r="J336" s="89">
        <v>24000</v>
      </c>
      <c r="K336" s="89">
        <f t="shared" si="50"/>
        <v>1</v>
      </c>
      <c r="L336" s="89">
        <v>1</v>
      </c>
      <c r="M336" s="90">
        <f t="shared" ref="M336:M339" si="66">J336/K336/L336</f>
        <v>24000</v>
      </c>
      <c r="N336" s="89"/>
      <c r="O336" s="89"/>
      <c r="P336" s="89"/>
      <c r="Q336" s="90"/>
      <c r="R336" s="130" t="s">
        <v>80</v>
      </c>
    </row>
    <row r="337" spans="1:18" s="61" customFormat="1" x14ac:dyDescent="0.25">
      <c r="A337" s="85" t="s">
        <v>342</v>
      </c>
      <c r="B337" s="89"/>
      <c r="C337" s="89">
        <f t="shared" si="48"/>
        <v>0</v>
      </c>
      <c r="D337" s="89"/>
      <c r="E337" s="90"/>
      <c r="F337" s="89"/>
      <c r="G337" s="89">
        <f t="shared" si="49"/>
        <v>0</v>
      </c>
      <c r="H337" s="89"/>
      <c r="I337" s="90"/>
      <c r="J337" s="89">
        <v>7114.47</v>
      </c>
      <c r="K337" s="89">
        <f t="shared" si="50"/>
        <v>1</v>
      </c>
      <c r="L337" s="89">
        <v>12</v>
      </c>
      <c r="M337" s="90">
        <f t="shared" si="66"/>
        <v>592.87250000000006</v>
      </c>
      <c r="N337" s="89"/>
      <c r="O337" s="89"/>
      <c r="P337" s="89"/>
      <c r="Q337" s="90"/>
      <c r="R337" s="130" t="s">
        <v>80</v>
      </c>
    </row>
    <row r="338" spans="1:18" s="61" customFormat="1" x14ac:dyDescent="0.25">
      <c r="A338" s="85" t="s">
        <v>343</v>
      </c>
      <c r="B338" s="89"/>
      <c r="C338" s="89">
        <f t="shared" si="48"/>
        <v>0</v>
      </c>
      <c r="D338" s="89"/>
      <c r="E338" s="90"/>
      <c r="F338" s="89"/>
      <c r="G338" s="89">
        <f t="shared" si="49"/>
        <v>0</v>
      </c>
      <c r="H338" s="89"/>
      <c r="I338" s="90"/>
      <c r="J338" s="89">
        <v>128060.52</v>
      </c>
      <c r="K338" s="89">
        <f t="shared" si="50"/>
        <v>20</v>
      </c>
      <c r="L338" s="89">
        <v>12</v>
      </c>
      <c r="M338" s="90">
        <f t="shared" si="66"/>
        <v>533.58550000000002</v>
      </c>
      <c r="N338" s="89"/>
      <c r="O338" s="89"/>
      <c r="P338" s="89"/>
      <c r="Q338" s="90"/>
      <c r="R338" s="130" t="s">
        <v>80</v>
      </c>
    </row>
    <row r="339" spans="1:18" s="61" customFormat="1" x14ac:dyDescent="0.25">
      <c r="A339" s="85" t="s">
        <v>344</v>
      </c>
      <c r="B339" s="89"/>
      <c r="C339" s="89">
        <f t="shared" si="48"/>
        <v>0</v>
      </c>
      <c r="D339" s="89"/>
      <c r="E339" s="90"/>
      <c r="F339" s="89"/>
      <c r="G339" s="89">
        <f t="shared" si="49"/>
        <v>0</v>
      </c>
      <c r="H339" s="89"/>
      <c r="I339" s="90"/>
      <c r="J339" s="89">
        <v>95600.74</v>
      </c>
      <c r="K339" s="89">
        <f t="shared" si="50"/>
        <v>5</v>
      </c>
      <c r="L339" s="89">
        <v>1</v>
      </c>
      <c r="M339" s="90">
        <f t="shared" si="66"/>
        <v>19120.148000000001</v>
      </c>
      <c r="N339" s="89"/>
      <c r="O339" s="89"/>
      <c r="P339" s="89"/>
      <c r="Q339" s="90"/>
      <c r="R339" s="130" t="s">
        <v>80</v>
      </c>
    </row>
    <row r="340" spans="1:18" s="61" customFormat="1" ht="25.5" x14ac:dyDescent="0.25">
      <c r="A340" s="85" t="s">
        <v>229</v>
      </c>
      <c r="B340" s="89">
        <v>425801.27000000008</v>
      </c>
      <c r="C340" s="89">
        <v>2394</v>
      </c>
      <c r="D340" s="89">
        <v>1</v>
      </c>
      <c r="E340" s="90">
        <f t="shared" ref="E340:E345" si="67">B340/C340/D340</f>
        <v>177.86185045948207</v>
      </c>
      <c r="F340" s="89"/>
      <c r="G340" s="89">
        <f t="shared" si="49"/>
        <v>0</v>
      </c>
      <c r="H340" s="89"/>
      <c r="I340" s="90"/>
      <c r="J340" s="89"/>
      <c r="K340" s="89">
        <f t="shared" si="50"/>
        <v>0</v>
      </c>
      <c r="L340" s="89"/>
      <c r="M340" s="90"/>
      <c r="N340" s="89"/>
      <c r="O340" s="89"/>
      <c r="P340" s="89"/>
      <c r="Q340" s="90"/>
      <c r="R340" s="130" t="s">
        <v>80</v>
      </c>
    </row>
    <row r="341" spans="1:18" s="61" customFormat="1" ht="25.5" x14ac:dyDescent="0.25">
      <c r="A341" s="85" t="s">
        <v>405</v>
      </c>
      <c r="B341" s="89">
        <v>469555.20000000024</v>
      </c>
      <c r="C341" s="89">
        <f t="shared" si="48"/>
        <v>36</v>
      </c>
      <c r="D341" s="89">
        <v>1</v>
      </c>
      <c r="E341" s="90">
        <f t="shared" si="67"/>
        <v>13043.200000000006</v>
      </c>
      <c r="F341" s="89"/>
      <c r="G341" s="89">
        <f t="shared" si="49"/>
        <v>0</v>
      </c>
      <c r="H341" s="89"/>
      <c r="I341" s="90"/>
      <c r="J341" s="89"/>
      <c r="K341" s="89">
        <f t="shared" si="50"/>
        <v>0</v>
      </c>
      <c r="L341" s="89"/>
      <c r="M341" s="90"/>
      <c r="N341" s="89"/>
      <c r="O341" s="89"/>
      <c r="P341" s="89"/>
      <c r="Q341" s="90"/>
      <c r="R341" s="130" t="s">
        <v>80</v>
      </c>
    </row>
    <row r="342" spans="1:18" s="61" customFormat="1" x14ac:dyDescent="0.25">
      <c r="A342" s="85" t="s">
        <v>39</v>
      </c>
      <c r="B342" s="89">
        <v>97942.6</v>
      </c>
      <c r="C342" s="89">
        <v>118</v>
      </c>
      <c r="D342" s="89">
        <v>1</v>
      </c>
      <c r="E342" s="90">
        <f t="shared" si="67"/>
        <v>830.02203389830515</v>
      </c>
      <c r="F342" s="89">
        <v>7470.2100000000009</v>
      </c>
      <c r="G342" s="89">
        <f t="shared" si="49"/>
        <v>9</v>
      </c>
      <c r="H342" s="89">
        <v>1</v>
      </c>
      <c r="I342" s="90">
        <f>F342/G342/H342</f>
        <v>830.02333333333343</v>
      </c>
      <c r="J342" s="89">
        <v>830.02</v>
      </c>
      <c r="K342" s="89">
        <f t="shared" si="50"/>
        <v>1</v>
      </c>
      <c r="L342" s="89">
        <v>1</v>
      </c>
      <c r="M342" s="90">
        <f t="shared" ref="M342:M346" si="68">J342/K342/L342</f>
        <v>830.02</v>
      </c>
      <c r="N342" s="89"/>
      <c r="O342" s="89"/>
      <c r="P342" s="89"/>
      <c r="Q342" s="90"/>
      <c r="R342" s="130" t="s">
        <v>80</v>
      </c>
    </row>
    <row r="343" spans="1:18" s="61" customFormat="1" x14ac:dyDescent="0.25">
      <c r="A343" s="85" t="s">
        <v>40</v>
      </c>
      <c r="B343" s="89">
        <v>170747.41999999993</v>
      </c>
      <c r="C343" s="89">
        <v>96</v>
      </c>
      <c r="D343" s="89">
        <v>1</v>
      </c>
      <c r="E343" s="90">
        <f t="shared" si="67"/>
        <v>1778.6189583333326</v>
      </c>
      <c r="F343" s="89">
        <v>23122.05</v>
      </c>
      <c r="G343" s="89">
        <f t="shared" si="49"/>
        <v>13</v>
      </c>
      <c r="H343" s="89">
        <v>1</v>
      </c>
      <c r="I343" s="90">
        <f>F343/G343/H343</f>
        <v>1778.6192307692306</v>
      </c>
      <c r="J343" s="89">
        <v>1778.6200000000001</v>
      </c>
      <c r="K343" s="89">
        <f t="shared" si="50"/>
        <v>1</v>
      </c>
      <c r="L343" s="89">
        <v>1</v>
      </c>
      <c r="M343" s="90">
        <f t="shared" si="68"/>
        <v>1778.6200000000001</v>
      </c>
      <c r="N343" s="89"/>
      <c r="O343" s="89"/>
      <c r="P343" s="89"/>
      <c r="Q343" s="90"/>
      <c r="R343" s="130" t="s">
        <v>80</v>
      </c>
    </row>
    <row r="344" spans="1:18" s="61" customFormat="1" x14ac:dyDescent="0.25">
      <c r="A344" s="85" t="s">
        <v>100</v>
      </c>
      <c r="B344" s="89">
        <v>307345.30000000005</v>
      </c>
      <c r="C344" s="89">
        <v>81</v>
      </c>
      <c r="D344" s="89">
        <v>1</v>
      </c>
      <c r="E344" s="90">
        <f t="shared" si="67"/>
        <v>3794.386419753087</v>
      </c>
      <c r="F344" s="89">
        <v>26560.71</v>
      </c>
      <c r="G344" s="89">
        <f t="shared" si="49"/>
        <v>7</v>
      </c>
      <c r="H344" s="89">
        <v>1</v>
      </c>
      <c r="I344" s="90">
        <f>F344/G344/H344</f>
        <v>3794.3871428571429</v>
      </c>
      <c r="J344" s="89">
        <v>3794.39</v>
      </c>
      <c r="K344" s="89">
        <f t="shared" si="50"/>
        <v>1</v>
      </c>
      <c r="L344" s="89">
        <v>1</v>
      </c>
      <c r="M344" s="90">
        <f t="shared" si="68"/>
        <v>3794.39</v>
      </c>
      <c r="N344" s="89"/>
      <c r="O344" s="89"/>
      <c r="P344" s="89"/>
      <c r="Q344" s="90"/>
      <c r="R344" s="130" t="s">
        <v>80</v>
      </c>
    </row>
    <row r="345" spans="1:18" s="61" customFormat="1" ht="51" x14ac:dyDescent="0.25">
      <c r="A345" s="85" t="s">
        <v>235</v>
      </c>
      <c r="B345" s="89">
        <v>256120.92</v>
      </c>
      <c r="C345" s="89">
        <f t="shared" si="48"/>
        <v>36</v>
      </c>
      <c r="D345" s="89">
        <v>1</v>
      </c>
      <c r="E345" s="90">
        <f t="shared" si="67"/>
        <v>7114.47</v>
      </c>
      <c r="F345" s="89">
        <v>35572.35</v>
      </c>
      <c r="G345" s="89">
        <f t="shared" si="49"/>
        <v>5</v>
      </c>
      <c r="H345" s="89">
        <v>1</v>
      </c>
      <c r="I345" s="90">
        <f>F345/G345/H345</f>
        <v>7114.4699999999993</v>
      </c>
      <c r="J345" s="89">
        <v>7114.47</v>
      </c>
      <c r="K345" s="89">
        <f t="shared" si="50"/>
        <v>1</v>
      </c>
      <c r="L345" s="89">
        <v>1</v>
      </c>
      <c r="M345" s="90">
        <f t="shared" si="68"/>
        <v>7114.47</v>
      </c>
      <c r="N345" s="89"/>
      <c r="O345" s="89"/>
      <c r="P345" s="89"/>
      <c r="Q345" s="90"/>
      <c r="R345" s="130" t="s">
        <v>80</v>
      </c>
    </row>
    <row r="346" spans="1:18" s="61" customFormat="1" x14ac:dyDescent="0.25">
      <c r="A346" s="85" t="s">
        <v>376</v>
      </c>
      <c r="B346" s="89"/>
      <c r="C346" s="89">
        <f t="shared" si="48"/>
        <v>0</v>
      </c>
      <c r="D346" s="89"/>
      <c r="E346" s="90"/>
      <c r="F346" s="89"/>
      <c r="G346" s="89">
        <f t="shared" si="49"/>
        <v>0</v>
      </c>
      <c r="H346" s="89"/>
      <c r="I346" s="90"/>
      <c r="J346" s="89">
        <v>321066.70999999996</v>
      </c>
      <c r="K346" s="89">
        <f t="shared" si="50"/>
        <v>1</v>
      </c>
      <c r="L346" s="89">
        <v>12</v>
      </c>
      <c r="M346" s="90">
        <f t="shared" si="68"/>
        <v>26755.559166666662</v>
      </c>
      <c r="N346" s="89"/>
      <c r="O346" s="89"/>
      <c r="P346" s="89"/>
      <c r="Q346" s="90"/>
      <c r="R346" s="130" t="s">
        <v>80</v>
      </c>
    </row>
    <row r="347" spans="1:18" s="61" customFormat="1" x14ac:dyDescent="0.25">
      <c r="A347" s="85" t="s">
        <v>345</v>
      </c>
      <c r="B347" s="89"/>
      <c r="C347" s="89">
        <f t="shared" si="48"/>
        <v>0</v>
      </c>
      <c r="D347" s="89"/>
      <c r="E347" s="90"/>
      <c r="F347" s="89"/>
      <c r="G347" s="89">
        <f t="shared" si="49"/>
        <v>0</v>
      </c>
      <c r="H347" s="89"/>
      <c r="I347" s="90"/>
      <c r="J347" s="89"/>
      <c r="K347" s="89">
        <f t="shared" si="50"/>
        <v>0</v>
      </c>
      <c r="L347" s="89"/>
      <c r="M347" s="90"/>
      <c r="N347" s="89"/>
      <c r="O347" s="89"/>
      <c r="P347" s="89"/>
      <c r="Q347" s="90"/>
      <c r="R347" s="130" t="s">
        <v>80</v>
      </c>
    </row>
    <row r="348" spans="1:18" s="61" customFormat="1" x14ac:dyDescent="0.25">
      <c r="A348" s="85" t="s">
        <v>346</v>
      </c>
      <c r="B348" s="89"/>
      <c r="C348" s="89">
        <f t="shared" si="48"/>
        <v>0</v>
      </c>
      <c r="D348" s="89"/>
      <c r="E348" s="90"/>
      <c r="F348" s="89"/>
      <c r="G348" s="89">
        <f t="shared" si="49"/>
        <v>0</v>
      </c>
      <c r="H348" s="89"/>
      <c r="I348" s="90"/>
      <c r="J348" s="89">
        <v>56915.79</v>
      </c>
      <c r="K348" s="89">
        <f t="shared" si="50"/>
        <v>17</v>
      </c>
      <c r="L348" s="89">
        <v>1</v>
      </c>
      <c r="M348" s="90">
        <f t="shared" ref="M348:M354" si="69">J348/K348/L348</f>
        <v>3347.9876470588238</v>
      </c>
      <c r="N348" s="89"/>
      <c r="O348" s="89"/>
      <c r="P348" s="89"/>
      <c r="Q348" s="90"/>
      <c r="R348" s="130" t="s">
        <v>80</v>
      </c>
    </row>
    <row r="349" spans="1:18" s="61" customFormat="1" x14ac:dyDescent="0.25">
      <c r="A349" s="85" t="s">
        <v>42</v>
      </c>
      <c r="B349" s="89">
        <v>241892.08000000007</v>
      </c>
      <c r="C349" s="89">
        <f t="shared" ref="C349:C405" si="70">C209</f>
        <v>204</v>
      </c>
      <c r="D349" s="89">
        <v>1</v>
      </c>
      <c r="E349" s="90">
        <f t="shared" ref="E349:E351" si="71">B349/C349/D349</f>
        <v>1185.7454901960789</v>
      </c>
      <c r="F349" s="89">
        <v>30829.390000000003</v>
      </c>
      <c r="G349" s="89">
        <f t="shared" ref="G349:G407" si="72">G209</f>
        <v>26</v>
      </c>
      <c r="H349" s="89">
        <v>1</v>
      </c>
      <c r="I349" s="90">
        <f t="shared" ref="I349:I355" si="73">F349/G349/H349</f>
        <v>1185.7457692307694</v>
      </c>
      <c r="J349" s="89">
        <v>7114.47</v>
      </c>
      <c r="K349" s="89">
        <f t="shared" ref="K349:K407" si="74">K209</f>
        <v>6</v>
      </c>
      <c r="L349" s="89">
        <v>1</v>
      </c>
      <c r="M349" s="90">
        <f t="shared" si="69"/>
        <v>1185.7450000000001</v>
      </c>
      <c r="N349" s="89"/>
      <c r="O349" s="89"/>
      <c r="P349" s="89"/>
      <c r="Q349" s="90"/>
      <c r="R349" s="130" t="s">
        <v>80</v>
      </c>
    </row>
    <row r="350" spans="1:18" s="61" customFormat="1" ht="38.25" x14ac:dyDescent="0.25">
      <c r="A350" s="85" t="s">
        <v>404</v>
      </c>
      <c r="B350" s="89">
        <v>303247.44000000006</v>
      </c>
      <c r="C350" s="89">
        <f t="shared" si="70"/>
        <v>36</v>
      </c>
      <c r="D350" s="89">
        <v>1</v>
      </c>
      <c r="E350" s="90">
        <f t="shared" si="71"/>
        <v>8423.5400000000009</v>
      </c>
      <c r="F350" s="89">
        <v>42117.700000000004</v>
      </c>
      <c r="G350" s="89">
        <f t="shared" si="72"/>
        <v>5</v>
      </c>
      <c r="H350" s="89">
        <v>1</v>
      </c>
      <c r="I350" s="90">
        <f t="shared" si="73"/>
        <v>8423.5400000000009</v>
      </c>
      <c r="J350" s="89">
        <v>8423.5400000000009</v>
      </c>
      <c r="K350" s="89">
        <f t="shared" si="74"/>
        <v>1</v>
      </c>
      <c r="L350" s="89">
        <v>1</v>
      </c>
      <c r="M350" s="90">
        <f t="shared" si="69"/>
        <v>8423.5400000000009</v>
      </c>
      <c r="N350" s="89"/>
      <c r="O350" s="89"/>
      <c r="P350" s="89"/>
      <c r="Q350" s="90"/>
      <c r="R350" s="130" t="s">
        <v>80</v>
      </c>
    </row>
    <row r="351" spans="1:18" s="61" customFormat="1" x14ac:dyDescent="0.25">
      <c r="A351" s="85" t="s">
        <v>44</v>
      </c>
      <c r="B351" s="89">
        <v>74977.070000000007</v>
      </c>
      <c r="C351" s="89">
        <f t="shared" si="70"/>
        <v>1216</v>
      </c>
      <c r="D351" s="89">
        <v>1</v>
      </c>
      <c r="E351" s="90">
        <f t="shared" si="71"/>
        <v>61.65877467105264</v>
      </c>
      <c r="F351" s="89">
        <v>16535.170000000002</v>
      </c>
      <c r="G351" s="89">
        <f t="shared" si="72"/>
        <v>304</v>
      </c>
      <c r="H351" s="89">
        <v>1</v>
      </c>
      <c r="I351" s="90">
        <f t="shared" si="73"/>
        <v>54.392006578947374</v>
      </c>
      <c r="J351" s="89">
        <v>18744.27</v>
      </c>
      <c r="K351" s="89">
        <f t="shared" si="74"/>
        <v>304</v>
      </c>
      <c r="L351" s="89">
        <v>1</v>
      </c>
      <c r="M351" s="90">
        <f t="shared" si="69"/>
        <v>61.658782894736845</v>
      </c>
      <c r="N351" s="89"/>
      <c r="O351" s="89"/>
      <c r="P351" s="89"/>
      <c r="Q351" s="90"/>
      <c r="R351" s="130" t="s">
        <v>80</v>
      </c>
    </row>
    <row r="352" spans="1:18" s="61" customFormat="1" x14ac:dyDescent="0.25">
      <c r="A352" s="85" t="s">
        <v>256</v>
      </c>
      <c r="B352" s="89"/>
      <c r="C352" s="89">
        <f t="shared" si="70"/>
        <v>0</v>
      </c>
      <c r="D352" s="89"/>
      <c r="E352" s="90"/>
      <c r="F352" s="89">
        <v>376948.52999999997</v>
      </c>
      <c r="G352" s="89">
        <f t="shared" si="72"/>
        <v>187</v>
      </c>
      <c r="H352" s="89">
        <v>1</v>
      </c>
      <c r="I352" s="90">
        <f t="shared" si="73"/>
        <v>2015.7675401069516</v>
      </c>
      <c r="J352" s="89">
        <v>50394.19</v>
      </c>
      <c r="K352" s="89">
        <f t="shared" si="74"/>
        <v>25</v>
      </c>
      <c r="L352" s="89">
        <v>1</v>
      </c>
      <c r="M352" s="90">
        <f t="shared" si="69"/>
        <v>2015.7676000000001</v>
      </c>
      <c r="N352" s="89"/>
      <c r="O352" s="89"/>
      <c r="P352" s="89"/>
      <c r="Q352" s="90"/>
      <c r="R352" s="130" t="s">
        <v>80</v>
      </c>
    </row>
    <row r="353" spans="1:22" s="61" customFormat="1" x14ac:dyDescent="0.25">
      <c r="A353" s="85" t="s">
        <v>45</v>
      </c>
      <c r="B353" s="89">
        <v>45987.96</v>
      </c>
      <c r="C353" s="89">
        <f t="shared" si="70"/>
        <v>4</v>
      </c>
      <c r="D353" s="89">
        <v>12</v>
      </c>
      <c r="E353" s="90">
        <f t="shared" ref="E353:E355" si="75">B353/C353/D353</f>
        <v>958.08249999999998</v>
      </c>
      <c r="F353" s="89">
        <v>11496.99</v>
      </c>
      <c r="G353" s="89">
        <f t="shared" si="72"/>
        <v>1</v>
      </c>
      <c r="H353" s="89">
        <v>12</v>
      </c>
      <c r="I353" s="90">
        <f t="shared" si="73"/>
        <v>958.08249999999998</v>
      </c>
      <c r="J353" s="89">
        <v>11496.99</v>
      </c>
      <c r="K353" s="89">
        <f t="shared" si="74"/>
        <v>1</v>
      </c>
      <c r="L353" s="89">
        <v>12</v>
      </c>
      <c r="M353" s="90">
        <f t="shared" si="69"/>
        <v>958.08249999999998</v>
      </c>
      <c r="N353" s="89"/>
      <c r="O353" s="89"/>
      <c r="P353" s="89"/>
      <c r="Q353" s="90"/>
      <c r="R353" s="130" t="s">
        <v>80</v>
      </c>
    </row>
    <row r="354" spans="1:22" s="61" customFormat="1" ht="25.5" x14ac:dyDescent="0.25">
      <c r="A354" s="85" t="s">
        <v>408</v>
      </c>
      <c r="B354" s="89">
        <v>1006105.1100000002</v>
      </c>
      <c r="C354" s="89">
        <v>1697</v>
      </c>
      <c r="D354" s="89">
        <v>1</v>
      </c>
      <c r="E354" s="90">
        <f t="shared" si="75"/>
        <v>592.87278137890405</v>
      </c>
      <c r="F354" s="89"/>
      <c r="G354" s="89">
        <f t="shared" si="72"/>
        <v>30</v>
      </c>
      <c r="H354" s="89">
        <v>1</v>
      </c>
      <c r="I354" s="90">
        <f t="shared" si="73"/>
        <v>0</v>
      </c>
      <c r="J354" s="89">
        <v>3557.2400000000002</v>
      </c>
      <c r="K354" s="89">
        <f t="shared" si="74"/>
        <v>6</v>
      </c>
      <c r="L354" s="89">
        <v>1</v>
      </c>
      <c r="M354" s="90">
        <f t="shared" si="69"/>
        <v>592.87333333333333</v>
      </c>
      <c r="N354" s="89"/>
      <c r="O354" s="89"/>
      <c r="P354" s="89"/>
      <c r="Q354" s="90"/>
      <c r="R354" s="130" t="s">
        <v>80</v>
      </c>
      <c r="T354" s="71">
        <f>SUM(B335:B354)</f>
        <v>6469597.700000002</v>
      </c>
      <c r="U354" s="71">
        <v>6469597.7000000002</v>
      </c>
      <c r="V354" s="71">
        <f>T354-U354</f>
        <v>0</v>
      </c>
    </row>
    <row r="355" spans="1:22" s="61" customFormat="1" x14ac:dyDescent="0.25">
      <c r="A355" s="85" t="s">
        <v>41</v>
      </c>
      <c r="B355" s="89">
        <v>111934.38</v>
      </c>
      <c r="C355" s="89">
        <f t="shared" si="70"/>
        <v>4</v>
      </c>
      <c r="D355" s="89">
        <v>1</v>
      </c>
      <c r="E355" s="90">
        <f t="shared" si="75"/>
        <v>27983.595000000001</v>
      </c>
      <c r="F355" s="89">
        <v>27983.599999999999</v>
      </c>
      <c r="G355" s="89">
        <f t="shared" si="72"/>
        <v>1</v>
      </c>
      <c r="H355" s="89">
        <v>1</v>
      </c>
      <c r="I355" s="90">
        <f t="shared" si="73"/>
        <v>27983.599999999999</v>
      </c>
      <c r="J355" s="89">
        <v>27983.600000000002</v>
      </c>
      <c r="K355" s="89">
        <f t="shared" si="74"/>
        <v>1</v>
      </c>
      <c r="L355" s="89">
        <v>1</v>
      </c>
      <c r="M355" s="90">
        <f>J355/K355/L355</f>
        <v>27983.600000000002</v>
      </c>
      <c r="N355" s="89"/>
      <c r="O355" s="89"/>
      <c r="P355" s="89"/>
      <c r="Q355" s="90"/>
      <c r="R355" s="130" t="s">
        <v>237</v>
      </c>
    </row>
    <row r="356" spans="1:22" s="61" customFormat="1" ht="25.5" x14ac:dyDescent="0.25">
      <c r="A356" s="85" t="s">
        <v>19</v>
      </c>
      <c r="B356" s="89"/>
      <c r="C356" s="89">
        <f t="shared" si="70"/>
        <v>0</v>
      </c>
      <c r="D356" s="89"/>
      <c r="E356" s="90"/>
      <c r="F356" s="89"/>
      <c r="G356" s="89">
        <f t="shared" si="72"/>
        <v>0</v>
      </c>
      <c r="H356" s="89">
        <v>12</v>
      </c>
      <c r="I356" s="90"/>
      <c r="J356" s="89"/>
      <c r="K356" s="89">
        <f t="shared" si="74"/>
        <v>0</v>
      </c>
      <c r="L356" s="89"/>
      <c r="M356" s="90"/>
      <c r="N356" s="89"/>
      <c r="O356" s="89"/>
      <c r="P356" s="89"/>
      <c r="Q356" s="90"/>
      <c r="R356" s="130"/>
      <c r="S356" s="71"/>
    </row>
    <row r="357" spans="1:22" s="61" customFormat="1" x14ac:dyDescent="0.25">
      <c r="A357" s="85" t="s">
        <v>258</v>
      </c>
      <c r="B357" s="89"/>
      <c r="C357" s="89">
        <f t="shared" si="70"/>
        <v>0</v>
      </c>
      <c r="D357" s="89"/>
      <c r="E357" s="90"/>
      <c r="F357" s="89"/>
      <c r="G357" s="89">
        <f t="shared" si="72"/>
        <v>0</v>
      </c>
      <c r="H357" s="89">
        <v>1</v>
      </c>
      <c r="I357" s="90"/>
      <c r="J357" s="89"/>
      <c r="K357" s="89">
        <f t="shared" si="74"/>
        <v>0</v>
      </c>
      <c r="L357" s="89"/>
      <c r="M357" s="90"/>
      <c r="N357" s="89"/>
      <c r="O357" s="89"/>
      <c r="P357" s="89"/>
      <c r="Q357" s="90"/>
      <c r="R357" s="130"/>
    </row>
    <row r="358" spans="1:22" s="61" customFormat="1" x14ac:dyDescent="0.25">
      <c r="A358" s="119" t="s">
        <v>409</v>
      </c>
      <c r="B358" s="89"/>
      <c r="C358" s="89">
        <f t="shared" si="70"/>
        <v>23</v>
      </c>
      <c r="D358" s="89">
        <v>1</v>
      </c>
      <c r="E358" s="90">
        <f t="shared" ref="E358:E381" si="76">B358/C358/D358</f>
        <v>0</v>
      </c>
      <c r="F358" s="89"/>
      <c r="G358" s="89">
        <f t="shared" si="72"/>
        <v>0</v>
      </c>
      <c r="H358" s="89">
        <v>1</v>
      </c>
      <c r="I358" s="90"/>
      <c r="J358" s="89"/>
      <c r="K358" s="89">
        <f t="shared" si="74"/>
        <v>0</v>
      </c>
      <c r="L358" s="89"/>
      <c r="M358" s="90"/>
      <c r="N358" s="89"/>
      <c r="O358" s="89"/>
      <c r="P358" s="89"/>
      <c r="Q358" s="90"/>
      <c r="R358" s="130" t="s">
        <v>430</v>
      </c>
    </row>
    <row r="359" spans="1:22" s="61" customFormat="1" x14ac:dyDescent="0.25">
      <c r="A359" s="119" t="s">
        <v>410</v>
      </c>
      <c r="B359" s="89"/>
      <c r="C359" s="89">
        <f t="shared" si="70"/>
        <v>7</v>
      </c>
      <c r="D359" s="89">
        <v>1</v>
      </c>
      <c r="E359" s="90">
        <f t="shared" si="76"/>
        <v>0</v>
      </c>
      <c r="F359" s="89"/>
      <c r="G359" s="89">
        <f t="shared" si="72"/>
        <v>0</v>
      </c>
      <c r="H359" s="89">
        <v>1</v>
      </c>
      <c r="I359" s="90"/>
      <c r="J359" s="89"/>
      <c r="K359" s="89">
        <f t="shared" si="74"/>
        <v>0</v>
      </c>
      <c r="L359" s="89"/>
      <c r="M359" s="90"/>
      <c r="N359" s="89"/>
      <c r="O359" s="89"/>
      <c r="P359" s="89"/>
      <c r="Q359" s="90"/>
      <c r="R359" s="130" t="s">
        <v>430</v>
      </c>
    </row>
    <row r="360" spans="1:22" s="61" customFormat="1" x14ac:dyDescent="0.25">
      <c r="A360" s="119" t="s">
        <v>411</v>
      </c>
      <c r="B360" s="89"/>
      <c r="C360" s="89">
        <f t="shared" si="70"/>
        <v>7</v>
      </c>
      <c r="D360" s="89">
        <v>1</v>
      </c>
      <c r="E360" s="90">
        <f t="shared" si="76"/>
        <v>0</v>
      </c>
      <c r="F360" s="89"/>
      <c r="G360" s="89">
        <f t="shared" si="72"/>
        <v>0</v>
      </c>
      <c r="H360" s="89">
        <v>1</v>
      </c>
      <c r="I360" s="90"/>
      <c r="J360" s="89"/>
      <c r="K360" s="89">
        <f t="shared" si="74"/>
        <v>0</v>
      </c>
      <c r="L360" s="89"/>
      <c r="M360" s="90"/>
      <c r="N360" s="89"/>
      <c r="O360" s="89"/>
      <c r="P360" s="89"/>
      <c r="Q360" s="90"/>
      <c r="R360" s="130" t="s">
        <v>430</v>
      </c>
    </row>
    <row r="361" spans="1:22" s="61" customFormat="1" ht="14.25" customHeight="1" x14ac:dyDescent="0.25">
      <c r="A361" s="83" t="s">
        <v>412</v>
      </c>
      <c r="B361" s="89"/>
      <c r="C361" s="89">
        <f t="shared" si="70"/>
        <v>35</v>
      </c>
      <c r="D361" s="89">
        <v>1</v>
      </c>
      <c r="E361" s="90">
        <f t="shared" si="76"/>
        <v>0</v>
      </c>
      <c r="F361" s="89"/>
      <c r="G361" s="89">
        <f t="shared" si="72"/>
        <v>0</v>
      </c>
      <c r="H361" s="89">
        <v>1</v>
      </c>
      <c r="I361" s="90"/>
      <c r="J361" s="89"/>
      <c r="K361" s="89">
        <f t="shared" si="74"/>
        <v>0</v>
      </c>
      <c r="L361" s="89"/>
      <c r="M361" s="90"/>
      <c r="N361" s="89"/>
      <c r="O361" s="89"/>
      <c r="P361" s="89"/>
      <c r="Q361" s="90"/>
      <c r="R361" s="130" t="s">
        <v>430</v>
      </c>
    </row>
    <row r="362" spans="1:22" s="61" customFormat="1" ht="15.75" x14ac:dyDescent="0.25">
      <c r="A362" s="83" t="s">
        <v>413</v>
      </c>
      <c r="B362" s="89"/>
      <c r="C362" s="89">
        <f t="shared" si="70"/>
        <v>15</v>
      </c>
      <c r="D362" s="89">
        <v>1</v>
      </c>
      <c r="E362" s="90">
        <f t="shared" si="76"/>
        <v>0</v>
      </c>
      <c r="F362" s="89"/>
      <c r="G362" s="89">
        <f t="shared" si="72"/>
        <v>0</v>
      </c>
      <c r="H362" s="89">
        <v>1</v>
      </c>
      <c r="I362" s="90"/>
      <c r="J362" s="89"/>
      <c r="K362" s="89">
        <f t="shared" si="74"/>
        <v>0</v>
      </c>
      <c r="L362" s="89"/>
      <c r="M362" s="90"/>
      <c r="N362" s="89"/>
      <c r="O362" s="89"/>
      <c r="P362" s="89"/>
      <c r="Q362" s="90"/>
      <c r="R362" s="130" t="s">
        <v>430</v>
      </c>
    </row>
    <row r="363" spans="1:22" s="61" customFormat="1" x14ac:dyDescent="0.25">
      <c r="A363" s="119" t="s">
        <v>109</v>
      </c>
      <c r="B363" s="89"/>
      <c r="C363" s="89">
        <f t="shared" si="70"/>
        <v>16</v>
      </c>
      <c r="D363" s="89">
        <v>1</v>
      </c>
      <c r="E363" s="90">
        <f t="shared" si="76"/>
        <v>0</v>
      </c>
      <c r="F363" s="89"/>
      <c r="G363" s="89">
        <f t="shared" si="72"/>
        <v>0</v>
      </c>
      <c r="H363" s="89">
        <v>1</v>
      </c>
      <c r="I363" s="90"/>
      <c r="J363" s="89"/>
      <c r="K363" s="89">
        <f t="shared" si="74"/>
        <v>0</v>
      </c>
      <c r="L363" s="89"/>
      <c r="M363" s="90"/>
      <c r="N363" s="89"/>
      <c r="O363" s="89"/>
      <c r="P363" s="89"/>
      <c r="Q363" s="90"/>
      <c r="R363" s="130" t="s">
        <v>430</v>
      </c>
    </row>
    <row r="364" spans="1:22" s="61" customFormat="1" x14ac:dyDescent="0.25">
      <c r="A364" s="119" t="s">
        <v>414</v>
      </c>
      <c r="B364" s="89"/>
      <c r="C364" s="89">
        <f t="shared" si="70"/>
        <v>9</v>
      </c>
      <c r="D364" s="89">
        <v>1</v>
      </c>
      <c r="E364" s="90">
        <f t="shared" si="76"/>
        <v>0</v>
      </c>
      <c r="F364" s="89"/>
      <c r="G364" s="89">
        <f t="shared" si="72"/>
        <v>0</v>
      </c>
      <c r="H364" s="89">
        <v>1</v>
      </c>
      <c r="I364" s="90"/>
      <c r="J364" s="89"/>
      <c r="K364" s="89">
        <f t="shared" si="74"/>
        <v>0</v>
      </c>
      <c r="L364" s="89"/>
      <c r="M364" s="90"/>
      <c r="N364" s="89"/>
      <c r="O364" s="89"/>
      <c r="P364" s="89"/>
      <c r="Q364" s="90"/>
      <c r="R364" s="130" t="s">
        <v>430</v>
      </c>
    </row>
    <row r="365" spans="1:22" s="61" customFormat="1" x14ac:dyDescent="0.25">
      <c r="A365" s="119" t="s">
        <v>415</v>
      </c>
      <c r="B365" s="89"/>
      <c r="C365" s="89">
        <f t="shared" si="70"/>
        <v>11</v>
      </c>
      <c r="D365" s="89">
        <v>1</v>
      </c>
      <c r="E365" s="90">
        <f t="shared" si="76"/>
        <v>0</v>
      </c>
      <c r="F365" s="89"/>
      <c r="G365" s="89">
        <f t="shared" si="72"/>
        <v>0</v>
      </c>
      <c r="H365" s="89">
        <v>1</v>
      </c>
      <c r="I365" s="90"/>
      <c r="J365" s="89"/>
      <c r="K365" s="89">
        <f t="shared" si="74"/>
        <v>0</v>
      </c>
      <c r="L365" s="89"/>
      <c r="M365" s="90"/>
      <c r="N365" s="89"/>
      <c r="O365" s="89"/>
      <c r="P365" s="89"/>
      <c r="Q365" s="90"/>
      <c r="R365" s="130" t="s">
        <v>430</v>
      </c>
    </row>
    <row r="366" spans="1:22" s="61" customFormat="1" x14ac:dyDescent="0.25">
      <c r="A366" s="119" t="s">
        <v>416</v>
      </c>
      <c r="B366" s="89"/>
      <c r="C366" s="89">
        <f t="shared" si="70"/>
        <v>20</v>
      </c>
      <c r="D366" s="89">
        <v>1</v>
      </c>
      <c r="E366" s="90">
        <f t="shared" si="76"/>
        <v>0</v>
      </c>
      <c r="F366" s="89"/>
      <c r="G366" s="89">
        <f t="shared" si="72"/>
        <v>0</v>
      </c>
      <c r="H366" s="89">
        <v>1</v>
      </c>
      <c r="I366" s="90"/>
      <c r="J366" s="89"/>
      <c r="K366" s="89">
        <f t="shared" si="74"/>
        <v>0</v>
      </c>
      <c r="L366" s="89"/>
      <c r="M366" s="90"/>
      <c r="N366" s="89"/>
      <c r="O366" s="89"/>
      <c r="P366" s="89"/>
      <c r="Q366" s="90"/>
      <c r="R366" s="130" t="s">
        <v>430</v>
      </c>
    </row>
    <row r="367" spans="1:22" s="61" customFormat="1" x14ac:dyDescent="0.25">
      <c r="A367" s="119" t="s">
        <v>417</v>
      </c>
      <c r="B367" s="89"/>
      <c r="C367" s="89">
        <f t="shared" si="70"/>
        <v>17</v>
      </c>
      <c r="D367" s="89">
        <v>1</v>
      </c>
      <c r="E367" s="90">
        <f t="shared" si="76"/>
        <v>0</v>
      </c>
      <c r="F367" s="89"/>
      <c r="G367" s="89">
        <f t="shared" si="72"/>
        <v>0</v>
      </c>
      <c r="H367" s="89">
        <v>1</v>
      </c>
      <c r="I367" s="90"/>
      <c r="J367" s="89"/>
      <c r="K367" s="89">
        <f t="shared" si="74"/>
        <v>0</v>
      </c>
      <c r="L367" s="89"/>
      <c r="M367" s="90"/>
      <c r="N367" s="89"/>
      <c r="O367" s="89"/>
      <c r="P367" s="89"/>
      <c r="Q367" s="90"/>
      <c r="R367" s="130" t="s">
        <v>430</v>
      </c>
    </row>
    <row r="368" spans="1:22" s="61" customFormat="1" x14ac:dyDescent="0.25">
      <c r="A368" s="119" t="s">
        <v>418</v>
      </c>
      <c r="B368" s="89"/>
      <c r="C368" s="89">
        <f t="shared" si="70"/>
        <v>9</v>
      </c>
      <c r="D368" s="89">
        <v>1</v>
      </c>
      <c r="E368" s="90">
        <f t="shared" si="76"/>
        <v>0</v>
      </c>
      <c r="F368" s="89"/>
      <c r="G368" s="89">
        <f t="shared" si="72"/>
        <v>0</v>
      </c>
      <c r="H368" s="89">
        <v>1</v>
      </c>
      <c r="I368" s="90"/>
      <c r="J368" s="89"/>
      <c r="K368" s="89">
        <f t="shared" si="74"/>
        <v>0</v>
      </c>
      <c r="L368" s="89"/>
      <c r="M368" s="90"/>
      <c r="N368" s="89"/>
      <c r="O368" s="89"/>
      <c r="P368" s="89"/>
      <c r="Q368" s="90"/>
      <c r="R368" s="130" t="s">
        <v>430</v>
      </c>
    </row>
    <row r="369" spans="1:18" s="61" customFormat="1" x14ac:dyDescent="0.25">
      <c r="A369" s="119" t="s">
        <v>324</v>
      </c>
      <c r="B369" s="89"/>
      <c r="C369" s="89">
        <f t="shared" si="70"/>
        <v>18</v>
      </c>
      <c r="D369" s="89">
        <v>1</v>
      </c>
      <c r="E369" s="90">
        <f t="shared" si="76"/>
        <v>0</v>
      </c>
      <c r="F369" s="89"/>
      <c r="G369" s="89">
        <f t="shared" si="72"/>
        <v>0</v>
      </c>
      <c r="H369" s="89">
        <v>1</v>
      </c>
      <c r="I369" s="90"/>
      <c r="J369" s="89"/>
      <c r="K369" s="89">
        <f t="shared" si="74"/>
        <v>0</v>
      </c>
      <c r="L369" s="89"/>
      <c r="M369" s="90"/>
      <c r="N369" s="89"/>
      <c r="O369" s="89"/>
      <c r="P369" s="89"/>
      <c r="Q369" s="90"/>
      <c r="R369" s="130" t="s">
        <v>430</v>
      </c>
    </row>
    <row r="370" spans="1:18" s="61" customFormat="1" x14ac:dyDescent="0.25">
      <c r="A370" s="119" t="s">
        <v>419</v>
      </c>
      <c r="B370" s="89"/>
      <c r="C370" s="89">
        <f t="shared" si="70"/>
        <v>24</v>
      </c>
      <c r="D370" s="89">
        <v>1</v>
      </c>
      <c r="E370" s="90">
        <f t="shared" si="76"/>
        <v>0</v>
      </c>
      <c r="F370" s="89"/>
      <c r="G370" s="89">
        <f t="shared" si="72"/>
        <v>8</v>
      </c>
      <c r="H370" s="89">
        <v>1</v>
      </c>
      <c r="I370" s="90">
        <f>F370/G370/H370</f>
        <v>0</v>
      </c>
      <c r="J370" s="89"/>
      <c r="K370" s="89">
        <f t="shared" si="74"/>
        <v>0</v>
      </c>
      <c r="L370" s="89"/>
      <c r="M370" s="90"/>
      <c r="N370" s="89"/>
      <c r="O370" s="89"/>
      <c r="P370" s="89"/>
      <c r="Q370" s="90"/>
      <c r="R370" s="130" t="s">
        <v>430</v>
      </c>
    </row>
    <row r="371" spans="1:18" s="61" customFormat="1" x14ac:dyDescent="0.25">
      <c r="A371" s="119" t="s">
        <v>420</v>
      </c>
      <c r="B371" s="89"/>
      <c r="C371" s="89">
        <f t="shared" si="70"/>
        <v>15</v>
      </c>
      <c r="D371" s="89">
        <v>1</v>
      </c>
      <c r="E371" s="90">
        <f t="shared" si="76"/>
        <v>0</v>
      </c>
      <c r="F371" s="89"/>
      <c r="G371" s="89">
        <f t="shared" si="72"/>
        <v>0</v>
      </c>
      <c r="H371" s="89">
        <v>1</v>
      </c>
      <c r="I371" s="90"/>
      <c r="J371" s="89"/>
      <c r="K371" s="89">
        <f t="shared" si="74"/>
        <v>0</v>
      </c>
      <c r="L371" s="89"/>
      <c r="M371" s="90"/>
      <c r="N371" s="89"/>
      <c r="O371" s="89"/>
      <c r="P371" s="89"/>
      <c r="Q371" s="90"/>
      <c r="R371" s="130" t="s">
        <v>430</v>
      </c>
    </row>
    <row r="372" spans="1:18" s="61" customFormat="1" x14ac:dyDescent="0.25">
      <c r="A372" s="119" t="s">
        <v>421</v>
      </c>
      <c r="B372" s="89"/>
      <c r="C372" s="89">
        <f t="shared" si="70"/>
        <v>29</v>
      </c>
      <c r="D372" s="89">
        <v>1</v>
      </c>
      <c r="E372" s="90">
        <f t="shared" si="76"/>
        <v>0</v>
      </c>
      <c r="F372" s="89"/>
      <c r="G372" s="89">
        <f t="shared" si="72"/>
        <v>0</v>
      </c>
      <c r="H372" s="89">
        <v>1</v>
      </c>
      <c r="I372" s="90"/>
      <c r="J372" s="89"/>
      <c r="K372" s="89">
        <f t="shared" si="74"/>
        <v>0</v>
      </c>
      <c r="L372" s="89"/>
      <c r="M372" s="90"/>
      <c r="N372" s="89"/>
      <c r="O372" s="89"/>
      <c r="P372" s="89"/>
      <c r="Q372" s="90"/>
      <c r="R372" s="130" t="s">
        <v>430</v>
      </c>
    </row>
    <row r="373" spans="1:18" s="61" customFormat="1" x14ac:dyDescent="0.25">
      <c r="A373" s="119" t="s">
        <v>422</v>
      </c>
      <c r="B373" s="89"/>
      <c r="C373" s="89">
        <f t="shared" si="70"/>
        <v>18</v>
      </c>
      <c r="D373" s="89">
        <v>1</v>
      </c>
      <c r="E373" s="90">
        <f t="shared" si="76"/>
        <v>0</v>
      </c>
      <c r="F373" s="89"/>
      <c r="G373" s="89">
        <f t="shared" si="72"/>
        <v>0</v>
      </c>
      <c r="H373" s="89">
        <v>1</v>
      </c>
      <c r="I373" s="90"/>
      <c r="J373" s="89"/>
      <c r="K373" s="89">
        <f t="shared" si="74"/>
        <v>0</v>
      </c>
      <c r="L373" s="89"/>
      <c r="M373" s="90"/>
      <c r="N373" s="89"/>
      <c r="O373" s="89"/>
      <c r="P373" s="89"/>
      <c r="Q373" s="90"/>
      <c r="R373" s="130" t="s">
        <v>430</v>
      </c>
    </row>
    <row r="374" spans="1:18" s="61" customFormat="1" x14ac:dyDescent="0.25">
      <c r="A374" s="119" t="s">
        <v>423</v>
      </c>
      <c r="B374" s="89"/>
      <c r="C374" s="89">
        <f t="shared" si="70"/>
        <v>20</v>
      </c>
      <c r="D374" s="89">
        <v>1</v>
      </c>
      <c r="E374" s="90">
        <f t="shared" si="76"/>
        <v>0</v>
      </c>
      <c r="F374" s="89"/>
      <c r="G374" s="89">
        <f t="shared" si="72"/>
        <v>0</v>
      </c>
      <c r="H374" s="89">
        <v>1</v>
      </c>
      <c r="I374" s="90"/>
      <c r="J374" s="89"/>
      <c r="K374" s="89">
        <f t="shared" si="74"/>
        <v>0</v>
      </c>
      <c r="L374" s="89"/>
      <c r="M374" s="90"/>
      <c r="N374" s="89"/>
      <c r="O374" s="89"/>
      <c r="P374" s="89"/>
      <c r="Q374" s="90"/>
      <c r="R374" s="130" t="s">
        <v>430</v>
      </c>
    </row>
    <row r="375" spans="1:18" s="61" customFormat="1" x14ac:dyDescent="0.25">
      <c r="A375" s="119" t="s">
        <v>424</v>
      </c>
      <c r="B375" s="89"/>
      <c r="C375" s="89">
        <f t="shared" si="70"/>
        <v>35</v>
      </c>
      <c r="D375" s="89">
        <v>1</v>
      </c>
      <c r="E375" s="90">
        <f t="shared" si="76"/>
        <v>0</v>
      </c>
      <c r="F375" s="89"/>
      <c r="G375" s="89">
        <f t="shared" si="72"/>
        <v>0</v>
      </c>
      <c r="H375" s="89">
        <v>1</v>
      </c>
      <c r="I375" s="90"/>
      <c r="J375" s="89"/>
      <c r="K375" s="89">
        <f t="shared" si="74"/>
        <v>0</v>
      </c>
      <c r="L375" s="89"/>
      <c r="M375" s="90"/>
      <c r="N375" s="89"/>
      <c r="O375" s="89"/>
      <c r="P375" s="89"/>
      <c r="Q375" s="90"/>
      <c r="R375" s="130" t="s">
        <v>430</v>
      </c>
    </row>
    <row r="376" spans="1:18" s="61" customFormat="1" x14ac:dyDescent="0.25">
      <c r="A376" s="119" t="s">
        <v>425</v>
      </c>
      <c r="B376" s="89"/>
      <c r="C376" s="89">
        <f t="shared" si="70"/>
        <v>35</v>
      </c>
      <c r="D376" s="89">
        <v>1</v>
      </c>
      <c r="E376" s="90">
        <f t="shared" si="76"/>
        <v>0</v>
      </c>
      <c r="F376" s="89"/>
      <c r="G376" s="89">
        <f t="shared" si="72"/>
        <v>3</v>
      </c>
      <c r="H376" s="89">
        <v>1</v>
      </c>
      <c r="I376" s="90">
        <f>F376/G376/H376</f>
        <v>0</v>
      </c>
      <c r="J376" s="89"/>
      <c r="K376" s="89">
        <f t="shared" si="74"/>
        <v>0</v>
      </c>
      <c r="L376" s="89"/>
      <c r="M376" s="90"/>
      <c r="N376" s="89"/>
      <c r="O376" s="89"/>
      <c r="P376" s="89"/>
      <c r="Q376" s="90"/>
      <c r="R376" s="130" t="s">
        <v>430</v>
      </c>
    </row>
    <row r="377" spans="1:18" s="61" customFormat="1" x14ac:dyDescent="0.25">
      <c r="A377" s="119" t="s">
        <v>108</v>
      </c>
      <c r="B377" s="89"/>
      <c r="C377" s="89">
        <f t="shared" si="70"/>
        <v>865</v>
      </c>
      <c r="D377" s="89">
        <v>1</v>
      </c>
      <c r="E377" s="90">
        <f t="shared" si="76"/>
        <v>0</v>
      </c>
      <c r="F377" s="89"/>
      <c r="G377" s="89">
        <f t="shared" si="72"/>
        <v>0</v>
      </c>
      <c r="H377" s="89">
        <v>1</v>
      </c>
      <c r="I377" s="90"/>
      <c r="J377" s="89"/>
      <c r="K377" s="89">
        <f t="shared" si="74"/>
        <v>0</v>
      </c>
      <c r="L377" s="89"/>
      <c r="M377" s="90"/>
      <c r="N377" s="89"/>
      <c r="O377" s="89"/>
      <c r="P377" s="89"/>
      <c r="Q377" s="90"/>
      <c r="R377" s="130" t="s">
        <v>430</v>
      </c>
    </row>
    <row r="378" spans="1:18" s="61" customFormat="1" x14ac:dyDescent="0.25">
      <c r="A378" s="119" t="s">
        <v>426</v>
      </c>
      <c r="B378" s="89"/>
      <c r="C378" s="89">
        <f t="shared" si="70"/>
        <v>44</v>
      </c>
      <c r="D378" s="89">
        <v>1</v>
      </c>
      <c r="E378" s="90">
        <f t="shared" si="76"/>
        <v>0</v>
      </c>
      <c r="F378" s="89"/>
      <c r="G378" s="89">
        <f t="shared" si="72"/>
        <v>21</v>
      </c>
      <c r="H378" s="89">
        <v>1</v>
      </c>
      <c r="I378" s="90">
        <f t="shared" ref="I378:I385" si="77">F378/G378/H378</f>
        <v>0</v>
      </c>
      <c r="J378" s="89"/>
      <c r="K378" s="89">
        <f t="shared" si="74"/>
        <v>0</v>
      </c>
      <c r="L378" s="89"/>
      <c r="M378" s="90"/>
      <c r="N378" s="89"/>
      <c r="O378" s="89"/>
      <c r="P378" s="89"/>
      <c r="Q378" s="90"/>
      <c r="R378" s="130" t="s">
        <v>430</v>
      </c>
    </row>
    <row r="379" spans="1:18" s="61" customFormat="1" x14ac:dyDescent="0.25">
      <c r="A379" s="119" t="s">
        <v>427</v>
      </c>
      <c r="B379" s="89"/>
      <c r="C379" s="89">
        <f t="shared" si="70"/>
        <v>66</v>
      </c>
      <c r="D379" s="89">
        <v>1</v>
      </c>
      <c r="E379" s="90">
        <f t="shared" si="76"/>
        <v>0</v>
      </c>
      <c r="F379" s="89"/>
      <c r="G379" s="89">
        <f t="shared" si="72"/>
        <v>50</v>
      </c>
      <c r="H379" s="89">
        <v>1</v>
      </c>
      <c r="I379" s="90">
        <f t="shared" si="77"/>
        <v>0</v>
      </c>
      <c r="J379" s="89"/>
      <c r="K379" s="89">
        <f t="shared" si="74"/>
        <v>2</v>
      </c>
      <c r="L379" s="89">
        <v>1</v>
      </c>
      <c r="M379" s="90">
        <f>J379/K379/L379</f>
        <v>0</v>
      </c>
      <c r="N379" s="89"/>
      <c r="O379" s="89"/>
      <c r="P379" s="89"/>
      <c r="Q379" s="90"/>
      <c r="R379" s="130" t="s">
        <v>430</v>
      </c>
    </row>
    <row r="380" spans="1:18" s="61" customFormat="1" x14ac:dyDescent="0.25">
      <c r="A380" s="119" t="s">
        <v>428</v>
      </c>
      <c r="B380" s="89"/>
      <c r="C380" s="89">
        <f t="shared" si="70"/>
        <v>345</v>
      </c>
      <c r="D380" s="89">
        <v>1</v>
      </c>
      <c r="E380" s="90">
        <f t="shared" si="76"/>
        <v>0</v>
      </c>
      <c r="F380" s="89"/>
      <c r="G380" s="89">
        <f t="shared" si="72"/>
        <v>106</v>
      </c>
      <c r="H380" s="89">
        <v>1</v>
      </c>
      <c r="I380" s="90">
        <f t="shared" si="77"/>
        <v>0</v>
      </c>
      <c r="J380" s="89"/>
      <c r="K380" s="89">
        <f t="shared" si="74"/>
        <v>2</v>
      </c>
      <c r="L380" s="89">
        <v>1</v>
      </c>
      <c r="M380" s="90">
        <f t="shared" ref="M380" si="78">J380/K380/L380</f>
        <v>0</v>
      </c>
      <c r="N380" s="89"/>
      <c r="O380" s="89"/>
      <c r="P380" s="89"/>
      <c r="Q380" s="90"/>
      <c r="R380" s="130" t="s">
        <v>430</v>
      </c>
    </row>
    <row r="381" spans="1:18" s="61" customFormat="1" ht="15.75" x14ac:dyDescent="0.25">
      <c r="A381" s="83" t="s">
        <v>429</v>
      </c>
      <c r="B381" s="89"/>
      <c r="C381" s="89">
        <f t="shared" si="70"/>
        <v>49</v>
      </c>
      <c r="D381" s="89">
        <v>1</v>
      </c>
      <c r="E381" s="90">
        <f t="shared" si="76"/>
        <v>0</v>
      </c>
      <c r="F381" s="89"/>
      <c r="G381" s="89">
        <f t="shared" si="72"/>
        <v>26</v>
      </c>
      <c r="H381" s="89">
        <v>1</v>
      </c>
      <c r="I381" s="90">
        <f t="shared" si="77"/>
        <v>0</v>
      </c>
      <c r="J381" s="89"/>
      <c r="K381" s="89">
        <f t="shared" si="74"/>
        <v>0</v>
      </c>
      <c r="L381" s="89"/>
      <c r="M381" s="90"/>
      <c r="N381" s="89"/>
      <c r="O381" s="89"/>
      <c r="P381" s="89"/>
      <c r="Q381" s="90"/>
      <c r="R381" s="130" t="s">
        <v>430</v>
      </c>
    </row>
    <row r="382" spans="1:18" s="61" customFormat="1" x14ac:dyDescent="0.25">
      <c r="A382" s="119" t="s">
        <v>110</v>
      </c>
      <c r="B382" s="89"/>
      <c r="C382" s="89">
        <f t="shared" si="70"/>
        <v>0</v>
      </c>
      <c r="D382" s="89"/>
      <c r="E382" s="90"/>
      <c r="F382" s="89"/>
      <c r="G382" s="89">
        <f t="shared" si="72"/>
        <v>25</v>
      </c>
      <c r="H382" s="89">
        <v>1</v>
      </c>
      <c r="I382" s="90">
        <f t="shared" si="77"/>
        <v>0</v>
      </c>
      <c r="J382" s="89"/>
      <c r="K382" s="89">
        <f t="shared" si="74"/>
        <v>1</v>
      </c>
      <c r="L382" s="89">
        <v>1</v>
      </c>
      <c r="M382" s="90">
        <f t="shared" ref="M382" si="79">J382/K382/L382</f>
        <v>0</v>
      </c>
      <c r="N382" s="89"/>
      <c r="O382" s="89"/>
      <c r="P382" s="89"/>
      <c r="Q382" s="90"/>
      <c r="R382" s="130" t="s">
        <v>430</v>
      </c>
    </row>
    <row r="383" spans="1:18" s="61" customFormat="1" x14ac:dyDescent="0.25">
      <c r="A383" s="119" t="s">
        <v>112</v>
      </c>
      <c r="B383" s="89"/>
      <c r="C383" s="89">
        <f t="shared" si="70"/>
        <v>0</v>
      </c>
      <c r="D383" s="89"/>
      <c r="E383" s="90"/>
      <c r="F383" s="89"/>
      <c r="G383" s="89">
        <f t="shared" si="72"/>
        <v>5</v>
      </c>
      <c r="H383" s="89">
        <v>1</v>
      </c>
      <c r="I383" s="90">
        <f t="shared" si="77"/>
        <v>0</v>
      </c>
      <c r="J383" s="89"/>
      <c r="K383" s="89">
        <f t="shared" si="74"/>
        <v>0</v>
      </c>
      <c r="L383" s="89"/>
      <c r="M383" s="90"/>
      <c r="N383" s="89"/>
      <c r="O383" s="89"/>
      <c r="P383" s="89"/>
      <c r="Q383" s="90"/>
      <c r="R383" s="130" t="s">
        <v>430</v>
      </c>
    </row>
    <row r="384" spans="1:18" s="61" customFormat="1" x14ac:dyDescent="0.25">
      <c r="A384" s="119" t="s">
        <v>111</v>
      </c>
      <c r="B384" s="89"/>
      <c r="C384" s="89">
        <f t="shared" si="70"/>
        <v>0</v>
      </c>
      <c r="D384" s="89"/>
      <c r="E384" s="90"/>
      <c r="F384" s="89"/>
      <c r="G384" s="89">
        <f t="shared" si="72"/>
        <v>73</v>
      </c>
      <c r="H384" s="89">
        <v>1</v>
      </c>
      <c r="I384" s="90">
        <f t="shared" si="77"/>
        <v>0</v>
      </c>
      <c r="J384" s="89"/>
      <c r="K384" s="89">
        <f t="shared" si="74"/>
        <v>3</v>
      </c>
      <c r="L384" s="89">
        <v>1</v>
      </c>
      <c r="M384" s="90">
        <f t="shared" ref="M384:M385" si="80">J384/K384/L384</f>
        <v>0</v>
      </c>
      <c r="N384" s="89"/>
      <c r="O384" s="89"/>
      <c r="P384" s="89"/>
      <c r="Q384" s="90"/>
      <c r="R384" s="130" t="s">
        <v>430</v>
      </c>
    </row>
    <row r="385" spans="1:18" s="61" customFormat="1" x14ac:dyDescent="0.25">
      <c r="A385" s="119" t="s">
        <v>438</v>
      </c>
      <c r="B385" s="89"/>
      <c r="C385" s="89">
        <f t="shared" si="70"/>
        <v>0</v>
      </c>
      <c r="D385" s="89"/>
      <c r="E385" s="90"/>
      <c r="F385" s="89"/>
      <c r="G385" s="89">
        <f t="shared" si="72"/>
        <v>33</v>
      </c>
      <c r="H385" s="89">
        <v>1</v>
      </c>
      <c r="I385" s="90">
        <f t="shared" si="77"/>
        <v>0</v>
      </c>
      <c r="J385" s="89"/>
      <c r="K385" s="89">
        <f t="shared" si="74"/>
        <v>2</v>
      </c>
      <c r="L385" s="89">
        <v>1</v>
      </c>
      <c r="M385" s="90">
        <f t="shared" si="80"/>
        <v>0</v>
      </c>
      <c r="N385" s="89"/>
      <c r="O385" s="89"/>
      <c r="P385" s="89"/>
      <c r="Q385" s="90"/>
      <c r="R385" s="130" t="s">
        <v>430</v>
      </c>
    </row>
    <row r="386" spans="1:18" s="61" customFormat="1" x14ac:dyDescent="0.25">
      <c r="A386" s="119"/>
      <c r="B386" s="89"/>
      <c r="C386" s="89">
        <f t="shared" si="70"/>
        <v>0</v>
      </c>
      <c r="D386" s="89"/>
      <c r="E386" s="90"/>
      <c r="F386" s="89"/>
      <c r="G386" s="89">
        <f t="shared" si="72"/>
        <v>0</v>
      </c>
      <c r="H386" s="89"/>
      <c r="I386" s="90"/>
      <c r="J386" s="89"/>
      <c r="K386" s="89">
        <f t="shared" si="74"/>
        <v>0</v>
      </c>
      <c r="L386" s="89"/>
      <c r="M386" s="90"/>
      <c r="N386" s="89"/>
      <c r="O386" s="89"/>
      <c r="P386" s="89"/>
      <c r="Q386" s="90"/>
      <c r="R386" s="130" t="s">
        <v>430</v>
      </c>
    </row>
    <row r="387" spans="1:18" s="61" customFormat="1" x14ac:dyDescent="0.25">
      <c r="A387" s="119"/>
      <c r="B387" s="89"/>
      <c r="C387" s="89">
        <f t="shared" si="70"/>
        <v>0</v>
      </c>
      <c r="D387" s="89"/>
      <c r="E387" s="90"/>
      <c r="F387" s="89"/>
      <c r="G387" s="89">
        <f t="shared" si="72"/>
        <v>0</v>
      </c>
      <c r="H387" s="89"/>
      <c r="I387" s="90"/>
      <c r="J387" s="89"/>
      <c r="K387" s="89">
        <f t="shared" si="74"/>
        <v>0</v>
      </c>
      <c r="L387" s="89"/>
      <c r="M387" s="90"/>
      <c r="N387" s="89"/>
      <c r="O387" s="89"/>
      <c r="P387" s="89"/>
      <c r="Q387" s="90"/>
      <c r="R387" s="130" t="s">
        <v>430</v>
      </c>
    </row>
    <row r="388" spans="1:18" s="61" customFormat="1" x14ac:dyDescent="0.25">
      <c r="A388" s="119"/>
      <c r="B388" s="89"/>
      <c r="C388" s="89">
        <f t="shared" si="70"/>
        <v>0</v>
      </c>
      <c r="D388" s="89"/>
      <c r="E388" s="90"/>
      <c r="F388" s="89"/>
      <c r="G388" s="89">
        <f t="shared" si="72"/>
        <v>0</v>
      </c>
      <c r="H388" s="89"/>
      <c r="I388" s="90"/>
      <c r="J388" s="89"/>
      <c r="K388" s="89">
        <f t="shared" si="74"/>
        <v>0</v>
      </c>
      <c r="L388" s="89"/>
      <c r="M388" s="90"/>
      <c r="N388" s="89"/>
      <c r="O388" s="89"/>
      <c r="P388" s="89"/>
      <c r="Q388" s="90"/>
      <c r="R388" s="130" t="s">
        <v>430</v>
      </c>
    </row>
    <row r="389" spans="1:18" s="61" customFormat="1" x14ac:dyDescent="0.25">
      <c r="A389" s="119"/>
      <c r="B389" s="89"/>
      <c r="C389" s="89">
        <f t="shared" si="70"/>
        <v>0</v>
      </c>
      <c r="D389" s="89"/>
      <c r="E389" s="90"/>
      <c r="F389" s="89"/>
      <c r="G389" s="89">
        <f t="shared" si="72"/>
        <v>0</v>
      </c>
      <c r="H389" s="89"/>
      <c r="I389" s="90"/>
      <c r="J389" s="89"/>
      <c r="K389" s="89">
        <f t="shared" si="74"/>
        <v>0</v>
      </c>
      <c r="L389" s="89"/>
      <c r="M389" s="90"/>
      <c r="N389" s="89"/>
      <c r="O389" s="89"/>
      <c r="P389" s="89"/>
      <c r="Q389" s="90"/>
      <c r="R389" s="130" t="s">
        <v>430</v>
      </c>
    </row>
    <row r="390" spans="1:18" s="61" customFormat="1" x14ac:dyDescent="0.25">
      <c r="A390" s="119"/>
      <c r="B390" s="89"/>
      <c r="C390" s="89">
        <f t="shared" si="70"/>
        <v>0</v>
      </c>
      <c r="D390" s="89"/>
      <c r="E390" s="90"/>
      <c r="F390" s="89"/>
      <c r="G390" s="89">
        <f t="shared" si="72"/>
        <v>0</v>
      </c>
      <c r="H390" s="89"/>
      <c r="I390" s="90"/>
      <c r="J390" s="89"/>
      <c r="K390" s="89">
        <f t="shared" si="74"/>
        <v>0</v>
      </c>
      <c r="L390" s="89"/>
      <c r="M390" s="90"/>
      <c r="N390" s="89"/>
      <c r="O390" s="89"/>
      <c r="P390" s="89"/>
      <c r="Q390" s="90"/>
      <c r="R390" s="130" t="s">
        <v>430</v>
      </c>
    </row>
    <row r="391" spans="1:18" s="61" customFormat="1" x14ac:dyDescent="0.25">
      <c r="A391" s="119"/>
      <c r="B391" s="89"/>
      <c r="C391" s="89">
        <f t="shared" si="70"/>
        <v>0</v>
      </c>
      <c r="D391" s="89"/>
      <c r="E391" s="90"/>
      <c r="F391" s="89"/>
      <c r="G391" s="89">
        <f t="shared" si="72"/>
        <v>0</v>
      </c>
      <c r="H391" s="89"/>
      <c r="I391" s="90"/>
      <c r="J391" s="89"/>
      <c r="K391" s="89">
        <f t="shared" si="74"/>
        <v>0</v>
      </c>
      <c r="L391" s="89"/>
      <c r="M391" s="90"/>
      <c r="N391" s="89"/>
      <c r="O391" s="89"/>
      <c r="P391" s="89"/>
      <c r="Q391" s="90"/>
      <c r="R391" s="130" t="s">
        <v>430</v>
      </c>
    </row>
    <row r="392" spans="1:18" s="61" customFormat="1" x14ac:dyDescent="0.25">
      <c r="A392" s="119"/>
      <c r="B392" s="89"/>
      <c r="C392" s="89">
        <f t="shared" si="70"/>
        <v>0</v>
      </c>
      <c r="D392" s="89"/>
      <c r="E392" s="90"/>
      <c r="F392" s="89"/>
      <c r="G392" s="89">
        <f t="shared" si="72"/>
        <v>0</v>
      </c>
      <c r="H392" s="89"/>
      <c r="I392" s="90"/>
      <c r="J392" s="89"/>
      <c r="K392" s="89">
        <f t="shared" si="74"/>
        <v>0</v>
      </c>
      <c r="L392" s="89"/>
      <c r="M392" s="90"/>
      <c r="N392" s="89"/>
      <c r="O392" s="89"/>
      <c r="P392" s="89"/>
      <c r="Q392" s="90"/>
      <c r="R392" s="130" t="s">
        <v>430</v>
      </c>
    </row>
    <row r="393" spans="1:18" s="61" customFormat="1" x14ac:dyDescent="0.25">
      <c r="A393" s="119"/>
      <c r="B393" s="89"/>
      <c r="C393" s="89">
        <f t="shared" si="70"/>
        <v>0</v>
      </c>
      <c r="D393" s="89"/>
      <c r="E393" s="90"/>
      <c r="F393" s="89"/>
      <c r="G393" s="89">
        <f t="shared" si="72"/>
        <v>0</v>
      </c>
      <c r="H393" s="89"/>
      <c r="I393" s="90"/>
      <c r="J393" s="89"/>
      <c r="K393" s="89">
        <f t="shared" si="74"/>
        <v>0</v>
      </c>
      <c r="L393" s="89"/>
      <c r="M393" s="90"/>
      <c r="N393" s="89"/>
      <c r="O393" s="89"/>
      <c r="P393" s="89"/>
      <c r="Q393" s="90"/>
      <c r="R393" s="130" t="s">
        <v>430</v>
      </c>
    </row>
    <row r="394" spans="1:18" s="61" customFormat="1" x14ac:dyDescent="0.25">
      <c r="A394" s="119"/>
      <c r="B394" s="89"/>
      <c r="C394" s="89">
        <f t="shared" si="70"/>
        <v>0</v>
      </c>
      <c r="D394" s="89"/>
      <c r="E394" s="90"/>
      <c r="F394" s="89"/>
      <c r="G394" s="89">
        <f t="shared" si="72"/>
        <v>0</v>
      </c>
      <c r="H394" s="89"/>
      <c r="I394" s="90"/>
      <c r="J394" s="89"/>
      <c r="K394" s="89">
        <f t="shared" si="74"/>
        <v>0</v>
      </c>
      <c r="L394" s="89"/>
      <c r="M394" s="90"/>
      <c r="N394" s="89"/>
      <c r="O394" s="89"/>
      <c r="P394" s="89"/>
      <c r="Q394" s="90"/>
      <c r="R394" s="130" t="s">
        <v>430</v>
      </c>
    </row>
    <row r="395" spans="1:18" s="61" customFormat="1" x14ac:dyDescent="0.25">
      <c r="A395" s="119"/>
      <c r="B395" s="89"/>
      <c r="C395" s="89">
        <f t="shared" si="70"/>
        <v>0</v>
      </c>
      <c r="D395" s="89"/>
      <c r="E395" s="90"/>
      <c r="F395" s="89"/>
      <c r="G395" s="89">
        <f t="shared" si="72"/>
        <v>0</v>
      </c>
      <c r="H395" s="89"/>
      <c r="I395" s="90"/>
      <c r="J395" s="89"/>
      <c r="K395" s="89">
        <f t="shared" si="74"/>
        <v>0</v>
      </c>
      <c r="L395" s="89"/>
      <c r="M395" s="90"/>
      <c r="N395" s="89"/>
      <c r="O395" s="89"/>
      <c r="P395" s="89"/>
      <c r="Q395" s="90"/>
      <c r="R395" s="130" t="s">
        <v>430</v>
      </c>
    </row>
    <row r="396" spans="1:18" s="61" customFormat="1" x14ac:dyDescent="0.25">
      <c r="A396" s="119"/>
      <c r="B396" s="89"/>
      <c r="C396" s="89">
        <f t="shared" si="70"/>
        <v>0</v>
      </c>
      <c r="D396" s="89"/>
      <c r="E396" s="90"/>
      <c r="F396" s="89"/>
      <c r="G396" s="89">
        <f t="shared" si="72"/>
        <v>0</v>
      </c>
      <c r="H396" s="89"/>
      <c r="I396" s="90"/>
      <c r="J396" s="89"/>
      <c r="K396" s="89">
        <f t="shared" si="74"/>
        <v>0</v>
      </c>
      <c r="L396" s="89"/>
      <c r="M396" s="90"/>
      <c r="N396" s="89"/>
      <c r="O396" s="89"/>
      <c r="P396" s="89"/>
      <c r="Q396" s="90"/>
      <c r="R396" s="130" t="s">
        <v>430</v>
      </c>
    </row>
    <row r="397" spans="1:18" s="61" customFormat="1" x14ac:dyDescent="0.25">
      <c r="A397" s="119"/>
      <c r="B397" s="89"/>
      <c r="C397" s="89">
        <f t="shared" si="70"/>
        <v>0</v>
      </c>
      <c r="D397" s="89"/>
      <c r="E397" s="90"/>
      <c r="F397" s="89"/>
      <c r="G397" s="89">
        <f t="shared" si="72"/>
        <v>0</v>
      </c>
      <c r="H397" s="89"/>
      <c r="I397" s="90"/>
      <c r="J397" s="89"/>
      <c r="K397" s="89">
        <f t="shared" si="74"/>
        <v>0</v>
      </c>
      <c r="L397" s="89"/>
      <c r="M397" s="90"/>
      <c r="N397" s="89"/>
      <c r="O397" s="89"/>
      <c r="P397" s="89"/>
      <c r="Q397" s="90"/>
      <c r="R397" s="130" t="s">
        <v>430</v>
      </c>
    </row>
    <row r="398" spans="1:18" s="61" customFormat="1" x14ac:dyDescent="0.25">
      <c r="A398" s="119"/>
      <c r="B398" s="89"/>
      <c r="C398" s="89">
        <f t="shared" si="70"/>
        <v>0</v>
      </c>
      <c r="D398" s="89"/>
      <c r="E398" s="90"/>
      <c r="F398" s="89"/>
      <c r="G398" s="89">
        <f t="shared" si="72"/>
        <v>0</v>
      </c>
      <c r="H398" s="89"/>
      <c r="I398" s="90"/>
      <c r="J398" s="89"/>
      <c r="K398" s="89">
        <f t="shared" si="74"/>
        <v>0</v>
      </c>
      <c r="L398" s="89"/>
      <c r="M398" s="90"/>
      <c r="N398" s="89"/>
      <c r="O398" s="89"/>
      <c r="P398" s="89"/>
      <c r="Q398" s="90"/>
      <c r="R398" s="130" t="s">
        <v>430</v>
      </c>
    </row>
    <row r="399" spans="1:18" s="61" customFormat="1" x14ac:dyDescent="0.25">
      <c r="A399" s="119"/>
      <c r="B399" s="89"/>
      <c r="C399" s="89">
        <f t="shared" si="70"/>
        <v>0</v>
      </c>
      <c r="D399" s="89"/>
      <c r="E399" s="90"/>
      <c r="F399" s="89"/>
      <c r="G399" s="89">
        <f t="shared" si="72"/>
        <v>0</v>
      </c>
      <c r="H399" s="89"/>
      <c r="I399" s="90"/>
      <c r="J399" s="89"/>
      <c r="K399" s="89">
        <f t="shared" si="74"/>
        <v>0</v>
      </c>
      <c r="L399" s="89"/>
      <c r="M399" s="90"/>
      <c r="N399" s="89"/>
      <c r="O399" s="89"/>
      <c r="P399" s="89"/>
      <c r="Q399" s="90"/>
      <c r="R399" s="130" t="s">
        <v>430</v>
      </c>
    </row>
    <row r="400" spans="1:18" s="61" customFormat="1" x14ac:dyDescent="0.25">
      <c r="A400" s="119"/>
      <c r="B400" s="89"/>
      <c r="C400" s="89">
        <f t="shared" si="70"/>
        <v>0</v>
      </c>
      <c r="D400" s="89"/>
      <c r="E400" s="90"/>
      <c r="F400" s="89"/>
      <c r="G400" s="89">
        <f t="shared" si="72"/>
        <v>0</v>
      </c>
      <c r="H400" s="89"/>
      <c r="I400" s="90"/>
      <c r="J400" s="89"/>
      <c r="K400" s="89">
        <f t="shared" si="74"/>
        <v>0</v>
      </c>
      <c r="L400" s="89"/>
      <c r="M400" s="90"/>
      <c r="N400" s="89"/>
      <c r="O400" s="89"/>
      <c r="P400" s="89"/>
      <c r="Q400" s="90"/>
      <c r="R400" s="130" t="s">
        <v>430</v>
      </c>
    </row>
    <row r="401" spans="1:18" s="61" customFormat="1" x14ac:dyDescent="0.25">
      <c r="A401" s="119"/>
      <c r="B401" s="89"/>
      <c r="C401" s="89">
        <f t="shared" si="70"/>
        <v>0</v>
      </c>
      <c r="D401" s="89"/>
      <c r="E401" s="90"/>
      <c r="F401" s="89"/>
      <c r="G401" s="89">
        <f t="shared" si="72"/>
        <v>0</v>
      </c>
      <c r="H401" s="89"/>
      <c r="I401" s="90"/>
      <c r="J401" s="89"/>
      <c r="K401" s="89">
        <f t="shared" si="74"/>
        <v>0</v>
      </c>
      <c r="L401" s="89"/>
      <c r="M401" s="90"/>
      <c r="N401" s="89"/>
      <c r="O401" s="89"/>
      <c r="P401" s="89"/>
      <c r="Q401" s="90"/>
      <c r="R401" s="130" t="s">
        <v>430</v>
      </c>
    </row>
    <row r="402" spans="1:18" s="61" customFormat="1" ht="15.75" x14ac:dyDescent="0.25">
      <c r="A402" s="83"/>
      <c r="B402" s="89"/>
      <c r="C402" s="89">
        <f t="shared" si="70"/>
        <v>0</v>
      </c>
      <c r="D402" s="89"/>
      <c r="E402" s="90"/>
      <c r="F402" s="89"/>
      <c r="G402" s="89">
        <f t="shared" si="72"/>
        <v>0</v>
      </c>
      <c r="H402" s="89"/>
      <c r="I402" s="90"/>
      <c r="J402" s="89"/>
      <c r="K402" s="89">
        <f t="shared" si="74"/>
        <v>0</v>
      </c>
      <c r="L402" s="89"/>
      <c r="M402" s="90"/>
      <c r="N402" s="89"/>
      <c r="O402" s="89"/>
      <c r="P402" s="89"/>
      <c r="Q402" s="90"/>
      <c r="R402" s="130" t="s">
        <v>430</v>
      </c>
    </row>
    <row r="403" spans="1:18" s="61" customFormat="1" ht="15.75" x14ac:dyDescent="0.25">
      <c r="A403" s="83" t="s">
        <v>436</v>
      </c>
      <c r="B403" s="89">
        <v>580000</v>
      </c>
      <c r="C403" s="89">
        <v>290</v>
      </c>
      <c r="D403" s="89">
        <v>1</v>
      </c>
      <c r="E403" s="90">
        <f t="shared" ref="E403" si="81">B403/C403/D403</f>
        <v>2000</v>
      </c>
      <c r="F403" s="89"/>
      <c r="G403" s="89">
        <f t="shared" si="72"/>
        <v>26</v>
      </c>
      <c r="H403" s="89">
        <v>1</v>
      </c>
      <c r="I403" s="90">
        <f t="shared" ref="I403" si="82">F403/G403/H403</f>
        <v>0</v>
      </c>
      <c r="J403" s="89"/>
      <c r="K403" s="89">
        <f t="shared" si="74"/>
        <v>0</v>
      </c>
      <c r="L403" s="89"/>
      <c r="M403" s="90"/>
      <c r="N403" s="89"/>
      <c r="O403" s="89"/>
      <c r="P403" s="89"/>
      <c r="Q403" s="90"/>
      <c r="R403" s="130" t="s">
        <v>432</v>
      </c>
    </row>
    <row r="404" spans="1:18" s="61" customFormat="1" x14ac:dyDescent="0.25">
      <c r="A404" s="119" t="s">
        <v>46</v>
      </c>
      <c r="B404" s="89">
        <v>670539.13</v>
      </c>
      <c r="C404" s="89">
        <f>B404/D404/E404</f>
        <v>1028.1818077549303</v>
      </c>
      <c r="D404" s="89">
        <v>11</v>
      </c>
      <c r="E404" s="90">
        <f>54.5*1.046*1.04</f>
        <v>59.28728000000001</v>
      </c>
      <c r="F404" s="89">
        <v>149006.88</v>
      </c>
      <c r="G404" s="89">
        <f>F404/H404/I404</f>
        <v>228.48206225686181</v>
      </c>
      <c r="H404" s="89">
        <v>11</v>
      </c>
      <c r="I404" s="90">
        <f>54.5*1.046*1.04</f>
        <v>59.28728000000001</v>
      </c>
      <c r="J404" s="89">
        <v>151182.56</v>
      </c>
      <c r="K404" s="89">
        <f>J404/L404/M404</f>
        <v>231.81817568471834</v>
      </c>
      <c r="L404" s="89">
        <v>11</v>
      </c>
      <c r="M404" s="90">
        <f>54.5*1.046*1.04</f>
        <v>59.28728000000001</v>
      </c>
      <c r="N404" s="89"/>
      <c r="O404" s="89"/>
      <c r="P404" s="89"/>
      <c r="Q404" s="90"/>
      <c r="R404" s="130" t="s">
        <v>430</v>
      </c>
    </row>
    <row r="405" spans="1:18" s="61" customFormat="1" x14ac:dyDescent="0.25">
      <c r="A405" s="119" t="s">
        <v>259</v>
      </c>
      <c r="B405" s="89"/>
      <c r="C405" s="89">
        <f t="shared" si="70"/>
        <v>0</v>
      </c>
      <c r="D405" s="89"/>
      <c r="E405" s="90"/>
      <c r="F405" s="89">
        <v>888429.85000000009</v>
      </c>
      <c r="G405" s="89">
        <f t="shared" si="72"/>
        <v>1212</v>
      </c>
      <c r="H405" s="89">
        <v>1</v>
      </c>
      <c r="I405" s="90">
        <f>F405/G405/H405</f>
        <v>733.02792904290436</v>
      </c>
      <c r="J405" s="89">
        <v>179591.84</v>
      </c>
      <c r="K405" s="89">
        <f t="shared" si="74"/>
        <v>245</v>
      </c>
      <c r="L405" s="89">
        <v>1</v>
      </c>
      <c r="M405" s="90">
        <f>J405/K405/L405</f>
        <v>733.02791836734696</v>
      </c>
      <c r="N405" s="89"/>
      <c r="O405" s="89"/>
      <c r="P405" s="89"/>
      <c r="Q405" s="90"/>
      <c r="R405" s="130" t="s">
        <v>431</v>
      </c>
    </row>
    <row r="406" spans="1:18" s="61" customFormat="1" x14ac:dyDescent="0.25">
      <c r="A406" s="119" t="s">
        <v>47</v>
      </c>
      <c r="B406" s="89">
        <v>107902.90000000005</v>
      </c>
      <c r="C406" s="89">
        <v>140</v>
      </c>
      <c r="D406" s="89">
        <v>1</v>
      </c>
      <c r="E406" s="90">
        <f t="shared" ref="E406:E407" si="83">B406/C406/D406</f>
        <v>770.73500000000035</v>
      </c>
      <c r="F406" s="89">
        <v>14141.900000000001</v>
      </c>
      <c r="G406" s="89">
        <f t="shared" si="72"/>
        <v>20</v>
      </c>
      <c r="H406" s="89">
        <v>1</v>
      </c>
      <c r="I406" s="90">
        <f>F406/G406/H406</f>
        <v>707.09500000000003</v>
      </c>
      <c r="J406" s="89"/>
      <c r="K406" s="89">
        <f t="shared" si="74"/>
        <v>0</v>
      </c>
      <c r="L406" s="89"/>
      <c r="M406" s="90"/>
      <c r="N406" s="89"/>
      <c r="O406" s="89"/>
      <c r="P406" s="89"/>
      <c r="Q406" s="90"/>
      <c r="R406" s="130" t="s">
        <v>431</v>
      </c>
    </row>
    <row r="407" spans="1:18" s="61" customFormat="1" x14ac:dyDescent="0.25">
      <c r="A407" s="119" t="s">
        <v>113</v>
      </c>
      <c r="B407" s="89">
        <v>660712.27</v>
      </c>
      <c r="C407" s="89">
        <v>5715</v>
      </c>
      <c r="D407" s="89">
        <v>1</v>
      </c>
      <c r="E407" s="90">
        <f t="shared" si="83"/>
        <v>115.61019597550306</v>
      </c>
      <c r="F407" s="89">
        <v>11561.000000000002</v>
      </c>
      <c r="G407" s="89">
        <f t="shared" si="72"/>
        <v>100</v>
      </c>
      <c r="H407" s="89">
        <v>1</v>
      </c>
      <c r="I407" s="90">
        <f>F407/G407/H407</f>
        <v>115.61000000000001</v>
      </c>
      <c r="J407" s="89">
        <v>2312.2000000000003</v>
      </c>
      <c r="K407" s="89">
        <f t="shared" si="74"/>
        <v>20</v>
      </c>
      <c r="L407" s="89">
        <v>1</v>
      </c>
      <c r="M407" s="90">
        <f>J407/K407/L407</f>
        <v>115.61000000000001</v>
      </c>
      <c r="N407" s="89"/>
      <c r="O407" s="89"/>
      <c r="P407" s="89"/>
      <c r="Q407" s="90"/>
      <c r="R407" s="130" t="s">
        <v>431</v>
      </c>
    </row>
    <row r="408" spans="1:18" s="61" customFormat="1" x14ac:dyDescent="0.25">
      <c r="A408" s="119" t="s">
        <v>333</v>
      </c>
      <c r="B408" s="89">
        <v>32220324</v>
      </c>
      <c r="C408" s="89"/>
      <c r="D408" s="89"/>
      <c r="E408" s="90"/>
      <c r="F408" s="89">
        <v>191148</v>
      </c>
      <c r="G408" s="89"/>
      <c r="H408" s="89"/>
      <c r="I408" s="90"/>
      <c r="J408" s="89">
        <v>6710</v>
      </c>
      <c r="K408" s="89"/>
      <c r="L408" s="89"/>
      <c r="M408" s="90"/>
      <c r="N408" s="89"/>
      <c r="O408" s="89"/>
      <c r="P408" s="89"/>
      <c r="Q408" s="90"/>
      <c r="R408" s="130"/>
    </row>
    <row r="409" spans="1:18" s="61" customFormat="1" x14ac:dyDescent="0.25">
      <c r="A409" s="119" t="s">
        <v>368</v>
      </c>
      <c r="B409" s="89"/>
      <c r="C409" s="89"/>
      <c r="D409" s="89"/>
      <c r="E409" s="90"/>
      <c r="F409" s="89"/>
      <c r="G409" s="89"/>
      <c r="H409" s="89"/>
      <c r="I409" s="90"/>
      <c r="J409" s="89"/>
      <c r="K409" s="89"/>
      <c r="L409" s="89"/>
      <c r="M409" s="90"/>
      <c r="N409" s="89"/>
      <c r="O409" s="89"/>
      <c r="P409" s="89"/>
      <c r="Q409" s="90"/>
      <c r="R409" s="130"/>
    </row>
    <row r="410" spans="1:18" s="61" customFormat="1" x14ac:dyDescent="0.25">
      <c r="A410" s="119" t="s">
        <v>352</v>
      </c>
      <c r="B410" s="89"/>
      <c r="C410" s="89"/>
      <c r="D410" s="89"/>
      <c r="E410" s="90"/>
      <c r="F410" s="89"/>
      <c r="G410" s="89"/>
      <c r="H410" s="89"/>
      <c r="I410" s="90"/>
      <c r="J410" s="89"/>
      <c r="K410" s="89"/>
      <c r="L410" s="89"/>
      <c r="M410" s="90"/>
      <c r="N410" s="89">
        <v>6856022.7000000002</v>
      </c>
      <c r="O410" s="89">
        <v>5930</v>
      </c>
      <c r="P410" s="89">
        <v>24</v>
      </c>
      <c r="Q410" s="90">
        <f>N410/O410</f>
        <v>1156.1589713322091</v>
      </c>
      <c r="R410" s="130"/>
    </row>
    <row r="411" spans="1:18" s="61" customFormat="1" x14ac:dyDescent="0.25">
      <c r="A411" s="119" t="s">
        <v>355</v>
      </c>
      <c r="B411" s="89"/>
      <c r="C411" s="89"/>
      <c r="D411" s="89"/>
      <c r="E411" s="90"/>
      <c r="F411" s="89"/>
      <c r="G411" s="89"/>
      <c r="H411" s="89"/>
      <c r="I411" s="90"/>
      <c r="J411" s="89"/>
      <c r="K411" s="89"/>
      <c r="L411" s="89"/>
      <c r="M411" s="90"/>
      <c r="N411" s="89">
        <v>3428011.35</v>
      </c>
      <c r="O411" s="89"/>
      <c r="P411" s="89"/>
      <c r="Q411" s="90"/>
      <c r="R411" s="130"/>
    </row>
    <row r="412" spans="1:18" s="61" customFormat="1" x14ac:dyDescent="0.25">
      <c r="A412" s="119" t="s">
        <v>348</v>
      </c>
      <c r="B412" s="89"/>
      <c r="C412" s="89"/>
      <c r="D412" s="89"/>
      <c r="E412" s="90"/>
      <c r="F412" s="89"/>
      <c r="G412" s="89"/>
      <c r="H412" s="89"/>
      <c r="I412" s="90"/>
      <c r="J412" s="89"/>
      <c r="K412" s="89"/>
      <c r="L412" s="89"/>
      <c r="M412" s="90"/>
      <c r="N412" s="89">
        <v>355800</v>
      </c>
      <c r="O412" s="89">
        <v>5930</v>
      </c>
      <c r="P412" s="89">
        <v>1</v>
      </c>
      <c r="Q412" s="90">
        <f>N412/O412/P412</f>
        <v>60</v>
      </c>
      <c r="R412" s="130"/>
    </row>
    <row r="413" spans="1:18" s="61" customFormat="1" x14ac:dyDescent="0.25">
      <c r="A413" s="119" t="s">
        <v>349</v>
      </c>
      <c r="B413" s="89"/>
      <c r="C413" s="89"/>
      <c r="D413" s="89"/>
      <c r="E413" s="90"/>
      <c r="F413" s="89"/>
      <c r="G413" s="89"/>
      <c r="H413" s="89"/>
      <c r="I413" s="90"/>
      <c r="J413" s="89"/>
      <c r="K413" s="89"/>
      <c r="L413" s="89"/>
      <c r="M413" s="90"/>
      <c r="N413" s="89">
        <v>282350</v>
      </c>
      <c r="O413" s="89">
        <v>5930</v>
      </c>
      <c r="P413" s="89">
        <v>1</v>
      </c>
      <c r="Q413" s="90">
        <f>N413/O413/P413</f>
        <v>47.613827993254638</v>
      </c>
      <c r="R413" s="130"/>
    </row>
    <row r="414" spans="1:18" s="61" customFormat="1" x14ac:dyDescent="0.25">
      <c r="A414" s="119" t="s">
        <v>350</v>
      </c>
      <c r="B414" s="89"/>
      <c r="C414" s="89"/>
      <c r="D414" s="89"/>
      <c r="E414" s="90"/>
      <c r="F414" s="89"/>
      <c r="G414" s="89"/>
      <c r="H414" s="89"/>
      <c r="I414" s="90"/>
      <c r="J414" s="89"/>
      <c r="K414" s="89"/>
      <c r="L414" s="89"/>
      <c r="M414" s="90"/>
      <c r="N414" s="89">
        <v>282350</v>
      </c>
      <c r="O414" s="89">
        <v>5930</v>
      </c>
      <c r="P414" s="89">
        <v>1</v>
      </c>
      <c r="Q414" s="90">
        <f>N414/O414/P414</f>
        <v>47.613827993254638</v>
      </c>
      <c r="R414" s="130"/>
    </row>
    <row r="415" spans="1:18" s="61" customFormat="1" x14ac:dyDescent="0.25">
      <c r="A415" s="119" t="s">
        <v>351</v>
      </c>
      <c r="B415" s="89"/>
      <c r="C415" s="89"/>
      <c r="D415" s="89"/>
      <c r="E415" s="90"/>
      <c r="F415" s="89"/>
      <c r="G415" s="89"/>
      <c r="H415" s="89"/>
      <c r="I415" s="90"/>
      <c r="J415" s="89"/>
      <c r="K415" s="89"/>
      <c r="L415" s="89"/>
      <c r="M415" s="90"/>
      <c r="N415" s="89">
        <v>60695</v>
      </c>
      <c r="O415" s="89">
        <v>5930</v>
      </c>
      <c r="P415" s="89">
        <v>1</v>
      </c>
      <c r="Q415" s="90">
        <f>N415/O415/P415</f>
        <v>10.235244519392918</v>
      </c>
      <c r="R415" s="130"/>
    </row>
    <row r="416" spans="1:18" s="62" customFormat="1" x14ac:dyDescent="0.25">
      <c r="A416" s="143" t="s">
        <v>332</v>
      </c>
      <c r="B416" s="144">
        <f>SUM(B284:B408)</f>
        <v>529162641.91000003</v>
      </c>
      <c r="C416" s="145"/>
      <c r="D416" s="145"/>
      <c r="E416" s="146"/>
      <c r="F416" s="144">
        <f>SUM(F284:F409)</f>
        <v>160689361.92000002</v>
      </c>
      <c r="G416" s="145"/>
      <c r="H416" s="145"/>
      <c r="I416" s="146"/>
      <c r="J416" s="144">
        <f>SUM(J284:J408)</f>
        <v>15760048.420000002</v>
      </c>
      <c r="K416" s="145"/>
      <c r="L416" s="145"/>
      <c r="M416" s="146"/>
      <c r="N416" s="144">
        <f>SUM(N284:N415)</f>
        <v>12186761.85</v>
      </c>
      <c r="O416" s="144">
        <f>SUM(O284:O415)</f>
        <v>29652.400000000001</v>
      </c>
      <c r="P416" s="144">
        <f>SUM(P284:P415)</f>
        <v>52</v>
      </c>
      <c r="Q416" s="144">
        <f>SUM(Q284:Q415)</f>
        <v>9185.8718718381133</v>
      </c>
      <c r="R416" s="147"/>
    </row>
    <row r="417" spans="1:18" s="61" customFormat="1" x14ac:dyDescent="0.25">
      <c r="A417" s="148"/>
      <c r="B417" s="149"/>
      <c r="C417" s="149"/>
      <c r="D417" s="149"/>
      <c r="E417" s="150"/>
      <c r="F417" s="149"/>
      <c r="G417" s="149"/>
      <c r="H417" s="149"/>
      <c r="I417" s="150"/>
      <c r="J417" s="149"/>
      <c r="K417" s="149"/>
      <c r="L417" s="149"/>
      <c r="M417" s="150"/>
      <c r="N417" s="149"/>
      <c r="O417" s="149"/>
      <c r="P417" s="149"/>
      <c r="Q417" s="150"/>
      <c r="R417" s="114"/>
    </row>
    <row r="418" spans="1:18" s="61" customFormat="1" x14ac:dyDescent="0.25">
      <c r="A418" s="151"/>
      <c r="B418" s="152">
        <v>529162641.91000003</v>
      </c>
      <c r="C418" s="152"/>
      <c r="D418" s="149"/>
      <c r="E418" s="150"/>
      <c r="F418" s="152">
        <v>160689361.92000002</v>
      </c>
      <c r="G418" s="152"/>
      <c r="H418" s="149"/>
      <c r="I418" s="150"/>
      <c r="J418" s="152">
        <v>15760048.4153344</v>
      </c>
      <c r="K418" s="152"/>
      <c r="L418" s="149"/>
      <c r="M418" s="150"/>
      <c r="N418" s="152">
        <v>12186761.849999998</v>
      </c>
      <c r="O418" s="152"/>
      <c r="P418" s="149"/>
      <c r="Q418" s="150"/>
      <c r="R418" s="114"/>
    </row>
    <row r="419" spans="1:18" s="61" customFormat="1" x14ac:dyDescent="0.25">
      <c r="A419" s="148"/>
      <c r="B419" s="152">
        <f>B418-B416</f>
        <v>0</v>
      </c>
      <c r="C419" s="149"/>
      <c r="D419" s="149"/>
      <c r="E419" s="150"/>
      <c r="F419" s="152">
        <f>F418-F416</f>
        <v>0</v>
      </c>
      <c r="G419" s="149"/>
      <c r="H419" s="149"/>
      <c r="I419" s="150"/>
      <c r="J419" s="152">
        <f>J418-J416</f>
        <v>-4.6656019985675812E-3</v>
      </c>
      <c r="K419" s="149"/>
      <c r="L419" s="149"/>
      <c r="M419" s="150"/>
      <c r="N419" s="152">
        <f>N418-N416</f>
        <v>0</v>
      </c>
      <c r="O419" s="149"/>
      <c r="P419" s="149"/>
      <c r="Q419" s="150"/>
      <c r="R419" s="114"/>
    </row>
  </sheetData>
  <autoFilter ref="A3:Q136">
    <filterColumn colId="5">
      <customFilters>
        <customFilter operator="notEqual" val=" "/>
      </customFilters>
    </filterColumn>
  </autoFilter>
  <mergeCells count="12">
    <mergeCell ref="N2:Q2"/>
    <mergeCell ref="B2:E2"/>
    <mergeCell ref="F2:I2"/>
    <mergeCell ref="J2:M2"/>
    <mergeCell ref="B282:E282"/>
    <mergeCell ref="F282:I282"/>
    <mergeCell ref="J282:M282"/>
    <mergeCell ref="N282:Q282"/>
    <mergeCell ref="B142:E142"/>
    <mergeCell ref="F142:I142"/>
    <mergeCell ref="J142:M142"/>
    <mergeCell ref="N142:Q142"/>
  </mergeCells>
  <pageMargins left="0.7" right="0.7" top="0.75" bottom="0.75" header="0.3" footer="0.3"/>
  <pageSetup paperSize="9" scale="49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</vt:i4>
      </vt:variant>
      <vt:variant>
        <vt:lpstr>Именованные диапазоны</vt:lpstr>
      </vt:variant>
      <vt:variant>
        <vt:i4>4</vt:i4>
      </vt:variant>
    </vt:vector>
  </HeadingPairs>
  <TitlesOfParts>
    <vt:vector size="7" baseType="lpstr">
      <vt:lpstr>школы</vt:lpstr>
      <vt:lpstr>Приложение</vt:lpstr>
      <vt:lpstr>Лист1</vt:lpstr>
      <vt:lpstr>школы!Заголовки_для_печати</vt:lpstr>
      <vt:lpstr>Лист1!Область_печати</vt:lpstr>
      <vt:lpstr>Приложение!Область_печати</vt:lpstr>
      <vt:lpstr>школы!Область_печати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2023-01-17T06:57:56Z</dcterms:modified>
</cp:coreProperties>
</file>